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60" windowWidth="28800" windowHeight="11940"/>
  </bookViews>
  <sheets>
    <sheet name="Read Me" sheetId="118" r:id="rId1"/>
    <sheet name="Options" sheetId="3" state="hidden" r:id="rId2"/>
    <sheet name="Trial Balance" sheetId="1" r:id="rId3"/>
    <sheet name="Sheet2" sheetId="119" state="veryHidden" r:id="rId4"/>
    <sheet name="Sheet3" sheetId="120" state="veryHidden" r:id="rId5"/>
    <sheet name="Sheet4" sheetId="121" state="veryHidden" r:id="rId6"/>
    <sheet name="Sheet5" sheetId="122" state="veryHidden" r:id="rId7"/>
    <sheet name="Sheet6" sheetId="123" state="veryHidden" r:id="rId8"/>
    <sheet name="Sheet7" sheetId="124" state="veryHidden" r:id="rId9"/>
  </sheets>
  <definedNames>
    <definedName name="EndPeriod">Options!$D$6</definedName>
    <definedName name="StartPeriod">Options!$D$5</definedName>
    <definedName name="Year">Options!$D$4</definedName>
  </definedNames>
  <calcPr calcId="162913"/>
</workbook>
</file>

<file path=xl/calcChain.xml><?xml version="1.0" encoding="utf-8"?>
<calcChain xmlns="http://schemas.openxmlformats.org/spreadsheetml/2006/main">
  <c r="D5" i="1" l="1"/>
  <c r="E11" i="1" s="1"/>
  <c r="D6" i="1"/>
  <c r="D7" i="1"/>
  <c r="G11" i="1"/>
  <c r="H11" i="1"/>
  <c r="J11" i="1"/>
  <c r="K11" i="1"/>
  <c r="C12" i="1"/>
  <c r="D12" i="1"/>
  <c r="C13" i="1"/>
  <c r="D13" i="1"/>
  <c r="C14" i="1"/>
  <c r="D14" i="1"/>
  <c r="C15" i="1"/>
  <c r="D15" i="1"/>
  <c r="C16" i="1"/>
  <c r="D16" i="1"/>
  <c r="C17" i="1"/>
  <c r="D17" i="1"/>
  <c r="C18" i="1"/>
  <c r="D18" i="1"/>
  <c r="C19" i="1"/>
  <c r="D19" i="1"/>
  <c r="C20" i="1"/>
  <c r="D20" i="1"/>
  <c r="C21" i="1"/>
  <c r="D21" i="1"/>
  <c r="C22" i="1"/>
  <c r="D22" i="1"/>
  <c r="C23" i="1"/>
  <c r="D23" i="1"/>
  <c r="C24" i="1"/>
  <c r="D24" i="1"/>
  <c r="C25" i="1"/>
  <c r="D25" i="1"/>
  <c r="C26" i="1"/>
  <c r="D26" i="1"/>
  <c r="C27" i="1"/>
  <c r="D27" i="1"/>
  <c r="C28" i="1"/>
  <c r="D28" i="1"/>
  <c r="C29" i="1"/>
  <c r="D29" i="1"/>
  <c r="C30" i="1"/>
  <c r="D30" i="1"/>
  <c r="C31" i="1"/>
  <c r="D31" i="1"/>
  <c r="C32" i="1"/>
  <c r="D32" i="1"/>
  <c r="C33" i="1"/>
  <c r="D33" i="1"/>
  <c r="C34" i="1"/>
  <c r="D34" i="1"/>
  <c r="C35" i="1"/>
  <c r="D35" i="1"/>
  <c r="C36" i="1"/>
  <c r="D36" i="1"/>
  <c r="C37" i="1"/>
  <c r="D37" i="1"/>
  <c r="C38" i="1"/>
  <c r="D38" i="1"/>
  <c r="C39" i="1"/>
  <c r="D39" i="1"/>
  <c r="C40" i="1"/>
  <c r="D40" i="1"/>
  <c r="C41" i="1"/>
  <c r="D41" i="1"/>
  <c r="C42" i="1"/>
  <c r="D42" i="1"/>
  <c r="C43" i="1"/>
  <c r="D43" i="1"/>
  <c r="C44" i="1"/>
  <c r="D44" i="1"/>
  <c r="C45" i="1"/>
  <c r="D45" i="1"/>
  <c r="C46" i="1"/>
  <c r="D46" i="1"/>
  <c r="C47" i="1"/>
  <c r="D47" i="1"/>
  <c r="C48" i="1"/>
  <c r="D48" i="1"/>
  <c r="C49" i="1"/>
  <c r="D49" i="1"/>
  <c r="C50" i="1"/>
  <c r="D50" i="1"/>
  <c r="C51" i="1"/>
  <c r="D51" i="1"/>
  <c r="C52" i="1"/>
  <c r="D52" i="1"/>
  <c r="C53" i="1"/>
  <c r="D53" i="1"/>
  <c r="C54" i="1"/>
  <c r="D54" i="1"/>
  <c r="C55" i="1"/>
  <c r="D55" i="1"/>
  <c r="C56" i="1"/>
  <c r="D56" i="1"/>
  <c r="C57" i="1"/>
  <c r="D57" i="1"/>
  <c r="C58" i="1"/>
  <c r="D58" i="1"/>
  <c r="C59" i="1"/>
  <c r="D59" i="1"/>
  <c r="C60" i="1"/>
  <c r="D60" i="1"/>
  <c r="C61" i="1"/>
  <c r="D61" i="1"/>
  <c r="C62" i="1"/>
  <c r="D62" i="1"/>
  <c r="C63" i="1"/>
  <c r="D63" i="1"/>
  <c r="C64" i="1"/>
  <c r="D64" i="1"/>
  <c r="C65" i="1"/>
  <c r="D65" i="1"/>
  <c r="C66" i="1"/>
  <c r="D66" i="1"/>
  <c r="C67" i="1"/>
  <c r="D67" i="1"/>
  <c r="C68" i="1"/>
  <c r="D68" i="1"/>
  <c r="C69" i="1"/>
  <c r="D69" i="1"/>
  <c r="C70" i="1"/>
  <c r="D70" i="1"/>
  <c r="C71" i="1"/>
  <c r="D71" i="1"/>
  <c r="C72" i="1"/>
  <c r="D72" i="1"/>
  <c r="C73" i="1"/>
  <c r="D73" i="1"/>
  <c r="C74" i="1"/>
  <c r="D74" i="1"/>
  <c r="C75" i="1"/>
  <c r="D75" i="1"/>
  <c r="C76" i="1"/>
  <c r="D76" i="1"/>
  <c r="C77" i="1"/>
  <c r="D77" i="1"/>
  <c r="C78" i="1"/>
  <c r="D78" i="1"/>
  <c r="C79" i="1"/>
  <c r="D79" i="1"/>
  <c r="C80" i="1"/>
  <c r="D80" i="1"/>
  <c r="C81" i="1"/>
  <c r="D81" i="1"/>
  <c r="C82" i="1"/>
  <c r="D82" i="1"/>
  <c r="C83" i="1"/>
  <c r="D83" i="1"/>
  <c r="C84" i="1"/>
  <c r="D84" i="1"/>
  <c r="C85" i="1"/>
  <c r="D85" i="1"/>
  <c r="C86" i="1"/>
  <c r="D86" i="1"/>
  <c r="C87" i="1"/>
  <c r="D87" i="1"/>
  <c r="C88" i="1"/>
  <c r="D88" i="1"/>
  <c r="C89" i="1"/>
  <c r="D89" i="1"/>
  <c r="C90" i="1"/>
  <c r="D90" i="1"/>
  <c r="C91" i="1"/>
  <c r="D91" i="1"/>
  <c r="C92" i="1"/>
  <c r="D92" i="1"/>
  <c r="C93" i="1"/>
  <c r="D93" i="1"/>
  <c r="C94" i="1"/>
  <c r="D94" i="1"/>
  <c r="C95" i="1"/>
  <c r="D95" i="1"/>
  <c r="C96" i="1"/>
  <c r="D96" i="1"/>
  <c r="C97" i="1"/>
  <c r="D97" i="1"/>
  <c r="C98" i="1"/>
  <c r="D98" i="1"/>
  <c r="C99" i="1"/>
  <c r="D99" i="1"/>
  <c r="C100" i="1"/>
  <c r="D100" i="1"/>
  <c r="C101" i="1"/>
  <c r="D101" i="1"/>
  <c r="C102" i="1"/>
  <c r="D102" i="1"/>
  <c r="C103" i="1"/>
  <c r="D103" i="1"/>
  <c r="C104" i="1"/>
  <c r="D104" i="1"/>
  <c r="C105" i="1"/>
  <c r="D105" i="1"/>
  <c r="C106" i="1"/>
  <c r="D106" i="1"/>
  <c r="C107" i="1"/>
  <c r="D107" i="1"/>
  <c r="C108" i="1"/>
  <c r="D108" i="1"/>
  <c r="C109" i="1"/>
  <c r="D109" i="1"/>
  <c r="C110" i="1"/>
  <c r="D110" i="1"/>
  <c r="C111" i="1"/>
  <c r="D111" i="1"/>
  <c r="C112" i="1"/>
  <c r="D112" i="1"/>
  <c r="C113" i="1"/>
  <c r="D113" i="1"/>
  <c r="C114" i="1"/>
  <c r="D114" i="1"/>
  <c r="C115" i="1"/>
  <c r="D115" i="1"/>
  <c r="C116" i="1"/>
  <c r="D116" i="1"/>
  <c r="C117" i="1"/>
  <c r="D117" i="1"/>
  <c r="C118" i="1"/>
  <c r="D118" i="1"/>
  <c r="C119" i="1"/>
  <c r="D119" i="1"/>
  <c r="C120" i="1"/>
  <c r="D120" i="1"/>
  <c r="C121" i="1"/>
  <c r="D121" i="1"/>
  <c r="C122" i="1"/>
  <c r="D122" i="1"/>
  <c r="C123" i="1"/>
  <c r="D123" i="1"/>
  <c r="C124" i="1"/>
  <c r="D124" i="1"/>
  <c r="C125" i="1"/>
  <c r="D125" i="1"/>
  <c r="C126" i="1"/>
  <c r="D126" i="1"/>
  <c r="C127" i="1"/>
  <c r="D127" i="1"/>
  <c r="C128" i="1"/>
  <c r="D128" i="1"/>
  <c r="C129" i="1"/>
  <c r="D129" i="1"/>
  <c r="C130" i="1"/>
  <c r="D130" i="1"/>
  <c r="C131" i="1"/>
  <c r="D131" i="1"/>
  <c r="C132" i="1"/>
  <c r="D132" i="1"/>
  <c r="C133" i="1"/>
  <c r="D133" i="1"/>
  <c r="C134" i="1"/>
  <c r="D134" i="1"/>
  <c r="C135" i="1"/>
  <c r="D135" i="1"/>
  <c r="C136" i="1"/>
  <c r="D136" i="1"/>
  <c r="C137" i="1"/>
  <c r="D137" i="1"/>
  <c r="C138" i="1"/>
  <c r="D138" i="1"/>
  <c r="C139" i="1"/>
  <c r="D139" i="1"/>
  <c r="C140" i="1"/>
  <c r="D140" i="1"/>
  <c r="C141" i="1"/>
  <c r="D141" i="1"/>
  <c r="C142" i="1"/>
  <c r="D142" i="1"/>
  <c r="C143" i="1"/>
  <c r="D143" i="1"/>
  <c r="C144" i="1"/>
  <c r="D144" i="1"/>
  <c r="C145" i="1"/>
  <c r="D145" i="1"/>
  <c r="C146" i="1"/>
  <c r="D146" i="1"/>
  <c r="C147" i="1"/>
  <c r="D147" i="1"/>
  <c r="C148" i="1"/>
  <c r="D148" i="1"/>
  <c r="C149" i="1"/>
  <c r="D149" i="1"/>
  <c r="C150" i="1"/>
  <c r="D150" i="1"/>
  <c r="C151" i="1"/>
  <c r="D151" i="1"/>
  <c r="C152" i="1"/>
  <c r="D152" i="1"/>
  <c r="C153" i="1"/>
  <c r="D153" i="1"/>
  <c r="C154" i="1"/>
  <c r="D154" i="1"/>
  <c r="C155" i="1"/>
  <c r="D155" i="1"/>
  <c r="C156" i="1"/>
  <c r="D156" i="1"/>
  <c r="C157" i="1"/>
  <c r="D157" i="1"/>
  <c r="C158" i="1"/>
  <c r="D158" i="1"/>
  <c r="C159" i="1"/>
  <c r="D159" i="1"/>
  <c r="C160" i="1"/>
  <c r="D160" i="1"/>
  <c r="C161" i="1"/>
  <c r="D161" i="1"/>
  <c r="C162" i="1"/>
  <c r="D162" i="1"/>
  <c r="C163" i="1"/>
  <c r="D163" i="1"/>
  <c r="C164" i="1"/>
  <c r="D164" i="1"/>
  <c r="C165" i="1"/>
  <c r="D165" i="1"/>
  <c r="C166" i="1"/>
  <c r="D166" i="1"/>
  <c r="C167" i="1"/>
  <c r="D167" i="1"/>
  <c r="C168" i="1"/>
  <c r="D168" i="1"/>
  <c r="C169" i="1"/>
  <c r="D169" i="1"/>
  <c r="C170" i="1"/>
  <c r="D170" i="1"/>
  <c r="C171" i="1"/>
  <c r="D171" i="1"/>
  <c r="C172" i="1"/>
  <c r="D172" i="1"/>
  <c r="C173" i="1"/>
  <c r="D173" i="1"/>
  <c r="C174" i="1"/>
  <c r="D174" i="1"/>
  <c r="C175" i="1"/>
  <c r="D175" i="1"/>
  <c r="C176" i="1"/>
  <c r="D176" i="1"/>
  <c r="C177" i="1"/>
  <c r="D177" i="1"/>
  <c r="C178" i="1"/>
  <c r="D178" i="1"/>
  <c r="C179" i="1"/>
  <c r="D179" i="1"/>
  <c r="C180" i="1"/>
  <c r="D180" i="1"/>
  <c r="C181" i="1"/>
  <c r="D181" i="1"/>
  <c r="C182" i="1"/>
  <c r="D182" i="1"/>
  <c r="C183" i="1"/>
  <c r="D183" i="1"/>
  <c r="C184" i="1"/>
  <c r="D184" i="1"/>
  <c r="C185" i="1"/>
  <c r="D185" i="1"/>
  <c r="C186" i="1"/>
  <c r="D186" i="1"/>
  <c r="C187" i="1"/>
  <c r="D187" i="1"/>
  <c r="C188" i="1"/>
  <c r="D188" i="1"/>
  <c r="C189" i="1"/>
  <c r="D189" i="1"/>
  <c r="C190" i="1"/>
  <c r="D190" i="1"/>
  <c r="C191" i="1"/>
  <c r="D191" i="1"/>
  <c r="C192" i="1"/>
  <c r="D192" i="1"/>
  <c r="C193" i="1"/>
  <c r="D193" i="1"/>
  <c r="C194" i="1"/>
  <c r="D194" i="1"/>
  <c r="C195" i="1"/>
  <c r="D195" i="1"/>
  <c r="C196" i="1"/>
  <c r="D196" i="1"/>
  <c r="C197" i="1"/>
  <c r="D197" i="1"/>
  <c r="C198" i="1"/>
  <c r="D198" i="1"/>
  <c r="C199" i="1"/>
  <c r="D199" i="1"/>
  <c r="C200" i="1"/>
  <c r="D200" i="1"/>
  <c r="C201" i="1"/>
  <c r="D201" i="1"/>
  <c r="C202" i="1"/>
  <c r="D202" i="1"/>
  <c r="C203" i="1"/>
  <c r="D203" i="1"/>
  <c r="C204" i="1"/>
  <c r="D204" i="1"/>
  <c r="C205" i="1"/>
  <c r="D205" i="1"/>
  <c r="C206" i="1"/>
  <c r="D206" i="1"/>
  <c r="C207" i="1"/>
  <c r="D207" i="1"/>
  <c r="C208" i="1"/>
  <c r="D208" i="1"/>
  <c r="C209" i="1"/>
  <c r="D209" i="1"/>
  <c r="C210" i="1"/>
  <c r="D210" i="1"/>
  <c r="C211" i="1"/>
  <c r="D211" i="1"/>
  <c r="C212" i="1"/>
  <c r="D212" i="1"/>
  <c r="C213" i="1"/>
  <c r="D213" i="1"/>
  <c r="C214" i="1"/>
  <c r="D214" i="1"/>
  <c r="C215" i="1"/>
  <c r="D215" i="1"/>
  <c r="C216" i="1"/>
  <c r="D216" i="1"/>
  <c r="C217" i="1"/>
  <c r="D217" i="1"/>
  <c r="C218" i="1"/>
  <c r="D218" i="1"/>
  <c r="C219" i="1"/>
  <c r="D219" i="1"/>
  <c r="C220" i="1"/>
  <c r="D220" i="1"/>
  <c r="C221" i="1"/>
  <c r="D221" i="1"/>
  <c r="C222" i="1"/>
  <c r="D222" i="1"/>
  <c r="C223" i="1"/>
  <c r="D223" i="1"/>
  <c r="C224" i="1"/>
  <c r="D224" i="1"/>
  <c r="C225" i="1"/>
  <c r="D225" i="1"/>
  <c r="C226" i="1"/>
  <c r="D226" i="1"/>
  <c r="C227" i="1"/>
  <c r="D227" i="1"/>
  <c r="C228" i="1"/>
  <c r="D228" i="1"/>
  <c r="C229" i="1"/>
  <c r="D229" i="1"/>
  <c r="C230" i="1"/>
  <c r="D230" i="1"/>
  <c r="C231" i="1"/>
  <c r="D231" i="1"/>
  <c r="C232" i="1"/>
  <c r="D232" i="1"/>
  <c r="C233" i="1"/>
  <c r="D233" i="1"/>
  <c r="C234" i="1"/>
  <c r="D234" i="1"/>
  <c r="C235" i="1"/>
  <c r="D235" i="1"/>
  <c r="C236" i="1"/>
  <c r="D236" i="1"/>
  <c r="C237" i="1"/>
  <c r="D237" i="1"/>
  <c r="C238" i="1"/>
  <c r="D238" i="1"/>
  <c r="C239" i="1"/>
  <c r="D239" i="1"/>
  <c r="C240" i="1"/>
  <c r="D240" i="1"/>
  <c r="C241" i="1"/>
  <c r="D241" i="1"/>
  <c r="C242" i="1"/>
  <c r="D242" i="1"/>
  <c r="C243" i="1"/>
  <c r="D243" i="1"/>
  <c r="C244" i="1"/>
  <c r="D244" i="1"/>
  <c r="C245" i="1"/>
  <c r="D245" i="1"/>
  <c r="C246" i="1"/>
  <c r="D246" i="1"/>
  <c r="C247" i="1"/>
  <c r="D247" i="1"/>
  <c r="C248" i="1"/>
  <c r="D248" i="1"/>
  <c r="C249" i="1"/>
  <c r="D249" i="1"/>
  <c r="C250" i="1"/>
  <c r="D250" i="1"/>
  <c r="C251" i="1"/>
  <c r="D251" i="1"/>
  <c r="C252" i="1"/>
  <c r="D252" i="1"/>
  <c r="C253" i="1"/>
  <c r="D253" i="1"/>
  <c r="C254" i="1"/>
  <c r="D254" i="1"/>
  <c r="C255" i="1"/>
  <c r="D255" i="1"/>
  <c r="C256" i="1"/>
  <c r="D256" i="1"/>
  <c r="C257" i="1"/>
  <c r="D257" i="1"/>
  <c r="C258" i="1"/>
  <c r="D258" i="1"/>
  <c r="C259" i="1"/>
  <c r="D259" i="1"/>
  <c r="C260" i="1"/>
  <c r="D260" i="1"/>
  <c r="C261" i="1"/>
  <c r="D261" i="1"/>
  <c r="C262" i="1"/>
  <c r="D262" i="1"/>
  <c r="C263" i="1"/>
  <c r="D263" i="1"/>
  <c r="C264" i="1"/>
  <c r="D264" i="1"/>
  <c r="C265" i="1"/>
  <c r="D265" i="1"/>
  <c r="C266" i="1"/>
  <c r="D266" i="1"/>
  <c r="C267" i="1"/>
  <c r="D267" i="1"/>
  <c r="C268" i="1"/>
  <c r="D268" i="1"/>
  <c r="C269" i="1"/>
  <c r="D269" i="1"/>
  <c r="C270" i="1"/>
  <c r="D270" i="1"/>
  <c r="C271" i="1"/>
  <c r="D271" i="1"/>
  <c r="C272" i="1"/>
  <c r="D272" i="1"/>
  <c r="C273" i="1"/>
  <c r="D273" i="1"/>
  <c r="C274" i="1"/>
  <c r="D274" i="1"/>
  <c r="C275" i="1"/>
  <c r="D275" i="1"/>
  <c r="C276" i="1"/>
  <c r="D276" i="1"/>
  <c r="C277" i="1"/>
  <c r="D277" i="1"/>
  <c r="C278" i="1"/>
  <c r="D278" i="1"/>
  <c r="C279" i="1"/>
  <c r="D279" i="1"/>
  <c r="C280" i="1"/>
  <c r="D280" i="1"/>
  <c r="C281" i="1"/>
  <c r="D281" i="1"/>
  <c r="C282" i="1"/>
  <c r="D282" i="1"/>
  <c r="C283" i="1"/>
  <c r="D283" i="1"/>
  <c r="C284" i="1"/>
  <c r="D284" i="1"/>
  <c r="C285" i="1"/>
  <c r="D285" i="1"/>
  <c r="C286" i="1"/>
  <c r="D286" i="1"/>
  <c r="C287" i="1"/>
  <c r="D287" i="1"/>
  <c r="C288" i="1"/>
  <c r="D288" i="1"/>
  <c r="C289" i="1"/>
  <c r="D289" i="1"/>
  <c r="C290" i="1"/>
  <c r="D290" i="1"/>
  <c r="C291" i="1"/>
  <c r="D291" i="1"/>
  <c r="C292" i="1"/>
  <c r="D292" i="1"/>
  <c r="C293" i="1"/>
  <c r="D293" i="1"/>
  <c r="C294" i="1"/>
  <c r="D294" i="1"/>
  <c r="C295" i="1"/>
  <c r="D295" i="1"/>
  <c r="C296" i="1"/>
  <c r="D296" i="1"/>
  <c r="C297" i="1"/>
  <c r="D297" i="1"/>
  <c r="C298" i="1"/>
  <c r="D298" i="1"/>
  <c r="C299" i="1"/>
  <c r="D299" i="1"/>
  <c r="C300" i="1"/>
  <c r="D300" i="1"/>
  <c r="C301" i="1"/>
  <c r="D301" i="1"/>
  <c r="C302" i="1"/>
  <c r="D302" i="1"/>
  <c r="C303" i="1"/>
  <c r="D303" i="1"/>
  <c r="C304" i="1"/>
  <c r="D304" i="1"/>
  <c r="C305" i="1"/>
  <c r="D305" i="1"/>
  <c r="C306" i="1"/>
  <c r="D306" i="1"/>
  <c r="C307" i="1"/>
  <c r="D307" i="1"/>
  <c r="C308" i="1"/>
  <c r="D308" i="1"/>
  <c r="C309" i="1"/>
  <c r="D309" i="1"/>
  <c r="C310" i="1"/>
  <c r="D310" i="1"/>
  <c r="C311" i="1"/>
  <c r="D311" i="1"/>
  <c r="C312" i="1"/>
  <c r="D312" i="1"/>
  <c r="C313" i="1"/>
  <c r="D313" i="1"/>
  <c r="C314" i="1"/>
  <c r="D314" i="1"/>
  <c r="C315" i="1"/>
  <c r="D315" i="1"/>
  <c r="C316" i="1"/>
  <c r="D316" i="1"/>
  <c r="C317" i="1"/>
  <c r="D317" i="1"/>
  <c r="C318" i="1"/>
  <c r="D318" i="1"/>
  <c r="C319" i="1"/>
  <c r="D319" i="1"/>
  <c r="C320" i="1"/>
  <c r="D320" i="1"/>
  <c r="C321" i="1"/>
  <c r="D321" i="1"/>
  <c r="C322" i="1"/>
  <c r="D322" i="1"/>
  <c r="C323" i="1"/>
  <c r="D323" i="1"/>
  <c r="C324" i="1"/>
  <c r="D324" i="1"/>
  <c r="C325" i="1"/>
  <c r="D325" i="1"/>
  <c r="C326" i="1"/>
  <c r="D326" i="1"/>
  <c r="C327" i="1"/>
  <c r="D327" i="1"/>
  <c r="C328" i="1"/>
  <c r="D328" i="1"/>
  <c r="C329" i="1"/>
  <c r="D329" i="1"/>
  <c r="C330" i="1"/>
  <c r="D330" i="1"/>
  <c r="C331" i="1"/>
  <c r="D331" i="1"/>
  <c r="C332" i="1"/>
  <c r="D332" i="1"/>
  <c r="C333" i="1"/>
  <c r="D333" i="1"/>
  <c r="C334" i="1"/>
  <c r="D334" i="1"/>
  <c r="C335" i="1"/>
  <c r="D335" i="1"/>
  <c r="C336" i="1"/>
  <c r="D336" i="1"/>
  <c r="C337" i="1"/>
  <c r="D337" i="1"/>
  <c r="C338" i="1"/>
  <c r="D338" i="1"/>
  <c r="C339" i="1"/>
  <c r="D339" i="1"/>
  <c r="C340" i="1"/>
  <c r="D340" i="1"/>
  <c r="C341" i="1"/>
  <c r="D341" i="1"/>
  <c r="C342" i="1"/>
  <c r="D342" i="1"/>
  <c r="C343" i="1"/>
  <c r="D343" i="1"/>
  <c r="C344" i="1"/>
  <c r="D344" i="1"/>
  <c r="C345" i="1"/>
  <c r="D345" i="1"/>
  <c r="C346" i="1"/>
  <c r="D346" i="1"/>
  <c r="C347" i="1"/>
  <c r="D347" i="1"/>
  <c r="C348" i="1"/>
  <c r="D348" i="1"/>
  <c r="C349" i="1"/>
  <c r="D349" i="1"/>
  <c r="C350" i="1"/>
  <c r="D350" i="1"/>
  <c r="C351" i="1"/>
  <c r="D351" i="1"/>
  <c r="C352" i="1"/>
  <c r="D352" i="1"/>
  <c r="C353" i="1"/>
  <c r="D353" i="1"/>
  <c r="C354" i="1"/>
  <c r="D354" i="1"/>
  <c r="C355" i="1"/>
  <c r="D355" i="1"/>
  <c r="C356" i="1"/>
  <c r="D356" i="1"/>
  <c r="C357" i="1"/>
  <c r="D357" i="1"/>
  <c r="C358" i="1"/>
  <c r="D358" i="1"/>
  <c r="C359" i="1"/>
  <c r="D359" i="1"/>
  <c r="C360" i="1"/>
  <c r="D360" i="1"/>
  <c r="C361" i="1"/>
  <c r="D361" i="1"/>
  <c r="C362" i="1"/>
  <c r="D362" i="1"/>
  <c r="C363" i="1"/>
  <c r="D363" i="1"/>
  <c r="C364" i="1"/>
  <c r="D364" i="1"/>
  <c r="C365" i="1"/>
  <c r="D365" i="1"/>
  <c r="C366" i="1"/>
  <c r="D366" i="1"/>
  <c r="C367" i="1"/>
  <c r="D367" i="1"/>
  <c r="C368" i="1"/>
  <c r="D368" i="1"/>
  <c r="C369" i="1"/>
  <c r="D369" i="1"/>
  <c r="C370" i="1"/>
  <c r="D370" i="1"/>
  <c r="C371" i="1"/>
  <c r="D371" i="1"/>
  <c r="C372" i="1"/>
  <c r="D372" i="1"/>
  <c r="C373" i="1"/>
  <c r="D373" i="1"/>
  <c r="C374" i="1"/>
  <c r="D374" i="1"/>
  <c r="C375" i="1"/>
  <c r="D375" i="1"/>
  <c r="C376" i="1"/>
  <c r="D376" i="1"/>
  <c r="C377" i="1"/>
  <c r="D377" i="1"/>
  <c r="C378" i="1"/>
  <c r="D378" i="1"/>
  <c r="C379" i="1"/>
  <c r="D379" i="1"/>
  <c r="C380" i="1"/>
  <c r="D380" i="1"/>
  <c r="C381" i="1"/>
  <c r="D381" i="1"/>
  <c r="C382" i="1"/>
  <c r="D382" i="1"/>
  <c r="C383" i="1"/>
  <c r="D383" i="1"/>
  <c r="C384" i="1"/>
  <c r="D384" i="1"/>
  <c r="C385" i="1"/>
  <c r="D385" i="1"/>
  <c r="C386" i="1"/>
  <c r="D386" i="1"/>
  <c r="C387" i="1"/>
  <c r="D387" i="1"/>
  <c r="C388" i="1"/>
  <c r="D388" i="1"/>
  <c r="C389" i="1"/>
  <c r="D389" i="1"/>
  <c r="C390" i="1"/>
  <c r="D390" i="1"/>
  <c r="C391" i="1"/>
  <c r="D391" i="1"/>
  <c r="C392" i="1"/>
  <c r="D392" i="1"/>
  <c r="C393" i="1"/>
  <c r="D393" i="1"/>
  <c r="C394" i="1"/>
  <c r="D394" i="1"/>
  <c r="C395" i="1"/>
  <c r="D395" i="1"/>
  <c r="C396" i="1"/>
  <c r="D396" i="1"/>
  <c r="C397" i="1"/>
  <c r="D397" i="1"/>
  <c r="C398" i="1"/>
  <c r="D398" i="1"/>
  <c r="C399" i="1"/>
  <c r="D399" i="1"/>
  <c r="C400" i="1"/>
  <c r="D400" i="1"/>
  <c r="C401" i="1"/>
  <c r="D401" i="1"/>
  <c r="C402" i="1"/>
  <c r="D402" i="1"/>
  <c r="C403" i="1"/>
  <c r="D403" i="1"/>
  <c r="C404" i="1"/>
  <c r="D404" i="1"/>
  <c r="C405" i="1"/>
  <c r="D405" i="1"/>
  <c r="C406" i="1"/>
  <c r="D406" i="1"/>
  <c r="C407" i="1"/>
  <c r="D407" i="1"/>
  <c r="C408" i="1"/>
  <c r="D408" i="1"/>
  <c r="C409" i="1"/>
  <c r="D409" i="1"/>
  <c r="C410" i="1"/>
  <c r="D410" i="1"/>
  <c r="C411" i="1"/>
  <c r="D411" i="1"/>
  <c r="C412" i="1"/>
  <c r="D412" i="1"/>
  <c r="C413" i="1"/>
  <c r="D413" i="1"/>
  <c r="C414" i="1"/>
  <c r="D414" i="1"/>
  <c r="C415" i="1"/>
  <c r="D415" i="1"/>
  <c r="C416" i="1"/>
  <c r="D416" i="1"/>
  <c r="C417" i="1"/>
  <c r="D417" i="1"/>
  <c r="C418" i="1"/>
  <c r="D418" i="1"/>
  <c r="C419" i="1"/>
  <c r="D419" i="1"/>
  <c r="C420" i="1"/>
  <c r="D420" i="1"/>
  <c r="C421" i="1"/>
  <c r="D421" i="1"/>
  <c r="C422" i="1"/>
  <c r="D422" i="1"/>
  <c r="C423" i="1"/>
  <c r="D423" i="1"/>
  <c r="C424" i="1"/>
  <c r="D424" i="1"/>
  <c r="C425" i="1"/>
  <c r="D425" i="1"/>
  <c r="C426" i="1"/>
  <c r="D426" i="1"/>
  <c r="C427" i="1"/>
  <c r="D427" i="1"/>
  <c r="C428" i="1"/>
  <c r="D428" i="1"/>
  <c r="C429" i="1"/>
  <c r="D429" i="1"/>
  <c r="C430" i="1"/>
  <c r="D430" i="1"/>
  <c r="C431" i="1"/>
  <c r="D431" i="1"/>
  <c r="C432" i="1"/>
  <c r="D432" i="1"/>
  <c r="C433" i="1"/>
  <c r="D433" i="1"/>
  <c r="C434" i="1"/>
  <c r="D434" i="1"/>
  <c r="C435" i="1"/>
  <c r="D435" i="1"/>
  <c r="C436" i="1"/>
  <c r="D436" i="1"/>
  <c r="C437" i="1"/>
  <c r="D437" i="1"/>
  <c r="C438" i="1"/>
  <c r="D438" i="1"/>
  <c r="C439" i="1"/>
  <c r="D439" i="1"/>
  <c r="C440" i="1"/>
  <c r="D440" i="1"/>
  <c r="C441" i="1"/>
  <c r="D441" i="1"/>
  <c r="C442" i="1"/>
  <c r="D442" i="1"/>
  <c r="C443" i="1"/>
  <c r="D443" i="1"/>
  <c r="C444" i="1"/>
  <c r="D444" i="1"/>
  <c r="C445" i="1"/>
  <c r="D445" i="1"/>
  <c r="C446" i="1"/>
  <c r="D446" i="1"/>
  <c r="C447" i="1"/>
  <c r="D447" i="1"/>
  <c r="C448" i="1"/>
  <c r="D448" i="1"/>
  <c r="C449" i="1"/>
  <c r="D449" i="1"/>
  <c r="C450" i="1"/>
  <c r="D450" i="1"/>
  <c r="C451" i="1"/>
  <c r="D451" i="1"/>
  <c r="C452" i="1"/>
  <c r="D452" i="1"/>
  <c r="C453" i="1"/>
  <c r="D453" i="1"/>
  <c r="C454" i="1"/>
  <c r="D454" i="1"/>
  <c r="C455" i="1"/>
  <c r="D455" i="1"/>
  <c r="C456" i="1"/>
  <c r="D456" i="1"/>
  <c r="C457" i="1"/>
  <c r="D457" i="1"/>
  <c r="C458" i="1"/>
  <c r="D458" i="1"/>
  <c r="C459" i="1"/>
  <c r="D459" i="1"/>
  <c r="C460" i="1"/>
  <c r="D460" i="1"/>
  <c r="C461" i="1"/>
  <c r="D461" i="1"/>
  <c r="C462" i="1"/>
  <c r="D462" i="1"/>
  <c r="C463" i="1"/>
  <c r="D463" i="1"/>
  <c r="C464" i="1"/>
  <c r="D464" i="1"/>
  <c r="C465" i="1"/>
  <c r="D465" i="1"/>
  <c r="C466" i="1"/>
  <c r="D466" i="1"/>
  <c r="C467" i="1"/>
  <c r="D467" i="1"/>
  <c r="C468" i="1"/>
  <c r="D468" i="1"/>
  <c r="C469" i="1"/>
  <c r="D469" i="1"/>
  <c r="C470" i="1"/>
  <c r="D470" i="1"/>
  <c r="C471" i="1"/>
  <c r="D471" i="1"/>
  <c r="C472" i="1"/>
  <c r="D472" i="1"/>
  <c r="C473" i="1"/>
  <c r="D473" i="1"/>
  <c r="C474" i="1"/>
  <c r="D474" i="1"/>
  <c r="C475" i="1"/>
  <c r="D475" i="1"/>
  <c r="C476" i="1"/>
  <c r="D476" i="1"/>
  <c r="C477" i="1"/>
  <c r="D477" i="1"/>
  <c r="C478" i="1"/>
  <c r="D478" i="1"/>
  <c r="C479" i="1"/>
  <c r="D479" i="1"/>
  <c r="C480" i="1"/>
  <c r="D480" i="1"/>
  <c r="C481" i="1"/>
  <c r="D481" i="1"/>
  <c r="C482" i="1"/>
  <c r="D482" i="1"/>
  <c r="C483" i="1"/>
  <c r="D483" i="1"/>
  <c r="C484" i="1"/>
  <c r="D484" i="1"/>
  <c r="C485" i="1"/>
  <c r="D485" i="1"/>
  <c r="C486" i="1"/>
  <c r="D486" i="1"/>
  <c r="C487" i="1"/>
  <c r="D487" i="1"/>
  <c r="C488" i="1"/>
  <c r="D488" i="1"/>
  <c r="C489" i="1"/>
  <c r="D489" i="1"/>
  <c r="C490" i="1"/>
  <c r="D490" i="1"/>
  <c r="C491" i="1"/>
  <c r="D491" i="1"/>
  <c r="C492" i="1"/>
  <c r="D492" i="1"/>
  <c r="C493" i="1"/>
  <c r="D493" i="1"/>
  <c r="C494" i="1"/>
  <c r="D494" i="1"/>
  <c r="C495" i="1"/>
  <c r="D495" i="1"/>
  <c r="C496" i="1"/>
  <c r="D496" i="1"/>
  <c r="C497" i="1"/>
  <c r="D497" i="1"/>
  <c r="C498" i="1"/>
  <c r="D498" i="1"/>
  <c r="C499" i="1"/>
  <c r="D499" i="1"/>
  <c r="C500" i="1"/>
  <c r="D500" i="1"/>
  <c r="C501" i="1"/>
  <c r="D501" i="1"/>
  <c r="C502" i="1"/>
  <c r="D502" i="1"/>
  <c r="C503" i="1"/>
  <c r="D503" i="1"/>
  <c r="C504" i="1"/>
  <c r="D504" i="1"/>
  <c r="C505" i="1"/>
  <c r="D505" i="1"/>
  <c r="C506" i="1"/>
  <c r="D506" i="1"/>
  <c r="C507" i="1"/>
  <c r="D507" i="1"/>
  <c r="C508" i="1"/>
  <c r="D508" i="1"/>
  <c r="C509" i="1"/>
  <c r="D509" i="1"/>
  <c r="C510" i="1"/>
  <c r="D510" i="1"/>
  <c r="C511" i="1"/>
  <c r="D511" i="1"/>
  <c r="C512" i="1"/>
  <c r="D512" i="1"/>
  <c r="C513" i="1"/>
  <c r="D513" i="1"/>
  <c r="C514" i="1"/>
  <c r="D514" i="1"/>
  <c r="C515" i="1"/>
  <c r="D515" i="1"/>
  <c r="C516" i="1"/>
  <c r="D516" i="1"/>
  <c r="C517" i="1"/>
  <c r="D517" i="1"/>
  <c r="C518" i="1"/>
  <c r="D518" i="1"/>
  <c r="C519" i="1"/>
  <c r="D519" i="1"/>
  <c r="C520" i="1"/>
  <c r="D520" i="1"/>
  <c r="C521" i="1"/>
  <c r="D521" i="1"/>
  <c r="C522" i="1"/>
  <c r="D522" i="1"/>
  <c r="C523" i="1"/>
  <c r="D523" i="1"/>
  <c r="C524" i="1"/>
  <c r="D524" i="1"/>
  <c r="C525" i="1"/>
  <c r="D525" i="1"/>
  <c r="C526" i="1"/>
  <c r="D526" i="1"/>
  <c r="C527" i="1"/>
  <c r="D527" i="1"/>
  <c r="C528" i="1"/>
  <c r="D528" i="1"/>
  <c r="C529" i="1"/>
  <c r="D529" i="1"/>
  <c r="C530" i="1"/>
  <c r="D530" i="1"/>
  <c r="E4" i="3"/>
  <c r="E5" i="3"/>
  <c r="E6" i="3"/>
  <c r="L12" i="1"/>
  <c r="L13" i="1" s="1"/>
  <c r="L14" i="1" s="1"/>
  <c r="L15" i="1" s="1"/>
  <c r="L16" i="1" s="1"/>
  <c r="L17" i="1" s="1"/>
  <c r="L18" i="1" s="1"/>
  <c r="L19" i="1" s="1"/>
  <c r="L20" i="1" s="1"/>
  <c r="L21" i="1" s="1"/>
  <c r="L22" i="1" s="1"/>
  <c r="L23" i="1" s="1"/>
  <c r="L24" i="1" s="1"/>
  <c r="L25" i="1" s="1"/>
  <c r="L26" i="1" s="1"/>
  <c r="L27" i="1" s="1"/>
  <c r="L28" i="1" s="1"/>
  <c r="L29" i="1" s="1"/>
  <c r="L30" i="1" s="1"/>
  <c r="L31" i="1" s="1"/>
  <c r="L32" i="1" s="1"/>
  <c r="L33" i="1" s="1"/>
  <c r="L34" i="1" s="1"/>
  <c r="L35" i="1" s="1"/>
  <c r="L36" i="1" s="1"/>
  <c r="L37" i="1" s="1"/>
  <c r="L38" i="1" s="1"/>
  <c r="L39" i="1" s="1"/>
  <c r="L40" i="1" s="1"/>
  <c r="L41" i="1" s="1"/>
  <c r="L42" i="1" s="1"/>
  <c r="L43" i="1" s="1"/>
  <c r="L44" i="1" s="1"/>
  <c r="L45" i="1" s="1"/>
  <c r="L46" i="1" s="1"/>
  <c r="L47" i="1" s="1"/>
  <c r="L48" i="1" s="1"/>
  <c r="L49" i="1" s="1"/>
  <c r="L50" i="1" s="1"/>
  <c r="L51" i="1" s="1"/>
  <c r="L52" i="1" s="1"/>
  <c r="L53" i="1" s="1"/>
  <c r="L54" i="1" s="1"/>
  <c r="L55" i="1" s="1"/>
  <c r="L56" i="1" s="1"/>
  <c r="L57" i="1" s="1"/>
  <c r="L58" i="1" s="1"/>
  <c r="L59" i="1" s="1"/>
  <c r="L60" i="1" s="1"/>
  <c r="L61" i="1" s="1"/>
  <c r="L62" i="1" s="1"/>
  <c r="L63" i="1" s="1"/>
  <c r="L64" i="1" s="1"/>
  <c r="L65" i="1" s="1"/>
  <c r="L66" i="1" s="1"/>
  <c r="L67" i="1" s="1"/>
  <c r="L68" i="1" s="1"/>
  <c r="L69" i="1" s="1"/>
  <c r="L70" i="1" s="1"/>
  <c r="L71" i="1" s="1"/>
  <c r="L72" i="1" s="1"/>
  <c r="L73" i="1" s="1"/>
  <c r="L74" i="1" s="1"/>
  <c r="L75" i="1" s="1"/>
  <c r="L76" i="1" s="1"/>
  <c r="L77" i="1" s="1"/>
  <c r="L78" i="1" s="1"/>
  <c r="L79" i="1" s="1"/>
  <c r="L80" i="1" s="1"/>
  <c r="L81" i="1" s="1"/>
  <c r="L82" i="1" s="1"/>
  <c r="L83" i="1" s="1"/>
  <c r="L84" i="1" s="1"/>
  <c r="L85" i="1" s="1"/>
  <c r="L86" i="1" s="1"/>
  <c r="L87" i="1" s="1"/>
  <c r="L88" i="1" s="1"/>
  <c r="L89" i="1" s="1"/>
  <c r="L90" i="1" s="1"/>
  <c r="L91" i="1" s="1"/>
  <c r="L92" i="1" s="1"/>
  <c r="L93" i="1" s="1"/>
  <c r="L94" i="1" s="1"/>
  <c r="L95" i="1" s="1"/>
  <c r="L96" i="1" s="1"/>
  <c r="L97" i="1" s="1"/>
  <c r="L98" i="1" s="1"/>
  <c r="L99" i="1" s="1"/>
  <c r="L100" i="1" s="1"/>
  <c r="L101" i="1" s="1"/>
  <c r="L102" i="1" s="1"/>
  <c r="L103" i="1" s="1"/>
  <c r="L104" i="1" s="1"/>
  <c r="L105" i="1" s="1"/>
  <c r="L106" i="1" s="1"/>
  <c r="L107" i="1" s="1"/>
  <c r="L108" i="1" s="1"/>
  <c r="L109" i="1" s="1"/>
  <c r="L110" i="1" s="1"/>
  <c r="L111" i="1" s="1"/>
  <c r="L112" i="1" s="1"/>
  <c r="L113" i="1" s="1"/>
  <c r="L114" i="1" s="1"/>
  <c r="L115" i="1" s="1"/>
  <c r="L116" i="1" s="1"/>
  <c r="L117" i="1" s="1"/>
  <c r="L118" i="1" s="1"/>
  <c r="L119" i="1" s="1"/>
  <c r="L120" i="1" s="1"/>
  <c r="L121" i="1" s="1"/>
  <c r="L122" i="1" s="1"/>
  <c r="L123" i="1" s="1"/>
  <c r="L124" i="1" s="1"/>
  <c r="L125" i="1" s="1"/>
  <c r="L126" i="1" s="1"/>
  <c r="L127" i="1" s="1"/>
  <c r="L128" i="1" s="1"/>
  <c r="L129" i="1" s="1"/>
  <c r="L130" i="1" s="1"/>
  <c r="L131" i="1" s="1"/>
  <c r="L132" i="1" s="1"/>
  <c r="L133" i="1" s="1"/>
  <c r="L134" i="1" s="1"/>
  <c r="L135" i="1" s="1"/>
  <c r="L136" i="1" s="1"/>
  <c r="L137" i="1" s="1"/>
  <c r="L138" i="1" s="1"/>
  <c r="L139" i="1" s="1"/>
  <c r="L140" i="1" s="1"/>
  <c r="L141" i="1" s="1"/>
  <c r="L142" i="1" s="1"/>
  <c r="L143" i="1" s="1"/>
  <c r="L144" i="1" s="1"/>
  <c r="L145" i="1" s="1"/>
  <c r="L146" i="1" s="1"/>
  <c r="L147" i="1" s="1"/>
  <c r="L148" i="1" s="1"/>
  <c r="L149" i="1" s="1"/>
  <c r="L150" i="1" s="1"/>
  <c r="L151" i="1" s="1"/>
  <c r="L152" i="1" s="1"/>
  <c r="L153" i="1" s="1"/>
  <c r="L154" i="1" s="1"/>
  <c r="L155" i="1" s="1"/>
  <c r="L156" i="1" s="1"/>
  <c r="L157" i="1" s="1"/>
  <c r="L158" i="1" s="1"/>
  <c r="L159" i="1" s="1"/>
  <c r="L160" i="1" s="1"/>
  <c r="L161" i="1" s="1"/>
  <c r="L162" i="1" s="1"/>
  <c r="L163" i="1" s="1"/>
  <c r="L164" i="1" s="1"/>
  <c r="L165" i="1" s="1"/>
  <c r="L166" i="1" s="1"/>
  <c r="L167" i="1" s="1"/>
  <c r="L168" i="1" s="1"/>
  <c r="L169" i="1" s="1"/>
  <c r="L170" i="1" s="1"/>
  <c r="L171" i="1" s="1"/>
  <c r="L172" i="1" s="1"/>
  <c r="L173" i="1" s="1"/>
  <c r="L174" i="1" s="1"/>
  <c r="L175" i="1" s="1"/>
  <c r="L176" i="1" s="1"/>
  <c r="L177" i="1" s="1"/>
  <c r="L178" i="1" s="1"/>
  <c r="L179" i="1" s="1"/>
  <c r="L180" i="1" s="1"/>
  <c r="L181" i="1" s="1"/>
  <c r="L182" i="1" s="1"/>
  <c r="L183" i="1" s="1"/>
  <c r="L184" i="1" s="1"/>
  <c r="L185" i="1" s="1"/>
  <c r="L186" i="1" s="1"/>
  <c r="L187" i="1" s="1"/>
  <c r="L188" i="1" s="1"/>
  <c r="L189" i="1" s="1"/>
  <c r="L190" i="1" s="1"/>
  <c r="L191" i="1" s="1"/>
  <c r="L192" i="1" s="1"/>
  <c r="L193" i="1" s="1"/>
  <c r="L194" i="1" s="1"/>
  <c r="L195" i="1" s="1"/>
  <c r="L196" i="1" s="1"/>
  <c r="L197" i="1" s="1"/>
  <c r="L198" i="1" s="1"/>
  <c r="L199" i="1" s="1"/>
  <c r="L200" i="1" s="1"/>
  <c r="L201" i="1" s="1"/>
  <c r="L202" i="1" s="1"/>
  <c r="L203" i="1" s="1"/>
  <c r="L204" i="1" s="1"/>
  <c r="L205" i="1" s="1"/>
  <c r="L206" i="1" s="1"/>
  <c r="L207" i="1" s="1"/>
  <c r="L208" i="1" s="1"/>
  <c r="L209" i="1" s="1"/>
  <c r="L210" i="1" s="1"/>
  <c r="L211" i="1" s="1"/>
  <c r="L212" i="1" s="1"/>
  <c r="L213" i="1" s="1"/>
  <c r="L214" i="1" s="1"/>
  <c r="L215" i="1" s="1"/>
  <c r="L216" i="1" s="1"/>
  <c r="L217" i="1" s="1"/>
  <c r="L218" i="1" s="1"/>
  <c r="L219" i="1" s="1"/>
  <c r="L220" i="1" s="1"/>
  <c r="L221" i="1" s="1"/>
  <c r="L222" i="1" s="1"/>
  <c r="L223" i="1" s="1"/>
  <c r="L224" i="1" s="1"/>
  <c r="L225" i="1" s="1"/>
  <c r="L226" i="1" s="1"/>
  <c r="L227" i="1" s="1"/>
  <c r="L228" i="1" s="1"/>
  <c r="L229" i="1" s="1"/>
  <c r="L230" i="1" s="1"/>
  <c r="L231" i="1" s="1"/>
  <c r="L232" i="1" s="1"/>
  <c r="L233" i="1" s="1"/>
  <c r="L234" i="1" s="1"/>
  <c r="L235" i="1" s="1"/>
  <c r="L236" i="1" s="1"/>
  <c r="L237" i="1" s="1"/>
  <c r="L238" i="1" s="1"/>
  <c r="L239" i="1" s="1"/>
  <c r="L240" i="1" s="1"/>
  <c r="L241" i="1" s="1"/>
  <c r="L242" i="1" s="1"/>
  <c r="L243" i="1" s="1"/>
  <c r="L244" i="1" s="1"/>
  <c r="L245" i="1" s="1"/>
  <c r="L246" i="1" s="1"/>
  <c r="L247" i="1" s="1"/>
  <c r="L248" i="1" s="1"/>
  <c r="L249" i="1" s="1"/>
  <c r="L250" i="1" s="1"/>
  <c r="L251" i="1" s="1"/>
  <c r="L252" i="1" s="1"/>
  <c r="L253" i="1" s="1"/>
  <c r="L254" i="1" s="1"/>
  <c r="L255" i="1" s="1"/>
  <c r="L256" i="1" s="1"/>
  <c r="L257" i="1" s="1"/>
  <c r="L258" i="1" s="1"/>
  <c r="L259" i="1" s="1"/>
  <c r="L260" i="1" s="1"/>
  <c r="L261" i="1" s="1"/>
  <c r="L262" i="1" s="1"/>
  <c r="L263" i="1" s="1"/>
  <c r="L264" i="1" s="1"/>
  <c r="L265" i="1" s="1"/>
  <c r="L266" i="1" s="1"/>
  <c r="L267" i="1" s="1"/>
  <c r="L268" i="1" s="1"/>
  <c r="L269" i="1" s="1"/>
  <c r="L270" i="1" s="1"/>
  <c r="L271" i="1" s="1"/>
  <c r="L272" i="1" s="1"/>
  <c r="L273" i="1" s="1"/>
  <c r="L274" i="1" s="1"/>
  <c r="L275" i="1" s="1"/>
  <c r="L276" i="1" s="1"/>
  <c r="L277" i="1" s="1"/>
  <c r="L278" i="1" s="1"/>
  <c r="L279" i="1" s="1"/>
  <c r="L280" i="1" s="1"/>
  <c r="L281" i="1" s="1"/>
  <c r="L282" i="1" s="1"/>
  <c r="L283" i="1" s="1"/>
  <c r="L284" i="1" s="1"/>
  <c r="L285" i="1" s="1"/>
  <c r="L286" i="1" s="1"/>
  <c r="L287" i="1" s="1"/>
  <c r="L288" i="1" s="1"/>
  <c r="L289" i="1" s="1"/>
  <c r="L290" i="1" s="1"/>
  <c r="L291" i="1" s="1"/>
  <c r="L292" i="1" s="1"/>
  <c r="L293" i="1" s="1"/>
  <c r="L294" i="1" s="1"/>
  <c r="L295" i="1" s="1"/>
  <c r="L296" i="1" s="1"/>
  <c r="L297" i="1" s="1"/>
  <c r="L298" i="1" s="1"/>
  <c r="L299" i="1" s="1"/>
  <c r="L300" i="1" s="1"/>
  <c r="L301" i="1" s="1"/>
  <c r="L302" i="1" s="1"/>
  <c r="L303" i="1" s="1"/>
  <c r="L304" i="1" s="1"/>
  <c r="L305" i="1" s="1"/>
  <c r="L306" i="1" s="1"/>
  <c r="L307" i="1" s="1"/>
  <c r="L308" i="1" s="1"/>
  <c r="L309" i="1" s="1"/>
  <c r="L310" i="1" s="1"/>
  <c r="L311" i="1" s="1"/>
  <c r="L312" i="1" s="1"/>
  <c r="L313" i="1" s="1"/>
  <c r="L314" i="1" s="1"/>
  <c r="L315" i="1" s="1"/>
  <c r="L316" i="1" s="1"/>
  <c r="L317" i="1" s="1"/>
  <c r="L318" i="1" s="1"/>
  <c r="L319" i="1" s="1"/>
  <c r="L320" i="1" s="1"/>
  <c r="L321" i="1" s="1"/>
  <c r="L322" i="1" s="1"/>
  <c r="L323" i="1" s="1"/>
  <c r="L324" i="1" s="1"/>
  <c r="L325" i="1" s="1"/>
  <c r="L326" i="1" s="1"/>
  <c r="L327" i="1" s="1"/>
  <c r="L328" i="1" s="1"/>
  <c r="L329" i="1" s="1"/>
  <c r="L330" i="1" s="1"/>
  <c r="L331" i="1" s="1"/>
  <c r="L332" i="1" s="1"/>
  <c r="L333" i="1" s="1"/>
  <c r="L334" i="1" s="1"/>
  <c r="L335" i="1" s="1"/>
  <c r="L336" i="1" s="1"/>
  <c r="L337" i="1" s="1"/>
  <c r="L338" i="1" s="1"/>
  <c r="L339" i="1" s="1"/>
  <c r="L340" i="1" s="1"/>
  <c r="L341" i="1" s="1"/>
  <c r="L342" i="1" s="1"/>
  <c r="L343" i="1" s="1"/>
  <c r="L344" i="1" s="1"/>
  <c r="L345" i="1" s="1"/>
  <c r="L346" i="1" s="1"/>
  <c r="L347" i="1" s="1"/>
  <c r="L348" i="1" s="1"/>
  <c r="L349" i="1" s="1"/>
  <c r="L350" i="1" s="1"/>
  <c r="L351" i="1" s="1"/>
  <c r="L352" i="1" s="1"/>
  <c r="L353" i="1" s="1"/>
  <c r="L354" i="1" s="1"/>
  <c r="L355" i="1" s="1"/>
  <c r="L356" i="1" s="1"/>
  <c r="L357" i="1" s="1"/>
  <c r="L358" i="1" s="1"/>
  <c r="L359" i="1" s="1"/>
  <c r="L360" i="1" s="1"/>
  <c r="L361" i="1" s="1"/>
  <c r="L362" i="1" s="1"/>
  <c r="L363" i="1" s="1"/>
  <c r="L364" i="1" s="1"/>
  <c r="L365" i="1" s="1"/>
  <c r="L366" i="1" s="1"/>
  <c r="L367" i="1" s="1"/>
  <c r="L368" i="1" s="1"/>
  <c r="L369" i="1" s="1"/>
  <c r="L370" i="1" s="1"/>
  <c r="L371" i="1" s="1"/>
  <c r="L372" i="1" s="1"/>
  <c r="L373" i="1" s="1"/>
  <c r="L374" i="1" s="1"/>
  <c r="L375" i="1" s="1"/>
  <c r="L376" i="1" s="1"/>
  <c r="L377" i="1" s="1"/>
  <c r="L378" i="1" s="1"/>
  <c r="L379" i="1" s="1"/>
  <c r="L380" i="1" s="1"/>
  <c r="L381" i="1" s="1"/>
  <c r="L382" i="1" s="1"/>
  <c r="L383" i="1" s="1"/>
  <c r="L384" i="1" s="1"/>
  <c r="L385" i="1" s="1"/>
  <c r="L386" i="1" s="1"/>
  <c r="L387" i="1" s="1"/>
  <c r="L388" i="1" s="1"/>
  <c r="L389" i="1" s="1"/>
  <c r="L390" i="1" s="1"/>
  <c r="L391" i="1" s="1"/>
  <c r="L392" i="1" s="1"/>
  <c r="L393" i="1" s="1"/>
  <c r="L394" i="1" s="1"/>
  <c r="L395" i="1" s="1"/>
  <c r="L396" i="1" s="1"/>
  <c r="L397" i="1" s="1"/>
  <c r="L398" i="1" s="1"/>
  <c r="L399" i="1" s="1"/>
  <c r="L400" i="1" s="1"/>
  <c r="L401" i="1" s="1"/>
  <c r="L402" i="1" s="1"/>
  <c r="L403" i="1" s="1"/>
  <c r="L404" i="1" s="1"/>
  <c r="L405" i="1" s="1"/>
  <c r="L406" i="1" s="1"/>
  <c r="L407" i="1" s="1"/>
  <c r="L408" i="1" s="1"/>
  <c r="L409" i="1" s="1"/>
  <c r="L410" i="1" s="1"/>
  <c r="L411" i="1" s="1"/>
  <c r="L412" i="1" s="1"/>
  <c r="L413" i="1" s="1"/>
  <c r="L414" i="1" s="1"/>
  <c r="L415" i="1" s="1"/>
  <c r="L416" i="1" s="1"/>
  <c r="L417" i="1" s="1"/>
  <c r="L418" i="1" s="1"/>
  <c r="L419" i="1" s="1"/>
  <c r="L420" i="1" s="1"/>
  <c r="L421" i="1" s="1"/>
  <c r="L422" i="1" s="1"/>
  <c r="L423" i="1" s="1"/>
  <c r="L424" i="1" s="1"/>
  <c r="L425" i="1" s="1"/>
  <c r="L426" i="1" s="1"/>
  <c r="L427" i="1" s="1"/>
  <c r="L428" i="1" s="1"/>
  <c r="L429" i="1" s="1"/>
  <c r="L430" i="1" s="1"/>
  <c r="L431" i="1" s="1"/>
  <c r="L432" i="1" s="1"/>
  <c r="L433" i="1" s="1"/>
  <c r="L434" i="1" s="1"/>
  <c r="L435" i="1" s="1"/>
  <c r="L436" i="1" s="1"/>
  <c r="L437" i="1" s="1"/>
  <c r="L438" i="1" s="1"/>
  <c r="L439" i="1" s="1"/>
  <c r="L440" i="1" s="1"/>
  <c r="L441" i="1" s="1"/>
  <c r="L442" i="1" s="1"/>
  <c r="L443" i="1" s="1"/>
  <c r="L444" i="1" s="1"/>
  <c r="L445" i="1" s="1"/>
  <c r="L446" i="1" s="1"/>
  <c r="L447" i="1" s="1"/>
  <c r="L448" i="1" s="1"/>
  <c r="L449" i="1" s="1"/>
  <c r="L450" i="1" s="1"/>
  <c r="L451" i="1" s="1"/>
  <c r="L452" i="1" s="1"/>
  <c r="L453" i="1" s="1"/>
  <c r="L454" i="1" s="1"/>
  <c r="L455" i="1" s="1"/>
  <c r="L456" i="1" s="1"/>
  <c r="L457" i="1" s="1"/>
  <c r="L458" i="1" s="1"/>
  <c r="L459" i="1" s="1"/>
  <c r="L460" i="1" s="1"/>
  <c r="L461" i="1" s="1"/>
  <c r="L462" i="1" s="1"/>
  <c r="L463" i="1" s="1"/>
  <c r="L464" i="1" s="1"/>
  <c r="L465" i="1" s="1"/>
  <c r="L466" i="1" s="1"/>
  <c r="L467" i="1" s="1"/>
  <c r="L468" i="1" s="1"/>
  <c r="L469" i="1" s="1"/>
  <c r="L470" i="1" s="1"/>
  <c r="L471" i="1" s="1"/>
  <c r="L472" i="1" s="1"/>
  <c r="L473" i="1" s="1"/>
  <c r="L474" i="1" s="1"/>
  <c r="L475" i="1" s="1"/>
  <c r="L476" i="1" s="1"/>
  <c r="L477" i="1" s="1"/>
  <c r="L478" i="1" s="1"/>
  <c r="L479" i="1" s="1"/>
  <c r="L480" i="1" s="1"/>
  <c r="L481" i="1" s="1"/>
  <c r="L482" i="1" s="1"/>
  <c r="L483" i="1" s="1"/>
  <c r="L484" i="1" s="1"/>
  <c r="L485" i="1" s="1"/>
  <c r="L486" i="1" s="1"/>
  <c r="L487" i="1" s="1"/>
  <c r="L488" i="1" s="1"/>
  <c r="L489" i="1" s="1"/>
  <c r="L490" i="1" s="1"/>
  <c r="L491" i="1" s="1"/>
  <c r="L492" i="1" s="1"/>
  <c r="L493" i="1" s="1"/>
  <c r="L494" i="1" s="1"/>
  <c r="L495" i="1" s="1"/>
  <c r="L496" i="1" s="1"/>
  <c r="L497" i="1" s="1"/>
  <c r="L498" i="1" s="1"/>
  <c r="L499" i="1" s="1"/>
  <c r="L500" i="1" s="1"/>
  <c r="L501" i="1" s="1"/>
  <c r="L502" i="1" s="1"/>
  <c r="L503" i="1" s="1"/>
  <c r="L504" i="1" s="1"/>
  <c r="L505" i="1" s="1"/>
  <c r="L506" i="1" s="1"/>
  <c r="L507" i="1" s="1"/>
  <c r="L508" i="1" s="1"/>
  <c r="L509" i="1" s="1"/>
  <c r="L510" i="1" s="1"/>
  <c r="L511" i="1" s="1"/>
  <c r="L512" i="1" s="1"/>
  <c r="L513" i="1" s="1"/>
  <c r="L514" i="1" s="1"/>
  <c r="L515" i="1" s="1"/>
  <c r="L516" i="1" s="1"/>
  <c r="L517" i="1" s="1"/>
  <c r="L518" i="1" s="1"/>
  <c r="L519" i="1" s="1"/>
  <c r="L520" i="1" s="1"/>
  <c r="L521" i="1" s="1"/>
  <c r="L522" i="1" s="1"/>
  <c r="L523" i="1" s="1"/>
  <c r="L524" i="1" s="1"/>
  <c r="L525" i="1" s="1"/>
  <c r="L526" i="1" s="1"/>
  <c r="L527" i="1" s="1"/>
  <c r="L528" i="1" s="1"/>
  <c r="L529" i="1" s="1"/>
  <c r="L530" i="1" s="1"/>
  <c r="I11" i="1" l="1"/>
  <c r="F11" i="1"/>
  <c r="I532" i="1"/>
  <c r="J532" i="1"/>
  <c r="H532" i="1"/>
  <c r="G532" i="1"/>
  <c r="F532" i="1"/>
  <c r="E532" i="1"/>
  <c r="K532" i="1"/>
  <c r="D6" i="3"/>
  <c r="D5" i="3"/>
  <c r="D4" i="3"/>
</calcChain>
</file>

<file path=xl/sharedStrings.xml><?xml version="1.0" encoding="utf-8"?>
<sst xmlns="http://schemas.openxmlformats.org/spreadsheetml/2006/main" count="6427" uniqueCount="5277">
  <si>
    <t>Total</t>
  </si>
  <si>
    <t>Trial Balance</t>
  </si>
  <si>
    <t>Account</t>
  </si>
  <si>
    <t>Description</t>
  </si>
  <si>
    <t>Hide</t>
  </si>
  <si>
    <t>Year</t>
  </si>
  <si>
    <t>Year:</t>
  </si>
  <si>
    <t>Run Date:</t>
  </si>
  <si>
    <t>Option</t>
  </si>
  <si>
    <t>Title</t>
  </si>
  <si>
    <t>Value</t>
  </si>
  <si>
    <t>Lookup</t>
  </si>
  <si>
    <t>Start Period</t>
  </si>
  <si>
    <t>End Period</t>
  </si>
  <si>
    <t>Start Period:</t>
  </si>
  <si>
    <t>End Period:</t>
  </si>
  <si>
    <t>Fit</t>
  </si>
  <si>
    <t>Sales</t>
  </si>
  <si>
    <t xml:space="preserve">Report Readme </t>
  </si>
  <si>
    <t>About the report</t>
  </si>
  <si>
    <t>Modifying your report</t>
  </si>
  <si>
    <t>Version of Jet</t>
  </si>
  <si>
    <t>Services</t>
  </si>
  <si>
    <t>Training</t>
  </si>
  <si>
    <t>DISCLAIMER</t>
  </si>
  <si>
    <t>Copyrights</t>
  </si>
  <si>
    <t>=NL("Lookup","Jet Fiscal Period","Fiscal Year","Fiscal Year","&lt;&gt;''")</t>
  </si>
  <si>
    <t>=NL("Lookup","Jet Fiscal Period","Period ID","Period ID","&gt;0")</t>
  </si>
  <si>
    <t>=NL("Lookup","Jet Fiscal Period","Period ID","Period ID","&gt;="&amp;StartPeriod)</t>
  </si>
  <si>
    <t>=NP("Eval","=Year")</t>
  </si>
  <si>
    <t>=NP("Eval","=StartPeriod")</t>
  </si>
  <si>
    <t>=NP("Eval","=EndPeriod")</t>
  </si>
  <si>
    <t>=NP("Eval","Today()")</t>
  </si>
  <si>
    <t>=GL(,"Name",$C20)</t>
  </si>
  <si>
    <t>Fit+Auto</t>
  </si>
  <si>
    <t>Auto</t>
  </si>
  <si>
    <t>=GL(,"Name",$C21)</t>
  </si>
  <si>
    <t>=GL(,"Name",$C22)</t>
  </si>
  <si>
    <t>=GL(,"Name",$C23)</t>
  </si>
  <si>
    <t>=GL(,"Name",$C24)</t>
  </si>
  <si>
    <t>=GL(,"Name",$C25)</t>
  </si>
  <si>
    <t>=GL(,"Name",$C26)</t>
  </si>
  <si>
    <t>=GL(,"Name",$C27)</t>
  </si>
  <si>
    <t>=GL(,"Name",$C28)</t>
  </si>
  <si>
    <t>=GL(,"Name",$C29)</t>
  </si>
  <si>
    <t>=GL(,"Name",$C30)</t>
  </si>
  <si>
    <t>Report Options</t>
  </si>
  <si>
    <t>="2014"</t>
  </si>
  <si>
    <t>="000-1300-01"</t>
  </si>
  <si>
    <t>="000-1300-02"</t>
  </si>
  <si>
    <t>="000-2150-00"</t>
  </si>
  <si>
    <t>="000-2161-00"</t>
  </si>
  <si>
    <t>="000-2170-00"</t>
  </si>
  <si>
    <t>="000-2200-00"</t>
  </si>
  <si>
    <t>="000-5100-00"</t>
  </si>
  <si>
    <t>="100-5150-00"</t>
  </si>
  <si>
    <t>="100-5170-00"</t>
  </si>
  <si>
    <t>="200-5170-00"</t>
  </si>
  <si>
    <t>="6"</t>
  </si>
  <si>
    <t>="12"</t>
  </si>
  <si>
    <t>7</t>
  </si>
  <si>
    <t>8</t>
  </si>
  <si>
    <t>9</t>
  </si>
  <si>
    <t>10</t>
  </si>
  <si>
    <t>11</t>
  </si>
  <si>
    <t>12</t>
  </si>
  <si>
    <t>=L19+1</t>
  </si>
  <si>
    <t>=L20+1</t>
  </si>
  <si>
    <t>=L21+1</t>
  </si>
  <si>
    <t>=L22+1</t>
  </si>
  <si>
    <t>=L23+1</t>
  </si>
  <si>
    <t>=L24+1</t>
  </si>
  <si>
    <t>=L25+1</t>
  </si>
  <si>
    <t>=L26+1</t>
  </si>
  <si>
    <t>=L27+1</t>
  </si>
  <si>
    <t>=L28+1</t>
  </si>
  <si>
    <t>=L29+1</t>
  </si>
  <si>
    <t>=GL("Rows","Accounts")</t>
  </si>
  <si>
    <t>="000-1101-00"</t>
  </si>
  <si>
    <t>="000-1102-00"</t>
  </si>
  <si>
    <t>="000-1103-00"</t>
  </si>
  <si>
    <t>="000-1104-00"</t>
  </si>
  <si>
    <t>="000-1105-00"</t>
  </si>
  <si>
    <t>="000-1106-00"</t>
  </si>
  <si>
    <t>="000-1107-00"</t>
  </si>
  <si>
    <t>="000-1110-00"</t>
  </si>
  <si>
    <t>="000-1120-00"</t>
  </si>
  <si>
    <t>="000-1130-00"</t>
  </si>
  <si>
    <t>="000-1140-00"</t>
  </si>
  <si>
    <t>=GL(,"Name",$C31)</t>
  </si>
  <si>
    <t>=L30+1</t>
  </si>
  <si>
    <t>="000-1190-00"</t>
  </si>
  <si>
    <t>=GL(,"Name",$C32)</t>
  </si>
  <si>
    <t>=L31+1</t>
  </si>
  <si>
    <t>="000-1200-00"</t>
  </si>
  <si>
    <t>=GL(,"Name",$C33)</t>
  </si>
  <si>
    <t>=L32+1</t>
  </si>
  <si>
    <t>="000-1205-00"</t>
  </si>
  <si>
    <t>=GL(,"Name",$C34)</t>
  </si>
  <si>
    <t>=L33+1</t>
  </si>
  <si>
    <t>="000-1210-00"</t>
  </si>
  <si>
    <t>=GL(,"Name",$C35)</t>
  </si>
  <si>
    <t>=L34+1</t>
  </si>
  <si>
    <t>="000-1220-00"</t>
  </si>
  <si>
    <t>=GL(,"Name",$C36)</t>
  </si>
  <si>
    <t>=L35+1</t>
  </si>
  <si>
    <t>="000-1220-01"</t>
  </si>
  <si>
    <t>=GL(,"Name",$C37)</t>
  </si>
  <si>
    <t>=L36+1</t>
  </si>
  <si>
    <t>="000-1220-02"</t>
  </si>
  <si>
    <t>=GL(,"Name",$C38)</t>
  </si>
  <si>
    <t>=L37+1</t>
  </si>
  <si>
    <t>="000-1220-03"</t>
  </si>
  <si>
    <t>=GL(,"Name",$C39)</t>
  </si>
  <si>
    <t>=L38+1</t>
  </si>
  <si>
    <t>="000-1220-04"</t>
  </si>
  <si>
    <t>=GL(,"Name",$C40)</t>
  </si>
  <si>
    <t>=L39+1</t>
  </si>
  <si>
    <t>="000-1230-00"</t>
  </si>
  <si>
    <t>=GL(,"Name",$C41)</t>
  </si>
  <si>
    <t>=L40+1</t>
  </si>
  <si>
    <t>="000-1240-00"</t>
  </si>
  <si>
    <t>=GL(,"Name",$C42)</t>
  </si>
  <si>
    <t>=L41+1</t>
  </si>
  <si>
    <t>="000-1250-00"</t>
  </si>
  <si>
    <t>=GL(,"Name",$C43)</t>
  </si>
  <si>
    <t>=L42+1</t>
  </si>
  <si>
    <t>="000-1260-00"</t>
  </si>
  <si>
    <t>=GL(,"Name",$C44)</t>
  </si>
  <si>
    <t>=L43+1</t>
  </si>
  <si>
    <t>="000-1270-00"</t>
  </si>
  <si>
    <t>=GL(,"Name",$C45)</t>
  </si>
  <si>
    <t>=L44+1</t>
  </si>
  <si>
    <t>="000-1271-00"</t>
  </si>
  <si>
    <t>=GL(,"Name",$C46)</t>
  </si>
  <si>
    <t>=L45+1</t>
  </si>
  <si>
    <t>="000-1272-00"</t>
  </si>
  <si>
    <t>=GL(,"Name",$C47)</t>
  </si>
  <si>
    <t>=L46+1</t>
  </si>
  <si>
    <t>="000-1273-00"</t>
  </si>
  <si>
    <t>=GL(,"Name",$C48)</t>
  </si>
  <si>
    <t>=L47+1</t>
  </si>
  <si>
    <t>="000-1274-00"</t>
  </si>
  <si>
    <t>=GL(,"Name",$C49)</t>
  </si>
  <si>
    <t>=L48+1</t>
  </si>
  <si>
    <t>="000-1275-00"</t>
  </si>
  <si>
    <t>=GL(,"Name",$C50)</t>
  </si>
  <si>
    <t>=L49+1</t>
  </si>
  <si>
    <t>="000-1276-00"</t>
  </si>
  <si>
    <t>=GL(,"Name",$C51)</t>
  </si>
  <si>
    <t>=L50+1</t>
  </si>
  <si>
    <t>="000-1277-00"</t>
  </si>
  <si>
    <t>=GL(,"Name",$C52)</t>
  </si>
  <si>
    <t>=L51+1</t>
  </si>
  <si>
    <t>="000-1280-00"</t>
  </si>
  <si>
    <t>=GL(,"Name",$C53)</t>
  </si>
  <si>
    <t>=L52+1</t>
  </si>
  <si>
    <t>=GL(,"Name",$C54)</t>
  </si>
  <si>
    <t>=L53+1</t>
  </si>
  <si>
    <t>=GL(,"Name",$C55)</t>
  </si>
  <si>
    <t>=L54+1</t>
  </si>
  <si>
    <t>="000-1310-01"</t>
  </si>
  <si>
    <t>=GL(,"Name",$C56)</t>
  </si>
  <si>
    <t>=L55+1</t>
  </si>
  <si>
    <t>="000-1312-00"</t>
  </si>
  <si>
    <t>=GL(,"Name",$C57)</t>
  </si>
  <si>
    <t>=L56+1</t>
  </si>
  <si>
    <t>="000-1320-01"</t>
  </si>
  <si>
    <t>=GL(,"Name",$C58)</t>
  </si>
  <si>
    <t>=L57+1</t>
  </si>
  <si>
    <t>="000-1330-01"</t>
  </si>
  <si>
    <t>=GL(,"Name",$C59)</t>
  </si>
  <si>
    <t>=L58+1</t>
  </si>
  <si>
    <t>="000-1330-02"</t>
  </si>
  <si>
    <t>=GL(,"Name",$C60)</t>
  </si>
  <si>
    <t>=L59+1</t>
  </si>
  <si>
    <t>="000-1330-03"</t>
  </si>
  <si>
    <t>=GL(,"Name",$C61)</t>
  </si>
  <si>
    <t>=L60+1</t>
  </si>
  <si>
    <t>="000-1340-01"</t>
  </si>
  <si>
    <t>=GL(,"Name",$C62)</t>
  </si>
  <si>
    <t>=L61+1</t>
  </si>
  <si>
    <t>="000-1350-02"</t>
  </si>
  <si>
    <t>=GL(,"Name",$C63)</t>
  </si>
  <si>
    <t>=L62+1</t>
  </si>
  <si>
    <t>="000-1350-03"</t>
  </si>
  <si>
    <t>=GL(,"Name",$C64)</t>
  </si>
  <si>
    <t>=L63+1</t>
  </si>
  <si>
    <t>="000-1350-04"</t>
  </si>
  <si>
    <t>=GL(,"Name",$C65)</t>
  </si>
  <si>
    <t>=L64+1</t>
  </si>
  <si>
    <t>="000-1350-05"</t>
  </si>
  <si>
    <t>=GL(,"Name",$C66)</t>
  </si>
  <si>
    <t>=L65+1</t>
  </si>
  <si>
    <t>="000-1350-06"</t>
  </si>
  <si>
    <t>=GL(,"Name",$C67)</t>
  </si>
  <si>
    <t>=L66+1</t>
  </si>
  <si>
    <t>="000-1350-07"</t>
  </si>
  <si>
    <t>=GL(,"Name",$C68)</t>
  </si>
  <si>
    <t>=L67+1</t>
  </si>
  <si>
    <t>="000-1350-08"</t>
  </si>
  <si>
    <t>=GL(,"Name",$C69)</t>
  </si>
  <si>
    <t>=L68+1</t>
  </si>
  <si>
    <t>="000-1350-09"</t>
  </si>
  <si>
    <t>=GL(,"Name",$C70)</t>
  </si>
  <si>
    <t>=L69+1</t>
  </si>
  <si>
    <t>="000-1360-01"</t>
  </si>
  <si>
    <t>=GL(,"Name",$C71)</t>
  </si>
  <si>
    <t>=L70+1</t>
  </si>
  <si>
    <t>="000-1360-02"</t>
  </si>
  <si>
    <t>=GL(,"Name",$C72)</t>
  </si>
  <si>
    <t>=L71+1</t>
  </si>
  <si>
    <t>="000-1360-03"</t>
  </si>
  <si>
    <t>=GL(,"Name",$C73)</t>
  </si>
  <si>
    <t>=L72+1</t>
  </si>
  <si>
    <t>="000-1360-04"</t>
  </si>
  <si>
    <t>=GL(,"Name",$C74)</t>
  </si>
  <si>
    <t>=L73+1</t>
  </si>
  <si>
    <t>="000-1360-05"</t>
  </si>
  <si>
    <t>=GL(,"Name",$C75)</t>
  </si>
  <si>
    <t>=L74+1</t>
  </si>
  <si>
    <t>="000-1360-06"</t>
  </si>
  <si>
    <t>=GL(,"Name",$C76)</t>
  </si>
  <si>
    <t>=L75+1</t>
  </si>
  <si>
    <t>="000-1360-07"</t>
  </si>
  <si>
    <t>=GL(,"Name",$C77)</t>
  </si>
  <si>
    <t>=L76+1</t>
  </si>
  <si>
    <t>="000-1360-08"</t>
  </si>
  <si>
    <t>=GL(,"Name",$C78)</t>
  </si>
  <si>
    <t>=L77+1</t>
  </si>
  <si>
    <t>="000-1360-09"</t>
  </si>
  <si>
    <t>=GL(,"Name",$C79)</t>
  </si>
  <si>
    <t>=L78+1</t>
  </si>
  <si>
    <t>="000-1370-01"</t>
  </si>
  <si>
    <t>=GL(,"Name",$C80)</t>
  </si>
  <si>
    <t>=L79+1</t>
  </si>
  <si>
    <t>="000-1370-02"</t>
  </si>
  <si>
    <t>=GL(,"Name",$C81)</t>
  </si>
  <si>
    <t>=L80+1</t>
  </si>
  <si>
    <t>="000-1380-04"</t>
  </si>
  <si>
    <t>=GL(,"Name",$C82)</t>
  </si>
  <si>
    <t>=L81+1</t>
  </si>
  <si>
    <t>="000-1380-05"</t>
  </si>
  <si>
    <t>=GL(,"Name",$C83)</t>
  </si>
  <si>
    <t>=L82+1</t>
  </si>
  <si>
    <t>="000-1380-06"</t>
  </si>
  <si>
    <t>=GL(,"Name",$C84)</t>
  </si>
  <si>
    <t>=L83+1</t>
  </si>
  <si>
    <t>="000-1380-07"</t>
  </si>
  <si>
    <t>=GL(,"Name",$C85)</t>
  </si>
  <si>
    <t>=L84+1</t>
  </si>
  <si>
    <t>="000-1380-08"</t>
  </si>
  <si>
    <t>=GL(,"Name",$C86)</t>
  </si>
  <si>
    <t>=L85+1</t>
  </si>
  <si>
    <t>="000-1380-09"</t>
  </si>
  <si>
    <t>=GL(,"Name",$C87)</t>
  </si>
  <si>
    <t>=L86+1</t>
  </si>
  <si>
    <t>="000-1390-00"</t>
  </si>
  <si>
    <t>=GL(,"Name",$C88)</t>
  </si>
  <si>
    <t>=L87+1</t>
  </si>
  <si>
    <t>="000-1400-00"</t>
  </si>
  <si>
    <t>=GL(,"Name",$C89)</t>
  </si>
  <si>
    <t>=L88+1</t>
  </si>
  <si>
    <t>="000-1410-00"</t>
  </si>
  <si>
    <t>=GL(,"Name",$C90)</t>
  </si>
  <si>
    <t>=L89+1</t>
  </si>
  <si>
    <t>="000-1500-00"</t>
  </si>
  <si>
    <t>=GL(,"Name",$C91)</t>
  </si>
  <si>
    <t>=L90+1</t>
  </si>
  <si>
    <t>="000-1505-00"</t>
  </si>
  <si>
    <t>=GL(,"Name",$C92)</t>
  </si>
  <si>
    <t>=L91+1</t>
  </si>
  <si>
    <t>="000-1510-00"</t>
  </si>
  <si>
    <t>=GL(,"Name",$C93)</t>
  </si>
  <si>
    <t>=L92+1</t>
  </si>
  <si>
    <t>="000-1515-00"</t>
  </si>
  <si>
    <t>=GL(,"Name",$C94)</t>
  </si>
  <si>
    <t>=L93+1</t>
  </si>
  <si>
    <t>="000-1520-00"</t>
  </si>
  <si>
    <t>=GL(,"Name",$C95)</t>
  </si>
  <si>
    <t>=L94+1</t>
  </si>
  <si>
    <t>="000-1525-00"</t>
  </si>
  <si>
    <t>=GL(,"Name",$C96)</t>
  </si>
  <si>
    <t>=L95+1</t>
  </si>
  <si>
    <t>="000-1530-00"</t>
  </si>
  <si>
    <t>=GL(,"Name",$C97)</t>
  </si>
  <si>
    <t>=L96+1</t>
  </si>
  <si>
    <t>="000-1535-00"</t>
  </si>
  <si>
    <t>=GL(,"Name",$C98)</t>
  </si>
  <si>
    <t>=L97+1</t>
  </si>
  <si>
    <t>="000-1590-00"</t>
  </si>
  <si>
    <t>=GL(,"Name",$C99)</t>
  </si>
  <si>
    <t>=L98+1</t>
  </si>
  <si>
    <t>="000-1600-00"</t>
  </si>
  <si>
    <t>=GL(,"Name",$C100)</t>
  </si>
  <si>
    <t>=L99+1</t>
  </si>
  <si>
    <t>="000-1610-00"</t>
  </si>
  <si>
    <t>=GL(,"Name",$C101)</t>
  </si>
  <si>
    <t>=L100+1</t>
  </si>
  <si>
    <t>="000-1700-00"</t>
  </si>
  <si>
    <t>=GL(,"Name",$C102)</t>
  </si>
  <si>
    <t>=L101+1</t>
  </si>
  <si>
    <t>="000-1710-00"</t>
  </si>
  <si>
    <t>=GL(,"Name",$C103)</t>
  </si>
  <si>
    <t>=L102+1</t>
  </si>
  <si>
    <t>="000-1800-00"</t>
  </si>
  <si>
    <t>=GL(,"Name",$C104)</t>
  </si>
  <si>
    <t>=L103+1</t>
  </si>
  <si>
    <t>="000-2014-01"</t>
  </si>
  <si>
    <t>=GL(,"Name",$C105)</t>
  </si>
  <si>
    <t>=L104+1</t>
  </si>
  <si>
    <t>="000-2100-00"</t>
  </si>
  <si>
    <t>=GL(,"Name",$C106)</t>
  </si>
  <si>
    <t>=L105+1</t>
  </si>
  <si>
    <t>="000-2101-00"</t>
  </si>
  <si>
    <t>=GL(,"Name",$C107)</t>
  </si>
  <si>
    <t>=L106+1</t>
  </si>
  <si>
    <t>="000-2101-01"</t>
  </si>
  <si>
    <t>=GL(,"Name",$C108)</t>
  </si>
  <si>
    <t>=L107+1</t>
  </si>
  <si>
    <t>="000-2101-02"</t>
  </si>
  <si>
    <t>=GL(,"Name",$C109)</t>
  </si>
  <si>
    <t>=L108+1</t>
  </si>
  <si>
    <t>="000-2101-03"</t>
  </si>
  <si>
    <t>=GL(,"Name",$C110)</t>
  </si>
  <si>
    <t>=L109+1</t>
  </si>
  <si>
    <t>="000-2101-04"</t>
  </si>
  <si>
    <t>=GL(,"Name",$C111)</t>
  </si>
  <si>
    <t>=L110+1</t>
  </si>
  <si>
    <t>="000-2101-05"</t>
  </si>
  <si>
    <t>=GL(,"Name",$C112)</t>
  </si>
  <si>
    <t>=L111+1</t>
  </si>
  <si>
    <t>="000-2101-06"</t>
  </si>
  <si>
    <t>=GL(,"Name",$C113)</t>
  </si>
  <si>
    <t>=L112+1</t>
  </si>
  <si>
    <t>="000-2101-07"</t>
  </si>
  <si>
    <t>=GL(,"Name",$C114)</t>
  </si>
  <si>
    <t>=L113+1</t>
  </si>
  <si>
    <t>="000-2105-00"</t>
  </si>
  <si>
    <t>=GL(,"Name",$C115)</t>
  </si>
  <si>
    <t>=L114+1</t>
  </si>
  <si>
    <t>="000-2110-00"</t>
  </si>
  <si>
    <t>=GL(,"Name",$C116)</t>
  </si>
  <si>
    <t>=L115+1</t>
  </si>
  <si>
    <t>="000-2111-00"</t>
  </si>
  <si>
    <t>=GL(,"Name",$C117)</t>
  </si>
  <si>
    <t>=L116+1</t>
  </si>
  <si>
    <t>="000-2115-00"</t>
  </si>
  <si>
    <t>=GL(,"Name",$C118)</t>
  </si>
  <si>
    <t>=L117+1</t>
  </si>
  <si>
    <t>="000-2120-00"</t>
  </si>
  <si>
    <t>=GL(,"Name",$C119)</t>
  </si>
  <si>
    <t>=L118+1</t>
  </si>
  <si>
    <t>="000-2130-00"</t>
  </si>
  <si>
    <t>=GL(,"Name",$C120)</t>
  </si>
  <si>
    <t>=L119+1</t>
  </si>
  <si>
    <t>="000-2140-00"</t>
  </si>
  <si>
    <t>=GL(,"Name",$C121)</t>
  </si>
  <si>
    <t>=L120+1</t>
  </si>
  <si>
    <t>=GL(,"Name",$C122)</t>
  </si>
  <si>
    <t>=L121+1</t>
  </si>
  <si>
    <t>=GL(,"Name",$C123)</t>
  </si>
  <si>
    <t>=L122+1</t>
  </si>
  <si>
    <t>="000-2162-00"</t>
  </si>
  <si>
    <t>=GL(,"Name",$C124)</t>
  </si>
  <si>
    <t>=L123+1</t>
  </si>
  <si>
    <t>="000-2163-00"</t>
  </si>
  <si>
    <t>=GL(,"Name",$C125)</t>
  </si>
  <si>
    <t>=L124+1</t>
  </si>
  <si>
    <t>="000-2164-00"</t>
  </si>
  <si>
    <t>=GL(,"Name",$C126)</t>
  </si>
  <si>
    <t>=L125+1</t>
  </si>
  <si>
    <t>="000-2165-00"</t>
  </si>
  <si>
    <t>=GL(,"Name",$C127)</t>
  </si>
  <si>
    <t>=L126+1</t>
  </si>
  <si>
    <t>="000-2166-00"</t>
  </si>
  <si>
    <t>=GL(,"Name",$C128)</t>
  </si>
  <si>
    <t>=L127+1</t>
  </si>
  <si>
    <t>=GL(,"Name",$C129)</t>
  </si>
  <si>
    <t>=L128+1</t>
  </si>
  <si>
    <t>="000-2175-00"</t>
  </si>
  <si>
    <t>=GL(,"Name",$C130)</t>
  </si>
  <si>
    <t>=L129+1</t>
  </si>
  <si>
    <t>="000-2180-00"</t>
  </si>
  <si>
    <t>=GL(,"Name",$C131)</t>
  </si>
  <si>
    <t>=L130+1</t>
  </si>
  <si>
    <t>="000-2191-00"</t>
  </si>
  <si>
    <t>=GL(,"Name",$C132)</t>
  </si>
  <si>
    <t>=L131+1</t>
  </si>
  <si>
    <t>="000-2192-00"</t>
  </si>
  <si>
    <t>=GL(,"Name",$C133)</t>
  </si>
  <si>
    <t>=L132+1</t>
  </si>
  <si>
    <t>="000-2193-00"</t>
  </si>
  <si>
    <t>=GL(,"Name",$C134)</t>
  </si>
  <si>
    <t>=L133+1</t>
  </si>
  <si>
    <t>="000-2194-00"</t>
  </si>
  <si>
    <t>=GL(,"Name",$C135)</t>
  </si>
  <si>
    <t>=L134+1</t>
  </si>
  <si>
    <t>="000-2195-00"</t>
  </si>
  <si>
    <t>=GL(,"Name",$C136)</t>
  </si>
  <si>
    <t>=L135+1</t>
  </si>
  <si>
    <t>=GL(,"Name",$C137)</t>
  </si>
  <si>
    <t>=L136+1</t>
  </si>
  <si>
    <t>="000-2210-00"</t>
  </si>
  <si>
    <t>=GL(,"Name",$C138)</t>
  </si>
  <si>
    <t>=L137+1</t>
  </si>
  <si>
    <t>="000-2220-00"</t>
  </si>
  <si>
    <t>=GL(,"Name",$C139)</t>
  </si>
  <si>
    <t>=L138+1</t>
  </si>
  <si>
    <t>="000-2230-00"</t>
  </si>
  <si>
    <t>=GL(,"Name",$C140)</t>
  </si>
  <si>
    <t>=L139+1</t>
  </si>
  <si>
    <t>="000-2240-00"</t>
  </si>
  <si>
    <t>=GL(,"Name",$C141)</t>
  </si>
  <si>
    <t>=L140+1</t>
  </si>
  <si>
    <t>="000-2250-00"</t>
  </si>
  <si>
    <t>=GL(,"Name",$C142)</t>
  </si>
  <si>
    <t>=L141+1</t>
  </si>
  <si>
    <t>="000-2260-00"</t>
  </si>
  <si>
    <t>=GL(,"Name",$C143)</t>
  </si>
  <si>
    <t>=L142+1</t>
  </si>
  <si>
    <t>="000-2261-00"</t>
  </si>
  <si>
    <t>=GL(,"Name",$C144)</t>
  </si>
  <si>
    <t>=L143+1</t>
  </si>
  <si>
    <t>="000-2270-00"</t>
  </si>
  <si>
    <t>=GL(,"Name",$C145)</t>
  </si>
  <si>
    <t>=L144+1</t>
  </si>
  <si>
    <t>="000-2271-00"</t>
  </si>
  <si>
    <t>=GL(,"Name",$C146)</t>
  </si>
  <si>
    <t>=L145+1</t>
  </si>
  <si>
    <t>="000-2272-00"</t>
  </si>
  <si>
    <t>=GL(,"Name",$C147)</t>
  </si>
  <si>
    <t>=L146+1</t>
  </si>
  <si>
    <t>="000-2273-00"</t>
  </si>
  <si>
    <t>=GL(,"Name",$C148)</t>
  </si>
  <si>
    <t>=L147+1</t>
  </si>
  <si>
    <t>="000-2274-00"</t>
  </si>
  <si>
    <t>=GL(,"Name",$C149)</t>
  </si>
  <si>
    <t>=L148+1</t>
  </si>
  <si>
    <t>="000-2275-00"</t>
  </si>
  <si>
    <t>=GL(,"Name",$C150)</t>
  </si>
  <si>
    <t>=L149+1</t>
  </si>
  <si>
    <t>="000-2276-00"</t>
  </si>
  <si>
    <t>=GL(,"Name",$C151)</t>
  </si>
  <si>
    <t>=L150+1</t>
  </si>
  <si>
    <t>="000-2277-00"</t>
  </si>
  <si>
    <t>=GL(,"Name",$C152)</t>
  </si>
  <si>
    <t>=L151+1</t>
  </si>
  <si>
    <t>="000-2280-00"</t>
  </si>
  <si>
    <t>=GL(,"Name",$C153)</t>
  </si>
  <si>
    <t>=L152+1</t>
  </si>
  <si>
    <t>="000-2281-00"</t>
  </si>
  <si>
    <t>=GL(,"Name",$C154)</t>
  </si>
  <si>
    <t>=L153+1</t>
  </si>
  <si>
    <t>="000-2282-00"</t>
  </si>
  <si>
    <t>=GL(,"Name",$C155)</t>
  </si>
  <si>
    <t>=L154+1</t>
  </si>
  <si>
    <t>="000-2283-00"</t>
  </si>
  <si>
    <t>=GL(,"Name",$C156)</t>
  </si>
  <si>
    <t>=L155+1</t>
  </si>
  <si>
    <t>="000-2284-00"</t>
  </si>
  <si>
    <t>=GL(,"Name",$C157)</t>
  </si>
  <si>
    <t>=L156+1</t>
  </si>
  <si>
    <t>="000-2300-00"</t>
  </si>
  <si>
    <t>=GL(,"Name",$C158)</t>
  </si>
  <si>
    <t>=L157+1</t>
  </si>
  <si>
    <t>="000-2310-00"</t>
  </si>
  <si>
    <t>=GL(,"Name",$C159)</t>
  </si>
  <si>
    <t>=L158+1</t>
  </si>
  <si>
    <t>="000-2311-00"</t>
  </si>
  <si>
    <t>=GL(,"Name",$C160)</t>
  </si>
  <si>
    <t>=L159+1</t>
  </si>
  <si>
    <t>="000-2315-00"</t>
  </si>
  <si>
    <t>=GL(,"Name",$C161)</t>
  </si>
  <si>
    <t>=L160+1</t>
  </si>
  <si>
    <t>="000-2320-00"</t>
  </si>
  <si>
    <t>=GL(,"Name",$C162)</t>
  </si>
  <si>
    <t>=L161+1</t>
  </si>
  <si>
    <t>="000-2321-00"</t>
  </si>
  <si>
    <t>=GL(,"Name",$C163)</t>
  </si>
  <si>
    <t>=L162+1</t>
  </si>
  <si>
    <t>="000-2322-00"</t>
  </si>
  <si>
    <t>=GL(,"Name",$C164)</t>
  </si>
  <si>
    <t>=L163+1</t>
  </si>
  <si>
    <t>="000-2323-00"</t>
  </si>
  <si>
    <t>=GL(,"Name",$C165)</t>
  </si>
  <si>
    <t>=L164+1</t>
  </si>
  <si>
    <t>="000-2330-00"</t>
  </si>
  <si>
    <t>=GL(,"Name",$C166)</t>
  </si>
  <si>
    <t>=L165+1</t>
  </si>
  <si>
    <t>="000-2340-00"</t>
  </si>
  <si>
    <t>=GL(,"Name",$C167)</t>
  </si>
  <si>
    <t>=L166+1</t>
  </si>
  <si>
    <t>="000-2341-00"</t>
  </si>
  <si>
    <t>=GL(,"Name",$C168)</t>
  </si>
  <si>
    <t>=L167+1</t>
  </si>
  <si>
    <t>="000-2350-00"</t>
  </si>
  <si>
    <t>=GL(,"Name",$C169)</t>
  </si>
  <si>
    <t>=L168+1</t>
  </si>
  <si>
    <t>="000-2351-00"</t>
  </si>
  <si>
    <t>=GL(,"Name",$C170)</t>
  </si>
  <si>
    <t>=L169+1</t>
  </si>
  <si>
    <t>="000-2400-00"</t>
  </si>
  <si>
    <t>=GL(,"Name",$C171)</t>
  </si>
  <si>
    <t>=L170+1</t>
  </si>
  <si>
    <t>="000-2410-00"</t>
  </si>
  <si>
    <t>=GL(,"Name",$C172)</t>
  </si>
  <si>
    <t>=L171+1</t>
  </si>
  <si>
    <t>="000-2420-00"</t>
  </si>
  <si>
    <t>=GL(,"Name",$C173)</t>
  </si>
  <si>
    <t>=L172+1</t>
  </si>
  <si>
    <t>="000-2430-00"</t>
  </si>
  <si>
    <t>=GL(,"Name",$C174)</t>
  </si>
  <si>
    <t>=L173+1</t>
  </si>
  <si>
    <t>="000-2500-00"</t>
  </si>
  <si>
    <t>=GL(,"Name",$C175)</t>
  </si>
  <si>
    <t>=L174+1</t>
  </si>
  <si>
    <t>="000-2600-00"</t>
  </si>
  <si>
    <t>=GL(,"Name",$C176)</t>
  </si>
  <si>
    <t>=L175+1</t>
  </si>
  <si>
    <t>="000-2610-00"</t>
  </si>
  <si>
    <t>=GL(,"Name",$C177)</t>
  </si>
  <si>
    <t>=L176+1</t>
  </si>
  <si>
    <t>="000-2700-00"</t>
  </si>
  <si>
    <t>=GL(,"Name",$C178)</t>
  </si>
  <si>
    <t>=L177+1</t>
  </si>
  <si>
    <t>="000-2710-00"</t>
  </si>
  <si>
    <t>=GL(,"Name",$C179)</t>
  </si>
  <si>
    <t>=L178+1</t>
  </si>
  <si>
    <t>="000-2720-00"</t>
  </si>
  <si>
    <t>=GL(,"Name",$C180)</t>
  </si>
  <si>
    <t>=L179+1</t>
  </si>
  <si>
    <t>="000-2730-00"</t>
  </si>
  <si>
    <t>=GL(,"Name",$C181)</t>
  </si>
  <si>
    <t>=L180+1</t>
  </si>
  <si>
    <t>="000-2735-00"</t>
  </si>
  <si>
    <t>=GL(,"Name",$C182)</t>
  </si>
  <si>
    <t>=L181+1</t>
  </si>
  <si>
    <t>="000-2740-00"</t>
  </si>
  <si>
    <t>=GL(,"Name",$C183)</t>
  </si>
  <si>
    <t>=L182+1</t>
  </si>
  <si>
    <t>="000-2800-00"</t>
  </si>
  <si>
    <t>=GL(,"Name",$C184)</t>
  </si>
  <si>
    <t>=L183+1</t>
  </si>
  <si>
    <t>="000-2810-00"</t>
  </si>
  <si>
    <t>=GL(,"Name",$C185)</t>
  </si>
  <si>
    <t>=L184+1</t>
  </si>
  <si>
    <t>="000-2820-00"</t>
  </si>
  <si>
    <t>=GL(,"Name",$C186)</t>
  </si>
  <si>
    <t>=L185+1</t>
  </si>
  <si>
    <t>="000-2900-00"</t>
  </si>
  <si>
    <t>=GL(,"Name",$C187)</t>
  </si>
  <si>
    <t>=L186+1</t>
  </si>
  <si>
    <t>="000-2910-00"</t>
  </si>
  <si>
    <t>=GL(,"Name",$C188)</t>
  </si>
  <si>
    <t>=L187+1</t>
  </si>
  <si>
    <t>="000-2920-00"</t>
  </si>
  <si>
    <t>=GL(,"Name",$C189)</t>
  </si>
  <si>
    <t>=L188+1</t>
  </si>
  <si>
    <t>="000-2930-00"</t>
  </si>
  <si>
    <t>=GL(,"Name",$C190)</t>
  </si>
  <si>
    <t>=L189+1</t>
  </si>
  <si>
    <t>="000-2940-00"</t>
  </si>
  <si>
    <t>=GL(,"Name",$C191)</t>
  </si>
  <si>
    <t>=L190+1</t>
  </si>
  <si>
    <t>="000-2950-00"</t>
  </si>
  <si>
    <t>=GL(,"Name",$C192)</t>
  </si>
  <si>
    <t>=L191+1</t>
  </si>
  <si>
    <t>="000-2950-01"</t>
  </si>
  <si>
    <t>=GL(,"Name",$C193)</t>
  </si>
  <si>
    <t>=L192+1</t>
  </si>
  <si>
    <t>="000-3010-00"</t>
  </si>
  <si>
    <t>=GL(,"Name",$C194)</t>
  </si>
  <si>
    <t>=L193+1</t>
  </si>
  <si>
    <t>="000-3020-00"</t>
  </si>
  <si>
    <t>=GL(,"Name",$C195)</t>
  </si>
  <si>
    <t>=L194+1</t>
  </si>
  <si>
    <t>="000-3030-00"</t>
  </si>
  <si>
    <t>=GL(,"Name",$C196)</t>
  </si>
  <si>
    <t>=L195+1</t>
  </si>
  <si>
    <t>="000-4100-00"</t>
  </si>
  <si>
    <t>=GL(,"Name",$C197)</t>
  </si>
  <si>
    <t>=L196+1</t>
  </si>
  <si>
    <t>="000-4110-01"</t>
  </si>
  <si>
    <t>=GL(,"Name",$C198)</t>
  </si>
  <si>
    <t>=L197+1</t>
  </si>
  <si>
    <t>="000-4110-02"</t>
  </si>
  <si>
    <t>=GL(,"Name",$C199)</t>
  </si>
  <si>
    <t>=L198+1</t>
  </si>
  <si>
    <t>="000-4111-01"</t>
  </si>
  <si>
    <t>=GL(,"Name",$C200)</t>
  </si>
  <si>
    <t>=L199+1</t>
  </si>
  <si>
    <t>="000-4111-02"</t>
  </si>
  <si>
    <t>=GL(,"Name",$C201)</t>
  </si>
  <si>
    <t>=L200+1</t>
  </si>
  <si>
    <t>="000-4112-01"</t>
  </si>
  <si>
    <t>=GL(,"Name",$C202)</t>
  </si>
  <si>
    <t>=L201+1</t>
  </si>
  <si>
    <t>="000-4112-02"</t>
  </si>
  <si>
    <t>=GL(,"Name",$C203)</t>
  </si>
  <si>
    <t>=L202+1</t>
  </si>
  <si>
    <t>="000-4114-01"</t>
  </si>
  <si>
    <t>=GL(,"Name",$C204)</t>
  </si>
  <si>
    <t>=L203+1</t>
  </si>
  <si>
    <t>="000-4114-02"</t>
  </si>
  <si>
    <t>=GL(,"Name",$C205)</t>
  </si>
  <si>
    <t>=L204+1</t>
  </si>
  <si>
    <t>="000-4115-01"</t>
  </si>
  <si>
    <t>=GL(,"Name",$C206)</t>
  </si>
  <si>
    <t>=L205+1</t>
  </si>
  <si>
    <t>="000-4115-02"</t>
  </si>
  <si>
    <t>=GL(,"Name",$C207)</t>
  </si>
  <si>
    <t>=L206+1</t>
  </si>
  <si>
    <t>="000-4116-01"</t>
  </si>
  <si>
    <t>=GL(,"Name",$C208)</t>
  </si>
  <si>
    <t>=L207+1</t>
  </si>
  <si>
    <t>="000-4116-02"</t>
  </si>
  <si>
    <t>=GL(,"Name",$C209)</t>
  </si>
  <si>
    <t>=L208+1</t>
  </si>
  <si>
    <t>="000-4117-01"</t>
  </si>
  <si>
    <t>=GL(,"Name",$C210)</t>
  </si>
  <si>
    <t>=L209+1</t>
  </si>
  <si>
    <t>="000-4117-02"</t>
  </si>
  <si>
    <t>=GL(,"Name",$C211)</t>
  </si>
  <si>
    <t>=L210+1</t>
  </si>
  <si>
    <t>="000-4120-00"</t>
  </si>
  <si>
    <t>=GL(,"Name",$C212)</t>
  </si>
  <si>
    <t>=L211+1</t>
  </si>
  <si>
    <t>="000-4121-00"</t>
  </si>
  <si>
    <t>=GL(,"Name",$C213)</t>
  </si>
  <si>
    <t>=L212+1</t>
  </si>
  <si>
    <t>="000-4122-00"</t>
  </si>
  <si>
    <t>=GL(,"Name",$C214)</t>
  </si>
  <si>
    <t>=L213+1</t>
  </si>
  <si>
    <t>="000-4124-00"</t>
  </si>
  <si>
    <t>=GL(,"Name",$C215)</t>
  </si>
  <si>
    <t>=L214+1</t>
  </si>
  <si>
    <t>="000-4125-00"</t>
  </si>
  <si>
    <t>=GL(,"Name",$C216)</t>
  </si>
  <si>
    <t>=L215+1</t>
  </si>
  <si>
    <t>="000-4126-00"</t>
  </si>
  <si>
    <t>=GL(,"Name",$C217)</t>
  </si>
  <si>
    <t>=L216+1</t>
  </si>
  <si>
    <t>="000-4127-00"</t>
  </si>
  <si>
    <t>=GL(,"Name",$C218)</t>
  </si>
  <si>
    <t>=L217+1</t>
  </si>
  <si>
    <t>="000-4130-00"</t>
  </si>
  <si>
    <t>=GL(,"Name",$C219)</t>
  </si>
  <si>
    <t>=L218+1</t>
  </si>
  <si>
    <t>="000-4131-00"</t>
  </si>
  <si>
    <t>=GL(,"Name",$C220)</t>
  </si>
  <si>
    <t>=L219+1</t>
  </si>
  <si>
    <t>="000-4132-00"</t>
  </si>
  <si>
    <t>=GL(,"Name",$C221)</t>
  </si>
  <si>
    <t>=L220+1</t>
  </si>
  <si>
    <t>="000-4134-00"</t>
  </si>
  <si>
    <t>=GL(,"Name",$C222)</t>
  </si>
  <si>
    <t>=L221+1</t>
  </si>
  <si>
    <t>="000-4135-00"</t>
  </si>
  <si>
    <t>=GL(,"Name",$C223)</t>
  </si>
  <si>
    <t>=L222+1</t>
  </si>
  <si>
    <t>="000-4136-00"</t>
  </si>
  <si>
    <t>=GL(,"Name",$C224)</t>
  </si>
  <si>
    <t>=L223+1</t>
  </si>
  <si>
    <t>="000-4137-00"</t>
  </si>
  <si>
    <t>=GL(,"Name",$C225)</t>
  </si>
  <si>
    <t>=L224+1</t>
  </si>
  <si>
    <t>="000-4140-00"</t>
  </si>
  <si>
    <t>=GL(,"Name",$C226)</t>
  </si>
  <si>
    <t>=L225+1</t>
  </si>
  <si>
    <t>="000-4141-00"</t>
  </si>
  <si>
    <t>=GL(,"Name",$C227)</t>
  </si>
  <si>
    <t>=L226+1</t>
  </si>
  <si>
    <t>="000-4142-00"</t>
  </si>
  <si>
    <t>=GL(,"Name",$C228)</t>
  </si>
  <si>
    <t>=L227+1</t>
  </si>
  <si>
    <t>="000-4176-00"</t>
  </si>
  <si>
    <t>=GL(,"Name",$C229)</t>
  </si>
  <si>
    <t>=L228+1</t>
  </si>
  <si>
    <t>="000-4177-00"</t>
  </si>
  <si>
    <t>=GL(,"Name",$C230)</t>
  </si>
  <si>
    <t>=L229+1</t>
  </si>
  <si>
    <t>="000-4178-00"</t>
  </si>
  <si>
    <t>=GL(,"Name",$C231)</t>
  </si>
  <si>
    <t>=L230+1</t>
  </si>
  <si>
    <t>="000-4179-00"</t>
  </si>
  <si>
    <t>=GL(,"Name",$C232)</t>
  </si>
  <si>
    <t>=L231+1</t>
  </si>
  <si>
    <t>="000-4180-00"</t>
  </si>
  <si>
    <t>=GL(,"Name",$C233)</t>
  </si>
  <si>
    <t>=L232+1</t>
  </si>
  <si>
    <t>="000-4181-00"</t>
  </si>
  <si>
    <t>=GL(,"Name",$C234)</t>
  </si>
  <si>
    <t>=L233+1</t>
  </si>
  <si>
    <t>="000-4182-00"</t>
  </si>
  <si>
    <t>=GL(,"Name",$C235)</t>
  </si>
  <si>
    <t>=L234+1</t>
  </si>
  <si>
    <t>="000-4183-00"</t>
  </si>
  <si>
    <t>=GL(,"Name",$C236)</t>
  </si>
  <si>
    <t>=L235+1</t>
  </si>
  <si>
    <t>="000-4184-00"</t>
  </si>
  <si>
    <t>=GL(,"Name",$C237)</t>
  </si>
  <si>
    <t>=L236+1</t>
  </si>
  <si>
    <t>="000-4185-00"</t>
  </si>
  <si>
    <t>=GL(,"Name",$C238)</t>
  </si>
  <si>
    <t>=L237+1</t>
  </si>
  <si>
    <t>="000-4186-00"</t>
  </si>
  <si>
    <t>=GL(,"Name",$C239)</t>
  </si>
  <si>
    <t>=L238+1</t>
  </si>
  <si>
    <t>="000-4187-00"</t>
  </si>
  <si>
    <t>=GL(,"Name",$C240)</t>
  </si>
  <si>
    <t>=L239+1</t>
  </si>
  <si>
    <t>="000-4188-00"</t>
  </si>
  <si>
    <t>=GL(,"Name",$C241)</t>
  </si>
  <si>
    <t>=L240+1</t>
  </si>
  <si>
    <t>="000-4189-00"</t>
  </si>
  <si>
    <t>=GL(,"Name",$C242)</t>
  </si>
  <si>
    <t>=L241+1</t>
  </si>
  <si>
    <t>="000-4190-00"</t>
  </si>
  <si>
    <t>=GL(,"Name",$C243)</t>
  </si>
  <si>
    <t>=L242+1</t>
  </si>
  <si>
    <t>="000-4191-00"</t>
  </si>
  <si>
    <t>=GL(,"Name",$C244)</t>
  </si>
  <si>
    <t>=L243+1</t>
  </si>
  <si>
    <t>="000-4192-00"</t>
  </si>
  <si>
    <t>=GL(,"Name",$C245)</t>
  </si>
  <si>
    <t>=L244+1</t>
  </si>
  <si>
    <t>="000-4200-00"</t>
  </si>
  <si>
    <t>=GL(,"Name",$C246)</t>
  </si>
  <si>
    <t>=L245+1</t>
  </si>
  <si>
    <t>="000-4210-01"</t>
  </si>
  <si>
    <t>=GL(,"Name",$C247)</t>
  </si>
  <si>
    <t>=L246+1</t>
  </si>
  <si>
    <t>="000-4280-01"</t>
  </si>
  <si>
    <t>=GL(,"Name",$C248)</t>
  </si>
  <si>
    <t>=L247+1</t>
  </si>
  <si>
    <t>="000-4500-01"</t>
  </si>
  <si>
    <t>=GL(,"Name",$C249)</t>
  </si>
  <si>
    <t>=L248+1</t>
  </si>
  <si>
    <t>="000-4510-01"</t>
  </si>
  <si>
    <t>=GL(,"Name",$C250)</t>
  </si>
  <si>
    <t>=L249+1</t>
  </si>
  <si>
    <t>="000-4510-02"</t>
  </si>
  <si>
    <t>=GL(,"Name",$C251)</t>
  </si>
  <si>
    <t>=L250+1</t>
  </si>
  <si>
    <t>="000-4520-01"</t>
  </si>
  <si>
    <t>=GL(,"Name",$C252)</t>
  </si>
  <si>
    <t>=L251+1</t>
  </si>
  <si>
    <t>="000-4520-02"</t>
  </si>
  <si>
    <t>=GL(,"Name",$C253)</t>
  </si>
  <si>
    <t>=L252+1</t>
  </si>
  <si>
    <t>="000-4520-03"</t>
  </si>
  <si>
    <t>=GL(,"Name",$C254)</t>
  </si>
  <si>
    <t>=L253+1</t>
  </si>
  <si>
    <t>="000-4520-04"</t>
  </si>
  <si>
    <t>=GL(,"Name",$C255)</t>
  </si>
  <si>
    <t>=L254+1</t>
  </si>
  <si>
    <t>="000-4520-05"</t>
  </si>
  <si>
    <t>=GL(,"Name",$C256)</t>
  </si>
  <si>
    <t>=L255+1</t>
  </si>
  <si>
    <t>="000-4520-06"</t>
  </si>
  <si>
    <t>=GL(,"Name",$C257)</t>
  </si>
  <si>
    <t>=L256+1</t>
  </si>
  <si>
    <t>="000-4520-07"</t>
  </si>
  <si>
    <t>=GL(,"Name",$C258)</t>
  </si>
  <si>
    <t>=L257+1</t>
  </si>
  <si>
    <t>="000-4520-08"</t>
  </si>
  <si>
    <t>=GL(,"Name",$C259)</t>
  </si>
  <si>
    <t>=L258+1</t>
  </si>
  <si>
    <t>="000-4520-09"</t>
  </si>
  <si>
    <t>=GL(,"Name",$C260)</t>
  </si>
  <si>
    <t>=L259+1</t>
  </si>
  <si>
    <t>="000-4530-01"</t>
  </si>
  <si>
    <t>=GL(,"Name",$C261)</t>
  </si>
  <si>
    <t>=L260+1</t>
  </si>
  <si>
    <t>="000-4600-00"</t>
  </si>
  <si>
    <t>=GL(,"Name",$C262)</t>
  </si>
  <si>
    <t>=L261+1</t>
  </si>
  <si>
    <t>="000-4601-00"</t>
  </si>
  <si>
    <t>=GL(,"Name",$C263)</t>
  </si>
  <si>
    <t>=L262+1</t>
  </si>
  <si>
    <t>="000-4700-00"</t>
  </si>
  <si>
    <t>=GL(,"Name",$C264)</t>
  </si>
  <si>
    <t>=L263+1</t>
  </si>
  <si>
    <t>="000-4710-00"</t>
  </si>
  <si>
    <t>=GL(,"Name",$C265)</t>
  </si>
  <si>
    <t>=L264+1</t>
  </si>
  <si>
    <t>="000-4720-00"</t>
  </si>
  <si>
    <t>=GL(,"Name",$C266)</t>
  </si>
  <si>
    <t>=L265+1</t>
  </si>
  <si>
    <t>="000-4730-00"</t>
  </si>
  <si>
    <t>=GL(,"Name",$C267)</t>
  </si>
  <si>
    <t>=L266+1</t>
  </si>
  <si>
    <t>="000-4731-00"</t>
  </si>
  <si>
    <t>=GL(,"Name",$C268)</t>
  </si>
  <si>
    <t>=L267+1</t>
  </si>
  <si>
    <t>="000-4740-00"</t>
  </si>
  <si>
    <t>=GL(,"Name",$C269)</t>
  </si>
  <si>
    <t>=L268+1</t>
  </si>
  <si>
    <t>="000-4750-01"</t>
  </si>
  <si>
    <t>=GL(,"Name",$C270)</t>
  </si>
  <si>
    <t>=L269+1</t>
  </si>
  <si>
    <t>="000-4750-02"</t>
  </si>
  <si>
    <t>=GL(,"Name",$C271)</t>
  </si>
  <si>
    <t>=L270+1</t>
  </si>
  <si>
    <t>="000-4750-03"</t>
  </si>
  <si>
    <t>=GL(,"Name",$C272)</t>
  </si>
  <si>
    <t>=L271+1</t>
  </si>
  <si>
    <t>="000-4750-04"</t>
  </si>
  <si>
    <t>=GL(,"Name",$C273)</t>
  </si>
  <si>
    <t>=L272+1</t>
  </si>
  <si>
    <t>="000-4750-05"</t>
  </si>
  <si>
    <t>=GL(,"Name",$C274)</t>
  </si>
  <si>
    <t>=L273+1</t>
  </si>
  <si>
    <t>="000-4750-06"</t>
  </si>
  <si>
    <t>=GL(,"Name",$C275)</t>
  </si>
  <si>
    <t>=L274+1</t>
  </si>
  <si>
    <t>="000-4750-07"</t>
  </si>
  <si>
    <t>=GL(,"Name",$C276)</t>
  </si>
  <si>
    <t>=L275+1</t>
  </si>
  <si>
    <t>="000-4750-08"</t>
  </si>
  <si>
    <t>=GL(,"Name",$C277)</t>
  </si>
  <si>
    <t>=L276+1</t>
  </si>
  <si>
    <t>="000-4750-09"</t>
  </si>
  <si>
    <t>=GL(,"Name",$C278)</t>
  </si>
  <si>
    <t>=L277+1</t>
  </si>
  <si>
    <t>="000-4800-00"</t>
  </si>
  <si>
    <t>=GL(,"Name",$C279)</t>
  </si>
  <si>
    <t>=L278+1</t>
  </si>
  <si>
    <t>=GL(,"Name",$C280)</t>
  </si>
  <si>
    <t>=L279+1</t>
  </si>
  <si>
    <t>="000-5200-00"</t>
  </si>
  <si>
    <t>=GL(,"Name",$C281)</t>
  </si>
  <si>
    <t>=L280+1</t>
  </si>
  <si>
    <t>="000-5210-00"</t>
  </si>
  <si>
    <t>=GL(,"Name",$C282)</t>
  </si>
  <si>
    <t>=L281+1</t>
  </si>
  <si>
    <t>="000-5220-00"</t>
  </si>
  <si>
    <t>=GL(,"Name",$C283)</t>
  </si>
  <si>
    <t>=L282+1</t>
  </si>
  <si>
    <t>="000-5300-00"</t>
  </si>
  <si>
    <t>=GL(,"Name",$C284)</t>
  </si>
  <si>
    <t>=L283+1</t>
  </si>
  <si>
    <t>="000-5400-00"</t>
  </si>
  <si>
    <t>=GL(,"Name",$C285)</t>
  </si>
  <si>
    <t>=L284+1</t>
  </si>
  <si>
    <t>="000-5500-00"</t>
  </si>
  <si>
    <t>=GL(,"Name",$C286)</t>
  </si>
  <si>
    <t>=L285+1</t>
  </si>
  <si>
    <t>="000-5615-00"</t>
  </si>
  <si>
    <t>=GL(,"Name",$C287)</t>
  </si>
  <si>
    <t>=L286+1</t>
  </si>
  <si>
    <t>="000-5700-00"</t>
  </si>
  <si>
    <t>=GL(,"Name",$C288)</t>
  </si>
  <si>
    <t>=L287+1</t>
  </si>
  <si>
    <t>="000-6170-04"</t>
  </si>
  <si>
    <t>=GL(,"Name",$C289)</t>
  </si>
  <si>
    <t>=L288+1</t>
  </si>
  <si>
    <t>="000-6170-05"</t>
  </si>
  <si>
    <t>=GL(,"Name",$C290)</t>
  </si>
  <si>
    <t>=L289+1</t>
  </si>
  <si>
    <t>="000-6180-00"</t>
  </si>
  <si>
    <t>=GL(,"Name",$C291)</t>
  </si>
  <si>
    <t>=L290+1</t>
  </si>
  <si>
    <t>="000-6190-00"</t>
  </si>
  <si>
    <t>=GL(,"Name",$C292)</t>
  </si>
  <si>
    <t>=L291+1</t>
  </si>
  <si>
    <t>="000-6200-00"</t>
  </si>
  <si>
    <t>=GL(,"Name",$C293)</t>
  </si>
  <si>
    <t>=L292+1</t>
  </si>
  <si>
    <t>="000-6210-00"</t>
  </si>
  <si>
    <t>=GL(,"Name",$C294)</t>
  </si>
  <si>
    <t>=L293+1</t>
  </si>
  <si>
    <t>="000-6220-00"</t>
  </si>
  <si>
    <t>=GL(,"Name",$C295)</t>
  </si>
  <si>
    <t>=L294+1</t>
  </si>
  <si>
    <t>="000-6230-00"</t>
  </si>
  <si>
    <t>=GL(,"Name",$C296)</t>
  </si>
  <si>
    <t>=L295+1</t>
  </si>
  <si>
    <t>="000-6300-00"</t>
  </si>
  <si>
    <t>=GL(,"Name",$C297)</t>
  </si>
  <si>
    <t>=L296+1</t>
  </si>
  <si>
    <t>="000-6400-00"</t>
  </si>
  <si>
    <t>=GL(,"Name",$C298)</t>
  </si>
  <si>
    <t>=L297+1</t>
  </si>
  <si>
    <t>="000-6410-00"</t>
  </si>
  <si>
    <t>=GL(,"Name",$C299)</t>
  </si>
  <si>
    <t>=L298+1</t>
  </si>
  <si>
    <t>="000-6420-00"</t>
  </si>
  <si>
    <t>=GL(,"Name",$C300)</t>
  </si>
  <si>
    <t>=L299+1</t>
  </si>
  <si>
    <t>="000-6430-00"</t>
  </si>
  <si>
    <t>=GL(,"Name",$C301)</t>
  </si>
  <si>
    <t>=L300+1</t>
  </si>
  <si>
    <t>="000-6500-04"</t>
  </si>
  <si>
    <t>=GL(,"Name",$C302)</t>
  </si>
  <si>
    <t>=L301+1</t>
  </si>
  <si>
    <t>="000-6500-05"</t>
  </si>
  <si>
    <t>=GL(,"Name",$C303)</t>
  </si>
  <si>
    <t>=L302+1</t>
  </si>
  <si>
    <t>="000-6600-00"</t>
  </si>
  <si>
    <t>=GL(,"Name",$C304)</t>
  </si>
  <si>
    <t>=L303+1</t>
  </si>
  <si>
    <t>="000-6610-00"</t>
  </si>
  <si>
    <t>=GL(,"Name",$C305)</t>
  </si>
  <si>
    <t>=L304+1</t>
  </si>
  <si>
    <t>="000-6620-00"</t>
  </si>
  <si>
    <t>=GL(,"Name",$C306)</t>
  </si>
  <si>
    <t>=L305+1</t>
  </si>
  <si>
    <t>="000-6630-00"</t>
  </si>
  <si>
    <t>=GL(,"Name",$C307)</t>
  </si>
  <si>
    <t>=L306+1</t>
  </si>
  <si>
    <t>="000-6635-00"</t>
  </si>
  <si>
    <t>=GL(,"Name",$C308)</t>
  </si>
  <si>
    <t>=L307+1</t>
  </si>
  <si>
    <t>="000-6640-00"</t>
  </si>
  <si>
    <t>=GL(,"Name",$C309)</t>
  </si>
  <si>
    <t>=L308+1</t>
  </si>
  <si>
    <t>="000-6650-00"</t>
  </si>
  <si>
    <t>=GL(,"Name",$C310)</t>
  </si>
  <si>
    <t>=L309+1</t>
  </si>
  <si>
    <t>="000-6651-00"</t>
  </si>
  <si>
    <t>=GL(,"Name",$C311)</t>
  </si>
  <si>
    <t>=L310+1</t>
  </si>
  <si>
    <t>="000-6652-00"</t>
  </si>
  <si>
    <t>=GL(,"Name",$C312)</t>
  </si>
  <si>
    <t>=L311+1</t>
  </si>
  <si>
    <t>="000-6660-00"</t>
  </si>
  <si>
    <t>=GL(,"Name",$C313)</t>
  </si>
  <si>
    <t>=L312+1</t>
  </si>
  <si>
    <t>="000-6661-00"</t>
  </si>
  <si>
    <t>=GL(,"Name",$C314)</t>
  </si>
  <si>
    <t>=L313+1</t>
  </si>
  <si>
    <t>="000-6700-00"</t>
  </si>
  <si>
    <t>=GL(,"Name",$C315)</t>
  </si>
  <si>
    <t>=L314+1</t>
  </si>
  <si>
    <t>="000-6701-00"</t>
  </si>
  <si>
    <t>=GL(,"Name",$C316)</t>
  </si>
  <si>
    <t>=L315+1</t>
  </si>
  <si>
    <t>="000-6710-00"</t>
  </si>
  <si>
    <t>=GL(,"Name",$C317)</t>
  </si>
  <si>
    <t>=L316+1</t>
  </si>
  <si>
    <t>="000-6720-00"</t>
  </si>
  <si>
    <t>=GL(,"Name",$C318)</t>
  </si>
  <si>
    <t>=L317+1</t>
  </si>
  <si>
    <t>="000-6730-00"</t>
  </si>
  <si>
    <t>=GL(,"Name",$C319)</t>
  </si>
  <si>
    <t>=L318+1</t>
  </si>
  <si>
    <t>="000-6740-00"</t>
  </si>
  <si>
    <t>=GL(,"Name",$C320)</t>
  </si>
  <si>
    <t>=L319+1</t>
  </si>
  <si>
    <t>="000-6750-00"</t>
  </si>
  <si>
    <t>=GL(,"Name",$C321)</t>
  </si>
  <si>
    <t>=L320+1</t>
  </si>
  <si>
    <t>="000-6760-00"</t>
  </si>
  <si>
    <t>=GL(,"Name",$C322)</t>
  </si>
  <si>
    <t>=L321+1</t>
  </si>
  <si>
    <t>="000-6770-00"</t>
  </si>
  <si>
    <t>=GL(,"Name",$C323)</t>
  </si>
  <si>
    <t>=L322+1</t>
  </si>
  <si>
    <t>="000-6780-00"</t>
  </si>
  <si>
    <t>=GL(,"Name",$C324)</t>
  </si>
  <si>
    <t>=L323+1</t>
  </si>
  <si>
    <t>="000-6790-00"</t>
  </si>
  <si>
    <t>=GL(,"Name",$C325)</t>
  </si>
  <si>
    <t>=L324+1</t>
  </si>
  <si>
    <t>="000-6800-01"</t>
  </si>
  <si>
    <t>=GL(,"Name",$C326)</t>
  </si>
  <si>
    <t>=L325+1</t>
  </si>
  <si>
    <t>="000-6900-00"</t>
  </si>
  <si>
    <t>=GL(,"Name",$C327)</t>
  </si>
  <si>
    <t>=L326+1</t>
  </si>
  <si>
    <t>="000-7010-00"</t>
  </si>
  <si>
    <t>=GL(,"Name",$C328)</t>
  </si>
  <si>
    <t>=L327+1</t>
  </si>
  <si>
    <t>="000-7020-00"</t>
  </si>
  <si>
    <t>=GL(,"Name",$C329)</t>
  </si>
  <si>
    <t>=L328+1</t>
  </si>
  <si>
    <t>="000-7040-00"</t>
  </si>
  <si>
    <t>=GL(,"Name",$C330)</t>
  </si>
  <si>
    <t>=L329+1</t>
  </si>
  <si>
    <t>="000-7041-00"</t>
  </si>
  <si>
    <t>=GL(,"Name",$C331)</t>
  </si>
  <si>
    <t>=L330+1</t>
  </si>
  <si>
    <t>="000-7100-00"</t>
  </si>
  <si>
    <t>=GL(,"Name",$C332)</t>
  </si>
  <si>
    <t>=L331+1</t>
  </si>
  <si>
    <t>="000-7101-00"</t>
  </si>
  <si>
    <t>=GL(,"Name",$C333)</t>
  </si>
  <si>
    <t>=L332+1</t>
  </si>
  <si>
    <t>="000-7102-00"</t>
  </si>
  <si>
    <t>=GL(,"Name",$C334)</t>
  </si>
  <si>
    <t>=L333+1</t>
  </si>
  <si>
    <t>="000-7103-00"</t>
  </si>
  <si>
    <t>=GL(,"Name",$C335)</t>
  </si>
  <si>
    <t>=L334+1</t>
  </si>
  <si>
    <t>="000-7200-00"</t>
  </si>
  <si>
    <t>=GL(,"Name",$C336)</t>
  </si>
  <si>
    <t>=L335+1</t>
  </si>
  <si>
    <t>="000-7201-00"</t>
  </si>
  <si>
    <t>=GL(,"Name",$C337)</t>
  </si>
  <si>
    <t>=L336+1</t>
  </si>
  <si>
    <t>="000-7202-00"</t>
  </si>
  <si>
    <t>=GL(,"Name",$C338)</t>
  </si>
  <si>
    <t>=L337+1</t>
  </si>
  <si>
    <t>="000-7203-00"</t>
  </si>
  <si>
    <t>=GL(,"Name",$C339)</t>
  </si>
  <si>
    <t>=L338+1</t>
  </si>
  <si>
    <t>="000-7204-00"</t>
  </si>
  <si>
    <t>=GL(,"Name",$C340)</t>
  </si>
  <si>
    <t>=L339+1</t>
  </si>
  <si>
    <t>="000-7205-00"</t>
  </si>
  <si>
    <t>=GL(,"Name",$C341)</t>
  </si>
  <si>
    <t>=L340+1</t>
  </si>
  <si>
    <t>="000-7206-00"</t>
  </si>
  <si>
    <t>=GL(,"Name",$C342)</t>
  </si>
  <si>
    <t>=L341+1</t>
  </si>
  <si>
    <t>="000-7207-00"</t>
  </si>
  <si>
    <t>=GL(,"Name",$C343)</t>
  </si>
  <si>
    <t>=L342+1</t>
  </si>
  <si>
    <t>="000-7300-00"</t>
  </si>
  <si>
    <t>=GL(,"Name",$C344)</t>
  </si>
  <si>
    <t>=L343+1</t>
  </si>
  <si>
    <t>="000-7301-00"</t>
  </si>
  <si>
    <t>=GL(,"Name",$C345)</t>
  </si>
  <si>
    <t>=L344+1</t>
  </si>
  <si>
    <t>="000-7302-00"</t>
  </si>
  <si>
    <t>=GL(,"Name",$C346)</t>
  </si>
  <si>
    <t>=L345+1</t>
  </si>
  <si>
    <t>="000-7303-00"</t>
  </si>
  <si>
    <t>=GL(,"Name",$C347)</t>
  </si>
  <si>
    <t>=L346+1</t>
  </si>
  <si>
    <t>="000-7304-00"</t>
  </si>
  <si>
    <t>=GL(,"Name",$C348)</t>
  </si>
  <si>
    <t>=L347+1</t>
  </si>
  <si>
    <t>="000-7305-00"</t>
  </si>
  <si>
    <t>=GL(,"Name",$C349)</t>
  </si>
  <si>
    <t>=L348+1</t>
  </si>
  <si>
    <t>="000-7306-00"</t>
  </si>
  <si>
    <t>=GL(,"Name",$C350)</t>
  </si>
  <si>
    <t>=L349+1</t>
  </si>
  <si>
    <t>="000-7307-00"</t>
  </si>
  <si>
    <t>=GL(,"Name",$C351)</t>
  </si>
  <si>
    <t>=L350+1</t>
  </si>
  <si>
    <t>="000-7400-00"</t>
  </si>
  <si>
    <t>=GL(,"Name",$C352)</t>
  </si>
  <si>
    <t>=L351+1</t>
  </si>
  <si>
    <t>="000-7401-00"</t>
  </si>
  <si>
    <t>=GL(,"Name",$C353)</t>
  </si>
  <si>
    <t>=L352+1</t>
  </si>
  <si>
    <t>="000-7402-00"</t>
  </si>
  <si>
    <t>=GL(,"Name",$C354)</t>
  </si>
  <si>
    <t>=L353+1</t>
  </si>
  <si>
    <t>="000-7403-00"</t>
  </si>
  <si>
    <t>=GL(,"Name",$C355)</t>
  </si>
  <si>
    <t>=L354+1</t>
  </si>
  <si>
    <t>="000-7404-00"</t>
  </si>
  <si>
    <t>=GL(,"Name",$C356)</t>
  </si>
  <si>
    <t>=L355+1</t>
  </si>
  <si>
    <t>="000-7405-00"</t>
  </si>
  <si>
    <t>=GL(,"Name",$C357)</t>
  </si>
  <si>
    <t>=L356+1</t>
  </si>
  <si>
    <t>="000-7406-00"</t>
  </si>
  <si>
    <t>=GL(,"Name",$C358)</t>
  </si>
  <si>
    <t>=L357+1</t>
  </si>
  <si>
    <t>="000-7407-00"</t>
  </si>
  <si>
    <t>=GL(,"Name",$C359)</t>
  </si>
  <si>
    <t>=L358+1</t>
  </si>
  <si>
    <t>="000-7410-00"</t>
  </si>
  <si>
    <t>=GL(,"Name",$C360)</t>
  </si>
  <si>
    <t>=L359+1</t>
  </si>
  <si>
    <t>="000-8010-00"</t>
  </si>
  <si>
    <t>=GL(,"Name",$C361)</t>
  </si>
  <si>
    <t>=L360+1</t>
  </si>
  <si>
    <t>="000-8020-00"</t>
  </si>
  <si>
    <t>=GL(,"Name",$C362)</t>
  </si>
  <si>
    <t>=L361+1</t>
  </si>
  <si>
    <t>="000-8030-00"</t>
  </si>
  <si>
    <t>=GL(,"Name",$C363)</t>
  </si>
  <si>
    <t>=L362+1</t>
  </si>
  <si>
    <t>="000-8100-00"</t>
  </si>
  <si>
    <t>=GL(,"Name",$C364)</t>
  </si>
  <si>
    <t>=L363+1</t>
  </si>
  <si>
    <t>="000-8110-00"</t>
  </si>
  <si>
    <t>=GL(,"Name",$C365)</t>
  </si>
  <si>
    <t>=L364+1</t>
  </si>
  <si>
    <t>="000-8200-00"</t>
  </si>
  <si>
    <t>=GL(,"Name",$C366)</t>
  </si>
  <si>
    <t>=L365+1</t>
  </si>
  <si>
    <t>="000-8201-00"</t>
  </si>
  <si>
    <t>=GL(,"Name",$C367)</t>
  </si>
  <si>
    <t>=L366+1</t>
  </si>
  <si>
    <t>="000-8202-00"</t>
  </si>
  <si>
    <t>=GL(,"Name",$C368)</t>
  </si>
  <si>
    <t>=L367+1</t>
  </si>
  <si>
    <t>="000-8203-00"</t>
  </si>
  <si>
    <t>=GL(,"Name",$C369)</t>
  </si>
  <si>
    <t>=L368+1</t>
  </si>
  <si>
    <t>="000-8300-00"</t>
  </si>
  <si>
    <t>=GL(,"Name",$C370)</t>
  </si>
  <si>
    <t>=L369+1</t>
  </si>
  <si>
    <t>="000-8301-00"</t>
  </si>
  <si>
    <t>=GL(,"Name",$C371)</t>
  </si>
  <si>
    <t>=L370+1</t>
  </si>
  <si>
    <t>="000-8302-00"</t>
  </si>
  <si>
    <t>=GL(,"Name",$C372)</t>
  </si>
  <si>
    <t>=L371+1</t>
  </si>
  <si>
    <t>="000-8303-00"</t>
  </si>
  <si>
    <t>=GL(,"Name",$C373)</t>
  </si>
  <si>
    <t>=L372+1</t>
  </si>
  <si>
    <t>="000-8304-00"</t>
  </si>
  <si>
    <t>=GL(,"Name",$C374)</t>
  </si>
  <si>
    <t>=L373+1</t>
  </si>
  <si>
    <t>="000-8305-00"</t>
  </si>
  <si>
    <t>=GL(,"Name",$C375)</t>
  </si>
  <si>
    <t>=L374+1</t>
  </si>
  <si>
    <t>="000-8306-00"</t>
  </si>
  <si>
    <t>=GL(,"Name",$C376)</t>
  </si>
  <si>
    <t>=L375+1</t>
  </si>
  <si>
    <t>="000-8307-00"</t>
  </si>
  <si>
    <t>=GL(,"Name",$C377)</t>
  </si>
  <si>
    <t>=L376+1</t>
  </si>
  <si>
    <t>="000-8410-00"</t>
  </si>
  <si>
    <t>=GL(,"Name",$C378)</t>
  </si>
  <si>
    <t>=L377+1</t>
  </si>
  <si>
    <t>="000-8510-00"</t>
  </si>
  <si>
    <t>=GL(,"Name",$C379)</t>
  </si>
  <si>
    <t>=L378+1</t>
  </si>
  <si>
    <t>="000-8610-00"</t>
  </si>
  <si>
    <t>=GL(,"Name",$C380)</t>
  </si>
  <si>
    <t>=L379+1</t>
  </si>
  <si>
    <t>="000-8710-00"</t>
  </si>
  <si>
    <t>=GL(,"Name",$C381)</t>
  </si>
  <si>
    <t>=L380+1</t>
  </si>
  <si>
    <t>="000-9040-00"</t>
  </si>
  <si>
    <t>=GL(,"Name",$C382)</t>
  </si>
  <si>
    <t>=L381+1</t>
  </si>
  <si>
    <t>="100-5100-00"</t>
  </si>
  <si>
    <t>=GL(,"Name",$C383)</t>
  </si>
  <si>
    <t>=L382+1</t>
  </si>
  <si>
    <t>="100-5110-00"</t>
  </si>
  <si>
    <t>=GL(,"Name",$C384)</t>
  </si>
  <si>
    <t>=L383+1</t>
  </si>
  <si>
    <t>="100-5120-00"</t>
  </si>
  <si>
    <t>=GL(,"Name",$C385)</t>
  </si>
  <si>
    <t>=L384+1</t>
  </si>
  <si>
    <t>="100-5140-00"</t>
  </si>
  <si>
    <t>=GL(,"Name",$C386)</t>
  </si>
  <si>
    <t>=L385+1</t>
  </si>
  <si>
    <t>=GL(,"Name",$C387)</t>
  </si>
  <si>
    <t>=L386+1</t>
  </si>
  <si>
    <t>="100-5160-00"</t>
  </si>
  <si>
    <t>=GL(,"Name",$C388)</t>
  </si>
  <si>
    <t>=L387+1</t>
  </si>
  <si>
    <t>=GL(,"Name",$C389)</t>
  </si>
  <si>
    <t>=L388+1</t>
  </si>
  <si>
    <t>="100-6100-00"</t>
  </si>
  <si>
    <t>=GL(,"Name",$C390)</t>
  </si>
  <si>
    <t>=L389+1</t>
  </si>
  <si>
    <t>="100-6110-00"</t>
  </si>
  <si>
    <t>=GL(,"Name",$C391)</t>
  </si>
  <si>
    <t>=L390+1</t>
  </si>
  <si>
    <t>="100-6120-00"</t>
  </si>
  <si>
    <t>=GL(,"Name",$C392)</t>
  </si>
  <si>
    <t>=L391+1</t>
  </si>
  <si>
    <t>="100-6130-00"</t>
  </si>
  <si>
    <t>=GL(,"Name",$C393)</t>
  </si>
  <si>
    <t>=L392+1</t>
  </si>
  <si>
    <t>="100-6140-00"</t>
  </si>
  <si>
    <t>=GL(,"Name",$C394)</t>
  </si>
  <si>
    <t>=L393+1</t>
  </si>
  <si>
    <t>="100-6150-00"</t>
  </si>
  <si>
    <t>=GL(,"Name",$C395)</t>
  </si>
  <si>
    <t>=L394+1</t>
  </si>
  <si>
    <t>="100-6160-00"</t>
  </si>
  <si>
    <t>=GL(,"Name",$C396)</t>
  </si>
  <si>
    <t>=L395+1</t>
  </si>
  <si>
    <t>="100-6170-00"</t>
  </si>
  <si>
    <t>=GL(,"Name",$C397)</t>
  </si>
  <si>
    <t>=L396+1</t>
  </si>
  <si>
    <t>="100-6180-00"</t>
  </si>
  <si>
    <t>=GL(,"Name",$C398)</t>
  </si>
  <si>
    <t>=L397+1</t>
  </si>
  <si>
    <t>="100-6190-00"</t>
  </si>
  <si>
    <t>=GL(,"Name",$C399)</t>
  </si>
  <si>
    <t>=L398+1</t>
  </si>
  <si>
    <t>="100-6500-00"</t>
  </si>
  <si>
    <t>=GL(,"Name",$C400)</t>
  </si>
  <si>
    <t>=L399+1</t>
  </si>
  <si>
    <t>="100-6510-00"</t>
  </si>
  <si>
    <t>=GL(,"Name",$C401)</t>
  </si>
  <si>
    <t>=L400+1</t>
  </si>
  <si>
    <t>="100-6520-00"</t>
  </si>
  <si>
    <t>=GL(,"Name",$C402)</t>
  </si>
  <si>
    <t>=L401+1</t>
  </si>
  <si>
    <t>="100-6530-00"</t>
  </si>
  <si>
    <t>=GL(,"Name",$C403)</t>
  </si>
  <si>
    <t>=L402+1</t>
  </si>
  <si>
    <t>="100-9010-00"</t>
  </si>
  <si>
    <t>=GL(,"Name",$C404)</t>
  </si>
  <si>
    <t>=L403+1</t>
  </si>
  <si>
    <t>="100-9020-00"</t>
  </si>
  <si>
    <t>=GL(,"Name",$C405)</t>
  </si>
  <si>
    <t>=L404+1</t>
  </si>
  <si>
    <t>="100-9030-00"</t>
  </si>
  <si>
    <t>=GL(,"Name",$C406)</t>
  </si>
  <si>
    <t>=L405+1</t>
  </si>
  <si>
    <t>="200-5100-00"</t>
  </si>
  <si>
    <t>=GL(,"Name",$C407)</t>
  </si>
  <si>
    <t>=L406+1</t>
  </si>
  <si>
    <t>="200-5110-00"</t>
  </si>
  <si>
    <t>=GL(,"Name",$C408)</t>
  </si>
  <si>
    <t>=L407+1</t>
  </si>
  <si>
    <t>="200-5120-00"</t>
  </si>
  <si>
    <t>=GL(,"Name",$C409)</t>
  </si>
  <si>
    <t>=L408+1</t>
  </si>
  <si>
    <t>="200-5140-00"</t>
  </si>
  <si>
    <t>=GL(,"Name",$C410)</t>
  </si>
  <si>
    <t>=L409+1</t>
  </si>
  <si>
    <t>="200-5150-00"</t>
  </si>
  <si>
    <t>=GL(,"Name",$C411)</t>
  </si>
  <si>
    <t>=L410+1</t>
  </si>
  <si>
    <t>="200-5160-00"</t>
  </si>
  <si>
    <t>=GL(,"Name",$C412)</t>
  </si>
  <si>
    <t>=L411+1</t>
  </si>
  <si>
    <t>=GL(,"Name",$C413)</t>
  </si>
  <si>
    <t>=L412+1</t>
  </si>
  <si>
    <t>="200-6100-00"</t>
  </si>
  <si>
    <t>=GL(,"Name",$C414)</t>
  </si>
  <si>
    <t>=L413+1</t>
  </si>
  <si>
    <t>="200-6120-00"</t>
  </si>
  <si>
    <t>=GL(,"Name",$C415)</t>
  </si>
  <si>
    <t>=L414+1</t>
  </si>
  <si>
    <t>="200-6130-00"</t>
  </si>
  <si>
    <t>=GL(,"Name",$C416)</t>
  </si>
  <si>
    <t>=L415+1</t>
  </si>
  <si>
    <t>="200-6140-00"</t>
  </si>
  <si>
    <t>=GL(,"Name",$C417)</t>
  </si>
  <si>
    <t>=L416+1</t>
  </si>
  <si>
    <t>="200-6150-00"</t>
  </si>
  <si>
    <t>=GL(,"Name",$C418)</t>
  </si>
  <si>
    <t>=L417+1</t>
  </si>
  <si>
    <t>="200-6160-00"</t>
  </si>
  <si>
    <t>=GL(,"Name",$C419)</t>
  </si>
  <si>
    <t>=L418+1</t>
  </si>
  <si>
    <t>="200-6170-00"</t>
  </si>
  <si>
    <t>=GL(,"Name",$C420)</t>
  </si>
  <si>
    <t>=L419+1</t>
  </si>
  <si>
    <t>="200-6180-00"</t>
  </si>
  <si>
    <t>=GL(,"Name",$C421)</t>
  </si>
  <si>
    <t>=L420+1</t>
  </si>
  <si>
    <t>="200-6190-00"</t>
  </si>
  <si>
    <t>=GL(,"Name",$C422)</t>
  </si>
  <si>
    <t>=L421+1</t>
  </si>
  <si>
    <t>="200-6500-00"</t>
  </si>
  <si>
    <t>=GL(,"Name",$C423)</t>
  </si>
  <si>
    <t>=L422+1</t>
  </si>
  <si>
    <t>="200-6510-00"</t>
  </si>
  <si>
    <t>=GL(,"Name",$C424)</t>
  </si>
  <si>
    <t>=L423+1</t>
  </si>
  <si>
    <t>="200-6520-00"</t>
  </si>
  <si>
    <t>=GL(,"Name",$C425)</t>
  </si>
  <si>
    <t>=L424+1</t>
  </si>
  <si>
    <t>="200-6530-00"</t>
  </si>
  <si>
    <t>=GL(,"Name",$C426)</t>
  </si>
  <si>
    <t>=L425+1</t>
  </si>
  <si>
    <t>="200-9010-00"</t>
  </si>
  <si>
    <t>=GL(,"Name",$C427)</t>
  </si>
  <si>
    <t>=L426+1</t>
  </si>
  <si>
    <t>="200-9020-00"</t>
  </si>
  <si>
    <t>=GL(,"Name",$C428)</t>
  </si>
  <si>
    <t>=L427+1</t>
  </si>
  <si>
    <t>="200-9030-00"</t>
  </si>
  <si>
    <t>=GL(,"Name",$C429)</t>
  </si>
  <si>
    <t>=L428+1</t>
  </si>
  <si>
    <t>="300-5100-00"</t>
  </si>
  <si>
    <t>=GL(,"Name",$C430)</t>
  </si>
  <si>
    <t>=L429+1</t>
  </si>
  <si>
    <t>="300-5110-00"</t>
  </si>
  <si>
    <t>=GL(,"Name",$C431)</t>
  </si>
  <si>
    <t>=L430+1</t>
  </si>
  <si>
    <t>="300-5120-00"</t>
  </si>
  <si>
    <t>=GL(,"Name",$C432)</t>
  </si>
  <si>
    <t>=L431+1</t>
  </si>
  <si>
    <t>="300-5130-00"</t>
  </si>
  <si>
    <t>=GL(,"Name",$C433)</t>
  </si>
  <si>
    <t>=L432+1</t>
  </si>
  <si>
    <t>="300-5140-00"</t>
  </si>
  <si>
    <t>=GL(,"Name",$C434)</t>
  </si>
  <si>
    <t>=L433+1</t>
  </si>
  <si>
    <t>="300-5150-00"</t>
  </si>
  <si>
    <t>=GL(,"Name",$C435)</t>
  </si>
  <si>
    <t>=L434+1</t>
  </si>
  <si>
    <t>="300-5160-00"</t>
  </si>
  <si>
    <t>=GL(,"Name",$C436)</t>
  </si>
  <si>
    <t>=L435+1</t>
  </si>
  <si>
    <t>="300-5170-00"</t>
  </si>
  <si>
    <t>=GL(,"Name",$C437)</t>
  </si>
  <si>
    <t>=L436+1</t>
  </si>
  <si>
    <t>="300-6100-00"</t>
  </si>
  <si>
    <t>=GL(,"Name",$C438)</t>
  </si>
  <si>
    <t>=L437+1</t>
  </si>
  <si>
    <t>="300-6120-00"</t>
  </si>
  <si>
    <t>=GL(,"Name",$C439)</t>
  </si>
  <si>
    <t>=L438+1</t>
  </si>
  <si>
    <t>="300-6130-00"</t>
  </si>
  <si>
    <t>=GL(,"Name",$C440)</t>
  </si>
  <si>
    <t>=L439+1</t>
  </si>
  <si>
    <t>="300-6140-00"</t>
  </si>
  <si>
    <t>=GL(,"Name",$C441)</t>
  </si>
  <si>
    <t>=L440+1</t>
  </si>
  <si>
    <t>="300-6150-00"</t>
  </si>
  <si>
    <t>=GL(,"Name",$C442)</t>
  </si>
  <si>
    <t>=L441+1</t>
  </si>
  <si>
    <t>="300-6160-00"</t>
  </si>
  <si>
    <t>=GL(,"Name",$C443)</t>
  </si>
  <si>
    <t>=L442+1</t>
  </si>
  <si>
    <t>="300-6170-00"</t>
  </si>
  <si>
    <t>=GL(,"Name",$C444)</t>
  </si>
  <si>
    <t>=L443+1</t>
  </si>
  <si>
    <t>="300-6180-00"</t>
  </si>
  <si>
    <t>=GL(,"Name",$C445)</t>
  </si>
  <si>
    <t>=L444+1</t>
  </si>
  <si>
    <t>="300-6190-00"</t>
  </si>
  <si>
    <t>=GL(,"Name",$C446)</t>
  </si>
  <si>
    <t>=L445+1</t>
  </si>
  <si>
    <t>="300-6500-00"</t>
  </si>
  <si>
    <t>=GL(,"Name",$C447)</t>
  </si>
  <si>
    <t>=L446+1</t>
  </si>
  <si>
    <t>="300-6510-00"</t>
  </si>
  <si>
    <t>=GL(,"Name",$C448)</t>
  </si>
  <si>
    <t>=L447+1</t>
  </si>
  <si>
    <t>="300-6520-00"</t>
  </si>
  <si>
    <t>=GL(,"Name",$C449)</t>
  </si>
  <si>
    <t>=L448+1</t>
  </si>
  <si>
    <t>="300-6530-00"</t>
  </si>
  <si>
    <t>=GL(,"Name",$C450)</t>
  </si>
  <si>
    <t>=L449+1</t>
  </si>
  <si>
    <t>="300-9010-00"</t>
  </si>
  <si>
    <t>=GL(,"Name",$C451)</t>
  </si>
  <si>
    <t>=L450+1</t>
  </si>
  <si>
    <t>="300-9020-00"</t>
  </si>
  <si>
    <t>=GL(,"Name",$C452)</t>
  </si>
  <si>
    <t>=L451+1</t>
  </si>
  <si>
    <t>="300-9030-00"</t>
  </si>
  <si>
    <t>=GL(,"Name",$C453)</t>
  </si>
  <si>
    <t>=L452+1</t>
  </si>
  <si>
    <t>="400-5100-00"</t>
  </si>
  <si>
    <t>=GL(,"Name",$C454)</t>
  </si>
  <si>
    <t>=L453+1</t>
  </si>
  <si>
    <t>="400-5101-00"</t>
  </si>
  <si>
    <t>=GL(,"Name",$C455)</t>
  </si>
  <si>
    <t>=L454+1</t>
  </si>
  <si>
    <t>="400-5110-00"</t>
  </si>
  <si>
    <t>=GL(,"Name",$C456)</t>
  </si>
  <si>
    <t>=L455+1</t>
  </si>
  <si>
    <t>="400-5111-00"</t>
  </si>
  <si>
    <t>=GL(,"Name",$C457)</t>
  </si>
  <si>
    <t>=L456+1</t>
  </si>
  <si>
    <t>="400-5120-00"</t>
  </si>
  <si>
    <t>=GL(,"Name",$C458)</t>
  </si>
  <si>
    <t>=L457+1</t>
  </si>
  <si>
    <t>="400-5121-00"</t>
  </si>
  <si>
    <t>=GL(,"Name",$C459)</t>
  </si>
  <si>
    <t>=L458+1</t>
  </si>
  <si>
    <t>="400-5130-00"</t>
  </si>
  <si>
    <t>=GL(,"Name",$C460)</t>
  </si>
  <si>
    <t>=L459+1</t>
  </si>
  <si>
    <t>="400-5131-00"</t>
  </si>
  <si>
    <t>=GL(,"Name",$C461)</t>
  </si>
  <si>
    <t>=L460+1</t>
  </si>
  <si>
    <t>="400-5140-00"</t>
  </si>
  <si>
    <t>=GL(,"Name",$C462)</t>
  </si>
  <si>
    <t>=L461+1</t>
  </si>
  <si>
    <t>="400-5141-00"</t>
  </si>
  <si>
    <t>=GL(,"Name",$C463)</t>
  </si>
  <si>
    <t>=L462+1</t>
  </si>
  <si>
    <t>="400-5150-00"</t>
  </si>
  <si>
    <t>=GL(,"Name",$C464)</t>
  </si>
  <si>
    <t>=L463+1</t>
  </si>
  <si>
    <t>="400-5160-00"</t>
  </si>
  <si>
    <t>=GL(,"Name",$C465)</t>
  </si>
  <si>
    <t>=L464+1</t>
  </si>
  <si>
    <t>="400-5170-00"</t>
  </si>
  <si>
    <t>=GL(,"Name",$C466)</t>
  </si>
  <si>
    <t>=L465+1</t>
  </si>
  <si>
    <t>="400-5600-00"</t>
  </si>
  <si>
    <t>=GL(,"Name",$C467)</t>
  </si>
  <si>
    <t>=L466+1</t>
  </si>
  <si>
    <t>="400-6100-00"</t>
  </si>
  <si>
    <t>=GL(,"Name",$C468)</t>
  </si>
  <si>
    <t>=L467+1</t>
  </si>
  <si>
    <t>="400-6110-00"</t>
  </si>
  <si>
    <t>=GL(,"Name",$C469)</t>
  </si>
  <si>
    <t>=L468+1</t>
  </si>
  <si>
    <t>="400-6120-00"</t>
  </si>
  <si>
    <t>=GL(,"Name",$C470)</t>
  </si>
  <si>
    <t>=L469+1</t>
  </si>
  <si>
    <t>="400-6130-00"</t>
  </si>
  <si>
    <t>=GL(,"Name",$C471)</t>
  </si>
  <si>
    <t>=L470+1</t>
  </si>
  <si>
    <t>="400-6140-00"</t>
  </si>
  <si>
    <t>=GL(,"Name",$C472)</t>
  </si>
  <si>
    <t>=L471+1</t>
  </si>
  <si>
    <t>="400-6150-00"</t>
  </si>
  <si>
    <t>=GL(,"Name",$C473)</t>
  </si>
  <si>
    <t>=L472+1</t>
  </si>
  <si>
    <t>="400-6160-00"</t>
  </si>
  <si>
    <t>=GL(,"Name",$C474)</t>
  </si>
  <si>
    <t>=L473+1</t>
  </si>
  <si>
    <t>="400-6170-00"</t>
  </si>
  <si>
    <t>=GL(,"Name",$C475)</t>
  </si>
  <si>
    <t>=L474+1</t>
  </si>
  <si>
    <t>="400-6180-00"</t>
  </si>
  <si>
    <t>=GL(,"Name",$C476)</t>
  </si>
  <si>
    <t>=L475+1</t>
  </si>
  <si>
    <t>="400-6190-00"</t>
  </si>
  <si>
    <t>=GL(,"Name",$C477)</t>
  </si>
  <si>
    <t>=L476+1</t>
  </si>
  <si>
    <t>="400-6500-00"</t>
  </si>
  <si>
    <t>=GL(,"Name",$C478)</t>
  </si>
  <si>
    <t>=L477+1</t>
  </si>
  <si>
    <t>="400-6510-00"</t>
  </si>
  <si>
    <t>=GL(,"Name",$C479)</t>
  </si>
  <si>
    <t>=L478+1</t>
  </si>
  <si>
    <t>="400-6520-00"</t>
  </si>
  <si>
    <t>=GL(,"Name",$C480)</t>
  </si>
  <si>
    <t>=L479+1</t>
  </si>
  <si>
    <t>="400-6530-00"</t>
  </si>
  <si>
    <t>=GL(,"Name",$C481)</t>
  </si>
  <si>
    <t>=L480+1</t>
  </si>
  <si>
    <t>="400-9010-00"</t>
  </si>
  <si>
    <t>=GL(,"Name",$C482)</t>
  </si>
  <si>
    <t>=L481+1</t>
  </si>
  <si>
    <t>="400-9020-00"</t>
  </si>
  <si>
    <t>=GL(,"Name",$C483)</t>
  </si>
  <si>
    <t>=L482+1</t>
  </si>
  <si>
    <t>="400-9030-00"</t>
  </si>
  <si>
    <t>=GL(,"Name",$C484)</t>
  </si>
  <si>
    <t>=L483+1</t>
  </si>
  <si>
    <t>="500-5100-00"</t>
  </si>
  <si>
    <t>=GL(,"Name",$C485)</t>
  </si>
  <si>
    <t>=L484+1</t>
  </si>
  <si>
    <t>="500-5101-00"</t>
  </si>
  <si>
    <t>=GL(,"Name",$C486)</t>
  </si>
  <si>
    <t>=L485+1</t>
  </si>
  <si>
    <t>="500-5110-00"</t>
  </si>
  <si>
    <t>=GL(,"Name",$C487)</t>
  </si>
  <si>
    <t>=L486+1</t>
  </si>
  <si>
    <t>="500-5111-00"</t>
  </si>
  <si>
    <t>=GL(,"Name",$C488)</t>
  </si>
  <si>
    <t>=L487+1</t>
  </si>
  <si>
    <t>="500-5120-00"</t>
  </si>
  <si>
    <t>=GL(,"Name",$C489)</t>
  </si>
  <si>
    <t>=L488+1</t>
  </si>
  <si>
    <t>="500-5121-00"</t>
  </si>
  <si>
    <t>=GL(,"Name",$C490)</t>
  </si>
  <si>
    <t>=L489+1</t>
  </si>
  <si>
    <t>="500-5130-00"</t>
  </si>
  <si>
    <t>=GL(,"Name",$C491)</t>
  </si>
  <si>
    <t>=L490+1</t>
  </si>
  <si>
    <t>="500-5131-00"</t>
  </si>
  <si>
    <t>=GL(,"Name",$C492)</t>
  </si>
  <si>
    <t>=L491+1</t>
  </si>
  <si>
    <t>="500-5140-00"</t>
  </si>
  <si>
    <t>=GL(,"Name",$C493)</t>
  </si>
  <si>
    <t>=L492+1</t>
  </si>
  <si>
    <t>="500-5141-00"</t>
  </si>
  <si>
    <t>=GL(,"Name",$C494)</t>
  </si>
  <si>
    <t>=L493+1</t>
  </si>
  <si>
    <t>="500-5150-00"</t>
  </si>
  <si>
    <t>=GL(,"Name",$C495)</t>
  </si>
  <si>
    <t>=L494+1</t>
  </si>
  <si>
    <t>="500-5160-00"</t>
  </si>
  <si>
    <t>=GL(,"Name",$C496)</t>
  </si>
  <si>
    <t>=L495+1</t>
  </si>
  <si>
    <t>="500-5170-00"</t>
  </si>
  <si>
    <t>=GL(,"Name",$C497)</t>
  </si>
  <si>
    <t>=L496+1</t>
  </si>
  <si>
    <t>="500-5600-00"</t>
  </si>
  <si>
    <t>=GL(,"Name",$C498)</t>
  </si>
  <si>
    <t>=L497+1</t>
  </si>
  <si>
    <t>="500-6100-00"</t>
  </si>
  <si>
    <t>=GL(,"Name",$C499)</t>
  </si>
  <si>
    <t>=L498+1</t>
  </si>
  <si>
    <t>="500-6120-00"</t>
  </si>
  <si>
    <t>=GL(,"Name",$C500)</t>
  </si>
  <si>
    <t>=L499+1</t>
  </si>
  <si>
    <t>="500-6130-00"</t>
  </si>
  <si>
    <t>=GL(,"Name",$C501)</t>
  </si>
  <si>
    <t>=L500+1</t>
  </si>
  <si>
    <t>="500-6140-00"</t>
  </si>
  <si>
    <t>=GL(,"Name",$C502)</t>
  </si>
  <si>
    <t>=L501+1</t>
  </si>
  <si>
    <t>="500-6150-00"</t>
  </si>
  <si>
    <t>=GL(,"Name",$C503)</t>
  </si>
  <si>
    <t>=L502+1</t>
  </si>
  <si>
    <t>="500-6160-00"</t>
  </si>
  <si>
    <t>=GL(,"Name",$C504)</t>
  </si>
  <si>
    <t>=L503+1</t>
  </si>
  <si>
    <t>="500-6170-00"</t>
  </si>
  <si>
    <t>=GL(,"Name",$C505)</t>
  </si>
  <si>
    <t>=L504+1</t>
  </si>
  <si>
    <t>="500-6180-00"</t>
  </si>
  <si>
    <t>=GL(,"Name",$C506)</t>
  </si>
  <si>
    <t>=L505+1</t>
  </si>
  <si>
    <t>="500-6190-00"</t>
  </si>
  <si>
    <t>=GL(,"Name",$C507)</t>
  </si>
  <si>
    <t>=L506+1</t>
  </si>
  <si>
    <t>="500-6500-00"</t>
  </si>
  <si>
    <t>=GL(,"Name",$C508)</t>
  </si>
  <si>
    <t>=L507+1</t>
  </si>
  <si>
    <t>="500-6510-00"</t>
  </si>
  <si>
    <t>=GL(,"Name",$C509)</t>
  </si>
  <si>
    <t>=L508+1</t>
  </si>
  <si>
    <t>="500-6520-00"</t>
  </si>
  <si>
    <t>=GL(,"Name",$C510)</t>
  </si>
  <si>
    <t>=L509+1</t>
  </si>
  <si>
    <t>="500-6530-00"</t>
  </si>
  <si>
    <t>=GL(,"Name",$C511)</t>
  </si>
  <si>
    <t>=L510+1</t>
  </si>
  <si>
    <t>="500-9010-00"</t>
  </si>
  <si>
    <t>=GL(,"Name",$C512)</t>
  </si>
  <si>
    <t>=L511+1</t>
  </si>
  <si>
    <t>="500-9020-00"</t>
  </si>
  <si>
    <t>=GL(,"Name",$C513)</t>
  </si>
  <si>
    <t>=L512+1</t>
  </si>
  <si>
    <t>="500-9030-00"</t>
  </si>
  <si>
    <t>=GL(,"Name",$C514)</t>
  </si>
  <si>
    <t>=L513+1</t>
  </si>
  <si>
    <t>="600-5100-00"</t>
  </si>
  <si>
    <t>=GL(,"Name",$C515)</t>
  </si>
  <si>
    <t>=L514+1</t>
  </si>
  <si>
    <t>="600-5110-00"</t>
  </si>
  <si>
    <t>=GL(,"Name",$C516)</t>
  </si>
  <si>
    <t>=L515+1</t>
  </si>
  <si>
    <t>="600-5120-00"</t>
  </si>
  <si>
    <t>=GL(,"Name",$C517)</t>
  </si>
  <si>
    <t>=L516+1</t>
  </si>
  <si>
    <t>="600-5140-00"</t>
  </si>
  <si>
    <t>=GL(,"Name",$C518)</t>
  </si>
  <si>
    <t>=L517+1</t>
  </si>
  <si>
    <t>="600-5150-00"</t>
  </si>
  <si>
    <t>=GL(,"Name",$C519)</t>
  </si>
  <si>
    <t>=L518+1</t>
  </si>
  <si>
    <t>="600-5160-00"</t>
  </si>
  <si>
    <t>=GL(,"Name",$C520)</t>
  </si>
  <si>
    <t>=L519+1</t>
  </si>
  <si>
    <t>="600-5170-00"</t>
  </si>
  <si>
    <t>=GL(,"Name",$C521)</t>
  </si>
  <si>
    <t>=L520+1</t>
  </si>
  <si>
    <t>="600-6100-00"</t>
  </si>
  <si>
    <t>=GL(,"Name",$C522)</t>
  </si>
  <si>
    <t>=L521+1</t>
  </si>
  <si>
    <t>="600-6120-00"</t>
  </si>
  <si>
    <t>=GL(,"Name",$C523)</t>
  </si>
  <si>
    <t>=L522+1</t>
  </si>
  <si>
    <t>="600-6130-00"</t>
  </si>
  <si>
    <t>=GL(,"Name",$C524)</t>
  </si>
  <si>
    <t>=L523+1</t>
  </si>
  <si>
    <t>="600-6140-00"</t>
  </si>
  <si>
    <t>=GL(,"Name",$C525)</t>
  </si>
  <si>
    <t>=L524+1</t>
  </si>
  <si>
    <t>="600-6150-00"</t>
  </si>
  <si>
    <t>=GL(,"Name",$C526)</t>
  </si>
  <si>
    <t>=L525+1</t>
  </si>
  <si>
    <t>="600-6160-00"</t>
  </si>
  <si>
    <t>=GL(,"Name",$C527)</t>
  </si>
  <si>
    <t>=L526+1</t>
  </si>
  <si>
    <t>="600-6170-00"</t>
  </si>
  <si>
    <t>=GL(,"Name",$C528)</t>
  </si>
  <si>
    <t>=L527+1</t>
  </si>
  <si>
    <t>="600-6180-00"</t>
  </si>
  <si>
    <t>=GL(,"Name",$C529)</t>
  </si>
  <si>
    <t>=L528+1</t>
  </si>
  <si>
    <t>="600-6190-00"</t>
  </si>
  <si>
    <t>=GL(,"Name",$C530)</t>
  </si>
  <si>
    <t>=L529+1</t>
  </si>
  <si>
    <t>="600-6500-00"</t>
  </si>
  <si>
    <t>="600-6510-00"</t>
  </si>
  <si>
    <t>="600-6520-00"</t>
  </si>
  <si>
    <t>="600-6530-00"</t>
  </si>
  <si>
    <t>="600-9010-00"</t>
  </si>
  <si>
    <t>="600-9020-00"</t>
  </si>
  <si>
    <t>="600-9030-00"</t>
  </si>
  <si>
    <t>="999-9999-99"</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</si>
  <si>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</si>
  <si>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</si>
  <si>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</si>
  <si>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</si>
  <si>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</si>
  <si>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</si>
  <si>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</si>
  <si>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</si>
  <si>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</si>
  <si>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</si>
  <si>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</si>
  <si>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</si>
  <si>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</si>
  <si>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</si>
  <si>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</si>
  <si>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</si>
  <si>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</si>
  <si>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</si>
  <si>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is intended to create a Trial Balance for a given date range.</t>
  </si>
  <si>
    <t>Auto+Hide+Hidesheet+Values+Formulas=Sheet2,Sheet3+FormulasOnly</t>
  </si>
  <si>
    <t>=NL("Columns","Jet Fiscal Period","Period ID","Period ID",$D$6&amp;".."&amp;$D$7)</t>
  </si>
  <si>
    <t>=TEXT(DATE($D$5,E9,1),"Mmm")</t>
  </si>
  <si>
    <t>=GL(,"Name",$C12)</t>
  </si>
  <si>
    <t>=GL(,"Balance",$C12,,$D$5&amp;"/"&amp;E$9)</t>
  </si>
  <si>
    <t>=F11+1</t>
  </si>
  <si>
    <t>=SUM(E12:E13)</t>
  </si>
  <si>
    <t>Auto+Hide+Values+Formulas=Sheet4,Sheet5+FormulasOnly</t>
  </si>
  <si>
    <t>Auto+Hide+Hidesheet+Values+Formulas=Sheet6,Sheet2,Sheet3</t>
  </si>
  <si>
    <t>Auto+Hide+Hidesheet+Values+Formulas=Sheet6,Sheet2,Sheet3+FormulasOnly</t>
  </si>
  <si>
    <t>Auto+Hide+Values+Formulas=Sheet7,Sheet4,Sheet5</t>
  </si>
  <si>
    <t>=TEXT(DATE($D$5,F9,1),"Mmm")</t>
  </si>
  <si>
    <t>=TEXT(DATE($D$5,G9,1),"Mmm")</t>
  </si>
  <si>
    <t>=TEXT(DATE($D$5,H9,1),"Mmm")</t>
  </si>
  <si>
    <t>=TEXT(DATE($D$5,I9,1),"Mmm")</t>
  </si>
  <si>
    <t>=TEXT(DATE($D$5,J9,1),"Mmm")</t>
  </si>
  <si>
    <t>=TEXT(DATE($D$5,K9,1),"Mmm")</t>
  </si>
  <si>
    <t>=GL(,"Balance",$C12,,$D$5&amp;"/"&amp;F$9)</t>
  </si>
  <si>
    <t>=GL(,"Balance",$C12,,$D$5&amp;"/"&amp;G$9)</t>
  </si>
  <si>
    <t>=GL(,"Balance",$C12,,$D$5&amp;"/"&amp;H$9)</t>
  </si>
  <si>
    <t>=GL(,"Balance",$C12,,$D$5&amp;"/"&amp;I$9)</t>
  </si>
  <si>
    <t>=GL(,"Balance",$C12,,$D$5&amp;"/"&amp;J$9)</t>
  </si>
  <si>
    <t>=GL(,"Balance",$C12,,$D$5&amp;"/"&amp;K$9)</t>
  </si>
  <si>
    <t>=L11+1</t>
  </si>
  <si>
    <t>=GL(,"Name",$C13)</t>
  </si>
  <si>
    <t>=GL(,"Balance",$C13,,$D$5&amp;"/"&amp;E$9)</t>
  </si>
  <si>
    <t>=GL(,"Balance",$C13,,$D$5&amp;"/"&amp;F$9)</t>
  </si>
  <si>
    <t>=GL(,"Balance",$C13,,$D$5&amp;"/"&amp;G$9)</t>
  </si>
  <si>
    <t>=GL(,"Balance",$C13,,$D$5&amp;"/"&amp;H$9)</t>
  </si>
  <si>
    <t>=GL(,"Balance",$C13,,$D$5&amp;"/"&amp;I$9)</t>
  </si>
  <si>
    <t>=GL(,"Balance",$C13,,$D$5&amp;"/"&amp;J$9)</t>
  </si>
  <si>
    <t>=GL(,"Balance",$C13,,$D$5&amp;"/"&amp;K$9)</t>
  </si>
  <si>
    <t>=L12+1</t>
  </si>
  <si>
    <t>=GL(,"Name",$C14)</t>
  </si>
  <si>
    <t>=GL(,"Balance",$C14,,$D$5&amp;"/"&amp;E$9)</t>
  </si>
  <si>
    <t>=GL(,"Balance",$C14,,$D$5&amp;"/"&amp;F$9)</t>
  </si>
  <si>
    <t>=GL(,"Balance",$C14,,$D$5&amp;"/"&amp;G$9)</t>
  </si>
  <si>
    <t>=GL(,"Balance",$C14,,$D$5&amp;"/"&amp;H$9)</t>
  </si>
  <si>
    <t>=GL(,"Balance",$C14,,$D$5&amp;"/"&amp;I$9)</t>
  </si>
  <si>
    <t>=GL(,"Balance",$C14,,$D$5&amp;"/"&amp;J$9)</t>
  </si>
  <si>
    <t>=GL(,"Balance",$C14,,$D$5&amp;"/"&amp;K$9)</t>
  </si>
  <si>
    <t>=L13+1</t>
  </si>
  <si>
    <t>=GL(,"Name",$C15)</t>
  </si>
  <si>
    <t>=GL(,"Balance",$C15,,$D$5&amp;"/"&amp;E$9)</t>
  </si>
  <si>
    <t>=GL(,"Balance",$C15,,$D$5&amp;"/"&amp;F$9)</t>
  </si>
  <si>
    <t>=GL(,"Balance",$C15,,$D$5&amp;"/"&amp;G$9)</t>
  </si>
  <si>
    <t>=GL(,"Balance",$C15,,$D$5&amp;"/"&amp;H$9)</t>
  </si>
  <si>
    <t>=GL(,"Balance",$C15,,$D$5&amp;"/"&amp;I$9)</t>
  </si>
  <si>
    <t>=GL(,"Balance",$C15,,$D$5&amp;"/"&amp;J$9)</t>
  </si>
  <si>
    <t>=GL(,"Balance",$C15,,$D$5&amp;"/"&amp;K$9)</t>
  </si>
  <si>
    <t>=L14+1</t>
  </si>
  <si>
    <t>=GL(,"Name",$C16)</t>
  </si>
  <si>
    <t>=GL(,"Balance",$C16,,$D$5&amp;"/"&amp;E$9)</t>
  </si>
  <si>
    <t>=GL(,"Balance",$C16,,$D$5&amp;"/"&amp;F$9)</t>
  </si>
  <si>
    <t>=GL(,"Balance",$C16,,$D$5&amp;"/"&amp;G$9)</t>
  </si>
  <si>
    <t>=GL(,"Balance",$C16,,$D$5&amp;"/"&amp;H$9)</t>
  </si>
  <si>
    <t>=GL(,"Balance",$C16,,$D$5&amp;"/"&amp;I$9)</t>
  </si>
  <si>
    <t>=GL(,"Balance",$C16,,$D$5&amp;"/"&amp;J$9)</t>
  </si>
  <si>
    <t>=GL(,"Balance",$C16,,$D$5&amp;"/"&amp;K$9)</t>
  </si>
  <si>
    <t>=L15+1</t>
  </si>
  <si>
    <t>=GL(,"Name",$C17)</t>
  </si>
  <si>
    <t>=GL(,"Balance",$C17,,$D$5&amp;"/"&amp;E$9)</t>
  </si>
  <si>
    <t>=GL(,"Balance",$C17,,$D$5&amp;"/"&amp;F$9)</t>
  </si>
  <si>
    <t>=GL(,"Balance",$C17,,$D$5&amp;"/"&amp;G$9)</t>
  </si>
  <si>
    <t>=GL(,"Balance",$C17,,$D$5&amp;"/"&amp;H$9)</t>
  </si>
  <si>
    <t>=GL(,"Balance",$C17,,$D$5&amp;"/"&amp;I$9)</t>
  </si>
  <si>
    <t>=GL(,"Balance",$C17,,$D$5&amp;"/"&amp;J$9)</t>
  </si>
  <si>
    <t>=GL(,"Balance",$C17,,$D$5&amp;"/"&amp;K$9)</t>
  </si>
  <si>
    <t>=L16+1</t>
  </si>
  <si>
    <t>=GL(,"Name",$C18)</t>
  </si>
  <si>
    <t>=GL(,"Balance",$C18,,$D$5&amp;"/"&amp;E$9)</t>
  </si>
  <si>
    <t>=GL(,"Balance",$C18,,$D$5&amp;"/"&amp;F$9)</t>
  </si>
  <si>
    <t>=GL(,"Balance",$C18,,$D$5&amp;"/"&amp;G$9)</t>
  </si>
  <si>
    <t>=GL(,"Balance",$C18,,$D$5&amp;"/"&amp;H$9)</t>
  </si>
  <si>
    <t>=GL(,"Balance",$C18,,$D$5&amp;"/"&amp;I$9)</t>
  </si>
  <si>
    <t>=GL(,"Balance",$C18,,$D$5&amp;"/"&amp;J$9)</t>
  </si>
  <si>
    <t>=GL(,"Balance",$C18,,$D$5&amp;"/"&amp;K$9)</t>
  </si>
  <si>
    <t>=L17+1</t>
  </si>
  <si>
    <t>=GL(,"Name",$C19)</t>
  </si>
  <si>
    <t>=GL(,"Balance",$C19,,$D$5&amp;"/"&amp;E$9)</t>
  </si>
  <si>
    <t>=GL(,"Balance",$C19,,$D$5&amp;"/"&amp;F$9)</t>
  </si>
  <si>
    <t>=GL(,"Balance",$C19,,$D$5&amp;"/"&amp;G$9)</t>
  </si>
  <si>
    <t>=GL(,"Balance",$C19,,$D$5&amp;"/"&amp;H$9)</t>
  </si>
  <si>
    <t>=GL(,"Balance",$C19,,$D$5&amp;"/"&amp;I$9)</t>
  </si>
  <si>
    <t>=GL(,"Balance",$C19,,$D$5&amp;"/"&amp;J$9)</t>
  </si>
  <si>
    <t>=GL(,"Balance",$C19,,$D$5&amp;"/"&amp;K$9)</t>
  </si>
  <si>
    <t>=L18+1</t>
  </si>
  <si>
    <t>=GL(,"Balance",$C20,,$D$5&amp;"/"&amp;E$9)</t>
  </si>
  <si>
    <t>=GL(,"Balance",$C20,,$D$5&amp;"/"&amp;F$9)</t>
  </si>
  <si>
    <t>=GL(,"Balance",$C20,,$D$5&amp;"/"&amp;G$9)</t>
  </si>
  <si>
    <t>=GL(,"Balance",$C20,,$D$5&amp;"/"&amp;H$9)</t>
  </si>
  <si>
    <t>=GL(,"Balance",$C20,,$D$5&amp;"/"&amp;I$9)</t>
  </si>
  <si>
    <t>=GL(,"Balance",$C20,,$D$5&amp;"/"&amp;J$9)</t>
  </si>
  <si>
    <t>=GL(,"Balance",$C20,,$D$5&amp;"/"&amp;K$9)</t>
  </si>
  <si>
    <t>=GL(,"Balance",$C21,,$D$5&amp;"/"&amp;E$9)</t>
  </si>
  <si>
    <t>=GL(,"Balance",$C21,,$D$5&amp;"/"&amp;F$9)</t>
  </si>
  <si>
    <t>=GL(,"Balance",$C21,,$D$5&amp;"/"&amp;G$9)</t>
  </si>
  <si>
    <t>=GL(,"Balance",$C21,,$D$5&amp;"/"&amp;H$9)</t>
  </si>
  <si>
    <t>=GL(,"Balance",$C21,,$D$5&amp;"/"&amp;I$9)</t>
  </si>
  <si>
    <t>=GL(,"Balance",$C21,,$D$5&amp;"/"&amp;J$9)</t>
  </si>
  <si>
    <t>=GL(,"Balance",$C21,,$D$5&amp;"/"&amp;K$9)</t>
  </si>
  <si>
    <t>=GL(,"Balance",$C22,,$D$5&amp;"/"&amp;E$9)</t>
  </si>
  <si>
    <t>=GL(,"Balance",$C22,,$D$5&amp;"/"&amp;F$9)</t>
  </si>
  <si>
    <t>=GL(,"Balance",$C22,,$D$5&amp;"/"&amp;G$9)</t>
  </si>
  <si>
    <t>=GL(,"Balance",$C22,,$D$5&amp;"/"&amp;H$9)</t>
  </si>
  <si>
    <t>=GL(,"Balance",$C22,,$D$5&amp;"/"&amp;I$9)</t>
  </si>
  <si>
    <t>=GL(,"Balance",$C22,,$D$5&amp;"/"&amp;J$9)</t>
  </si>
  <si>
    <t>=GL(,"Balance",$C22,,$D$5&amp;"/"&amp;K$9)</t>
  </si>
  <si>
    <t>=GL(,"Balance",$C23,,$D$5&amp;"/"&amp;E$9)</t>
  </si>
  <si>
    <t>=GL(,"Balance",$C23,,$D$5&amp;"/"&amp;F$9)</t>
  </si>
  <si>
    <t>=GL(,"Balance",$C23,,$D$5&amp;"/"&amp;G$9)</t>
  </si>
  <si>
    <t>=GL(,"Balance",$C23,,$D$5&amp;"/"&amp;H$9)</t>
  </si>
  <si>
    <t>=GL(,"Balance",$C23,,$D$5&amp;"/"&amp;I$9)</t>
  </si>
  <si>
    <t>=GL(,"Balance",$C23,,$D$5&amp;"/"&amp;J$9)</t>
  </si>
  <si>
    <t>=GL(,"Balance",$C23,,$D$5&amp;"/"&amp;K$9)</t>
  </si>
  <si>
    <t>=GL(,"Balance",$C24,,$D$5&amp;"/"&amp;E$9)</t>
  </si>
  <si>
    <t>=GL(,"Balance",$C24,,$D$5&amp;"/"&amp;F$9)</t>
  </si>
  <si>
    <t>=GL(,"Balance",$C24,,$D$5&amp;"/"&amp;G$9)</t>
  </si>
  <si>
    <t>=GL(,"Balance",$C24,,$D$5&amp;"/"&amp;H$9)</t>
  </si>
  <si>
    <t>=GL(,"Balance",$C24,,$D$5&amp;"/"&amp;I$9)</t>
  </si>
  <si>
    <t>=GL(,"Balance",$C24,,$D$5&amp;"/"&amp;J$9)</t>
  </si>
  <si>
    <t>=GL(,"Balance",$C24,,$D$5&amp;"/"&amp;K$9)</t>
  </si>
  <si>
    <t>=GL(,"Balance",$C25,,$D$5&amp;"/"&amp;E$9)</t>
  </si>
  <si>
    <t>=GL(,"Balance",$C25,,$D$5&amp;"/"&amp;F$9)</t>
  </si>
  <si>
    <t>=GL(,"Balance",$C25,,$D$5&amp;"/"&amp;G$9)</t>
  </si>
  <si>
    <t>=GL(,"Balance",$C25,,$D$5&amp;"/"&amp;H$9)</t>
  </si>
  <si>
    <t>=GL(,"Balance",$C25,,$D$5&amp;"/"&amp;I$9)</t>
  </si>
  <si>
    <t>=GL(,"Balance",$C25,,$D$5&amp;"/"&amp;J$9)</t>
  </si>
  <si>
    <t>=GL(,"Balance",$C25,,$D$5&amp;"/"&amp;K$9)</t>
  </si>
  <si>
    <t>=GL(,"Balance",$C26,,$D$5&amp;"/"&amp;E$9)</t>
  </si>
  <si>
    <t>=GL(,"Balance",$C26,,$D$5&amp;"/"&amp;F$9)</t>
  </si>
  <si>
    <t>=GL(,"Balance",$C26,,$D$5&amp;"/"&amp;G$9)</t>
  </si>
  <si>
    <t>=GL(,"Balance",$C26,,$D$5&amp;"/"&amp;H$9)</t>
  </si>
  <si>
    <t>=GL(,"Balance",$C26,,$D$5&amp;"/"&amp;I$9)</t>
  </si>
  <si>
    <t>=GL(,"Balance",$C26,,$D$5&amp;"/"&amp;J$9)</t>
  </si>
  <si>
    <t>=GL(,"Balance",$C26,,$D$5&amp;"/"&amp;K$9)</t>
  </si>
  <si>
    <t>=GL(,"Balance",$C27,,$D$5&amp;"/"&amp;E$9)</t>
  </si>
  <si>
    <t>=GL(,"Balance",$C27,,$D$5&amp;"/"&amp;F$9)</t>
  </si>
  <si>
    <t>=GL(,"Balance",$C27,,$D$5&amp;"/"&amp;G$9)</t>
  </si>
  <si>
    <t>=GL(,"Balance",$C27,,$D$5&amp;"/"&amp;H$9)</t>
  </si>
  <si>
    <t>=GL(,"Balance",$C27,,$D$5&amp;"/"&amp;I$9)</t>
  </si>
  <si>
    <t>=GL(,"Balance",$C27,,$D$5&amp;"/"&amp;J$9)</t>
  </si>
  <si>
    <t>=GL(,"Balance",$C27,,$D$5&amp;"/"&amp;K$9)</t>
  </si>
  <si>
    <t>=GL(,"Balance",$C28,,$D$5&amp;"/"&amp;E$9)</t>
  </si>
  <si>
    <t>=GL(,"Balance",$C28,,$D$5&amp;"/"&amp;F$9)</t>
  </si>
  <si>
    <t>=GL(,"Balance",$C28,,$D$5&amp;"/"&amp;G$9)</t>
  </si>
  <si>
    <t>=GL(,"Balance",$C28,,$D$5&amp;"/"&amp;H$9)</t>
  </si>
  <si>
    <t>=GL(,"Balance",$C28,,$D$5&amp;"/"&amp;I$9)</t>
  </si>
  <si>
    <t>=GL(,"Balance",$C28,,$D$5&amp;"/"&amp;J$9)</t>
  </si>
  <si>
    <t>=GL(,"Balance",$C28,,$D$5&amp;"/"&amp;K$9)</t>
  </si>
  <si>
    <t>=GL(,"Balance",$C29,,$D$5&amp;"/"&amp;E$9)</t>
  </si>
  <si>
    <t>=GL(,"Balance",$C29,,$D$5&amp;"/"&amp;F$9)</t>
  </si>
  <si>
    <t>=GL(,"Balance",$C29,,$D$5&amp;"/"&amp;G$9)</t>
  </si>
  <si>
    <t>=GL(,"Balance",$C29,,$D$5&amp;"/"&amp;H$9)</t>
  </si>
  <si>
    <t>=GL(,"Balance",$C29,,$D$5&amp;"/"&amp;I$9)</t>
  </si>
  <si>
    <t>=GL(,"Balance",$C29,,$D$5&amp;"/"&amp;J$9)</t>
  </si>
  <si>
    <t>=GL(,"Balance",$C29,,$D$5&amp;"/"&amp;K$9)</t>
  </si>
  <si>
    <t>=GL(,"Balance",$C30,,$D$5&amp;"/"&amp;E$9)</t>
  </si>
  <si>
    <t>=GL(,"Balance",$C30,,$D$5&amp;"/"&amp;F$9)</t>
  </si>
  <si>
    <t>=GL(,"Balance",$C30,,$D$5&amp;"/"&amp;G$9)</t>
  </si>
  <si>
    <t>=GL(,"Balance",$C30,,$D$5&amp;"/"&amp;H$9)</t>
  </si>
  <si>
    <t>=GL(,"Balance",$C30,,$D$5&amp;"/"&amp;I$9)</t>
  </si>
  <si>
    <t>=GL(,"Balance",$C30,,$D$5&amp;"/"&amp;J$9)</t>
  </si>
  <si>
    <t>=GL(,"Balance",$C30,,$D$5&amp;"/"&amp;K$9)</t>
  </si>
  <si>
    <t>=GL(,"Balance",$C31,,$D$5&amp;"/"&amp;E$9)</t>
  </si>
  <si>
    <t>=GL(,"Balance",$C31,,$D$5&amp;"/"&amp;F$9)</t>
  </si>
  <si>
    <t>=GL(,"Balance",$C31,,$D$5&amp;"/"&amp;G$9)</t>
  </si>
  <si>
    <t>=GL(,"Balance",$C31,,$D$5&amp;"/"&amp;H$9)</t>
  </si>
  <si>
    <t>=GL(,"Balance",$C31,,$D$5&amp;"/"&amp;I$9)</t>
  </si>
  <si>
    <t>=GL(,"Balance",$C31,,$D$5&amp;"/"&amp;J$9)</t>
  </si>
  <si>
    <t>=GL(,"Balance",$C31,,$D$5&amp;"/"&amp;K$9)</t>
  </si>
  <si>
    <t>=GL(,"Balance",$C32,,$D$5&amp;"/"&amp;E$9)</t>
  </si>
  <si>
    <t>=GL(,"Balance",$C32,,$D$5&amp;"/"&amp;F$9)</t>
  </si>
  <si>
    <t>=GL(,"Balance",$C32,,$D$5&amp;"/"&amp;G$9)</t>
  </si>
  <si>
    <t>=GL(,"Balance",$C32,,$D$5&amp;"/"&amp;H$9)</t>
  </si>
  <si>
    <t>=GL(,"Balance",$C32,,$D$5&amp;"/"&amp;I$9)</t>
  </si>
  <si>
    <t>=GL(,"Balance",$C32,,$D$5&amp;"/"&amp;J$9)</t>
  </si>
  <si>
    <t>=GL(,"Balance",$C32,,$D$5&amp;"/"&amp;K$9)</t>
  </si>
  <si>
    <t>=GL(,"Balance",$C33,,$D$5&amp;"/"&amp;E$9)</t>
  </si>
  <si>
    <t>=GL(,"Balance",$C33,,$D$5&amp;"/"&amp;F$9)</t>
  </si>
  <si>
    <t>=GL(,"Balance",$C33,,$D$5&amp;"/"&amp;G$9)</t>
  </si>
  <si>
    <t>=GL(,"Balance",$C33,,$D$5&amp;"/"&amp;H$9)</t>
  </si>
  <si>
    <t>=GL(,"Balance",$C33,,$D$5&amp;"/"&amp;I$9)</t>
  </si>
  <si>
    <t>=GL(,"Balance",$C33,,$D$5&amp;"/"&amp;J$9)</t>
  </si>
  <si>
    <t>=GL(,"Balance",$C33,,$D$5&amp;"/"&amp;K$9)</t>
  </si>
  <si>
    <t>=GL(,"Balance",$C34,,$D$5&amp;"/"&amp;E$9)</t>
  </si>
  <si>
    <t>=GL(,"Balance",$C34,,$D$5&amp;"/"&amp;F$9)</t>
  </si>
  <si>
    <t>=GL(,"Balance",$C34,,$D$5&amp;"/"&amp;G$9)</t>
  </si>
  <si>
    <t>=GL(,"Balance",$C34,,$D$5&amp;"/"&amp;H$9)</t>
  </si>
  <si>
    <t>=GL(,"Balance",$C34,,$D$5&amp;"/"&amp;I$9)</t>
  </si>
  <si>
    <t>=GL(,"Balance",$C34,,$D$5&amp;"/"&amp;J$9)</t>
  </si>
  <si>
    <t>=GL(,"Balance",$C34,,$D$5&amp;"/"&amp;K$9)</t>
  </si>
  <si>
    <t>=GL(,"Balance",$C35,,$D$5&amp;"/"&amp;E$9)</t>
  </si>
  <si>
    <t>=GL(,"Balance",$C35,,$D$5&amp;"/"&amp;F$9)</t>
  </si>
  <si>
    <t>=GL(,"Balance",$C35,,$D$5&amp;"/"&amp;G$9)</t>
  </si>
  <si>
    <t>=GL(,"Balance",$C35,,$D$5&amp;"/"&amp;H$9)</t>
  </si>
  <si>
    <t>=GL(,"Balance",$C35,,$D$5&amp;"/"&amp;I$9)</t>
  </si>
  <si>
    <t>=GL(,"Balance",$C35,,$D$5&amp;"/"&amp;J$9)</t>
  </si>
  <si>
    <t>=GL(,"Balance",$C35,,$D$5&amp;"/"&amp;K$9)</t>
  </si>
  <si>
    <t>=GL(,"Balance",$C36,,$D$5&amp;"/"&amp;E$9)</t>
  </si>
  <si>
    <t>=GL(,"Balance",$C36,,$D$5&amp;"/"&amp;F$9)</t>
  </si>
  <si>
    <t>=GL(,"Balance",$C36,,$D$5&amp;"/"&amp;G$9)</t>
  </si>
  <si>
    <t>=GL(,"Balance",$C36,,$D$5&amp;"/"&amp;H$9)</t>
  </si>
  <si>
    <t>=GL(,"Balance",$C36,,$D$5&amp;"/"&amp;I$9)</t>
  </si>
  <si>
    <t>=GL(,"Balance",$C36,,$D$5&amp;"/"&amp;J$9)</t>
  </si>
  <si>
    <t>=GL(,"Balance",$C36,,$D$5&amp;"/"&amp;K$9)</t>
  </si>
  <si>
    <t>=GL(,"Balance",$C37,,$D$5&amp;"/"&amp;E$9)</t>
  </si>
  <si>
    <t>=GL(,"Balance",$C37,,$D$5&amp;"/"&amp;F$9)</t>
  </si>
  <si>
    <t>=GL(,"Balance",$C37,,$D$5&amp;"/"&amp;G$9)</t>
  </si>
  <si>
    <t>=GL(,"Balance",$C37,,$D$5&amp;"/"&amp;H$9)</t>
  </si>
  <si>
    <t>=GL(,"Balance",$C37,,$D$5&amp;"/"&amp;I$9)</t>
  </si>
  <si>
    <t>=GL(,"Balance",$C37,,$D$5&amp;"/"&amp;J$9)</t>
  </si>
  <si>
    <t>=GL(,"Balance",$C37,,$D$5&amp;"/"&amp;K$9)</t>
  </si>
  <si>
    <t>=GL(,"Balance",$C38,,$D$5&amp;"/"&amp;E$9)</t>
  </si>
  <si>
    <t>=GL(,"Balance",$C38,,$D$5&amp;"/"&amp;F$9)</t>
  </si>
  <si>
    <t>=GL(,"Balance",$C38,,$D$5&amp;"/"&amp;G$9)</t>
  </si>
  <si>
    <t>=GL(,"Balance",$C38,,$D$5&amp;"/"&amp;H$9)</t>
  </si>
  <si>
    <t>=GL(,"Balance",$C38,,$D$5&amp;"/"&amp;I$9)</t>
  </si>
  <si>
    <t>=GL(,"Balance",$C38,,$D$5&amp;"/"&amp;J$9)</t>
  </si>
  <si>
    <t>=GL(,"Balance",$C38,,$D$5&amp;"/"&amp;K$9)</t>
  </si>
  <si>
    <t>=GL(,"Balance",$C39,,$D$5&amp;"/"&amp;E$9)</t>
  </si>
  <si>
    <t>=GL(,"Balance",$C39,,$D$5&amp;"/"&amp;F$9)</t>
  </si>
  <si>
    <t>=GL(,"Balance",$C39,,$D$5&amp;"/"&amp;G$9)</t>
  </si>
  <si>
    <t>=GL(,"Balance",$C39,,$D$5&amp;"/"&amp;H$9)</t>
  </si>
  <si>
    <t>=GL(,"Balance",$C39,,$D$5&amp;"/"&amp;I$9)</t>
  </si>
  <si>
    <t>=GL(,"Balance",$C39,,$D$5&amp;"/"&amp;J$9)</t>
  </si>
  <si>
    <t>=GL(,"Balance",$C39,,$D$5&amp;"/"&amp;K$9)</t>
  </si>
  <si>
    <t>=GL(,"Balance",$C40,,$D$5&amp;"/"&amp;E$9)</t>
  </si>
  <si>
    <t>=GL(,"Balance",$C40,,$D$5&amp;"/"&amp;F$9)</t>
  </si>
  <si>
    <t>=GL(,"Balance",$C40,,$D$5&amp;"/"&amp;G$9)</t>
  </si>
  <si>
    <t>=GL(,"Balance",$C40,,$D$5&amp;"/"&amp;H$9)</t>
  </si>
  <si>
    <t>=GL(,"Balance",$C40,,$D$5&amp;"/"&amp;I$9)</t>
  </si>
  <si>
    <t>=GL(,"Balance",$C40,,$D$5&amp;"/"&amp;J$9)</t>
  </si>
  <si>
    <t>=GL(,"Balance",$C40,,$D$5&amp;"/"&amp;K$9)</t>
  </si>
  <si>
    <t>=GL(,"Balance",$C41,,$D$5&amp;"/"&amp;E$9)</t>
  </si>
  <si>
    <t>=GL(,"Balance",$C41,,$D$5&amp;"/"&amp;F$9)</t>
  </si>
  <si>
    <t>=GL(,"Balance",$C41,,$D$5&amp;"/"&amp;G$9)</t>
  </si>
  <si>
    <t>=GL(,"Balance",$C41,,$D$5&amp;"/"&amp;H$9)</t>
  </si>
  <si>
    <t>=GL(,"Balance",$C41,,$D$5&amp;"/"&amp;I$9)</t>
  </si>
  <si>
    <t>=GL(,"Balance",$C41,,$D$5&amp;"/"&amp;J$9)</t>
  </si>
  <si>
    <t>=GL(,"Balance",$C41,,$D$5&amp;"/"&amp;K$9)</t>
  </si>
  <si>
    <t>=GL(,"Balance",$C42,,$D$5&amp;"/"&amp;E$9)</t>
  </si>
  <si>
    <t>=GL(,"Balance",$C42,,$D$5&amp;"/"&amp;F$9)</t>
  </si>
  <si>
    <t>=GL(,"Balance",$C42,,$D$5&amp;"/"&amp;G$9)</t>
  </si>
  <si>
    <t>=GL(,"Balance",$C42,,$D$5&amp;"/"&amp;H$9)</t>
  </si>
  <si>
    <t>=GL(,"Balance",$C42,,$D$5&amp;"/"&amp;I$9)</t>
  </si>
  <si>
    <t>=GL(,"Balance",$C42,,$D$5&amp;"/"&amp;J$9)</t>
  </si>
  <si>
    <t>=GL(,"Balance",$C42,,$D$5&amp;"/"&amp;K$9)</t>
  </si>
  <si>
    <t>=GL(,"Balance",$C43,,$D$5&amp;"/"&amp;E$9)</t>
  </si>
  <si>
    <t>=GL(,"Balance",$C43,,$D$5&amp;"/"&amp;F$9)</t>
  </si>
  <si>
    <t>=GL(,"Balance",$C43,,$D$5&amp;"/"&amp;G$9)</t>
  </si>
  <si>
    <t>=GL(,"Balance",$C43,,$D$5&amp;"/"&amp;H$9)</t>
  </si>
  <si>
    <t>=GL(,"Balance",$C43,,$D$5&amp;"/"&amp;I$9)</t>
  </si>
  <si>
    <t>=GL(,"Balance",$C43,,$D$5&amp;"/"&amp;J$9)</t>
  </si>
  <si>
    <t>=GL(,"Balance",$C43,,$D$5&amp;"/"&amp;K$9)</t>
  </si>
  <si>
    <t>=GL(,"Balance",$C44,,$D$5&amp;"/"&amp;E$9)</t>
  </si>
  <si>
    <t>=GL(,"Balance",$C44,,$D$5&amp;"/"&amp;F$9)</t>
  </si>
  <si>
    <t>=GL(,"Balance",$C44,,$D$5&amp;"/"&amp;G$9)</t>
  </si>
  <si>
    <t>=GL(,"Balance",$C44,,$D$5&amp;"/"&amp;H$9)</t>
  </si>
  <si>
    <t>=GL(,"Balance",$C44,,$D$5&amp;"/"&amp;I$9)</t>
  </si>
  <si>
    <t>=GL(,"Balance",$C44,,$D$5&amp;"/"&amp;J$9)</t>
  </si>
  <si>
    <t>=GL(,"Balance",$C44,,$D$5&amp;"/"&amp;K$9)</t>
  </si>
  <si>
    <t>=GL(,"Balance",$C45,,$D$5&amp;"/"&amp;E$9)</t>
  </si>
  <si>
    <t>=GL(,"Balance",$C45,,$D$5&amp;"/"&amp;F$9)</t>
  </si>
  <si>
    <t>=GL(,"Balance",$C45,,$D$5&amp;"/"&amp;G$9)</t>
  </si>
  <si>
    <t>=GL(,"Balance",$C45,,$D$5&amp;"/"&amp;H$9)</t>
  </si>
  <si>
    <t>=GL(,"Balance",$C45,,$D$5&amp;"/"&amp;I$9)</t>
  </si>
  <si>
    <t>=GL(,"Balance",$C45,,$D$5&amp;"/"&amp;J$9)</t>
  </si>
  <si>
    <t>=GL(,"Balance",$C45,,$D$5&amp;"/"&amp;K$9)</t>
  </si>
  <si>
    <t>=GL(,"Balance",$C46,,$D$5&amp;"/"&amp;E$9)</t>
  </si>
  <si>
    <t>=GL(,"Balance",$C46,,$D$5&amp;"/"&amp;F$9)</t>
  </si>
  <si>
    <t>=GL(,"Balance",$C46,,$D$5&amp;"/"&amp;G$9)</t>
  </si>
  <si>
    <t>=GL(,"Balance",$C46,,$D$5&amp;"/"&amp;H$9)</t>
  </si>
  <si>
    <t>=GL(,"Balance",$C46,,$D$5&amp;"/"&amp;I$9)</t>
  </si>
  <si>
    <t>=GL(,"Balance",$C46,,$D$5&amp;"/"&amp;J$9)</t>
  </si>
  <si>
    <t>=GL(,"Balance",$C46,,$D$5&amp;"/"&amp;K$9)</t>
  </si>
  <si>
    <t>=GL(,"Balance",$C47,,$D$5&amp;"/"&amp;E$9)</t>
  </si>
  <si>
    <t>=GL(,"Balance",$C47,,$D$5&amp;"/"&amp;F$9)</t>
  </si>
  <si>
    <t>=GL(,"Balance",$C47,,$D$5&amp;"/"&amp;G$9)</t>
  </si>
  <si>
    <t>=GL(,"Balance",$C47,,$D$5&amp;"/"&amp;H$9)</t>
  </si>
  <si>
    <t>=GL(,"Balance",$C47,,$D$5&amp;"/"&amp;I$9)</t>
  </si>
  <si>
    <t>=GL(,"Balance",$C47,,$D$5&amp;"/"&amp;J$9)</t>
  </si>
  <si>
    <t>=GL(,"Balance",$C47,,$D$5&amp;"/"&amp;K$9)</t>
  </si>
  <si>
    <t>=GL(,"Balance",$C48,,$D$5&amp;"/"&amp;E$9)</t>
  </si>
  <si>
    <t>=GL(,"Balance",$C48,,$D$5&amp;"/"&amp;F$9)</t>
  </si>
  <si>
    <t>=GL(,"Balance",$C48,,$D$5&amp;"/"&amp;G$9)</t>
  </si>
  <si>
    <t>=GL(,"Balance",$C48,,$D$5&amp;"/"&amp;H$9)</t>
  </si>
  <si>
    <t>=GL(,"Balance",$C48,,$D$5&amp;"/"&amp;I$9)</t>
  </si>
  <si>
    <t>=GL(,"Balance",$C48,,$D$5&amp;"/"&amp;J$9)</t>
  </si>
  <si>
    <t>=GL(,"Balance",$C48,,$D$5&amp;"/"&amp;K$9)</t>
  </si>
  <si>
    <t>=GL(,"Balance",$C49,,$D$5&amp;"/"&amp;E$9)</t>
  </si>
  <si>
    <t>=GL(,"Balance",$C49,,$D$5&amp;"/"&amp;F$9)</t>
  </si>
  <si>
    <t>=GL(,"Balance",$C49,,$D$5&amp;"/"&amp;G$9)</t>
  </si>
  <si>
    <t>=GL(,"Balance",$C49,,$D$5&amp;"/"&amp;H$9)</t>
  </si>
  <si>
    <t>=GL(,"Balance",$C49,,$D$5&amp;"/"&amp;I$9)</t>
  </si>
  <si>
    <t>=GL(,"Balance",$C49,,$D$5&amp;"/"&amp;J$9)</t>
  </si>
  <si>
    <t>=GL(,"Balance",$C49,,$D$5&amp;"/"&amp;K$9)</t>
  </si>
  <si>
    <t>=GL(,"Balance",$C50,,$D$5&amp;"/"&amp;E$9)</t>
  </si>
  <si>
    <t>=GL(,"Balance",$C50,,$D$5&amp;"/"&amp;F$9)</t>
  </si>
  <si>
    <t>=GL(,"Balance",$C50,,$D$5&amp;"/"&amp;G$9)</t>
  </si>
  <si>
    <t>=GL(,"Balance",$C50,,$D$5&amp;"/"&amp;H$9)</t>
  </si>
  <si>
    <t>=GL(,"Balance",$C50,,$D$5&amp;"/"&amp;I$9)</t>
  </si>
  <si>
    <t>=GL(,"Balance",$C50,,$D$5&amp;"/"&amp;J$9)</t>
  </si>
  <si>
    <t>=GL(,"Balance",$C50,,$D$5&amp;"/"&amp;K$9)</t>
  </si>
  <si>
    <t>=GL(,"Balance",$C51,,$D$5&amp;"/"&amp;E$9)</t>
  </si>
  <si>
    <t>=GL(,"Balance",$C51,,$D$5&amp;"/"&amp;F$9)</t>
  </si>
  <si>
    <t>=GL(,"Balance",$C51,,$D$5&amp;"/"&amp;G$9)</t>
  </si>
  <si>
    <t>=GL(,"Balance",$C51,,$D$5&amp;"/"&amp;H$9)</t>
  </si>
  <si>
    <t>=GL(,"Balance",$C51,,$D$5&amp;"/"&amp;I$9)</t>
  </si>
  <si>
    <t>=GL(,"Balance",$C51,,$D$5&amp;"/"&amp;J$9)</t>
  </si>
  <si>
    <t>=GL(,"Balance",$C51,,$D$5&amp;"/"&amp;K$9)</t>
  </si>
  <si>
    <t>=GL(,"Balance",$C52,,$D$5&amp;"/"&amp;E$9)</t>
  </si>
  <si>
    <t>=GL(,"Balance",$C52,,$D$5&amp;"/"&amp;F$9)</t>
  </si>
  <si>
    <t>=GL(,"Balance",$C52,,$D$5&amp;"/"&amp;G$9)</t>
  </si>
  <si>
    <t>=GL(,"Balance",$C52,,$D$5&amp;"/"&amp;H$9)</t>
  </si>
  <si>
    <t>=GL(,"Balance",$C52,,$D$5&amp;"/"&amp;I$9)</t>
  </si>
  <si>
    <t>=GL(,"Balance",$C52,,$D$5&amp;"/"&amp;J$9)</t>
  </si>
  <si>
    <t>=GL(,"Balance",$C52,,$D$5&amp;"/"&amp;K$9)</t>
  </si>
  <si>
    <t>=GL(,"Balance",$C53,,$D$5&amp;"/"&amp;E$9)</t>
  </si>
  <si>
    <t>=GL(,"Balance",$C53,,$D$5&amp;"/"&amp;F$9)</t>
  </si>
  <si>
    <t>=GL(,"Balance",$C53,,$D$5&amp;"/"&amp;G$9)</t>
  </si>
  <si>
    <t>=GL(,"Balance",$C53,,$D$5&amp;"/"&amp;H$9)</t>
  </si>
  <si>
    <t>=GL(,"Balance",$C53,,$D$5&amp;"/"&amp;I$9)</t>
  </si>
  <si>
    <t>=GL(,"Balance",$C53,,$D$5&amp;"/"&amp;J$9)</t>
  </si>
  <si>
    <t>=GL(,"Balance",$C53,,$D$5&amp;"/"&amp;K$9)</t>
  </si>
  <si>
    <t>=GL(,"Balance",$C54,,$D$5&amp;"/"&amp;E$9)</t>
  </si>
  <si>
    <t>=GL(,"Balance",$C54,,$D$5&amp;"/"&amp;F$9)</t>
  </si>
  <si>
    <t>=GL(,"Balance",$C54,,$D$5&amp;"/"&amp;G$9)</t>
  </si>
  <si>
    <t>=GL(,"Balance",$C54,,$D$5&amp;"/"&amp;H$9)</t>
  </si>
  <si>
    <t>=GL(,"Balance",$C54,,$D$5&amp;"/"&amp;I$9)</t>
  </si>
  <si>
    <t>=GL(,"Balance",$C54,,$D$5&amp;"/"&amp;J$9)</t>
  </si>
  <si>
    <t>=GL(,"Balance",$C54,,$D$5&amp;"/"&amp;K$9)</t>
  </si>
  <si>
    <t>=GL(,"Balance",$C55,,$D$5&amp;"/"&amp;E$9)</t>
  </si>
  <si>
    <t>=GL(,"Balance",$C55,,$D$5&amp;"/"&amp;F$9)</t>
  </si>
  <si>
    <t>=GL(,"Balance",$C55,,$D$5&amp;"/"&amp;G$9)</t>
  </si>
  <si>
    <t>=GL(,"Balance",$C55,,$D$5&amp;"/"&amp;H$9)</t>
  </si>
  <si>
    <t>=GL(,"Balance",$C55,,$D$5&amp;"/"&amp;I$9)</t>
  </si>
  <si>
    <t>=GL(,"Balance",$C55,,$D$5&amp;"/"&amp;J$9)</t>
  </si>
  <si>
    <t>=GL(,"Balance",$C55,,$D$5&amp;"/"&amp;K$9)</t>
  </si>
  <si>
    <t>=GL(,"Balance",$C56,,$D$5&amp;"/"&amp;E$9)</t>
  </si>
  <si>
    <t>=GL(,"Balance",$C56,,$D$5&amp;"/"&amp;F$9)</t>
  </si>
  <si>
    <t>=GL(,"Balance",$C56,,$D$5&amp;"/"&amp;G$9)</t>
  </si>
  <si>
    <t>=GL(,"Balance",$C56,,$D$5&amp;"/"&amp;H$9)</t>
  </si>
  <si>
    <t>=GL(,"Balance",$C56,,$D$5&amp;"/"&amp;I$9)</t>
  </si>
  <si>
    <t>=GL(,"Balance",$C56,,$D$5&amp;"/"&amp;J$9)</t>
  </si>
  <si>
    <t>=GL(,"Balance",$C56,,$D$5&amp;"/"&amp;K$9)</t>
  </si>
  <si>
    <t>=GL(,"Balance",$C57,,$D$5&amp;"/"&amp;E$9)</t>
  </si>
  <si>
    <t>=GL(,"Balance",$C57,,$D$5&amp;"/"&amp;F$9)</t>
  </si>
  <si>
    <t>=GL(,"Balance",$C57,,$D$5&amp;"/"&amp;G$9)</t>
  </si>
  <si>
    <t>=GL(,"Balance",$C57,,$D$5&amp;"/"&amp;H$9)</t>
  </si>
  <si>
    <t>=GL(,"Balance",$C57,,$D$5&amp;"/"&amp;I$9)</t>
  </si>
  <si>
    <t>=GL(,"Balance",$C57,,$D$5&amp;"/"&amp;J$9)</t>
  </si>
  <si>
    <t>=GL(,"Balance",$C57,,$D$5&amp;"/"&amp;K$9)</t>
  </si>
  <si>
    <t>=GL(,"Balance",$C58,,$D$5&amp;"/"&amp;E$9)</t>
  </si>
  <si>
    <t>=GL(,"Balance",$C58,,$D$5&amp;"/"&amp;F$9)</t>
  </si>
  <si>
    <t>=GL(,"Balance",$C58,,$D$5&amp;"/"&amp;G$9)</t>
  </si>
  <si>
    <t>=GL(,"Balance",$C58,,$D$5&amp;"/"&amp;H$9)</t>
  </si>
  <si>
    <t>=GL(,"Balance",$C58,,$D$5&amp;"/"&amp;I$9)</t>
  </si>
  <si>
    <t>=GL(,"Balance",$C58,,$D$5&amp;"/"&amp;J$9)</t>
  </si>
  <si>
    <t>=GL(,"Balance",$C58,,$D$5&amp;"/"&amp;K$9)</t>
  </si>
  <si>
    <t>=GL(,"Balance",$C59,,$D$5&amp;"/"&amp;E$9)</t>
  </si>
  <si>
    <t>=GL(,"Balance",$C59,,$D$5&amp;"/"&amp;F$9)</t>
  </si>
  <si>
    <t>=GL(,"Balance",$C59,,$D$5&amp;"/"&amp;G$9)</t>
  </si>
  <si>
    <t>=GL(,"Balance",$C59,,$D$5&amp;"/"&amp;H$9)</t>
  </si>
  <si>
    <t>=GL(,"Balance",$C59,,$D$5&amp;"/"&amp;I$9)</t>
  </si>
  <si>
    <t>=GL(,"Balance",$C59,,$D$5&amp;"/"&amp;J$9)</t>
  </si>
  <si>
    <t>=GL(,"Balance",$C59,,$D$5&amp;"/"&amp;K$9)</t>
  </si>
  <si>
    <t>=GL(,"Balance",$C60,,$D$5&amp;"/"&amp;E$9)</t>
  </si>
  <si>
    <t>=GL(,"Balance",$C60,,$D$5&amp;"/"&amp;F$9)</t>
  </si>
  <si>
    <t>=GL(,"Balance",$C60,,$D$5&amp;"/"&amp;G$9)</t>
  </si>
  <si>
    <t>=GL(,"Balance",$C60,,$D$5&amp;"/"&amp;H$9)</t>
  </si>
  <si>
    <t>=GL(,"Balance",$C60,,$D$5&amp;"/"&amp;I$9)</t>
  </si>
  <si>
    <t>=GL(,"Balance",$C60,,$D$5&amp;"/"&amp;J$9)</t>
  </si>
  <si>
    <t>=GL(,"Balance",$C60,,$D$5&amp;"/"&amp;K$9)</t>
  </si>
  <si>
    <t>=GL(,"Balance",$C61,,$D$5&amp;"/"&amp;E$9)</t>
  </si>
  <si>
    <t>=GL(,"Balance",$C61,,$D$5&amp;"/"&amp;F$9)</t>
  </si>
  <si>
    <t>=GL(,"Balance",$C61,,$D$5&amp;"/"&amp;G$9)</t>
  </si>
  <si>
    <t>=GL(,"Balance",$C61,,$D$5&amp;"/"&amp;H$9)</t>
  </si>
  <si>
    <t>=GL(,"Balance",$C61,,$D$5&amp;"/"&amp;I$9)</t>
  </si>
  <si>
    <t>=GL(,"Balance",$C61,,$D$5&amp;"/"&amp;J$9)</t>
  </si>
  <si>
    <t>=GL(,"Balance",$C61,,$D$5&amp;"/"&amp;K$9)</t>
  </si>
  <si>
    <t>=GL(,"Balance",$C62,,$D$5&amp;"/"&amp;E$9)</t>
  </si>
  <si>
    <t>=GL(,"Balance",$C62,,$D$5&amp;"/"&amp;F$9)</t>
  </si>
  <si>
    <t>=GL(,"Balance",$C62,,$D$5&amp;"/"&amp;G$9)</t>
  </si>
  <si>
    <t>=GL(,"Balance",$C62,,$D$5&amp;"/"&amp;H$9)</t>
  </si>
  <si>
    <t>=GL(,"Balance",$C62,,$D$5&amp;"/"&amp;I$9)</t>
  </si>
  <si>
    <t>=GL(,"Balance",$C62,,$D$5&amp;"/"&amp;J$9)</t>
  </si>
  <si>
    <t>=GL(,"Balance",$C62,,$D$5&amp;"/"&amp;K$9)</t>
  </si>
  <si>
    <t>=GL(,"Balance",$C63,,$D$5&amp;"/"&amp;E$9)</t>
  </si>
  <si>
    <t>=GL(,"Balance",$C63,,$D$5&amp;"/"&amp;F$9)</t>
  </si>
  <si>
    <t>=GL(,"Balance",$C63,,$D$5&amp;"/"&amp;G$9)</t>
  </si>
  <si>
    <t>=GL(,"Balance",$C63,,$D$5&amp;"/"&amp;H$9)</t>
  </si>
  <si>
    <t>=GL(,"Balance",$C63,,$D$5&amp;"/"&amp;I$9)</t>
  </si>
  <si>
    <t>=GL(,"Balance",$C63,,$D$5&amp;"/"&amp;J$9)</t>
  </si>
  <si>
    <t>=GL(,"Balance",$C63,,$D$5&amp;"/"&amp;K$9)</t>
  </si>
  <si>
    <t>=GL(,"Balance",$C64,,$D$5&amp;"/"&amp;E$9)</t>
  </si>
  <si>
    <t>=GL(,"Balance",$C64,,$D$5&amp;"/"&amp;F$9)</t>
  </si>
  <si>
    <t>=GL(,"Balance",$C64,,$D$5&amp;"/"&amp;G$9)</t>
  </si>
  <si>
    <t>=GL(,"Balance",$C64,,$D$5&amp;"/"&amp;H$9)</t>
  </si>
  <si>
    <t>=GL(,"Balance",$C64,,$D$5&amp;"/"&amp;I$9)</t>
  </si>
  <si>
    <t>=GL(,"Balance",$C64,,$D$5&amp;"/"&amp;J$9)</t>
  </si>
  <si>
    <t>=GL(,"Balance",$C64,,$D$5&amp;"/"&amp;K$9)</t>
  </si>
  <si>
    <t>=GL(,"Balance",$C65,,$D$5&amp;"/"&amp;E$9)</t>
  </si>
  <si>
    <t>=GL(,"Balance",$C65,,$D$5&amp;"/"&amp;F$9)</t>
  </si>
  <si>
    <t>=GL(,"Balance",$C65,,$D$5&amp;"/"&amp;G$9)</t>
  </si>
  <si>
    <t>=GL(,"Balance",$C65,,$D$5&amp;"/"&amp;H$9)</t>
  </si>
  <si>
    <t>=GL(,"Balance",$C65,,$D$5&amp;"/"&amp;I$9)</t>
  </si>
  <si>
    <t>=GL(,"Balance",$C65,,$D$5&amp;"/"&amp;J$9)</t>
  </si>
  <si>
    <t>=GL(,"Balance",$C65,,$D$5&amp;"/"&amp;K$9)</t>
  </si>
  <si>
    <t>=GL(,"Balance",$C66,,$D$5&amp;"/"&amp;E$9)</t>
  </si>
  <si>
    <t>=GL(,"Balance",$C66,,$D$5&amp;"/"&amp;F$9)</t>
  </si>
  <si>
    <t>=GL(,"Balance",$C66,,$D$5&amp;"/"&amp;G$9)</t>
  </si>
  <si>
    <t>=GL(,"Balance",$C66,,$D$5&amp;"/"&amp;H$9)</t>
  </si>
  <si>
    <t>=GL(,"Balance",$C66,,$D$5&amp;"/"&amp;I$9)</t>
  </si>
  <si>
    <t>=GL(,"Balance",$C66,,$D$5&amp;"/"&amp;J$9)</t>
  </si>
  <si>
    <t>=GL(,"Balance",$C66,,$D$5&amp;"/"&amp;K$9)</t>
  </si>
  <si>
    <t>=GL(,"Balance",$C67,,$D$5&amp;"/"&amp;E$9)</t>
  </si>
  <si>
    <t>=GL(,"Balance",$C67,,$D$5&amp;"/"&amp;F$9)</t>
  </si>
  <si>
    <t>=GL(,"Balance",$C67,,$D$5&amp;"/"&amp;G$9)</t>
  </si>
  <si>
    <t>=GL(,"Balance",$C67,,$D$5&amp;"/"&amp;H$9)</t>
  </si>
  <si>
    <t>=GL(,"Balance",$C67,,$D$5&amp;"/"&amp;I$9)</t>
  </si>
  <si>
    <t>=GL(,"Balance",$C67,,$D$5&amp;"/"&amp;J$9)</t>
  </si>
  <si>
    <t>=GL(,"Balance",$C67,,$D$5&amp;"/"&amp;K$9)</t>
  </si>
  <si>
    <t>=GL(,"Balance",$C68,,$D$5&amp;"/"&amp;E$9)</t>
  </si>
  <si>
    <t>=GL(,"Balance",$C68,,$D$5&amp;"/"&amp;F$9)</t>
  </si>
  <si>
    <t>=GL(,"Balance",$C68,,$D$5&amp;"/"&amp;G$9)</t>
  </si>
  <si>
    <t>=GL(,"Balance",$C68,,$D$5&amp;"/"&amp;H$9)</t>
  </si>
  <si>
    <t>=GL(,"Balance",$C68,,$D$5&amp;"/"&amp;I$9)</t>
  </si>
  <si>
    <t>=GL(,"Balance",$C68,,$D$5&amp;"/"&amp;J$9)</t>
  </si>
  <si>
    <t>=GL(,"Balance",$C68,,$D$5&amp;"/"&amp;K$9)</t>
  </si>
  <si>
    <t>=GL(,"Balance",$C69,,$D$5&amp;"/"&amp;E$9)</t>
  </si>
  <si>
    <t>=GL(,"Balance",$C69,,$D$5&amp;"/"&amp;F$9)</t>
  </si>
  <si>
    <t>=GL(,"Balance",$C69,,$D$5&amp;"/"&amp;G$9)</t>
  </si>
  <si>
    <t>=GL(,"Balance",$C69,,$D$5&amp;"/"&amp;H$9)</t>
  </si>
  <si>
    <t>=GL(,"Balance",$C69,,$D$5&amp;"/"&amp;I$9)</t>
  </si>
  <si>
    <t>=GL(,"Balance",$C69,,$D$5&amp;"/"&amp;J$9)</t>
  </si>
  <si>
    <t>=GL(,"Balance",$C69,,$D$5&amp;"/"&amp;K$9)</t>
  </si>
  <si>
    <t>=GL(,"Balance",$C70,,$D$5&amp;"/"&amp;E$9)</t>
  </si>
  <si>
    <t>=GL(,"Balance",$C70,,$D$5&amp;"/"&amp;F$9)</t>
  </si>
  <si>
    <t>=GL(,"Balance",$C70,,$D$5&amp;"/"&amp;G$9)</t>
  </si>
  <si>
    <t>=GL(,"Balance",$C70,,$D$5&amp;"/"&amp;H$9)</t>
  </si>
  <si>
    <t>=GL(,"Balance",$C70,,$D$5&amp;"/"&amp;I$9)</t>
  </si>
  <si>
    <t>=GL(,"Balance",$C70,,$D$5&amp;"/"&amp;J$9)</t>
  </si>
  <si>
    <t>=GL(,"Balance",$C70,,$D$5&amp;"/"&amp;K$9)</t>
  </si>
  <si>
    <t>=GL(,"Balance",$C71,,$D$5&amp;"/"&amp;E$9)</t>
  </si>
  <si>
    <t>=GL(,"Balance",$C71,,$D$5&amp;"/"&amp;F$9)</t>
  </si>
  <si>
    <t>=GL(,"Balance",$C71,,$D$5&amp;"/"&amp;G$9)</t>
  </si>
  <si>
    <t>=GL(,"Balance",$C71,,$D$5&amp;"/"&amp;H$9)</t>
  </si>
  <si>
    <t>=GL(,"Balance",$C71,,$D$5&amp;"/"&amp;I$9)</t>
  </si>
  <si>
    <t>=GL(,"Balance",$C71,,$D$5&amp;"/"&amp;J$9)</t>
  </si>
  <si>
    <t>=GL(,"Balance",$C71,,$D$5&amp;"/"&amp;K$9)</t>
  </si>
  <si>
    <t>=GL(,"Balance",$C72,,$D$5&amp;"/"&amp;E$9)</t>
  </si>
  <si>
    <t>=GL(,"Balance",$C72,,$D$5&amp;"/"&amp;F$9)</t>
  </si>
  <si>
    <t>=GL(,"Balance",$C72,,$D$5&amp;"/"&amp;G$9)</t>
  </si>
  <si>
    <t>=GL(,"Balance",$C72,,$D$5&amp;"/"&amp;H$9)</t>
  </si>
  <si>
    <t>=GL(,"Balance",$C72,,$D$5&amp;"/"&amp;I$9)</t>
  </si>
  <si>
    <t>=GL(,"Balance",$C72,,$D$5&amp;"/"&amp;J$9)</t>
  </si>
  <si>
    <t>=GL(,"Balance",$C72,,$D$5&amp;"/"&amp;K$9)</t>
  </si>
  <si>
    <t>=GL(,"Balance",$C73,,$D$5&amp;"/"&amp;E$9)</t>
  </si>
  <si>
    <t>=GL(,"Balance",$C73,,$D$5&amp;"/"&amp;F$9)</t>
  </si>
  <si>
    <t>=GL(,"Balance",$C73,,$D$5&amp;"/"&amp;G$9)</t>
  </si>
  <si>
    <t>=GL(,"Balance",$C73,,$D$5&amp;"/"&amp;H$9)</t>
  </si>
  <si>
    <t>=GL(,"Balance",$C73,,$D$5&amp;"/"&amp;I$9)</t>
  </si>
  <si>
    <t>=GL(,"Balance",$C73,,$D$5&amp;"/"&amp;J$9)</t>
  </si>
  <si>
    <t>=GL(,"Balance",$C73,,$D$5&amp;"/"&amp;K$9)</t>
  </si>
  <si>
    <t>=GL(,"Balance",$C74,,$D$5&amp;"/"&amp;E$9)</t>
  </si>
  <si>
    <t>=GL(,"Balance",$C74,,$D$5&amp;"/"&amp;F$9)</t>
  </si>
  <si>
    <t>=GL(,"Balance",$C74,,$D$5&amp;"/"&amp;G$9)</t>
  </si>
  <si>
    <t>=GL(,"Balance",$C74,,$D$5&amp;"/"&amp;H$9)</t>
  </si>
  <si>
    <t>=GL(,"Balance",$C74,,$D$5&amp;"/"&amp;I$9)</t>
  </si>
  <si>
    <t>=GL(,"Balance",$C74,,$D$5&amp;"/"&amp;J$9)</t>
  </si>
  <si>
    <t>=GL(,"Balance",$C74,,$D$5&amp;"/"&amp;K$9)</t>
  </si>
  <si>
    <t>=GL(,"Balance",$C75,,$D$5&amp;"/"&amp;E$9)</t>
  </si>
  <si>
    <t>=GL(,"Balance",$C75,,$D$5&amp;"/"&amp;F$9)</t>
  </si>
  <si>
    <t>=GL(,"Balance",$C75,,$D$5&amp;"/"&amp;G$9)</t>
  </si>
  <si>
    <t>=GL(,"Balance",$C75,,$D$5&amp;"/"&amp;H$9)</t>
  </si>
  <si>
    <t>=GL(,"Balance",$C75,,$D$5&amp;"/"&amp;I$9)</t>
  </si>
  <si>
    <t>=GL(,"Balance",$C75,,$D$5&amp;"/"&amp;J$9)</t>
  </si>
  <si>
    <t>=GL(,"Balance",$C75,,$D$5&amp;"/"&amp;K$9)</t>
  </si>
  <si>
    <t>=GL(,"Balance",$C76,,$D$5&amp;"/"&amp;E$9)</t>
  </si>
  <si>
    <t>=GL(,"Balance",$C76,,$D$5&amp;"/"&amp;F$9)</t>
  </si>
  <si>
    <t>=GL(,"Balance",$C76,,$D$5&amp;"/"&amp;G$9)</t>
  </si>
  <si>
    <t>=GL(,"Balance",$C76,,$D$5&amp;"/"&amp;H$9)</t>
  </si>
  <si>
    <t>=GL(,"Balance",$C76,,$D$5&amp;"/"&amp;I$9)</t>
  </si>
  <si>
    <t>=GL(,"Balance",$C76,,$D$5&amp;"/"&amp;J$9)</t>
  </si>
  <si>
    <t>=GL(,"Balance",$C76,,$D$5&amp;"/"&amp;K$9)</t>
  </si>
  <si>
    <t>=GL(,"Balance",$C77,,$D$5&amp;"/"&amp;E$9)</t>
  </si>
  <si>
    <t>=GL(,"Balance",$C77,,$D$5&amp;"/"&amp;F$9)</t>
  </si>
  <si>
    <t>=GL(,"Balance",$C77,,$D$5&amp;"/"&amp;G$9)</t>
  </si>
  <si>
    <t>=GL(,"Balance",$C77,,$D$5&amp;"/"&amp;H$9)</t>
  </si>
  <si>
    <t>=GL(,"Balance",$C77,,$D$5&amp;"/"&amp;I$9)</t>
  </si>
  <si>
    <t>=GL(,"Balance",$C77,,$D$5&amp;"/"&amp;J$9)</t>
  </si>
  <si>
    <t>=GL(,"Balance",$C77,,$D$5&amp;"/"&amp;K$9)</t>
  </si>
  <si>
    <t>=GL(,"Balance",$C78,,$D$5&amp;"/"&amp;E$9)</t>
  </si>
  <si>
    <t>=GL(,"Balance",$C78,,$D$5&amp;"/"&amp;F$9)</t>
  </si>
  <si>
    <t>=GL(,"Balance",$C78,,$D$5&amp;"/"&amp;G$9)</t>
  </si>
  <si>
    <t>=GL(,"Balance",$C78,,$D$5&amp;"/"&amp;H$9)</t>
  </si>
  <si>
    <t>=GL(,"Balance",$C78,,$D$5&amp;"/"&amp;I$9)</t>
  </si>
  <si>
    <t>=GL(,"Balance",$C78,,$D$5&amp;"/"&amp;J$9)</t>
  </si>
  <si>
    <t>=GL(,"Balance",$C78,,$D$5&amp;"/"&amp;K$9)</t>
  </si>
  <si>
    <t>=GL(,"Balance",$C79,,$D$5&amp;"/"&amp;E$9)</t>
  </si>
  <si>
    <t>=GL(,"Balance",$C79,,$D$5&amp;"/"&amp;F$9)</t>
  </si>
  <si>
    <t>=GL(,"Balance",$C79,,$D$5&amp;"/"&amp;G$9)</t>
  </si>
  <si>
    <t>=GL(,"Balance",$C79,,$D$5&amp;"/"&amp;H$9)</t>
  </si>
  <si>
    <t>=GL(,"Balance",$C79,,$D$5&amp;"/"&amp;I$9)</t>
  </si>
  <si>
    <t>=GL(,"Balance",$C79,,$D$5&amp;"/"&amp;J$9)</t>
  </si>
  <si>
    <t>=GL(,"Balance",$C79,,$D$5&amp;"/"&amp;K$9)</t>
  </si>
  <si>
    <t>=GL(,"Balance",$C80,,$D$5&amp;"/"&amp;E$9)</t>
  </si>
  <si>
    <t>=GL(,"Balance",$C80,,$D$5&amp;"/"&amp;F$9)</t>
  </si>
  <si>
    <t>=GL(,"Balance",$C80,,$D$5&amp;"/"&amp;G$9)</t>
  </si>
  <si>
    <t>=GL(,"Balance",$C80,,$D$5&amp;"/"&amp;H$9)</t>
  </si>
  <si>
    <t>=GL(,"Balance",$C80,,$D$5&amp;"/"&amp;I$9)</t>
  </si>
  <si>
    <t>=GL(,"Balance",$C80,,$D$5&amp;"/"&amp;J$9)</t>
  </si>
  <si>
    <t>=GL(,"Balance",$C80,,$D$5&amp;"/"&amp;K$9)</t>
  </si>
  <si>
    <t>=GL(,"Balance",$C81,,$D$5&amp;"/"&amp;E$9)</t>
  </si>
  <si>
    <t>=GL(,"Balance",$C81,,$D$5&amp;"/"&amp;F$9)</t>
  </si>
  <si>
    <t>=GL(,"Balance",$C81,,$D$5&amp;"/"&amp;G$9)</t>
  </si>
  <si>
    <t>=GL(,"Balance",$C81,,$D$5&amp;"/"&amp;H$9)</t>
  </si>
  <si>
    <t>=GL(,"Balance",$C81,,$D$5&amp;"/"&amp;I$9)</t>
  </si>
  <si>
    <t>=GL(,"Balance",$C81,,$D$5&amp;"/"&amp;J$9)</t>
  </si>
  <si>
    <t>=GL(,"Balance",$C81,,$D$5&amp;"/"&amp;K$9)</t>
  </si>
  <si>
    <t>=GL(,"Balance",$C82,,$D$5&amp;"/"&amp;E$9)</t>
  </si>
  <si>
    <t>=GL(,"Balance",$C82,,$D$5&amp;"/"&amp;F$9)</t>
  </si>
  <si>
    <t>=GL(,"Balance",$C82,,$D$5&amp;"/"&amp;G$9)</t>
  </si>
  <si>
    <t>=GL(,"Balance",$C82,,$D$5&amp;"/"&amp;H$9)</t>
  </si>
  <si>
    <t>=GL(,"Balance",$C82,,$D$5&amp;"/"&amp;I$9)</t>
  </si>
  <si>
    <t>=GL(,"Balance",$C82,,$D$5&amp;"/"&amp;J$9)</t>
  </si>
  <si>
    <t>=GL(,"Balance",$C82,,$D$5&amp;"/"&amp;K$9)</t>
  </si>
  <si>
    <t>=GL(,"Balance",$C83,,$D$5&amp;"/"&amp;E$9)</t>
  </si>
  <si>
    <t>=GL(,"Balance",$C83,,$D$5&amp;"/"&amp;F$9)</t>
  </si>
  <si>
    <t>=GL(,"Balance",$C83,,$D$5&amp;"/"&amp;G$9)</t>
  </si>
  <si>
    <t>=GL(,"Balance",$C83,,$D$5&amp;"/"&amp;H$9)</t>
  </si>
  <si>
    <t>=GL(,"Balance",$C83,,$D$5&amp;"/"&amp;I$9)</t>
  </si>
  <si>
    <t>=GL(,"Balance",$C83,,$D$5&amp;"/"&amp;J$9)</t>
  </si>
  <si>
    <t>=GL(,"Balance",$C83,,$D$5&amp;"/"&amp;K$9)</t>
  </si>
  <si>
    <t>=GL(,"Balance",$C84,,$D$5&amp;"/"&amp;E$9)</t>
  </si>
  <si>
    <t>=GL(,"Balance",$C84,,$D$5&amp;"/"&amp;F$9)</t>
  </si>
  <si>
    <t>=GL(,"Balance",$C84,,$D$5&amp;"/"&amp;G$9)</t>
  </si>
  <si>
    <t>=GL(,"Balance",$C84,,$D$5&amp;"/"&amp;H$9)</t>
  </si>
  <si>
    <t>=GL(,"Balance",$C84,,$D$5&amp;"/"&amp;I$9)</t>
  </si>
  <si>
    <t>=GL(,"Balance",$C84,,$D$5&amp;"/"&amp;J$9)</t>
  </si>
  <si>
    <t>=GL(,"Balance",$C84,,$D$5&amp;"/"&amp;K$9)</t>
  </si>
  <si>
    <t>=GL(,"Balance",$C85,,$D$5&amp;"/"&amp;E$9)</t>
  </si>
  <si>
    <t>=GL(,"Balance",$C85,,$D$5&amp;"/"&amp;F$9)</t>
  </si>
  <si>
    <t>=GL(,"Balance",$C85,,$D$5&amp;"/"&amp;G$9)</t>
  </si>
  <si>
    <t>=GL(,"Balance",$C85,,$D$5&amp;"/"&amp;H$9)</t>
  </si>
  <si>
    <t>=GL(,"Balance",$C85,,$D$5&amp;"/"&amp;I$9)</t>
  </si>
  <si>
    <t>=GL(,"Balance",$C85,,$D$5&amp;"/"&amp;J$9)</t>
  </si>
  <si>
    <t>=GL(,"Balance",$C85,,$D$5&amp;"/"&amp;K$9)</t>
  </si>
  <si>
    <t>=GL(,"Balance",$C86,,$D$5&amp;"/"&amp;E$9)</t>
  </si>
  <si>
    <t>=GL(,"Balance",$C86,,$D$5&amp;"/"&amp;F$9)</t>
  </si>
  <si>
    <t>=GL(,"Balance",$C86,,$D$5&amp;"/"&amp;G$9)</t>
  </si>
  <si>
    <t>=GL(,"Balance",$C86,,$D$5&amp;"/"&amp;H$9)</t>
  </si>
  <si>
    <t>=GL(,"Balance",$C86,,$D$5&amp;"/"&amp;I$9)</t>
  </si>
  <si>
    <t>=GL(,"Balance",$C86,,$D$5&amp;"/"&amp;J$9)</t>
  </si>
  <si>
    <t>=GL(,"Balance",$C86,,$D$5&amp;"/"&amp;K$9)</t>
  </si>
  <si>
    <t>=GL(,"Balance",$C87,,$D$5&amp;"/"&amp;E$9)</t>
  </si>
  <si>
    <t>=GL(,"Balance",$C87,,$D$5&amp;"/"&amp;F$9)</t>
  </si>
  <si>
    <t>=GL(,"Balance",$C87,,$D$5&amp;"/"&amp;G$9)</t>
  </si>
  <si>
    <t>=GL(,"Balance",$C87,,$D$5&amp;"/"&amp;H$9)</t>
  </si>
  <si>
    <t>=GL(,"Balance",$C87,,$D$5&amp;"/"&amp;I$9)</t>
  </si>
  <si>
    <t>=GL(,"Balance",$C87,,$D$5&amp;"/"&amp;J$9)</t>
  </si>
  <si>
    <t>=GL(,"Balance",$C87,,$D$5&amp;"/"&amp;K$9)</t>
  </si>
  <si>
    <t>=GL(,"Balance",$C88,,$D$5&amp;"/"&amp;E$9)</t>
  </si>
  <si>
    <t>=GL(,"Balance",$C88,,$D$5&amp;"/"&amp;F$9)</t>
  </si>
  <si>
    <t>=GL(,"Balance",$C88,,$D$5&amp;"/"&amp;G$9)</t>
  </si>
  <si>
    <t>=GL(,"Balance",$C88,,$D$5&amp;"/"&amp;H$9)</t>
  </si>
  <si>
    <t>=GL(,"Balance",$C88,,$D$5&amp;"/"&amp;I$9)</t>
  </si>
  <si>
    <t>=GL(,"Balance",$C88,,$D$5&amp;"/"&amp;J$9)</t>
  </si>
  <si>
    <t>=GL(,"Balance",$C88,,$D$5&amp;"/"&amp;K$9)</t>
  </si>
  <si>
    <t>=GL(,"Balance",$C89,,$D$5&amp;"/"&amp;E$9)</t>
  </si>
  <si>
    <t>=GL(,"Balance",$C89,,$D$5&amp;"/"&amp;F$9)</t>
  </si>
  <si>
    <t>=GL(,"Balance",$C89,,$D$5&amp;"/"&amp;G$9)</t>
  </si>
  <si>
    <t>=GL(,"Balance",$C89,,$D$5&amp;"/"&amp;H$9)</t>
  </si>
  <si>
    <t>=GL(,"Balance",$C89,,$D$5&amp;"/"&amp;I$9)</t>
  </si>
  <si>
    <t>=GL(,"Balance",$C89,,$D$5&amp;"/"&amp;J$9)</t>
  </si>
  <si>
    <t>=GL(,"Balance",$C89,,$D$5&amp;"/"&amp;K$9)</t>
  </si>
  <si>
    <t>=GL(,"Balance",$C90,,$D$5&amp;"/"&amp;E$9)</t>
  </si>
  <si>
    <t>=GL(,"Balance",$C90,,$D$5&amp;"/"&amp;F$9)</t>
  </si>
  <si>
    <t>=GL(,"Balance",$C90,,$D$5&amp;"/"&amp;G$9)</t>
  </si>
  <si>
    <t>=GL(,"Balance",$C90,,$D$5&amp;"/"&amp;H$9)</t>
  </si>
  <si>
    <t>=GL(,"Balance",$C90,,$D$5&amp;"/"&amp;I$9)</t>
  </si>
  <si>
    <t>=GL(,"Balance",$C90,,$D$5&amp;"/"&amp;J$9)</t>
  </si>
  <si>
    <t>=GL(,"Balance",$C90,,$D$5&amp;"/"&amp;K$9)</t>
  </si>
  <si>
    <t>=GL(,"Balance",$C91,,$D$5&amp;"/"&amp;E$9)</t>
  </si>
  <si>
    <t>=GL(,"Balance",$C91,,$D$5&amp;"/"&amp;F$9)</t>
  </si>
  <si>
    <t>=GL(,"Balance",$C91,,$D$5&amp;"/"&amp;G$9)</t>
  </si>
  <si>
    <t>=GL(,"Balance",$C91,,$D$5&amp;"/"&amp;H$9)</t>
  </si>
  <si>
    <t>=GL(,"Balance",$C91,,$D$5&amp;"/"&amp;I$9)</t>
  </si>
  <si>
    <t>=GL(,"Balance",$C91,,$D$5&amp;"/"&amp;J$9)</t>
  </si>
  <si>
    <t>=GL(,"Balance",$C91,,$D$5&amp;"/"&amp;K$9)</t>
  </si>
  <si>
    <t>=GL(,"Balance",$C92,,$D$5&amp;"/"&amp;E$9)</t>
  </si>
  <si>
    <t>=GL(,"Balance",$C92,,$D$5&amp;"/"&amp;F$9)</t>
  </si>
  <si>
    <t>=GL(,"Balance",$C92,,$D$5&amp;"/"&amp;G$9)</t>
  </si>
  <si>
    <t>=GL(,"Balance",$C92,,$D$5&amp;"/"&amp;H$9)</t>
  </si>
  <si>
    <t>=GL(,"Balance",$C92,,$D$5&amp;"/"&amp;I$9)</t>
  </si>
  <si>
    <t>=GL(,"Balance",$C92,,$D$5&amp;"/"&amp;J$9)</t>
  </si>
  <si>
    <t>=GL(,"Balance",$C92,,$D$5&amp;"/"&amp;K$9)</t>
  </si>
  <si>
    <t>=GL(,"Balance",$C93,,$D$5&amp;"/"&amp;E$9)</t>
  </si>
  <si>
    <t>=GL(,"Balance",$C93,,$D$5&amp;"/"&amp;F$9)</t>
  </si>
  <si>
    <t>=GL(,"Balance",$C93,,$D$5&amp;"/"&amp;G$9)</t>
  </si>
  <si>
    <t>=GL(,"Balance",$C93,,$D$5&amp;"/"&amp;H$9)</t>
  </si>
  <si>
    <t>=GL(,"Balance",$C93,,$D$5&amp;"/"&amp;I$9)</t>
  </si>
  <si>
    <t>=GL(,"Balance",$C93,,$D$5&amp;"/"&amp;J$9)</t>
  </si>
  <si>
    <t>=GL(,"Balance",$C93,,$D$5&amp;"/"&amp;K$9)</t>
  </si>
  <si>
    <t>=GL(,"Balance",$C94,,$D$5&amp;"/"&amp;E$9)</t>
  </si>
  <si>
    <t>=GL(,"Balance",$C94,,$D$5&amp;"/"&amp;F$9)</t>
  </si>
  <si>
    <t>=GL(,"Balance",$C94,,$D$5&amp;"/"&amp;G$9)</t>
  </si>
  <si>
    <t>=GL(,"Balance",$C94,,$D$5&amp;"/"&amp;H$9)</t>
  </si>
  <si>
    <t>=GL(,"Balance",$C94,,$D$5&amp;"/"&amp;I$9)</t>
  </si>
  <si>
    <t>=GL(,"Balance",$C94,,$D$5&amp;"/"&amp;J$9)</t>
  </si>
  <si>
    <t>=GL(,"Balance",$C94,,$D$5&amp;"/"&amp;K$9)</t>
  </si>
  <si>
    <t>=GL(,"Balance",$C95,,$D$5&amp;"/"&amp;E$9)</t>
  </si>
  <si>
    <t>=GL(,"Balance",$C95,,$D$5&amp;"/"&amp;F$9)</t>
  </si>
  <si>
    <t>=GL(,"Balance",$C95,,$D$5&amp;"/"&amp;G$9)</t>
  </si>
  <si>
    <t>=GL(,"Balance",$C95,,$D$5&amp;"/"&amp;H$9)</t>
  </si>
  <si>
    <t>=GL(,"Balance",$C95,,$D$5&amp;"/"&amp;I$9)</t>
  </si>
  <si>
    <t>=GL(,"Balance",$C95,,$D$5&amp;"/"&amp;J$9)</t>
  </si>
  <si>
    <t>=GL(,"Balance",$C95,,$D$5&amp;"/"&amp;K$9)</t>
  </si>
  <si>
    <t>=GL(,"Balance",$C96,,$D$5&amp;"/"&amp;E$9)</t>
  </si>
  <si>
    <t>=GL(,"Balance",$C96,,$D$5&amp;"/"&amp;F$9)</t>
  </si>
  <si>
    <t>=GL(,"Balance",$C96,,$D$5&amp;"/"&amp;G$9)</t>
  </si>
  <si>
    <t>=GL(,"Balance",$C96,,$D$5&amp;"/"&amp;H$9)</t>
  </si>
  <si>
    <t>=GL(,"Balance",$C96,,$D$5&amp;"/"&amp;I$9)</t>
  </si>
  <si>
    <t>=GL(,"Balance",$C96,,$D$5&amp;"/"&amp;J$9)</t>
  </si>
  <si>
    <t>=GL(,"Balance",$C96,,$D$5&amp;"/"&amp;K$9)</t>
  </si>
  <si>
    <t>=GL(,"Balance",$C97,,$D$5&amp;"/"&amp;E$9)</t>
  </si>
  <si>
    <t>=GL(,"Balance",$C97,,$D$5&amp;"/"&amp;F$9)</t>
  </si>
  <si>
    <t>=GL(,"Balance",$C97,,$D$5&amp;"/"&amp;G$9)</t>
  </si>
  <si>
    <t>=GL(,"Balance",$C97,,$D$5&amp;"/"&amp;H$9)</t>
  </si>
  <si>
    <t>=GL(,"Balance",$C97,,$D$5&amp;"/"&amp;I$9)</t>
  </si>
  <si>
    <t>=GL(,"Balance",$C97,,$D$5&amp;"/"&amp;J$9)</t>
  </si>
  <si>
    <t>=GL(,"Balance",$C97,,$D$5&amp;"/"&amp;K$9)</t>
  </si>
  <si>
    <t>=GL(,"Balance",$C98,,$D$5&amp;"/"&amp;E$9)</t>
  </si>
  <si>
    <t>=GL(,"Balance",$C98,,$D$5&amp;"/"&amp;F$9)</t>
  </si>
  <si>
    <t>=GL(,"Balance",$C98,,$D$5&amp;"/"&amp;G$9)</t>
  </si>
  <si>
    <t>=GL(,"Balance",$C98,,$D$5&amp;"/"&amp;H$9)</t>
  </si>
  <si>
    <t>=GL(,"Balance",$C98,,$D$5&amp;"/"&amp;I$9)</t>
  </si>
  <si>
    <t>=GL(,"Balance",$C98,,$D$5&amp;"/"&amp;J$9)</t>
  </si>
  <si>
    <t>=GL(,"Balance",$C98,,$D$5&amp;"/"&amp;K$9)</t>
  </si>
  <si>
    <t>=GL(,"Balance",$C99,,$D$5&amp;"/"&amp;E$9)</t>
  </si>
  <si>
    <t>=GL(,"Balance",$C99,,$D$5&amp;"/"&amp;F$9)</t>
  </si>
  <si>
    <t>=GL(,"Balance",$C99,,$D$5&amp;"/"&amp;G$9)</t>
  </si>
  <si>
    <t>=GL(,"Balance",$C99,,$D$5&amp;"/"&amp;H$9)</t>
  </si>
  <si>
    <t>=GL(,"Balance",$C99,,$D$5&amp;"/"&amp;I$9)</t>
  </si>
  <si>
    <t>=GL(,"Balance",$C99,,$D$5&amp;"/"&amp;J$9)</t>
  </si>
  <si>
    <t>=GL(,"Balance",$C99,,$D$5&amp;"/"&amp;K$9)</t>
  </si>
  <si>
    <t>=GL(,"Balance",$C100,,$D$5&amp;"/"&amp;E$9)</t>
  </si>
  <si>
    <t>=GL(,"Balance",$C100,,$D$5&amp;"/"&amp;F$9)</t>
  </si>
  <si>
    <t>=GL(,"Balance",$C100,,$D$5&amp;"/"&amp;G$9)</t>
  </si>
  <si>
    <t>=GL(,"Balance",$C100,,$D$5&amp;"/"&amp;H$9)</t>
  </si>
  <si>
    <t>=GL(,"Balance",$C100,,$D$5&amp;"/"&amp;I$9)</t>
  </si>
  <si>
    <t>=GL(,"Balance",$C100,,$D$5&amp;"/"&amp;J$9)</t>
  </si>
  <si>
    <t>=GL(,"Balance",$C100,,$D$5&amp;"/"&amp;K$9)</t>
  </si>
  <si>
    <t>=GL(,"Balance",$C101,,$D$5&amp;"/"&amp;E$9)</t>
  </si>
  <si>
    <t>=GL(,"Balance",$C101,,$D$5&amp;"/"&amp;F$9)</t>
  </si>
  <si>
    <t>=GL(,"Balance",$C101,,$D$5&amp;"/"&amp;G$9)</t>
  </si>
  <si>
    <t>=GL(,"Balance",$C101,,$D$5&amp;"/"&amp;H$9)</t>
  </si>
  <si>
    <t>=GL(,"Balance",$C101,,$D$5&amp;"/"&amp;I$9)</t>
  </si>
  <si>
    <t>=GL(,"Balance",$C101,,$D$5&amp;"/"&amp;J$9)</t>
  </si>
  <si>
    <t>=GL(,"Balance",$C101,,$D$5&amp;"/"&amp;K$9)</t>
  </si>
  <si>
    <t>=GL(,"Balance",$C102,,$D$5&amp;"/"&amp;E$9)</t>
  </si>
  <si>
    <t>=GL(,"Balance",$C102,,$D$5&amp;"/"&amp;F$9)</t>
  </si>
  <si>
    <t>=GL(,"Balance",$C102,,$D$5&amp;"/"&amp;G$9)</t>
  </si>
  <si>
    <t>=GL(,"Balance",$C102,,$D$5&amp;"/"&amp;H$9)</t>
  </si>
  <si>
    <t>=GL(,"Balance",$C102,,$D$5&amp;"/"&amp;I$9)</t>
  </si>
  <si>
    <t>=GL(,"Balance",$C102,,$D$5&amp;"/"&amp;J$9)</t>
  </si>
  <si>
    <t>=GL(,"Balance",$C102,,$D$5&amp;"/"&amp;K$9)</t>
  </si>
  <si>
    <t>=GL(,"Balance",$C103,,$D$5&amp;"/"&amp;E$9)</t>
  </si>
  <si>
    <t>=GL(,"Balance",$C103,,$D$5&amp;"/"&amp;F$9)</t>
  </si>
  <si>
    <t>=GL(,"Balance",$C103,,$D$5&amp;"/"&amp;G$9)</t>
  </si>
  <si>
    <t>=GL(,"Balance",$C103,,$D$5&amp;"/"&amp;H$9)</t>
  </si>
  <si>
    <t>=GL(,"Balance",$C103,,$D$5&amp;"/"&amp;I$9)</t>
  </si>
  <si>
    <t>=GL(,"Balance",$C103,,$D$5&amp;"/"&amp;J$9)</t>
  </si>
  <si>
    <t>=GL(,"Balance",$C103,,$D$5&amp;"/"&amp;K$9)</t>
  </si>
  <si>
    <t>=GL(,"Balance",$C104,,$D$5&amp;"/"&amp;E$9)</t>
  </si>
  <si>
    <t>=GL(,"Balance",$C104,,$D$5&amp;"/"&amp;F$9)</t>
  </si>
  <si>
    <t>=GL(,"Balance",$C104,,$D$5&amp;"/"&amp;G$9)</t>
  </si>
  <si>
    <t>=GL(,"Balance",$C104,,$D$5&amp;"/"&amp;H$9)</t>
  </si>
  <si>
    <t>=GL(,"Balance",$C104,,$D$5&amp;"/"&amp;I$9)</t>
  </si>
  <si>
    <t>=GL(,"Balance",$C104,,$D$5&amp;"/"&amp;J$9)</t>
  </si>
  <si>
    <t>=GL(,"Balance",$C104,,$D$5&amp;"/"&amp;K$9)</t>
  </si>
  <si>
    <t>=GL(,"Balance",$C105,,$D$5&amp;"/"&amp;E$9)</t>
  </si>
  <si>
    <t>=GL(,"Balance",$C105,,$D$5&amp;"/"&amp;F$9)</t>
  </si>
  <si>
    <t>=GL(,"Balance",$C105,,$D$5&amp;"/"&amp;G$9)</t>
  </si>
  <si>
    <t>=GL(,"Balance",$C105,,$D$5&amp;"/"&amp;H$9)</t>
  </si>
  <si>
    <t>=GL(,"Balance",$C105,,$D$5&amp;"/"&amp;I$9)</t>
  </si>
  <si>
    <t>=GL(,"Balance",$C105,,$D$5&amp;"/"&amp;J$9)</t>
  </si>
  <si>
    <t>=GL(,"Balance",$C105,,$D$5&amp;"/"&amp;K$9)</t>
  </si>
  <si>
    <t>=GL(,"Balance",$C106,,$D$5&amp;"/"&amp;E$9)</t>
  </si>
  <si>
    <t>=GL(,"Balance",$C106,,$D$5&amp;"/"&amp;F$9)</t>
  </si>
  <si>
    <t>=GL(,"Balance",$C106,,$D$5&amp;"/"&amp;G$9)</t>
  </si>
  <si>
    <t>=GL(,"Balance",$C106,,$D$5&amp;"/"&amp;H$9)</t>
  </si>
  <si>
    <t>=GL(,"Balance",$C106,,$D$5&amp;"/"&amp;I$9)</t>
  </si>
  <si>
    <t>=GL(,"Balance",$C106,,$D$5&amp;"/"&amp;J$9)</t>
  </si>
  <si>
    <t>=GL(,"Balance",$C106,,$D$5&amp;"/"&amp;K$9)</t>
  </si>
  <si>
    <t>=GL(,"Balance",$C107,,$D$5&amp;"/"&amp;E$9)</t>
  </si>
  <si>
    <t>=GL(,"Balance",$C107,,$D$5&amp;"/"&amp;F$9)</t>
  </si>
  <si>
    <t>=GL(,"Balance",$C107,,$D$5&amp;"/"&amp;G$9)</t>
  </si>
  <si>
    <t>=GL(,"Balance",$C107,,$D$5&amp;"/"&amp;H$9)</t>
  </si>
  <si>
    <t>=GL(,"Balance",$C107,,$D$5&amp;"/"&amp;I$9)</t>
  </si>
  <si>
    <t>=GL(,"Balance",$C107,,$D$5&amp;"/"&amp;J$9)</t>
  </si>
  <si>
    <t>=GL(,"Balance",$C107,,$D$5&amp;"/"&amp;K$9)</t>
  </si>
  <si>
    <t>=GL(,"Balance",$C108,,$D$5&amp;"/"&amp;E$9)</t>
  </si>
  <si>
    <t>=GL(,"Balance",$C108,,$D$5&amp;"/"&amp;F$9)</t>
  </si>
  <si>
    <t>=GL(,"Balance",$C108,,$D$5&amp;"/"&amp;G$9)</t>
  </si>
  <si>
    <t>=GL(,"Balance",$C108,,$D$5&amp;"/"&amp;H$9)</t>
  </si>
  <si>
    <t>=GL(,"Balance",$C108,,$D$5&amp;"/"&amp;I$9)</t>
  </si>
  <si>
    <t>=GL(,"Balance",$C108,,$D$5&amp;"/"&amp;J$9)</t>
  </si>
  <si>
    <t>=GL(,"Balance",$C108,,$D$5&amp;"/"&amp;K$9)</t>
  </si>
  <si>
    <t>=GL(,"Balance",$C109,,$D$5&amp;"/"&amp;E$9)</t>
  </si>
  <si>
    <t>=GL(,"Balance",$C109,,$D$5&amp;"/"&amp;F$9)</t>
  </si>
  <si>
    <t>=GL(,"Balance",$C109,,$D$5&amp;"/"&amp;G$9)</t>
  </si>
  <si>
    <t>=GL(,"Balance",$C109,,$D$5&amp;"/"&amp;H$9)</t>
  </si>
  <si>
    <t>=GL(,"Balance",$C109,,$D$5&amp;"/"&amp;I$9)</t>
  </si>
  <si>
    <t>=GL(,"Balance",$C109,,$D$5&amp;"/"&amp;J$9)</t>
  </si>
  <si>
    <t>=GL(,"Balance",$C109,,$D$5&amp;"/"&amp;K$9)</t>
  </si>
  <si>
    <t>=GL(,"Balance",$C110,,$D$5&amp;"/"&amp;E$9)</t>
  </si>
  <si>
    <t>=GL(,"Balance",$C110,,$D$5&amp;"/"&amp;F$9)</t>
  </si>
  <si>
    <t>=GL(,"Balance",$C110,,$D$5&amp;"/"&amp;G$9)</t>
  </si>
  <si>
    <t>=GL(,"Balance",$C110,,$D$5&amp;"/"&amp;H$9)</t>
  </si>
  <si>
    <t>=GL(,"Balance",$C110,,$D$5&amp;"/"&amp;I$9)</t>
  </si>
  <si>
    <t>=GL(,"Balance",$C110,,$D$5&amp;"/"&amp;J$9)</t>
  </si>
  <si>
    <t>=GL(,"Balance",$C110,,$D$5&amp;"/"&amp;K$9)</t>
  </si>
  <si>
    <t>=GL(,"Balance",$C111,,$D$5&amp;"/"&amp;E$9)</t>
  </si>
  <si>
    <t>=GL(,"Balance",$C111,,$D$5&amp;"/"&amp;F$9)</t>
  </si>
  <si>
    <t>=GL(,"Balance",$C111,,$D$5&amp;"/"&amp;G$9)</t>
  </si>
  <si>
    <t>=GL(,"Balance",$C111,,$D$5&amp;"/"&amp;H$9)</t>
  </si>
  <si>
    <t>=GL(,"Balance",$C111,,$D$5&amp;"/"&amp;I$9)</t>
  </si>
  <si>
    <t>=GL(,"Balance",$C111,,$D$5&amp;"/"&amp;J$9)</t>
  </si>
  <si>
    <t>=GL(,"Balance",$C111,,$D$5&amp;"/"&amp;K$9)</t>
  </si>
  <si>
    <t>=GL(,"Balance",$C112,,$D$5&amp;"/"&amp;E$9)</t>
  </si>
  <si>
    <t>=GL(,"Balance",$C112,,$D$5&amp;"/"&amp;F$9)</t>
  </si>
  <si>
    <t>=GL(,"Balance",$C112,,$D$5&amp;"/"&amp;G$9)</t>
  </si>
  <si>
    <t>=GL(,"Balance",$C112,,$D$5&amp;"/"&amp;H$9)</t>
  </si>
  <si>
    <t>=GL(,"Balance",$C112,,$D$5&amp;"/"&amp;I$9)</t>
  </si>
  <si>
    <t>=GL(,"Balance",$C112,,$D$5&amp;"/"&amp;J$9)</t>
  </si>
  <si>
    <t>=GL(,"Balance",$C112,,$D$5&amp;"/"&amp;K$9)</t>
  </si>
  <si>
    <t>=GL(,"Balance",$C113,,$D$5&amp;"/"&amp;E$9)</t>
  </si>
  <si>
    <t>=GL(,"Balance",$C113,,$D$5&amp;"/"&amp;F$9)</t>
  </si>
  <si>
    <t>=GL(,"Balance",$C113,,$D$5&amp;"/"&amp;G$9)</t>
  </si>
  <si>
    <t>=GL(,"Balance",$C113,,$D$5&amp;"/"&amp;H$9)</t>
  </si>
  <si>
    <t>=GL(,"Balance",$C113,,$D$5&amp;"/"&amp;I$9)</t>
  </si>
  <si>
    <t>=GL(,"Balance",$C113,,$D$5&amp;"/"&amp;J$9)</t>
  </si>
  <si>
    <t>=GL(,"Balance",$C113,,$D$5&amp;"/"&amp;K$9)</t>
  </si>
  <si>
    <t>=GL(,"Balance",$C114,,$D$5&amp;"/"&amp;E$9)</t>
  </si>
  <si>
    <t>=GL(,"Balance",$C114,,$D$5&amp;"/"&amp;F$9)</t>
  </si>
  <si>
    <t>=GL(,"Balance",$C114,,$D$5&amp;"/"&amp;G$9)</t>
  </si>
  <si>
    <t>=GL(,"Balance",$C114,,$D$5&amp;"/"&amp;H$9)</t>
  </si>
  <si>
    <t>=GL(,"Balance",$C114,,$D$5&amp;"/"&amp;I$9)</t>
  </si>
  <si>
    <t>=GL(,"Balance",$C114,,$D$5&amp;"/"&amp;J$9)</t>
  </si>
  <si>
    <t>=GL(,"Balance",$C114,,$D$5&amp;"/"&amp;K$9)</t>
  </si>
  <si>
    <t>=GL(,"Balance",$C115,,$D$5&amp;"/"&amp;E$9)</t>
  </si>
  <si>
    <t>=GL(,"Balance",$C115,,$D$5&amp;"/"&amp;F$9)</t>
  </si>
  <si>
    <t>=GL(,"Balance",$C115,,$D$5&amp;"/"&amp;G$9)</t>
  </si>
  <si>
    <t>=GL(,"Balance",$C115,,$D$5&amp;"/"&amp;H$9)</t>
  </si>
  <si>
    <t>=GL(,"Balance",$C115,,$D$5&amp;"/"&amp;I$9)</t>
  </si>
  <si>
    <t>=GL(,"Balance",$C115,,$D$5&amp;"/"&amp;J$9)</t>
  </si>
  <si>
    <t>=GL(,"Balance",$C115,,$D$5&amp;"/"&amp;K$9)</t>
  </si>
  <si>
    <t>=GL(,"Balance",$C116,,$D$5&amp;"/"&amp;E$9)</t>
  </si>
  <si>
    <t>=GL(,"Balance",$C116,,$D$5&amp;"/"&amp;F$9)</t>
  </si>
  <si>
    <t>=GL(,"Balance",$C116,,$D$5&amp;"/"&amp;G$9)</t>
  </si>
  <si>
    <t>=GL(,"Balance",$C116,,$D$5&amp;"/"&amp;H$9)</t>
  </si>
  <si>
    <t>=GL(,"Balance",$C116,,$D$5&amp;"/"&amp;I$9)</t>
  </si>
  <si>
    <t>=GL(,"Balance",$C116,,$D$5&amp;"/"&amp;J$9)</t>
  </si>
  <si>
    <t>=GL(,"Balance",$C116,,$D$5&amp;"/"&amp;K$9)</t>
  </si>
  <si>
    <t>=GL(,"Balance",$C117,,$D$5&amp;"/"&amp;E$9)</t>
  </si>
  <si>
    <t>=GL(,"Balance",$C117,,$D$5&amp;"/"&amp;F$9)</t>
  </si>
  <si>
    <t>=GL(,"Balance",$C117,,$D$5&amp;"/"&amp;G$9)</t>
  </si>
  <si>
    <t>=GL(,"Balance",$C117,,$D$5&amp;"/"&amp;H$9)</t>
  </si>
  <si>
    <t>=GL(,"Balance",$C117,,$D$5&amp;"/"&amp;I$9)</t>
  </si>
  <si>
    <t>=GL(,"Balance",$C117,,$D$5&amp;"/"&amp;J$9)</t>
  </si>
  <si>
    <t>=GL(,"Balance",$C117,,$D$5&amp;"/"&amp;K$9)</t>
  </si>
  <si>
    <t>=GL(,"Balance",$C118,,$D$5&amp;"/"&amp;E$9)</t>
  </si>
  <si>
    <t>=GL(,"Balance",$C118,,$D$5&amp;"/"&amp;F$9)</t>
  </si>
  <si>
    <t>=GL(,"Balance",$C118,,$D$5&amp;"/"&amp;G$9)</t>
  </si>
  <si>
    <t>=GL(,"Balance",$C118,,$D$5&amp;"/"&amp;H$9)</t>
  </si>
  <si>
    <t>=GL(,"Balance",$C118,,$D$5&amp;"/"&amp;I$9)</t>
  </si>
  <si>
    <t>=GL(,"Balance",$C118,,$D$5&amp;"/"&amp;J$9)</t>
  </si>
  <si>
    <t>=GL(,"Balance",$C118,,$D$5&amp;"/"&amp;K$9)</t>
  </si>
  <si>
    <t>=GL(,"Balance",$C119,,$D$5&amp;"/"&amp;E$9)</t>
  </si>
  <si>
    <t>=GL(,"Balance",$C119,,$D$5&amp;"/"&amp;F$9)</t>
  </si>
  <si>
    <t>=GL(,"Balance",$C119,,$D$5&amp;"/"&amp;G$9)</t>
  </si>
  <si>
    <t>=GL(,"Balance",$C119,,$D$5&amp;"/"&amp;H$9)</t>
  </si>
  <si>
    <t>=GL(,"Balance",$C119,,$D$5&amp;"/"&amp;I$9)</t>
  </si>
  <si>
    <t>=GL(,"Balance",$C119,,$D$5&amp;"/"&amp;J$9)</t>
  </si>
  <si>
    <t>=GL(,"Balance",$C119,,$D$5&amp;"/"&amp;K$9)</t>
  </si>
  <si>
    <t>=GL(,"Balance",$C120,,$D$5&amp;"/"&amp;E$9)</t>
  </si>
  <si>
    <t>=GL(,"Balance",$C120,,$D$5&amp;"/"&amp;F$9)</t>
  </si>
  <si>
    <t>=GL(,"Balance",$C120,,$D$5&amp;"/"&amp;G$9)</t>
  </si>
  <si>
    <t>=GL(,"Balance",$C120,,$D$5&amp;"/"&amp;H$9)</t>
  </si>
  <si>
    <t>=GL(,"Balance",$C120,,$D$5&amp;"/"&amp;I$9)</t>
  </si>
  <si>
    <t>=GL(,"Balance",$C120,,$D$5&amp;"/"&amp;J$9)</t>
  </si>
  <si>
    <t>=GL(,"Balance",$C120,,$D$5&amp;"/"&amp;K$9)</t>
  </si>
  <si>
    <t>=GL(,"Balance",$C121,,$D$5&amp;"/"&amp;E$9)</t>
  </si>
  <si>
    <t>=GL(,"Balance",$C121,,$D$5&amp;"/"&amp;F$9)</t>
  </si>
  <si>
    <t>=GL(,"Balance",$C121,,$D$5&amp;"/"&amp;G$9)</t>
  </si>
  <si>
    <t>=GL(,"Balance",$C121,,$D$5&amp;"/"&amp;H$9)</t>
  </si>
  <si>
    <t>=GL(,"Balance",$C121,,$D$5&amp;"/"&amp;I$9)</t>
  </si>
  <si>
    <t>=GL(,"Balance",$C121,,$D$5&amp;"/"&amp;J$9)</t>
  </si>
  <si>
    <t>=GL(,"Balance",$C121,,$D$5&amp;"/"&amp;K$9)</t>
  </si>
  <si>
    <t>=GL(,"Balance",$C122,,$D$5&amp;"/"&amp;E$9)</t>
  </si>
  <si>
    <t>=GL(,"Balance",$C122,,$D$5&amp;"/"&amp;F$9)</t>
  </si>
  <si>
    <t>=GL(,"Balance",$C122,,$D$5&amp;"/"&amp;G$9)</t>
  </si>
  <si>
    <t>=GL(,"Balance",$C122,,$D$5&amp;"/"&amp;H$9)</t>
  </si>
  <si>
    <t>=GL(,"Balance",$C122,,$D$5&amp;"/"&amp;I$9)</t>
  </si>
  <si>
    <t>=GL(,"Balance",$C122,,$D$5&amp;"/"&amp;J$9)</t>
  </si>
  <si>
    <t>=GL(,"Balance",$C122,,$D$5&amp;"/"&amp;K$9)</t>
  </si>
  <si>
    <t>=GL(,"Balance",$C123,,$D$5&amp;"/"&amp;E$9)</t>
  </si>
  <si>
    <t>=GL(,"Balance",$C123,,$D$5&amp;"/"&amp;F$9)</t>
  </si>
  <si>
    <t>=GL(,"Balance",$C123,,$D$5&amp;"/"&amp;G$9)</t>
  </si>
  <si>
    <t>=GL(,"Balance",$C123,,$D$5&amp;"/"&amp;H$9)</t>
  </si>
  <si>
    <t>=GL(,"Balance",$C123,,$D$5&amp;"/"&amp;I$9)</t>
  </si>
  <si>
    <t>=GL(,"Balance",$C123,,$D$5&amp;"/"&amp;J$9)</t>
  </si>
  <si>
    <t>=GL(,"Balance",$C123,,$D$5&amp;"/"&amp;K$9)</t>
  </si>
  <si>
    <t>=GL(,"Balance",$C124,,$D$5&amp;"/"&amp;E$9)</t>
  </si>
  <si>
    <t>=GL(,"Balance",$C124,,$D$5&amp;"/"&amp;F$9)</t>
  </si>
  <si>
    <t>=GL(,"Balance",$C124,,$D$5&amp;"/"&amp;G$9)</t>
  </si>
  <si>
    <t>=GL(,"Balance",$C124,,$D$5&amp;"/"&amp;H$9)</t>
  </si>
  <si>
    <t>=GL(,"Balance",$C124,,$D$5&amp;"/"&amp;I$9)</t>
  </si>
  <si>
    <t>=GL(,"Balance",$C124,,$D$5&amp;"/"&amp;J$9)</t>
  </si>
  <si>
    <t>=GL(,"Balance",$C124,,$D$5&amp;"/"&amp;K$9)</t>
  </si>
  <si>
    <t>=GL(,"Balance",$C125,,$D$5&amp;"/"&amp;E$9)</t>
  </si>
  <si>
    <t>=GL(,"Balance",$C125,,$D$5&amp;"/"&amp;F$9)</t>
  </si>
  <si>
    <t>=GL(,"Balance",$C125,,$D$5&amp;"/"&amp;G$9)</t>
  </si>
  <si>
    <t>=GL(,"Balance",$C125,,$D$5&amp;"/"&amp;H$9)</t>
  </si>
  <si>
    <t>=GL(,"Balance",$C125,,$D$5&amp;"/"&amp;I$9)</t>
  </si>
  <si>
    <t>=GL(,"Balance",$C125,,$D$5&amp;"/"&amp;J$9)</t>
  </si>
  <si>
    <t>=GL(,"Balance",$C125,,$D$5&amp;"/"&amp;K$9)</t>
  </si>
  <si>
    <t>=GL(,"Balance",$C126,,$D$5&amp;"/"&amp;E$9)</t>
  </si>
  <si>
    <t>=GL(,"Balance",$C126,,$D$5&amp;"/"&amp;F$9)</t>
  </si>
  <si>
    <t>=GL(,"Balance",$C126,,$D$5&amp;"/"&amp;G$9)</t>
  </si>
  <si>
    <t>=GL(,"Balance",$C126,,$D$5&amp;"/"&amp;H$9)</t>
  </si>
  <si>
    <t>=GL(,"Balance",$C126,,$D$5&amp;"/"&amp;I$9)</t>
  </si>
  <si>
    <t>=GL(,"Balance",$C126,,$D$5&amp;"/"&amp;J$9)</t>
  </si>
  <si>
    <t>=GL(,"Balance",$C126,,$D$5&amp;"/"&amp;K$9)</t>
  </si>
  <si>
    <t>=GL(,"Balance",$C127,,$D$5&amp;"/"&amp;E$9)</t>
  </si>
  <si>
    <t>=GL(,"Balance",$C127,,$D$5&amp;"/"&amp;F$9)</t>
  </si>
  <si>
    <t>=GL(,"Balance",$C127,,$D$5&amp;"/"&amp;G$9)</t>
  </si>
  <si>
    <t>=GL(,"Balance",$C127,,$D$5&amp;"/"&amp;H$9)</t>
  </si>
  <si>
    <t>=GL(,"Balance",$C127,,$D$5&amp;"/"&amp;I$9)</t>
  </si>
  <si>
    <t>=GL(,"Balance",$C127,,$D$5&amp;"/"&amp;J$9)</t>
  </si>
  <si>
    <t>=GL(,"Balance",$C127,,$D$5&amp;"/"&amp;K$9)</t>
  </si>
  <si>
    <t>=GL(,"Balance",$C128,,$D$5&amp;"/"&amp;E$9)</t>
  </si>
  <si>
    <t>=GL(,"Balance",$C128,,$D$5&amp;"/"&amp;F$9)</t>
  </si>
  <si>
    <t>=GL(,"Balance",$C128,,$D$5&amp;"/"&amp;G$9)</t>
  </si>
  <si>
    <t>=GL(,"Balance",$C128,,$D$5&amp;"/"&amp;H$9)</t>
  </si>
  <si>
    <t>=GL(,"Balance",$C128,,$D$5&amp;"/"&amp;I$9)</t>
  </si>
  <si>
    <t>=GL(,"Balance",$C128,,$D$5&amp;"/"&amp;J$9)</t>
  </si>
  <si>
    <t>=GL(,"Balance",$C128,,$D$5&amp;"/"&amp;K$9)</t>
  </si>
  <si>
    <t>=GL(,"Balance",$C129,,$D$5&amp;"/"&amp;E$9)</t>
  </si>
  <si>
    <t>=GL(,"Balance",$C129,,$D$5&amp;"/"&amp;F$9)</t>
  </si>
  <si>
    <t>=GL(,"Balance",$C129,,$D$5&amp;"/"&amp;G$9)</t>
  </si>
  <si>
    <t>=GL(,"Balance",$C129,,$D$5&amp;"/"&amp;H$9)</t>
  </si>
  <si>
    <t>=GL(,"Balance",$C129,,$D$5&amp;"/"&amp;I$9)</t>
  </si>
  <si>
    <t>=GL(,"Balance",$C129,,$D$5&amp;"/"&amp;J$9)</t>
  </si>
  <si>
    <t>=GL(,"Balance",$C129,,$D$5&amp;"/"&amp;K$9)</t>
  </si>
  <si>
    <t>=GL(,"Balance",$C130,,$D$5&amp;"/"&amp;E$9)</t>
  </si>
  <si>
    <t>=GL(,"Balance",$C130,,$D$5&amp;"/"&amp;F$9)</t>
  </si>
  <si>
    <t>=GL(,"Balance",$C130,,$D$5&amp;"/"&amp;G$9)</t>
  </si>
  <si>
    <t>=GL(,"Balance",$C130,,$D$5&amp;"/"&amp;H$9)</t>
  </si>
  <si>
    <t>=GL(,"Balance",$C130,,$D$5&amp;"/"&amp;I$9)</t>
  </si>
  <si>
    <t>=GL(,"Balance",$C130,,$D$5&amp;"/"&amp;J$9)</t>
  </si>
  <si>
    <t>=GL(,"Balance",$C130,,$D$5&amp;"/"&amp;K$9)</t>
  </si>
  <si>
    <t>=GL(,"Balance",$C131,,$D$5&amp;"/"&amp;E$9)</t>
  </si>
  <si>
    <t>=GL(,"Balance",$C131,,$D$5&amp;"/"&amp;F$9)</t>
  </si>
  <si>
    <t>=GL(,"Balance",$C131,,$D$5&amp;"/"&amp;G$9)</t>
  </si>
  <si>
    <t>=GL(,"Balance",$C131,,$D$5&amp;"/"&amp;H$9)</t>
  </si>
  <si>
    <t>=GL(,"Balance",$C131,,$D$5&amp;"/"&amp;I$9)</t>
  </si>
  <si>
    <t>=GL(,"Balance",$C131,,$D$5&amp;"/"&amp;J$9)</t>
  </si>
  <si>
    <t>=GL(,"Balance",$C131,,$D$5&amp;"/"&amp;K$9)</t>
  </si>
  <si>
    <t>=GL(,"Balance",$C132,,$D$5&amp;"/"&amp;E$9)</t>
  </si>
  <si>
    <t>=GL(,"Balance",$C132,,$D$5&amp;"/"&amp;F$9)</t>
  </si>
  <si>
    <t>=GL(,"Balance",$C132,,$D$5&amp;"/"&amp;G$9)</t>
  </si>
  <si>
    <t>=GL(,"Balance",$C132,,$D$5&amp;"/"&amp;H$9)</t>
  </si>
  <si>
    <t>=GL(,"Balance",$C132,,$D$5&amp;"/"&amp;I$9)</t>
  </si>
  <si>
    <t>=GL(,"Balance",$C132,,$D$5&amp;"/"&amp;J$9)</t>
  </si>
  <si>
    <t>=GL(,"Balance",$C132,,$D$5&amp;"/"&amp;K$9)</t>
  </si>
  <si>
    <t>=GL(,"Balance",$C133,,$D$5&amp;"/"&amp;E$9)</t>
  </si>
  <si>
    <t>=GL(,"Balance",$C133,,$D$5&amp;"/"&amp;F$9)</t>
  </si>
  <si>
    <t>=GL(,"Balance",$C133,,$D$5&amp;"/"&amp;G$9)</t>
  </si>
  <si>
    <t>=GL(,"Balance",$C133,,$D$5&amp;"/"&amp;H$9)</t>
  </si>
  <si>
    <t>=GL(,"Balance",$C133,,$D$5&amp;"/"&amp;I$9)</t>
  </si>
  <si>
    <t>=GL(,"Balance",$C133,,$D$5&amp;"/"&amp;J$9)</t>
  </si>
  <si>
    <t>=GL(,"Balance",$C133,,$D$5&amp;"/"&amp;K$9)</t>
  </si>
  <si>
    <t>=GL(,"Balance",$C134,,$D$5&amp;"/"&amp;E$9)</t>
  </si>
  <si>
    <t>=GL(,"Balance",$C134,,$D$5&amp;"/"&amp;F$9)</t>
  </si>
  <si>
    <t>=GL(,"Balance",$C134,,$D$5&amp;"/"&amp;G$9)</t>
  </si>
  <si>
    <t>=GL(,"Balance",$C134,,$D$5&amp;"/"&amp;H$9)</t>
  </si>
  <si>
    <t>=GL(,"Balance",$C134,,$D$5&amp;"/"&amp;I$9)</t>
  </si>
  <si>
    <t>=GL(,"Balance",$C134,,$D$5&amp;"/"&amp;J$9)</t>
  </si>
  <si>
    <t>=GL(,"Balance",$C134,,$D$5&amp;"/"&amp;K$9)</t>
  </si>
  <si>
    <t>=GL(,"Balance",$C135,,$D$5&amp;"/"&amp;E$9)</t>
  </si>
  <si>
    <t>=GL(,"Balance",$C135,,$D$5&amp;"/"&amp;F$9)</t>
  </si>
  <si>
    <t>=GL(,"Balance",$C135,,$D$5&amp;"/"&amp;G$9)</t>
  </si>
  <si>
    <t>=GL(,"Balance",$C135,,$D$5&amp;"/"&amp;H$9)</t>
  </si>
  <si>
    <t>=GL(,"Balance",$C135,,$D$5&amp;"/"&amp;I$9)</t>
  </si>
  <si>
    <t>=GL(,"Balance",$C135,,$D$5&amp;"/"&amp;J$9)</t>
  </si>
  <si>
    <t>=GL(,"Balance",$C135,,$D$5&amp;"/"&amp;K$9)</t>
  </si>
  <si>
    <t>=GL(,"Balance",$C136,,$D$5&amp;"/"&amp;E$9)</t>
  </si>
  <si>
    <t>=GL(,"Balance",$C136,,$D$5&amp;"/"&amp;F$9)</t>
  </si>
  <si>
    <t>=GL(,"Balance",$C136,,$D$5&amp;"/"&amp;G$9)</t>
  </si>
  <si>
    <t>=GL(,"Balance",$C136,,$D$5&amp;"/"&amp;H$9)</t>
  </si>
  <si>
    <t>=GL(,"Balance",$C136,,$D$5&amp;"/"&amp;I$9)</t>
  </si>
  <si>
    <t>=GL(,"Balance",$C136,,$D$5&amp;"/"&amp;J$9)</t>
  </si>
  <si>
    <t>=GL(,"Balance",$C136,,$D$5&amp;"/"&amp;K$9)</t>
  </si>
  <si>
    <t>=GL(,"Balance",$C137,,$D$5&amp;"/"&amp;E$9)</t>
  </si>
  <si>
    <t>=GL(,"Balance",$C137,,$D$5&amp;"/"&amp;F$9)</t>
  </si>
  <si>
    <t>=GL(,"Balance",$C137,,$D$5&amp;"/"&amp;G$9)</t>
  </si>
  <si>
    <t>=GL(,"Balance",$C137,,$D$5&amp;"/"&amp;H$9)</t>
  </si>
  <si>
    <t>=GL(,"Balance",$C137,,$D$5&amp;"/"&amp;I$9)</t>
  </si>
  <si>
    <t>=GL(,"Balance",$C137,,$D$5&amp;"/"&amp;J$9)</t>
  </si>
  <si>
    <t>=GL(,"Balance",$C137,,$D$5&amp;"/"&amp;K$9)</t>
  </si>
  <si>
    <t>=GL(,"Balance",$C138,,$D$5&amp;"/"&amp;E$9)</t>
  </si>
  <si>
    <t>=GL(,"Balance",$C138,,$D$5&amp;"/"&amp;F$9)</t>
  </si>
  <si>
    <t>=GL(,"Balance",$C138,,$D$5&amp;"/"&amp;G$9)</t>
  </si>
  <si>
    <t>=GL(,"Balance",$C138,,$D$5&amp;"/"&amp;H$9)</t>
  </si>
  <si>
    <t>=GL(,"Balance",$C138,,$D$5&amp;"/"&amp;I$9)</t>
  </si>
  <si>
    <t>=GL(,"Balance",$C138,,$D$5&amp;"/"&amp;J$9)</t>
  </si>
  <si>
    <t>=GL(,"Balance",$C138,,$D$5&amp;"/"&amp;K$9)</t>
  </si>
  <si>
    <t>=GL(,"Balance",$C139,,$D$5&amp;"/"&amp;E$9)</t>
  </si>
  <si>
    <t>=GL(,"Balance",$C139,,$D$5&amp;"/"&amp;F$9)</t>
  </si>
  <si>
    <t>=GL(,"Balance",$C139,,$D$5&amp;"/"&amp;G$9)</t>
  </si>
  <si>
    <t>=GL(,"Balance",$C139,,$D$5&amp;"/"&amp;H$9)</t>
  </si>
  <si>
    <t>=GL(,"Balance",$C139,,$D$5&amp;"/"&amp;I$9)</t>
  </si>
  <si>
    <t>=GL(,"Balance",$C139,,$D$5&amp;"/"&amp;J$9)</t>
  </si>
  <si>
    <t>=GL(,"Balance",$C139,,$D$5&amp;"/"&amp;K$9)</t>
  </si>
  <si>
    <t>=GL(,"Balance",$C140,,$D$5&amp;"/"&amp;E$9)</t>
  </si>
  <si>
    <t>=GL(,"Balance",$C140,,$D$5&amp;"/"&amp;F$9)</t>
  </si>
  <si>
    <t>=GL(,"Balance",$C140,,$D$5&amp;"/"&amp;G$9)</t>
  </si>
  <si>
    <t>=GL(,"Balance",$C140,,$D$5&amp;"/"&amp;H$9)</t>
  </si>
  <si>
    <t>=GL(,"Balance",$C140,,$D$5&amp;"/"&amp;I$9)</t>
  </si>
  <si>
    <t>=GL(,"Balance",$C140,,$D$5&amp;"/"&amp;J$9)</t>
  </si>
  <si>
    <t>=GL(,"Balance",$C140,,$D$5&amp;"/"&amp;K$9)</t>
  </si>
  <si>
    <t>=GL(,"Balance",$C141,,$D$5&amp;"/"&amp;E$9)</t>
  </si>
  <si>
    <t>=GL(,"Balance",$C141,,$D$5&amp;"/"&amp;F$9)</t>
  </si>
  <si>
    <t>=GL(,"Balance",$C141,,$D$5&amp;"/"&amp;G$9)</t>
  </si>
  <si>
    <t>=GL(,"Balance",$C141,,$D$5&amp;"/"&amp;H$9)</t>
  </si>
  <si>
    <t>=GL(,"Balance",$C141,,$D$5&amp;"/"&amp;I$9)</t>
  </si>
  <si>
    <t>=GL(,"Balance",$C141,,$D$5&amp;"/"&amp;J$9)</t>
  </si>
  <si>
    <t>=GL(,"Balance",$C141,,$D$5&amp;"/"&amp;K$9)</t>
  </si>
  <si>
    <t>=GL(,"Balance",$C142,,$D$5&amp;"/"&amp;E$9)</t>
  </si>
  <si>
    <t>=GL(,"Balance",$C142,,$D$5&amp;"/"&amp;F$9)</t>
  </si>
  <si>
    <t>=GL(,"Balance",$C142,,$D$5&amp;"/"&amp;G$9)</t>
  </si>
  <si>
    <t>=GL(,"Balance",$C142,,$D$5&amp;"/"&amp;H$9)</t>
  </si>
  <si>
    <t>=GL(,"Balance",$C142,,$D$5&amp;"/"&amp;I$9)</t>
  </si>
  <si>
    <t>=GL(,"Balance",$C142,,$D$5&amp;"/"&amp;J$9)</t>
  </si>
  <si>
    <t>=GL(,"Balance",$C142,,$D$5&amp;"/"&amp;K$9)</t>
  </si>
  <si>
    <t>=GL(,"Balance",$C143,,$D$5&amp;"/"&amp;E$9)</t>
  </si>
  <si>
    <t>=GL(,"Balance",$C143,,$D$5&amp;"/"&amp;F$9)</t>
  </si>
  <si>
    <t>=GL(,"Balance",$C143,,$D$5&amp;"/"&amp;G$9)</t>
  </si>
  <si>
    <t>=GL(,"Balance",$C143,,$D$5&amp;"/"&amp;H$9)</t>
  </si>
  <si>
    <t>=GL(,"Balance",$C143,,$D$5&amp;"/"&amp;I$9)</t>
  </si>
  <si>
    <t>=GL(,"Balance",$C143,,$D$5&amp;"/"&amp;J$9)</t>
  </si>
  <si>
    <t>=GL(,"Balance",$C143,,$D$5&amp;"/"&amp;K$9)</t>
  </si>
  <si>
    <t>=GL(,"Balance",$C144,,$D$5&amp;"/"&amp;E$9)</t>
  </si>
  <si>
    <t>=GL(,"Balance",$C144,,$D$5&amp;"/"&amp;F$9)</t>
  </si>
  <si>
    <t>=GL(,"Balance",$C144,,$D$5&amp;"/"&amp;G$9)</t>
  </si>
  <si>
    <t>=GL(,"Balance",$C144,,$D$5&amp;"/"&amp;H$9)</t>
  </si>
  <si>
    <t>=GL(,"Balance",$C144,,$D$5&amp;"/"&amp;I$9)</t>
  </si>
  <si>
    <t>=GL(,"Balance",$C144,,$D$5&amp;"/"&amp;J$9)</t>
  </si>
  <si>
    <t>=GL(,"Balance",$C144,,$D$5&amp;"/"&amp;K$9)</t>
  </si>
  <si>
    <t>=GL(,"Balance",$C145,,$D$5&amp;"/"&amp;E$9)</t>
  </si>
  <si>
    <t>=GL(,"Balance",$C145,,$D$5&amp;"/"&amp;F$9)</t>
  </si>
  <si>
    <t>=GL(,"Balance",$C145,,$D$5&amp;"/"&amp;G$9)</t>
  </si>
  <si>
    <t>=GL(,"Balance",$C145,,$D$5&amp;"/"&amp;H$9)</t>
  </si>
  <si>
    <t>=GL(,"Balance",$C145,,$D$5&amp;"/"&amp;I$9)</t>
  </si>
  <si>
    <t>=GL(,"Balance",$C145,,$D$5&amp;"/"&amp;J$9)</t>
  </si>
  <si>
    <t>=GL(,"Balance",$C145,,$D$5&amp;"/"&amp;K$9)</t>
  </si>
  <si>
    <t>=GL(,"Balance",$C146,,$D$5&amp;"/"&amp;E$9)</t>
  </si>
  <si>
    <t>=GL(,"Balance",$C146,,$D$5&amp;"/"&amp;F$9)</t>
  </si>
  <si>
    <t>=GL(,"Balance",$C146,,$D$5&amp;"/"&amp;G$9)</t>
  </si>
  <si>
    <t>=GL(,"Balance",$C146,,$D$5&amp;"/"&amp;H$9)</t>
  </si>
  <si>
    <t>=GL(,"Balance",$C146,,$D$5&amp;"/"&amp;I$9)</t>
  </si>
  <si>
    <t>=GL(,"Balance",$C146,,$D$5&amp;"/"&amp;J$9)</t>
  </si>
  <si>
    <t>=GL(,"Balance",$C146,,$D$5&amp;"/"&amp;K$9)</t>
  </si>
  <si>
    <t>=GL(,"Balance",$C147,,$D$5&amp;"/"&amp;E$9)</t>
  </si>
  <si>
    <t>=GL(,"Balance",$C147,,$D$5&amp;"/"&amp;F$9)</t>
  </si>
  <si>
    <t>=GL(,"Balance",$C147,,$D$5&amp;"/"&amp;G$9)</t>
  </si>
  <si>
    <t>=GL(,"Balance",$C147,,$D$5&amp;"/"&amp;H$9)</t>
  </si>
  <si>
    <t>=GL(,"Balance",$C147,,$D$5&amp;"/"&amp;I$9)</t>
  </si>
  <si>
    <t>=GL(,"Balance",$C147,,$D$5&amp;"/"&amp;J$9)</t>
  </si>
  <si>
    <t>=GL(,"Balance",$C147,,$D$5&amp;"/"&amp;K$9)</t>
  </si>
  <si>
    <t>=GL(,"Balance",$C148,,$D$5&amp;"/"&amp;E$9)</t>
  </si>
  <si>
    <t>=GL(,"Balance",$C148,,$D$5&amp;"/"&amp;F$9)</t>
  </si>
  <si>
    <t>=GL(,"Balance",$C148,,$D$5&amp;"/"&amp;G$9)</t>
  </si>
  <si>
    <t>=GL(,"Balance",$C148,,$D$5&amp;"/"&amp;H$9)</t>
  </si>
  <si>
    <t>=GL(,"Balance",$C148,,$D$5&amp;"/"&amp;I$9)</t>
  </si>
  <si>
    <t>=GL(,"Balance",$C148,,$D$5&amp;"/"&amp;J$9)</t>
  </si>
  <si>
    <t>=GL(,"Balance",$C148,,$D$5&amp;"/"&amp;K$9)</t>
  </si>
  <si>
    <t>=GL(,"Balance",$C149,,$D$5&amp;"/"&amp;E$9)</t>
  </si>
  <si>
    <t>=GL(,"Balance",$C149,,$D$5&amp;"/"&amp;F$9)</t>
  </si>
  <si>
    <t>=GL(,"Balance",$C149,,$D$5&amp;"/"&amp;G$9)</t>
  </si>
  <si>
    <t>=GL(,"Balance",$C149,,$D$5&amp;"/"&amp;H$9)</t>
  </si>
  <si>
    <t>=GL(,"Balance",$C149,,$D$5&amp;"/"&amp;I$9)</t>
  </si>
  <si>
    <t>=GL(,"Balance",$C149,,$D$5&amp;"/"&amp;J$9)</t>
  </si>
  <si>
    <t>=GL(,"Balance",$C149,,$D$5&amp;"/"&amp;K$9)</t>
  </si>
  <si>
    <t>=GL(,"Balance",$C150,,$D$5&amp;"/"&amp;E$9)</t>
  </si>
  <si>
    <t>=GL(,"Balance",$C150,,$D$5&amp;"/"&amp;F$9)</t>
  </si>
  <si>
    <t>=GL(,"Balance",$C150,,$D$5&amp;"/"&amp;G$9)</t>
  </si>
  <si>
    <t>=GL(,"Balance",$C150,,$D$5&amp;"/"&amp;H$9)</t>
  </si>
  <si>
    <t>=GL(,"Balance",$C150,,$D$5&amp;"/"&amp;I$9)</t>
  </si>
  <si>
    <t>=GL(,"Balance",$C150,,$D$5&amp;"/"&amp;J$9)</t>
  </si>
  <si>
    <t>=GL(,"Balance",$C150,,$D$5&amp;"/"&amp;K$9)</t>
  </si>
  <si>
    <t>=GL(,"Balance",$C151,,$D$5&amp;"/"&amp;E$9)</t>
  </si>
  <si>
    <t>=GL(,"Balance",$C151,,$D$5&amp;"/"&amp;F$9)</t>
  </si>
  <si>
    <t>=GL(,"Balance",$C151,,$D$5&amp;"/"&amp;G$9)</t>
  </si>
  <si>
    <t>=GL(,"Balance",$C151,,$D$5&amp;"/"&amp;H$9)</t>
  </si>
  <si>
    <t>=GL(,"Balance",$C151,,$D$5&amp;"/"&amp;I$9)</t>
  </si>
  <si>
    <t>=GL(,"Balance",$C151,,$D$5&amp;"/"&amp;J$9)</t>
  </si>
  <si>
    <t>=GL(,"Balance",$C151,,$D$5&amp;"/"&amp;K$9)</t>
  </si>
  <si>
    <t>=GL(,"Balance",$C152,,$D$5&amp;"/"&amp;E$9)</t>
  </si>
  <si>
    <t>=GL(,"Balance",$C152,,$D$5&amp;"/"&amp;F$9)</t>
  </si>
  <si>
    <t>=GL(,"Balance",$C152,,$D$5&amp;"/"&amp;G$9)</t>
  </si>
  <si>
    <t>=GL(,"Balance",$C152,,$D$5&amp;"/"&amp;H$9)</t>
  </si>
  <si>
    <t>=GL(,"Balance",$C152,,$D$5&amp;"/"&amp;I$9)</t>
  </si>
  <si>
    <t>=GL(,"Balance",$C152,,$D$5&amp;"/"&amp;J$9)</t>
  </si>
  <si>
    <t>=GL(,"Balance",$C152,,$D$5&amp;"/"&amp;K$9)</t>
  </si>
  <si>
    <t>=GL(,"Balance",$C153,,$D$5&amp;"/"&amp;E$9)</t>
  </si>
  <si>
    <t>=GL(,"Balance",$C153,,$D$5&amp;"/"&amp;F$9)</t>
  </si>
  <si>
    <t>=GL(,"Balance",$C153,,$D$5&amp;"/"&amp;G$9)</t>
  </si>
  <si>
    <t>=GL(,"Balance",$C153,,$D$5&amp;"/"&amp;H$9)</t>
  </si>
  <si>
    <t>=GL(,"Balance",$C153,,$D$5&amp;"/"&amp;I$9)</t>
  </si>
  <si>
    <t>=GL(,"Balance",$C153,,$D$5&amp;"/"&amp;J$9)</t>
  </si>
  <si>
    <t>=GL(,"Balance",$C153,,$D$5&amp;"/"&amp;K$9)</t>
  </si>
  <si>
    <t>=GL(,"Balance",$C154,,$D$5&amp;"/"&amp;E$9)</t>
  </si>
  <si>
    <t>=GL(,"Balance",$C154,,$D$5&amp;"/"&amp;F$9)</t>
  </si>
  <si>
    <t>=GL(,"Balance",$C154,,$D$5&amp;"/"&amp;G$9)</t>
  </si>
  <si>
    <t>=GL(,"Balance",$C154,,$D$5&amp;"/"&amp;H$9)</t>
  </si>
  <si>
    <t>=GL(,"Balance",$C154,,$D$5&amp;"/"&amp;I$9)</t>
  </si>
  <si>
    <t>=GL(,"Balance",$C154,,$D$5&amp;"/"&amp;J$9)</t>
  </si>
  <si>
    <t>=GL(,"Balance",$C154,,$D$5&amp;"/"&amp;K$9)</t>
  </si>
  <si>
    <t>=GL(,"Balance",$C155,,$D$5&amp;"/"&amp;E$9)</t>
  </si>
  <si>
    <t>=GL(,"Balance",$C155,,$D$5&amp;"/"&amp;F$9)</t>
  </si>
  <si>
    <t>=GL(,"Balance",$C155,,$D$5&amp;"/"&amp;G$9)</t>
  </si>
  <si>
    <t>=GL(,"Balance",$C155,,$D$5&amp;"/"&amp;H$9)</t>
  </si>
  <si>
    <t>=GL(,"Balance",$C155,,$D$5&amp;"/"&amp;I$9)</t>
  </si>
  <si>
    <t>=GL(,"Balance",$C155,,$D$5&amp;"/"&amp;J$9)</t>
  </si>
  <si>
    <t>=GL(,"Balance",$C155,,$D$5&amp;"/"&amp;K$9)</t>
  </si>
  <si>
    <t>=GL(,"Balance",$C156,,$D$5&amp;"/"&amp;E$9)</t>
  </si>
  <si>
    <t>=GL(,"Balance",$C156,,$D$5&amp;"/"&amp;F$9)</t>
  </si>
  <si>
    <t>=GL(,"Balance",$C156,,$D$5&amp;"/"&amp;G$9)</t>
  </si>
  <si>
    <t>=GL(,"Balance",$C156,,$D$5&amp;"/"&amp;H$9)</t>
  </si>
  <si>
    <t>=GL(,"Balance",$C156,,$D$5&amp;"/"&amp;I$9)</t>
  </si>
  <si>
    <t>=GL(,"Balance",$C156,,$D$5&amp;"/"&amp;J$9)</t>
  </si>
  <si>
    <t>=GL(,"Balance",$C156,,$D$5&amp;"/"&amp;K$9)</t>
  </si>
  <si>
    <t>=GL(,"Balance",$C157,,$D$5&amp;"/"&amp;E$9)</t>
  </si>
  <si>
    <t>=GL(,"Balance",$C157,,$D$5&amp;"/"&amp;F$9)</t>
  </si>
  <si>
    <t>=GL(,"Balance",$C157,,$D$5&amp;"/"&amp;G$9)</t>
  </si>
  <si>
    <t>=GL(,"Balance",$C157,,$D$5&amp;"/"&amp;H$9)</t>
  </si>
  <si>
    <t>=GL(,"Balance",$C157,,$D$5&amp;"/"&amp;I$9)</t>
  </si>
  <si>
    <t>=GL(,"Balance",$C157,,$D$5&amp;"/"&amp;J$9)</t>
  </si>
  <si>
    <t>=GL(,"Balance",$C157,,$D$5&amp;"/"&amp;K$9)</t>
  </si>
  <si>
    <t>=GL(,"Balance",$C158,,$D$5&amp;"/"&amp;E$9)</t>
  </si>
  <si>
    <t>=GL(,"Balance",$C158,,$D$5&amp;"/"&amp;F$9)</t>
  </si>
  <si>
    <t>=GL(,"Balance",$C158,,$D$5&amp;"/"&amp;G$9)</t>
  </si>
  <si>
    <t>=GL(,"Balance",$C158,,$D$5&amp;"/"&amp;H$9)</t>
  </si>
  <si>
    <t>=GL(,"Balance",$C158,,$D$5&amp;"/"&amp;I$9)</t>
  </si>
  <si>
    <t>=GL(,"Balance",$C158,,$D$5&amp;"/"&amp;J$9)</t>
  </si>
  <si>
    <t>=GL(,"Balance",$C158,,$D$5&amp;"/"&amp;K$9)</t>
  </si>
  <si>
    <t>=GL(,"Balance",$C159,,$D$5&amp;"/"&amp;E$9)</t>
  </si>
  <si>
    <t>=GL(,"Balance",$C159,,$D$5&amp;"/"&amp;F$9)</t>
  </si>
  <si>
    <t>=GL(,"Balance",$C159,,$D$5&amp;"/"&amp;G$9)</t>
  </si>
  <si>
    <t>=GL(,"Balance",$C159,,$D$5&amp;"/"&amp;H$9)</t>
  </si>
  <si>
    <t>=GL(,"Balance",$C159,,$D$5&amp;"/"&amp;I$9)</t>
  </si>
  <si>
    <t>=GL(,"Balance",$C159,,$D$5&amp;"/"&amp;J$9)</t>
  </si>
  <si>
    <t>=GL(,"Balance",$C159,,$D$5&amp;"/"&amp;K$9)</t>
  </si>
  <si>
    <t>=GL(,"Balance",$C160,,$D$5&amp;"/"&amp;E$9)</t>
  </si>
  <si>
    <t>=GL(,"Balance",$C160,,$D$5&amp;"/"&amp;F$9)</t>
  </si>
  <si>
    <t>=GL(,"Balance",$C160,,$D$5&amp;"/"&amp;G$9)</t>
  </si>
  <si>
    <t>=GL(,"Balance",$C160,,$D$5&amp;"/"&amp;H$9)</t>
  </si>
  <si>
    <t>=GL(,"Balance",$C160,,$D$5&amp;"/"&amp;I$9)</t>
  </si>
  <si>
    <t>=GL(,"Balance",$C160,,$D$5&amp;"/"&amp;J$9)</t>
  </si>
  <si>
    <t>=GL(,"Balance",$C160,,$D$5&amp;"/"&amp;K$9)</t>
  </si>
  <si>
    <t>=GL(,"Balance",$C161,,$D$5&amp;"/"&amp;E$9)</t>
  </si>
  <si>
    <t>=GL(,"Balance",$C161,,$D$5&amp;"/"&amp;F$9)</t>
  </si>
  <si>
    <t>=GL(,"Balance",$C161,,$D$5&amp;"/"&amp;G$9)</t>
  </si>
  <si>
    <t>=GL(,"Balance",$C161,,$D$5&amp;"/"&amp;H$9)</t>
  </si>
  <si>
    <t>=GL(,"Balance",$C161,,$D$5&amp;"/"&amp;I$9)</t>
  </si>
  <si>
    <t>=GL(,"Balance",$C161,,$D$5&amp;"/"&amp;J$9)</t>
  </si>
  <si>
    <t>=GL(,"Balance",$C161,,$D$5&amp;"/"&amp;K$9)</t>
  </si>
  <si>
    <t>=GL(,"Balance",$C162,,$D$5&amp;"/"&amp;E$9)</t>
  </si>
  <si>
    <t>=GL(,"Balance",$C162,,$D$5&amp;"/"&amp;F$9)</t>
  </si>
  <si>
    <t>=GL(,"Balance",$C162,,$D$5&amp;"/"&amp;G$9)</t>
  </si>
  <si>
    <t>=GL(,"Balance",$C162,,$D$5&amp;"/"&amp;H$9)</t>
  </si>
  <si>
    <t>=GL(,"Balance",$C162,,$D$5&amp;"/"&amp;I$9)</t>
  </si>
  <si>
    <t>=GL(,"Balance",$C162,,$D$5&amp;"/"&amp;J$9)</t>
  </si>
  <si>
    <t>=GL(,"Balance",$C162,,$D$5&amp;"/"&amp;K$9)</t>
  </si>
  <si>
    <t>=GL(,"Balance",$C163,,$D$5&amp;"/"&amp;E$9)</t>
  </si>
  <si>
    <t>=GL(,"Balance",$C163,,$D$5&amp;"/"&amp;F$9)</t>
  </si>
  <si>
    <t>=GL(,"Balance",$C163,,$D$5&amp;"/"&amp;G$9)</t>
  </si>
  <si>
    <t>=GL(,"Balance",$C163,,$D$5&amp;"/"&amp;H$9)</t>
  </si>
  <si>
    <t>=GL(,"Balance",$C163,,$D$5&amp;"/"&amp;I$9)</t>
  </si>
  <si>
    <t>=GL(,"Balance",$C163,,$D$5&amp;"/"&amp;J$9)</t>
  </si>
  <si>
    <t>=GL(,"Balance",$C163,,$D$5&amp;"/"&amp;K$9)</t>
  </si>
  <si>
    <t>=GL(,"Balance",$C164,,$D$5&amp;"/"&amp;E$9)</t>
  </si>
  <si>
    <t>=GL(,"Balance",$C164,,$D$5&amp;"/"&amp;F$9)</t>
  </si>
  <si>
    <t>=GL(,"Balance",$C164,,$D$5&amp;"/"&amp;G$9)</t>
  </si>
  <si>
    <t>=GL(,"Balance",$C164,,$D$5&amp;"/"&amp;H$9)</t>
  </si>
  <si>
    <t>=GL(,"Balance",$C164,,$D$5&amp;"/"&amp;I$9)</t>
  </si>
  <si>
    <t>=GL(,"Balance",$C164,,$D$5&amp;"/"&amp;J$9)</t>
  </si>
  <si>
    <t>=GL(,"Balance",$C164,,$D$5&amp;"/"&amp;K$9)</t>
  </si>
  <si>
    <t>=GL(,"Balance",$C165,,$D$5&amp;"/"&amp;E$9)</t>
  </si>
  <si>
    <t>=GL(,"Balance",$C165,,$D$5&amp;"/"&amp;F$9)</t>
  </si>
  <si>
    <t>=GL(,"Balance",$C165,,$D$5&amp;"/"&amp;G$9)</t>
  </si>
  <si>
    <t>=GL(,"Balance",$C165,,$D$5&amp;"/"&amp;H$9)</t>
  </si>
  <si>
    <t>=GL(,"Balance",$C165,,$D$5&amp;"/"&amp;I$9)</t>
  </si>
  <si>
    <t>=GL(,"Balance",$C165,,$D$5&amp;"/"&amp;J$9)</t>
  </si>
  <si>
    <t>=GL(,"Balance",$C165,,$D$5&amp;"/"&amp;K$9)</t>
  </si>
  <si>
    <t>=GL(,"Balance",$C166,,$D$5&amp;"/"&amp;E$9)</t>
  </si>
  <si>
    <t>=GL(,"Balance",$C166,,$D$5&amp;"/"&amp;F$9)</t>
  </si>
  <si>
    <t>=GL(,"Balance",$C166,,$D$5&amp;"/"&amp;G$9)</t>
  </si>
  <si>
    <t>=GL(,"Balance",$C166,,$D$5&amp;"/"&amp;H$9)</t>
  </si>
  <si>
    <t>=GL(,"Balance",$C166,,$D$5&amp;"/"&amp;I$9)</t>
  </si>
  <si>
    <t>=GL(,"Balance",$C166,,$D$5&amp;"/"&amp;J$9)</t>
  </si>
  <si>
    <t>=GL(,"Balance",$C166,,$D$5&amp;"/"&amp;K$9)</t>
  </si>
  <si>
    <t>=GL(,"Balance",$C167,,$D$5&amp;"/"&amp;E$9)</t>
  </si>
  <si>
    <t>=GL(,"Balance",$C167,,$D$5&amp;"/"&amp;F$9)</t>
  </si>
  <si>
    <t>=GL(,"Balance",$C167,,$D$5&amp;"/"&amp;G$9)</t>
  </si>
  <si>
    <t>=GL(,"Balance",$C167,,$D$5&amp;"/"&amp;H$9)</t>
  </si>
  <si>
    <t>=GL(,"Balance",$C167,,$D$5&amp;"/"&amp;I$9)</t>
  </si>
  <si>
    <t>=GL(,"Balance",$C167,,$D$5&amp;"/"&amp;J$9)</t>
  </si>
  <si>
    <t>=GL(,"Balance",$C167,,$D$5&amp;"/"&amp;K$9)</t>
  </si>
  <si>
    <t>=GL(,"Balance",$C168,,$D$5&amp;"/"&amp;E$9)</t>
  </si>
  <si>
    <t>=GL(,"Balance",$C168,,$D$5&amp;"/"&amp;F$9)</t>
  </si>
  <si>
    <t>=GL(,"Balance",$C168,,$D$5&amp;"/"&amp;G$9)</t>
  </si>
  <si>
    <t>=GL(,"Balance",$C168,,$D$5&amp;"/"&amp;H$9)</t>
  </si>
  <si>
    <t>=GL(,"Balance",$C168,,$D$5&amp;"/"&amp;I$9)</t>
  </si>
  <si>
    <t>=GL(,"Balance",$C168,,$D$5&amp;"/"&amp;J$9)</t>
  </si>
  <si>
    <t>=GL(,"Balance",$C168,,$D$5&amp;"/"&amp;K$9)</t>
  </si>
  <si>
    <t>=GL(,"Balance",$C169,,$D$5&amp;"/"&amp;E$9)</t>
  </si>
  <si>
    <t>=GL(,"Balance",$C169,,$D$5&amp;"/"&amp;F$9)</t>
  </si>
  <si>
    <t>=GL(,"Balance",$C169,,$D$5&amp;"/"&amp;G$9)</t>
  </si>
  <si>
    <t>=GL(,"Balance",$C169,,$D$5&amp;"/"&amp;H$9)</t>
  </si>
  <si>
    <t>=GL(,"Balance",$C169,,$D$5&amp;"/"&amp;I$9)</t>
  </si>
  <si>
    <t>=GL(,"Balance",$C169,,$D$5&amp;"/"&amp;J$9)</t>
  </si>
  <si>
    <t>=GL(,"Balance",$C169,,$D$5&amp;"/"&amp;K$9)</t>
  </si>
  <si>
    <t>=GL(,"Balance",$C170,,$D$5&amp;"/"&amp;E$9)</t>
  </si>
  <si>
    <t>=GL(,"Balance",$C170,,$D$5&amp;"/"&amp;F$9)</t>
  </si>
  <si>
    <t>=GL(,"Balance",$C170,,$D$5&amp;"/"&amp;G$9)</t>
  </si>
  <si>
    <t>=GL(,"Balance",$C170,,$D$5&amp;"/"&amp;H$9)</t>
  </si>
  <si>
    <t>=GL(,"Balance",$C170,,$D$5&amp;"/"&amp;I$9)</t>
  </si>
  <si>
    <t>=GL(,"Balance",$C170,,$D$5&amp;"/"&amp;J$9)</t>
  </si>
  <si>
    <t>=GL(,"Balance",$C170,,$D$5&amp;"/"&amp;K$9)</t>
  </si>
  <si>
    <t>=GL(,"Balance",$C171,,$D$5&amp;"/"&amp;E$9)</t>
  </si>
  <si>
    <t>=GL(,"Balance",$C171,,$D$5&amp;"/"&amp;F$9)</t>
  </si>
  <si>
    <t>=GL(,"Balance",$C171,,$D$5&amp;"/"&amp;G$9)</t>
  </si>
  <si>
    <t>=GL(,"Balance",$C171,,$D$5&amp;"/"&amp;H$9)</t>
  </si>
  <si>
    <t>=GL(,"Balance",$C171,,$D$5&amp;"/"&amp;I$9)</t>
  </si>
  <si>
    <t>=GL(,"Balance",$C171,,$D$5&amp;"/"&amp;J$9)</t>
  </si>
  <si>
    <t>=GL(,"Balance",$C171,,$D$5&amp;"/"&amp;K$9)</t>
  </si>
  <si>
    <t>=GL(,"Balance",$C172,,$D$5&amp;"/"&amp;E$9)</t>
  </si>
  <si>
    <t>=GL(,"Balance",$C172,,$D$5&amp;"/"&amp;F$9)</t>
  </si>
  <si>
    <t>=GL(,"Balance",$C172,,$D$5&amp;"/"&amp;G$9)</t>
  </si>
  <si>
    <t>=GL(,"Balance",$C172,,$D$5&amp;"/"&amp;H$9)</t>
  </si>
  <si>
    <t>=GL(,"Balance",$C172,,$D$5&amp;"/"&amp;I$9)</t>
  </si>
  <si>
    <t>=GL(,"Balance",$C172,,$D$5&amp;"/"&amp;J$9)</t>
  </si>
  <si>
    <t>=GL(,"Balance",$C172,,$D$5&amp;"/"&amp;K$9)</t>
  </si>
  <si>
    <t>=GL(,"Balance",$C173,,$D$5&amp;"/"&amp;E$9)</t>
  </si>
  <si>
    <t>=GL(,"Balance",$C173,,$D$5&amp;"/"&amp;F$9)</t>
  </si>
  <si>
    <t>=GL(,"Balance",$C173,,$D$5&amp;"/"&amp;G$9)</t>
  </si>
  <si>
    <t>=GL(,"Balance",$C173,,$D$5&amp;"/"&amp;H$9)</t>
  </si>
  <si>
    <t>=GL(,"Balance",$C173,,$D$5&amp;"/"&amp;I$9)</t>
  </si>
  <si>
    <t>=GL(,"Balance",$C173,,$D$5&amp;"/"&amp;J$9)</t>
  </si>
  <si>
    <t>=GL(,"Balance",$C173,,$D$5&amp;"/"&amp;K$9)</t>
  </si>
  <si>
    <t>=GL(,"Balance",$C174,,$D$5&amp;"/"&amp;E$9)</t>
  </si>
  <si>
    <t>=GL(,"Balance",$C174,,$D$5&amp;"/"&amp;F$9)</t>
  </si>
  <si>
    <t>=GL(,"Balance",$C174,,$D$5&amp;"/"&amp;G$9)</t>
  </si>
  <si>
    <t>=GL(,"Balance",$C174,,$D$5&amp;"/"&amp;H$9)</t>
  </si>
  <si>
    <t>=GL(,"Balance",$C174,,$D$5&amp;"/"&amp;I$9)</t>
  </si>
  <si>
    <t>=GL(,"Balance",$C174,,$D$5&amp;"/"&amp;J$9)</t>
  </si>
  <si>
    <t>=GL(,"Balance",$C174,,$D$5&amp;"/"&amp;K$9)</t>
  </si>
  <si>
    <t>=GL(,"Balance",$C175,,$D$5&amp;"/"&amp;E$9)</t>
  </si>
  <si>
    <t>=GL(,"Balance",$C175,,$D$5&amp;"/"&amp;F$9)</t>
  </si>
  <si>
    <t>=GL(,"Balance",$C175,,$D$5&amp;"/"&amp;G$9)</t>
  </si>
  <si>
    <t>=GL(,"Balance",$C175,,$D$5&amp;"/"&amp;H$9)</t>
  </si>
  <si>
    <t>=GL(,"Balance",$C175,,$D$5&amp;"/"&amp;I$9)</t>
  </si>
  <si>
    <t>=GL(,"Balance",$C175,,$D$5&amp;"/"&amp;J$9)</t>
  </si>
  <si>
    <t>=GL(,"Balance",$C175,,$D$5&amp;"/"&amp;K$9)</t>
  </si>
  <si>
    <t>=GL(,"Balance",$C176,,$D$5&amp;"/"&amp;E$9)</t>
  </si>
  <si>
    <t>=GL(,"Balance",$C176,,$D$5&amp;"/"&amp;F$9)</t>
  </si>
  <si>
    <t>=GL(,"Balance",$C176,,$D$5&amp;"/"&amp;G$9)</t>
  </si>
  <si>
    <t>=GL(,"Balance",$C176,,$D$5&amp;"/"&amp;H$9)</t>
  </si>
  <si>
    <t>=GL(,"Balance",$C176,,$D$5&amp;"/"&amp;I$9)</t>
  </si>
  <si>
    <t>=GL(,"Balance",$C176,,$D$5&amp;"/"&amp;J$9)</t>
  </si>
  <si>
    <t>=GL(,"Balance",$C176,,$D$5&amp;"/"&amp;K$9)</t>
  </si>
  <si>
    <t>=GL(,"Balance",$C177,,$D$5&amp;"/"&amp;E$9)</t>
  </si>
  <si>
    <t>=GL(,"Balance",$C177,,$D$5&amp;"/"&amp;F$9)</t>
  </si>
  <si>
    <t>=GL(,"Balance",$C177,,$D$5&amp;"/"&amp;G$9)</t>
  </si>
  <si>
    <t>=GL(,"Balance",$C177,,$D$5&amp;"/"&amp;H$9)</t>
  </si>
  <si>
    <t>=GL(,"Balance",$C177,,$D$5&amp;"/"&amp;I$9)</t>
  </si>
  <si>
    <t>=GL(,"Balance",$C177,,$D$5&amp;"/"&amp;J$9)</t>
  </si>
  <si>
    <t>=GL(,"Balance",$C177,,$D$5&amp;"/"&amp;K$9)</t>
  </si>
  <si>
    <t>=GL(,"Balance",$C178,,$D$5&amp;"/"&amp;E$9)</t>
  </si>
  <si>
    <t>=GL(,"Balance",$C178,,$D$5&amp;"/"&amp;F$9)</t>
  </si>
  <si>
    <t>=GL(,"Balance",$C178,,$D$5&amp;"/"&amp;G$9)</t>
  </si>
  <si>
    <t>=GL(,"Balance",$C178,,$D$5&amp;"/"&amp;H$9)</t>
  </si>
  <si>
    <t>=GL(,"Balance",$C178,,$D$5&amp;"/"&amp;I$9)</t>
  </si>
  <si>
    <t>=GL(,"Balance",$C178,,$D$5&amp;"/"&amp;J$9)</t>
  </si>
  <si>
    <t>=GL(,"Balance",$C178,,$D$5&amp;"/"&amp;K$9)</t>
  </si>
  <si>
    <t>=GL(,"Balance",$C179,,$D$5&amp;"/"&amp;E$9)</t>
  </si>
  <si>
    <t>=GL(,"Balance",$C179,,$D$5&amp;"/"&amp;F$9)</t>
  </si>
  <si>
    <t>=GL(,"Balance",$C179,,$D$5&amp;"/"&amp;G$9)</t>
  </si>
  <si>
    <t>=GL(,"Balance",$C179,,$D$5&amp;"/"&amp;H$9)</t>
  </si>
  <si>
    <t>=GL(,"Balance",$C179,,$D$5&amp;"/"&amp;I$9)</t>
  </si>
  <si>
    <t>=GL(,"Balance",$C179,,$D$5&amp;"/"&amp;J$9)</t>
  </si>
  <si>
    <t>=GL(,"Balance",$C179,,$D$5&amp;"/"&amp;K$9)</t>
  </si>
  <si>
    <t>=GL(,"Balance",$C180,,$D$5&amp;"/"&amp;E$9)</t>
  </si>
  <si>
    <t>=GL(,"Balance",$C180,,$D$5&amp;"/"&amp;F$9)</t>
  </si>
  <si>
    <t>=GL(,"Balance",$C180,,$D$5&amp;"/"&amp;G$9)</t>
  </si>
  <si>
    <t>=GL(,"Balance",$C180,,$D$5&amp;"/"&amp;H$9)</t>
  </si>
  <si>
    <t>=GL(,"Balance",$C180,,$D$5&amp;"/"&amp;I$9)</t>
  </si>
  <si>
    <t>=GL(,"Balance",$C180,,$D$5&amp;"/"&amp;J$9)</t>
  </si>
  <si>
    <t>=GL(,"Balance",$C180,,$D$5&amp;"/"&amp;K$9)</t>
  </si>
  <si>
    <t>=GL(,"Balance",$C181,,$D$5&amp;"/"&amp;E$9)</t>
  </si>
  <si>
    <t>=GL(,"Balance",$C181,,$D$5&amp;"/"&amp;F$9)</t>
  </si>
  <si>
    <t>=GL(,"Balance",$C181,,$D$5&amp;"/"&amp;G$9)</t>
  </si>
  <si>
    <t>=GL(,"Balance",$C181,,$D$5&amp;"/"&amp;H$9)</t>
  </si>
  <si>
    <t>=GL(,"Balance",$C181,,$D$5&amp;"/"&amp;I$9)</t>
  </si>
  <si>
    <t>=GL(,"Balance",$C181,,$D$5&amp;"/"&amp;J$9)</t>
  </si>
  <si>
    <t>=GL(,"Balance",$C181,,$D$5&amp;"/"&amp;K$9)</t>
  </si>
  <si>
    <t>=GL(,"Balance",$C182,,$D$5&amp;"/"&amp;E$9)</t>
  </si>
  <si>
    <t>=GL(,"Balance",$C182,,$D$5&amp;"/"&amp;F$9)</t>
  </si>
  <si>
    <t>=GL(,"Balance",$C182,,$D$5&amp;"/"&amp;G$9)</t>
  </si>
  <si>
    <t>=GL(,"Balance",$C182,,$D$5&amp;"/"&amp;H$9)</t>
  </si>
  <si>
    <t>=GL(,"Balance",$C182,,$D$5&amp;"/"&amp;I$9)</t>
  </si>
  <si>
    <t>=GL(,"Balance",$C182,,$D$5&amp;"/"&amp;J$9)</t>
  </si>
  <si>
    <t>=GL(,"Balance",$C182,,$D$5&amp;"/"&amp;K$9)</t>
  </si>
  <si>
    <t>=GL(,"Balance",$C183,,$D$5&amp;"/"&amp;E$9)</t>
  </si>
  <si>
    <t>=GL(,"Balance",$C183,,$D$5&amp;"/"&amp;F$9)</t>
  </si>
  <si>
    <t>=GL(,"Balance",$C183,,$D$5&amp;"/"&amp;G$9)</t>
  </si>
  <si>
    <t>=GL(,"Balance",$C183,,$D$5&amp;"/"&amp;H$9)</t>
  </si>
  <si>
    <t>=GL(,"Balance",$C183,,$D$5&amp;"/"&amp;I$9)</t>
  </si>
  <si>
    <t>=GL(,"Balance",$C183,,$D$5&amp;"/"&amp;J$9)</t>
  </si>
  <si>
    <t>=GL(,"Balance",$C183,,$D$5&amp;"/"&amp;K$9)</t>
  </si>
  <si>
    <t>=GL(,"Balance",$C184,,$D$5&amp;"/"&amp;E$9)</t>
  </si>
  <si>
    <t>=GL(,"Balance",$C184,,$D$5&amp;"/"&amp;F$9)</t>
  </si>
  <si>
    <t>=GL(,"Balance",$C184,,$D$5&amp;"/"&amp;G$9)</t>
  </si>
  <si>
    <t>=GL(,"Balance",$C184,,$D$5&amp;"/"&amp;H$9)</t>
  </si>
  <si>
    <t>=GL(,"Balance",$C184,,$D$5&amp;"/"&amp;I$9)</t>
  </si>
  <si>
    <t>=GL(,"Balance",$C184,,$D$5&amp;"/"&amp;J$9)</t>
  </si>
  <si>
    <t>=GL(,"Balance",$C184,,$D$5&amp;"/"&amp;K$9)</t>
  </si>
  <si>
    <t>=GL(,"Balance",$C185,,$D$5&amp;"/"&amp;E$9)</t>
  </si>
  <si>
    <t>=GL(,"Balance",$C185,,$D$5&amp;"/"&amp;F$9)</t>
  </si>
  <si>
    <t>=GL(,"Balance",$C185,,$D$5&amp;"/"&amp;G$9)</t>
  </si>
  <si>
    <t>=GL(,"Balance",$C185,,$D$5&amp;"/"&amp;H$9)</t>
  </si>
  <si>
    <t>=GL(,"Balance",$C185,,$D$5&amp;"/"&amp;I$9)</t>
  </si>
  <si>
    <t>=GL(,"Balance",$C185,,$D$5&amp;"/"&amp;J$9)</t>
  </si>
  <si>
    <t>=GL(,"Balance",$C185,,$D$5&amp;"/"&amp;K$9)</t>
  </si>
  <si>
    <t>=GL(,"Balance",$C186,,$D$5&amp;"/"&amp;E$9)</t>
  </si>
  <si>
    <t>=GL(,"Balance",$C186,,$D$5&amp;"/"&amp;F$9)</t>
  </si>
  <si>
    <t>=GL(,"Balance",$C186,,$D$5&amp;"/"&amp;G$9)</t>
  </si>
  <si>
    <t>=GL(,"Balance",$C186,,$D$5&amp;"/"&amp;H$9)</t>
  </si>
  <si>
    <t>=GL(,"Balance",$C186,,$D$5&amp;"/"&amp;I$9)</t>
  </si>
  <si>
    <t>=GL(,"Balance",$C186,,$D$5&amp;"/"&amp;J$9)</t>
  </si>
  <si>
    <t>=GL(,"Balance",$C186,,$D$5&amp;"/"&amp;K$9)</t>
  </si>
  <si>
    <t>=GL(,"Balance",$C187,,$D$5&amp;"/"&amp;E$9)</t>
  </si>
  <si>
    <t>=GL(,"Balance",$C187,,$D$5&amp;"/"&amp;F$9)</t>
  </si>
  <si>
    <t>=GL(,"Balance",$C187,,$D$5&amp;"/"&amp;G$9)</t>
  </si>
  <si>
    <t>=GL(,"Balance",$C187,,$D$5&amp;"/"&amp;H$9)</t>
  </si>
  <si>
    <t>=GL(,"Balance",$C187,,$D$5&amp;"/"&amp;I$9)</t>
  </si>
  <si>
    <t>=GL(,"Balance",$C187,,$D$5&amp;"/"&amp;J$9)</t>
  </si>
  <si>
    <t>=GL(,"Balance",$C187,,$D$5&amp;"/"&amp;K$9)</t>
  </si>
  <si>
    <t>=GL(,"Balance",$C188,,$D$5&amp;"/"&amp;E$9)</t>
  </si>
  <si>
    <t>=GL(,"Balance",$C188,,$D$5&amp;"/"&amp;F$9)</t>
  </si>
  <si>
    <t>=GL(,"Balance",$C188,,$D$5&amp;"/"&amp;G$9)</t>
  </si>
  <si>
    <t>=GL(,"Balance",$C188,,$D$5&amp;"/"&amp;H$9)</t>
  </si>
  <si>
    <t>=GL(,"Balance",$C188,,$D$5&amp;"/"&amp;I$9)</t>
  </si>
  <si>
    <t>=GL(,"Balance",$C188,,$D$5&amp;"/"&amp;J$9)</t>
  </si>
  <si>
    <t>=GL(,"Balance",$C188,,$D$5&amp;"/"&amp;K$9)</t>
  </si>
  <si>
    <t>=GL(,"Balance",$C189,,$D$5&amp;"/"&amp;E$9)</t>
  </si>
  <si>
    <t>=GL(,"Balance",$C189,,$D$5&amp;"/"&amp;F$9)</t>
  </si>
  <si>
    <t>=GL(,"Balance",$C189,,$D$5&amp;"/"&amp;G$9)</t>
  </si>
  <si>
    <t>=GL(,"Balance",$C189,,$D$5&amp;"/"&amp;H$9)</t>
  </si>
  <si>
    <t>=GL(,"Balance",$C189,,$D$5&amp;"/"&amp;I$9)</t>
  </si>
  <si>
    <t>=GL(,"Balance",$C189,,$D$5&amp;"/"&amp;J$9)</t>
  </si>
  <si>
    <t>=GL(,"Balance",$C189,,$D$5&amp;"/"&amp;K$9)</t>
  </si>
  <si>
    <t>=GL(,"Balance",$C190,,$D$5&amp;"/"&amp;E$9)</t>
  </si>
  <si>
    <t>=GL(,"Balance",$C190,,$D$5&amp;"/"&amp;F$9)</t>
  </si>
  <si>
    <t>=GL(,"Balance",$C190,,$D$5&amp;"/"&amp;G$9)</t>
  </si>
  <si>
    <t>=GL(,"Balance",$C190,,$D$5&amp;"/"&amp;H$9)</t>
  </si>
  <si>
    <t>=GL(,"Balance",$C190,,$D$5&amp;"/"&amp;I$9)</t>
  </si>
  <si>
    <t>=GL(,"Balance",$C190,,$D$5&amp;"/"&amp;J$9)</t>
  </si>
  <si>
    <t>=GL(,"Balance",$C190,,$D$5&amp;"/"&amp;K$9)</t>
  </si>
  <si>
    <t>=GL(,"Balance",$C191,,$D$5&amp;"/"&amp;E$9)</t>
  </si>
  <si>
    <t>=GL(,"Balance",$C191,,$D$5&amp;"/"&amp;F$9)</t>
  </si>
  <si>
    <t>=GL(,"Balance",$C191,,$D$5&amp;"/"&amp;G$9)</t>
  </si>
  <si>
    <t>=GL(,"Balance",$C191,,$D$5&amp;"/"&amp;H$9)</t>
  </si>
  <si>
    <t>=GL(,"Balance",$C191,,$D$5&amp;"/"&amp;I$9)</t>
  </si>
  <si>
    <t>=GL(,"Balance",$C191,,$D$5&amp;"/"&amp;J$9)</t>
  </si>
  <si>
    <t>=GL(,"Balance",$C191,,$D$5&amp;"/"&amp;K$9)</t>
  </si>
  <si>
    <t>=GL(,"Balance",$C192,,$D$5&amp;"/"&amp;E$9)</t>
  </si>
  <si>
    <t>=GL(,"Balance",$C192,,$D$5&amp;"/"&amp;F$9)</t>
  </si>
  <si>
    <t>=GL(,"Balance",$C192,,$D$5&amp;"/"&amp;G$9)</t>
  </si>
  <si>
    <t>=GL(,"Balance",$C192,,$D$5&amp;"/"&amp;H$9)</t>
  </si>
  <si>
    <t>=GL(,"Balance",$C192,,$D$5&amp;"/"&amp;I$9)</t>
  </si>
  <si>
    <t>=GL(,"Balance",$C192,,$D$5&amp;"/"&amp;J$9)</t>
  </si>
  <si>
    <t>=GL(,"Balance",$C192,,$D$5&amp;"/"&amp;K$9)</t>
  </si>
  <si>
    <t>=GL(,"Balance",$C193,,$D$5&amp;"/"&amp;E$9)</t>
  </si>
  <si>
    <t>=GL(,"Balance",$C193,,$D$5&amp;"/"&amp;F$9)</t>
  </si>
  <si>
    <t>=GL(,"Balance",$C193,,$D$5&amp;"/"&amp;G$9)</t>
  </si>
  <si>
    <t>=GL(,"Balance",$C193,,$D$5&amp;"/"&amp;H$9)</t>
  </si>
  <si>
    <t>=GL(,"Balance",$C193,,$D$5&amp;"/"&amp;I$9)</t>
  </si>
  <si>
    <t>=GL(,"Balance",$C193,,$D$5&amp;"/"&amp;J$9)</t>
  </si>
  <si>
    <t>=GL(,"Balance",$C193,,$D$5&amp;"/"&amp;K$9)</t>
  </si>
  <si>
    <t>=GL(,"Balance",$C194,,$D$5&amp;"/"&amp;E$9)</t>
  </si>
  <si>
    <t>=GL(,"Balance",$C194,,$D$5&amp;"/"&amp;F$9)</t>
  </si>
  <si>
    <t>=GL(,"Balance",$C194,,$D$5&amp;"/"&amp;G$9)</t>
  </si>
  <si>
    <t>=GL(,"Balance",$C194,,$D$5&amp;"/"&amp;H$9)</t>
  </si>
  <si>
    <t>=GL(,"Balance",$C194,,$D$5&amp;"/"&amp;I$9)</t>
  </si>
  <si>
    <t>=GL(,"Balance",$C194,,$D$5&amp;"/"&amp;J$9)</t>
  </si>
  <si>
    <t>=GL(,"Balance",$C194,,$D$5&amp;"/"&amp;K$9)</t>
  </si>
  <si>
    <t>=GL(,"Balance",$C195,,$D$5&amp;"/"&amp;E$9)</t>
  </si>
  <si>
    <t>=GL(,"Balance",$C195,,$D$5&amp;"/"&amp;F$9)</t>
  </si>
  <si>
    <t>=GL(,"Balance",$C195,,$D$5&amp;"/"&amp;G$9)</t>
  </si>
  <si>
    <t>=GL(,"Balance",$C195,,$D$5&amp;"/"&amp;H$9)</t>
  </si>
  <si>
    <t>=GL(,"Balance",$C195,,$D$5&amp;"/"&amp;I$9)</t>
  </si>
  <si>
    <t>=GL(,"Balance",$C195,,$D$5&amp;"/"&amp;J$9)</t>
  </si>
  <si>
    <t>=GL(,"Balance",$C195,,$D$5&amp;"/"&amp;K$9)</t>
  </si>
  <si>
    <t>=GL(,"Balance",$C196,,$D$5&amp;"/"&amp;E$9)</t>
  </si>
  <si>
    <t>=GL(,"Balance",$C196,,$D$5&amp;"/"&amp;F$9)</t>
  </si>
  <si>
    <t>=GL(,"Balance",$C196,,$D$5&amp;"/"&amp;G$9)</t>
  </si>
  <si>
    <t>=GL(,"Balance",$C196,,$D$5&amp;"/"&amp;H$9)</t>
  </si>
  <si>
    <t>=GL(,"Balance",$C196,,$D$5&amp;"/"&amp;I$9)</t>
  </si>
  <si>
    <t>=GL(,"Balance",$C196,,$D$5&amp;"/"&amp;J$9)</t>
  </si>
  <si>
    <t>=GL(,"Balance",$C196,,$D$5&amp;"/"&amp;K$9)</t>
  </si>
  <si>
    <t>=GL(,"Balance",$C197,,$D$5&amp;"/"&amp;E$9)</t>
  </si>
  <si>
    <t>=GL(,"Balance",$C197,,$D$5&amp;"/"&amp;F$9)</t>
  </si>
  <si>
    <t>=GL(,"Balance",$C197,,$D$5&amp;"/"&amp;G$9)</t>
  </si>
  <si>
    <t>=GL(,"Balance",$C197,,$D$5&amp;"/"&amp;H$9)</t>
  </si>
  <si>
    <t>=GL(,"Balance",$C197,,$D$5&amp;"/"&amp;I$9)</t>
  </si>
  <si>
    <t>=GL(,"Balance",$C197,,$D$5&amp;"/"&amp;J$9)</t>
  </si>
  <si>
    <t>=GL(,"Balance",$C197,,$D$5&amp;"/"&amp;K$9)</t>
  </si>
  <si>
    <t>=GL(,"Balance",$C198,,$D$5&amp;"/"&amp;E$9)</t>
  </si>
  <si>
    <t>=GL(,"Balance",$C198,,$D$5&amp;"/"&amp;F$9)</t>
  </si>
  <si>
    <t>=GL(,"Balance",$C198,,$D$5&amp;"/"&amp;G$9)</t>
  </si>
  <si>
    <t>=GL(,"Balance",$C198,,$D$5&amp;"/"&amp;H$9)</t>
  </si>
  <si>
    <t>=GL(,"Balance",$C198,,$D$5&amp;"/"&amp;I$9)</t>
  </si>
  <si>
    <t>=GL(,"Balance",$C198,,$D$5&amp;"/"&amp;J$9)</t>
  </si>
  <si>
    <t>=GL(,"Balance",$C198,,$D$5&amp;"/"&amp;K$9)</t>
  </si>
  <si>
    <t>=GL(,"Balance",$C199,,$D$5&amp;"/"&amp;E$9)</t>
  </si>
  <si>
    <t>=GL(,"Balance",$C199,,$D$5&amp;"/"&amp;F$9)</t>
  </si>
  <si>
    <t>=GL(,"Balance",$C199,,$D$5&amp;"/"&amp;G$9)</t>
  </si>
  <si>
    <t>=GL(,"Balance",$C199,,$D$5&amp;"/"&amp;H$9)</t>
  </si>
  <si>
    <t>=GL(,"Balance",$C199,,$D$5&amp;"/"&amp;I$9)</t>
  </si>
  <si>
    <t>=GL(,"Balance",$C199,,$D$5&amp;"/"&amp;J$9)</t>
  </si>
  <si>
    <t>=GL(,"Balance",$C199,,$D$5&amp;"/"&amp;K$9)</t>
  </si>
  <si>
    <t>=GL(,"Balance",$C200,,$D$5&amp;"/"&amp;E$9)</t>
  </si>
  <si>
    <t>=GL(,"Balance",$C200,,$D$5&amp;"/"&amp;F$9)</t>
  </si>
  <si>
    <t>=GL(,"Balance",$C200,,$D$5&amp;"/"&amp;G$9)</t>
  </si>
  <si>
    <t>=GL(,"Balance",$C200,,$D$5&amp;"/"&amp;H$9)</t>
  </si>
  <si>
    <t>=GL(,"Balance",$C200,,$D$5&amp;"/"&amp;I$9)</t>
  </si>
  <si>
    <t>=GL(,"Balance",$C200,,$D$5&amp;"/"&amp;J$9)</t>
  </si>
  <si>
    <t>=GL(,"Balance",$C200,,$D$5&amp;"/"&amp;K$9)</t>
  </si>
  <si>
    <t>=GL(,"Balance",$C201,,$D$5&amp;"/"&amp;E$9)</t>
  </si>
  <si>
    <t>=GL(,"Balance",$C201,,$D$5&amp;"/"&amp;F$9)</t>
  </si>
  <si>
    <t>=GL(,"Balance",$C201,,$D$5&amp;"/"&amp;G$9)</t>
  </si>
  <si>
    <t>=GL(,"Balance",$C201,,$D$5&amp;"/"&amp;H$9)</t>
  </si>
  <si>
    <t>=GL(,"Balance",$C201,,$D$5&amp;"/"&amp;I$9)</t>
  </si>
  <si>
    <t>=GL(,"Balance",$C201,,$D$5&amp;"/"&amp;J$9)</t>
  </si>
  <si>
    <t>=GL(,"Balance",$C201,,$D$5&amp;"/"&amp;K$9)</t>
  </si>
  <si>
    <t>=GL(,"Balance",$C202,,$D$5&amp;"/"&amp;E$9)</t>
  </si>
  <si>
    <t>=GL(,"Balance",$C202,,$D$5&amp;"/"&amp;F$9)</t>
  </si>
  <si>
    <t>=GL(,"Balance",$C202,,$D$5&amp;"/"&amp;G$9)</t>
  </si>
  <si>
    <t>=GL(,"Balance",$C202,,$D$5&amp;"/"&amp;H$9)</t>
  </si>
  <si>
    <t>=GL(,"Balance",$C202,,$D$5&amp;"/"&amp;I$9)</t>
  </si>
  <si>
    <t>=GL(,"Balance",$C202,,$D$5&amp;"/"&amp;J$9)</t>
  </si>
  <si>
    <t>=GL(,"Balance",$C202,,$D$5&amp;"/"&amp;K$9)</t>
  </si>
  <si>
    <t>=GL(,"Balance",$C203,,$D$5&amp;"/"&amp;E$9)</t>
  </si>
  <si>
    <t>=GL(,"Balance",$C203,,$D$5&amp;"/"&amp;F$9)</t>
  </si>
  <si>
    <t>=GL(,"Balance",$C203,,$D$5&amp;"/"&amp;G$9)</t>
  </si>
  <si>
    <t>=GL(,"Balance",$C203,,$D$5&amp;"/"&amp;H$9)</t>
  </si>
  <si>
    <t>=GL(,"Balance",$C203,,$D$5&amp;"/"&amp;I$9)</t>
  </si>
  <si>
    <t>=GL(,"Balance",$C203,,$D$5&amp;"/"&amp;J$9)</t>
  </si>
  <si>
    <t>=GL(,"Balance",$C203,,$D$5&amp;"/"&amp;K$9)</t>
  </si>
  <si>
    <t>=GL(,"Balance",$C204,,$D$5&amp;"/"&amp;E$9)</t>
  </si>
  <si>
    <t>=GL(,"Balance",$C204,,$D$5&amp;"/"&amp;F$9)</t>
  </si>
  <si>
    <t>=GL(,"Balance",$C204,,$D$5&amp;"/"&amp;G$9)</t>
  </si>
  <si>
    <t>=GL(,"Balance",$C204,,$D$5&amp;"/"&amp;H$9)</t>
  </si>
  <si>
    <t>=GL(,"Balance",$C204,,$D$5&amp;"/"&amp;I$9)</t>
  </si>
  <si>
    <t>=GL(,"Balance",$C204,,$D$5&amp;"/"&amp;J$9)</t>
  </si>
  <si>
    <t>=GL(,"Balance",$C204,,$D$5&amp;"/"&amp;K$9)</t>
  </si>
  <si>
    <t>=GL(,"Balance",$C205,,$D$5&amp;"/"&amp;E$9)</t>
  </si>
  <si>
    <t>=GL(,"Balance",$C205,,$D$5&amp;"/"&amp;F$9)</t>
  </si>
  <si>
    <t>=GL(,"Balance",$C205,,$D$5&amp;"/"&amp;G$9)</t>
  </si>
  <si>
    <t>=GL(,"Balance",$C205,,$D$5&amp;"/"&amp;H$9)</t>
  </si>
  <si>
    <t>=GL(,"Balance",$C205,,$D$5&amp;"/"&amp;I$9)</t>
  </si>
  <si>
    <t>=GL(,"Balance",$C205,,$D$5&amp;"/"&amp;J$9)</t>
  </si>
  <si>
    <t>=GL(,"Balance",$C205,,$D$5&amp;"/"&amp;K$9)</t>
  </si>
  <si>
    <t>=GL(,"Balance",$C206,,$D$5&amp;"/"&amp;E$9)</t>
  </si>
  <si>
    <t>=GL(,"Balance",$C206,,$D$5&amp;"/"&amp;F$9)</t>
  </si>
  <si>
    <t>=GL(,"Balance",$C206,,$D$5&amp;"/"&amp;G$9)</t>
  </si>
  <si>
    <t>=GL(,"Balance",$C206,,$D$5&amp;"/"&amp;H$9)</t>
  </si>
  <si>
    <t>=GL(,"Balance",$C206,,$D$5&amp;"/"&amp;I$9)</t>
  </si>
  <si>
    <t>=GL(,"Balance",$C206,,$D$5&amp;"/"&amp;J$9)</t>
  </si>
  <si>
    <t>=GL(,"Balance",$C206,,$D$5&amp;"/"&amp;K$9)</t>
  </si>
  <si>
    <t>=GL(,"Balance",$C207,,$D$5&amp;"/"&amp;E$9)</t>
  </si>
  <si>
    <t>=GL(,"Balance",$C207,,$D$5&amp;"/"&amp;F$9)</t>
  </si>
  <si>
    <t>=GL(,"Balance",$C207,,$D$5&amp;"/"&amp;G$9)</t>
  </si>
  <si>
    <t>=GL(,"Balance",$C207,,$D$5&amp;"/"&amp;H$9)</t>
  </si>
  <si>
    <t>=GL(,"Balance",$C207,,$D$5&amp;"/"&amp;I$9)</t>
  </si>
  <si>
    <t>=GL(,"Balance",$C207,,$D$5&amp;"/"&amp;J$9)</t>
  </si>
  <si>
    <t>=GL(,"Balance",$C207,,$D$5&amp;"/"&amp;K$9)</t>
  </si>
  <si>
    <t>=GL(,"Balance",$C208,,$D$5&amp;"/"&amp;E$9)</t>
  </si>
  <si>
    <t>=GL(,"Balance",$C208,,$D$5&amp;"/"&amp;F$9)</t>
  </si>
  <si>
    <t>=GL(,"Balance",$C208,,$D$5&amp;"/"&amp;G$9)</t>
  </si>
  <si>
    <t>=GL(,"Balance",$C208,,$D$5&amp;"/"&amp;H$9)</t>
  </si>
  <si>
    <t>=GL(,"Balance",$C208,,$D$5&amp;"/"&amp;I$9)</t>
  </si>
  <si>
    <t>=GL(,"Balance",$C208,,$D$5&amp;"/"&amp;J$9)</t>
  </si>
  <si>
    <t>=GL(,"Balance",$C208,,$D$5&amp;"/"&amp;K$9)</t>
  </si>
  <si>
    <t>=GL(,"Balance",$C209,,$D$5&amp;"/"&amp;E$9)</t>
  </si>
  <si>
    <t>=GL(,"Balance",$C209,,$D$5&amp;"/"&amp;F$9)</t>
  </si>
  <si>
    <t>=GL(,"Balance",$C209,,$D$5&amp;"/"&amp;G$9)</t>
  </si>
  <si>
    <t>=GL(,"Balance",$C209,,$D$5&amp;"/"&amp;H$9)</t>
  </si>
  <si>
    <t>=GL(,"Balance",$C209,,$D$5&amp;"/"&amp;I$9)</t>
  </si>
  <si>
    <t>=GL(,"Balance",$C209,,$D$5&amp;"/"&amp;J$9)</t>
  </si>
  <si>
    <t>=GL(,"Balance",$C209,,$D$5&amp;"/"&amp;K$9)</t>
  </si>
  <si>
    <t>=GL(,"Balance",$C210,,$D$5&amp;"/"&amp;E$9)</t>
  </si>
  <si>
    <t>=GL(,"Balance",$C210,,$D$5&amp;"/"&amp;F$9)</t>
  </si>
  <si>
    <t>=GL(,"Balance",$C210,,$D$5&amp;"/"&amp;G$9)</t>
  </si>
  <si>
    <t>=GL(,"Balance",$C210,,$D$5&amp;"/"&amp;H$9)</t>
  </si>
  <si>
    <t>=GL(,"Balance",$C210,,$D$5&amp;"/"&amp;I$9)</t>
  </si>
  <si>
    <t>=GL(,"Balance",$C210,,$D$5&amp;"/"&amp;J$9)</t>
  </si>
  <si>
    <t>=GL(,"Balance",$C210,,$D$5&amp;"/"&amp;K$9)</t>
  </si>
  <si>
    <t>=GL(,"Balance",$C211,,$D$5&amp;"/"&amp;E$9)</t>
  </si>
  <si>
    <t>=GL(,"Balance",$C211,,$D$5&amp;"/"&amp;F$9)</t>
  </si>
  <si>
    <t>=GL(,"Balance",$C211,,$D$5&amp;"/"&amp;G$9)</t>
  </si>
  <si>
    <t>=GL(,"Balance",$C211,,$D$5&amp;"/"&amp;H$9)</t>
  </si>
  <si>
    <t>=GL(,"Balance",$C211,,$D$5&amp;"/"&amp;I$9)</t>
  </si>
  <si>
    <t>=GL(,"Balance",$C211,,$D$5&amp;"/"&amp;J$9)</t>
  </si>
  <si>
    <t>=GL(,"Balance",$C211,,$D$5&amp;"/"&amp;K$9)</t>
  </si>
  <si>
    <t>=GL(,"Balance",$C212,,$D$5&amp;"/"&amp;E$9)</t>
  </si>
  <si>
    <t>=GL(,"Balance",$C212,,$D$5&amp;"/"&amp;F$9)</t>
  </si>
  <si>
    <t>=GL(,"Balance",$C212,,$D$5&amp;"/"&amp;G$9)</t>
  </si>
  <si>
    <t>=GL(,"Balance",$C212,,$D$5&amp;"/"&amp;H$9)</t>
  </si>
  <si>
    <t>=GL(,"Balance",$C212,,$D$5&amp;"/"&amp;I$9)</t>
  </si>
  <si>
    <t>=GL(,"Balance",$C212,,$D$5&amp;"/"&amp;J$9)</t>
  </si>
  <si>
    <t>=GL(,"Balance",$C212,,$D$5&amp;"/"&amp;K$9)</t>
  </si>
  <si>
    <t>=GL(,"Balance",$C213,,$D$5&amp;"/"&amp;E$9)</t>
  </si>
  <si>
    <t>=GL(,"Balance",$C213,,$D$5&amp;"/"&amp;F$9)</t>
  </si>
  <si>
    <t>=GL(,"Balance",$C213,,$D$5&amp;"/"&amp;G$9)</t>
  </si>
  <si>
    <t>=GL(,"Balance",$C213,,$D$5&amp;"/"&amp;H$9)</t>
  </si>
  <si>
    <t>=GL(,"Balance",$C213,,$D$5&amp;"/"&amp;I$9)</t>
  </si>
  <si>
    <t>=GL(,"Balance",$C213,,$D$5&amp;"/"&amp;J$9)</t>
  </si>
  <si>
    <t>=GL(,"Balance",$C213,,$D$5&amp;"/"&amp;K$9)</t>
  </si>
  <si>
    <t>=GL(,"Balance",$C214,,$D$5&amp;"/"&amp;E$9)</t>
  </si>
  <si>
    <t>=GL(,"Balance",$C214,,$D$5&amp;"/"&amp;F$9)</t>
  </si>
  <si>
    <t>=GL(,"Balance",$C214,,$D$5&amp;"/"&amp;G$9)</t>
  </si>
  <si>
    <t>=GL(,"Balance",$C214,,$D$5&amp;"/"&amp;H$9)</t>
  </si>
  <si>
    <t>=GL(,"Balance",$C214,,$D$5&amp;"/"&amp;I$9)</t>
  </si>
  <si>
    <t>=GL(,"Balance",$C214,,$D$5&amp;"/"&amp;J$9)</t>
  </si>
  <si>
    <t>=GL(,"Balance",$C214,,$D$5&amp;"/"&amp;K$9)</t>
  </si>
  <si>
    <t>=GL(,"Balance",$C215,,$D$5&amp;"/"&amp;E$9)</t>
  </si>
  <si>
    <t>=GL(,"Balance",$C215,,$D$5&amp;"/"&amp;F$9)</t>
  </si>
  <si>
    <t>=GL(,"Balance",$C215,,$D$5&amp;"/"&amp;G$9)</t>
  </si>
  <si>
    <t>=GL(,"Balance",$C215,,$D$5&amp;"/"&amp;H$9)</t>
  </si>
  <si>
    <t>=GL(,"Balance",$C215,,$D$5&amp;"/"&amp;I$9)</t>
  </si>
  <si>
    <t>=GL(,"Balance",$C215,,$D$5&amp;"/"&amp;J$9)</t>
  </si>
  <si>
    <t>=GL(,"Balance",$C215,,$D$5&amp;"/"&amp;K$9)</t>
  </si>
  <si>
    <t>=GL(,"Balance",$C216,,$D$5&amp;"/"&amp;E$9)</t>
  </si>
  <si>
    <t>=GL(,"Balance",$C216,,$D$5&amp;"/"&amp;F$9)</t>
  </si>
  <si>
    <t>=GL(,"Balance",$C216,,$D$5&amp;"/"&amp;G$9)</t>
  </si>
  <si>
    <t>=GL(,"Balance",$C216,,$D$5&amp;"/"&amp;H$9)</t>
  </si>
  <si>
    <t>=GL(,"Balance",$C216,,$D$5&amp;"/"&amp;I$9)</t>
  </si>
  <si>
    <t>=GL(,"Balance",$C216,,$D$5&amp;"/"&amp;J$9)</t>
  </si>
  <si>
    <t>=GL(,"Balance",$C216,,$D$5&amp;"/"&amp;K$9)</t>
  </si>
  <si>
    <t>=GL(,"Balance",$C217,,$D$5&amp;"/"&amp;E$9)</t>
  </si>
  <si>
    <t>=GL(,"Balance",$C217,,$D$5&amp;"/"&amp;F$9)</t>
  </si>
  <si>
    <t>=GL(,"Balance",$C217,,$D$5&amp;"/"&amp;G$9)</t>
  </si>
  <si>
    <t>=GL(,"Balance",$C217,,$D$5&amp;"/"&amp;H$9)</t>
  </si>
  <si>
    <t>=GL(,"Balance",$C217,,$D$5&amp;"/"&amp;I$9)</t>
  </si>
  <si>
    <t>=GL(,"Balance",$C217,,$D$5&amp;"/"&amp;J$9)</t>
  </si>
  <si>
    <t>=GL(,"Balance",$C217,,$D$5&amp;"/"&amp;K$9)</t>
  </si>
  <si>
    <t>=GL(,"Balance",$C218,,$D$5&amp;"/"&amp;E$9)</t>
  </si>
  <si>
    <t>=GL(,"Balance",$C218,,$D$5&amp;"/"&amp;F$9)</t>
  </si>
  <si>
    <t>=GL(,"Balance",$C218,,$D$5&amp;"/"&amp;G$9)</t>
  </si>
  <si>
    <t>=GL(,"Balance",$C218,,$D$5&amp;"/"&amp;H$9)</t>
  </si>
  <si>
    <t>=GL(,"Balance",$C218,,$D$5&amp;"/"&amp;I$9)</t>
  </si>
  <si>
    <t>=GL(,"Balance",$C218,,$D$5&amp;"/"&amp;J$9)</t>
  </si>
  <si>
    <t>=GL(,"Balance",$C218,,$D$5&amp;"/"&amp;K$9)</t>
  </si>
  <si>
    <t>=GL(,"Balance",$C219,,$D$5&amp;"/"&amp;E$9)</t>
  </si>
  <si>
    <t>=GL(,"Balance",$C219,,$D$5&amp;"/"&amp;F$9)</t>
  </si>
  <si>
    <t>=GL(,"Balance",$C219,,$D$5&amp;"/"&amp;G$9)</t>
  </si>
  <si>
    <t>=GL(,"Balance",$C219,,$D$5&amp;"/"&amp;H$9)</t>
  </si>
  <si>
    <t>=GL(,"Balance",$C219,,$D$5&amp;"/"&amp;I$9)</t>
  </si>
  <si>
    <t>=GL(,"Balance",$C219,,$D$5&amp;"/"&amp;J$9)</t>
  </si>
  <si>
    <t>=GL(,"Balance",$C219,,$D$5&amp;"/"&amp;K$9)</t>
  </si>
  <si>
    <t>=GL(,"Balance",$C220,,$D$5&amp;"/"&amp;E$9)</t>
  </si>
  <si>
    <t>=GL(,"Balance",$C220,,$D$5&amp;"/"&amp;F$9)</t>
  </si>
  <si>
    <t>=GL(,"Balance",$C220,,$D$5&amp;"/"&amp;G$9)</t>
  </si>
  <si>
    <t>=GL(,"Balance",$C220,,$D$5&amp;"/"&amp;H$9)</t>
  </si>
  <si>
    <t>=GL(,"Balance",$C220,,$D$5&amp;"/"&amp;I$9)</t>
  </si>
  <si>
    <t>=GL(,"Balance",$C220,,$D$5&amp;"/"&amp;J$9)</t>
  </si>
  <si>
    <t>=GL(,"Balance",$C220,,$D$5&amp;"/"&amp;K$9)</t>
  </si>
  <si>
    <t>=GL(,"Balance",$C221,,$D$5&amp;"/"&amp;E$9)</t>
  </si>
  <si>
    <t>=GL(,"Balance",$C221,,$D$5&amp;"/"&amp;F$9)</t>
  </si>
  <si>
    <t>=GL(,"Balance",$C221,,$D$5&amp;"/"&amp;G$9)</t>
  </si>
  <si>
    <t>=GL(,"Balance",$C221,,$D$5&amp;"/"&amp;H$9)</t>
  </si>
  <si>
    <t>=GL(,"Balance",$C221,,$D$5&amp;"/"&amp;I$9)</t>
  </si>
  <si>
    <t>=GL(,"Balance",$C221,,$D$5&amp;"/"&amp;J$9)</t>
  </si>
  <si>
    <t>=GL(,"Balance",$C221,,$D$5&amp;"/"&amp;K$9)</t>
  </si>
  <si>
    <t>=GL(,"Balance",$C222,,$D$5&amp;"/"&amp;E$9)</t>
  </si>
  <si>
    <t>=GL(,"Balance",$C222,,$D$5&amp;"/"&amp;F$9)</t>
  </si>
  <si>
    <t>=GL(,"Balance",$C222,,$D$5&amp;"/"&amp;G$9)</t>
  </si>
  <si>
    <t>=GL(,"Balance",$C222,,$D$5&amp;"/"&amp;H$9)</t>
  </si>
  <si>
    <t>=GL(,"Balance",$C222,,$D$5&amp;"/"&amp;I$9)</t>
  </si>
  <si>
    <t>=GL(,"Balance",$C222,,$D$5&amp;"/"&amp;J$9)</t>
  </si>
  <si>
    <t>=GL(,"Balance",$C222,,$D$5&amp;"/"&amp;K$9)</t>
  </si>
  <si>
    <t>=GL(,"Balance",$C223,,$D$5&amp;"/"&amp;E$9)</t>
  </si>
  <si>
    <t>=GL(,"Balance",$C223,,$D$5&amp;"/"&amp;F$9)</t>
  </si>
  <si>
    <t>=GL(,"Balance",$C223,,$D$5&amp;"/"&amp;G$9)</t>
  </si>
  <si>
    <t>=GL(,"Balance",$C223,,$D$5&amp;"/"&amp;H$9)</t>
  </si>
  <si>
    <t>=GL(,"Balance",$C223,,$D$5&amp;"/"&amp;I$9)</t>
  </si>
  <si>
    <t>=GL(,"Balance",$C223,,$D$5&amp;"/"&amp;J$9)</t>
  </si>
  <si>
    <t>=GL(,"Balance",$C223,,$D$5&amp;"/"&amp;K$9)</t>
  </si>
  <si>
    <t>=GL(,"Balance",$C224,,$D$5&amp;"/"&amp;E$9)</t>
  </si>
  <si>
    <t>=GL(,"Balance",$C224,,$D$5&amp;"/"&amp;F$9)</t>
  </si>
  <si>
    <t>=GL(,"Balance",$C224,,$D$5&amp;"/"&amp;G$9)</t>
  </si>
  <si>
    <t>=GL(,"Balance",$C224,,$D$5&amp;"/"&amp;H$9)</t>
  </si>
  <si>
    <t>=GL(,"Balance",$C224,,$D$5&amp;"/"&amp;I$9)</t>
  </si>
  <si>
    <t>=GL(,"Balance",$C224,,$D$5&amp;"/"&amp;J$9)</t>
  </si>
  <si>
    <t>=GL(,"Balance",$C224,,$D$5&amp;"/"&amp;K$9)</t>
  </si>
  <si>
    <t>=GL(,"Balance",$C225,,$D$5&amp;"/"&amp;E$9)</t>
  </si>
  <si>
    <t>=GL(,"Balance",$C225,,$D$5&amp;"/"&amp;F$9)</t>
  </si>
  <si>
    <t>=GL(,"Balance",$C225,,$D$5&amp;"/"&amp;G$9)</t>
  </si>
  <si>
    <t>=GL(,"Balance",$C225,,$D$5&amp;"/"&amp;H$9)</t>
  </si>
  <si>
    <t>=GL(,"Balance",$C225,,$D$5&amp;"/"&amp;I$9)</t>
  </si>
  <si>
    <t>=GL(,"Balance",$C225,,$D$5&amp;"/"&amp;J$9)</t>
  </si>
  <si>
    <t>=GL(,"Balance",$C225,,$D$5&amp;"/"&amp;K$9)</t>
  </si>
  <si>
    <t>=GL(,"Balance",$C226,,$D$5&amp;"/"&amp;E$9)</t>
  </si>
  <si>
    <t>=GL(,"Balance",$C226,,$D$5&amp;"/"&amp;F$9)</t>
  </si>
  <si>
    <t>=GL(,"Balance",$C226,,$D$5&amp;"/"&amp;G$9)</t>
  </si>
  <si>
    <t>=GL(,"Balance",$C226,,$D$5&amp;"/"&amp;H$9)</t>
  </si>
  <si>
    <t>=GL(,"Balance",$C226,,$D$5&amp;"/"&amp;I$9)</t>
  </si>
  <si>
    <t>=GL(,"Balance",$C226,,$D$5&amp;"/"&amp;J$9)</t>
  </si>
  <si>
    <t>=GL(,"Balance",$C226,,$D$5&amp;"/"&amp;K$9)</t>
  </si>
  <si>
    <t>=GL(,"Balance",$C227,,$D$5&amp;"/"&amp;E$9)</t>
  </si>
  <si>
    <t>=GL(,"Balance",$C227,,$D$5&amp;"/"&amp;F$9)</t>
  </si>
  <si>
    <t>=GL(,"Balance",$C227,,$D$5&amp;"/"&amp;G$9)</t>
  </si>
  <si>
    <t>=GL(,"Balance",$C227,,$D$5&amp;"/"&amp;H$9)</t>
  </si>
  <si>
    <t>=GL(,"Balance",$C227,,$D$5&amp;"/"&amp;I$9)</t>
  </si>
  <si>
    <t>=GL(,"Balance",$C227,,$D$5&amp;"/"&amp;J$9)</t>
  </si>
  <si>
    <t>=GL(,"Balance",$C227,,$D$5&amp;"/"&amp;K$9)</t>
  </si>
  <si>
    <t>=GL(,"Balance",$C228,,$D$5&amp;"/"&amp;E$9)</t>
  </si>
  <si>
    <t>=GL(,"Balance",$C228,,$D$5&amp;"/"&amp;F$9)</t>
  </si>
  <si>
    <t>=GL(,"Balance",$C228,,$D$5&amp;"/"&amp;G$9)</t>
  </si>
  <si>
    <t>=GL(,"Balance",$C228,,$D$5&amp;"/"&amp;H$9)</t>
  </si>
  <si>
    <t>=GL(,"Balance",$C228,,$D$5&amp;"/"&amp;I$9)</t>
  </si>
  <si>
    <t>=GL(,"Balance",$C228,,$D$5&amp;"/"&amp;J$9)</t>
  </si>
  <si>
    <t>=GL(,"Balance",$C228,,$D$5&amp;"/"&amp;K$9)</t>
  </si>
  <si>
    <t>=GL(,"Balance",$C229,,$D$5&amp;"/"&amp;E$9)</t>
  </si>
  <si>
    <t>=GL(,"Balance",$C229,,$D$5&amp;"/"&amp;F$9)</t>
  </si>
  <si>
    <t>=GL(,"Balance",$C229,,$D$5&amp;"/"&amp;G$9)</t>
  </si>
  <si>
    <t>=GL(,"Balance",$C229,,$D$5&amp;"/"&amp;H$9)</t>
  </si>
  <si>
    <t>=GL(,"Balance",$C229,,$D$5&amp;"/"&amp;I$9)</t>
  </si>
  <si>
    <t>=GL(,"Balance",$C229,,$D$5&amp;"/"&amp;J$9)</t>
  </si>
  <si>
    <t>=GL(,"Balance",$C229,,$D$5&amp;"/"&amp;K$9)</t>
  </si>
  <si>
    <t>=GL(,"Balance",$C230,,$D$5&amp;"/"&amp;E$9)</t>
  </si>
  <si>
    <t>=GL(,"Balance",$C230,,$D$5&amp;"/"&amp;F$9)</t>
  </si>
  <si>
    <t>=GL(,"Balance",$C230,,$D$5&amp;"/"&amp;G$9)</t>
  </si>
  <si>
    <t>=GL(,"Balance",$C230,,$D$5&amp;"/"&amp;H$9)</t>
  </si>
  <si>
    <t>=GL(,"Balance",$C230,,$D$5&amp;"/"&amp;I$9)</t>
  </si>
  <si>
    <t>=GL(,"Balance",$C230,,$D$5&amp;"/"&amp;J$9)</t>
  </si>
  <si>
    <t>=GL(,"Balance",$C230,,$D$5&amp;"/"&amp;K$9)</t>
  </si>
  <si>
    <t>=GL(,"Balance",$C231,,$D$5&amp;"/"&amp;E$9)</t>
  </si>
  <si>
    <t>=GL(,"Balance",$C231,,$D$5&amp;"/"&amp;F$9)</t>
  </si>
  <si>
    <t>=GL(,"Balance",$C231,,$D$5&amp;"/"&amp;G$9)</t>
  </si>
  <si>
    <t>=GL(,"Balance",$C231,,$D$5&amp;"/"&amp;H$9)</t>
  </si>
  <si>
    <t>=GL(,"Balance",$C231,,$D$5&amp;"/"&amp;I$9)</t>
  </si>
  <si>
    <t>=GL(,"Balance",$C231,,$D$5&amp;"/"&amp;J$9)</t>
  </si>
  <si>
    <t>=GL(,"Balance",$C231,,$D$5&amp;"/"&amp;K$9)</t>
  </si>
  <si>
    <t>=GL(,"Balance",$C232,,$D$5&amp;"/"&amp;E$9)</t>
  </si>
  <si>
    <t>=GL(,"Balance",$C232,,$D$5&amp;"/"&amp;F$9)</t>
  </si>
  <si>
    <t>=GL(,"Balance",$C232,,$D$5&amp;"/"&amp;G$9)</t>
  </si>
  <si>
    <t>=GL(,"Balance",$C232,,$D$5&amp;"/"&amp;H$9)</t>
  </si>
  <si>
    <t>=GL(,"Balance",$C232,,$D$5&amp;"/"&amp;I$9)</t>
  </si>
  <si>
    <t>=GL(,"Balance",$C232,,$D$5&amp;"/"&amp;J$9)</t>
  </si>
  <si>
    <t>=GL(,"Balance",$C232,,$D$5&amp;"/"&amp;K$9)</t>
  </si>
  <si>
    <t>=GL(,"Balance",$C233,,$D$5&amp;"/"&amp;E$9)</t>
  </si>
  <si>
    <t>=GL(,"Balance",$C233,,$D$5&amp;"/"&amp;F$9)</t>
  </si>
  <si>
    <t>=GL(,"Balance",$C233,,$D$5&amp;"/"&amp;G$9)</t>
  </si>
  <si>
    <t>=GL(,"Balance",$C233,,$D$5&amp;"/"&amp;H$9)</t>
  </si>
  <si>
    <t>=GL(,"Balance",$C233,,$D$5&amp;"/"&amp;I$9)</t>
  </si>
  <si>
    <t>=GL(,"Balance",$C233,,$D$5&amp;"/"&amp;J$9)</t>
  </si>
  <si>
    <t>=GL(,"Balance",$C233,,$D$5&amp;"/"&amp;K$9)</t>
  </si>
  <si>
    <t>=GL(,"Balance",$C234,,$D$5&amp;"/"&amp;E$9)</t>
  </si>
  <si>
    <t>=GL(,"Balance",$C234,,$D$5&amp;"/"&amp;F$9)</t>
  </si>
  <si>
    <t>=GL(,"Balance",$C234,,$D$5&amp;"/"&amp;G$9)</t>
  </si>
  <si>
    <t>=GL(,"Balance",$C234,,$D$5&amp;"/"&amp;H$9)</t>
  </si>
  <si>
    <t>=GL(,"Balance",$C234,,$D$5&amp;"/"&amp;I$9)</t>
  </si>
  <si>
    <t>=GL(,"Balance",$C234,,$D$5&amp;"/"&amp;J$9)</t>
  </si>
  <si>
    <t>=GL(,"Balance",$C234,,$D$5&amp;"/"&amp;K$9)</t>
  </si>
  <si>
    <t>=GL(,"Balance",$C235,,$D$5&amp;"/"&amp;E$9)</t>
  </si>
  <si>
    <t>=GL(,"Balance",$C235,,$D$5&amp;"/"&amp;F$9)</t>
  </si>
  <si>
    <t>=GL(,"Balance",$C235,,$D$5&amp;"/"&amp;G$9)</t>
  </si>
  <si>
    <t>=GL(,"Balance",$C235,,$D$5&amp;"/"&amp;H$9)</t>
  </si>
  <si>
    <t>=GL(,"Balance",$C235,,$D$5&amp;"/"&amp;I$9)</t>
  </si>
  <si>
    <t>=GL(,"Balance",$C235,,$D$5&amp;"/"&amp;J$9)</t>
  </si>
  <si>
    <t>=GL(,"Balance",$C235,,$D$5&amp;"/"&amp;K$9)</t>
  </si>
  <si>
    <t>=GL(,"Balance",$C236,,$D$5&amp;"/"&amp;E$9)</t>
  </si>
  <si>
    <t>=GL(,"Balance",$C236,,$D$5&amp;"/"&amp;F$9)</t>
  </si>
  <si>
    <t>=GL(,"Balance",$C236,,$D$5&amp;"/"&amp;G$9)</t>
  </si>
  <si>
    <t>=GL(,"Balance",$C236,,$D$5&amp;"/"&amp;H$9)</t>
  </si>
  <si>
    <t>=GL(,"Balance",$C236,,$D$5&amp;"/"&amp;I$9)</t>
  </si>
  <si>
    <t>=GL(,"Balance",$C236,,$D$5&amp;"/"&amp;J$9)</t>
  </si>
  <si>
    <t>=GL(,"Balance",$C236,,$D$5&amp;"/"&amp;K$9)</t>
  </si>
  <si>
    <t>=GL(,"Balance",$C237,,$D$5&amp;"/"&amp;E$9)</t>
  </si>
  <si>
    <t>=GL(,"Balance",$C237,,$D$5&amp;"/"&amp;F$9)</t>
  </si>
  <si>
    <t>=GL(,"Balance",$C237,,$D$5&amp;"/"&amp;G$9)</t>
  </si>
  <si>
    <t>=GL(,"Balance",$C237,,$D$5&amp;"/"&amp;H$9)</t>
  </si>
  <si>
    <t>=GL(,"Balance",$C237,,$D$5&amp;"/"&amp;I$9)</t>
  </si>
  <si>
    <t>=GL(,"Balance",$C237,,$D$5&amp;"/"&amp;J$9)</t>
  </si>
  <si>
    <t>=GL(,"Balance",$C237,,$D$5&amp;"/"&amp;K$9)</t>
  </si>
  <si>
    <t>=GL(,"Balance",$C238,,$D$5&amp;"/"&amp;E$9)</t>
  </si>
  <si>
    <t>=GL(,"Balance",$C238,,$D$5&amp;"/"&amp;F$9)</t>
  </si>
  <si>
    <t>=GL(,"Balance",$C238,,$D$5&amp;"/"&amp;G$9)</t>
  </si>
  <si>
    <t>=GL(,"Balance",$C238,,$D$5&amp;"/"&amp;H$9)</t>
  </si>
  <si>
    <t>=GL(,"Balance",$C238,,$D$5&amp;"/"&amp;I$9)</t>
  </si>
  <si>
    <t>=GL(,"Balance",$C238,,$D$5&amp;"/"&amp;J$9)</t>
  </si>
  <si>
    <t>=GL(,"Balance",$C238,,$D$5&amp;"/"&amp;K$9)</t>
  </si>
  <si>
    <t>=GL(,"Balance",$C239,,$D$5&amp;"/"&amp;E$9)</t>
  </si>
  <si>
    <t>=GL(,"Balance",$C239,,$D$5&amp;"/"&amp;F$9)</t>
  </si>
  <si>
    <t>=GL(,"Balance",$C239,,$D$5&amp;"/"&amp;G$9)</t>
  </si>
  <si>
    <t>=GL(,"Balance",$C239,,$D$5&amp;"/"&amp;H$9)</t>
  </si>
  <si>
    <t>=GL(,"Balance",$C239,,$D$5&amp;"/"&amp;I$9)</t>
  </si>
  <si>
    <t>=GL(,"Balance",$C239,,$D$5&amp;"/"&amp;J$9)</t>
  </si>
  <si>
    <t>=GL(,"Balance",$C239,,$D$5&amp;"/"&amp;K$9)</t>
  </si>
  <si>
    <t>=GL(,"Balance",$C240,,$D$5&amp;"/"&amp;E$9)</t>
  </si>
  <si>
    <t>=GL(,"Balance",$C240,,$D$5&amp;"/"&amp;F$9)</t>
  </si>
  <si>
    <t>=GL(,"Balance",$C240,,$D$5&amp;"/"&amp;G$9)</t>
  </si>
  <si>
    <t>=GL(,"Balance",$C240,,$D$5&amp;"/"&amp;H$9)</t>
  </si>
  <si>
    <t>=GL(,"Balance",$C240,,$D$5&amp;"/"&amp;I$9)</t>
  </si>
  <si>
    <t>=GL(,"Balance",$C240,,$D$5&amp;"/"&amp;J$9)</t>
  </si>
  <si>
    <t>=GL(,"Balance",$C240,,$D$5&amp;"/"&amp;K$9)</t>
  </si>
  <si>
    <t>=GL(,"Balance",$C241,,$D$5&amp;"/"&amp;E$9)</t>
  </si>
  <si>
    <t>=GL(,"Balance",$C241,,$D$5&amp;"/"&amp;F$9)</t>
  </si>
  <si>
    <t>=GL(,"Balance",$C241,,$D$5&amp;"/"&amp;G$9)</t>
  </si>
  <si>
    <t>=GL(,"Balance",$C241,,$D$5&amp;"/"&amp;H$9)</t>
  </si>
  <si>
    <t>=GL(,"Balance",$C241,,$D$5&amp;"/"&amp;I$9)</t>
  </si>
  <si>
    <t>=GL(,"Balance",$C241,,$D$5&amp;"/"&amp;J$9)</t>
  </si>
  <si>
    <t>=GL(,"Balance",$C241,,$D$5&amp;"/"&amp;K$9)</t>
  </si>
  <si>
    <t>=GL(,"Balance",$C242,,$D$5&amp;"/"&amp;E$9)</t>
  </si>
  <si>
    <t>=GL(,"Balance",$C242,,$D$5&amp;"/"&amp;F$9)</t>
  </si>
  <si>
    <t>=GL(,"Balance",$C242,,$D$5&amp;"/"&amp;G$9)</t>
  </si>
  <si>
    <t>=GL(,"Balance",$C242,,$D$5&amp;"/"&amp;H$9)</t>
  </si>
  <si>
    <t>=GL(,"Balance",$C242,,$D$5&amp;"/"&amp;I$9)</t>
  </si>
  <si>
    <t>=GL(,"Balance",$C242,,$D$5&amp;"/"&amp;J$9)</t>
  </si>
  <si>
    <t>=GL(,"Balance",$C242,,$D$5&amp;"/"&amp;K$9)</t>
  </si>
  <si>
    <t>=GL(,"Balance",$C243,,$D$5&amp;"/"&amp;E$9)</t>
  </si>
  <si>
    <t>=GL(,"Balance",$C243,,$D$5&amp;"/"&amp;F$9)</t>
  </si>
  <si>
    <t>=GL(,"Balance",$C243,,$D$5&amp;"/"&amp;G$9)</t>
  </si>
  <si>
    <t>=GL(,"Balance",$C243,,$D$5&amp;"/"&amp;H$9)</t>
  </si>
  <si>
    <t>=GL(,"Balance",$C243,,$D$5&amp;"/"&amp;I$9)</t>
  </si>
  <si>
    <t>=GL(,"Balance",$C243,,$D$5&amp;"/"&amp;J$9)</t>
  </si>
  <si>
    <t>=GL(,"Balance",$C243,,$D$5&amp;"/"&amp;K$9)</t>
  </si>
  <si>
    <t>=GL(,"Balance",$C244,,$D$5&amp;"/"&amp;E$9)</t>
  </si>
  <si>
    <t>=GL(,"Balance",$C244,,$D$5&amp;"/"&amp;F$9)</t>
  </si>
  <si>
    <t>=GL(,"Balance",$C244,,$D$5&amp;"/"&amp;G$9)</t>
  </si>
  <si>
    <t>=GL(,"Balance",$C244,,$D$5&amp;"/"&amp;H$9)</t>
  </si>
  <si>
    <t>=GL(,"Balance",$C244,,$D$5&amp;"/"&amp;I$9)</t>
  </si>
  <si>
    <t>=GL(,"Balance",$C244,,$D$5&amp;"/"&amp;J$9)</t>
  </si>
  <si>
    <t>=GL(,"Balance",$C244,,$D$5&amp;"/"&amp;K$9)</t>
  </si>
  <si>
    <t>=GL(,"Balance",$C245,,$D$5&amp;"/"&amp;E$9)</t>
  </si>
  <si>
    <t>=GL(,"Balance",$C245,,$D$5&amp;"/"&amp;F$9)</t>
  </si>
  <si>
    <t>=GL(,"Balance",$C245,,$D$5&amp;"/"&amp;G$9)</t>
  </si>
  <si>
    <t>=GL(,"Balance",$C245,,$D$5&amp;"/"&amp;H$9)</t>
  </si>
  <si>
    <t>=GL(,"Balance",$C245,,$D$5&amp;"/"&amp;I$9)</t>
  </si>
  <si>
    <t>=GL(,"Balance",$C245,,$D$5&amp;"/"&amp;J$9)</t>
  </si>
  <si>
    <t>=GL(,"Balance",$C245,,$D$5&amp;"/"&amp;K$9)</t>
  </si>
  <si>
    <t>=GL(,"Balance",$C246,,$D$5&amp;"/"&amp;E$9)</t>
  </si>
  <si>
    <t>=GL(,"Balance",$C246,,$D$5&amp;"/"&amp;F$9)</t>
  </si>
  <si>
    <t>=GL(,"Balance",$C246,,$D$5&amp;"/"&amp;G$9)</t>
  </si>
  <si>
    <t>=GL(,"Balance",$C246,,$D$5&amp;"/"&amp;H$9)</t>
  </si>
  <si>
    <t>=GL(,"Balance",$C246,,$D$5&amp;"/"&amp;I$9)</t>
  </si>
  <si>
    <t>=GL(,"Balance",$C246,,$D$5&amp;"/"&amp;J$9)</t>
  </si>
  <si>
    <t>=GL(,"Balance",$C246,,$D$5&amp;"/"&amp;K$9)</t>
  </si>
  <si>
    <t>=GL(,"Balance",$C247,,$D$5&amp;"/"&amp;E$9)</t>
  </si>
  <si>
    <t>=GL(,"Balance",$C247,,$D$5&amp;"/"&amp;F$9)</t>
  </si>
  <si>
    <t>=GL(,"Balance",$C247,,$D$5&amp;"/"&amp;G$9)</t>
  </si>
  <si>
    <t>=GL(,"Balance",$C247,,$D$5&amp;"/"&amp;H$9)</t>
  </si>
  <si>
    <t>=GL(,"Balance",$C247,,$D$5&amp;"/"&amp;I$9)</t>
  </si>
  <si>
    <t>=GL(,"Balance",$C247,,$D$5&amp;"/"&amp;J$9)</t>
  </si>
  <si>
    <t>=GL(,"Balance",$C247,,$D$5&amp;"/"&amp;K$9)</t>
  </si>
  <si>
    <t>=GL(,"Balance",$C248,,$D$5&amp;"/"&amp;E$9)</t>
  </si>
  <si>
    <t>=GL(,"Balance",$C248,,$D$5&amp;"/"&amp;F$9)</t>
  </si>
  <si>
    <t>=GL(,"Balance",$C248,,$D$5&amp;"/"&amp;G$9)</t>
  </si>
  <si>
    <t>=GL(,"Balance",$C248,,$D$5&amp;"/"&amp;H$9)</t>
  </si>
  <si>
    <t>=GL(,"Balance",$C248,,$D$5&amp;"/"&amp;I$9)</t>
  </si>
  <si>
    <t>=GL(,"Balance",$C248,,$D$5&amp;"/"&amp;J$9)</t>
  </si>
  <si>
    <t>=GL(,"Balance",$C248,,$D$5&amp;"/"&amp;K$9)</t>
  </si>
  <si>
    <t>=GL(,"Balance",$C249,,$D$5&amp;"/"&amp;E$9)</t>
  </si>
  <si>
    <t>=GL(,"Balance",$C249,,$D$5&amp;"/"&amp;F$9)</t>
  </si>
  <si>
    <t>=GL(,"Balance",$C249,,$D$5&amp;"/"&amp;G$9)</t>
  </si>
  <si>
    <t>=GL(,"Balance",$C249,,$D$5&amp;"/"&amp;H$9)</t>
  </si>
  <si>
    <t>=GL(,"Balance",$C249,,$D$5&amp;"/"&amp;I$9)</t>
  </si>
  <si>
    <t>=GL(,"Balance",$C249,,$D$5&amp;"/"&amp;J$9)</t>
  </si>
  <si>
    <t>=GL(,"Balance",$C249,,$D$5&amp;"/"&amp;K$9)</t>
  </si>
  <si>
    <t>=GL(,"Balance",$C250,,$D$5&amp;"/"&amp;E$9)</t>
  </si>
  <si>
    <t>=GL(,"Balance",$C250,,$D$5&amp;"/"&amp;F$9)</t>
  </si>
  <si>
    <t>=GL(,"Balance",$C250,,$D$5&amp;"/"&amp;G$9)</t>
  </si>
  <si>
    <t>=GL(,"Balance",$C250,,$D$5&amp;"/"&amp;H$9)</t>
  </si>
  <si>
    <t>=GL(,"Balance",$C250,,$D$5&amp;"/"&amp;I$9)</t>
  </si>
  <si>
    <t>=GL(,"Balance",$C250,,$D$5&amp;"/"&amp;J$9)</t>
  </si>
  <si>
    <t>=GL(,"Balance",$C250,,$D$5&amp;"/"&amp;K$9)</t>
  </si>
  <si>
    <t>=GL(,"Balance",$C251,,$D$5&amp;"/"&amp;E$9)</t>
  </si>
  <si>
    <t>=GL(,"Balance",$C251,,$D$5&amp;"/"&amp;F$9)</t>
  </si>
  <si>
    <t>=GL(,"Balance",$C251,,$D$5&amp;"/"&amp;G$9)</t>
  </si>
  <si>
    <t>=GL(,"Balance",$C251,,$D$5&amp;"/"&amp;H$9)</t>
  </si>
  <si>
    <t>=GL(,"Balance",$C251,,$D$5&amp;"/"&amp;I$9)</t>
  </si>
  <si>
    <t>=GL(,"Balance",$C251,,$D$5&amp;"/"&amp;J$9)</t>
  </si>
  <si>
    <t>=GL(,"Balance",$C251,,$D$5&amp;"/"&amp;K$9)</t>
  </si>
  <si>
    <t>=GL(,"Balance",$C252,,$D$5&amp;"/"&amp;E$9)</t>
  </si>
  <si>
    <t>=GL(,"Balance",$C252,,$D$5&amp;"/"&amp;F$9)</t>
  </si>
  <si>
    <t>=GL(,"Balance",$C252,,$D$5&amp;"/"&amp;G$9)</t>
  </si>
  <si>
    <t>=GL(,"Balance",$C252,,$D$5&amp;"/"&amp;H$9)</t>
  </si>
  <si>
    <t>=GL(,"Balance",$C252,,$D$5&amp;"/"&amp;I$9)</t>
  </si>
  <si>
    <t>=GL(,"Balance",$C252,,$D$5&amp;"/"&amp;J$9)</t>
  </si>
  <si>
    <t>=GL(,"Balance",$C252,,$D$5&amp;"/"&amp;K$9)</t>
  </si>
  <si>
    <t>=GL(,"Balance",$C253,,$D$5&amp;"/"&amp;E$9)</t>
  </si>
  <si>
    <t>=GL(,"Balance",$C253,,$D$5&amp;"/"&amp;F$9)</t>
  </si>
  <si>
    <t>=GL(,"Balance",$C253,,$D$5&amp;"/"&amp;G$9)</t>
  </si>
  <si>
    <t>=GL(,"Balance",$C253,,$D$5&amp;"/"&amp;H$9)</t>
  </si>
  <si>
    <t>=GL(,"Balance",$C253,,$D$5&amp;"/"&amp;I$9)</t>
  </si>
  <si>
    <t>=GL(,"Balance",$C253,,$D$5&amp;"/"&amp;J$9)</t>
  </si>
  <si>
    <t>=GL(,"Balance",$C253,,$D$5&amp;"/"&amp;K$9)</t>
  </si>
  <si>
    <t>=GL(,"Balance",$C254,,$D$5&amp;"/"&amp;E$9)</t>
  </si>
  <si>
    <t>=GL(,"Balance",$C254,,$D$5&amp;"/"&amp;F$9)</t>
  </si>
  <si>
    <t>=GL(,"Balance",$C254,,$D$5&amp;"/"&amp;G$9)</t>
  </si>
  <si>
    <t>=GL(,"Balance",$C254,,$D$5&amp;"/"&amp;H$9)</t>
  </si>
  <si>
    <t>=GL(,"Balance",$C254,,$D$5&amp;"/"&amp;I$9)</t>
  </si>
  <si>
    <t>=GL(,"Balance",$C254,,$D$5&amp;"/"&amp;J$9)</t>
  </si>
  <si>
    <t>=GL(,"Balance",$C254,,$D$5&amp;"/"&amp;K$9)</t>
  </si>
  <si>
    <t>=GL(,"Balance",$C255,,$D$5&amp;"/"&amp;E$9)</t>
  </si>
  <si>
    <t>=GL(,"Balance",$C255,,$D$5&amp;"/"&amp;F$9)</t>
  </si>
  <si>
    <t>=GL(,"Balance",$C255,,$D$5&amp;"/"&amp;G$9)</t>
  </si>
  <si>
    <t>=GL(,"Balance",$C255,,$D$5&amp;"/"&amp;H$9)</t>
  </si>
  <si>
    <t>=GL(,"Balance",$C255,,$D$5&amp;"/"&amp;I$9)</t>
  </si>
  <si>
    <t>=GL(,"Balance",$C255,,$D$5&amp;"/"&amp;J$9)</t>
  </si>
  <si>
    <t>=GL(,"Balance",$C255,,$D$5&amp;"/"&amp;K$9)</t>
  </si>
  <si>
    <t>=GL(,"Balance",$C256,,$D$5&amp;"/"&amp;E$9)</t>
  </si>
  <si>
    <t>=GL(,"Balance",$C256,,$D$5&amp;"/"&amp;F$9)</t>
  </si>
  <si>
    <t>=GL(,"Balance",$C256,,$D$5&amp;"/"&amp;G$9)</t>
  </si>
  <si>
    <t>=GL(,"Balance",$C256,,$D$5&amp;"/"&amp;H$9)</t>
  </si>
  <si>
    <t>=GL(,"Balance",$C256,,$D$5&amp;"/"&amp;I$9)</t>
  </si>
  <si>
    <t>=GL(,"Balance",$C256,,$D$5&amp;"/"&amp;J$9)</t>
  </si>
  <si>
    <t>=GL(,"Balance",$C256,,$D$5&amp;"/"&amp;K$9)</t>
  </si>
  <si>
    <t>=GL(,"Balance",$C257,,$D$5&amp;"/"&amp;E$9)</t>
  </si>
  <si>
    <t>=GL(,"Balance",$C257,,$D$5&amp;"/"&amp;F$9)</t>
  </si>
  <si>
    <t>=GL(,"Balance",$C257,,$D$5&amp;"/"&amp;G$9)</t>
  </si>
  <si>
    <t>=GL(,"Balance",$C257,,$D$5&amp;"/"&amp;H$9)</t>
  </si>
  <si>
    <t>=GL(,"Balance",$C257,,$D$5&amp;"/"&amp;I$9)</t>
  </si>
  <si>
    <t>=GL(,"Balance",$C257,,$D$5&amp;"/"&amp;J$9)</t>
  </si>
  <si>
    <t>=GL(,"Balance",$C257,,$D$5&amp;"/"&amp;K$9)</t>
  </si>
  <si>
    <t>=GL(,"Balance",$C258,,$D$5&amp;"/"&amp;E$9)</t>
  </si>
  <si>
    <t>=GL(,"Balance",$C258,,$D$5&amp;"/"&amp;F$9)</t>
  </si>
  <si>
    <t>=GL(,"Balance",$C258,,$D$5&amp;"/"&amp;G$9)</t>
  </si>
  <si>
    <t>=GL(,"Balance",$C258,,$D$5&amp;"/"&amp;H$9)</t>
  </si>
  <si>
    <t>=GL(,"Balance",$C258,,$D$5&amp;"/"&amp;I$9)</t>
  </si>
  <si>
    <t>=GL(,"Balance",$C258,,$D$5&amp;"/"&amp;J$9)</t>
  </si>
  <si>
    <t>=GL(,"Balance",$C258,,$D$5&amp;"/"&amp;K$9)</t>
  </si>
  <si>
    <t>=GL(,"Balance",$C259,,$D$5&amp;"/"&amp;E$9)</t>
  </si>
  <si>
    <t>=GL(,"Balance",$C259,,$D$5&amp;"/"&amp;F$9)</t>
  </si>
  <si>
    <t>=GL(,"Balance",$C259,,$D$5&amp;"/"&amp;G$9)</t>
  </si>
  <si>
    <t>=GL(,"Balance",$C259,,$D$5&amp;"/"&amp;H$9)</t>
  </si>
  <si>
    <t>=GL(,"Balance",$C259,,$D$5&amp;"/"&amp;I$9)</t>
  </si>
  <si>
    <t>=GL(,"Balance",$C259,,$D$5&amp;"/"&amp;J$9)</t>
  </si>
  <si>
    <t>=GL(,"Balance",$C259,,$D$5&amp;"/"&amp;K$9)</t>
  </si>
  <si>
    <t>=GL(,"Balance",$C260,,$D$5&amp;"/"&amp;E$9)</t>
  </si>
  <si>
    <t>=GL(,"Balance",$C260,,$D$5&amp;"/"&amp;F$9)</t>
  </si>
  <si>
    <t>=GL(,"Balance",$C260,,$D$5&amp;"/"&amp;G$9)</t>
  </si>
  <si>
    <t>=GL(,"Balance",$C260,,$D$5&amp;"/"&amp;H$9)</t>
  </si>
  <si>
    <t>=GL(,"Balance",$C260,,$D$5&amp;"/"&amp;I$9)</t>
  </si>
  <si>
    <t>=GL(,"Balance",$C260,,$D$5&amp;"/"&amp;J$9)</t>
  </si>
  <si>
    <t>=GL(,"Balance",$C260,,$D$5&amp;"/"&amp;K$9)</t>
  </si>
  <si>
    <t>=GL(,"Balance",$C261,,$D$5&amp;"/"&amp;E$9)</t>
  </si>
  <si>
    <t>=GL(,"Balance",$C261,,$D$5&amp;"/"&amp;F$9)</t>
  </si>
  <si>
    <t>=GL(,"Balance",$C261,,$D$5&amp;"/"&amp;G$9)</t>
  </si>
  <si>
    <t>=GL(,"Balance",$C261,,$D$5&amp;"/"&amp;H$9)</t>
  </si>
  <si>
    <t>=GL(,"Balance",$C261,,$D$5&amp;"/"&amp;I$9)</t>
  </si>
  <si>
    <t>=GL(,"Balance",$C261,,$D$5&amp;"/"&amp;J$9)</t>
  </si>
  <si>
    <t>=GL(,"Balance",$C261,,$D$5&amp;"/"&amp;K$9)</t>
  </si>
  <si>
    <t>=GL(,"Balance",$C262,,$D$5&amp;"/"&amp;E$9)</t>
  </si>
  <si>
    <t>=GL(,"Balance",$C262,,$D$5&amp;"/"&amp;F$9)</t>
  </si>
  <si>
    <t>=GL(,"Balance",$C262,,$D$5&amp;"/"&amp;G$9)</t>
  </si>
  <si>
    <t>=GL(,"Balance",$C262,,$D$5&amp;"/"&amp;H$9)</t>
  </si>
  <si>
    <t>=GL(,"Balance",$C262,,$D$5&amp;"/"&amp;I$9)</t>
  </si>
  <si>
    <t>=GL(,"Balance",$C262,,$D$5&amp;"/"&amp;J$9)</t>
  </si>
  <si>
    <t>=GL(,"Balance",$C262,,$D$5&amp;"/"&amp;K$9)</t>
  </si>
  <si>
    <t>=GL(,"Balance",$C263,,$D$5&amp;"/"&amp;E$9)</t>
  </si>
  <si>
    <t>=GL(,"Balance",$C263,,$D$5&amp;"/"&amp;F$9)</t>
  </si>
  <si>
    <t>=GL(,"Balance",$C263,,$D$5&amp;"/"&amp;G$9)</t>
  </si>
  <si>
    <t>=GL(,"Balance",$C263,,$D$5&amp;"/"&amp;H$9)</t>
  </si>
  <si>
    <t>=GL(,"Balance",$C263,,$D$5&amp;"/"&amp;I$9)</t>
  </si>
  <si>
    <t>=GL(,"Balance",$C263,,$D$5&amp;"/"&amp;J$9)</t>
  </si>
  <si>
    <t>=GL(,"Balance",$C263,,$D$5&amp;"/"&amp;K$9)</t>
  </si>
  <si>
    <t>=GL(,"Balance",$C264,,$D$5&amp;"/"&amp;E$9)</t>
  </si>
  <si>
    <t>=GL(,"Balance",$C264,,$D$5&amp;"/"&amp;F$9)</t>
  </si>
  <si>
    <t>=GL(,"Balance",$C264,,$D$5&amp;"/"&amp;G$9)</t>
  </si>
  <si>
    <t>=GL(,"Balance",$C264,,$D$5&amp;"/"&amp;H$9)</t>
  </si>
  <si>
    <t>=GL(,"Balance",$C264,,$D$5&amp;"/"&amp;I$9)</t>
  </si>
  <si>
    <t>=GL(,"Balance",$C264,,$D$5&amp;"/"&amp;J$9)</t>
  </si>
  <si>
    <t>=GL(,"Balance",$C264,,$D$5&amp;"/"&amp;K$9)</t>
  </si>
  <si>
    <t>=GL(,"Balance",$C265,,$D$5&amp;"/"&amp;E$9)</t>
  </si>
  <si>
    <t>=GL(,"Balance",$C265,,$D$5&amp;"/"&amp;F$9)</t>
  </si>
  <si>
    <t>=GL(,"Balance",$C265,,$D$5&amp;"/"&amp;G$9)</t>
  </si>
  <si>
    <t>=GL(,"Balance",$C265,,$D$5&amp;"/"&amp;H$9)</t>
  </si>
  <si>
    <t>=GL(,"Balance",$C265,,$D$5&amp;"/"&amp;I$9)</t>
  </si>
  <si>
    <t>=GL(,"Balance",$C265,,$D$5&amp;"/"&amp;J$9)</t>
  </si>
  <si>
    <t>=GL(,"Balance",$C265,,$D$5&amp;"/"&amp;K$9)</t>
  </si>
  <si>
    <t>=GL(,"Balance",$C266,,$D$5&amp;"/"&amp;E$9)</t>
  </si>
  <si>
    <t>=GL(,"Balance",$C266,,$D$5&amp;"/"&amp;F$9)</t>
  </si>
  <si>
    <t>=GL(,"Balance",$C266,,$D$5&amp;"/"&amp;G$9)</t>
  </si>
  <si>
    <t>=GL(,"Balance",$C266,,$D$5&amp;"/"&amp;H$9)</t>
  </si>
  <si>
    <t>=GL(,"Balance",$C266,,$D$5&amp;"/"&amp;I$9)</t>
  </si>
  <si>
    <t>=GL(,"Balance",$C266,,$D$5&amp;"/"&amp;J$9)</t>
  </si>
  <si>
    <t>=GL(,"Balance",$C266,,$D$5&amp;"/"&amp;K$9)</t>
  </si>
  <si>
    <t>=GL(,"Balance",$C267,,$D$5&amp;"/"&amp;E$9)</t>
  </si>
  <si>
    <t>=GL(,"Balance",$C267,,$D$5&amp;"/"&amp;F$9)</t>
  </si>
  <si>
    <t>=GL(,"Balance",$C267,,$D$5&amp;"/"&amp;G$9)</t>
  </si>
  <si>
    <t>=GL(,"Balance",$C267,,$D$5&amp;"/"&amp;H$9)</t>
  </si>
  <si>
    <t>=GL(,"Balance",$C267,,$D$5&amp;"/"&amp;I$9)</t>
  </si>
  <si>
    <t>=GL(,"Balance",$C267,,$D$5&amp;"/"&amp;J$9)</t>
  </si>
  <si>
    <t>=GL(,"Balance",$C267,,$D$5&amp;"/"&amp;K$9)</t>
  </si>
  <si>
    <t>=GL(,"Balance",$C268,,$D$5&amp;"/"&amp;E$9)</t>
  </si>
  <si>
    <t>=GL(,"Balance",$C268,,$D$5&amp;"/"&amp;F$9)</t>
  </si>
  <si>
    <t>=GL(,"Balance",$C268,,$D$5&amp;"/"&amp;G$9)</t>
  </si>
  <si>
    <t>=GL(,"Balance",$C268,,$D$5&amp;"/"&amp;H$9)</t>
  </si>
  <si>
    <t>=GL(,"Balance",$C268,,$D$5&amp;"/"&amp;I$9)</t>
  </si>
  <si>
    <t>=GL(,"Balance",$C268,,$D$5&amp;"/"&amp;J$9)</t>
  </si>
  <si>
    <t>=GL(,"Balance",$C268,,$D$5&amp;"/"&amp;K$9)</t>
  </si>
  <si>
    <t>=GL(,"Balance",$C269,,$D$5&amp;"/"&amp;E$9)</t>
  </si>
  <si>
    <t>=GL(,"Balance",$C269,,$D$5&amp;"/"&amp;F$9)</t>
  </si>
  <si>
    <t>=GL(,"Balance",$C269,,$D$5&amp;"/"&amp;G$9)</t>
  </si>
  <si>
    <t>=GL(,"Balance",$C269,,$D$5&amp;"/"&amp;H$9)</t>
  </si>
  <si>
    <t>=GL(,"Balance",$C269,,$D$5&amp;"/"&amp;I$9)</t>
  </si>
  <si>
    <t>=GL(,"Balance",$C269,,$D$5&amp;"/"&amp;J$9)</t>
  </si>
  <si>
    <t>=GL(,"Balance",$C269,,$D$5&amp;"/"&amp;K$9)</t>
  </si>
  <si>
    <t>=GL(,"Balance",$C270,,$D$5&amp;"/"&amp;E$9)</t>
  </si>
  <si>
    <t>=GL(,"Balance",$C270,,$D$5&amp;"/"&amp;F$9)</t>
  </si>
  <si>
    <t>=GL(,"Balance",$C270,,$D$5&amp;"/"&amp;G$9)</t>
  </si>
  <si>
    <t>=GL(,"Balance",$C270,,$D$5&amp;"/"&amp;H$9)</t>
  </si>
  <si>
    <t>=GL(,"Balance",$C270,,$D$5&amp;"/"&amp;I$9)</t>
  </si>
  <si>
    <t>=GL(,"Balance",$C270,,$D$5&amp;"/"&amp;J$9)</t>
  </si>
  <si>
    <t>=GL(,"Balance",$C270,,$D$5&amp;"/"&amp;K$9)</t>
  </si>
  <si>
    <t>=GL(,"Balance",$C271,,$D$5&amp;"/"&amp;E$9)</t>
  </si>
  <si>
    <t>=GL(,"Balance",$C271,,$D$5&amp;"/"&amp;F$9)</t>
  </si>
  <si>
    <t>=GL(,"Balance",$C271,,$D$5&amp;"/"&amp;G$9)</t>
  </si>
  <si>
    <t>=GL(,"Balance",$C271,,$D$5&amp;"/"&amp;H$9)</t>
  </si>
  <si>
    <t>=GL(,"Balance",$C271,,$D$5&amp;"/"&amp;I$9)</t>
  </si>
  <si>
    <t>=GL(,"Balance",$C271,,$D$5&amp;"/"&amp;J$9)</t>
  </si>
  <si>
    <t>=GL(,"Balance",$C271,,$D$5&amp;"/"&amp;K$9)</t>
  </si>
  <si>
    <t>=GL(,"Balance",$C272,,$D$5&amp;"/"&amp;E$9)</t>
  </si>
  <si>
    <t>=GL(,"Balance",$C272,,$D$5&amp;"/"&amp;F$9)</t>
  </si>
  <si>
    <t>=GL(,"Balance",$C272,,$D$5&amp;"/"&amp;G$9)</t>
  </si>
  <si>
    <t>=GL(,"Balance",$C272,,$D$5&amp;"/"&amp;H$9)</t>
  </si>
  <si>
    <t>=GL(,"Balance",$C272,,$D$5&amp;"/"&amp;I$9)</t>
  </si>
  <si>
    <t>=GL(,"Balance",$C272,,$D$5&amp;"/"&amp;J$9)</t>
  </si>
  <si>
    <t>=GL(,"Balance",$C272,,$D$5&amp;"/"&amp;K$9)</t>
  </si>
  <si>
    <t>=GL(,"Balance",$C273,,$D$5&amp;"/"&amp;E$9)</t>
  </si>
  <si>
    <t>=GL(,"Balance",$C273,,$D$5&amp;"/"&amp;F$9)</t>
  </si>
  <si>
    <t>=GL(,"Balance",$C273,,$D$5&amp;"/"&amp;G$9)</t>
  </si>
  <si>
    <t>=GL(,"Balance",$C273,,$D$5&amp;"/"&amp;H$9)</t>
  </si>
  <si>
    <t>=GL(,"Balance",$C273,,$D$5&amp;"/"&amp;I$9)</t>
  </si>
  <si>
    <t>=GL(,"Balance",$C273,,$D$5&amp;"/"&amp;J$9)</t>
  </si>
  <si>
    <t>=GL(,"Balance",$C273,,$D$5&amp;"/"&amp;K$9)</t>
  </si>
  <si>
    <t>=GL(,"Balance",$C274,,$D$5&amp;"/"&amp;E$9)</t>
  </si>
  <si>
    <t>=GL(,"Balance",$C274,,$D$5&amp;"/"&amp;F$9)</t>
  </si>
  <si>
    <t>=GL(,"Balance",$C274,,$D$5&amp;"/"&amp;G$9)</t>
  </si>
  <si>
    <t>=GL(,"Balance",$C274,,$D$5&amp;"/"&amp;H$9)</t>
  </si>
  <si>
    <t>=GL(,"Balance",$C274,,$D$5&amp;"/"&amp;I$9)</t>
  </si>
  <si>
    <t>=GL(,"Balance",$C274,,$D$5&amp;"/"&amp;J$9)</t>
  </si>
  <si>
    <t>=GL(,"Balance",$C274,,$D$5&amp;"/"&amp;K$9)</t>
  </si>
  <si>
    <t>=GL(,"Balance",$C275,,$D$5&amp;"/"&amp;E$9)</t>
  </si>
  <si>
    <t>=GL(,"Balance",$C275,,$D$5&amp;"/"&amp;F$9)</t>
  </si>
  <si>
    <t>=GL(,"Balance",$C275,,$D$5&amp;"/"&amp;G$9)</t>
  </si>
  <si>
    <t>=GL(,"Balance",$C275,,$D$5&amp;"/"&amp;H$9)</t>
  </si>
  <si>
    <t>=GL(,"Balance",$C275,,$D$5&amp;"/"&amp;I$9)</t>
  </si>
  <si>
    <t>=GL(,"Balance",$C275,,$D$5&amp;"/"&amp;J$9)</t>
  </si>
  <si>
    <t>=GL(,"Balance",$C275,,$D$5&amp;"/"&amp;K$9)</t>
  </si>
  <si>
    <t>=GL(,"Balance",$C276,,$D$5&amp;"/"&amp;E$9)</t>
  </si>
  <si>
    <t>=GL(,"Balance",$C276,,$D$5&amp;"/"&amp;F$9)</t>
  </si>
  <si>
    <t>=GL(,"Balance",$C276,,$D$5&amp;"/"&amp;G$9)</t>
  </si>
  <si>
    <t>=GL(,"Balance",$C276,,$D$5&amp;"/"&amp;H$9)</t>
  </si>
  <si>
    <t>=GL(,"Balance",$C276,,$D$5&amp;"/"&amp;I$9)</t>
  </si>
  <si>
    <t>=GL(,"Balance",$C276,,$D$5&amp;"/"&amp;J$9)</t>
  </si>
  <si>
    <t>=GL(,"Balance",$C276,,$D$5&amp;"/"&amp;K$9)</t>
  </si>
  <si>
    <t>=GL(,"Balance",$C277,,$D$5&amp;"/"&amp;E$9)</t>
  </si>
  <si>
    <t>=GL(,"Balance",$C277,,$D$5&amp;"/"&amp;F$9)</t>
  </si>
  <si>
    <t>=GL(,"Balance",$C277,,$D$5&amp;"/"&amp;G$9)</t>
  </si>
  <si>
    <t>=GL(,"Balance",$C277,,$D$5&amp;"/"&amp;H$9)</t>
  </si>
  <si>
    <t>=GL(,"Balance",$C277,,$D$5&amp;"/"&amp;I$9)</t>
  </si>
  <si>
    <t>=GL(,"Balance",$C277,,$D$5&amp;"/"&amp;J$9)</t>
  </si>
  <si>
    <t>=GL(,"Balance",$C277,,$D$5&amp;"/"&amp;K$9)</t>
  </si>
  <si>
    <t>=GL(,"Balance",$C278,,$D$5&amp;"/"&amp;E$9)</t>
  </si>
  <si>
    <t>=GL(,"Balance",$C278,,$D$5&amp;"/"&amp;F$9)</t>
  </si>
  <si>
    <t>=GL(,"Balance",$C278,,$D$5&amp;"/"&amp;G$9)</t>
  </si>
  <si>
    <t>=GL(,"Balance",$C278,,$D$5&amp;"/"&amp;H$9)</t>
  </si>
  <si>
    <t>=GL(,"Balance",$C278,,$D$5&amp;"/"&amp;I$9)</t>
  </si>
  <si>
    <t>=GL(,"Balance",$C278,,$D$5&amp;"/"&amp;J$9)</t>
  </si>
  <si>
    <t>=GL(,"Balance",$C278,,$D$5&amp;"/"&amp;K$9)</t>
  </si>
  <si>
    <t>=GL(,"Balance",$C279,,$D$5&amp;"/"&amp;E$9)</t>
  </si>
  <si>
    <t>=GL(,"Balance",$C279,,$D$5&amp;"/"&amp;F$9)</t>
  </si>
  <si>
    <t>=GL(,"Balance",$C279,,$D$5&amp;"/"&amp;G$9)</t>
  </si>
  <si>
    <t>=GL(,"Balance",$C279,,$D$5&amp;"/"&amp;H$9)</t>
  </si>
  <si>
    <t>=GL(,"Balance",$C279,,$D$5&amp;"/"&amp;I$9)</t>
  </si>
  <si>
    <t>=GL(,"Balance",$C279,,$D$5&amp;"/"&amp;J$9)</t>
  </si>
  <si>
    <t>=GL(,"Balance",$C279,,$D$5&amp;"/"&amp;K$9)</t>
  </si>
  <si>
    <t>=GL(,"Balance",$C280,,$D$5&amp;"/"&amp;E$9)</t>
  </si>
  <si>
    <t>=GL(,"Balance",$C280,,$D$5&amp;"/"&amp;F$9)</t>
  </si>
  <si>
    <t>=GL(,"Balance",$C280,,$D$5&amp;"/"&amp;G$9)</t>
  </si>
  <si>
    <t>=GL(,"Balance",$C280,,$D$5&amp;"/"&amp;H$9)</t>
  </si>
  <si>
    <t>=GL(,"Balance",$C280,,$D$5&amp;"/"&amp;I$9)</t>
  </si>
  <si>
    <t>=GL(,"Balance",$C280,,$D$5&amp;"/"&amp;J$9)</t>
  </si>
  <si>
    <t>=GL(,"Balance",$C280,,$D$5&amp;"/"&amp;K$9)</t>
  </si>
  <si>
    <t>=GL(,"Balance",$C281,,$D$5&amp;"/"&amp;E$9)</t>
  </si>
  <si>
    <t>=GL(,"Balance",$C281,,$D$5&amp;"/"&amp;F$9)</t>
  </si>
  <si>
    <t>=GL(,"Balance",$C281,,$D$5&amp;"/"&amp;G$9)</t>
  </si>
  <si>
    <t>=GL(,"Balance",$C281,,$D$5&amp;"/"&amp;H$9)</t>
  </si>
  <si>
    <t>=GL(,"Balance",$C281,,$D$5&amp;"/"&amp;I$9)</t>
  </si>
  <si>
    <t>=GL(,"Balance",$C281,,$D$5&amp;"/"&amp;J$9)</t>
  </si>
  <si>
    <t>=GL(,"Balance",$C281,,$D$5&amp;"/"&amp;K$9)</t>
  </si>
  <si>
    <t>=GL(,"Balance",$C282,,$D$5&amp;"/"&amp;E$9)</t>
  </si>
  <si>
    <t>=GL(,"Balance",$C282,,$D$5&amp;"/"&amp;F$9)</t>
  </si>
  <si>
    <t>=GL(,"Balance",$C282,,$D$5&amp;"/"&amp;G$9)</t>
  </si>
  <si>
    <t>=GL(,"Balance",$C282,,$D$5&amp;"/"&amp;H$9)</t>
  </si>
  <si>
    <t>=GL(,"Balance",$C282,,$D$5&amp;"/"&amp;I$9)</t>
  </si>
  <si>
    <t>=GL(,"Balance",$C282,,$D$5&amp;"/"&amp;J$9)</t>
  </si>
  <si>
    <t>=GL(,"Balance",$C282,,$D$5&amp;"/"&amp;K$9)</t>
  </si>
  <si>
    <t>=GL(,"Balance",$C283,,$D$5&amp;"/"&amp;E$9)</t>
  </si>
  <si>
    <t>=GL(,"Balance",$C283,,$D$5&amp;"/"&amp;F$9)</t>
  </si>
  <si>
    <t>=GL(,"Balance",$C283,,$D$5&amp;"/"&amp;G$9)</t>
  </si>
  <si>
    <t>=GL(,"Balance",$C283,,$D$5&amp;"/"&amp;H$9)</t>
  </si>
  <si>
    <t>=GL(,"Balance",$C283,,$D$5&amp;"/"&amp;I$9)</t>
  </si>
  <si>
    <t>=GL(,"Balance",$C283,,$D$5&amp;"/"&amp;J$9)</t>
  </si>
  <si>
    <t>=GL(,"Balance",$C283,,$D$5&amp;"/"&amp;K$9)</t>
  </si>
  <si>
    <t>=GL(,"Balance",$C284,,$D$5&amp;"/"&amp;E$9)</t>
  </si>
  <si>
    <t>=GL(,"Balance",$C284,,$D$5&amp;"/"&amp;F$9)</t>
  </si>
  <si>
    <t>=GL(,"Balance",$C284,,$D$5&amp;"/"&amp;G$9)</t>
  </si>
  <si>
    <t>=GL(,"Balance",$C284,,$D$5&amp;"/"&amp;H$9)</t>
  </si>
  <si>
    <t>=GL(,"Balance",$C284,,$D$5&amp;"/"&amp;I$9)</t>
  </si>
  <si>
    <t>=GL(,"Balance",$C284,,$D$5&amp;"/"&amp;J$9)</t>
  </si>
  <si>
    <t>=GL(,"Balance",$C284,,$D$5&amp;"/"&amp;K$9)</t>
  </si>
  <si>
    <t>=GL(,"Balance",$C285,,$D$5&amp;"/"&amp;E$9)</t>
  </si>
  <si>
    <t>=GL(,"Balance",$C285,,$D$5&amp;"/"&amp;F$9)</t>
  </si>
  <si>
    <t>=GL(,"Balance",$C285,,$D$5&amp;"/"&amp;G$9)</t>
  </si>
  <si>
    <t>=GL(,"Balance",$C285,,$D$5&amp;"/"&amp;H$9)</t>
  </si>
  <si>
    <t>=GL(,"Balance",$C285,,$D$5&amp;"/"&amp;I$9)</t>
  </si>
  <si>
    <t>=GL(,"Balance",$C285,,$D$5&amp;"/"&amp;J$9)</t>
  </si>
  <si>
    <t>=GL(,"Balance",$C285,,$D$5&amp;"/"&amp;K$9)</t>
  </si>
  <si>
    <t>=GL(,"Balance",$C286,,$D$5&amp;"/"&amp;E$9)</t>
  </si>
  <si>
    <t>=GL(,"Balance",$C286,,$D$5&amp;"/"&amp;F$9)</t>
  </si>
  <si>
    <t>=GL(,"Balance",$C286,,$D$5&amp;"/"&amp;G$9)</t>
  </si>
  <si>
    <t>=GL(,"Balance",$C286,,$D$5&amp;"/"&amp;H$9)</t>
  </si>
  <si>
    <t>=GL(,"Balance",$C286,,$D$5&amp;"/"&amp;I$9)</t>
  </si>
  <si>
    <t>=GL(,"Balance",$C286,,$D$5&amp;"/"&amp;J$9)</t>
  </si>
  <si>
    <t>=GL(,"Balance",$C286,,$D$5&amp;"/"&amp;K$9)</t>
  </si>
  <si>
    <t>=GL(,"Balance",$C287,,$D$5&amp;"/"&amp;E$9)</t>
  </si>
  <si>
    <t>=GL(,"Balance",$C287,,$D$5&amp;"/"&amp;F$9)</t>
  </si>
  <si>
    <t>=GL(,"Balance",$C287,,$D$5&amp;"/"&amp;G$9)</t>
  </si>
  <si>
    <t>=GL(,"Balance",$C287,,$D$5&amp;"/"&amp;H$9)</t>
  </si>
  <si>
    <t>=GL(,"Balance",$C287,,$D$5&amp;"/"&amp;I$9)</t>
  </si>
  <si>
    <t>=GL(,"Balance",$C287,,$D$5&amp;"/"&amp;J$9)</t>
  </si>
  <si>
    <t>=GL(,"Balance",$C287,,$D$5&amp;"/"&amp;K$9)</t>
  </si>
  <si>
    <t>=GL(,"Balance",$C288,,$D$5&amp;"/"&amp;E$9)</t>
  </si>
  <si>
    <t>=GL(,"Balance",$C288,,$D$5&amp;"/"&amp;F$9)</t>
  </si>
  <si>
    <t>=GL(,"Balance",$C288,,$D$5&amp;"/"&amp;G$9)</t>
  </si>
  <si>
    <t>=GL(,"Balance",$C288,,$D$5&amp;"/"&amp;H$9)</t>
  </si>
  <si>
    <t>=GL(,"Balance",$C288,,$D$5&amp;"/"&amp;I$9)</t>
  </si>
  <si>
    <t>=GL(,"Balance",$C288,,$D$5&amp;"/"&amp;J$9)</t>
  </si>
  <si>
    <t>=GL(,"Balance",$C288,,$D$5&amp;"/"&amp;K$9)</t>
  </si>
  <si>
    <t>=GL(,"Balance",$C289,,$D$5&amp;"/"&amp;E$9)</t>
  </si>
  <si>
    <t>=GL(,"Balance",$C289,,$D$5&amp;"/"&amp;F$9)</t>
  </si>
  <si>
    <t>=GL(,"Balance",$C289,,$D$5&amp;"/"&amp;G$9)</t>
  </si>
  <si>
    <t>=GL(,"Balance",$C289,,$D$5&amp;"/"&amp;H$9)</t>
  </si>
  <si>
    <t>=GL(,"Balance",$C289,,$D$5&amp;"/"&amp;I$9)</t>
  </si>
  <si>
    <t>=GL(,"Balance",$C289,,$D$5&amp;"/"&amp;J$9)</t>
  </si>
  <si>
    <t>=GL(,"Balance",$C289,,$D$5&amp;"/"&amp;K$9)</t>
  </si>
  <si>
    <t>=GL(,"Balance",$C290,,$D$5&amp;"/"&amp;E$9)</t>
  </si>
  <si>
    <t>=GL(,"Balance",$C290,,$D$5&amp;"/"&amp;F$9)</t>
  </si>
  <si>
    <t>=GL(,"Balance",$C290,,$D$5&amp;"/"&amp;G$9)</t>
  </si>
  <si>
    <t>=GL(,"Balance",$C290,,$D$5&amp;"/"&amp;H$9)</t>
  </si>
  <si>
    <t>=GL(,"Balance",$C290,,$D$5&amp;"/"&amp;I$9)</t>
  </si>
  <si>
    <t>=GL(,"Balance",$C290,,$D$5&amp;"/"&amp;J$9)</t>
  </si>
  <si>
    <t>=GL(,"Balance",$C290,,$D$5&amp;"/"&amp;K$9)</t>
  </si>
  <si>
    <t>=GL(,"Balance",$C291,,$D$5&amp;"/"&amp;E$9)</t>
  </si>
  <si>
    <t>=GL(,"Balance",$C291,,$D$5&amp;"/"&amp;F$9)</t>
  </si>
  <si>
    <t>=GL(,"Balance",$C291,,$D$5&amp;"/"&amp;G$9)</t>
  </si>
  <si>
    <t>=GL(,"Balance",$C291,,$D$5&amp;"/"&amp;H$9)</t>
  </si>
  <si>
    <t>=GL(,"Balance",$C291,,$D$5&amp;"/"&amp;I$9)</t>
  </si>
  <si>
    <t>=GL(,"Balance",$C291,,$D$5&amp;"/"&amp;J$9)</t>
  </si>
  <si>
    <t>=GL(,"Balance",$C291,,$D$5&amp;"/"&amp;K$9)</t>
  </si>
  <si>
    <t>=GL(,"Balance",$C292,,$D$5&amp;"/"&amp;E$9)</t>
  </si>
  <si>
    <t>=GL(,"Balance",$C292,,$D$5&amp;"/"&amp;F$9)</t>
  </si>
  <si>
    <t>=GL(,"Balance",$C292,,$D$5&amp;"/"&amp;G$9)</t>
  </si>
  <si>
    <t>=GL(,"Balance",$C292,,$D$5&amp;"/"&amp;H$9)</t>
  </si>
  <si>
    <t>=GL(,"Balance",$C292,,$D$5&amp;"/"&amp;I$9)</t>
  </si>
  <si>
    <t>=GL(,"Balance",$C292,,$D$5&amp;"/"&amp;J$9)</t>
  </si>
  <si>
    <t>=GL(,"Balance",$C292,,$D$5&amp;"/"&amp;K$9)</t>
  </si>
  <si>
    <t>=GL(,"Balance",$C293,,$D$5&amp;"/"&amp;E$9)</t>
  </si>
  <si>
    <t>=GL(,"Balance",$C293,,$D$5&amp;"/"&amp;F$9)</t>
  </si>
  <si>
    <t>=GL(,"Balance",$C293,,$D$5&amp;"/"&amp;G$9)</t>
  </si>
  <si>
    <t>=GL(,"Balance",$C293,,$D$5&amp;"/"&amp;H$9)</t>
  </si>
  <si>
    <t>=GL(,"Balance",$C293,,$D$5&amp;"/"&amp;I$9)</t>
  </si>
  <si>
    <t>=GL(,"Balance",$C293,,$D$5&amp;"/"&amp;J$9)</t>
  </si>
  <si>
    <t>=GL(,"Balance",$C293,,$D$5&amp;"/"&amp;K$9)</t>
  </si>
  <si>
    <t>=GL(,"Balance",$C294,,$D$5&amp;"/"&amp;E$9)</t>
  </si>
  <si>
    <t>=GL(,"Balance",$C294,,$D$5&amp;"/"&amp;F$9)</t>
  </si>
  <si>
    <t>=GL(,"Balance",$C294,,$D$5&amp;"/"&amp;G$9)</t>
  </si>
  <si>
    <t>=GL(,"Balance",$C294,,$D$5&amp;"/"&amp;H$9)</t>
  </si>
  <si>
    <t>=GL(,"Balance",$C294,,$D$5&amp;"/"&amp;I$9)</t>
  </si>
  <si>
    <t>=GL(,"Balance",$C294,,$D$5&amp;"/"&amp;J$9)</t>
  </si>
  <si>
    <t>=GL(,"Balance",$C294,,$D$5&amp;"/"&amp;K$9)</t>
  </si>
  <si>
    <t>=GL(,"Balance",$C295,,$D$5&amp;"/"&amp;E$9)</t>
  </si>
  <si>
    <t>=GL(,"Balance",$C295,,$D$5&amp;"/"&amp;F$9)</t>
  </si>
  <si>
    <t>=GL(,"Balance",$C295,,$D$5&amp;"/"&amp;G$9)</t>
  </si>
  <si>
    <t>=GL(,"Balance",$C295,,$D$5&amp;"/"&amp;H$9)</t>
  </si>
  <si>
    <t>=GL(,"Balance",$C295,,$D$5&amp;"/"&amp;I$9)</t>
  </si>
  <si>
    <t>=GL(,"Balance",$C295,,$D$5&amp;"/"&amp;J$9)</t>
  </si>
  <si>
    <t>=GL(,"Balance",$C295,,$D$5&amp;"/"&amp;K$9)</t>
  </si>
  <si>
    <t>=GL(,"Balance",$C296,,$D$5&amp;"/"&amp;E$9)</t>
  </si>
  <si>
    <t>=GL(,"Balance",$C296,,$D$5&amp;"/"&amp;F$9)</t>
  </si>
  <si>
    <t>=GL(,"Balance",$C296,,$D$5&amp;"/"&amp;G$9)</t>
  </si>
  <si>
    <t>=GL(,"Balance",$C296,,$D$5&amp;"/"&amp;H$9)</t>
  </si>
  <si>
    <t>=GL(,"Balance",$C296,,$D$5&amp;"/"&amp;I$9)</t>
  </si>
  <si>
    <t>=GL(,"Balance",$C296,,$D$5&amp;"/"&amp;J$9)</t>
  </si>
  <si>
    <t>=GL(,"Balance",$C296,,$D$5&amp;"/"&amp;K$9)</t>
  </si>
  <si>
    <t>=GL(,"Balance",$C297,,$D$5&amp;"/"&amp;E$9)</t>
  </si>
  <si>
    <t>=GL(,"Balance",$C297,,$D$5&amp;"/"&amp;F$9)</t>
  </si>
  <si>
    <t>=GL(,"Balance",$C297,,$D$5&amp;"/"&amp;G$9)</t>
  </si>
  <si>
    <t>=GL(,"Balance",$C297,,$D$5&amp;"/"&amp;H$9)</t>
  </si>
  <si>
    <t>=GL(,"Balance",$C297,,$D$5&amp;"/"&amp;I$9)</t>
  </si>
  <si>
    <t>=GL(,"Balance",$C297,,$D$5&amp;"/"&amp;J$9)</t>
  </si>
  <si>
    <t>=GL(,"Balance",$C297,,$D$5&amp;"/"&amp;K$9)</t>
  </si>
  <si>
    <t>=GL(,"Balance",$C298,,$D$5&amp;"/"&amp;E$9)</t>
  </si>
  <si>
    <t>=GL(,"Balance",$C298,,$D$5&amp;"/"&amp;F$9)</t>
  </si>
  <si>
    <t>=GL(,"Balance",$C298,,$D$5&amp;"/"&amp;G$9)</t>
  </si>
  <si>
    <t>=GL(,"Balance",$C298,,$D$5&amp;"/"&amp;H$9)</t>
  </si>
  <si>
    <t>=GL(,"Balance",$C298,,$D$5&amp;"/"&amp;I$9)</t>
  </si>
  <si>
    <t>=GL(,"Balance",$C298,,$D$5&amp;"/"&amp;J$9)</t>
  </si>
  <si>
    <t>=GL(,"Balance",$C298,,$D$5&amp;"/"&amp;K$9)</t>
  </si>
  <si>
    <t>=GL(,"Balance",$C299,,$D$5&amp;"/"&amp;E$9)</t>
  </si>
  <si>
    <t>=GL(,"Balance",$C299,,$D$5&amp;"/"&amp;F$9)</t>
  </si>
  <si>
    <t>=GL(,"Balance",$C299,,$D$5&amp;"/"&amp;G$9)</t>
  </si>
  <si>
    <t>=GL(,"Balance",$C299,,$D$5&amp;"/"&amp;H$9)</t>
  </si>
  <si>
    <t>=GL(,"Balance",$C299,,$D$5&amp;"/"&amp;I$9)</t>
  </si>
  <si>
    <t>=GL(,"Balance",$C299,,$D$5&amp;"/"&amp;J$9)</t>
  </si>
  <si>
    <t>=GL(,"Balance",$C299,,$D$5&amp;"/"&amp;K$9)</t>
  </si>
  <si>
    <t>=GL(,"Balance",$C300,,$D$5&amp;"/"&amp;E$9)</t>
  </si>
  <si>
    <t>=GL(,"Balance",$C300,,$D$5&amp;"/"&amp;F$9)</t>
  </si>
  <si>
    <t>=GL(,"Balance",$C300,,$D$5&amp;"/"&amp;G$9)</t>
  </si>
  <si>
    <t>=GL(,"Balance",$C300,,$D$5&amp;"/"&amp;H$9)</t>
  </si>
  <si>
    <t>=GL(,"Balance",$C300,,$D$5&amp;"/"&amp;I$9)</t>
  </si>
  <si>
    <t>=GL(,"Balance",$C300,,$D$5&amp;"/"&amp;J$9)</t>
  </si>
  <si>
    <t>=GL(,"Balance",$C300,,$D$5&amp;"/"&amp;K$9)</t>
  </si>
  <si>
    <t>=GL(,"Balance",$C301,,$D$5&amp;"/"&amp;E$9)</t>
  </si>
  <si>
    <t>=GL(,"Balance",$C301,,$D$5&amp;"/"&amp;F$9)</t>
  </si>
  <si>
    <t>=GL(,"Balance",$C301,,$D$5&amp;"/"&amp;G$9)</t>
  </si>
  <si>
    <t>=GL(,"Balance",$C301,,$D$5&amp;"/"&amp;H$9)</t>
  </si>
  <si>
    <t>=GL(,"Balance",$C301,,$D$5&amp;"/"&amp;I$9)</t>
  </si>
  <si>
    <t>=GL(,"Balance",$C301,,$D$5&amp;"/"&amp;J$9)</t>
  </si>
  <si>
    <t>=GL(,"Balance",$C301,,$D$5&amp;"/"&amp;K$9)</t>
  </si>
  <si>
    <t>=GL(,"Balance",$C302,,$D$5&amp;"/"&amp;E$9)</t>
  </si>
  <si>
    <t>=GL(,"Balance",$C302,,$D$5&amp;"/"&amp;F$9)</t>
  </si>
  <si>
    <t>=GL(,"Balance",$C302,,$D$5&amp;"/"&amp;G$9)</t>
  </si>
  <si>
    <t>=GL(,"Balance",$C302,,$D$5&amp;"/"&amp;H$9)</t>
  </si>
  <si>
    <t>=GL(,"Balance",$C302,,$D$5&amp;"/"&amp;I$9)</t>
  </si>
  <si>
    <t>=GL(,"Balance",$C302,,$D$5&amp;"/"&amp;J$9)</t>
  </si>
  <si>
    <t>=GL(,"Balance",$C302,,$D$5&amp;"/"&amp;K$9)</t>
  </si>
  <si>
    <t>=GL(,"Balance",$C303,,$D$5&amp;"/"&amp;E$9)</t>
  </si>
  <si>
    <t>=GL(,"Balance",$C303,,$D$5&amp;"/"&amp;F$9)</t>
  </si>
  <si>
    <t>=GL(,"Balance",$C303,,$D$5&amp;"/"&amp;G$9)</t>
  </si>
  <si>
    <t>=GL(,"Balance",$C303,,$D$5&amp;"/"&amp;H$9)</t>
  </si>
  <si>
    <t>=GL(,"Balance",$C303,,$D$5&amp;"/"&amp;I$9)</t>
  </si>
  <si>
    <t>=GL(,"Balance",$C303,,$D$5&amp;"/"&amp;J$9)</t>
  </si>
  <si>
    <t>=GL(,"Balance",$C303,,$D$5&amp;"/"&amp;K$9)</t>
  </si>
  <si>
    <t>=GL(,"Balance",$C304,,$D$5&amp;"/"&amp;E$9)</t>
  </si>
  <si>
    <t>=GL(,"Balance",$C304,,$D$5&amp;"/"&amp;F$9)</t>
  </si>
  <si>
    <t>=GL(,"Balance",$C304,,$D$5&amp;"/"&amp;G$9)</t>
  </si>
  <si>
    <t>=GL(,"Balance",$C304,,$D$5&amp;"/"&amp;H$9)</t>
  </si>
  <si>
    <t>=GL(,"Balance",$C304,,$D$5&amp;"/"&amp;I$9)</t>
  </si>
  <si>
    <t>=GL(,"Balance",$C304,,$D$5&amp;"/"&amp;J$9)</t>
  </si>
  <si>
    <t>=GL(,"Balance",$C304,,$D$5&amp;"/"&amp;K$9)</t>
  </si>
  <si>
    <t>=GL(,"Balance",$C305,,$D$5&amp;"/"&amp;E$9)</t>
  </si>
  <si>
    <t>=GL(,"Balance",$C305,,$D$5&amp;"/"&amp;F$9)</t>
  </si>
  <si>
    <t>=GL(,"Balance",$C305,,$D$5&amp;"/"&amp;G$9)</t>
  </si>
  <si>
    <t>=GL(,"Balance",$C305,,$D$5&amp;"/"&amp;H$9)</t>
  </si>
  <si>
    <t>=GL(,"Balance",$C305,,$D$5&amp;"/"&amp;I$9)</t>
  </si>
  <si>
    <t>=GL(,"Balance",$C305,,$D$5&amp;"/"&amp;J$9)</t>
  </si>
  <si>
    <t>=GL(,"Balance",$C305,,$D$5&amp;"/"&amp;K$9)</t>
  </si>
  <si>
    <t>=GL(,"Balance",$C306,,$D$5&amp;"/"&amp;E$9)</t>
  </si>
  <si>
    <t>=GL(,"Balance",$C306,,$D$5&amp;"/"&amp;F$9)</t>
  </si>
  <si>
    <t>=GL(,"Balance",$C306,,$D$5&amp;"/"&amp;G$9)</t>
  </si>
  <si>
    <t>=GL(,"Balance",$C306,,$D$5&amp;"/"&amp;H$9)</t>
  </si>
  <si>
    <t>=GL(,"Balance",$C306,,$D$5&amp;"/"&amp;I$9)</t>
  </si>
  <si>
    <t>=GL(,"Balance",$C306,,$D$5&amp;"/"&amp;J$9)</t>
  </si>
  <si>
    <t>=GL(,"Balance",$C306,,$D$5&amp;"/"&amp;K$9)</t>
  </si>
  <si>
    <t>=GL(,"Balance",$C307,,$D$5&amp;"/"&amp;E$9)</t>
  </si>
  <si>
    <t>=GL(,"Balance",$C307,,$D$5&amp;"/"&amp;F$9)</t>
  </si>
  <si>
    <t>=GL(,"Balance",$C307,,$D$5&amp;"/"&amp;G$9)</t>
  </si>
  <si>
    <t>=GL(,"Balance",$C307,,$D$5&amp;"/"&amp;H$9)</t>
  </si>
  <si>
    <t>=GL(,"Balance",$C307,,$D$5&amp;"/"&amp;I$9)</t>
  </si>
  <si>
    <t>=GL(,"Balance",$C307,,$D$5&amp;"/"&amp;J$9)</t>
  </si>
  <si>
    <t>=GL(,"Balance",$C307,,$D$5&amp;"/"&amp;K$9)</t>
  </si>
  <si>
    <t>=GL(,"Balance",$C308,,$D$5&amp;"/"&amp;E$9)</t>
  </si>
  <si>
    <t>=GL(,"Balance",$C308,,$D$5&amp;"/"&amp;F$9)</t>
  </si>
  <si>
    <t>=GL(,"Balance",$C308,,$D$5&amp;"/"&amp;G$9)</t>
  </si>
  <si>
    <t>=GL(,"Balance",$C308,,$D$5&amp;"/"&amp;H$9)</t>
  </si>
  <si>
    <t>=GL(,"Balance",$C308,,$D$5&amp;"/"&amp;I$9)</t>
  </si>
  <si>
    <t>=GL(,"Balance",$C308,,$D$5&amp;"/"&amp;J$9)</t>
  </si>
  <si>
    <t>=GL(,"Balance",$C308,,$D$5&amp;"/"&amp;K$9)</t>
  </si>
  <si>
    <t>=GL(,"Balance",$C309,,$D$5&amp;"/"&amp;E$9)</t>
  </si>
  <si>
    <t>=GL(,"Balance",$C309,,$D$5&amp;"/"&amp;F$9)</t>
  </si>
  <si>
    <t>=GL(,"Balance",$C309,,$D$5&amp;"/"&amp;G$9)</t>
  </si>
  <si>
    <t>=GL(,"Balance",$C309,,$D$5&amp;"/"&amp;H$9)</t>
  </si>
  <si>
    <t>=GL(,"Balance",$C309,,$D$5&amp;"/"&amp;I$9)</t>
  </si>
  <si>
    <t>=GL(,"Balance",$C309,,$D$5&amp;"/"&amp;J$9)</t>
  </si>
  <si>
    <t>=GL(,"Balance",$C309,,$D$5&amp;"/"&amp;K$9)</t>
  </si>
  <si>
    <t>=GL(,"Balance",$C310,,$D$5&amp;"/"&amp;E$9)</t>
  </si>
  <si>
    <t>=GL(,"Balance",$C310,,$D$5&amp;"/"&amp;F$9)</t>
  </si>
  <si>
    <t>=GL(,"Balance",$C310,,$D$5&amp;"/"&amp;G$9)</t>
  </si>
  <si>
    <t>=GL(,"Balance",$C310,,$D$5&amp;"/"&amp;H$9)</t>
  </si>
  <si>
    <t>=GL(,"Balance",$C310,,$D$5&amp;"/"&amp;I$9)</t>
  </si>
  <si>
    <t>=GL(,"Balance",$C310,,$D$5&amp;"/"&amp;J$9)</t>
  </si>
  <si>
    <t>=GL(,"Balance",$C310,,$D$5&amp;"/"&amp;K$9)</t>
  </si>
  <si>
    <t>=GL(,"Balance",$C311,,$D$5&amp;"/"&amp;E$9)</t>
  </si>
  <si>
    <t>=GL(,"Balance",$C311,,$D$5&amp;"/"&amp;F$9)</t>
  </si>
  <si>
    <t>=GL(,"Balance",$C311,,$D$5&amp;"/"&amp;G$9)</t>
  </si>
  <si>
    <t>=GL(,"Balance",$C311,,$D$5&amp;"/"&amp;H$9)</t>
  </si>
  <si>
    <t>=GL(,"Balance",$C311,,$D$5&amp;"/"&amp;I$9)</t>
  </si>
  <si>
    <t>=GL(,"Balance",$C311,,$D$5&amp;"/"&amp;J$9)</t>
  </si>
  <si>
    <t>=GL(,"Balance",$C311,,$D$5&amp;"/"&amp;K$9)</t>
  </si>
  <si>
    <t>=GL(,"Balance",$C312,,$D$5&amp;"/"&amp;E$9)</t>
  </si>
  <si>
    <t>=GL(,"Balance",$C312,,$D$5&amp;"/"&amp;F$9)</t>
  </si>
  <si>
    <t>=GL(,"Balance",$C312,,$D$5&amp;"/"&amp;G$9)</t>
  </si>
  <si>
    <t>=GL(,"Balance",$C312,,$D$5&amp;"/"&amp;H$9)</t>
  </si>
  <si>
    <t>=GL(,"Balance",$C312,,$D$5&amp;"/"&amp;I$9)</t>
  </si>
  <si>
    <t>=GL(,"Balance",$C312,,$D$5&amp;"/"&amp;J$9)</t>
  </si>
  <si>
    <t>=GL(,"Balance",$C312,,$D$5&amp;"/"&amp;K$9)</t>
  </si>
  <si>
    <t>=GL(,"Balance",$C313,,$D$5&amp;"/"&amp;E$9)</t>
  </si>
  <si>
    <t>=GL(,"Balance",$C313,,$D$5&amp;"/"&amp;F$9)</t>
  </si>
  <si>
    <t>=GL(,"Balance",$C313,,$D$5&amp;"/"&amp;G$9)</t>
  </si>
  <si>
    <t>=GL(,"Balance",$C313,,$D$5&amp;"/"&amp;H$9)</t>
  </si>
  <si>
    <t>=GL(,"Balance",$C313,,$D$5&amp;"/"&amp;I$9)</t>
  </si>
  <si>
    <t>=GL(,"Balance",$C313,,$D$5&amp;"/"&amp;J$9)</t>
  </si>
  <si>
    <t>=GL(,"Balance",$C313,,$D$5&amp;"/"&amp;K$9)</t>
  </si>
  <si>
    <t>=GL(,"Balance",$C314,,$D$5&amp;"/"&amp;E$9)</t>
  </si>
  <si>
    <t>=GL(,"Balance",$C314,,$D$5&amp;"/"&amp;F$9)</t>
  </si>
  <si>
    <t>=GL(,"Balance",$C314,,$D$5&amp;"/"&amp;G$9)</t>
  </si>
  <si>
    <t>=GL(,"Balance",$C314,,$D$5&amp;"/"&amp;H$9)</t>
  </si>
  <si>
    <t>=GL(,"Balance",$C314,,$D$5&amp;"/"&amp;I$9)</t>
  </si>
  <si>
    <t>=GL(,"Balance",$C314,,$D$5&amp;"/"&amp;J$9)</t>
  </si>
  <si>
    <t>=GL(,"Balance",$C314,,$D$5&amp;"/"&amp;K$9)</t>
  </si>
  <si>
    <t>=GL(,"Balance",$C315,,$D$5&amp;"/"&amp;E$9)</t>
  </si>
  <si>
    <t>=GL(,"Balance",$C315,,$D$5&amp;"/"&amp;F$9)</t>
  </si>
  <si>
    <t>=GL(,"Balance",$C315,,$D$5&amp;"/"&amp;G$9)</t>
  </si>
  <si>
    <t>=GL(,"Balance",$C315,,$D$5&amp;"/"&amp;H$9)</t>
  </si>
  <si>
    <t>=GL(,"Balance",$C315,,$D$5&amp;"/"&amp;I$9)</t>
  </si>
  <si>
    <t>=GL(,"Balance",$C315,,$D$5&amp;"/"&amp;J$9)</t>
  </si>
  <si>
    <t>=GL(,"Balance",$C315,,$D$5&amp;"/"&amp;K$9)</t>
  </si>
  <si>
    <t>=GL(,"Balance",$C316,,$D$5&amp;"/"&amp;E$9)</t>
  </si>
  <si>
    <t>=GL(,"Balance",$C316,,$D$5&amp;"/"&amp;F$9)</t>
  </si>
  <si>
    <t>=GL(,"Balance",$C316,,$D$5&amp;"/"&amp;G$9)</t>
  </si>
  <si>
    <t>=GL(,"Balance",$C316,,$D$5&amp;"/"&amp;H$9)</t>
  </si>
  <si>
    <t>=GL(,"Balance",$C316,,$D$5&amp;"/"&amp;I$9)</t>
  </si>
  <si>
    <t>=GL(,"Balance",$C316,,$D$5&amp;"/"&amp;J$9)</t>
  </si>
  <si>
    <t>=GL(,"Balance",$C316,,$D$5&amp;"/"&amp;K$9)</t>
  </si>
  <si>
    <t>=GL(,"Balance",$C317,,$D$5&amp;"/"&amp;E$9)</t>
  </si>
  <si>
    <t>=GL(,"Balance",$C317,,$D$5&amp;"/"&amp;F$9)</t>
  </si>
  <si>
    <t>=GL(,"Balance",$C317,,$D$5&amp;"/"&amp;G$9)</t>
  </si>
  <si>
    <t>=GL(,"Balance",$C317,,$D$5&amp;"/"&amp;H$9)</t>
  </si>
  <si>
    <t>=GL(,"Balance",$C317,,$D$5&amp;"/"&amp;I$9)</t>
  </si>
  <si>
    <t>=GL(,"Balance",$C317,,$D$5&amp;"/"&amp;J$9)</t>
  </si>
  <si>
    <t>=GL(,"Balance",$C317,,$D$5&amp;"/"&amp;K$9)</t>
  </si>
  <si>
    <t>=GL(,"Balance",$C318,,$D$5&amp;"/"&amp;E$9)</t>
  </si>
  <si>
    <t>=GL(,"Balance",$C318,,$D$5&amp;"/"&amp;F$9)</t>
  </si>
  <si>
    <t>=GL(,"Balance",$C318,,$D$5&amp;"/"&amp;G$9)</t>
  </si>
  <si>
    <t>=GL(,"Balance",$C318,,$D$5&amp;"/"&amp;H$9)</t>
  </si>
  <si>
    <t>=GL(,"Balance",$C318,,$D$5&amp;"/"&amp;I$9)</t>
  </si>
  <si>
    <t>=GL(,"Balance",$C318,,$D$5&amp;"/"&amp;J$9)</t>
  </si>
  <si>
    <t>=GL(,"Balance",$C318,,$D$5&amp;"/"&amp;K$9)</t>
  </si>
  <si>
    <t>=GL(,"Balance",$C319,,$D$5&amp;"/"&amp;E$9)</t>
  </si>
  <si>
    <t>=GL(,"Balance",$C319,,$D$5&amp;"/"&amp;F$9)</t>
  </si>
  <si>
    <t>=GL(,"Balance",$C319,,$D$5&amp;"/"&amp;G$9)</t>
  </si>
  <si>
    <t>=GL(,"Balance",$C319,,$D$5&amp;"/"&amp;H$9)</t>
  </si>
  <si>
    <t>=GL(,"Balance",$C319,,$D$5&amp;"/"&amp;I$9)</t>
  </si>
  <si>
    <t>=GL(,"Balance",$C319,,$D$5&amp;"/"&amp;J$9)</t>
  </si>
  <si>
    <t>=GL(,"Balance",$C319,,$D$5&amp;"/"&amp;K$9)</t>
  </si>
  <si>
    <t>=GL(,"Balance",$C320,,$D$5&amp;"/"&amp;E$9)</t>
  </si>
  <si>
    <t>=GL(,"Balance",$C320,,$D$5&amp;"/"&amp;F$9)</t>
  </si>
  <si>
    <t>=GL(,"Balance",$C320,,$D$5&amp;"/"&amp;G$9)</t>
  </si>
  <si>
    <t>=GL(,"Balance",$C320,,$D$5&amp;"/"&amp;H$9)</t>
  </si>
  <si>
    <t>=GL(,"Balance",$C320,,$D$5&amp;"/"&amp;I$9)</t>
  </si>
  <si>
    <t>=GL(,"Balance",$C320,,$D$5&amp;"/"&amp;J$9)</t>
  </si>
  <si>
    <t>=GL(,"Balance",$C320,,$D$5&amp;"/"&amp;K$9)</t>
  </si>
  <si>
    <t>=GL(,"Balance",$C321,,$D$5&amp;"/"&amp;E$9)</t>
  </si>
  <si>
    <t>=GL(,"Balance",$C321,,$D$5&amp;"/"&amp;F$9)</t>
  </si>
  <si>
    <t>=GL(,"Balance",$C321,,$D$5&amp;"/"&amp;G$9)</t>
  </si>
  <si>
    <t>=GL(,"Balance",$C321,,$D$5&amp;"/"&amp;H$9)</t>
  </si>
  <si>
    <t>=GL(,"Balance",$C321,,$D$5&amp;"/"&amp;I$9)</t>
  </si>
  <si>
    <t>=GL(,"Balance",$C321,,$D$5&amp;"/"&amp;J$9)</t>
  </si>
  <si>
    <t>=GL(,"Balance",$C321,,$D$5&amp;"/"&amp;K$9)</t>
  </si>
  <si>
    <t>=GL(,"Balance",$C322,,$D$5&amp;"/"&amp;E$9)</t>
  </si>
  <si>
    <t>=GL(,"Balance",$C322,,$D$5&amp;"/"&amp;F$9)</t>
  </si>
  <si>
    <t>=GL(,"Balance",$C322,,$D$5&amp;"/"&amp;G$9)</t>
  </si>
  <si>
    <t>=GL(,"Balance",$C322,,$D$5&amp;"/"&amp;H$9)</t>
  </si>
  <si>
    <t>=GL(,"Balance",$C322,,$D$5&amp;"/"&amp;I$9)</t>
  </si>
  <si>
    <t>=GL(,"Balance",$C322,,$D$5&amp;"/"&amp;J$9)</t>
  </si>
  <si>
    <t>=GL(,"Balance",$C322,,$D$5&amp;"/"&amp;K$9)</t>
  </si>
  <si>
    <t>=GL(,"Balance",$C323,,$D$5&amp;"/"&amp;E$9)</t>
  </si>
  <si>
    <t>=GL(,"Balance",$C323,,$D$5&amp;"/"&amp;F$9)</t>
  </si>
  <si>
    <t>=GL(,"Balance",$C323,,$D$5&amp;"/"&amp;G$9)</t>
  </si>
  <si>
    <t>=GL(,"Balance",$C323,,$D$5&amp;"/"&amp;H$9)</t>
  </si>
  <si>
    <t>=GL(,"Balance",$C323,,$D$5&amp;"/"&amp;I$9)</t>
  </si>
  <si>
    <t>=GL(,"Balance",$C323,,$D$5&amp;"/"&amp;J$9)</t>
  </si>
  <si>
    <t>=GL(,"Balance",$C323,,$D$5&amp;"/"&amp;K$9)</t>
  </si>
  <si>
    <t>=GL(,"Balance",$C324,,$D$5&amp;"/"&amp;E$9)</t>
  </si>
  <si>
    <t>=GL(,"Balance",$C324,,$D$5&amp;"/"&amp;F$9)</t>
  </si>
  <si>
    <t>=GL(,"Balance",$C324,,$D$5&amp;"/"&amp;G$9)</t>
  </si>
  <si>
    <t>=GL(,"Balance",$C324,,$D$5&amp;"/"&amp;H$9)</t>
  </si>
  <si>
    <t>=GL(,"Balance",$C324,,$D$5&amp;"/"&amp;I$9)</t>
  </si>
  <si>
    <t>=GL(,"Balance",$C324,,$D$5&amp;"/"&amp;J$9)</t>
  </si>
  <si>
    <t>=GL(,"Balance",$C324,,$D$5&amp;"/"&amp;K$9)</t>
  </si>
  <si>
    <t>=GL(,"Balance",$C325,,$D$5&amp;"/"&amp;E$9)</t>
  </si>
  <si>
    <t>=GL(,"Balance",$C325,,$D$5&amp;"/"&amp;F$9)</t>
  </si>
  <si>
    <t>=GL(,"Balance",$C325,,$D$5&amp;"/"&amp;G$9)</t>
  </si>
  <si>
    <t>=GL(,"Balance",$C325,,$D$5&amp;"/"&amp;H$9)</t>
  </si>
  <si>
    <t>=GL(,"Balance",$C325,,$D$5&amp;"/"&amp;I$9)</t>
  </si>
  <si>
    <t>=GL(,"Balance",$C325,,$D$5&amp;"/"&amp;J$9)</t>
  </si>
  <si>
    <t>=GL(,"Balance",$C325,,$D$5&amp;"/"&amp;K$9)</t>
  </si>
  <si>
    <t>=GL(,"Balance",$C326,,$D$5&amp;"/"&amp;E$9)</t>
  </si>
  <si>
    <t>=GL(,"Balance",$C326,,$D$5&amp;"/"&amp;F$9)</t>
  </si>
  <si>
    <t>=GL(,"Balance",$C326,,$D$5&amp;"/"&amp;G$9)</t>
  </si>
  <si>
    <t>=GL(,"Balance",$C326,,$D$5&amp;"/"&amp;H$9)</t>
  </si>
  <si>
    <t>=GL(,"Balance",$C326,,$D$5&amp;"/"&amp;I$9)</t>
  </si>
  <si>
    <t>=GL(,"Balance",$C326,,$D$5&amp;"/"&amp;J$9)</t>
  </si>
  <si>
    <t>=GL(,"Balance",$C326,,$D$5&amp;"/"&amp;K$9)</t>
  </si>
  <si>
    <t>=GL(,"Balance",$C327,,$D$5&amp;"/"&amp;E$9)</t>
  </si>
  <si>
    <t>=GL(,"Balance",$C327,,$D$5&amp;"/"&amp;F$9)</t>
  </si>
  <si>
    <t>=GL(,"Balance",$C327,,$D$5&amp;"/"&amp;G$9)</t>
  </si>
  <si>
    <t>=GL(,"Balance",$C327,,$D$5&amp;"/"&amp;H$9)</t>
  </si>
  <si>
    <t>=GL(,"Balance",$C327,,$D$5&amp;"/"&amp;I$9)</t>
  </si>
  <si>
    <t>=GL(,"Balance",$C327,,$D$5&amp;"/"&amp;J$9)</t>
  </si>
  <si>
    <t>=GL(,"Balance",$C327,,$D$5&amp;"/"&amp;K$9)</t>
  </si>
  <si>
    <t>=GL(,"Balance",$C328,,$D$5&amp;"/"&amp;E$9)</t>
  </si>
  <si>
    <t>=GL(,"Balance",$C328,,$D$5&amp;"/"&amp;F$9)</t>
  </si>
  <si>
    <t>=GL(,"Balance",$C328,,$D$5&amp;"/"&amp;G$9)</t>
  </si>
  <si>
    <t>=GL(,"Balance",$C328,,$D$5&amp;"/"&amp;H$9)</t>
  </si>
  <si>
    <t>=GL(,"Balance",$C328,,$D$5&amp;"/"&amp;I$9)</t>
  </si>
  <si>
    <t>=GL(,"Balance",$C328,,$D$5&amp;"/"&amp;J$9)</t>
  </si>
  <si>
    <t>=GL(,"Balance",$C328,,$D$5&amp;"/"&amp;K$9)</t>
  </si>
  <si>
    <t>=GL(,"Balance",$C329,,$D$5&amp;"/"&amp;E$9)</t>
  </si>
  <si>
    <t>=GL(,"Balance",$C329,,$D$5&amp;"/"&amp;F$9)</t>
  </si>
  <si>
    <t>=GL(,"Balance",$C329,,$D$5&amp;"/"&amp;G$9)</t>
  </si>
  <si>
    <t>=GL(,"Balance",$C329,,$D$5&amp;"/"&amp;H$9)</t>
  </si>
  <si>
    <t>=GL(,"Balance",$C329,,$D$5&amp;"/"&amp;I$9)</t>
  </si>
  <si>
    <t>=GL(,"Balance",$C329,,$D$5&amp;"/"&amp;J$9)</t>
  </si>
  <si>
    <t>=GL(,"Balance",$C329,,$D$5&amp;"/"&amp;K$9)</t>
  </si>
  <si>
    <t>=GL(,"Balance",$C330,,$D$5&amp;"/"&amp;E$9)</t>
  </si>
  <si>
    <t>=GL(,"Balance",$C330,,$D$5&amp;"/"&amp;F$9)</t>
  </si>
  <si>
    <t>=GL(,"Balance",$C330,,$D$5&amp;"/"&amp;G$9)</t>
  </si>
  <si>
    <t>=GL(,"Balance",$C330,,$D$5&amp;"/"&amp;H$9)</t>
  </si>
  <si>
    <t>=GL(,"Balance",$C330,,$D$5&amp;"/"&amp;I$9)</t>
  </si>
  <si>
    <t>=GL(,"Balance",$C330,,$D$5&amp;"/"&amp;J$9)</t>
  </si>
  <si>
    <t>=GL(,"Balance",$C330,,$D$5&amp;"/"&amp;K$9)</t>
  </si>
  <si>
    <t>=GL(,"Balance",$C331,,$D$5&amp;"/"&amp;E$9)</t>
  </si>
  <si>
    <t>=GL(,"Balance",$C331,,$D$5&amp;"/"&amp;F$9)</t>
  </si>
  <si>
    <t>=GL(,"Balance",$C331,,$D$5&amp;"/"&amp;G$9)</t>
  </si>
  <si>
    <t>=GL(,"Balance",$C331,,$D$5&amp;"/"&amp;H$9)</t>
  </si>
  <si>
    <t>=GL(,"Balance",$C331,,$D$5&amp;"/"&amp;I$9)</t>
  </si>
  <si>
    <t>=GL(,"Balance",$C331,,$D$5&amp;"/"&amp;J$9)</t>
  </si>
  <si>
    <t>=GL(,"Balance",$C331,,$D$5&amp;"/"&amp;K$9)</t>
  </si>
  <si>
    <t>=GL(,"Balance",$C332,,$D$5&amp;"/"&amp;E$9)</t>
  </si>
  <si>
    <t>=GL(,"Balance",$C332,,$D$5&amp;"/"&amp;F$9)</t>
  </si>
  <si>
    <t>=GL(,"Balance",$C332,,$D$5&amp;"/"&amp;G$9)</t>
  </si>
  <si>
    <t>=GL(,"Balance",$C332,,$D$5&amp;"/"&amp;H$9)</t>
  </si>
  <si>
    <t>=GL(,"Balance",$C332,,$D$5&amp;"/"&amp;I$9)</t>
  </si>
  <si>
    <t>=GL(,"Balance",$C332,,$D$5&amp;"/"&amp;J$9)</t>
  </si>
  <si>
    <t>=GL(,"Balance",$C332,,$D$5&amp;"/"&amp;K$9)</t>
  </si>
  <si>
    <t>=GL(,"Balance",$C333,,$D$5&amp;"/"&amp;E$9)</t>
  </si>
  <si>
    <t>=GL(,"Balance",$C333,,$D$5&amp;"/"&amp;F$9)</t>
  </si>
  <si>
    <t>=GL(,"Balance",$C333,,$D$5&amp;"/"&amp;G$9)</t>
  </si>
  <si>
    <t>=GL(,"Balance",$C333,,$D$5&amp;"/"&amp;H$9)</t>
  </si>
  <si>
    <t>=GL(,"Balance",$C333,,$D$5&amp;"/"&amp;I$9)</t>
  </si>
  <si>
    <t>=GL(,"Balance",$C333,,$D$5&amp;"/"&amp;J$9)</t>
  </si>
  <si>
    <t>=GL(,"Balance",$C333,,$D$5&amp;"/"&amp;K$9)</t>
  </si>
  <si>
    <t>=GL(,"Balance",$C334,,$D$5&amp;"/"&amp;E$9)</t>
  </si>
  <si>
    <t>=GL(,"Balance",$C334,,$D$5&amp;"/"&amp;F$9)</t>
  </si>
  <si>
    <t>=GL(,"Balance",$C334,,$D$5&amp;"/"&amp;G$9)</t>
  </si>
  <si>
    <t>=GL(,"Balance",$C334,,$D$5&amp;"/"&amp;H$9)</t>
  </si>
  <si>
    <t>=GL(,"Balance",$C334,,$D$5&amp;"/"&amp;I$9)</t>
  </si>
  <si>
    <t>=GL(,"Balance",$C334,,$D$5&amp;"/"&amp;J$9)</t>
  </si>
  <si>
    <t>=GL(,"Balance",$C334,,$D$5&amp;"/"&amp;K$9)</t>
  </si>
  <si>
    <t>=GL(,"Balance",$C335,,$D$5&amp;"/"&amp;E$9)</t>
  </si>
  <si>
    <t>=GL(,"Balance",$C335,,$D$5&amp;"/"&amp;F$9)</t>
  </si>
  <si>
    <t>=GL(,"Balance",$C335,,$D$5&amp;"/"&amp;G$9)</t>
  </si>
  <si>
    <t>=GL(,"Balance",$C335,,$D$5&amp;"/"&amp;H$9)</t>
  </si>
  <si>
    <t>=GL(,"Balance",$C335,,$D$5&amp;"/"&amp;I$9)</t>
  </si>
  <si>
    <t>=GL(,"Balance",$C335,,$D$5&amp;"/"&amp;J$9)</t>
  </si>
  <si>
    <t>=GL(,"Balance",$C335,,$D$5&amp;"/"&amp;K$9)</t>
  </si>
  <si>
    <t>=GL(,"Balance",$C336,,$D$5&amp;"/"&amp;E$9)</t>
  </si>
  <si>
    <t>=GL(,"Balance",$C336,,$D$5&amp;"/"&amp;F$9)</t>
  </si>
  <si>
    <t>=GL(,"Balance",$C336,,$D$5&amp;"/"&amp;G$9)</t>
  </si>
  <si>
    <t>=GL(,"Balance",$C336,,$D$5&amp;"/"&amp;H$9)</t>
  </si>
  <si>
    <t>=GL(,"Balance",$C336,,$D$5&amp;"/"&amp;I$9)</t>
  </si>
  <si>
    <t>=GL(,"Balance",$C336,,$D$5&amp;"/"&amp;J$9)</t>
  </si>
  <si>
    <t>=GL(,"Balance",$C336,,$D$5&amp;"/"&amp;K$9)</t>
  </si>
  <si>
    <t>=GL(,"Balance",$C337,,$D$5&amp;"/"&amp;E$9)</t>
  </si>
  <si>
    <t>=GL(,"Balance",$C337,,$D$5&amp;"/"&amp;F$9)</t>
  </si>
  <si>
    <t>=GL(,"Balance",$C337,,$D$5&amp;"/"&amp;G$9)</t>
  </si>
  <si>
    <t>=GL(,"Balance",$C337,,$D$5&amp;"/"&amp;H$9)</t>
  </si>
  <si>
    <t>=GL(,"Balance",$C337,,$D$5&amp;"/"&amp;I$9)</t>
  </si>
  <si>
    <t>=GL(,"Balance",$C337,,$D$5&amp;"/"&amp;J$9)</t>
  </si>
  <si>
    <t>=GL(,"Balance",$C337,,$D$5&amp;"/"&amp;K$9)</t>
  </si>
  <si>
    <t>=GL(,"Balance",$C338,,$D$5&amp;"/"&amp;E$9)</t>
  </si>
  <si>
    <t>=GL(,"Balance",$C338,,$D$5&amp;"/"&amp;F$9)</t>
  </si>
  <si>
    <t>=GL(,"Balance",$C338,,$D$5&amp;"/"&amp;G$9)</t>
  </si>
  <si>
    <t>=GL(,"Balance",$C338,,$D$5&amp;"/"&amp;H$9)</t>
  </si>
  <si>
    <t>=GL(,"Balance",$C338,,$D$5&amp;"/"&amp;I$9)</t>
  </si>
  <si>
    <t>=GL(,"Balance",$C338,,$D$5&amp;"/"&amp;J$9)</t>
  </si>
  <si>
    <t>=GL(,"Balance",$C338,,$D$5&amp;"/"&amp;K$9)</t>
  </si>
  <si>
    <t>=GL(,"Balance",$C339,,$D$5&amp;"/"&amp;E$9)</t>
  </si>
  <si>
    <t>=GL(,"Balance",$C339,,$D$5&amp;"/"&amp;F$9)</t>
  </si>
  <si>
    <t>=GL(,"Balance",$C339,,$D$5&amp;"/"&amp;G$9)</t>
  </si>
  <si>
    <t>=GL(,"Balance",$C339,,$D$5&amp;"/"&amp;H$9)</t>
  </si>
  <si>
    <t>=GL(,"Balance",$C339,,$D$5&amp;"/"&amp;I$9)</t>
  </si>
  <si>
    <t>=GL(,"Balance",$C339,,$D$5&amp;"/"&amp;J$9)</t>
  </si>
  <si>
    <t>=GL(,"Balance",$C339,,$D$5&amp;"/"&amp;K$9)</t>
  </si>
  <si>
    <t>=GL(,"Balance",$C340,,$D$5&amp;"/"&amp;E$9)</t>
  </si>
  <si>
    <t>=GL(,"Balance",$C340,,$D$5&amp;"/"&amp;F$9)</t>
  </si>
  <si>
    <t>=GL(,"Balance",$C340,,$D$5&amp;"/"&amp;G$9)</t>
  </si>
  <si>
    <t>=GL(,"Balance",$C340,,$D$5&amp;"/"&amp;H$9)</t>
  </si>
  <si>
    <t>=GL(,"Balance",$C340,,$D$5&amp;"/"&amp;I$9)</t>
  </si>
  <si>
    <t>=GL(,"Balance",$C340,,$D$5&amp;"/"&amp;J$9)</t>
  </si>
  <si>
    <t>=GL(,"Balance",$C340,,$D$5&amp;"/"&amp;K$9)</t>
  </si>
  <si>
    <t>=GL(,"Balance",$C341,,$D$5&amp;"/"&amp;E$9)</t>
  </si>
  <si>
    <t>=GL(,"Balance",$C341,,$D$5&amp;"/"&amp;F$9)</t>
  </si>
  <si>
    <t>=GL(,"Balance",$C341,,$D$5&amp;"/"&amp;G$9)</t>
  </si>
  <si>
    <t>=GL(,"Balance",$C341,,$D$5&amp;"/"&amp;H$9)</t>
  </si>
  <si>
    <t>=GL(,"Balance",$C341,,$D$5&amp;"/"&amp;I$9)</t>
  </si>
  <si>
    <t>=GL(,"Balance",$C341,,$D$5&amp;"/"&amp;J$9)</t>
  </si>
  <si>
    <t>=GL(,"Balance",$C341,,$D$5&amp;"/"&amp;K$9)</t>
  </si>
  <si>
    <t>=GL(,"Balance",$C342,,$D$5&amp;"/"&amp;E$9)</t>
  </si>
  <si>
    <t>=GL(,"Balance",$C342,,$D$5&amp;"/"&amp;F$9)</t>
  </si>
  <si>
    <t>=GL(,"Balance",$C342,,$D$5&amp;"/"&amp;G$9)</t>
  </si>
  <si>
    <t>=GL(,"Balance",$C342,,$D$5&amp;"/"&amp;H$9)</t>
  </si>
  <si>
    <t>=GL(,"Balance",$C342,,$D$5&amp;"/"&amp;I$9)</t>
  </si>
  <si>
    <t>=GL(,"Balance",$C342,,$D$5&amp;"/"&amp;J$9)</t>
  </si>
  <si>
    <t>=GL(,"Balance",$C342,,$D$5&amp;"/"&amp;K$9)</t>
  </si>
  <si>
    <t>=GL(,"Balance",$C343,,$D$5&amp;"/"&amp;E$9)</t>
  </si>
  <si>
    <t>=GL(,"Balance",$C343,,$D$5&amp;"/"&amp;F$9)</t>
  </si>
  <si>
    <t>=GL(,"Balance",$C343,,$D$5&amp;"/"&amp;G$9)</t>
  </si>
  <si>
    <t>=GL(,"Balance",$C343,,$D$5&amp;"/"&amp;H$9)</t>
  </si>
  <si>
    <t>=GL(,"Balance",$C343,,$D$5&amp;"/"&amp;I$9)</t>
  </si>
  <si>
    <t>=GL(,"Balance",$C343,,$D$5&amp;"/"&amp;J$9)</t>
  </si>
  <si>
    <t>=GL(,"Balance",$C343,,$D$5&amp;"/"&amp;K$9)</t>
  </si>
  <si>
    <t>=GL(,"Balance",$C344,,$D$5&amp;"/"&amp;E$9)</t>
  </si>
  <si>
    <t>=GL(,"Balance",$C344,,$D$5&amp;"/"&amp;F$9)</t>
  </si>
  <si>
    <t>=GL(,"Balance",$C344,,$D$5&amp;"/"&amp;G$9)</t>
  </si>
  <si>
    <t>=GL(,"Balance",$C344,,$D$5&amp;"/"&amp;H$9)</t>
  </si>
  <si>
    <t>=GL(,"Balance",$C344,,$D$5&amp;"/"&amp;I$9)</t>
  </si>
  <si>
    <t>=GL(,"Balance",$C344,,$D$5&amp;"/"&amp;J$9)</t>
  </si>
  <si>
    <t>=GL(,"Balance",$C344,,$D$5&amp;"/"&amp;K$9)</t>
  </si>
  <si>
    <t>=GL(,"Balance",$C345,,$D$5&amp;"/"&amp;E$9)</t>
  </si>
  <si>
    <t>=GL(,"Balance",$C345,,$D$5&amp;"/"&amp;F$9)</t>
  </si>
  <si>
    <t>=GL(,"Balance",$C345,,$D$5&amp;"/"&amp;G$9)</t>
  </si>
  <si>
    <t>=GL(,"Balance",$C345,,$D$5&amp;"/"&amp;H$9)</t>
  </si>
  <si>
    <t>=GL(,"Balance",$C345,,$D$5&amp;"/"&amp;I$9)</t>
  </si>
  <si>
    <t>=GL(,"Balance",$C345,,$D$5&amp;"/"&amp;J$9)</t>
  </si>
  <si>
    <t>=GL(,"Balance",$C345,,$D$5&amp;"/"&amp;K$9)</t>
  </si>
  <si>
    <t>=GL(,"Balance",$C346,,$D$5&amp;"/"&amp;E$9)</t>
  </si>
  <si>
    <t>=GL(,"Balance",$C346,,$D$5&amp;"/"&amp;F$9)</t>
  </si>
  <si>
    <t>=GL(,"Balance",$C346,,$D$5&amp;"/"&amp;G$9)</t>
  </si>
  <si>
    <t>=GL(,"Balance",$C346,,$D$5&amp;"/"&amp;H$9)</t>
  </si>
  <si>
    <t>=GL(,"Balance",$C346,,$D$5&amp;"/"&amp;I$9)</t>
  </si>
  <si>
    <t>=GL(,"Balance",$C346,,$D$5&amp;"/"&amp;J$9)</t>
  </si>
  <si>
    <t>=GL(,"Balance",$C346,,$D$5&amp;"/"&amp;K$9)</t>
  </si>
  <si>
    <t>=GL(,"Balance",$C347,,$D$5&amp;"/"&amp;E$9)</t>
  </si>
  <si>
    <t>=GL(,"Balance",$C347,,$D$5&amp;"/"&amp;F$9)</t>
  </si>
  <si>
    <t>=GL(,"Balance",$C347,,$D$5&amp;"/"&amp;G$9)</t>
  </si>
  <si>
    <t>=GL(,"Balance",$C347,,$D$5&amp;"/"&amp;H$9)</t>
  </si>
  <si>
    <t>=GL(,"Balance",$C347,,$D$5&amp;"/"&amp;I$9)</t>
  </si>
  <si>
    <t>=GL(,"Balance",$C347,,$D$5&amp;"/"&amp;J$9)</t>
  </si>
  <si>
    <t>=GL(,"Balance",$C347,,$D$5&amp;"/"&amp;K$9)</t>
  </si>
  <si>
    <t>=GL(,"Balance",$C348,,$D$5&amp;"/"&amp;E$9)</t>
  </si>
  <si>
    <t>=GL(,"Balance",$C348,,$D$5&amp;"/"&amp;F$9)</t>
  </si>
  <si>
    <t>=GL(,"Balance",$C348,,$D$5&amp;"/"&amp;G$9)</t>
  </si>
  <si>
    <t>=GL(,"Balance",$C348,,$D$5&amp;"/"&amp;H$9)</t>
  </si>
  <si>
    <t>=GL(,"Balance",$C348,,$D$5&amp;"/"&amp;I$9)</t>
  </si>
  <si>
    <t>=GL(,"Balance",$C348,,$D$5&amp;"/"&amp;J$9)</t>
  </si>
  <si>
    <t>=GL(,"Balance",$C348,,$D$5&amp;"/"&amp;K$9)</t>
  </si>
  <si>
    <t>=GL(,"Balance",$C349,,$D$5&amp;"/"&amp;E$9)</t>
  </si>
  <si>
    <t>=GL(,"Balance",$C349,,$D$5&amp;"/"&amp;F$9)</t>
  </si>
  <si>
    <t>=GL(,"Balance",$C349,,$D$5&amp;"/"&amp;G$9)</t>
  </si>
  <si>
    <t>=GL(,"Balance",$C349,,$D$5&amp;"/"&amp;H$9)</t>
  </si>
  <si>
    <t>=GL(,"Balance",$C349,,$D$5&amp;"/"&amp;I$9)</t>
  </si>
  <si>
    <t>=GL(,"Balance",$C349,,$D$5&amp;"/"&amp;J$9)</t>
  </si>
  <si>
    <t>=GL(,"Balance",$C349,,$D$5&amp;"/"&amp;K$9)</t>
  </si>
  <si>
    <t>=GL(,"Balance",$C350,,$D$5&amp;"/"&amp;E$9)</t>
  </si>
  <si>
    <t>=GL(,"Balance",$C350,,$D$5&amp;"/"&amp;F$9)</t>
  </si>
  <si>
    <t>=GL(,"Balance",$C350,,$D$5&amp;"/"&amp;G$9)</t>
  </si>
  <si>
    <t>=GL(,"Balance",$C350,,$D$5&amp;"/"&amp;H$9)</t>
  </si>
  <si>
    <t>=GL(,"Balance",$C350,,$D$5&amp;"/"&amp;I$9)</t>
  </si>
  <si>
    <t>=GL(,"Balance",$C350,,$D$5&amp;"/"&amp;J$9)</t>
  </si>
  <si>
    <t>=GL(,"Balance",$C350,,$D$5&amp;"/"&amp;K$9)</t>
  </si>
  <si>
    <t>=GL(,"Balance",$C351,,$D$5&amp;"/"&amp;E$9)</t>
  </si>
  <si>
    <t>=GL(,"Balance",$C351,,$D$5&amp;"/"&amp;F$9)</t>
  </si>
  <si>
    <t>=GL(,"Balance",$C351,,$D$5&amp;"/"&amp;G$9)</t>
  </si>
  <si>
    <t>=GL(,"Balance",$C351,,$D$5&amp;"/"&amp;H$9)</t>
  </si>
  <si>
    <t>=GL(,"Balance",$C351,,$D$5&amp;"/"&amp;I$9)</t>
  </si>
  <si>
    <t>=GL(,"Balance",$C351,,$D$5&amp;"/"&amp;J$9)</t>
  </si>
  <si>
    <t>=GL(,"Balance",$C351,,$D$5&amp;"/"&amp;K$9)</t>
  </si>
  <si>
    <t>=GL(,"Balance",$C352,,$D$5&amp;"/"&amp;E$9)</t>
  </si>
  <si>
    <t>=GL(,"Balance",$C352,,$D$5&amp;"/"&amp;F$9)</t>
  </si>
  <si>
    <t>=GL(,"Balance",$C352,,$D$5&amp;"/"&amp;G$9)</t>
  </si>
  <si>
    <t>=GL(,"Balance",$C352,,$D$5&amp;"/"&amp;H$9)</t>
  </si>
  <si>
    <t>=GL(,"Balance",$C352,,$D$5&amp;"/"&amp;I$9)</t>
  </si>
  <si>
    <t>=GL(,"Balance",$C352,,$D$5&amp;"/"&amp;J$9)</t>
  </si>
  <si>
    <t>=GL(,"Balance",$C352,,$D$5&amp;"/"&amp;K$9)</t>
  </si>
  <si>
    <t>=GL(,"Balance",$C353,,$D$5&amp;"/"&amp;E$9)</t>
  </si>
  <si>
    <t>=GL(,"Balance",$C353,,$D$5&amp;"/"&amp;F$9)</t>
  </si>
  <si>
    <t>=GL(,"Balance",$C353,,$D$5&amp;"/"&amp;G$9)</t>
  </si>
  <si>
    <t>=GL(,"Balance",$C353,,$D$5&amp;"/"&amp;H$9)</t>
  </si>
  <si>
    <t>=GL(,"Balance",$C353,,$D$5&amp;"/"&amp;I$9)</t>
  </si>
  <si>
    <t>=GL(,"Balance",$C353,,$D$5&amp;"/"&amp;J$9)</t>
  </si>
  <si>
    <t>=GL(,"Balance",$C353,,$D$5&amp;"/"&amp;K$9)</t>
  </si>
  <si>
    <t>=GL(,"Balance",$C354,,$D$5&amp;"/"&amp;E$9)</t>
  </si>
  <si>
    <t>=GL(,"Balance",$C354,,$D$5&amp;"/"&amp;F$9)</t>
  </si>
  <si>
    <t>=GL(,"Balance",$C354,,$D$5&amp;"/"&amp;G$9)</t>
  </si>
  <si>
    <t>=GL(,"Balance",$C354,,$D$5&amp;"/"&amp;H$9)</t>
  </si>
  <si>
    <t>=GL(,"Balance",$C354,,$D$5&amp;"/"&amp;I$9)</t>
  </si>
  <si>
    <t>=GL(,"Balance",$C354,,$D$5&amp;"/"&amp;J$9)</t>
  </si>
  <si>
    <t>=GL(,"Balance",$C354,,$D$5&amp;"/"&amp;K$9)</t>
  </si>
  <si>
    <t>=GL(,"Balance",$C355,,$D$5&amp;"/"&amp;E$9)</t>
  </si>
  <si>
    <t>=GL(,"Balance",$C355,,$D$5&amp;"/"&amp;F$9)</t>
  </si>
  <si>
    <t>=GL(,"Balance",$C355,,$D$5&amp;"/"&amp;G$9)</t>
  </si>
  <si>
    <t>=GL(,"Balance",$C355,,$D$5&amp;"/"&amp;H$9)</t>
  </si>
  <si>
    <t>=GL(,"Balance",$C355,,$D$5&amp;"/"&amp;I$9)</t>
  </si>
  <si>
    <t>=GL(,"Balance",$C355,,$D$5&amp;"/"&amp;J$9)</t>
  </si>
  <si>
    <t>=GL(,"Balance",$C355,,$D$5&amp;"/"&amp;K$9)</t>
  </si>
  <si>
    <t>=GL(,"Balance",$C356,,$D$5&amp;"/"&amp;E$9)</t>
  </si>
  <si>
    <t>=GL(,"Balance",$C356,,$D$5&amp;"/"&amp;F$9)</t>
  </si>
  <si>
    <t>=GL(,"Balance",$C356,,$D$5&amp;"/"&amp;G$9)</t>
  </si>
  <si>
    <t>=GL(,"Balance",$C356,,$D$5&amp;"/"&amp;H$9)</t>
  </si>
  <si>
    <t>=GL(,"Balance",$C356,,$D$5&amp;"/"&amp;I$9)</t>
  </si>
  <si>
    <t>=GL(,"Balance",$C356,,$D$5&amp;"/"&amp;J$9)</t>
  </si>
  <si>
    <t>=GL(,"Balance",$C356,,$D$5&amp;"/"&amp;K$9)</t>
  </si>
  <si>
    <t>=GL(,"Balance",$C357,,$D$5&amp;"/"&amp;E$9)</t>
  </si>
  <si>
    <t>=GL(,"Balance",$C357,,$D$5&amp;"/"&amp;F$9)</t>
  </si>
  <si>
    <t>=GL(,"Balance",$C357,,$D$5&amp;"/"&amp;G$9)</t>
  </si>
  <si>
    <t>=GL(,"Balance",$C357,,$D$5&amp;"/"&amp;H$9)</t>
  </si>
  <si>
    <t>=GL(,"Balance",$C357,,$D$5&amp;"/"&amp;I$9)</t>
  </si>
  <si>
    <t>=GL(,"Balance",$C357,,$D$5&amp;"/"&amp;J$9)</t>
  </si>
  <si>
    <t>=GL(,"Balance",$C357,,$D$5&amp;"/"&amp;K$9)</t>
  </si>
  <si>
    <t>=GL(,"Balance",$C358,,$D$5&amp;"/"&amp;E$9)</t>
  </si>
  <si>
    <t>=GL(,"Balance",$C358,,$D$5&amp;"/"&amp;F$9)</t>
  </si>
  <si>
    <t>=GL(,"Balance",$C358,,$D$5&amp;"/"&amp;G$9)</t>
  </si>
  <si>
    <t>=GL(,"Balance",$C358,,$D$5&amp;"/"&amp;H$9)</t>
  </si>
  <si>
    <t>=GL(,"Balance",$C358,,$D$5&amp;"/"&amp;I$9)</t>
  </si>
  <si>
    <t>=GL(,"Balance",$C358,,$D$5&amp;"/"&amp;J$9)</t>
  </si>
  <si>
    <t>=GL(,"Balance",$C358,,$D$5&amp;"/"&amp;K$9)</t>
  </si>
  <si>
    <t>=GL(,"Balance",$C359,,$D$5&amp;"/"&amp;E$9)</t>
  </si>
  <si>
    <t>=GL(,"Balance",$C359,,$D$5&amp;"/"&amp;F$9)</t>
  </si>
  <si>
    <t>=GL(,"Balance",$C359,,$D$5&amp;"/"&amp;G$9)</t>
  </si>
  <si>
    <t>=GL(,"Balance",$C359,,$D$5&amp;"/"&amp;H$9)</t>
  </si>
  <si>
    <t>=GL(,"Balance",$C359,,$D$5&amp;"/"&amp;I$9)</t>
  </si>
  <si>
    <t>=GL(,"Balance",$C359,,$D$5&amp;"/"&amp;J$9)</t>
  </si>
  <si>
    <t>=GL(,"Balance",$C359,,$D$5&amp;"/"&amp;K$9)</t>
  </si>
  <si>
    <t>=GL(,"Balance",$C360,,$D$5&amp;"/"&amp;E$9)</t>
  </si>
  <si>
    <t>=GL(,"Balance",$C360,,$D$5&amp;"/"&amp;F$9)</t>
  </si>
  <si>
    <t>=GL(,"Balance",$C360,,$D$5&amp;"/"&amp;G$9)</t>
  </si>
  <si>
    <t>=GL(,"Balance",$C360,,$D$5&amp;"/"&amp;H$9)</t>
  </si>
  <si>
    <t>=GL(,"Balance",$C360,,$D$5&amp;"/"&amp;I$9)</t>
  </si>
  <si>
    <t>=GL(,"Balance",$C360,,$D$5&amp;"/"&amp;J$9)</t>
  </si>
  <si>
    <t>=GL(,"Balance",$C360,,$D$5&amp;"/"&amp;K$9)</t>
  </si>
  <si>
    <t>=GL(,"Balance",$C361,,$D$5&amp;"/"&amp;E$9)</t>
  </si>
  <si>
    <t>=GL(,"Balance",$C361,,$D$5&amp;"/"&amp;F$9)</t>
  </si>
  <si>
    <t>=GL(,"Balance",$C361,,$D$5&amp;"/"&amp;G$9)</t>
  </si>
  <si>
    <t>=GL(,"Balance",$C361,,$D$5&amp;"/"&amp;H$9)</t>
  </si>
  <si>
    <t>=GL(,"Balance",$C361,,$D$5&amp;"/"&amp;I$9)</t>
  </si>
  <si>
    <t>=GL(,"Balance",$C361,,$D$5&amp;"/"&amp;J$9)</t>
  </si>
  <si>
    <t>=GL(,"Balance",$C361,,$D$5&amp;"/"&amp;K$9)</t>
  </si>
  <si>
    <t>=GL(,"Balance",$C362,,$D$5&amp;"/"&amp;E$9)</t>
  </si>
  <si>
    <t>=GL(,"Balance",$C362,,$D$5&amp;"/"&amp;F$9)</t>
  </si>
  <si>
    <t>=GL(,"Balance",$C362,,$D$5&amp;"/"&amp;G$9)</t>
  </si>
  <si>
    <t>=GL(,"Balance",$C362,,$D$5&amp;"/"&amp;H$9)</t>
  </si>
  <si>
    <t>=GL(,"Balance",$C362,,$D$5&amp;"/"&amp;I$9)</t>
  </si>
  <si>
    <t>=GL(,"Balance",$C362,,$D$5&amp;"/"&amp;J$9)</t>
  </si>
  <si>
    <t>=GL(,"Balance",$C362,,$D$5&amp;"/"&amp;K$9)</t>
  </si>
  <si>
    <t>=GL(,"Balance",$C363,,$D$5&amp;"/"&amp;E$9)</t>
  </si>
  <si>
    <t>=GL(,"Balance",$C363,,$D$5&amp;"/"&amp;F$9)</t>
  </si>
  <si>
    <t>=GL(,"Balance",$C363,,$D$5&amp;"/"&amp;G$9)</t>
  </si>
  <si>
    <t>=GL(,"Balance",$C363,,$D$5&amp;"/"&amp;H$9)</t>
  </si>
  <si>
    <t>=GL(,"Balance",$C363,,$D$5&amp;"/"&amp;I$9)</t>
  </si>
  <si>
    <t>=GL(,"Balance",$C363,,$D$5&amp;"/"&amp;J$9)</t>
  </si>
  <si>
    <t>=GL(,"Balance",$C363,,$D$5&amp;"/"&amp;K$9)</t>
  </si>
  <si>
    <t>=GL(,"Balance",$C364,,$D$5&amp;"/"&amp;E$9)</t>
  </si>
  <si>
    <t>=GL(,"Balance",$C364,,$D$5&amp;"/"&amp;F$9)</t>
  </si>
  <si>
    <t>=GL(,"Balance",$C364,,$D$5&amp;"/"&amp;G$9)</t>
  </si>
  <si>
    <t>=GL(,"Balance",$C364,,$D$5&amp;"/"&amp;H$9)</t>
  </si>
  <si>
    <t>=GL(,"Balance",$C364,,$D$5&amp;"/"&amp;I$9)</t>
  </si>
  <si>
    <t>=GL(,"Balance",$C364,,$D$5&amp;"/"&amp;J$9)</t>
  </si>
  <si>
    <t>=GL(,"Balance",$C364,,$D$5&amp;"/"&amp;K$9)</t>
  </si>
  <si>
    <t>=GL(,"Balance",$C365,,$D$5&amp;"/"&amp;E$9)</t>
  </si>
  <si>
    <t>=GL(,"Balance",$C365,,$D$5&amp;"/"&amp;F$9)</t>
  </si>
  <si>
    <t>=GL(,"Balance",$C365,,$D$5&amp;"/"&amp;G$9)</t>
  </si>
  <si>
    <t>=GL(,"Balance",$C365,,$D$5&amp;"/"&amp;H$9)</t>
  </si>
  <si>
    <t>=GL(,"Balance",$C365,,$D$5&amp;"/"&amp;I$9)</t>
  </si>
  <si>
    <t>=GL(,"Balance",$C365,,$D$5&amp;"/"&amp;J$9)</t>
  </si>
  <si>
    <t>=GL(,"Balance",$C365,,$D$5&amp;"/"&amp;K$9)</t>
  </si>
  <si>
    <t>=GL(,"Balance",$C366,,$D$5&amp;"/"&amp;E$9)</t>
  </si>
  <si>
    <t>=GL(,"Balance",$C366,,$D$5&amp;"/"&amp;F$9)</t>
  </si>
  <si>
    <t>=GL(,"Balance",$C366,,$D$5&amp;"/"&amp;G$9)</t>
  </si>
  <si>
    <t>=GL(,"Balance",$C366,,$D$5&amp;"/"&amp;H$9)</t>
  </si>
  <si>
    <t>=GL(,"Balance",$C366,,$D$5&amp;"/"&amp;I$9)</t>
  </si>
  <si>
    <t>=GL(,"Balance",$C366,,$D$5&amp;"/"&amp;J$9)</t>
  </si>
  <si>
    <t>=GL(,"Balance",$C366,,$D$5&amp;"/"&amp;K$9)</t>
  </si>
  <si>
    <t>=GL(,"Balance",$C367,,$D$5&amp;"/"&amp;E$9)</t>
  </si>
  <si>
    <t>=GL(,"Balance",$C367,,$D$5&amp;"/"&amp;F$9)</t>
  </si>
  <si>
    <t>=GL(,"Balance",$C367,,$D$5&amp;"/"&amp;G$9)</t>
  </si>
  <si>
    <t>=GL(,"Balance",$C367,,$D$5&amp;"/"&amp;H$9)</t>
  </si>
  <si>
    <t>=GL(,"Balance",$C367,,$D$5&amp;"/"&amp;I$9)</t>
  </si>
  <si>
    <t>=GL(,"Balance",$C367,,$D$5&amp;"/"&amp;J$9)</t>
  </si>
  <si>
    <t>=GL(,"Balance",$C367,,$D$5&amp;"/"&amp;K$9)</t>
  </si>
  <si>
    <t>=GL(,"Balance",$C368,,$D$5&amp;"/"&amp;E$9)</t>
  </si>
  <si>
    <t>=GL(,"Balance",$C368,,$D$5&amp;"/"&amp;F$9)</t>
  </si>
  <si>
    <t>=GL(,"Balance",$C368,,$D$5&amp;"/"&amp;G$9)</t>
  </si>
  <si>
    <t>=GL(,"Balance",$C368,,$D$5&amp;"/"&amp;H$9)</t>
  </si>
  <si>
    <t>=GL(,"Balance",$C368,,$D$5&amp;"/"&amp;I$9)</t>
  </si>
  <si>
    <t>=GL(,"Balance",$C368,,$D$5&amp;"/"&amp;J$9)</t>
  </si>
  <si>
    <t>=GL(,"Balance",$C368,,$D$5&amp;"/"&amp;K$9)</t>
  </si>
  <si>
    <t>=GL(,"Balance",$C369,,$D$5&amp;"/"&amp;E$9)</t>
  </si>
  <si>
    <t>=GL(,"Balance",$C369,,$D$5&amp;"/"&amp;F$9)</t>
  </si>
  <si>
    <t>=GL(,"Balance",$C369,,$D$5&amp;"/"&amp;G$9)</t>
  </si>
  <si>
    <t>=GL(,"Balance",$C369,,$D$5&amp;"/"&amp;H$9)</t>
  </si>
  <si>
    <t>=GL(,"Balance",$C369,,$D$5&amp;"/"&amp;I$9)</t>
  </si>
  <si>
    <t>=GL(,"Balance",$C369,,$D$5&amp;"/"&amp;J$9)</t>
  </si>
  <si>
    <t>=GL(,"Balance",$C369,,$D$5&amp;"/"&amp;K$9)</t>
  </si>
  <si>
    <t>=GL(,"Balance",$C370,,$D$5&amp;"/"&amp;E$9)</t>
  </si>
  <si>
    <t>=GL(,"Balance",$C370,,$D$5&amp;"/"&amp;F$9)</t>
  </si>
  <si>
    <t>=GL(,"Balance",$C370,,$D$5&amp;"/"&amp;G$9)</t>
  </si>
  <si>
    <t>=GL(,"Balance",$C370,,$D$5&amp;"/"&amp;H$9)</t>
  </si>
  <si>
    <t>=GL(,"Balance",$C370,,$D$5&amp;"/"&amp;I$9)</t>
  </si>
  <si>
    <t>=GL(,"Balance",$C370,,$D$5&amp;"/"&amp;J$9)</t>
  </si>
  <si>
    <t>=GL(,"Balance",$C370,,$D$5&amp;"/"&amp;K$9)</t>
  </si>
  <si>
    <t>=GL(,"Balance",$C371,,$D$5&amp;"/"&amp;E$9)</t>
  </si>
  <si>
    <t>=GL(,"Balance",$C371,,$D$5&amp;"/"&amp;F$9)</t>
  </si>
  <si>
    <t>=GL(,"Balance",$C371,,$D$5&amp;"/"&amp;G$9)</t>
  </si>
  <si>
    <t>=GL(,"Balance",$C371,,$D$5&amp;"/"&amp;H$9)</t>
  </si>
  <si>
    <t>=GL(,"Balance",$C371,,$D$5&amp;"/"&amp;I$9)</t>
  </si>
  <si>
    <t>=GL(,"Balance",$C371,,$D$5&amp;"/"&amp;J$9)</t>
  </si>
  <si>
    <t>=GL(,"Balance",$C371,,$D$5&amp;"/"&amp;K$9)</t>
  </si>
  <si>
    <t>=GL(,"Balance",$C372,,$D$5&amp;"/"&amp;E$9)</t>
  </si>
  <si>
    <t>=GL(,"Balance",$C372,,$D$5&amp;"/"&amp;F$9)</t>
  </si>
  <si>
    <t>=GL(,"Balance",$C372,,$D$5&amp;"/"&amp;G$9)</t>
  </si>
  <si>
    <t>=GL(,"Balance",$C372,,$D$5&amp;"/"&amp;H$9)</t>
  </si>
  <si>
    <t>=GL(,"Balance",$C372,,$D$5&amp;"/"&amp;I$9)</t>
  </si>
  <si>
    <t>=GL(,"Balance",$C372,,$D$5&amp;"/"&amp;J$9)</t>
  </si>
  <si>
    <t>=GL(,"Balance",$C372,,$D$5&amp;"/"&amp;K$9)</t>
  </si>
  <si>
    <t>=GL(,"Balance",$C373,,$D$5&amp;"/"&amp;E$9)</t>
  </si>
  <si>
    <t>=GL(,"Balance",$C373,,$D$5&amp;"/"&amp;F$9)</t>
  </si>
  <si>
    <t>=GL(,"Balance",$C373,,$D$5&amp;"/"&amp;G$9)</t>
  </si>
  <si>
    <t>=GL(,"Balance",$C373,,$D$5&amp;"/"&amp;H$9)</t>
  </si>
  <si>
    <t>=GL(,"Balance",$C373,,$D$5&amp;"/"&amp;I$9)</t>
  </si>
  <si>
    <t>=GL(,"Balance",$C373,,$D$5&amp;"/"&amp;J$9)</t>
  </si>
  <si>
    <t>=GL(,"Balance",$C373,,$D$5&amp;"/"&amp;K$9)</t>
  </si>
  <si>
    <t>=GL(,"Balance",$C374,,$D$5&amp;"/"&amp;E$9)</t>
  </si>
  <si>
    <t>=GL(,"Balance",$C374,,$D$5&amp;"/"&amp;F$9)</t>
  </si>
  <si>
    <t>=GL(,"Balance",$C374,,$D$5&amp;"/"&amp;G$9)</t>
  </si>
  <si>
    <t>=GL(,"Balance",$C374,,$D$5&amp;"/"&amp;H$9)</t>
  </si>
  <si>
    <t>=GL(,"Balance",$C374,,$D$5&amp;"/"&amp;I$9)</t>
  </si>
  <si>
    <t>=GL(,"Balance",$C374,,$D$5&amp;"/"&amp;J$9)</t>
  </si>
  <si>
    <t>=GL(,"Balance",$C374,,$D$5&amp;"/"&amp;K$9)</t>
  </si>
  <si>
    <t>=GL(,"Balance",$C375,,$D$5&amp;"/"&amp;E$9)</t>
  </si>
  <si>
    <t>=GL(,"Balance",$C375,,$D$5&amp;"/"&amp;F$9)</t>
  </si>
  <si>
    <t>=GL(,"Balance",$C375,,$D$5&amp;"/"&amp;G$9)</t>
  </si>
  <si>
    <t>=GL(,"Balance",$C375,,$D$5&amp;"/"&amp;H$9)</t>
  </si>
  <si>
    <t>=GL(,"Balance",$C375,,$D$5&amp;"/"&amp;I$9)</t>
  </si>
  <si>
    <t>=GL(,"Balance",$C375,,$D$5&amp;"/"&amp;J$9)</t>
  </si>
  <si>
    <t>=GL(,"Balance",$C375,,$D$5&amp;"/"&amp;K$9)</t>
  </si>
  <si>
    <t>=GL(,"Balance",$C376,,$D$5&amp;"/"&amp;E$9)</t>
  </si>
  <si>
    <t>=GL(,"Balance",$C376,,$D$5&amp;"/"&amp;F$9)</t>
  </si>
  <si>
    <t>=GL(,"Balance",$C376,,$D$5&amp;"/"&amp;G$9)</t>
  </si>
  <si>
    <t>=GL(,"Balance",$C376,,$D$5&amp;"/"&amp;H$9)</t>
  </si>
  <si>
    <t>=GL(,"Balance",$C376,,$D$5&amp;"/"&amp;I$9)</t>
  </si>
  <si>
    <t>=GL(,"Balance",$C376,,$D$5&amp;"/"&amp;J$9)</t>
  </si>
  <si>
    <t>=GL(,"Balance",$C376,,$D$5&amp;"/"&amp;K$9)</t>
  </si>
  <si>
    <t>=GL(,"Balance",$C377,,$D$5&amp;"/"&amp;E$9)</t>
  </si>
  <si>
    <t>=GL(,"Balance",$C377,,$D$5&amp;"/"&amp;F$9)</t>
  </si>
  <si>
    <t>=GL(,"Balance",$C377,,$D$5&amp;"/"&amp;G$9)</t>
  </si>
  <si>
    <t>=GL(,"Balance",$C377,,$D$5&amp;"/"&amp;H$9)</t>
  </si>
  <si>
    <t>=GL(,"Balance",$C377,,$D$5&amp;"/"&amp;I$9)</t>
  </si>
  <si>
    <t>=GL(,"Balance",$C377,,$D$5&amp;"/"&amp;J$9)</t>
  </si>
  <si>
    <t>=GL(,"Balance",$C377,,$D$5&amp;"/"&amp;K$9)</t>
  </si>
  <si>
    <t>=GL(,"Balance",$C378,,$D$5&amp;"/"&amp;E$9)</t>
  </si>
  <si>
    <t>=GL(,"Balance",$C378,,$D$5&amp;"/"&amp;F$9)</t>
  </si>
  <si>
    <t>=GL(,"Balance",$C378,,$D$5&amp;"/"&amp;G$9)</t>
  </si>
  <si>
    <t>=GL(,"Balance",$C378,,$D$5&amp;"/"&amp;H$9)</t>
  </si>
  <si>
    <t>=GL(,"Balance",$C378,,$D$5&amp;"/"&amp;I$9)</t>
  </si>
  <si>
    <t>=GL(,"Balance",$C378,,$D$5&amp;"/"&amp;J$9)</t>
  </si>
  <si>
    <t>=GL(,"Balance",$C378,,$D$5&amp;"/"&amp;K$9)</t>
  </si>
  <si>
    <t>=GL(,"Balance",$C379,,$D$5&amp;"/"&amp;E$9)</t>
  </si>
  <si>
    <t>=GL(,"Balance",$C379,,$D$5&amp;"/"&amp;F$9)</t>
  </si>
  <si>
    <t>=GL(,"Balance",$C379,,$D$5&amp;"/"&amp;G$9)</t>
  </si>
  <si>
    <t>=GL(,"Balance",$C379,,$D$5&amp;"/"&amp;H$9)</t>
  </si>
  <si>
    <t>=GL(,"Balance",$C379,,$D$5&amp;"/"&amp;I$9)</t>
  </si>
  <si>
    <t>=GL(,"Balance",$C379,,$D$5&amp;"/"&amp;J$9)</t>
  </si>
  <si>
    <t>=GL(,"Balance",$C379,,$D$5&amp;"/"&amp;K$9)</t>
  </si>
  <si>
    <t>=GL(,"Balance",$C380,,$D$5&amp;"/"&amp;E$9)</t>
  </si>
  <si>
    <t>=GL(,"Balance",$C380,,$D$5&amp;"/"&amp;F$9)</t>
  </si>
  <si>
    <t>=GL(,"Balance",$C380,,$D$5&amp;"/"&amp;G$9)</t>
  </si>
  <si>
    <t>=GL(,"Balance",$C380,,$D$5&amp;"/"&amp;H$9)</t>
  </si>
  <si>
    <t>=GL(,"Balance",$C380,,$D$5&amp;"/"&amp;I$9)</t>
  </si>
  <si>
    <t>=GL(,"Balance",$C380,,$D$5&amp;"/"&amp;J$9)</t>
  </si>
  <si>
    <t>=GL(,"Balance",$C380,,$D$5&amp;"/"&amp;K$9)</t>
  </si>
  <si>
    <t>=GL(,"Balance",$C381,,$D$5&amp;"/"&amp;E$9)</t>
  </si>
  <si>
    <t>=GL(,"Balance",$C381,,$D$5&amp;"/"&amp;F$9)</t>
  </si>
  <si>
    <t>=GL(,"Balance",$C381,,$D$5&amp;"/"&amp;G$9)</t>
  </si>
  <si>
    <t>=GL(,"Balance",$C381,,$D$5&amp;"/"&amp;H$9)</t>
  </si>
  <si>
    <t>=GL(,"Balance",$C381,,$D$5&amp;"/"&amp;I$9)</t>
  </si>
  <si>
    <t>=GL(,"Balance",$C381,,$D$5&amp;"/"&amp;J$9)</t>
  </si>
  <si>
    <t>=GL(,"Balance",$C381,,$D$5&amp;"/"&amp;K$9)</t>
  </si>
  <si>
    <t>=GL(,"Balance",$C382,,$D$5&amp;"/"&amp;E$9)</t>
  </si>
  <si>
    <t>=GL(,"Balance",$C382,,$D$5&amp;"/"&amp;F$9)</t>
  </si>
  <si>
    <t>=GL(,"Balance",$C382,,$D$5&amp;"/"&amp;G$9)</t>
  </si>
  <si>
    <t>=GL(,"Balance",$C382,,$D$5&amp;"/"&amp;H$9)</t>
  </si>
  <si>
    <t>=GL(,"Balance",$C382,,$D$5&amp;"/"&amp;I$9)</t>
  </si>
  <si>
    <t>=GL(,"Balance",$C382,,$D$5&amp;"/"&amp;J$9)</t>
  </si>
  <si>
    <t>=GL(,"Balance",$C382,,$D$5&amp;"/"&amp;K$9)</t>
  </si>
  <si>
    <t>=GL(,"Balance",$C383,,$D$5&amp;"/"&amp;E$9)</t>
  </si>
  <si>
    <t>=GL(,"Balance",$C383,,$D$5&amp;"/"&amp;F$9)</t>
  </si>
  <si>
    <t>=GL(,"Balance",$C383,,$D$5&amp;"/"&amp;G$9)</t>
  </si>
  <si>
    <t>=GL(,"Balance",$C383,,$D$5&amp;"/"&amp;H$9)</t>
  </si>
  <si>
    <t>=GL(,"Balance",$C383,,$D$5&amp;"/"&amp;I$9)</t>
  </si>
  <si>
    <t>=GL(,"Balance",$C383,,$D$5&amp;"/"&amp;J$9)</t>
  </si>
  <si>
    <t>=GL(,"Balance",$C383,,$D$5&amp;"/"&amp;K$9)</t>
  </si>
  <si>
    <t>=GL(,"Balance",$C384,,$D$5&amp;"/"&amp;E$9)</t>
  </si>
  <si>
    <t>=GL(,"Balance",$C384,,$D$5&amp;"/"&amp;F$9)</t>
  </si>
  <si>
    <t>=GL(,"Balance",$C384,,$D$5&amp;"/"&amp;G$9)</t>
  </si>
  <si>
    <t>=GL(,"Balance",$C384,,$D$5&amp;"/"&amp;H$9)</t>
  </si>
  <si>
    <t>=GL(,"Balance",$C384,,$D$5&amp;"/"&amp;I$9)</t>
  </si>
  <si>
    <t>=GL(,"Balance",$C384,,$D$5&amp;"/"&amp;J$9)</t>
  </si>
  <si>
    <t>=GL(,"Balance",$C384,,$D$5&amp;"/"&amp;K$9)</t>
  </si>
  <si>
    <t>=GL(,"Balance",$C385,,$D$5&amp;"/"&amp;E$9)</t>
  </si>
  <si>
    <t>=GL(,"Balance",$C385,,$D$5&amp;"/"&amp;F$9)</t>
  </si>
  <si>
    <t>=GL(,"Balance",$C385,,$D$5&amp;"/"&amp;G$9)</t>
  </si>
  <si>
    <t>=GL(,"Balance",$C385,,$D$5&amp;"/"&amp;H$9)</t>
  </si>
  <si>
    <t>=GL(,"Balance",$C385,,$D$5&amp;"/"&amp;I$9)</t>
  </si>
  <si>
    <t>=GL(,"Balance",$C385,,$D$5&amp;"/"&amp;J$9)</t>
  </si>
  <si>
    <t>=GL(,"Balance",$C385,,$D$5&amp;"/"&amp;K$9)</t>
  </si>
  <si>
    <t>=GL(,"Balance",$C386,,$D$5&amp;"/"&amp;E$9)</t>
  </si>
  <si>
    <t>=GL(,"Balance",$C386,,$D$5&amp;"/"&amp;F$9)</t>
  </si>
  <si>
    <t>=GL(,"Balance",$C386,,$D$5&amp;"/"&amp;G$9)</t>
  </si>
  <si>
    <t>=GL(,"Balance",$C386,,$D$5&amp;"/"&amp;H$9)</t>
  </si>
  <si>
    <t>=GL(,"Balance",$C386,,$D$5&amp;"/"&amp;I$9)</t>
  </si>
  <si>
    <t>=GL(,"Balance",$C386,,$D$5&amp;"/"&amp;J$9)</t>
  </si>
  <si>
    <t>=GL(,"Balance",$C386,,$D$5&amp;"/"&amp;K$9)</t>
  </si>
  <si>
    <t>=GL(,"Balance",$C387,,$D$5&amp;"/"&amp;E$9)</t>
  </si>
  <si>
    <t>=GL(,"Balance",$C387,,$D$5&amp;"/"&amp;F$9)</t>
  </si>
  <si>
    <t>=GL(,"Balance",$C387,,$D$5&amp;"/"&amp;G$9)</t>
  </si>
  <si>
    <t>=GL(,"Balance",$C387,,$D$5&amp;"/"&amp;H$9)</t>
  </si>
  <si>
    <t>=GL(,"Balance",$C387,,$D$5&amp;"/"&amp;I$9)</t>
  </si>
  <si>
    <t>=GL(,"Balance",$C387,,$D$5&amp;"/"&amp;J$9)</t>
  </si>
  <si>
    <t>=GL(,"Balance",$C387,,$D$5&amp;"/"&amp;K$9)</t>
  </si>
  <si>
    <t>=GL(,"Balance",$C388,,$D$5&amp;"/"&amp;E$9)</t>
  </si>
  <si>
    <t>=GL(,"Balance",$C388,,$D$5&amp;"/"&amp;F$9)</t>
  </si>
  <si>
    <t>=GL(,"Balance",$C388,,$D$5&amp;"/"&amp;G$9)</t>
  </si>
  <si>
    <t>=GL(,"Balance",$C388,,$D$5&amp;"/"&amp;H$9)</t>
  </si>
  <si>
    <t>=GL(,"Balance",$C388,,$D$5&amp;"/"&amp;I$9)</t>
  </si>
  <si>
    <t>=GL(,"Balance",$C388,,$D$5&amp;"/"&amp;J$9)</t>
  </si>
  <si>
    <t>=GL(,"Balance",$C388,,$D$5&amp;"/"&amp;K$9)</t>
  </si>
  <si>
    <t>=GL(,"Balance",$C389,,$D$5&amp;"/"&amp;E$9)</t>
  </si>
  <si>
    <t>=GL(,"Balance",$C389,,$D$5&amp;"/"&amp;F$9)</t>
  </si>
  <si>
    <t>=GL(,"Balance",$C389,,$D$5&amp;"/"&amp;G$9)</t>
  </si>
  <si>
    <t>=GL(,"Balance",$C389,,$D$5&amp;"/"&amp;H$9)</t>
  </si>
  <si>
    <t>=GL(,"Balance",$C389,,$D$5&amp;"/"&amp;I$9)</t>
  </si>
  <si>
    <t>=GL(,"Balance",$C389,,$D$5&amp;"/"&amp;J$9)</t>
  </si>
  <si>
    <t>=GL(,"Balance",$C389,,$D$5&amp;"/"&amp;K$9)</t>
  </si>
  <si>
    <t>=GL(,"Balance",$C390,,$D$5&amp;"/"&amp;E$9)</t>
  </si>
  <si>
    <t>=GL(,"Balance",$C390,,$D$5&amp;"/"&amp;F$9)</t>
  </si>
  <si>
    <t>=GL(,"Balance",$C390,,$D$5&amp;"/"&amp;G$9)</t>
  </si>
  <si>
    <t>=GL(,"Balance",$C390,,$D$5&amp;"/"&amp;H$9)</t>
  </si>
  <si>
    <t>=GL(,"Balance",$C390,,$D$5&amp;"/"&amp;I$9)</t>
  </si>
  <si>
    <t>=GL(,"Balance",$C390,,$D$5&amp;"/"&amp;J$9)</t>
  </si>
  <si>
    <t>=GL(,"Balance",$C390,,$D$5&amp;"/"&amp;K$9)</t>
  </si>
  <si>
    <t>=GL(,"Balance",$C391,,$D$5&amp;"/"&amp;E$9)</t>
  </si>
  <si>
    <t>=GL(,"Balance",$C391,,$D$5&amp;"/"&amp;F$9)</t>
  </si>
  <si>
    <t>=GL(,"Balance",$C391,,$D$5&amp;"/"&amp;G$9)</t>
  </si>
  <si>
    <t>=GL(,"Balance",$C391,,$D$5&amp;"/"&amp;H$9)</t>
  </si>
  <si>
    <t>=GL(,"Balance",$C391,,$D$5&amp;"/"&amp;I$9)</t>
  </si>
  <si>
    <t>=GL(,"Balance",$C391,,$D$5&amp;"/"&amp;J$9)</t>
  </si>
  <si>
    <t>=GL(,"Balance",$C391,,$D$5&amp;"/"&amp;K$9)</t>
  </si>
  <si>
    <t>=GL(,"Balance",$C392,,$D$5&amp;"/"&amp;E$9)</t>
  </si>
  <si>
    <t>=GL(,"Balance",$C392,,$D$5&amp;"/"&amp;F$9)</t>
  </si>
  <si>
    <t>=GL(,"Balance",$C392,,$D$5&amp;"/"&amp;G$9)</t>
  </si>
  <si>
    <t>=GL(,"Balance",$C392,,$D$5&amp;"/"&amp;H$9)</t>
  </si>
  <si>
    <t>=GL(,"Balance",$C392,,$D$5&amp;"/"&amp;I$9)</t>
  </si>
  <si>
    <t>=GL(,"Balance",$C392,,$D$5&amp;"/"&amp;J$9)</t>
  </si>
  <si>
    <t>=GL(,"Balance",$C392,,$D$5&amp;"/"&amp;K$9)</t>
  </si>
  <si>
    <t>=GL(,"Balance",$C393,,$D$5&amp;"/"&amp;E$9)</t>
  </si>
  <si>
    <t>=GL(,"Balance",$C393,,$D$5&amp;"/"&amp;F$9)</t>
  </si>
  <si>
    <t>=GL(,"Balance",$C393,,$D$5&amp;"/"&amp;G$9)</t>
  </si>
  <si>
    <t>=GL(,"Balance",$C393,,$D$5&amp;"/"&amp;H$9)</t>
  </si>
  <si>
    <t>=GL(,"Balance",$C393,,$D$5&amp;"/"&amp;I$9)</t>
  </si>
  <si>
    <t>=GL(,"Balance",$C393,,$D$5&amp;"/"&amp;J$9)</t>
  </si>
  <si>
    <t>=GL(,"Balance",$C393,,$D$5&amp;"/"&amp;K$9)</t>
  </si>
  <si>
    <t>=GL(,"Balance",$C394,,$D$5&amp;"/"&amp;E$9)</t>
  </si>
  <si>
    <t>=GL(,"Balance",$C394,,$D$5&amp;"/"&amp;F$9)</t>
  </si>
  <si>
    <t>=GL(,"Balance",$C394,,$D$5&amp;"/"&amp;G$9)</t>
  </si>
  <si>
    <t>=GL(,"Balance",$C394,,$D$5&amp;"/"&amp;H$9)</t>
  </si>
  <si>
    <t>=GL(,"Balance",$C394,,$D$5&amp;"/"&amp;I$9)</t>
  </si>
  <si>
    <t>=GL(,"Balance",$C394,,$D$5&amp;"/"&amp;J$9)</t>
  </si>
  <si>
    <t>=GL(,"Balance",$C394,,$D$5&amp;"/"&amp;K$9)</t>
  </si>
  <si>
    <t>=GL(,"Balance",$C395,,$D$5&amp;"/"&amp;E$9)</t>
  </si>
  <si>
    <t>=GL(,"Balance",$C395,,$D$5&amp;"/"&amp;F$9)</t>
  </si>
  <si>
    <t>=GL(,"Balance",$C395,,$D$5&amp;"/"&amp;G$9)</t>
  </si>
  <si>
    <t>=GL(,"Balance",$C395,,$D$5&amp;"/"&amp;H$9)</t>
  </si>
  <si>
    <t>=GL(,"Balance",$C395,,$D$5&amp;"/"&amp;I$9)</t>
  </si>
  <si>
    <t>=GL(,"Balance",$C395,,$D$5&amp;"/"&amp;J$9)</t>
  </si>
  <si>
    <t>=GL(,"Balance",$C395,,$D$5&amp;"/"&amp;K$9)</t>
  </si>
  <si>
    <t>=GL(,"Balance",$C396,,$D$5&amp;"/"&amp;E$9)</t>
  </si>
  <si>
    <t>=GL(,"Balance",$C396,,$D$5&amp;"/"&amp;F$9)</t>
  </si>
  <si>
    <t>=GL(,"Balance",$C396,,$D$5&amp;"/"&amp;G$9)</t>
  </si>
  <si>
    <t>=GL(,"Balance",$C396,,$D$5&amp;"/"&amp;H$9)</t>
  </si>
  <si>
    <t>=GL(,"Balance",$C396,,$D$5&amp;"/"&amp;I$9)</t>
  </si>
  <si>
    <t>=GL(,"Balance",$C396,,$D$5&amp;"/"&amp;J$9)</t>
  </si>
  <si>
    <t>=GL(,"Balance",$C396,,$D$5&amp;"/"&amp;K$9)</t>
  </si>
  <si>
    <t>=GL(,"Balance",$C397,,$D$5&amp;"/"&amp;E$9)</t>
  </si>
  <si>
    <t>=GL(,"Balance",$C397,,$D$5&amp;"/"&amp;F$9)</t>
  </si>
  <si>
    <t>=GL(,"Balance",$C397,,$D$5&amp;"/"&amp;G$9)</t>
  </si>
  <si>
    <t>=GL(,"Balance",$C397,,$D$5&amp;"/"&amp;H$9)</t>
  </si>
  <si>
    <t>=GL(,"Balance",$C397,,$D$5&amp;"/"&amp;I$9)</t>
  </si>
  <si>
    <t>=GL(,"Balance",$C397,,$D$5&amp;"/"&amp;J$9)</t>
  </si>
  <si>
    <t>=GL(,"Balance",$C397,,$D$5&amp;"/"&amp;K$9)</t>
  </si>
  <si>
    <t>=GL(,"Balance",$C398,,$D$5&amp;"/"&amp;E$9)</t>
  </si>
  <si>
    <t>=GL(,"Balance",$C398,,$D$5&amp;"/"&amp;F$9)</t>
  </si>
  <si>
    <t>=GL(,"Balance",$C398,,$D$5&amp;"/"&amp;G$9)</t>
  </si>
  <si>
    <t>=GL(,"Balance",$C398,,$D$5&amp;"/"&amp;H$9)</t>
  </si>
  <si>
    <t>=GL(,"Balance",$C398,,$D$5&amp;"/"&amp;I$9)</t>
  </si>
  <si>
    <t>=GL(,"Balance",$C398,,$D$5&amp;"/"&amp;J$9)</t>
  </si>
  <si>
    <t>=GL(,"Balance",$C398,,$D$5&amp;"/"&amp;K$9)</t>
  </si>
  <si>
    <t>=GL(,"Balance",$C399,,$D$5&amp;"/"&amp;E$9)</t>
  </si>
  <si>
    <t>=GL(,"Balance",$C399,,$D$5&amp;"/"&amp;F$9)</t>
  </si>
  <si>
    <t>=GL(,"Balance",$C399,,$D$5&amp;"/"&amp;G$9)</t>
  </si>
  <si>
    <t>=GL(,"Balance",$C399,,$D$5&amp;"/"&amp;H$9)</t>
  </si>
  <si>
    <t>=GL(,"Balance",$C399,,$D$5&amp;"/"&amp;I$9)</t>
  </si>
  <si>
    <t>=GL(,"Balance",$C399,,$D$5&amp;"/"&amp;J$9)</t>
  </si>
  <si>
    <t>=GL(,"Balance",$C399,,$D$5&amp;"/"&amp;K$9)</t>
  </si>
  <si>
    <t>=GL(,"Balance",$C400,,$D$5&amp;"/"&amp;E$9)</t>
  </si>
  <si>
    <t>=GL(,"Balance",$C400,,$D$5&amp;"/"&amp;F$9)</t>
  </si>
  <si>
    <t>=GL(,"Balance",$C400,,$D$5&amp;"/"&amp;G$9)</t>
  </si>
  <si>
    <t>=GL(,"Balance",$C400,,$D$5&amp;"/"&amp;H$9)</t>
  </si>
  <si>
    <t>=GL(,"Balance",$C400,,$D$5&amp;"/"&amp;I$9)</t>
  </si>
  <si>
    <t>=GL(,"Balance",$C400,,$D$5&amp;"/"&amp;J$9)</t>
  </si>
  <si>
    <t>=GL(,"Balance",$C400,,$D$5&amp;"/"&amp;K$9)</t>
  </si>
  <si>
    <t>=GL(,"Balance",$C401,,$D$5&amp;"/"&amp;E$9)</t>
  </si>
  <si>
    <t>=GL(,"Balance",$C401,,$D$5&amp;"/"&amp;F$9)</t>
  </si>
  <si>
    <t>=GL(,"Balance",$C401,,$D$5&amp;"/"&amp;G$9)</t>
  </si>
  <si>
    <t>=GL(,"Balance",$C401,,$D$5&amp;"/"&amp;H$9)</t>
  </si>
  <si>
    <t>=GL(,"Balance",$C401,,$D$5&amp;"/"&amp;I$9)</t>
  </si>
  <si>
    <t>=GL(,"Balance",$C401,,$D$5&amp;"/"&amp;J$9)</t>
  </si>
  <si>
    <t>=GL(,"Balance",$C401,,$D$5&amp;"/"&amp;K$9)</t>
  </si>
  <si>
    <t>=GL(,"Balance",$C402,,$D$5&amp;"/"&amp;E$9)</t>
  </si>
  <si>
    <t>=GL(,"Balance",$C402,,$D$5&amp;"/"&amp;F$9)</t>
  </si>
  <si>
    <t>=GL(,"Balance",$C402,,$D$5&amp;"/"&amp;G$9)</t>
  </si>
  <si>
    <t>=GL(,"Balance",$C402,,$D$5&amp;"/"&amp;H$9)</t>
  </si>
  <si>
    <t>=GL(,"Balance",$C402,,$D$5&amp;"/"&amp;I$9)</t>
  </si>
  <si>
    <t>=GL(,"Balance",$C402,,$D$5&amp;"/"&amp;J$9)</t>
  </si>
  <si>
    <t>=GL(,"Balance",$C402,,$D$5&amp;"/"&amp;K$9)</t>
  </si>
  <si>
    <t>=GL(,"Balance",$C403,,$D$5&amp;"/"&amp;E$9)</t>
  </si>
  <si>
    <t>=GL(,"Balance",$C403,,$D$5&amp;"/"&amp;F$9)</t>
  </si>
  <si>
    <t>=GL(,"Balance",$C403,,$D$5&amp;"/"&amp;G$9)</t>
  </si>
  <si>
    <t>=GL(,"Balance",$C403,,$D$5&amp;"/"&amp;H$9)</t>
  </si>
  <si>
    <t>=GL(,"Balance",$C403,,$D$5&amp;"/"&amp;I$9)</t>
  </si>
  <si>
    <t>=GL(,"Balance",$C403,,$D$5&amp;"/"&amp;J$9)</t>
  </si>
  <si>
    <t>=GL(,"Balance",$C403,,$D$5&amp;"/"&amp;K$9)</t>
  </si>
  <si>
    <t>=GL(,"Balance",$C404,,$D$5&amp;"/"&amp;E$9)</t>
  </si>
  <si>
    <t>=GL(,"Balance",$C404,,$D$5&amp;"/"&amp;F$9)</t>
  </si>
  <si>
    <t>=GL(,"Balance",$C404,,$D$5&amp;"/"&amp;G$9)</t>
  </si>
  <si>
    <t>=GL(,"Balance",$C404,,$D$5&amp;"/"&amp;H$9)</t>
  </si>
  <si>
    <t>=GL(,"Balance",$C404,,$D$5&amp;"/"&amp;I$9)</t>
  </si>
  <si>
    <t>=GL(,"Balance",$C404,,$D$5&amp;"/"&amp;J$9)</t>
  </si>
  <si>
    <t>=GL(,"Balance",$C404,,$D$5&amp;"/"&amp;K$9)</t>
  </si>
  <si>
    <t>=GL(,"Balance",$C405,,$D$5&amp;"/"&amp;E$9)</t>
  </si>
  <si>
    <t>=GL(,"Balance",$C405,,$D$5&amp;"/"&amp;F$9)</t>
  </si>
  <si>
    <t>=GL(,"Balance",$C405,,$D$5&amp;"/"&amp;G$9)</t>
  </si>
  <si>
    <t>=GL(,"Balance",$C405,,$D$5&amp;"/"&amp;H$9)</t>
  </si>
  <si>
    <t>=GL(,"Balance",$C405,,$D$5&amp;"/"&amp;I$9)</t>
  </si>
  <si>
    <t>=GL(,"Balance",$C405,,$D$5&amp;"/"&amp;J$9)</t>
  </si>
  <si>
    <t>=GL(,"Balance",$C405,,$D$5&amp;"/"&amp;K$9)</t>
  </si>
  <si>
    <t>=GL(,"Balance",$C406,,$D$5&amp;"/"&amp;E$9)</t>
  </si>
  <si>
    <t>=GL(,"Balance",$C406,,$D$5&amp;"/"&amp;F$9)</t>
  </si>
  <si>
    <t>=GL(,"Balance",$C406,,$D$5&amp;"/"&amp;G$9)</t>
  </si>
  <si>
    <t>=GL(,"Balance",$C406,,$D$5&amp;"/"&amp;H$9)</t>
  </si>
  <si>
    <t>=GL(,"Balance",$C406,,$D$5&amp;"/"&amp;I$9)</t>
  </si>
  <si>
    <t>=GL(,"Balance",$C406,,$D$5&amp;"/"&amp;J$9)</t>
  </si>
  <si>
    <t>=GL(,"Balance",$C406,,$D$5&amp;"/"&amp;K$9)</t>
  </si>
  <si>
    <t>=GL(,"Balance",$C407,,$D$5&amp;"/"&amp;E$9)</t>
  </si>
  <si>
    <t>=GL(,"Balance",$C407,,$D$5&amp;"/"&amp;F$9)</t>
  </si>
  <si>
    <t>=GL(,"Balance",$C407,,$D$5&amp;"/"&amp;G$9)</t>
  </si>
  <si>
    <t>=GL(,"Balance",$C407,,$D$5&amp;"/"&amp;H$9)</t>
  </si>
  <si>
    <t>=GL(,"Balance",$C407,,$D$5&amp;"/"&amp;I$9)</t>
  </si>
  <si>
    <t>=GL(,"Balance",$C407,,$D$5&amp;"/"&amp;J$9)</t>
  </si>
  <si>
    <t>=GL(,"Balance",$C407,,$D$5&amp;"/"&amp;K$9)</t>
  </si>
  <si>
    <t>=GL(,"Balance",$C408,,$D$5&amp;"/"&amp;E$9)</t>
  </si>
  <si>
    <t>=GL(,"Balance",$C408,,$D$5&amp;"/"&amp;F$9)</t>
  </si>
  <si>
    <t>=GL(,"Balance",$C408,,$D$5&amp;"/"&amp;G$9)</t>
  </si>
  <si>
    <t>=GL(,"Balance",$C408,,$D$5&amp;"/"&amp;H$9)</t>
  </si>
  <si>
    <t>=GL(,"Balance",$C408,,$D$5&amp;"/"&amp;I$9)</t>
  </si>
  <si>
    <t>=GL(,"Balance",$C408,,$D$5&amp;"/"&amp;J$9)</t>
  </si>
  <si>
    <t>=GL(,"Balance",$C408,,$D$5&amp;"/"&amp;K$9)</t>
  </si>
  <si>
    <t>=GL(,"Balance",$C409,,$D$5&amp;"/"&amp;E$9)</t>
  </si>
  <si>
    <t>=GL(,"Balance",$C409,,$D$5&amp;"/"&amp;F$9)</t>
  </si>
  <si>
    <t>=GL(,"Balance",$C409,,$D$5&amp;"/"&amp;G$9)</t>
  </si>
  <si>
    <t>=GL(,"Balance",$C409,,$D$5&amp;"/"&amp;H$9)</t>
  </si>
  <si>
    <t>=GL(,"Balance",$C409,,$D$5&amp;"/"&amp;I$9)</t>
  </si>
  <si>
    <t>=GL(,"Balance",$C409,,$D$5&amp;"/"&amp;J$9)</t>
  </si>
  <si>
    <t>=GL(,"Balance",$C409,,$D$5&amp;"/"&amp;K$9)</t>
  </si>
  <si>
    <t>=GL(,"Balance",$C410,,$D$5&amp;"/"&amp;E$9)</t>
  </si>
  <si>
    <t>=GL(,"Balance",$C410,,$D$5&amp;"/"&amp;F$9)</t>
  </si>
  <si>
    <t>=GL(,"Balance",$C410,,$D$5&amp;"/"&amp;G$9)</t>
  </si>
  <si>
    <t>=GL(,"Balance",$C410,,$D$5&amp;"/"&amp;H$9)</t>
  </si>
  <si>
    <t>=GL(,"Balance",$C410,,$D$5&amp;"/"&amp;I$9)</t>
  </si>
  <si>
    <t>=GL(,"Balance",$C410,,$D$5&amp;"/"&amp;J$9)</t>
  </si>
  <si>
    <t>=GL(,"Balance",$C410,,$D$5&amp;"/"&amp;K$9)</t>
  </si>
  <si>
    <t>=GL(,"Balance",$C411,,$D$5&amp;"/"&amp;E$9)</t>
  </si>
  <si>
    <t>=GL(,"Balance",$C411,,$D$5&amp;"/"&amp;F$9)</t>
  </si>
  <si>
    <t>=GL(,"Balance",$C411,,$D$5&amp;"/"&amp;G$9)</t>
  </si>
  <si>
    <t>=GL(,"Balance",$C411,,$D$5&amp;"/"&amp;H$9)</t>
  </si>
  <si>
    <t>=GL(,"Balance",$C411,,$D$5&amp;"/"&amp;I$9)</t>
  </si>
  <si>
    <t>=GL(,"Balance",$C411,,$D$5&amp;"/"&amp;J$9)</t>
  </si>
  <si>
    <t>=GL(,"Balance",$C411,,$D$5&amp;"/"&amp;K$9)</t>
  </si>
  <si>
    <t>=GL(,"Balance",$C412,,$D$5&amp;"/"&amp;E$9)</t>
  </si>
  <si>
    <t>=GL(,"Balance",$C412,,$D$5&amp;"/"&amp;F$9)</t>
  </si>
  <si>
    <t>=GL(,"Balance",$C412,,$D$5&amp;"/"&amp;G$9)</t>
  </si>
  <si>
    <t>=GL(,"Balance",$C412,,$D$5&amp;"/"&amp;H$9)</t>
  </si>
  <si>
    <t>=GL(,"Balance",$C412,,$D$5&amp;"/"&amp;I$9)</t>
  </si>
  <si>
    <t>=GL(,"Balance",$C412,,$D$5&amp;"/"&amp;J$9)</t>
  </si>
  <si>
    <t>=GL(,"Balance",$C412,,$D$5&amp;"/"&amp;K$9)</t>
  </si>
  <si>
    <t>=GL(,"Balance",$C413,,$D$5&amp;"/"&amp;E$9)</t>
  </si>
  <si>
    <t>=GL(,"Balance",$C413,,$D$5&amp;"/"&amp;F$9)</t>
  </si>
  <si>
    <t>=GL(,"Balance",$C413,,$D$5&amp;"/"&amp;G$9)</t>
  </si>
  <si>
    <t>=GL(,"Balance",$C413,,$D$5&amp;"/"&amp;H$9)</t>
  </si>
  <si>
    <t>=GL(,"Balance",$C413,,$D$5&amp;"/"&amp;I$9)</t>
  </si>
  <si>
    <t>=GL(,"Balance",$C413,,$D$5&amp;"/"&amp;J$9)</t>
  </si>
  <si>
    <t>=GL(,"Balance",$C413,,$D$5&amp;"/"&amp;K$9)</t>
  </si>
  <si>
    <t>=GL(,"Balance",$C414,,$D$5&amp;"/"&amp;E$9)</t>
  </si>
  <si>
    <t>=GL(,"Balance",$C414,,$D$5&amp;"/"&amp;F$9)</t>
  </si>
  <si>
    <t>=GL(,"Balance",$C414,,$D$5&amp;"/"&amp;G$9)</t>
  </si>
  <si>
    <t>=GL(,"Balance",$C414,,$D$5&amp;"/"&amp;H$9)</t>
  </si>
  <si>
    <t>=GL(,"Balance",$C414,,$D$5&amp;"/"&amp;I$9)</t>
  </si>
  <si>
    <t>=GL(,"Balance",$C414,,$D$5&amp;"/"&amp;J$9)</t>
  </si>
  <si>
    <t>=GL(,"Balance",$C414,,$D$5&amp;"/"&amp;K$9)</t>
  </si>
  <si>
    <t>=GL(,"Balance",$C415,,$D$5&amp;"/"&amp;E$9)</t>
  </si>
  <si>
    <t>=GL(,"Balance",$C415,,$D$5&amp;"/"&amp;F$9)</t>
  </si>
  <si>
    <t>=GL(,"Balance",$C415,,$D$5&amp;"/"&amp;G$9)</t>
  </si>
  <si>
    <t>=GL(,"Balance",$C415,,$D$5&amp;"/"&amp;H$9)</t>
  </si>
  <si>
    <t>=GL(,"Balance",$C415,,$D$5&amp;"/"&amp;I$9)</t>
  </si>
  <si>
    <t>=GL(,"Balance",$C415,,$D$5&amp;"/"&amp;J$9)</t>
  </si>
  <si>
    <t>=GL(,"Balance",$C415,,$D$5&amp;"/"&amp;K$9)</t>
  </si>
  <si>
    <t>=GL(,"Balance",$C416,,$D$5&amp;"/"&amp;E$9)</t>
  </si>
  <si>
    <t>=GL(,"Balance",$C416,,$D$5&amp;"/"&amp;F$9)</t>
  </si>
  <si>
    <t>=GL(,"Balance",$C416,,$D$5&amp;"/"&amp;G$9)</t>
  </si>
  <si>
    <t>=GL(,"Balance",$C416,,$D$5&amp;"/"&amp;H$9)</t>
  </si>
  <si>
    <t>=GL(,"Balance",$C416,,$D$5&amp;"/"&amp;I$9)</t>
  </si>
  <si>
    <t>=GL(,"Balance",$C416,,$D$5&amp;"/"&amp;J$9)</t>
  </si>
  <si>
    <t>=GL(,"Balance",$C416,,$D$5&amp;"/"&amp;K$9)</t>
  </si>
  <si>
    <t>=GL(,"Balance",$C417,,$D$5&amp;"/"&amp;E$9)</t>
  </si>
  <si>
    <t>=GL(,"Balance",$C417,,$D$5&amp;"/"&amp;F$9)</t>
  </si>
  <si>
    <t>=GL(,"Balance",$C417,,$D$5&amp;"/"&amp;G$9)</t>
  </si>
  <si>
    <t>=GL(,"Balance",$C417,,$D$5&amp;"/"&amp;H$9)</t>
  </si>
  <si>
    <t>=GL(,"Balance",$C417,,$D$5&amp;"/"&amp;I$9)</t>
  </si>
  <si>
    <t>=GL(,"Balance",$C417,,$D$5&amp;"/"&amp;J$9)</t>
  </si>
  <si>
    <t>=GL(,"Balance",$C417,,$D$5&amp;"/"&amp;K$9)</t>
  </si>
  <si>
    <t>=GL(,"Balance",$C418,,$D$5&amp;"/"&amp;E$9)</t>
  </si>
  <si>
    <t>=GL(,"Balance",$C418,,$D$5&amp;"/"&amp;F$9)</t>
  </si>
  <si>
    <t>=GL(,"Balance",$C418,,$D$5&amp;"/"&amp;G$9)</t>
  </si>
  <si>
    <t>=GL(,"Balance",$C418,,$D$5&amp;"/"&amp;H$9)</t>
  </si>
  <si>
    <t>=GL(,"Balance",$C418,,$D$5&amp;"/"&amp;I$9)</t>
  </si>
  <si>
    <t>=GL(,"Balance",$C418,,$D$5&amp;"/"&amp;J$9)</t>
  </si>
  <si>
    <t>=GL(,"Balance",$C418,,$D$5&amp;"/"&amp;K$9)</t>
  </si>
  <si>
    <t>=GL(,"Balance",$C419,,$D$5&amp;"/"&amp;E$9)</t>
  </si>
  <si>
    <t>=GL(,"Balance",$C419,,$D$5&amp;"/"&amp;F$9)</t>
  </si>
  <si>
    <t>=GL(,"Balance",$C419,,$D$5&amp;"/"&amp;G$9)</t>
  </si>
  <si>
    <t>=GL(,"Balance",$C419,,$D$5&amp;"/"&amp;H$9)</t>
  </si>
  <si>
    <t>=GL(,"Balance",$C419,,$D$5&amp;"/"&amp;I$9)</t>
  </si>
  <si>
    <t>=GL(,"Balance",$C419,,$D$5&amp;"/"&amp;J$9)</t>
  </si>
  <si>
    <t>=GL(,"Balance",$C419,,$D$5&amp;"/"&amp;K$9)</t>
  </si>
  <si>
    <t>=GL(,"Balance",$C420,,$D$5&amp;"/"&amp;E$9)</t>
  </si>
  <si>
    <t>=GL(,"Balance",$C420,,$D$5&amp;"/"&amp;F$9)</t>
  </si>
  <si>
    <t>=GL(,"Balance",$C420,,$D$5&amp;"/"&amp;G$9)</t>
  </si>
  <si>
    <t>=GL(,"Balance",$C420,,$D$5&amp;"/"&amp;H$9)</t>
  </si>
  <si>
    <t>=GL(,"Balance",$C420,,$D$5&amp;"/"&amp;I$9)</t>
  </si>
  <si>
    <t>=GL(,"Balance",$C420,,$D$5&amp;"/"&amp;J$9)</t>
  </si>
  <si>
    <t>=GL(,"Balance",$C420,,$D$5&amp;"/"&amp;K$9)</t>
  </si>
  <si>
    <t>=GL(,"Balance",$C421,,$D$5&amp;"/"&amp;E$9)</t>
  </si>
  <si>
    <t>=GL(,"Balance",$C421,,$D$5&amp;"/"&amp;F$9)</t>
  </si>
  <si>
    <t>=GL(,"Balance",$C421,,$D$5&amp;"/"&amp;G$9)</t>
  </si>
  <si>
    <t>=GL(,"Balance",$C421,,$D$5&amp;"/"&amp;H$9)</t>
  </si>
  <si>
    <t>=GL(,"Balance",$C421,,$D$5&amp;"/"&amp;I$9)</t>
  </si>
  <si>
    <t>=GL(,"Balance",$C421,,$D$5&amp;"/"&amp;J$9)</t>
  </si>
  <si>
    <t>=GL(,"Balance",$C421,,$D$5&amp;"/"&amp;K$9)</t>
  </si>
  <si>
    <t>=GL(,"Balance",$C422,,$D$5&amp;"/"&amp;E$9)</t>
  </si>
  <si>
    <t>=GL(,"Balance",$C422,,$D$5&amp;"/"&amp;F$9)</t>
  </si>
  <si>
    <t>=GL(,"Balance",$C422,,$D$5&amp;"/"&amp;G$9)</t>
  </si>
  <si>
    <t>=GL(,"Balance",$C422,,$D$5&amp;"/"&amp;H$9)</t>
  </si>
  <si>
    <t>=GL(,"Balance",$C422,,$D$5&amp;"/"&amp;I$9)</t>
  </si>
  <si>
    <t>=GL(,"Balance",$C422,,$D$5&amp;"/"&amp;J$9)</t>
  </si>
  <si>
    <t>=GL(,"Balance",$C422,,$D$5&amp;"/"&amp;K$9)</t>
  </si>
  <si>
    <t>=GL(,"Balance",$C423,,$D$5&amp;"/"&amp;E$9)</t>
  </si>
  <si>
    <t>=GL(,"Balance",$C423,,$D$5&amp;"/"&amp;F$9)</t>
  </si>
  <si>
    <t>=GL(,"Balance",$C423,,$D$5&amp;"/"&amp;G$9)</t>
  </si>
  <si>
    <t>=GL(,"Balance",$C423,,$D$5&amp;"/"&amp;H$9)</t>
  </si>
  <si>
    <t>=GL(,"Balance",$C423,,$D$5&amp;"/"&amp;I$9)</t>
  </si>
  <si>
    <t>=GL(,"Balance",$C423,,$D$5&amp;"/"&amp;J$9)</t>
  </si>
  <si>
    <t>=GL(,"Balance",$C423,,$D$5&amp;"/"&amp;K$9)</t>
  </si>
  <si>
    <t>=GL(,"Balance",$C424,,$D$5&amp;"/"&amp;E$9)</t>
  </si>
  <si>
    <t>=GL(,"Balance",$C424,,$D$5&amp;"/"&amp;F$9)</t>
  </si>
  <si>
    <t>=GL(,"Balance",$C424,,$D$5&amp;"/"&amp;G$9)</t>
  </si>
  <si>
    <t>=GL(,"Balance",$C424,,$D$5&amp;"/"&amp;H$9)</t>
  </si>
  <si>
    <t>=GL(,"Balance",$C424,,$D$5&amp;"/"&amp;I$9)</t>
  </si>
  <si>
    <t>=GL(,"Balance",$C424,,$D$5&amp;"/"&amp;J$9)</t>
  </si>
  <si>
    <t>=GL(,"Balance",$C424,,$D$5&amp;"/"&amp;K$9)</t>
  </si>
  <si>
    <t>=GL(,"Balance",$C425,,$D$5&amp;"/"&amp;E$9)</t>
  </si>
  <si>
    <t>=GL(,"Balance",$C425,,$D$5&amp;"/"&amp;F$9)</t>
  </si>
  <si>
    <t>=GL(,"Balance",$C425,,$D$5&amp;"/"&amp;G$9)</t>
  </si>
  <si>
    <t>=GL(,"Balance",$C425,,$D$5&amp;"/"&amp;H$9)</t>
  </si>
  <si>
    <t>=GL(,"Balance",$C425,,$D$5&amp;"/"&amp;I$9)</t>
  </si>
  <si>
    <t>=GL(,"Balance",$C425,,$D$5&amp;"/"&amp;J$9)</t>
  </si>
  <si>
    <t>=GL(,"Balance",$C425,,$D$5&amp;"/"&amp;K$9)</t>
  </si>
  <si>
    <t>=GL(,"Balance",$C426,,$D$5&amp;"/"&amp;E$9)</t>
  </si>
  <si>
    <t>=GL(,"Balance",$C426,,$D$5&amp;"/"&amp;F$9)</t>
  </si>
  <si>
    <t>=GL(,"Balance",$C426,,$D$5&amp;"/"&amp;G$9)</t>
  </si>
  <si>
    <t>=GL(,"Balance",$C426,,$D$5&amp;"/"&amp;H$9)</t>
  </si>
  <si>
    <t>=GL(,"Balance",$C426,,$D$5&amp;"/"&amp;I$9)</t>
  </si>
  <si>
    <t>=GL(,"Balance",$C426,,$D$5&amp;"/"&amp;J$9)</t>
  </si>
  <si>
    <t>=GL(,"Balance",$C426,,$D$5&amp;"/"&amp;K$9)</t>
  </si>
  <si>
    <t>=GL(,"Balance",$C427,,$D$5&amp;"/"&amp;E$9)</t>
  </si>
  <si>
    <t>=GL(,"Balance",$C427,,$D$5&amp;"/"&amp;F$9)</t>
  </si>
  <si>
    <t>=GL(,"Balance",$C427,,$D$5&amp;"/"&amp;G$9)</t>
  </si>
  <si>
    <t>=GL(,"Balance",$C427,,$D$5&amp;"/"&amp;H$9)</t>
  </si>
  <si>
    <t>=GL(,"Balance",$C427,,$D$5&amp;"/"&amp;I$9)</t>
  </si>
  <si>
    <t>=GL(,"Balance",$C427,,$D$5&amp;"/"&amp;J$9)</t>
  </si>
  <si>
    <t>=GL(,"Balance",$C427,,$D$5&amp;"/"&amp;K$9)</t>
  </si>
  <si>
    <t>=GL(,"Balance",$C428,,$D$5&amp;"/"&amp;E$9)</t>
  </si>
  <si>
    <t>=GL(,"Balance",$C428,,$D$5&amp;"/"&amp;F$9)</t>
  </si>
  <si>
    <t>=GL(,"Balance",$C428,,$D$5&amp;"/"&amp;G$9)</t>
  </si>
  <si>
    <t>=GL(,"Balance",$C428,,$D$5&amp;"/"&amp;H$9)</t>
  </si>
  <si>
    <t>=GL(,"Balance",$C428,,$D$5&amp;"/"&amp;I$9)</t>
  </si>
  <si>
    <t>=GL(,"Balance",$C428,,$D$5&amp;"/"&amp;J$9)</t>
  </si>
  <si>
    <t>=GL(,"Balance",$C428,,$D$5&amp;"/"&amp;K$9)</t>
  </si>
  <si>
    <t>=GL(,"Balance",$C429,,$D$5&amp;"/"&amp;E$9)</t>
  </si>
  <si>
    <t>=GL(,"Balance",$C429,,$D$5&amp;"/"&amp;F$9)</t>
  </si>
  <si>
    <t>=GL(,"Balance",$C429,,$D$5&amp;"/"&amp;G$9)</t>
  </si>
  <si>
    <t>=GL(,"Balance",$C429,,$D$5&amp;"/"&amp;H$9)</t>
  </si>
  <si>
    <t>=GL(,"Balance",$C429,,$D$5&amp;"/"&amp;I$9)</t>
  </si>
  <si>
    <t>=GL(,"Balance",$C429,,$D$5&amp;"/"&amp;J$9)</t>
  </si>
  <si>
    <t>=GL(,"Balance",$C429,,$D$5&amp;"/"&amp;K$9)</t>
  </si>
  <si>
    <t>=GL(,"Balance",$C430,,$D$5&amp;"/"&amp;E$9)</t>
  </si>
  <si>
    <t>=GL(,"Balance",$C430,,$D$5&amp;"/"&amp;F$9)</t>
  </si>
  <si>
    <t>=GL(,"Balance",$C430,,$D$5&amp;"/"&amp;G$9)</t>
  </si>
  <si>
    <t>=GL(,"Balance",$C430,,$D$5&amp;"/"&amp;H$9)</t>
  </si>
  <si>
    <t>=GL(,"Balance",$C430,,$D$5&amp;"/"&amp;I$9)</t>
  </si>
  <si>
    <t>=GL(,"Balance",$C430,,$D$5&amp;"/"&amp;J$9)</t>
  </si>
  <si>
    <t>=GL(,"Balance",$C430,,$D$5&amp;"/"&amp;K$9)</t>
  </si>
  <si>
    <t>=GL(,"Balance",$C431,,$D$5&amp;"/"&amp;E$9)</t>
  </si>
  <si>
    <t>=GL(,"Balance",$C431,,$D$5&amp;"/"&amp;F$9)</t>
  </si>
  <si>
    <t>=GL(,"Balance",$C431,,$D$5&amp;"/"&amp;G$9)</t>
  </si>
  <si>
    <t>=GL(,"Balance",$C431,,$D$5&amp;"/"&amp;H$9)</t>
  </si>
  <si>
    <t>=GL(,"Balance",$C431,,$D$5&amp;"/"&amp;I$9)</t>
  </si>
  <si>
    <t>=GL(,"Balance",$C431,,$D$5&amp;"/"&amp;J$9)</t>
  </si>
  <si>
    <t>=GL(,"Balance",$C431,,$D$5&amp;"/"&amp;K$9)</t>
  </si>
  <si>
    <t>=GL(,"Balance",$C432,,$D$5&amp;"/"&amp;E$9)</t>
  </si>
  <si>
    <t>=GL(,"Balance",$C432,,$D$5&amp;"/"&amp;F$9)</t>
  </si>
  <si>
    <t>=GL(,"Balance",$C432,,$D$5&amp;"/"&amp;G$9)</t>
  </si>
  <si>
    <t>=GL(,"Balance",$C432,,$D$5&amp;"/"&amp;H$9)</t>
  </si>
  <si>
    <t>=GL(,"Balance",$C432,,$D$5&amp;"/"&amp;I$9)</t>
  </si>
  <si>
    <t>=GL(,"Balance",$C432,,$D$5&amp;"/"&amp;J$9)</t>
  </si>
  <si>
    <t>=GL(,"Balance",$C432,,$D$5&amp;"/"&amp;K$9)</t>
  </si>
  <si>
    <t>=GL(,"Balance",$C433,,$D$5&amp;"/"&amp;E$9)</t>
  </si>
  <si>
    <t>=GL(,"Balance",$C433,,$D$5&amp;"/"&amp;F$9)</t>
  </si>
  <si>
    <t>=GL(,"Balance",$C433,,$D$5&amp;"/"&amp;G$9)</t>
  </si>
  <si>
    <t>=GL(,"Balance",$C433,,$D$5&amp;"/"&amp;H$9)</t>
  </si>
  <si>
    <t>=GL(,"Balance",$C433,,$D$5&amp;"/"&amp;I$9)</t>
  </si>
  <si>
    <t>=GL(,"Balance",$C433,,$D$5&amp;"/"&amp;J$9)</t>
  </si>
  <si>
    <t>=GL(,"Balance",$C433,,$D$5&amp;"/"&amp;K$9)</t>
  </si>
  <si>
    <t>=GL(,"Balance",$C434,,$D$5&amp;"/"&amp;E$9)</t>
  </si>
  <si>
    <t>=GL(,"Balance",$C434,,$D$5&amp;"/"&amp;F$9)</t>
  </si>
  <si>
    <t>=GL(,"Balance",$C434,,$D$5&amp;"/"&amp;G$9)</t>
  </si>
  <si>
    <t>=GL(,"Balance",$C434,,$D$5&amp;"/"&amp;H$9)</t>
  </si>
  <si>
    <t>=GL(,"Balance",$C434,,$D$5&amp;"/"&amp;I$9)</t>
  </si>
  <si>
    <t>=GL(,"Balance",$C434,,$D$5&amp;"/"&amp;J$9)</t>
  </si>
  <si>
    <t>=GL(,"Balance",$C434,,$D$5&amp;"/"&amp;K$9)</t>
  </si>
  <si>
    <t>=GL(,"Balance",$C435,,$D$5&amp;"/"&amp;E$9)</t>
  </si>
  <si>
    <t>=GL(,"Balance",$C435,,$D$5&amp;"/"&amp;F$9)</t>
  </si>
  <si>
    <t>=GL(,"Balance",$C435,,$D$5&amp;"/"&amp;G$9)</t>
  </si>
  <si>
    <t>=GL(,"Balance",$C435,,$D$5&amp;"/"&amp;H$9)</t>
  </si>
  <si>
    <t>=GL(,"Balance",$C435,,$D$5&amp;"/"&amp;I$9)</t>
  </si>
  <si>
    <t>=GL(,"Balance",$C435,,$D$5&amp;"/"&amp;J$9)</t>
  </si>
  <si>
    <t>=GL(,"Balance",$C435,,$D$5&amp;"/"&amp;K$9)</t>
  </si>
  <si>
    <t>=GL(,"Balance",$C436,,$D$5&amp;"/"&amp;E$9)</t>
  </si>
  <si>
    <t>=GL(,"Balance",$C436,,$D$5&amp;"/"&amp;F$9)</t>
  </si>
  <si>
    <t>=GL(,"Balance",$C436,,$D$5&amp;"/"&amp;G$9)</t>
  </si>
  <si>
    <t>=GL(,"Balance",$C436,,$D$5&amp;"/"&amp;H$9)</t>
  </si>
  <si>
    <t>=GL(,"Balance",$C436,,$D$5&amp;"/"&amp;I$9)</t>
  </si>
  <si>
    <t>=GL(,"Balance",$C436,,$D$5&amp;"/"&amp;J$9)</t>
  </si>
  <si>
    <t>=GL(,"Balance",$C436,,$D$5&amp;"/"&amp;K$9)</t>
  </si>
  <si>
    <t>=GL(,"Balance",$C437,,$D$5&amp;"/"&amp;E$9)</t>
  </si>
  <si>
    <t>=GL(,"Balance",$C437,,$D$5&amp;"/"&amp;F$9)</t>
  </si>
  <si>
    <t>=GL(,"Balance",$C437,,$D$5&amp;"/"&amp;G$9)</t>
  </si>
  <si>
    <t>=GL(,"Balance",$C437,,$D$5&amp;"/"&amp;H$9)</t>
  </si>
  <si>
    <t>=GL(,"Balance",$C437,,$D$5&amp;"/"&amp;I$9)</t>
  </si>
  <si>
    <t>=GL(,"Balance",$C437,,$D$5&amp;"/"&amp;J$9)</t>
  </si>
  <si>
    <t>=GL(,"Balance",$C437,,$D$5&amp;"/"&amp;K$9)</t>
  </si>
  <si>
    <t>=GL(,"Balance",$C438,,$D$5&amp;"/"&amp;E$9)</t>
  </si>
  <si>
    <t>=GL(,"Balance",$C438,,$D$5&amp;"/"&amp;F$9)</t>
  </si>
  <si>
    <t>=GL(,"Balance",$C438,,$D$5&amp;"/"&amp;G$9)</t>
  </si>
  <si>
    <t>=GL(,"Balance",$C438,,$D$5&amp;"/"&amp;H$9)</t>
  </si>
  <si>
    <t>=GL(,"Balance",$C438,,$D$5&amp;"/"&amp;I$9)</t>
  </si>
  <si>
    <t>=GL(,"Balance",$C438,,$D$5&amp;"/"&amp;J$9)</t>
  </si>
  <si>
    <t>=GL(,"Balance",$C438,,$D$5&amp;"/"&amp;K$9)</t>
  </si>
  <si>
    <t>=GL(,"Balance",$C439,,$D$5&amp;"/"&amp;E$9)</t>
  </si>
  <si>
    <t>=GL(,"Balance",$C439,,$D$5&amp;"/"&amp;F$9)</t>
  </si>
  <si>
    <t>=GL(,"Balance",$C439,,$D$5&amp;"/"&amp;G$9)</t>
  </si>
  <si>
    <t>=GL(,"Balance",$C439,,$D$5&amp;"/"&amp;H$9)</t>
  </si>
  <si>
    <t>=GL(,"Balance",$C439,,$D$5&amp;"/"&amp;I$9)</t>
  </si>
  <si>
    <t>=GL(,"Balance",$C439,,$D$5&amp;"/"&amp;J$9)</t>
  </si>
  <si>
    <t>=GL(,"Balance",$C439,,$D$5&amp;"/"&amp;K$9)</t>
  </si>
  <si>
    <t>=GL(,"Balance",$C440,,$D$5&amp;"/"&amp;E$9)</t>
  </si>
  <si>
    <t>=GL(,"Balance",$C440,,$D$5&amp;"/"&amp;F$9)</t>
  </si>
  <si>
    <t>=GL(,"Balance",$C440,,$D$5&amp;"/"&amp;G$9)</t>
  </si>
  <si>
    <t>=GL(,"Balance",$C440,,$D$5&amp;"/"&amp;H$9)</t>
  </si>
  <si>
    <t>=GL(,"Balance",$C440,,$D$5&amp;"/"&amp;I$9)</t>
  </si>
  <si>
    <t>=GL(,"Balance",$C440,,$D$5&amp;"/"&amp;J$9)</t>
  </si>
  <si>
    <t>=GL(,"Balance",$C440,,$D$5&amp;"/"&amp;K$9)</t>
  </si>
  <si>
    <t>=GL(,"Balance",$C441,,$D$5&amp;"/"&amp;E$9)</t>
  </si>
  <si>
    <t>=GL(,"Balance",$C441,,$D$5&amp;"/"&amp;F$9)</t>
  </si>
  <si>
    <t>=GL(,"Balance",$C441,,$D$5&amp;"/"&amp;G$9)</t>
  </si>
  <si>
    <t>=GL(,"Balance",$C441,,$D$5&amp;"/"&amp;H$9)</t>
  </si>
  <si>
    <t>=GL(,"Balance",$C441,,$D$5&amp;"/"&amp;I$9)</t>
  </si>
  <si>
    <t>=GL(,"Balance",$C441,,$D$5&amp;"/"&amp;J$9)</t>
  </si>
  <si>
    <t>=GL(,"Balance",$C441,,$D$5&amp;"/"&amp;K$9)</t>
  </si>
  <si>
    <t>=GL(,"Balance",$C442,,$D$5&amp;"/"&amp;E$9)</t>
  </si>
  <si>
    <t>=GL(,"Balance",$C442,,$D$5&amp;"/"&amp;F$9)</t>
  </si>
  <si>
    <t>=GL(,"Balance",$C442,,$D$5&amp;"/"&amp;G$9)</t>
  </si>
  <si>
    <t>=GL(,"Balance",$C442,,$D$5&amp;"/"&amp;H$9)</t>
  </si>
  <si>
    <t>=GL(,"Balance",$C442,,$D$5&amp;"/"&amp;I$9)</t>
  </si>
  <si>
    <t>=GL(,"Balance",$C442,,$D$5&amp;"/"&amp;J$9)</t>
  </si>
  <si>
    <t>=GL(,"Balance",$C442,,$D$5&amp;"/"&amp;K$9)</t>
  </si>
  <si>
    <t>=GL(,"Balance",$C443,,$D$5&amp;"/"&amp;E$9)</t>
  </si>
  <si>
    <t>=GL(,"Balance",$C443,,$D$5&amp;"/"&amp;F$9)</t>
  </si>
  <si>
    <t>=GL(,"Balance",$C443,,$D$5&amp;"/"&amp;G$9)</t>
  </si>
  <si>
    <t>=GL(,"Balance",$C443,,$D$5&amp;"/"&amp;H$9)</t>
  </si>
  <si>
    <t>=GL(,"Balance",$C443,,$D$5&amp;"/"&amp;I$9)</t>
  </si>
  <si>
    <t>=GL(,"Balance",$C443,,$D$5&amp;"/"&amp;J$9)</t>
  </si>
  <si>
    <t>=GL(,"Balance",$C443,,$D$5&amp;"/"&amp;K$9)</t>
  </si>
  <si>
    <t>=GL(,"Balance",$C444,,$D$5&amp;"/"&amp;E$9)</t>
  </si>
  <si>
    <t>=GL(,"Balance",$C444,,$D$5&amp;"/"&amp;F$9)</t>
  </si>
  <si>
    <t>=GL(,"Balance",$C444,,$D$5&amp;"/"&amp;G$9)</t>
  </si>
  <si>
    <t>=GL(,"Balance",$C444,,$D$5&amp;"/"&amp;H$9)</t>
  </si>
  <si>
    <t>=GL(,"Balance",$C444,,$D$5&amp;"/"&amp;I$9)</t>
  </si>
  <si>
    <t>=GL(,"Balance",$C444,,$D$5&amp;"/"&amp;J$9)</t>
  </si>
  <si>
    <t>=GL(,"Balance",$C444,,$D$5&amp;"/"&amp;K$9)</t>
  </si>
  <si>
    <t>=GL(,"Balance",$C445,,$D$5&amp;"/"&amp;E$9)</t>
  </si>
  <si>
    <t>=GL(,"Balance",$C445,,$D$5&amp;"/"&amp;F$9)</t>
  </si>
  <si>
    <t>=GL(,"Balance",$C445,,$D$5&amp;"/"&amp;G$9)</t>
  </si>
  <si>
    <t>=GL(,"Balance",$C445,,$D$5&amp;"/"&amp;H$9)</t>
  </si>
  <si>
    <t>=GL(,"Balance",$C445,,$D$5&amp;"/"&amp;I$9)</t>
  </si>
  <si>
    <t>=GL(,"Balance",$C445,,$D$5&amp;"/"&amp;J$9)</t>
  </si>
  <si>
    <t>=GL(,"Balance",$C445,,$D$5&amp;"/"&amp;K$9)</t>
  </si>
  <si>
    <t>=GL(,"Balance",$C446,,$D$5&amp;"/"&amp;E$9)</t>
  </si>
  <si>
    <t>=GL(,"Balance",$C446,,$D$5&amp;"/"&amp;F$9)</t>
  </si>
  <si>
    <t>=GL(,"Balance",$C446,,$D$5&amp;"/"&amp;G$9)</t>
  </si>
  <si>
    <t>=GL(,"Balance",$C446,,$D$5&amp;"/"&amp;H$9)</t>
  </si>
  <si>
    <t>=GL(,"Balance",$C446,,$D$5&amp;"/"&amp;I$9)</t>
  </si>
  <si>
    <t>=GL(,"Balance",$C446,,$D$5&amp;"/"&amp;J$9)</t>
  </si>
  <si>
    <t>=GL(,"Balance",$C446,,$D$5&amp;"/"&amp;K$9)</t>
  </si>
  <si>
    <t>=GL(,"Balance",$C447,,$D$5&amp;"/"&amp;E$9)</t>
  </si>
  <si>
    <t>=GL(,"Balance",$C447,,$D$5&amp;"/"&amp;F$9)</t>
  </si>
  <si>
    <t>=GL(,"Balance",$C447,,$D$5&amp;"/"&amp;G$9)</t>
  </si>
  <si>
    <t>=GL(,"Balance",$C447,,$D$5&amp;"/"&amp;H$9)</t>
  </si>
  <si>
    <t>=GL(,"Balance",$C447,,$D$5&amp;"/"&amp;I$9)</t>
  </si>
  <si>
    <t>=GL(,"Balance",$C447,,$D$5&amp;"/"&amp;J$9)</t>
  </si>
  <si>
    <t>=GL(,"Balance",$C447,,$D$5&amp;"/"&amp;K$9)</t>
  </si>
  <si>
    <t>=GL(,"Balance",$C448,,$D$5&amp;"/"&amp;E$9)</t>
  </si>
  <si>
    <t>=GL(,"Balance",$C448,,$D$5&amp;"/"&amp;F$9)</t>
  </si>
  <si>
    <t>=GL(,"Balance",$C448,,$D$5&amp;"/"&amp;G$9)</t>
  </si>
  <si>
    <t>=GL(,"Balance",$C448,,$D$5&amp;"/"&amp;H$9)</t>
  </si>
  <si>
    <t>=GL(,"Balance",$C448,,$D$5&amp;"/"&amp;I$9)</t>
  </si>
  <si>
    <t>=GL(,"Balance",$C448,,$D$5&amp;"/"&amp;J$9)</t>
  </si>
  <si>
    <t>=GL(,"Balance",$C448,,$D$5&amp;"/"&amp;K$9)</t>
  </si>
  <si>
    <t>=GL(,"Balance",$C449,,$D$5&amp;"/"&amp;E$9)</t>
  </si>
  <si>
    <t>=GL(,"Balance",$C449,,$D$5&amp;"/"&amp;F$9)</t>
  </si>
  <si>
    <t>=GL(,"Balance",$C449,,$D$5&amp;"/"&amp;G$9)</t>
  </si>
  <si>
    <t>=GL(,"Balance",$C449,,$D$5&amp;"/"&amp;H$9)</t>
  </si>
  <si>
    <t>=GL(,"Balance",$C449,,$D$5&amp;"/"&amp;I$9)</t>
  </si>
  <si>
    <t>=GL(,"Balance",$C449,,$D$5&amp;"/"&amp;J$9)</t>
  </si>
  <si>
    <t>=GL(,"Balance",$C449,,$D$5&amp;"/"&amp;K$9)</t>
  </si>
  <si>
    <t>=GL(,"Balance",$C450,,$D$5&amp;"/"&amp;E$9)</t>
  </si>
  <si>
    <t>=GL(,"Balance",$C450,,$D$5&amp;"/"&amp;F$9)</t>
  </si>
  <si>
    <t>=GL(,"Balance",$C450,,$D$5&amp;"/"&amp;G$9)</t>
  </si>
  <si>
    <t>=GL(,"Balance",$C450,,$D$5&amp;"/"&amp;H$9)</t>
  </si>
  <si>
    <t>=GL(,"Balance",$C450,,$D$5&amp;"/"&amp;I$9)</t>
  </si>
  <si>
    <t>=GL(,"Balance",$C450,,$D$5&amp;"/"&amp;J$9)</t>
  </si>
  <si>
    <t>=GL(,"Balance",$C450,,$D$5&amp;"/"&amp;K$9)</t>
  </si>
  <si>
    <t>=GL(,"Balance",$C451,,$D$5&amp;"/"&amp;E$9)</t>
  </si>
  <si>
    <t>=GL(,"Balance",$C451,,$D$5&amp;"/"&amp;F$9)</t>
  </si>
  <si>
    <t>=GL(,"Balance",$C451,,$D$5&amp;"/"&amp;G$9)</t>
  </si>
  <si>
    <t>=GL(,"Balance",$C451,,$D$5&amp;"/"&amp;H$9)</t>
  </si>
  <si>
    <t>=GL(,"Balance",$C451,,$D$5&amp;"/"&amp;I$9)</t>
  </si>
  <si>
    <t>=GL(,"Balance",$C451,,$D$5&amp;"/"&amp;J$9)</t>
  </si>
  <si>
    <t>=GL(,"Balance",$C451,,$D$5&amp;"/"&amp;K$9)</t>
  </si>
  <si>
    <t>=GL(,"Balance",$C452,,$D$5&amp;"/"&amp;E$9)</t>
  </si>
  <si>
    <t>=GL(,"Balance",$C452,,$D$5&amp;"/"&amp;F$9)</t>
  </si>
  <si>
    <t>=GL(,"Balance",$C452,,$D$5&amp;"/"&amp;G$9)</t>
  </si>
  <si>
    <t>=GL(,"Balance",$C452,,$D$5&amp;"/"&amp;H$9)</t>
  </si>
  <si>
    <t>=GL(,"Balance",$C452,,$D$5&amp;"/"&amp;I$9)</t>
  </si>
  <si>
    <t>=GL(,"Balance",$C452,,$D$5&amp;"/"&amp;J$9)</t>
  </si>
  <si>
    <t>=GL(,"Balance",$C452,,$D$5&amp;"/"&amp;K$9)</t>
  </si>
  <si>
    <t>=GL(,"Balance",$C453,,$D$5&amp;"/"&amp;E$9)</t>
  </si>
  <si>
    <t>=GL(,"Balance",$C453,,$D$5&amp;"/"&amp;F$9)</t>
  </si>
  <si>
    <t>=GL(,"Balance",$C453,,$D$5&amp;"/"&amp;G$9)</t>
  </si>
  <si>
    <t>=GL(,"Balance",$C453,,$D$5&amp;"/"&amp;H$9)</t>
  </si>
  <si>
    <t>=GL(,"Balance",$C453,,$D$5&amp;"/"&amp;I$9)</t>
  </si>
  <si>
    <t>=GL(,"Balance",$C453,,$D$5&amp;"/"&amp;J$9)</t>
  </si>
  <si>
    <t>=GL(,"Balance",$C453,,$D$5&amp;"/"&amp;K$9)</t>
  </si>
  <si>
    <t>=GL(,"Balance",$C454,,$D$5&amp;"/"&amp;E$9)</t>
  </si>
  <si>
    <t>=GL(,"Balance",$C454,,$D$5&amp;"/"&amp;F$9)</t>
  </si>
  <si>
    <t>=GL(,"Balance",$C454,,$D$5&amp;"/"&amp;G$9)</t>
  </si>
  <si>
    <t>=GL(,"Balance",$C454,,$D$5&amp;"/"&amp;H$9)</t>
  </si>
  <si>
    <t>=GL(,"Balance",$C454,,$D$5&amp;"/"&amp;I$9)</t>
  </si>
  <si>
    <t>=GL(,"Balance",$C454,,$D$5&amp;"/"&amp;J$9)</t>
  </si>
  <si>
    <t>=GL(,"Balance",$C454,,$D$5&amp;"/"&amp;K$9)</t>
  </si>
  <si>
    <t>=GL(,"Balance",$C455,,$D$5&amp;"/"&amp;E$9)</t>
  </si>
  <si>
    <t>=GL(,"Balance",$C455,,$D$5&amp;"/"&amp;F$9)</t>
  </si>
  <si>
    <t>=GL(,"Balance",$C455,,$D$5&amp;"/"&amp;G$9)</t>
  </si>
  <si>
    <t>=GL(,"Balance",$C455,,$D$5&amp;"/"&amp;H$9)</t>
  </si>
  <si>
    <t>=GL(,"Balance",$C455,,$D$5&amp;"/"&amp;I$9)</t>
  </si>
  <si>
    <t>=GL(,"Balance",$C455,,$D$5&amp;"/"&amp;J$9)</t>
  </si>
  <si>
    <t>=GL(,"Balance",$C455,,$D$5&amp;"/"&amp;K$9)</t>
  </si>
  <si>
    <t>=GL(,"Balance",$C456,,$D$5&amp;"/"&amp;E$9)</t>
  </si>
  <si>
    <t>=GL(,"Balance",$C456,,$D$5&amp;"/"&amp;F$9)</t>
  </si>
  <si>
    <t>=GL(,"Balance",$C456,,$D$5&amp;"/"&amp;G$9)</t>
  </si>
  <si>
    <t>=GL(,"Balance",$C456,,$D$5&amp;"/"&amp;H$9)</t>
  </si>
  <si>
    <t>=GL(,"Balance",$C456,,$D$5&amp;"/"&amp;I$9)</t>
  </si>
  <si>
    <t>=GL(,"Balance",$C456,,$D$5&amp;"/"&amp;J$9)</t>
  </si>
  <si>
    <t>=GL(,"Balance",$C456,,$D$5&amp;"/"&amp;K$9)</t>
  </si>
  <si>
    <t>=GL(,"Balance",$C457,,$D$5&amp;"/"&amp;E$9)</t>
  </si>
  <si>
    <t>=GL(,"Balance",$C457,,$D$5&amp;"/"&amp;F$9)</t>
  </si>
  <si>
    <t>=GL(,"Balance",$C457,,$D$5&amp;"/"&amp;G$9)</t>
  </si>
  <si>
    <t>=GL(,"Balance",$C457,,$D$5&amp;"/"&amp;H$9)</t>
  </si>
  <si>
    <t>=GL(,"Balance",$C457,,$D$5&amp;"/"&amp;I$9)</t>
  </si>
  <si>
    <t>=GL(,"Balance",$C457,,$D$5&amp;"/"&amp;J$9)</t>
  </si>
  <si>
    <t>=GL(,"Balance",$C457,,$D$5&amp;"/"&amp;K$9)</t>
  </si>
  <si>
    <t>=GL(,"Balance",$C458,,$D$5&amp;"/"&amp;E$9)</t>
  </si>
  <si>
    <t>=GL(,"Balance",$C458,,$D$5&amp;"/"&amp;F$9)</t>
  </si>
  <si>
    <t>=GL(,"Balance",$C458,,$D$5&amp;"/"&amp;G$9)</t>
  </si>
  <si>
    <t>=GL(,"Balance",$C458,,$D$5&amp;"/"&amp;H$9)</t>
  </si>
  <si>
    <t>=GL(,"Balance",$C458,,$D$5&amp;"/"&amp;I$9)</t>
  </si>
  <si>
    <t>=GL(,"Balance",$C458,,$D$5&amp;"/"&amp;J$9)</t>
  </si>
  <si>
    <t>=GL(,"Balance",$C458,,$D$5&amp;"/"&amp;K$9)</t>
  </si>
  <si>
    <t>=GL(,"Balance",$C459,,$D$5&amp;"/"&amp;E$9)</t>
  </si>
  <si>
    <t>=GL(,"Balance",$C459,,$D$5&amp;"/"&amp;F$9)</t>
  </si>
  <si>
    <t>=GL(,"Balance",$C459,,$D$5&amp;"/"&amp;G$9)</t>
  </si>
  <si>
    <t>=GL(,"Balance",$C459,,$D$5&amp;"/"&amp;H$9)</t>
  </si>
  <si>
    <t>=GL(,"Balance",$C459,,$D$5&amp;"/"&amp;I$9)</t>
  </si>
  <si>
    <t>=GL(,"Balance",$C459,,$D$5&amp;"/"&amp;J$9)</t>
  </si>
  <si>
    <t>=GL(,"Balance",$C459,,$D$5&amp;"/"&amp;K$9)</t>
  </si>
  <si>
    <t>=GL(,"Balance",$C460,,$D$5&amp;"/"&amp;E$9)</t>
  </si>
  <si>
    <t>=GL(,"Balance",$C460,,$D$5&amp;"/"&amp;F$9)</t>
  </si>
  <si>
    <t>=GL(,"Balance",$C460,,$D$5&amp;"/"&amp;G$9)</t>
  </si>
  <si>
    <t>=GL(,"Balance",$C460,,$D$5&amp;"/"&amp;H$9)</t>
  </si>
  <si>
    <t>=GL(,"Balance",$C460,,$D$5&amp;"/"&amp;I$9)</t>
  </si>
  <si>
    <t>=GL(,"Balance",$C460,,$D$5&amp;"/"&amp;J$9)</t>
  </si>
  <si>
    <t>=GL(,"Balance",$C460,,$D$5&amp;"/"&amp;K$9)</t>
  </si>
  <si>
    <t>=GL(,"Balance",$C461,,$D$5&amp;"/"&amp;E$9)</t>
  </si>
  <si>
    <t>=GL(,"Balance",$C461,,$D$5&amp;"/"&amp;F$9)</t>
  </si>
  <si>
    <t>=GL(,"Balance",$C461,,$D$5&amp;"/"&amp;G$9)</t>
  </si>
  <si>
    <t>=GL(,"Balance",$C461,,$D$5&amp;"/"&amp;H$9)</t>
  </si>
  <si>
    <t>=GL(,"Balance",$C461,,$D$5&amp;"/"&amp;I$9)</t>
  </si>
  <si>
    <t>=GL(,"Balance",$C461,,$D$5&amp;"/"&amp;J$9)</t>
  </si>
  <si>
    <t>=GL(,"Balance",$C461,,$D$5&amp;"/"&amp;K$9)</t>
  </si>
  <si>
    <t>=GL(,"Balance",$C462,,$D$5&amp;"/"&amp;E$9)</t>
  </si>
  <si>
    <t>=GL(,"Balance",$C462,,$D$5&amp;"/"&amp;F$9)</t>
  </si>
  <si>
    <t>=GL(,"Balance",$C462,,$D$5&amp;"/"&amp;G$9)</t>
  </si>
  <si>
    <t>=GL(,"Balance",$C462,,$D$5&amp;"/"&amp;H$9)</t>
  </si>
  <si>
    <t>=GL(,"Balance",$C462,,$D$5&amp;"/"&amp;I$9)</t>
  </si>
  <si>
    <t>=GL(,"Balance",$C462,,$D$5&amp;"/"&amp;J$9)</t>
  </si>
  <si>
    <t>=GL(,"Balance",$C462,,$D$5&amp;"/"&amp;K$9)</t>
  </si>
  <si>
    <t>=GL(,"Balance",$C463,,$D$5&amp;"/"&amp;E$9)</t>
  </si>
  <si>
    <t>=GL(,"Balance",$C463,,$D$5&amp;"/"&amp;F$9)</t>
  </si>
  <si>
    <t>=GL(,"Balance",$C463,,$D$5&amp;"/"&amp;G$9)</t>
  </si>
  <si>
    <t>=GL(,"Balance",$C463,,$D$5&amp;"/"&amp;H$9)</t>
  </si>
  <si>
    <t>=GL(,"Balance",$C463,,$D$5&amp;"/"&amp;I$9)</t>
  </si>
  <si>
    <t>=GL(,"Balance",$C463,,$D$5&amp;"/"&amp;J$9)</t>
  </si>
  <si>
    <t>=GL(,"Balance",$C463,,$D$5&amp;"/"&amp;K$9)</t>
  </si>
  <si>
    <t>=GL(,"Balance",$C464,,$D$5&amp;"/"&amp;E$9)</t>
  </si>
  <si>
    <t>=GL(,"Balance",$C464,,$D$5&amp;"/"&amp;F$9)</t>
  </si>
  <si>
    <t>=GL(,"Balance",$C464,,$D$5&amp;"/"&amp;G$9)</t>
  </si>
  <si>
    <t>=GL(,"Balance",$C464,,$D$5&amp;"/"&amp;H$9)</t>
  </si>
  <si>
    <t>=GL(,"Balance",$C464,,$D$5&amp;"/"&amp;I$9)</t>
  </si>
  <si>
    <t>=GL(,"Balance",$C464,,$D$5&amp;"/"&amp;J$9)</t>
  </si>
  <si>
    <t>=GL(,"Balance",$C464,,$D$5&amp;"/"&amp;K$9)</t>
  </si>
  <si>
    <t>=GL(,"Balance",$C465,,$D$5&amp;"/"&amp;E$9)</t>
  </si>
  <si>
    <t>=GL(,"Balance",$C465,,$D$5&amp;"/"&amp;F$9)</t>
  </si>
  <si>
    <t>=GL(,"Balance",$C465,,$D$5&amp;"/"&amp;G$9)</t>
  </si>
  <si>
    <t>=GL(,"Balance",$C465,,$D$5&amp;"/"&amp;H$9)</t>
  </si>
  <si>
    <t>=GL(,"Balance",$C465,,$D$5&amp;"/"&amp;I$9)</t>
  </si>
  <si>
    <t>=GL(,"Balance",$C465,,$D$5&amp;"/"&amp;J$9)</t>
  </si>
  <si>
    <t>=GL(,"Balance",$C465,,$D$5&amp;"/"&amp;K$9)</t>
  </si>
  <si>
    <t>=GL(,"Balance",$C466,,$D$5&amp;"/"&amp;E$9)</t>
  </si>
  <si>
    <t>=GL(,"Balance",$C466,,$D$5&amp;"/"&amp;F$9)</t>
  </si>
  <si>
    <t>=GL(,"Balance",$C466,,$D$5&amp;"/"&amp;G$9)</t>
  </si>
  <si>
    <t>=GL(,"Balance",$C466,,$D$5&amp;"/"&amp;H$9)</t>
  </si>
  <si>
    <t>=GL(,"Balance",$C466,,$D$5&amp;"/"&amp;I$9)</t>
  </si>
  <si>
    <t>=GL(,"Balance",$C466,,$D$5&amp;"/"&amp;J$9)</t>
  </si>
  <si>
    <t>=GL(,"Balance",$C466,,$D$5&amp;"/"&amp;K$9)</t>
  </si>
  <si>
    <t>=GL(,"Balance",$C467,,$D$5&amp;"/"&amp;E$9)</t>
  </si>
  <si>
    <t>=GL(,"Balance",$C467,,$D$5&amp;"/"&amp;F$9)</t>
  </si>
  <si>
    <t>=GL(,"Balance",$C467,,$D$5&amp;"/"&amp;G$9)</t>
  </si>
  <si>
    <t>=GL(,"Balance",$C467,,$D$5&amp;"/"&amp;H$9)</t>
  </si>
  <si>
    <t>=GL(,"Balance",$C467,,$D$5&amp;"/"&amp;I$9)</t>
  </si>
  <si>
    <t>=GL(,"Balance",$C467,,$D$5&amp;"/"&amp;J$9)</t>
  </si>
  <si>
    <t>=GL(,"Balance",$C467,,$D$5&amp;"/"&amp;K$9)</t>
  </si>
  <si>
    <t>=GL(,"Balance",$C468,,$D$5&amp;"/"&amp;E$9)</t>
  </si>
  <si>
    <t>=GL(,"Balance",$C468,,$D$5&amp;"/"&amp;F$9)</t>
  </si>
  <si>
    <t>=GL(,"Balance",$C468,,$D$5&amp;"/"&amp;G$9)</t>
  </si>
  <si>
    <t>=GL(,"Balance",$C468,,$D$5&amp;"/"&amp;H$9)</t>
  </si>
  <si>
    <t>=GL(,"Balance",$C468,,$D$5&amp;"/"&amp;I$9)</t>
  </si>
  <si>
    <t>=GL(,"Balance",$C468,,$D$5&amp;"/"&amp;J$9)</t>
  </si>
  <si>
    <t>=GL(,"Balance",$C468,,$D$5&amp;"/"&amp;K$9)</t>
  </si>
  <si>
    <t>=GL(,"Balance",$C469,,$D$5&amp;"/"&amp;E$9)</t>
  </si>
  <si>
    <t>=GL(,"Balance",$C469,,$D$5&amp;"/"&amp;F$9)</t>
  </si>
  <si>
    <t>=GL(,"Balance",$C469,,$D$5&amp;"/"&amp;G$9)</t>
  </si>
  <si>
    <t>=GL(,"Balance",$C469,,$D$5&amp;"/"&amp;H$9)</t>
  </si>
  <si>
    <t>=GL(,"Balance",$C469,,$D$5&amp;"/"&amp;I$9)</t>
  </si>
  <si>
    <t>=GL(,"Balance",$C469,,$D$5&amp;"/"&amp;J$9)</t>
  </si>
  <si>
    <t>=GL(,"Balance",$C469,,$D$5&amp;"/"&amp;K$9)</t>
  </si>
  <si>
    <t>=GL(,"Balance",$C470,,$D$5&amp;"/"&amp;E$9)</t>
  </si>
  <si>
    <t>=GL(,"Balance",$C470,,$D$5&amp;"/"&amp;F$9)</t>
  </si>
  <si>
    <t>=GL(,"Balance",$C470,,$D$5&amp;"/"&amp;G$9)</t>
  </si>
  <si>
    <t>=GL(,"Balance",$C470,,$D$5&amp;"/"&amp;H$9)</t>
  </si>
  <si>
    <t>=GL(,"Balance",$C470,,$D$5&amp;"/"&amp;I$9)</t>
  </si>
  <si>
    <t>=GL(,"Balance",$C470,,$D$5&amp;"/"&amp;J$9)</t>
  </si>
  <si>
    <t>=GL(,"Balance",$C470,,$D$5&amp;"/"&amp;K$9)</t>
  </si>
  <si>
    <t>=GL(,"Balance",$C471,,$D$5&amp;"/"&amp;E$9)</t>
  </si>
  <si>
    <t>=GL(,"Balance",$C471,,$D$5&amp;"/"&amp;F$9)</t>
  </si>
  <si>
    <t>=GL(,"Balance",$C471,,$D$5&amp;"/"&amp;G$9)</t>
  </si>
  <si>
    <t>=GL(,"Balance",$C471,,$D$5&amp;"/"&amp;H$9)</t>
  </si>
  <si>
    <t>=GL(,"Balance",$C471,,$D$5&amp;"/"&amp;I$9)</t>
  </si>
  <si>
    <t>=GL(,"Balance",$C471,,$D$5&amp;"/"&amp;J$9)</t>
  </si>
  <si>
    <t>=GL(,"Balance",$C471,,$D$5&amp;"/"&amp;K$9)</t>
  </si>
  <si>
    <t>=GL(,"Balance",$C472,,$D$5&amp;"/"&amp;E$9)</t>
  </si>
  <si>
    <t>=GL(,"Balance",$C472,,$D$5&amp;"/"&amp;F$9)</t>
  </si>
  <si>
    <t>=GL(,"Balance",$C472,,$D$5&amp;"/"&amp;G$9)</t>
  </si>
  <si>
    <t>=GL(,"Balance",$C472,,$D$5&amp;"/"&amp;H$9)</t>
  </si>
  <si>
    <t>=GL(,"Balance",$C472,,$D$5&amp;"/"&amp;I$9)</t>
  </si>
  <si>
    <t>=GL(,"Balance",$C472,,$D$5&amp;"/"&amp;J$9)</t>
  </si>
  <si>
    <t>=GL(,"Balance",$C472,,$D$5&amp;"/"&amp;K$9)</t>
  </si>
  <si>
    <t>=GL(,"Balance",$C473,,$D$5&amp;"/"&amp;E$9)</t>
  </si>
  <si>
    <t>=GL(,"Balance",$C473,,$D$5&amp;"/"&amp;F$9)</t>
  </si>
  <si>
    <t>=GL(,"Balance",$C473,,$D$5&amp;"/"&amp;G$9)</t>
  </si>
  <si>
    <t>=GL(,"Balance",$C473,,$D$5&amp;"/"&amp;H$9)</t>
  </si>
  <si>
    <t>=GL(,"Balance",$C473,,$D$5&amp;"/"&amp;I$9)</t>
  </si>
  <si>
    <t>=GL(,"Balance",$C473,,$D$5&amp;"/"&amp;J$9)</t>
  </si>
  <si>
    <t>=GL(,"Balance",$C473,,$D$5&amp;"/"&amp;K$9)</t>
  </si>
  <si>
    <t>=GL(,"Balance",$C474,,$D$5&amp;"/"&amp;E$9)</t>
  </si>
  <si>
    <t>=GL(,"Balance",$C474,,$D$5&amp;"/"&amp;F$9)</t>
  </si>
  <si>
    <t>=GL(,"Balance",$C474,,$D$5&amp;"/"&amp;G$9)</t>
  </si>
  <si>
    <t>=GL(,"Balance",$C474,,$D$5&amp;"/"&amp;H$9)</t>
  </si>
  <si>
    <t>=GL(,"Balance",$C474,,$D$5&amp;"/"&amp;I$9)</t>
  </si>
  <si>
    <t>=GL(,"Balance",$C474,,$D$5&amp;"/"&amp;J$9)</t>
  </si>
  <si>
    <t>=GL(,"Balance",$C474,,$D$5&amp;"/"&amp;K$9)</t>
  </si>
  <si>
    <t>=GL(,"Balance",$C475,,$D$5&amp;"/"&amp;E$9)</t>
  </si>
  <si>
    <t>=GL(,"Balance",$C475,,$D$5&amp;"/"&amp;F$9)</t>
  </si>
  <si>
    <t>=GL(,"Balance",$C475,,$D$5&amp;"/"&amp;G$9)</t>
  </si>
  <si>
    <t>=GL(,"Balance",$C475,,$D$5&amp;"/"&amp;H$9)</t>
  </si>
  <si>
    <t>=GL(,"Balance",$C475,,$D$5&amp;"/"&amp;I$9)</t>
  </si>
  <si>
    <t>=GL(,"Balance",$C475,,$D$5&amp;"/"&amp;J$9)</t>
  </si>
  <si>
    <t>=GL(,"Balance",$C475,,$D$5&amp;"/"&amp;K$9)</t>
  </si>
  <si>
    <t>=GL(,"Balance",$C476,,$D$5&amp;"/"&amp;E$9)</t>
  </si>
  <si>
    <t>=GL(,"Balance",$C476,,$D$5&amp;"/"&amp;F$9)</t>
  </si>
  <si>
    <t>=GL(,"Balance",$C476,,$D$5&amp;"/"&amp;G$9)</t>
  </si>
  <si>
    <t>=GL(,"Balance",$C476,,$D$5&amp;"/"&amp;H$9)</t>
  </si>
  <si>
    <t>=GL(,"Balance",$C476,,$D$5&amp;"/"&amp;I$9)</t>
  </si>
  <si>
    <t>=GL(,"Balance",$C476,,$D$5&amp;"/"&amp;J$9)</t>
  </si>
  <si>
    <t>=GL(,"Balance",$C476,,$D$5&amp;"/"&amp;K$9)</t>
  </si>
  <si>
    <t>=GL(,"Balance",$C477,,$D$5&amp;"/"&amp;E$9)</t>
  </si>
  <si>
    <t>=GL(,"Balance",$C477,,$D$5&amp;"/"&amp;F$9)</t>
  </si>
  <si>
    <t>=GL(,"Balance",$C477,,$D$5&amp;"/"&amp;G$9)</t>
  </si>
  <si>
    <t>=GL(,"Balance",$C477,,$D$5&amp;"/"&amp;H$9)</t>
  </si>
  <si>
    <t>=GL(,"Balance",$C477,,$D$5&amp;"/"&amp;I$9)</t>
  </si>
  <si>
    <t>=GL(,"Balance",$C477,,$D$5&amp;"/"&amp;J$9)</t>
  </si>
  <si>
    <t>=GL(,"Balance",$C477,,$D$5&amp;"/"&amp;K$9)</t>
  </si>
  <si>
    <t>=GL(,"Balance",$C478,,$D$5&amp;"/"&amp;E$9)</t>
  </si>
  <si>
    <t>=GL(,"Balance",$C478,,$D$5&amp;"/"&amp;F$9)</t>
  </si>
  <si>
    <t>=GL(,"Balance",$C478,,$D$5&amp;"/"&amp;G$9)</t>
  </si>
  <si>
    <t>=GL(,"Balance",$C478,,$D$5&amp;"/"&amp;H$9)</t>
  </si>
  <si>
    <t>=GL(,"Balance",$C478,,$D$5&amp;"/"&amp;I$9)</t>
  </si>
  <si>
    <t>=GL(,"Balance",$C478,,$D$5&amp;"/"&amp;J$9)</t>
  </si>
  <si>
    <t>=GL(,"Balance",$C478,,$D$5&amp;"/"&amp;K$9)</t>
  </si>
  <si>
    <t>=GL(,"Balance",$C479,,$D$5&amp;"/"&amp;E$9)</t>
  </si>
  <si>
    <t>=GL(,"Balance",$C479,,$D$5&amp;"/"&amp;F$9)</t>
  </si>
  <si>
    <t>=GL(,"Balance",$C479,,$D$5&amp;"/"&amp;G$9)</t>
  </si>
  <si>
    <t>=GL(,"Balance",$C479,,$D$5&amp;"/"&amp;H$9)</t>
  </si>
  <si>
    <t>=GL(,"Balance",$C479,,$D$5&amp;"/"&amp;I$9)</t>
  </si>
  <si>
    <t>=GL(,"Balance",$C479,,$D$5&amp;"/"&amp;J$9)</t>
  </si>
  <si>
    <t>=GL(,"Balance",$C479,,$D$5&amp;"/"&amp;K$9)</t>
  </si>
  <si>
    <t>=GL(,"Balance",$C480,,$D$5&amp;"/"&amp;E$9)</t>
  </si>
  <si>
    <t>=GL(,"Balance",$C480,,$D$5&amp;"/"&amp;F$9)</t>
  </si>
  <si>
    <t>=GL(,"Balance",$C480,,$D$5&amp;"/"&amp;G$9)</t>
  </si>
  <si>
    <t>=GL(,"Balance",$C480,,$D$5&amp;"/"&amp;H$9)</t>
  </si>
  <si>
    <t>=GL(,"Balance",$C480,,$D$5&amp;"/"&amp;I$9)</t>
  </si>
  <si>
    <t>=GL(,"Balance",$C480,,$D$5&amp;"/"&amp;J$9)</t>
  </si>
  <si>
    <t>=GL(,"Balance",$C480,,$D$5&amp;"/"&amp;K$9)</t>
  </si>
  <si>
    <t>=GL(,"Balance",$C481,,$D$5&amp;"/"&amp;E$9)</t>
  </si>
  <si>
    <t>=GL(,"Balance",$C481,,$D$5&amp;"/"&amp;F$9)</t>
  </si>
  <si>
    <t>=GL(,"Balance",$C481,,$D$5&amp;"/"&amp;G$9)</t>
  </si>
  <si>
    <t>=GL(,"Balance",$C481,,$D$5&amp;"/"&amp;H$9)</t>
  </si>
  <si>
    <t>=GL(,"Balance",$C481,,$D$5&amp;"/"&amp;I$9)</t>
  </si>
  <si>
    <t>=GL(,"Balance",$C481,,$D$5&amp;"/"&amp;J$9)</t>
  </si>
  <si>
    <t>=GL(,"Balance",$C481,,$D$5&amp;"/"&amp;K$9)</t>
  </si>
  <si>
    <t>=GL(,"Balance",$C482,,$D$5&amp;"/"&amp;E$9)</t>
  </si>
  <si>
    <t>=GL(,"Balance",$C482,,$D$5&amp;"/"&amp;F$9)</t>
  </si>
  <si>
    <t>=GL(,"Balance",$C482,,$D$5&amp;"/"&amp;G$9)</t>
  </si>
  <si>
    <t>=GL(,"Balance",$C482,,$D$5&amp;"/"&amp;H$9)</t>
  </si>
  <si>
    <t>=GL(,"Balance",$C482,,$D$5&amp;"/"&amp;I$9)</t>
  </si>
  <si>
    <t>=GL(,"Balance",$C482,,$D$5&amp;"/"&amp;J$9)</t>
  </si>
  <si>
    <t>=GL(,"Balance",$C482,,$D$5&amp;"/"&amp;K$9)</t>
  </si>
  <si>
    <t>=GL(,"Balance",$C483,,$D$5&amp;"/"&amp;E$9)</t>
  </si>
  <si>
    <t>=GL(,"Balance",$C483,,$D$5&amp;"/"&amp;F$9)</t>
  </si>
  <si>
    <t>=GL(,"Balance",$C483,,$D$5&amp;"/"&amp;G$9)</t>
  </si>
  <si>
    <t>=GL(,"Balance",$C483,,$D$5&amp;"/"&amp;H$9)</t>
  </si>
  <si>
    <t>=GL(,"Balance",$C483,,$D$5&amp;"/"&amp;I$9)</t>
  </si>
  <si>
    <t>=GL(,"Balance",$C483,,$D$5&amp;"/"&amp;J$9)</t>
  </si>
  <si>
    <t>=GL(,"Balance",$C483,,$D$5&amp;"/"&amp;K$9)</t>
  </si>
  <si>
    <t>=GL(,"Balance",$C484,,$D$5&amp;"/"&amp;E$9)</t>
  </si>
  <si>
    <t>=GL(,"Balance",$C484,,$D$5&amp;"/"&amp;F$9)</t>
  </si>
  <si>
    <t>=GL(,"Balance",$C484,,$D$5&amp;"/"&amp;G$9)</t>
  </si>
  <si>
    <t>=GL(,"Balance",$C484,,$D$5&amp;"/"&amp;H$9)</t>
  </si>
  <si>
    <t>=GL(,"Balance",$C484,,$D$5&amp;"/"&amp;I$9)</t>
  </si>
  <si>
    <t>=GL(,"Balance",$C484,,$D$5&amp;"/"&amp;J$9)</t>
  </si>
  <si>
    <t>=GL(,"Balance",$C484,,$D$5&amp;"/"&amp;K$9)</t>
  </si>
  <si>
    <t>=GL(,"Balance",$C485,,$D$5&amp;"/"&amp;E$9)</t>
  </si>
  <si>
    <t>=GL(,"Balance",$C485,,$D$5&amp;"/"&amp;F$9)</t>
  </si>
  <si>
    <t>=GL(,"Balance",$C485,,$D$5&amp;"/"&amp;G$9)</t>
  </si>
  <si>
    <t>=GL(,"Balance",$C485,,$D$5&amp;"/"&amp;H$9)</t>
  </si>
  <si>
    <t>=GL(,"Balance",$C485,,$D$5&amp;"/"&amp;I$9)</t>
  </si>
  <si>
    <t>=GL(,"Balance",$C485,,$D$5&amp;"/"&amp;J$9)</t>
  </si>
  <si>
    <t>=GL(,"Balance",$C485,,$D$5&amp;"/"&amp;K$9)</t>
  </si>
  <si>
    <t>=GL(,"Balance",$C486,,$D$5&amp;"/"&amp;E$9)</t>
  </si>
  <si>
    <t>=GL(,"Balance",$C486,,$D$5&amp;"/"&amp;F$9)</t>
  </si>
  <si>
    <t>=GL(,"Balance",$C486,,$D$5&amp;"/"&amp;G$9)</t>
  </si>
  <si>
    <t>=GL(,"Balance",$C486,,$D$5&amp;"/"&amp;H$9)</t>
  </si>
  <si>
    <t>=GL(,"Balance",$C486,,$D$5&amp;"/"&amp;I$9)</t>
  </si>
  <si>
    <t>=GL(,"Balance",$C486,,$D$5&amp;"/"&amp;J$9)</t>
  </si>
  <si>
    <t>=GL(,"Balance",$C486,,$D$5&amp;"/"&amp;K$9)</t>
  </si>
  <si>
    <t>=GL(,"Balance",$C487,,$D$5&amp;"/"&amp;E$9)</t>
  </si>
  <si>
    <t>=GL(,"Balance",$C487,,$D$5&amp;"/"&amp;F$9)</t>
  </si>
  <si>
    <t>=GL(,"Balance",$C487,,$D$5&amp;"/"&amp;G$9)</t>
  </si>
  <si>
    <t>=GL(,"Balance",$C487,,$D$5&amp;"/"&amp;H$9)</t>
  </si>
  <si>
    <t>=GL(,"Balance",$C487,,$D$5&amp;"/"&amp;I$9)</t>
  </si>
  <si>
    <t>=GL(,"Balance",$C487,,$D$5&amp;"/"&amp;J$9)</t>
  </si>
  <si>
    <t>=GL(,"Balance",$C487,,$D$5&amp;"/"&amp;K$9)</t>
  </si>
  <si>
    <t>=GL(,"Balance",$C488,,$D$5&amp;"/"&amp;E$9)</t>
  </si>
  <si>
    <t>=GL(,"Balance",$C488,,$D$5&amp;"/"&amp;F$9)</t>
  </si>
  <si>
    <t>=GL(,"Balance",$C488,,$D$5&amp;"/"&amp;G$9)</t>
  </si>
  <si>
    <t>=GL(,"Balance",$C488,,$D$5&amp;"/"&amp;H$9)</t>
  </si>
  <si>
    <t>=GL(,"Balance",$C488,,$D$5&amp;"/"&amp;I$9)</t>
  </si>
  <si>
    <t>=GL(,"Balance",$C488,,$D$5&amp;"/"&amp;J$9)</t>
  </si>
  <si>
    <t>=GL(,"Balance",$C488,,$D$5&amp;"/"&amp;K$9)</t>
  </si>
  <si>
    <t>=GL(,"Balance",$C489,,$D$5&amp;"/"&amp;E$9)</t>
  </si>
  <si>
    <t>=GL(,"Balance",$C489,,$D$5&amp;"/"&amp;F$9)</t>
  </si>
  <si>
    <t>=GL(,"Balance",$C489,,$D$5&amp;"/"&amp;G$9)</t>
  </si>
  <si>
    <t>=GL(,"Balance",$C489,,$D$5&amp;"/"&amp;H$9)</t>
  </si>
  <si>
    <t>=GL(,"Balance",$C489,,$D$5&amp;"/"&amp;I$9)</t>
  </si>
  <si>
    <t>=GL(,"Balance",$C489,,$D$5&amp;"/"&amp;J$9)</t>
  </si>
  <si>
    <t>=GL(,"Balance",$C489,,$D$5&amp;"/"&amp;K$9)</t>
  </si>
  <si>
    <t>=GL(,"Balance",$C490,,$D$5&amp;"/"&amp;E$9)</t>
  </si>
  <si>
    <t>=GL(,"Balance",$C490,,$D$5&amp;"/"&amp;F$9)</t>
  </si>
  <si>
    <t>=GL(,"Balance",$C490,,$D$5&amp;"/"&amp;G$9)</t>
  </si>
  <si>
    <t>=GL(,"Balance",$C490,,$D$5&amp;"/"&amp;H$9)</t>
  </si>
  <si>
    <t>=GL(,"Balance",$C490,,$D$5&amp;"/"&amp;I$9)</t>
  </si>
  <si>
    <t>=GL(,"Balance",$C490,,$D$5&amp;"/"&amp;J$9)</t>
  </si>
  <si>
    <t>=GL(,"Balance",$C490,,$D$5&amp;"/"&amp;K$9)</t>
  </si>
  <si>
    <t>=GL(,"Balance",$C491,,$D$5&amp;"/"&amp;E$9)</t>
  </si>
  <si>
    <t>=GL(,"Balance",$C491,,$D$5&amp;"/"&amp;F$9)</t>
  </si>
  <si>
    <t>=GL(,"Balance",$C491,,$D$5&amp;"/"&amp;G$9)</t>
  </si>
  <si>
    <t>=GL(,"Balance",$C491,,$D$5&amp;"/"&amp;H$9)</t>
  </si>
  <si>
    <t>=GL(,"Balance",$C491,,$D$5&amp;"/"&amp;I$9)</t>
  </si>
  <si>
    <t>=GL(,"Balance",$C491,,$D$5&amp;"/"&amp;J$9)</t>
  </si>
  <si>
    <t>=GL(,"Balance",$C491,,$D$5&amp;"/"&amp;K$9)</t>
  </si>
  <si>
    <t>=GL(,"Balance",$C492,,$D$5&amp;"/"&amp;E$9)</t>
  </si>
  <si>
    <t>=GL(,"Balance",$C492,,$D$5&amp;"/"&amp;F$9)</t>
  </si>
  <si>
    <t>=GL(,"Balance",$C492,,$D$5&amp;"/"&amp;G$9)</t>
  </si>
  <si>
    <t>=GL(,"Balance",$C492,,$D$5&amp;"/"&amp;H$9)</t>
  </si>
  <si>
    <t>=GL(,"Balance",$C492,,$D$5&amp;"/"&amp;I$9)</t>
  </si>
  <si>
    <t>=GL(,"Balance",$C492,,$D$5&amp;"/"&amp;J$9)</t>
  </si>
  <si>
    <t>=GL(,"Balance",$C492,,$D$5&amp;"/"&amp;K$9)</t>
  </si>
  <si>
    <t>=GL(,"Balance",$C493,,$D$5&amp;"/"&amp;E$9)</t>
  </si>
  <si>
    <t>=GL(,"Balance",$C493,,$D$5&amp;"/"&amp;F$9)</t>
  </si>
  <si>
    <t>=GL(,"Balance",$C493,,$D$5&amp;"/"&amp;G$9)</t>
  </si>
  <si>
    <t>=GL(,"Balance",$C493,,$D$5&amp;"/"&amp;H$9)</t>
  </si>
  <si>
    <t>=GL(,"Balance",$C493,,$D$5&amp;"/"&amp;I$9)</t>
  </si>
  <si>
    <t>=GL(,"Balance",$C493,,$D$5&amp;"/"&amp;J$9)</t>
  </si>
  <si>
    <t>=GL(,"Balance",$C493,,$D$5&amp;"/"&amp;K$9)</t>
  </si>
  <si>
    <t>=GL(,"Balance",$C494,,$D$5&amp;"/"&amp;E$9)</t>
  </si>
  <si>
    <t>=GL(,"Balance",$C494,,$D$5&amp;"/"&amp;F$9)</t>
  </si>
  <si>
    <t>=GL(,"Balance",$C494,,$D$5&amp;"/"&amp;G$9)</t>
  </si>
  <si>
    <t>=GL(,"Balance",$C494,,$D$5&amp;"/"&amp;H$9)</t>
  </si>
  <si>
    <t>=GL(,"Balance",$C494,,$D$5&amp;"/"&amp;I$9)</t>
  </si>
  <si>
    <t>=GL(,"Balance",$C494,,$D$5&amp;"/"&amp;J$9)</t>
  </si>
  <si>
    <t>=GL(,"Balance",$C494,,$D$5&amp;"/"&amp;K$9)</t>
  </si>
  <si>
    <t>=GL(,"Balance",$C495,,$D$5&amp;"/"&amp;E$9)</t>
  </si>
  <si>
    <t>=GL(,"Balance",$C495,,$D$5&amp;"/"&amp;F$9)</t>
  </si>
  <si>
    <t>=GL(,"Balance",$C495,,$D$5&amp;"/"&amp;G$9)</t>
  </si>
  <si>
    <t>=GL(,"Balance",$C495,,$D$5&amp;"/"&amp;H$9)</t>
  </si>
  <si>
    <t>=GL(,"Balance",$C495,,$D$5&amp;"/"&amp;I$9)</t>
  </si>
  <si>
    <t>=GL(,"Balance",$C495,,$D$5&amp;"/"&amp;J$9)</t>
  </si>
  <si>
    <t>=GL(,"Balance",$C495,,$D$5&amp;"/"&amp;K$9)</t>
  </si>
  <si>
    <t>=GL(,"Balance",$C496,,$D$5&amp;"/"&amp;E$9)</t>
  </si>
  <si>
    <t>=GL(,"Balance",$C496,,$D$5&amp;"/"&amp;F$9)</t>
  </si>
  <si>
    <t>=GL(,"Balance",$C496,,$D$5&amp;"/"&amp;G$9)</t>
  </si>
  <si>
    <t>=GL(,"Balance",$C496,,$D$5&amp;"/"&amp;H$9)</t>
  </si>
  <si>
    <t>=GL(,"Balance",$C496,,$D$5&amp;"/"&amp;I$9)</t>
  </si>
  <si>
    <t>=GL(,"Balance",$C496,,$D$5&amp;"/"&amp;J$9)</t>
  </si>
  <si>
    <t>=GL(,"Balance",$C496,,$D$5&amp;"/"&amp;K$9)</t>
  </si>
  <si>
    <t>=GL(,"Balance",$C497,,$D$5&amp;"/"&amp;E$9)</t>
  </si>
  <si>
    <t>=GL(,"Balance",$C497,,$D$5&amp;"/"&amp;F$9)</t>
  </si>
  <si>
    <t>=GL(,"Balance",$C497,,$D$5&amp;"/"&amp;G$9)</t>
  </si>
  <si>
    <t>=GL(,"Balance",$C497,,$D$5&amp;"/"&amp;H$9)</t>
  </si>
  <si>
    <t>=GL(,"Balance",$C497,,$D$5&amp;"/"&amp;I$9)</t>
  </si>
  <si>
    <t>=GL(,"Balance",$C497,,$D$5&amp;"/"&amp;J$9)</t>
  </si>
  <si>
    <t>=GL(,"Balance",$C497,,$D$5&amp;"/"&amp;K$9)</t>
  </si>
  <si>
    <t>=GL(,"Balance",$C498,,$D$5&amp;"/"&amp;E$9)</t>
  </si>
  <si>
    <t>=GL(,"Balance",$C498,,$D$5&amp;"/"&amp;F$9)</t>
  </si>
  <si>
    <t>=GL(,"Balance",$C498,,$D$5&amp;"/"&amp;G$9)</t>
  </si>
  <si>
    <t>=GL(,"Balance",$C498,,$D$5&amp;"/"&amp;H$9)</t>
  </si>
  <si>
    <t>=GL(,"Balance",$C498,,$D$5&amp;"/"&amp;I$9)</t>
  </si>
  <si>
    <t>=GL(,"Balance",$C498,,$D$5&amp;"/"&amp;J$9)</t>
  </si>
  <si>
    <t>=GL(,"Balance",$C498,,$D$5&amp;"/"&amp;K$9)</t>
  </si>
  <si>
    <t>=GL(,"Balance",$C499,,$D$5&amp;"/"&amp;E$9)</t>
  </si>
  <si>
    <t>=GL(,"Balance",$C499,,$D$5&amp;"/"&amp;F$9)</t>
  </si>
  <si>
    <t>=GL(,"Balance",$C499,,$D$5&amp;"/"&amp;G$9)</t>
  </si>
  <si>
    <t>=GL(,"Balance",$C499,,$D$5&amp;"/"&amp;H$9)</t>
  </si>
  <si>
    <t>=GL(,"Balance",$C499,,$D$5&amp;"/"&amp;I$9)</t>
  </si>
  <si>
    <t>=GL(,"Balance",$C499,,$D$5&amp;"/"&amp;J$9)</t>
  </si>
  <si>
    <t>=GL(,"Balance",$C499,,$D$5&amp;"/"&amp;K$9)</t>
  </si>
  <si>
    <t>=GL(,"Balance",$C500,,$D$5&amp;"/"&amp;E$9)</t>
  </si>
  <si>
    <t>=GL(,"Balance",$C500,,$D$5&amp;"/"&amp;F$9)</t>
  </si>
  <si>
    <t>=GL(,"Balance",$C500,,$D$5&amp;"/"&amp;G$9)</t>
  </si>
  <si>
    <t>=GL(,"Balance",$C500,,$D$5&amp;"/"&amp;H$9)</t>
  </si>
  <si>
    <t>=GL(,"Balance",$C500,,$D$5&amp;"/"&amp;I$9)</t>
  </si>
  <si>
    <t>=GL(,"Balance",$C500,,$D$5&amp;"/"&amp;J$9)</t>
  </si>
  <si>
    <t>=GL(,"Balance",$C500,,$D$5&amp;"/"&amp;K$9)</t>
  </si>
  <si>
    <t>=GL(,"Balance",$C501,,$D$5&amp;"/"&amp;E$9)</t>
  </si>
  <si>
    <t>=GL(,"Balance",$C501,,$D$5&amp;"/"&amp;F$9)</t>
  </si>
  <si>
    <t>=GL(,"Balance",$C501,,$D$5&amp;"/"&amp;G$9)</t>
  </si>
  <si>
    <t>=GL(,"Balance",$C501,,$D$5&amp;"/"&amp;H$9)</t>
  </si>
  <si>
    <t>=GL(,"Balance",$C501,,$D$5&amp;"/"&amp;I$9)</t>
  </si>
  <si>
    <t>=GL(,"Balance",$C501,,$D$5&amp;"/"&amp;J$9)</t>
  </si>
  <si>
    <t>=GL(,"Balance",$C501,,$D$5&amp;"/"&amp;K$9)</t>
  </si>
  <si>
    <t>=GL(,"Balance",$C502,,$D$5&amp;"/"&amp;E$9)</t>
  </si>
  <si>
    <t>=GL(,"Balance",$C502,,$D$5&amp;"/"&amp;F$9)</t>
  </si>
  <si>
    <t>=GL(,"Balance",$C502,,$D$5&amp;"/"&amp;G$9)</t>
  </si>
  <si>
    <t>=GL(,"Balance",$C502,,$D$5&amp;"/"&amp;H$9)</t>
  </si>
  <si>
    <t>=GL(,"Balance",$C502,,$D$5&amp;"/"&amp;I$9)</t>
  </si>
  <si>
    <t>=GL(,"Balance",$C502,,$D$5&amp;"/"&amp;J$9)</t>
  </si>
  <si>
    <t>=GL(,"Balance",$C502,,$D$5&amp;"/"&amp;K$9)</t>
  </si>
  <si>
    <t>=GL(,"Balance",$C503,,$D$5&amp;"/"&amp;E$9)</t>
  </si>
  <si>
    <t>=GL(,"Balance",$C503,,$D$5&amp;"/"&amp;F$9)</t>
  </si>
  <si>
    <t>=GL(,"Balance",$C503,,$D$5&amp;"/"&amp;G$9)</t>
  </si>
  <si>
    <t>=GL(,"Balance",$C503,,$D$5&amp;"/"&amp;H$9)</t>
  </si>
  <si>
    <t>=GL(,"Balance",$C503,,$D$5&amp;"/"&amp;I$9)</t>
  </si>
  <si>
    <t>=GL(,"Balance",$C503,,$D$5&amp;"/"&amp;J$9)</t>
  </si>
  <si>
    <t>=GL(,"Balance",$C503,,$D$5&amp;"/"&amp;K$9)</t>
  </si>
  <si>
    <t>=GL(,"Balance",$C504,,$D$5&amp;"/"&amp;E$9)</t>
  </si>
  <si>
    <t>=GL(,"Balance",$C504,,$D$5&amp;"/"&amp;F$9)</t>
  </si>
  <si>
    <t>=GL(,"Balance",$C504,,$D$5&amp;"/"&amp;G$9)</t>
  </si>
  <si>
    <t>=GL(,"Balance",$C504,,$D$5&amp;"/"&amp;H$9)</t>
  </si>
  <si>
    <t>=GL(,"Balance",$C504,,$D$5&amp;"/"&amp;I$9)</t>
  </si>
  <si>
    <t>=GL(,"Balance",$C504,,$D$5&amp;"/"&amp;J$9)</t>
  </si>
  <si>
    <t>=GL(,"Balance",$C504,,$D$5&amp;"/"&amp;K$9)</t>
  </si>
  <si>
    <t>=GL(,"Balance",$C505,,$D$5&amp;"/"&amp;E$9)</t>
  </si>
  <si>
    <t>=GL(,"Balance",$C505,,$D$5&amp;"/"&amp;F$9)</t>
  </si>
  <si>
    <t>=GL(,"Balance",$C505,,$D$5&amp;"/"&amp;G$9)</t>
  </si>
  <si>
    <t>=GL(,"Balance",$C505,,$D$5&amp;"/"&amp;H$9)</t>
  </si>
  <si>
    <t>=GL(,"Balance",$C505,,$D$5&amp;"/"&amp;I$9)</t>
  </si>
  <si>
    <t>=GL(,"Balance",$C505,,$D$5&amp;"/"&amp;J$9)</t>
  </si>
  <si>
    <t>=GL(,"Balance",$C505,,$D$5&amp;"/"&amp;K$9)</t>
  </si>
  <si>
    <t>=GL(,"Balance",$C506,,$D$5&amp;"/"&amp;E$9)</t>
  </si>
  <si>
    <t>=GL(,"Balance",$C506,,$D$5&amp;"/"&amp;F$9)</t>
  </si>
  <si>
    <t>=GL(,"Balance",$C506,,$D$5&amp;"/"&amp;G$9)</t>
  </si>
  <si>
    <t>=GL(,"Balance",$C506,,$D$5&amp;"/"&amp;H$9)</t>
  </si>
  <si>
    <t>=GL(,"Balance",$C506,,$D$5&amp;"/"&amp;I$9)</t>
  </si>
  <si>
    <t>=GL(,"Balance",$C506,,$D$5&amp;"/"&amp;J$9)</t>
  </si>
  <si>
    <t>=GL(,"Balance",$C506,,$D$5&amp;"/"&amp;K$9)</t>
  </si>
  <si>
    <t>=GL(,"Balance",$C507,,$D$5&amp;"/"&amp;E$9)</t>
  </si>
  <si>
    <t>=GL(,"Balance",$C507,,$D$5&amp;"/"&amp;F$9)</t>
  </si>
  <si>
    <t>=GL(,"Balance",$C507,,$D$5&amp;"/"&amp;G$9)</t>
  </si>
  <si>
    <t>=GL(,"Balance",$C507,,$D$5&amp;"/"&amp;H$9)</t>
  </si>
  <si>
    <t>=GL(,"Balance",$C507,,$D$5&amp;"/"&amp;I$9)</t>
  </si>
  <si>
    <t>=GL(,"Balance",$C507,,$D$5&amp;"/"&amp;J$9)</t>
  </si>
  <si>
    <t>=GL(,"Balance",$C507,,$D$5&amp;"/"&amp;K$9)</t>
  </si>
  <si>
    <t>=GL(,"Balance",$C508,,$D$5&amp;"/"&amp;E$9)</t>
  </si>
  <si>
    <t>=GL(,"Balance",$C508,,$D$5&amp;"/"&amp;F$9)</t>
  </si>
  <si>
    <t>=GL(,"Balance",$C508,,$D$5&amp;"/"&amp;G$9)</t>
  </si>
  <si>
    <t>=GL(,"Balance",$C508,,$D$5&amp;"/"&amp;H$9)</t>
  </si>
  <si>
    <t>=GL(,"Balance",$C508,,$D$5&amp;"/"&amp;I$9)</t>
  </si>
  <si>
    <t>=GL(,"Balance",$C508,,$D$5&amp;"/"&amp;J$9)</t>
  </si>
  <si>
    <t>=GL(,"Balance",$C508,,$D$5&amp;"/"&amp;K$9)</t>
  </si>
  <si>
    <t>=GL(,"Balance",$C509,,$D$5&amp;"/"&amp;E$9)</t>
  </si>
  <si>
    <t>=GL(,"Balance",$C509,,$D$5&amp;"/"&amp;F$9)</t>
  </si>
  <si>
    <t>=GL(,"Balance",$C509,,$D$5&amp;"/"&amp;G$9)</t>
  </si>
  <si>
    <t>=GL(,"Balance",$C509,,$D$5&amp;"/"&amp;H$9)</t>
  </si>
  <si>
    <t>=GL(,"Balance",$C509,,$D$5&amp;"/"&amp;I$9)</t>
  </si>
  <si>
    <t>=GL(,"Balance",$C509,,$D$5&amp;"/"&amp;J$9)</t>
  </si>
  <si>
    <t>=GL(,"Balance",$C509,,$D$5&amp;"/"&amp;K$9)</t>
  </si>
  <si>
    <t>=GL(,"Balance",$C510,,$D$5&amp;"/"&amp;E$9)</t>
  </si>
  <si>
    <t>=GL(,"Balance",$C510,,$D$5&amp;"/"&amp;F$9)</t>
  </si>
  <si>
    <t>=GL(,"Balance",$C510,,$D$5&amp;"/"&amp;G$9)</t>
  </si>
  <si>
    <t>=GL(,"Balance",$C510,,$D$5&amp;"/"&amp;H$9)</t>
  </si>
  <si>
    <t>=GL(,"Balance",$C510,,$D$5&amp;"/"&amp;I$9)</t>
  </si>
  <si>
    <t>=GL(,"Balance",$C510,,$D$5&amp;"/"&amp;J$9)</t>
  </si>
  <si>
    <t>=GL(,"Balance",$C510,,$D$5&amp;"/"&amp;K$9)</t>
  </si>
  <si>
    <t>=GL(,"Balance",$C511,,$D$5&amp;"/"&amp;E$9)</t>
  </si>
  <si>
    <t>=GL(,"Balance",$C511,,$D$5&amp;"/"&amp;F$9)</t>
  </si>
  <si>
    <t>=GL(,"Balance",$C511,,$D$5&amp;"/"&amp;G$9)</t>
  </si>
  <si>
    <t>=GL(,"Balance",$C511,,$D$5&amp;"/"&amp;H$9)</t>
  </si>
  <si>
    <t>=GL(,"Balance",$C511,,$D$5&amp;"/"&amp;I$9)</t>
  </si>
  <si>
    <t>=GL(,"Balance",$C511,,$D$5&amp;"/"&amp;J$9)</t>
  </si>
  <si>
    <t>=GL(,"Balance",$C511,,$D$5&amp;"/"&amp;K$9)</t>
  </si>
  <si>
    <t>=GL(,"Balance",$C512,,$D$5&amp;"/"&amp;E$9)</t>
  </si>
  <si>
    <t>=GL(,"Balance",$C512,,$D$5&amp;"/"&amp;F$9)</t>
  </si>
  <si>
    <t>=GL(,"Balance",$C512,,$D$5&amp;"/"&amp;G$9)</t>
  </si>
  <si>
    <t>=GL(,"Balance",$C512,,$D$5&amp;"/"&amp;H$9)</t>
  </si>
  <si>
    <t>=GL(,"Balance",$C512,,$D$5&amp;"/"&amp;I$9)</t>
  </si>
  <si>
    <t>=GL(,"Balance",$C512,,$D$5&amp;"/"&amp;J$9)</t>
  </si>
  <si>
    <t>=GL(,"Balance",$C512,,$D$5&amp;"/"&amp;K$9)</t>
  </si>
  <si>
    <t>=GL(,"Balance",$C513,,$D$5&amp;"/"&amp;E$9)</t>
  </si>
  <si>
    <t>=GL(,"Balance",$C513,,$D$5&amp;"/"&amp;F$9)</t>
  </si>
  <si>
    <t>=GL(,"Balance",$C513,,$D$5&amp;"/"&amp;G$9)</t>
  </si>
  <si>
    <t>=GL(,"Balance",$C513,,$D$5&amp;"/"&amp;H$9)</t>
  </si>
  <si>
    <t>=GL(,"Balance",$C513,,$D$5&amp;"/"&amp;I$9)</t>
  </si>
  <si>
    <t>=GL(,"Balance",$C513,,$D$5&amp;"/"&amp;J$9)</t>
  </si>
  <si>
    <t>=GL(,"Balance",$C513,,$D$5&amp;"/"&amp;K$9)</t>
  </si>
  <si>
    <t>=GL(,"Balance",$C514,,$D$5&amp;"/"&amp;E$9)</t>
  </si>
  <si>
    <t>=GL(,"Balance",$C514,,$D$5&amp;"/"&amp;F$9)</t>
  </si>
  <si>
    <t>=GL(,"Balance",$C514,,$D$5&amp;"/"&amp;G$9)</t>
  </si>
  <si>
    <t>=GL(,"Balance",$C514,,$D$5&amp;"/"&amp;H$9)</t>
  </si>
  <si>
    <t>=GL(,"Balance",$C514,,$D$5&amp;"/"&amp;I$9)</t>
  </si>
  <si>
    <t>=GL(,"Balance",$C514,,$D$5&amp;"/"&amp;J$9)</t>
  </si>
  <si>
    <t>=GL(,"Balance",$C514,,$D$5&amp;"/"&amp;K$9)</t>
  </si>
  <si>
    <t>=GL(,"Balance",$C515,,$D$5&amp;"/"&amp;E$9)</t>
  </si>
  <si>
    <t>=GL(,"Balance",$C515,,$D$5&amp;"/"&amp;F$9)</t>
  </si>
  <si>
    <t>=GL(,"Balance",$C515,,$D$5&amp;"/"&amp;G$9)</t>
  </si>
  <si>
    <t>=GL(,"Balance",$C515,,$D$5&amp;"/"&amp;H$9)</t>
  </si>
  <si>
    <t>=GL(,"Balance",$C515,,$D$5&amp;"/"&amp;I$9)</t>
  </si>
  <si>
    <t>=GL(,"Balance",$C515,,$D$5&amp;"/"&amp;J$9)</t>
  </si>
  <si>
    <t>=GL(,"Balance",$C515,,$D$5&amp;"/"&amp;K$9)</t>
  </si>
  <si>
    <t>=GL(,"Balance",$C516,,$D$5&amp;"/"&amp;E$9)</t>
  </si>
  <si>
    <t>=GL(,"Balance",$C516,,$D$5&amp;"/"&amp;F$9)</t>
  </si>
  <si>
    <t>=GL(,"Balance",$C516,,$D$5&amp;"/"&amp;G$9)</t>
  </si>
  <si>
    <t>=GL(,"Balance",$C516,,$D$5&amp;"/"&amp;H$9)</t>
  </si>
  <si>
    <t>=GL(,"Balance",$C516,,$D$5&amp;"/"&amp;I$9)</t>
  </si>
  <si>
    <t>=GL(,"Balance",$C516,,$D$5&amp;"/"&amp;J$9)</t>
  </si>
  <si>
    <t>=GL(,"Balance",$C516,,$D$5&amp;"/"&amp;K$9)</t>
  </si>
  <si>
    <t>=GL(,"Balance",$C517,,$D$5&amp;"/"&amp;E$9)</t>
  </si>
  <si>
    <t>=GL(,"Balance",$C517,,$D$5&amp;"/"&amp;F$9)</t>
  </si>
  <si>
    <t>=GL(,"Balance",$C517,,$D$5&amp;"/"&amp;G$9)</t>
  </si>
  <si>
    <t>=GL(,"Balance",$C517,,$D$5&amp;"/"&amp;H$9)</t>
  </si>
  <si>
    <t>=GL(,"Balance",$C517,,$D$5&amp;"/"&amp;I$9)</t>
  </si>
  <si>
    <t>=GL(,"Balance",$C517,,$D$5&amp;"/"&amp;J$9)</t>
  </si>
  <si>
    <t>=GL(,"Balance",$C517,,$D$5&amp;"/"&amp;K$9)</t>
  </si>
  <si>
    <t>=GL(,"Balance",$C518,,$D$5&amp;"/"&amp;E$9)</t>
  </si>
  <si>
    <t>=GL(,"Balance",$C518,,$D$5&amp;"/"&amp;F$9)</t>
  </si>
  <si>
    <t>=GL(,"Balance",$C518,,$D$5&amp;"/"&amp;G$9)</t>
  </si>
  <si>
    <t>=GL(,"Balance",$C518,,$D$5&amp;"/"&amp;H$9)</t>
  </si>
  <si>
    <t>=GL(,"Balance",$C518,,$D$5&amp;"/"&amp;I$9)</t>
  </si>
  <si>
    <t>=GL(,"Balance",$C518,,$D$5&amp;"/"&amp;J$9)</t>
  </si>
  <si>
    <t>=GL(,"Balance",$C518,,$D$5&amp;"/"&amp;K$9)</t>
  </si>
  <si>
    <t>=GL(,"Balance",$C519,,$D$5&amp;"/"&amp;E$9)</t>
  </si>
  <si>
    <t>=GL(,"Balance",$C519,,$D$5&amp;"/"&amp;F$9)</t>
  </si>
  <si>
    <t>=GL(,"Balance",$C519,,$D$5&amp;"/"&amp;G$9)</t>
  </si>
  <si>
    <t>=GL(,"Balance",$C519,,$D$5&amp;"/"&amp;H$9)</t>
  </si>
  <si>
    <t>=GL(,"Balance",$C519,,$D$5&amp;"/"&amp;I$9)</t>
  </si>
  <si>
    <t>=GL(,"Balance",$C519,,$D$5&amp;"/"&amp;J$9)</t>
  </si>
  <si>
    <t>=GL(,"Balance",$C519,,$D$5&amp;"/"&amp;K$9)</t>
  </si>
  <si>
    <t>=GL(,"Balance",$C520,,$D$5&amp;"/"&amp;E$9)</t>
  </si>
  <si>
    <t>=GL(,"Balance",$C520,,$D$5&amp;"/"&amp;F$9)</t>
  </si>
  <si>
    <t>=GL(,"Balance",$C520,,$D$5&amp;"/"&amp;G$9)</t>
  </si>
  <si>
    <t>=GL(,"Balance",$C520,,$D$5&amp;"/"&amp;H$9)</t>
  </si>
  <si>
    <t>=GL(,"Balance",$C520,,$D$5&amp;"/"&amp;I$9)</t>
  </si>
  <si>
    <t>=GL(,"Balance",$C520,,$D$5&amp;"/"&amp;J$9)</t>
  </si>
  <si>
    <t>=GL(,"Balance",$C520,,$D$5&amp;"/"&amp;K$9)</t>
  </si>
  <si>
    <t>=GL(,"Balance",$C521,,$D$5&amp;"/"&amp;E$9)</t>
  </si>
  <si>
    <t>=GL(,"Balance",$C521,,$D$5&amp;"/"&amp;F$9)</t>
  </si>
  <si>
    <t>=GL(,"Balance",$C521,,$D$5&amp;"/"&amp;G$9)</t>
  </si>
  <si>
    <t>=GL(,"Balance",$C521,,$D$5&amp;"/"&amp;H$9)</t>
  </si>
  <si>
    <t>=GL(,"Balance",$C521,,$D$5&amp;"/"&amp;I$9)</t>
  </si>
  <si>
    <t>=GL(,"Balance",$C521,,$D$5&amp;"/"&amp;J$9)</t>
  </si>
  <si>
    <t>=GL(,"Balance",$C521,,$D$5&amp;"/"&amp;K$9)</t>
  </si>
  <si>
    <t>=GL(,"Balance",$C522,,$D$5&amp;"/"&amp;E$9)</t>
  </si>
  <si>
    <t>=GL(,"Balance",$C522,,$D$5&amp;"/"&amp;F$9)</t>
  </si>
  <si>
    <t>=GL(,"Balance",$C522,,$D$5&amp;"/"&amp;G$9)</t>
  </si>
  <si>
    <t>=GL(,"Balance",$C522,,$D$5&amp;"/"&amp;H$9)</t>
  </si>
  <si>
    <t>=GL(,"Balance",$C522,,$D$5&amp;"/"&amp;I$9)</t>
  </si>
  <si>
    <t>=GL(,"Balance",$C522,,$D$5&amp;"/"&amp;J$9)</t>
  </si>
  <si>
    <t>=GL(,"Balance",$C522,,$D$5&amp;"/"&amp;K$9)</t>
  </si>
  <si>
    <t>=GL(,"Balance",$C523,,$D$5&amp;"/"&amp;E$9)</t>
  </si>
  <si>
    <t>=GL(,"Balance",$C523,,$D$5&amp;"/"&amp;F$9)</t>
  </si>
  <si>
    <t>=GL(,"Balance",$C523,,$D$5&amp;"/"&amp;G$9)</t>
  </si>
  <si>
    <t>=GL(,"Balance",$C523,,$D$5&amp;"/"&amp;H$9)</t>
  </si>
  <si>
    <t>=GL(,"Balance",$C523,,$D$5&amp;"/"&amp;I$9)</t>
  </si>
  <si>
    <t>=GL(,"Balance",$C523,,$D$5&amp;"/"&amp;J$9)</t>
  </si>
  <si>
    <t>=GL(,"Balance",$C523,,$D$5&amp;"/"&amp;K$9)</t>
  </si>
  <si>
    <t>=GL(,"Balance",$C524,,$D$5&amp;"/"&amp;E$9)</t>
  </si>
  <si>
    <t>=GL(,"Balance",$C524,,$D$5&amp;"/"&amp;F$9)</t>
  </si>
  <si>
    <t>=GL(,"Balance",$C524,,$D$5&amp;"/"&amp;G$9)</t>
  </si>
  <si>
    <t>=GL(,"Balance",$C524,,$D$5&amp;"/"&amp;H$9)</t>
  </si>
  <si>
    <t>=GL(,"Balance",$C524,,$D$5&amp;"/"&amp;I$9)</t>
  </si>
  <si>
    <t>=GL(,"Balance",$C524,,$D$5&amp;"/"&amp;J$9)</t>
  </si>
  <si>
    <t>=GL(,"Balance",$C524,,$D$5&amp;"/"&amp;K$9)</t>
  </si>
  <si>
    <t>=GL(,"Balance",$C525,,$D$5&amp;"/"&amp;E$9)</t>
  </si>
  <si>
    <t>=GL(,"Balance",$C525,,$D$5&amp;"/"&amp;F$9)</t>
  </si>
  <si>
    <t>=GL(,"Balance",$C525,,$D$5&amp;"/"&amp;G$9)</t>
  </si>
  <si>
    <t>=GL(,"Balance",$C525,,$D$5&amp;"/"&amp;H$9)</t>
  </si>
  <si>
    <t>=GL(,"Balance",$C525,,$D$5&amp;"/"&amp;I$9)</t>
  </si>
  <si>
    <t>=GL(,"Balance",$C525,,$D$5&amp;"/"&amp;J$9)</t>
  </si>
  <si>
    <t>=GL(,"Balance",$C525,,$D$5&amp;"/"&amp;K$9)</t>
  </si>
  <si>
    <t>=GL(,"Balance",$C526,,$D$5&amp;"/"&amp;E$9)</t>
  </si>
  <si>
    <t>=GL(,"Balance",$C526,,$D$5&amp;"/"&amp;F$9)</t>
  </si>
  <si>
    <t>=GL(,"Balance",$C526,,$D$5&amp;"/"&amp;G$9)</t>
  </si>
  <si>
    <t>=GL(,"Balance",$C526,,$D$5&amp;"/"&amp;H$9)</t>
  </si>
  <si>
    <t>=GL(,"Balance",$C526,,$D$5&amp;"/"&amp;I$9)</t>
  </si>
  <si>
    <t>=GL(,"Balance",$C526,,$D$5&amp;"/"&amp;J$9)</t>
  </si>
  <si>
    <t>=GL(,"Balance",$C526,,$D$5&amp;"/"&amp;K$9)</t>
  </si>
  <si>
    <t>=GL(,"Balance",$C527,,$D$5&amp;"/"&amp;E$9)</t>
  </si>
  <si>
    <t>=GL(,"Balance",$C527,,$D$5&amp;"/"&amp;F$9)</t>
  </si>
  <si>
    <t>=GL(,"Balance",$C527,,$D$5&amp;"/"&amp;G$9)</t>
  </si>
  <si>
    <t>=GL(,"Balance",$C527,,$D$5&amp;"/"&amp;H$9)</t>
  </si>
  <si>
    <t>=GL(,"Balance",$C527,,$D$5&amp;"/"&amp;I$9)</t>
  </si>
  <si>
    <t>=GL(,"Balance",$C527,,$D$5&amp;"/"&amp;J$9)</t>
  </si>
  <si>
    <t>=GL(,"Balance",$C527,,$D$5&amp;"/"&amp;K$9)</t>
  </si>
  <si>
    <t>=GL(,"Balance",$C528,,$D$5&amp;"/"&amp;E$9)</t>
  </si>
  <si>
    <t>=GL(,"Balance",$C528,,$D$5&amp;"/"&amp;F$9)</t>
  </si>
  <si>
    <t>=GL(,"Balance",$C528,,$D$5&amp;"/"&amp;G$9)</t>
  </si>
  <si>
    <t>=GL(,"Balance",$C528,,$D$5&amp;"/"&amp;H$9)</t>
  </si>
  <si>
    <t>=GL(,"Balance",$C528,,$D$5&amp;"/"&amp;I$9)</t>
  </si>
  <si>
    <t>=GL(,"Balance",$C528,,$D$5&amp;"/"&amp;J$9)</t>
  </si>
  <si>
    <t>=GL(,"Balance",$C528,,$D$5&amp;"/"&amp;K$9)</t>
  </si>
  <si>
    <t>=GL(,"Balance",$C529,,$D$5&amp;"/"&amp;E$9)</t>
  </si>
  <si>
    <t>=GL(,"Balance",$C529,,$D$5&amp;"/"&amp;F$9)</t>
  </si>
  <si>
    <t>=GL(,"Balance",$C529,,$D$5&amp;"/"&amp;G$9)</t>
  </si>
  <si>
    <t>=GL(,"Balance",$C529,,$D$5&amp;"/"&amp;H$9)</t>
  </si>
  <si>
    <t>=GL(,"Balance",$C529,,$D$5&amp;"/"&amp;I$9)</t>
  </si>
  <si>
    <t>=GL(,"Balance",$C529,,$D$5&amp;"/"&amp;J$9)</t>
  </si>
  <si>
    <t>=GL(,"Balance",$C529,,$D$5&amp;"/"&amp;K$9)</t>
  </si>
  <si>
    <t>=GL(,"Balance",$C530,,$D$5&amp;"/"&amp;E$9)</t>
  </si>
  <si>
    <t>=GL(,"Balance",$C530,,$D$5&amp;"/"&amp;F$9)</t>
  </si>
  <si>
    <t>=GL(,"Balance",$C530,,$D$5&amp;"/"&amp;G$9)</t>
  </si>
  <si>
    <t>=GL(,"Balance",$C530,,$D$5&amp;"/"&amp;H$9)</t>
  </si>
  <si>
    <t>=GL(,"Balance",$C530,,$D$5&amp;"/"&amp;I$9)</t>
  </si>
  <si>
    <t>=GL(,"Balance",$C530,,$D$5&amp;"/"&amp;J$9)</t>
  </si>
  <si>
    <t>=GL(,"Balance",$C530,,$D$5&amp;"/"&amp;K$9)</t>
  </si>
  <si>
    <t>=SUM(E12:E531)</t>
  </si>
  <si>
    <t>=SUM(F12:F531)</t>
  </si>
  <si>
    <t>=SUM(G12:G531)</t>
  </si>
  <si>
    <t>=SUM(H12:H531)</t>
  </si>
  <si>
    <t>=SUM(I12:I531)</t>
  </si>
  <si>
    <t>=SUM(J12:J531)</t>
  </si>
  <si>
    <t>=SUM(K12:K531)</t>
  </si>
  <si>
    <t>Auto+Hide+Values+Formulas=Sheet7,Sheet4,Sheet5+FormulasOnly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</si>
</sst>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24" x14ac:knownFonts="1">
    <font>
      <sz val="10"/>
      <name val="Arial"/>
    </font>
    <font>
      <sz val="11"/>
      <color theme="1"/>
      <name val="Calibri"/>
      <family val="2"/>
      <scheme val="minor"/>
    </font>
    <font>
      <sz val="10"/>
      <name val="Arial"/>
      <family val="2"/>
    </font>
    <font>
      <sz val="8"/>
      <name val="Arial"/>
      <family val="2"/>
    </font>
    <font>
      <sz val="10"/>
      <name val="Arial"/>
      <family val="2"/>
    </font>
    <font>
      <sz val="11"/>
      <color indexed="8"/>
      <name val="Calibri"/>
      <family val="2"/>
    </font>
    <font>
      <u/>
      <sz val="10"/>
      <color indexed="12"/>
      <name val="Arial"/>
      <family val="2"/>
    </font>
    <font>
      <sz val="10"/>
      <name val="Arial"/>
      <family val="2"/>
    </font>
    <font>
      <sz val="10"/>
      <name val="Arial"/>
      <family val="2"/>
    </font>
    <font>
      <b/>
      <sz val="11"/>
      <color theme="1"/>
      <name val="Calibri"/>
      <family val="2"/>
      <scheme val="minor"/>
    </font>
    <font>
      <sz val="9"/>
      <color indexed="55"/>
      <name val="Segoe UI Semibold"/>
      <family val="2"/>
    </font>
    <font>
      <sz val="9"/>
      <name val="Segoe UI Semibold"/>
      <family val="2"/>
    </font>
    <font>
      <b/>
      <sz val="9"/>
      <name val="Segoe UI Semibold"/>
      <family val="2"/>
    </font>
    <font>
      <b/>
      <sz val="16"/>
      <color theme="6" tint="-0.249977111117893"/>
      <name val="Segoe UI"/>
      <family val="2"/>
    </font>
    <font>
      <b/>
      <sz val="11"/>
      <color indexed="9"/>
      <name val="Segoe UI Semibold"/>
      <family val="2"/>
    </font>
    <font>
      <sz val="9"/>
      <name val="Calibri"/>
      <family val="2"/>
      <scheme val="minor"/>
    </font>
    <font>
      <sz val="11"/>
      <name val="Calibri"/>
      <family val="2"/>
      <scheme val="minor"/>
    </font>
    <font>
      <sz val="9"/>
      <color theme="0" tint="-0.499984740745262"/>
      <name val="Calibri"/>
      <family val="2"/>
      <scheme val="minor"/>
    </font>
    <font>
      <b/>
      <sz val="12"/>
      <color theme="0"/>
      <name val="Calibri"/>
      <family val="2"/>
      <scheme val="minor"/>
    </font>
    <font>
      <sz val="12"/>
      <color theme="0"/>
      <name val="Calibri"/>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5">
    <fill>
      <patternFill patternType="none"/>
    </fill>
    <fill>
      <patternFill patternType="gray125"/>
    </fill>
    <fill>
      <patternFill patternType="solid">
        <fgColor theme="0" tint="-0.249977111117893"/>
        <bgColor indexed="64"/>
      </patternFill>
    </fill>
    <fill>
      <patternFill patternType="solid">
        <fgColor theme="6" tint="-0.249977111117893"/>
        <bgColor indexed="64"/>
      </patternFill>
    </fill>
    <fill>
      <patternFill patternType="solid">
        <fgColor theme="4" tint="0.59999389629810485"/>
        <bgColor indexed="64"/>
      </patternFill>
    </fill>
  </fills>
  <borders count="2">
    <border>
      <left/>
      <right/>
      <top/>
      <bottom/>
      <diagonal/>
    </border>
    <border>
      <left/>
      <right/>
      <top style="thin">
        <color indexed="62"/>
      </top>
      <bottom style="double">
        <color indexed="62"/>
      </bottom>
      <diagonal/>
    </border>
  </borders>
  <cellStyleXfs count="9">
    <xf numFmtId="0" fontId="0" fillId="0" borderId="0"/>
    <xf numFmtId="44" fontId="2" fillId="0" borderId="0" applyFont="0" applyFill="0" applyBorder="0" applyAlignment="0" applyProtection="0"/>
    <xf numFmtId="0" fontId="4" fillId="0" borderId="0"/>
    <xf numFmtId="0" fontId="7" fillId="0" borderId="0"/>
    <xf numFmtId="0" fontId="8" fillId="0" borderId="0"/>
    <xf numFmtId="0" fontId="9" fillId="0" borderId="1" applyNumberFormat="0" applyFill="0" applyAlignment="0" applyProtection="0"/>
    <xf numFmtId="0" fontId="1" fillId="0" borderId="0"/>
    <xf numFmtId="0" fontId="1" fillId="0" borderId="0"/>
    <xf numFmtId="0" fontId="6" fillId="0" borderId="0" applyNumberFormat="0" applyFill="0" applyBorder="0" applyAlignment="0" applyProtection="0">
      <alignment vertical="top"/>
      <protection locked="0"/>
    </xf>
  </cellStyleXfs>
  <cellXfs count="29">
    <xf numFmtId="0" fontId="0" fillId="0" borderId="0" xfId="0"/>
    <xf numFmtId="0" fontId="0" fillId="0" borderId="0" xfId="0" quotePrefix="1"/>
    <xf numFmtId="0" fontId="10" fillId="0" borderId="0" xfId="0" applyFont="1"/>
    <xf numFmtId="0" fontId="11" fillId="0" borderId="0" xfId="0" applyFont="1"/>
    <xf numFmtId="0" fontId="12" fillId="0" borderId="0" xfId="0" applyFont="1"/>
    <xf numFmtId="0" fontId="10" fillId="2" borderId="0" xfId="0" applyFont="1" applyFill="1"/>
    <xf numFmtId="0" fontId="11" fillId="0" borderId="0" xfId="0" applyFont="1" applyFill="1"/>
    <xf numFmtId="43" fontId="11" fillId="0" borderId="0" xfId="0" applyNumberFormat="1" applyFont="1"/>
    <xf numFmtId="0" fontId="13" fillId="0" borderId="0" xfId="0" applyFont="1"/>
    <xf numFmtId="0" fontId="14" fillId="3" borderId="0" xfId="0" applyFont="1" applyFill="1"/>
    <xf numFmtId="0" fontId="15" fillId="0" borderId="0" xfId="0" applyFont="1"/>
    <xf numFmtId="0" fontId="16" fillId="0" borderId="0" xfId="0" applyFont="1"/>
    <xf numFmtId="0" fontId="17" fillId="0" borderId="0" xfId="0" applyFont="1"/>
    <xf numFmtId="0" fontId="18" fillId="3" borderId="0" xfId="0" applyFont="1" applyFill="1"/>
    <xf numFmtId="0" fontId="19" fillId="3" borderId="0" xfId="0" applyFont="1" applyFill="1"/>
    <xf numFmtId="43" fontId="11" fillId="0" borderId="0" xfId="1" applyNumberFormat="1" applyFont="1" applyFill="1"/>
    <xf numFmtId="0" fontId="10" fillId="0" borderId="0" xfId="0" applyFont="1" applyFill="1"/>
    <xf numFmtId="0" fontId="11" fillId="0" borderId="0" xfId="0" applyFont="1" applyAlignment="1">
      <alignment horizontal="left"/>
    </xf>
    <xf numFmtId="14" fontId="11" fillId="0" borderId="0" xfId="0" applyNumberFormat="1" applyFont="1" applyAlignment="1">
      <alignment horizontal="left"/>
    </xf>
    <xf numFmtId="0" fontId="9" fillId="4" borderId="1" xfId="5" applyFill="1"/>
    <xf numFmtId="43" fontId="9" fillId="4" borderId="1" xfId="5" applyNumberFormat="1" applyFill="1"/>
    <xf numFmtId="0" fontId="20" fillId="0" borderId="0" xfId="6" applyFont="1"/>
    <xf numFmtId="0" fontId="20" fillId="0" borderId="0" xfId="6" applyFont="1" applyAlignment="1">
      <alignment vertical="top"/>
    </xf>
    <xf numFmtId="0" fontId="20" fillId="0" borderId="0" xfId="6" applyFont="1" applyAlignment="1">
      <alignment vertical="top" wrapText="1"/>
    </xf>
    <xf numFmtId="0" fontId="21" fillId="0" borderId="0" xfId="6" applyFont="1" applyAlignment="1">
      <alignment vertical="top"/>
    </xf>
    <xf numFmtId="0" fontId="22" fillId="0" borderId="0" xfId="6" applyFont="1" applyAlignment="1">
      <alignment vertical="top"/>
    </xf>
    <xf numFmtId="0" fontId="23" fillId="0" borderId="0" xfId="6" applyFont="1" applyAlignment="1">
      <alignment vertical="top"/>
    </xf>
    <xf numFmtId="0" fontId="20" fillId="0" borderId="0" xfId="7" applyFont="1" applyAlignment="1">
      <alignment vertical="top" wrapText="1"/>
    </xf>
    <xf numFmtId="0" fontId="6" fillId="0" borderId="0" xfId="8" applyAlignment="1" applyProtection="1">
      <alignment vertical="top"/>
    </xf>
  </cellXfs>
  <cellStyles count="9">
    <cellStyle name="Currency" xfId="1" builtinId="4"/>
    <cellStyle name="Hyperlink 3" xfId="8"/>
    <cellStyle name="Normal" xfId="0" builtinId="0"/>
    <cellStyle name="Normal 2" xfId="2"/>
    <cellStyle name="Normal 2 2" xfId="3"/>
    <cellStyle name="Normal 2 3" xfId="4"/>
    <cellStyle name="Normal 3" xfId="6"/>
    <cellStyle name="Normal 3 22" xfId="7"/>
    <cellStyle name="Total" xfId="5" builtinId="25"/>
  </cellStyles>
  <dxfs count="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3EAF1"/>
      <rgbColor rgb="00CCFFFF"/>
      <rgbColor rgb="00CCFFCC"/>
      <rgbColor rgb="00E1E1D1"/>
      <rgbColor rgb="0099CCFF"/>
      <rgbColor rgb="00FF99CC"/>
      <rgbColor rgb="00CC99FF"/>
      <rgbColor rgb="00FFCC99"/>
      <rgbColor rgb="000074AB"/>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28"/>
  <sheetViews>
    <sheetView showGridLines="0" tabSelected="1" topLeftCell="B2" workbookViewId="0"/>
  </sheetViews>
  <sheetFormatPr defaultColWidth="9.140625" defaultRowHeight="14.25" x14ac:dyDescent="0.25"/>
  <cols>
    <col min="1" max="1" width="3.42578125" style="21" hidden="1" customWidth="1"/>
    <col min="2" max="2" width="10.28515625" style="21" customWidth="1"/>
    <col min="3" max="3" width="27.140625" style="22" customWidth="1"/>
    <col min="4" max="4" width="77.28515625" style="23" customWidth="1"/>
    <col min="5" max="5" width="36.42578125" style="21" customWidth="1"/>
    <col min="6" max="16384" width="9.140625" style="21"/>
  </cols>
  <sheetData>
    <row r="1" spans="1:5" hidden="1" x14ac:dyDescent="0.25">
      <c r="A1" s="21" t="s">
        <v>1586</v>
      </c>
    </row>
    <row r="7" spans="1:5" ht="30.75" x14ac:dyDescent="0.25">
      <c r="C7" s="24" t="s">
        <v>18</v>
      </c>
    </row>
    <row r="9" spans="1:5" x14ac:dyDescent="0.25">
      <c r="C9" s="25"/>
    </row>
    <row r="10" spans="1:5" x14ac:dyDescent="0.25">
      <c r="C10" s="26" t="s">
        <v>19</v>
      </c>
      <c r="D10" s="27" t="s">
        <v>1604</v>
      </c>
    </row>
    <row r="11" spans="1:5" x14ac:dyDescent="0.25">
      <c r="C11" s="26"/>
    </row>
    <row r="12" spans="1:5" x14ac:dyDescent="0.25">
      <c r="C12" s="26" t="s">
        <v>20</v>
      </c>
      <c r="D12" s="23" t="s">
        <v>1587</v>
      </c>
    </row>
    <row r="13" spans="1:5" x14ac:dyDescent="0.25">
      <c r="C13" s="26"/>
    </row>
    <row r="14" spans="1:5" ht="57" x14ac:dyDescent="0.25">
      <c r="C14" s="26" t="s">
        <v>21</v>
      </c>
      <c r="D14" s="23" t="s">
        <v>1588</v>
      </c>
      <c r="E14" s="28" t="s">
        <v>1589</v>
      </c>
    </row>
    <row r="15" spans="1:5" x14ac:dyDescent="0.25">
      <c r="C15" s="26"/>
      <c r="E15" s="22"/>
    </row>
    <row r="16" spans="1:5" ht="28.5" x14ac:dyDescent="0.25">
      <c r="C16" s="26" t="s">
        <v>1590</v>
      </c>
      <c r="D16" s="23" t="s">
        <v>1591</v>
      </c>
      <c r="E16" s="28" t="s">
        <v>1592</v>
      </c>
    </row>
    <row r="17" spans="3:5" x14ac:dyDescent="0.25">
      <c r="C17" s="26"/>
      <c r="E17" s="22"/>
    </row>
    <row r="18" spans="3:5" ht="57" x14ac:dyDescent="0.25">
      <c r="C18" s="26" t="s">
        <v>1593</v>
      </c>
      <c r="D18" s="23" t="s">
        <v>1594</v>
      </c>
      <c r="E18" s="28" t="s">
        <v>1595</v>
      </c>
    </row>
    <row r="19" spans="3:5" x14ac:dyDescent="0.25">
      <c r="C19" s="26"/>
      <c r="E19" s="22"/>
    </row>
    <row r="20" spans="3:5" ht="30.75" customHeight="1" x14ac:dyDescent="0.25">
      <c r="C20" s="26" t="s">
        <v>22</v>
      </c>
      <c r="D20" s="23" t="s">
        <v>1596</v>
      </c>
      <c r="E20" s="28" t="s">
        <v>1597</v>
      </c>
    </row>
    <row r="21" spans="3:5" x14ac:dyDescent="0.25">
      <c r="C21" s="26"/>
      <c r="E21" s="22"/>
    </row>
    <row r="22" spans="3:5" ht="14.25" customHeight="1" x14ac:dyDescent="0.25">
      <c r="C22" s="26" t="s">
        <v>23</v>
      </c>
      <c r="D22" s="23" t="s">
        <v>1598</v>
      </c>
      <c r="E22" s="28" t="s">
        <v>1599</v>
      </c>
    </row>
    <row r="23" spans="3:5" x14ac:dyDescent="0.25">
      <c r="C23" s="26"/>
      <c r="E23" s="22"/>
    </row>
    <row r="24" spans="3:5" ht="15" customHeight="1" x14ac:dyDescent="0.25">
      <c r="C24" s="26" t="s">
        <v>17</v>
      </c>
      <c r="D24" s="23" t="s">
        <v>1600</v>
      </c>
      <c r="E24" s="28" t="s">
        <v>1601</v>
      </c>
    </row>
    <row r="25" spans="3:5" x14ac:dyDescent="0.25">
      <c r="C25" s="26"/>
    </row>
    <row r="26" spans="3:5" ht="71.25" x14ac:dyDescent="0.25">
      <c r="C26" s="26" t="s">
        <v>24</v>
      </c>
      <c r="D26" s="23" t="s">
        <v>1602</v>
      </c>
    </row>
    <row r="27" spans="3:5" x14ac:dyDescent="0.25">
      <c r="C27" s="26"/>
    </row>
    <row r="28" spans="3:5" ht="17.25" customHeight="1" x14ac:dyDescent="0.25">
      <c r="C28" s="26" t="s">
        <v>25</v>
      </c>
      <c r="D28" s="23" t="s">
        <v>1603</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F7"/>
  <sheetViews>
    <sheetView showGridLines="0" workbookViewId="0"/>
  </sheetViews>
  <sheetFormatPr defaultColWidth="9.140625" defaultRowHeight="12" x14ac:dyDescent="0.2"/>
  <cols>
    <col min="1" max="1" width="9.140625" style="10" hidden="1" customWidth="1"/>
    <col min="2" max="2" width="9.140625" style="10"/>
    <col min="3" max="3" width="16.140625" style="10" bestFit="1" customWidth="1"/>
    <col min="4" max="4" width="12.140625" style="10" customWidth="1"/>
    <col min="5" max="16384" width="9.140625" style="10"/>
  </cols>
  <sheetData>
    <row r="1" spans="1:6" hidden="1" x14ac:dyDescent="0.2">
      <c r="A1" s="12" t="s">
        <v>1613</v>
      </c>
      <c r="B1" s="12"/>
      <c r="C1" s="12" t="s">
        <v>9</v>
      </c>
      <c r="D1" s="12" t="s">
        <v>10</v>
      </c>
      <c r="E1" s="12" t="s">
        <v>11</v>
      </c>
      <c r="F1" s="12"/>
    </row>
    <row r="2" spans="1:6" x14ac:dyDescent="0.2">
      <c r="A2" s="12"/>
    </row>
    <row r="3" spans="1:6" ht="15.75" x14ac:dyDescent="0.25">
      <c r="A3" s="12"/>
      <c r="C3" s="13" t="s">
        <v>46</v>
      </c>
      <c r="D3" s="14"/>
      <c r="E3" s="11"/>
      <c r="F3" s="11"/>
    </row>
    <row r="4" spans="1:6" ht="15" x14ac:dyDescent="0.25">
      <c r="A4" s="12" t="s">
        <v>8</v>
      </c>
      <c r="C4" s="11" t="s">
        <v>5</v>
      </c>
      <c r="D4" s="11" t="str">
        <f>"2014"</f>
        <v>2014</v>
      </c>
      <c r="E4" s="11" t="str">
        <f>"Lookup"</f>
        <v>Lookup</v>
      </c>
      <c r="F4" s="11"/>
    </row>
    <row r="5" spans="1:6" ht="15" x14ac:dyDescent="0.25">
      <c r="A5" s="12" t="s">
        <v>8</v>
      </c>
      <c r="C5" s="11" t="s">
        <v>12</v>
      </c>
      <c r="D5" s="11" t="str">
        <f>"6"</f>
        <v>6</v>
      </c>
      <c r="E5" s="11" t="str">
        <f>"Lookup"</f>
        <v>Lookup</v>
      </c>
      <c r="F5" s="11"/>
    </row>
    <row r="6" spans="1:6" ht="15" x14ac:dyDescent="0.25">
      <c r="A6" s="12" t="s">
        <v>8</v>
      </c>
      <c r="C6" s="11" t="s">
        <v>13</v>
      </c>
      <c r="D6" s="11" t="str">
        <f>"12"</f>
        <v>12</v>
      </c>
      <c r="E6" s="11" t="str">
        <f>"Lookup"</f>
        <v>Lookup</v>
      </c>
      <c r="F6" s="11"/>
    </row>
    <row r="7" spans="1:6" x14ac:dyDescent="0.2">
      <c r="A7" s="12"/>
    </row>
  </sheetData>
  <phoneticPr fontId="3" type="noConversion"/>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33"/>
  <sheetViews>
    <sheetView showGridLines="0" zoomScaleNormal="100" workbookViewId="0">
      <pane xSplit="1" ySplit="11" topLeftCell="B12" activePane="bottomRight" state="frozen"/>
      <selection pane="topRight" activeCell="B1" sqref="B1"/>
      <selection pane="bottomLeft" activeCell="A8" sqref="A8"/>
      <selection pane="bottomRight"/>
    </sheetView>
  </sheetViews>
  <sheetFormatPr defaultColWidth="9.140625" defaultRowHeight="12" x14ac:dyDescent="0.2"/>
  <cols>
    <col min="1" max="1" width="4.5703125" style="3" hidden="1" customWidth="1"/>
    <col min="2" max="2" width="4" style="3" customWidth="1"/>
    <col min="3" max="3" width="13.28515625" style="3" customWidth="1"/>
    <col min="4" max="4" width="41.7109375" style="3" bestFit="1" customWidth="1"/>
    <col min="5" max="11" width="13.28515625" style="3" bestFit="1" customWidth="1"/>
    <col min="12" max="12" width="9.140625" style="3" hidden="1" customWidth="1"/>
    <col min="13" max="16384" width="9.140625" style="3"/>
  </cols>
  <sheetData>
    <row r="1" spans="1:12" hidden="1" x14ac:dyDescent="0.2">
      <c r="A1" s="2" t="s">
        <v>1615</v>
      </c>
      <c r="D1" s="2" t="s">
        <v>16</v>
      </c>
      <c r="E1" s="2" t="s">
        <v>16</v>
      </c>
      <c r="F1" s="2" t="s">
        <v>34</v>
      </c>
      <c r="G1" s="2" t="s">
        <v>34</v>
      </c>
      <c r="H1" s="2" t="s">
        <v>34</v>
      </c>
      <c r="I1" s="2" t="s">
        <v>34</v>
      </c>
      <c r="J1" s="2" t="s">
        <v>34</v>
      </c>
      <c r="K1" s="2" t="s">
        <v>34</v>
      </c>
      <c r="L1" s="2" t="s">
        <v>4</v>
      </c>
    </row>
    <row r="3" spans="1:12" ht="25.5" x14ac:dyDescent="0.5">
      <c r="C3" s="8" t="s">
        <v>1</v>
      </c>
    </row>
    <row r="5" spans="1:12" x14ac:dyDescent="0.2">
      <c r="C5" s="4" t="s">
        <v>6</v>
      </c>
      <c r="D5" s="3" t="str">
        <f>"2014"</f>
        <v>2014</v>
      </c>
    </row>
    <row r="6" spans="1:12" x14ac:dyDescent="0.2">
      <c r="C6" s="4" t="s">
        <v>14</v>
      </c>
      <c r="D6" s="17" t="str">
        <f>"6"</f>
        <v>6</v>
      </c>
    </row>
    <row r="7" spans="1:12" x14ac:dyDescent="0.2">
      <c r="C7" s="4" t="s">
        <v>15</v>
      </c>
      <c r="D7" s="17" t="str">
        <f>"12"</f>
        <v>12</v>
      </c>
    </row>
    <row r="8" spans="1:12" x14ac:dyDescent="0.2">
      <c r="C8" s="4" t="s">
        <v>7</v>
      </c>
      <c r="D8" s="18">
        <v>43368</v>
      </c>
    </row>
    <row r="9" spans="1:12" hidden="1" x14ac:dyDescent="0.2">
      <c r="A9" s="2" t="s">
        <v>4</v>
      </c>
      <c r="E9" s="5">
        <v>6</v>
      </c>
      <c r="F9" s="5">
        <v>7</v>
      </c>
      <c r="G9" s="5">
        <v>8</v>
      </c>
      <c r="H9" s="5">
        <v>9</v>
      </c>
      <c r="I9" s="5">
        <v>10</v>
      </c>
      <c r="J9" s="5">
        <v>11</v>
      </c>
      <c r="K9" s="5">
        <v>12</v>
      </c>
    </row>
    <row r="11" spans="1:12" ht="16.5" x14ac:dyDescent="0.3">
      <c r="C11" s="9" t="s">
        <v>2</v>
      </c>
      <c r="D11" s="9" t="s">
        <v>3</v>
      </c>
      <c r="E11" s="9" t="str">
        <f>TEXT(DATE($D$5,E9,1),"Mmm")</f>
        <v>Jun</v>
      </c>
      <c r="F11" s="9" t="str">
        <f>TEXT(DATE($D$5,F9,1),"Mmm")</f>
        <v>Jul</v>
      </c>
      <c r="G11" s="9" t="str">
        <f>TEXT(DATE($D$5,G9,1),"Mmm")</f>
        <v>Aug</v>
      </c>
      <c r="H11" s="9" t="str">
        <f>TEXT(DATE($D$5,H9,1),"Mmm")</f>
        <v>Sep</v>
      </c>
      <c r="I11" s="9" t="str">
        <f>TEXT(DATE($D$5,I9,1),"Mmm")</f>
        <v>Oct</v>
      </c>
      <c r="J11" s="9" t="str">
        <f>TEXT(DATE($D$5,J9,1),"Mmm")</f>
        <v>Nov</v>
      </c>
      <c r="K11" s="9" t="str">
        <f>TEXT(DATE($D$5,K9,1),"Mmm")</f>
        <v>Dec</v>
      </c>
    </row>
    <row r="12" spans="1:12" x14ac:dyDescent="0.2">
      <c r="C12" s="6" t="str">
        <f>"000-1100-00"</f>
        <v>000-1100-00</v>
      </c>
      <c r="D12" s="6" t="str">
        <f>"Cash - Operating Account"</f>
        <v>Cash - Operating Account</v>
      </c>
      <c r="E12" s="15">
        <v>608637.31000000006</v>
      </c>
      <c r="F12" s="15">
        <v>608637.31000000006</v>
      </c>
      <c r="G12" s="15">
        <v>608637.31000000006</v>
      </c>
      <c r="H12" s="15">
        <v>608637.31000000006</v>
      </c>
      <c r="I12" s="15">
        <v>608637.31000000006</v>
      </c>
      <c r="J12" s="15">
        <v>608637.31000000006</v>
      </c>
      <c r="K12" s="15">
        <v>608637.31000000006</v>
      </c>
      <c r="L12" s="16">
        <f>L11+1</f>
        <v>1</v>
      </c>
    </row>
    <row r="13" spans="1:12" x14ac:dyDescent="0.2">
      <c r="A13" s="3" t="s">
        <v>35</v>
      </c>
      <c r="C13" s="6" t="str">
        <f>"000-1101-00"</f>
        <v>000-1101-00</v>
      </c>
      <c r="D13" s="6" t="str">
        <f>"Cash in Bank - Canada"</f>
        <v>Cash in Bank - Canada</v>
      </c>
      <c r="E13" s="15">
        <v>8957.84</v>
      </c>
      <c r="F13" s="15">
        <v>8957.84</v>
      </c>
      <c r="G13" s="15">
        <v>8957.84</v>
      </c>
      <c r="H13" s="15">
        <v>8957.84</v>
      </c>
      <c r="I13" s="15">
        <v>8957.84</v>
      </c>
      <c r="J13" s="15">
        <v>8957.84</v>
      </c>
      <c r="K13" s="15">
        <v>8957.84</v>
      </c>
      <c r="L13" s="16">
        <f t="shared" ref="L13:L76" si="0">L12+1</f>
        <v>2</v>
      </c>
    </row>
    <row r="14" spans="1:12" x14ac:dyDescent="0.2">
      <c r="A14" s="3" t="s">
        <v>35</v>
      </c>
      <c r="C14" s="6" t="str">
        <f>"000-1102-00"</f>
        <v>000-1102-00</v>
      </c>
      <c r="D14" s="6" t="str">
        <f>"Cash in Bank - Australia"</f>
        <v>Cash in Bank - Australia</v>
      </c>
      <c r="E14" s="15">
        <v>18302.169999999998</v>
      </c>
      <c r="F14" s="15">
        <v>18302.169999999998</v>
      </c>
      <c r="G14" s="15">
        <v>18302.169999999998</v>
      </c>
      <c r="H14" s="15">
        <v>18302.169999999998</v>
      </c>
      <c r="I14" s="15">
        <v>18302.169999999998</v>
      </c>
      <c r="J14" s="15">
        <v>18302.169999999998</v>
      </c>
      <c r="K14" s="15">
        <v>18302.169999999998</v>
      </c>
      <c r="L14" s="16">
        <f t="shared" si="0"/>
        <v>3</v>
      </c>
    </row>
    <row r="15" spans="1:12" x14ac:dyDescent="0.2">
      <c r="A15" s="3" t="s">
        <v>35</v>
      </c>
      <c r="C15" s="6" t="str">
        <f>"000-1103-00"</f>
        <v>000-1103-00</v>
      </c>
      <c r="D15" s="6" t="str">
        <f>"Cash in Bank - New Zealand"</f>
        <v>Cash in Bank - New Zealand</v>
      </c>
      <c r="E15" s="15">
        <v>6007.94</v>
      </c>
      <c r="F15" s="15">
        <v>6007.94</v>
      </c>
      <c r="G15" s="15">
        <v>6007.94</v>
      </c>
      <c r="H15" s="15">
        <v>6007.94</v>
      </c>
      <c r="I15" s="15">
        <v>6007.94</v>
      </c>
      <c r="J15" s="15">
        <v>6007.94</v>
      </c>
      <c r="K15" s="15">
        <v>6007.94</v>
      </c>
      <c r="L15" s="16">
        <f t="shared" si="0"/>
        <v>4</v>
      </c>
    </row>
    <row r="16" spans="1:12" x14ac:dyDescent="0.2">
      <c r="A16" s="3" t="s">
        <v>35</v>
      </c>
      <c r="C16" s="6" t="str">
        <f>"000-1104-00"</f>
        <v>000-1104-00</v>
      </c>
      <c r="D16" s="6" t="str">
        <f>"Cash in Bank - Germany"</f>
        <v>Cash in Bank - Germany</v>
      </c>
      <c r="E16" s="15">
        <v>0</v>
      </c>
      <c r="F16" s="15">
        <v>0</v>
      </c>
      <c r="G16" s="15">
        <v>0</v>
      </c>
      <c r="H16" s="15">
        <v>0</v>
      </c>
      <c r="I16" s="15">
        <v>0</v>
      </c>
      <c r="J16" s="15">
        <v>0</v>
      </c>
      <c r="K16" s="15">
        <v>0</v>
      </c>
      <c r="L16" s="16">
        <f t="shared" si="0"/>
        <v>5</v>
      </c>
    </row>
    <row r="17" spans="1:12" x14ac:dyDescent="0.2">
      <c r="A17" s="3" t="s">
        <v>35</v>
      </c>
      <c r="C17" s="6" t="str">
        <f>"000-1105-00"</f>
        <v>000-1105-00</v>
      </c>
      <c r="D17" s="6" t="str">
        <f>"Cash in Bank - United Kingdom"</f>
        <v>Cash in Bank - United Kingdom</v>
      </c>
      <c r="E17" s="15">
        <v>12697.77</v>
      </c>
      <c r="F17" s="15">
        <v>12697.77</v>
      </c>
      <c r="G17" s="15">
        <v>12697.77</v>
      </c>
      <c r="H17" s="15">
        <v>12697.77</v>
      </c>
      <c r="I17" s="15">
        <v>12697.77</v>
      </c>
      <c r="J17" s="15">
        <v>12697.77</v>
      </c>
      <c r="K17" s="15">
        <v>12697.77</v>
      </c>
      <c r="L17" s="16">
        <f t="shared" si="0"/>
        <v>6</v>
      </c>
    </row>
    <row r="18" spans="1:12" x14ac:dyDescent="0.2">
      <c r="A18" s="3" t="s">
        <v>35</v>
      </c>
      <c r="C18" s="6" t="str">
        <f>"000-1106-00"</f>
        <v>000-1106-00</v>
      </c>
      <c r="D18" s="6" t="str">
        <f>"Cash in Bank - South Africa"</f>
        <v>Cash in Bank - South Africa</v>
      </c>
      <c r="E18" s="15">
        <v>7501.9</v>
      </c>
      <c r="F18" s="15">
        <v>7501.9</v>
      </c>
      <c r="G18" s="15">
        <v>7501.9</v>
      </c>
      <c r="H18" s="15">
        <v>7501.9</v>
      </c>
      <c r="I18" s="15">
        <v>7501.9</v>
      </c>
      <c r="J18" s="15">
        <v>7501.9</v>
      </c>
      <c r="K18" s="15">
        <v>7501.9</v>
      </c>
      <c r="L18" s="16">
        <f t="shared" si="0"/>
        <v>7</v>
      </c>
    </row>
    <row r="19" spans="1:12" x14ac:dyDescent="0.2">
      <c r="A19" s="3" t="s">
        <v>35</v>
      </c>
      <c r="C19" s="6" t="str">
        <f>"000-1107-00"</f>
        <v>000-1107-00</v>
      </c>
      <c r="D19" s="6" t="str">
        <f>"Cash in Bank - Singapore"</f>
        <v>Cash in Bank - Singapore</v>
      </c>
      <c r="E19" s="15">
        <v>6963.24</v>
      </c>
      <c r="F19" s="15">
        <v>6963.24</v>
      </c>
      <c r="G19" s="15">
        <v>6963.24</v>
      </c>
      <c r="H19" s="15">
        <v>6963.24</v>
      </c>
      <c r="I19" s="15">
        <v>6963.24</v>
      </c>
      <c r="J19" s="15">
        <v>6963.24</v>
      </c>
      <c r="K19" s="15">
        <v>6963.24</v>
      </c>
      <c r="L19" s="16">
        <f t="shared" si="0"/>
        <v>8</v>
      </c>
    </row>
    <row r="20" spans="1:12" x14ac:dyDescent="0.2">
      <c r="A20" s="3" t="s">
        <v>35</v>
      </c>
      <c r="C20" s="6" t="str">
        <f>"000-1110-00"</f>
        <v>000-1110-00</v>
      </c>
      <c r="D20" s="6" t="str">
        <f>"Cash - Payroll"</f>
        <v>Cash - Payroll</v>
      </c>
      <c r="E20" s="15">
        <v>-12740.73</v>
      </c>
      <c r="F20" s="15">
        <v>-34883.279999999999</v>
      </c>
      <c r="G20" s="15">
        <v>-56869.74</v>
      </c>
      <c r="H20" s="15">
        <v>-79439.199999999997</v>
      </c>
      <c r="I20" s="15">
        <v>-101716.42</v>
      </c>
      <c r="J20" s="15">
        <v>-123186.36</v>
      </c>
      <c r="K20" s="15">
        <v>-145435.15</v>
      </c>
      <c r="L20" s="16">
        <f t="shared" si="0"/>
        <v>9</v>
      </c>
    </row>
    <row r="21" spans="1:12" x14ac:dyDescent="0.2">
      <c r="A21" s="3" t="s">
        <v>35</v>
      </c>
      <c r="C21" s="6" t="str">
        <f>"000-1120-00"</f>
        <v>000-1120-00</v>
      </c>
      <c r="D21" s="6" t="str">
        <f>"Cash - Flex Benefits Program"</f>
        <v>Cash - Flex Benefits Program</v>
      </c>
      <c r="E21" s="15">
        <v>345.32</v>
      </c>
      <c r="F21" s="15">
        <v>345.32</v>
      </c>
      <c r="G21" s="15">
        <v>345.32</v>
      </c>
      <c r="H21" s="15">
        <v>345.32</v>
      </c>
      <c r="I21" s="15">
        <v>345.32</v>
      </c>
      <c r="J21" s="15">
        <v>345.32</v>
      </c>
      <c r="K21" s="15">
        <v>345.32</v>
      </c>
      <c r="L21" s="16">
        <f t="shared" si="0"/>
        <v>10</v>
      </c>
    </row>
    <row r="22" spans="1:12" x14ac:dyDescent="0.2">
      <c r="A22" s="3" t="s">
        <v>35</v>
      </c>
      <c r="C22" s="6" t="str">
        <f>"000-1130-00"</f>
        <v>000-1130-00</v>
      </c>
      <c r="D22" s="6" t="str">
        <f>"Petty Cash"</f>
        <v>Petty Cash</v>
      </c>
      <c r="E22" s="15">
        <v>319.54000000000002</v>
      </c>
      <c r="F22" s="15">
        <v>319.54000000000002</v>
      </c>
      <c r="G22" s="15">
        <v>319.54000000000002</v>
      </c>
      <c r="H22" s="15">
        <v>319.54000000000002</v>
      </c>
      <c r="I22" s="15">
        <v>319.54000000000002</v>
      </c>
      <c r="J22" s="15">
        <v>319.54000000000002</v>
      </c>
      <c r="K22" s="15">
        <v>319.54000000000002</v>
      </c>
      <c r="L22" s="16">
        <f t="shared" si="0"/>
        <v>11</v>
      </c>
    </row>
    <row r="23" spans="1:12" x14ac:dyDescent="0.2">
      <c r="A23" s="3" t="s">
        <v>35</v>
      </c>
      <c r="C23" s="6" t="str">
        <f>"000-1140-00"</f>
        <v>000-1140-00</v>
      </c>
      <c r="D23" s="6" t="str">
        <f>"Savings"</f>
        <v>Savings</v>
      </c>
      <c r="E23" s="15">
        <v>16316.12</v>
      </c>
      <c r="F23" s="15">
        <v>16316.12</v>
      </c>
      <c r="G23" s="15">
        <v>16316.12</v>
      </c>
      <c r="H23" s="15">
        <v>16316.12</v>
      </c>
      <c r="I23" s="15">
        <v>16316.12</v>
      </c>
      <c r="J23" s="15">
        <v>16316.12</v>
      </c>
      <c r="K23" s="15">
        <v>16316.12</v>
      </c>
      <c r="L23" s="16">
        <f t="shared" si="0"/>
        <v>12</v>
      </c>
    </row>
    <row r="24" spans="1:12" x14ac:dyDescent="0.2">
      <c r="A24" s="3" t="s">
        <v>35</v>
      </c>
      <c r="C24" s="6" t="str">
        <f>"000-1190-00"</f>
        <v>000-1190-00</v>
      </c>
      <c r="D24" s="6" t="str">
        <f>"Cash Suspense"</f>
        <v>Cash Suspense</v>
      </c>
      <c r="E24" s="15">
        <v>0</v>
      </c>
      <c r="F24" s="15">
        <v>0</v>
      </c>
      <c r="G24" s="15">
        <v>0</v>
      </c>
      <c r="H24" s="15">
        <v>0</v>
      </c>
      <c r="I24" s="15">
        <v>0</v>
      </c>
      <c r="J24" s="15">
        <v>0</v>
      </c>
      <c r="K24" s="15">
        <v>0</v>
      </c>
      <c r="L24" s="16">
        <f t="shared" si="0"/>
        <v>13</v>
      </c>
    </row>
    <row r="25" spans="1:12" x14ac:dyDescent="0.2">
      <c r="A25" s="3" t="s">
        <v>35</v>
      </c>
      <c r="C25" s="6" t="str">
        <f>"000-1200-00"</f>
        <v>000-1200-00</v>
      </c>
      <c r="D25" s="6" t="str">
        <f>"Accounts Receivable"</f>
        <v>Accounts Receivable</v>
      </c>
      <c r="E25" s="15">
        <v>1741038.07</v>
      </c>
      <c r="F25" s="15">
        <v>1741038.07</v>
      </c>
      <c r="G25" s="15">
        <v>1741038.07</v>
      </c>
      <c r="H25" s="15">
        <v>1741038.07</v>
      </c>
      <c r="I25" s="15">
        <v>1741038.07</v>
      </c>
      <c r="J25" s="15">
        <v>1741038.07</v>
      </c>
      <c r="K25" s="15">
        <v>1741038.07</v>
      </c>
      <c r="L25" s="16">
        <f t="shared" si="0"/>
        <v>14</v>
      </c>
    </row>
    <row r="26" spans="1:12" x14ac:dyDescent="0.2">
      <c r="A26" s="3" t="s">
        <v>35</v>
      </c>
      <c r="C26" s="6" t="str">
        <f>"000-1205-00"</f>
        <v>000-1205-00</v>
      </c>
      <c r="D26" s="6" t="str">
        <f>"Sales Discounts Available"</f>
        <v>Sales Discounts Available</v>
      </c>
      <c r="E26" s="15">
        <v>3871.03</v>
      </c>
      <c r="F26" s="15">
        <v>3871.03</v>
      </c>
      <c r="G26" s="15">
        <v>3871.03</v>
      </c>
      <c r="H26" s="15">
        <v>3871.03</v>
      </c>
      <c r="I26" s="15">
        <v>3871.03</v>
      </c>
      <c r="J26" s="15">
        <v>3871.03</v>
      </c>
      <c r="K26" s="15">
        <v>3871.03</v>
      </c>
      <c r="L26" s="16">
        <f t="shared" si="0"/>
        <v>15</v>
      </c>
    </row>
    <row r="27" spans="1:12" x14ac:dyDescent="0.2">
      <c r="A27" s="3" t="s">
        <v>35</v>
      </c>
      <c r="C27" s="6" t="str">
        <f>"000-1210-00"</f>
        <v>000-1210-00</v>
      </c>
      <c r="D27" s="6" t="str">
        <f>"Allowance for Doubtful Accounts"</f>
        <v>Allowance for Doubtful Accounts</v>
      </c>
      <c r="E27" s="15">
        <v>-45963.3</v>
      </c>
      <c r="F27" s="15">
        <v>-45963.3</v>
      </c>
      <c r="G27" s="15">
        <v>-45963.3</v>
      </c>
      <c r="H27" s="15">
        <v>-45963.3</v>
      </c>
      <c r="I27" s="15">
        <v>-45963.3</v>
      </c>
      <c r="J27" s="15">
        <v>-45963.3</v>
      </c>
      <c r="K27" s="15">
        <v>-45963.3</v>
      </c>
      <c r="L27" s="16">
        <f t="shared" si="0"/>
        <v>16</v>
      </c>
    </row>
    <row r="28" spans="1:12" x14ac:dyDescent="0.2">
      <c r="A28" s="3" t="s">
        <v>35</v>
      </c>
      <c r="C28" s="6" t="str">
        <f>"000-1220-00"</f>
        <v>000-1220-00</v>
      </c>
      <c r="D28" s="6" t="str">
        <f>"Credit Card Receivable"</f>
        <v>Credit Card Receivable</v>
      </c>
      <c r="E28" s="15">
        <v>0</v>
      </c>
      <c r="F28" s="15">
        <v>0</v>
      </c>
      <c r="G28" s="15">
        <v>0</v>
      </c>
      <c r="H28" s="15">
        <v>0</v>
      </c>
      <c r="I28" s="15">
        <v>0</v>
      </c>
      <c r="J28" s="15">
        <v>0</v>
      </c>
      <c r="K28" s="15">
        <v>0</v>
      </c>
      <c r="L28" s="16">
        <f t="shared" si="0"/>
        <v>17</v>
      </c>
    </row>
    <row r="29" spans="1:12" x14ac:dyDescent="0.2">
      <c r="A29" s="3" t="s">
        <v>35</v>
      </c>
      <c r="C29" s="6" t="str">
        <f>"000-1220-01"</f>
        <v>000-1220-01</v>
      </c>
      <c r="D29" s="6" t="str">
        <f>"Credit Card Receivable-AmericaCharge"</f>
        <v>Credit Card Receivable-AmericaCharge</v>
      </c>
      <c r="E29" s="15">
        <v>22500</v>
      </c>
      <c r="F29" s="15">
        <v>22500</v>
      </c>
      <c r="G29" s="15">
        <v>22500</v>
      </c>
      <c r="H29" s="15">
        <v>22500</v>
      </c>
      <c r="I29" s="15">
        <v>22500</v>
      </c>
      <c r="J29" s="15">
        <v>22500</v>
      </c>
      <c r="K29" s="15">
        <v>22500</v>
      </c>
      <c r="L29" s="16">
        <f t="shared" si="0"/>
        <v>18</v>
      </c>
    </row>
    <row r="30" spans="1:12" x14ac:dyDescent="0.2">
      <c r="A30" s="3" t="s">
        <v>35</v>
      </c>
      <c r="C30" s="6" t="str">
        <f>"000-1220-02"</f>
        <v>000-1220-02</v>
      </c>
      <c r="D30" s="6" t="str">
        <f>"Credit Card Receivable-Retail"</f>
        <v>Credit Card Receivable-Retail</v>
      </c>
      <c r="E30" s="15">
        <v>0</v>
      </c>
      <c r="F30" s="15">
        <v>0</v>
      </c>
      <c r="G30" s="15">
        <v>0</v>
      </c>
      <c r="H30" s="15">
        <v>0</v>
      </c>
      <c r="I30" s="15">
        <v>0</v>
      </c>
      <c r="J30" s="15">
        <v>0</v>
      </c>
      <c r="K30" s="15">
        <v>0</v>
      </c>
      <c r="L30" s="16">
        <f t="shared" si="0"/>
        <v>19</v>
      </c>
    </row>
    <row r="31" spans="1:12" x14ac:dyDescent="0.2">
      <c r="A31" s="3" t="s">
        <v>35</v>
      </c>
      <c r="C31" s="6" t="str">
        <f>"000-1220-03"</f>
        <v>000-1220-03</v>
      </c>
      <c r="D31" s="6" t="str">
        <f>"Credit Card Receivable-Gold"</f>
        <v>Credit Card Receivable-Gold</v>
      </c>
      <c r="E31" s="15">
        <v>0</v>
      </c>
      <c r="F31" s="15">
        <v>0</v>
      </c>
      <c r="G31" s="15">
        <v>0</v>
      </c>
      <c r="H31" s="15">
        <v>0</v>
      </c>
      <c r="I31" s="15">
        <v>0</v>
      </c>
      <c r="J31" s="15">
        <v>0</v>
      </c>
      <c r="K31" s="15">
        <v>0</v>
      </c>
      <c r="L31" s="16">
        <f t="shared" si="0"/>
        <v>20</v>
      </c>
    </row>
    <row r="32" spans="1:12" x14ac:dyDescent="0.2">
      <c r="A32" s="3" t="s">
        <v>35</v>
      </c>
      <c r="C32" s="6" t="str">
        <f>"000-1220-04"</f>
        <v>000-1220-04</v>
      </c>
      <c r="D32" s="6" t="str">
        <f>"Credit Card Receivable-Platinum"</f>
        <v>Credit Card Receivable-Platinum</v>
      </c>
      <c r="E32" s="15">
        <v>0</v>
      </c>
      <c r="F32" s="15">
        <v>0</v>
      </c>
      <c r="G32" s="15">
        <v>0</v>
      </c>
      <c r="H32" s="15">
        <v>0</v>
      </c>
      <c r="I32" s="15">
        <v>0</v>
      </c>
      <c r="J32" s="15">
        <v>0</v>
      </c>
      <c r="K32" s="15">
        <v>0</v>
      </c>
      <c r="L32" s="16">
        <f t="shared" si="0"/>
        <v>21</v>
      </c>
    </row>
    <row r="33" spans="1:12" x14ac:dyDescent="0.2">
      <c r="A33" s="3" t="s">
        <v>35</v>
      </c>
      <c r="C33" s="6" t="str">
        <f>"000-1230-00"</f>
        <v>000-1230-00</v>
      </c>
      <c r="D33" s="6" t="str">
        <f>"Interest Receivable"</f>
        <v>Interest Receivable</v>
      </c>
      <c r="E33" s="15">
        <v>250</v>
      </c>
      <c r="F33" s="15">
        <v>250</v>
      </c>
      <c r="G33" s="15">
        <v>250</v>
      </c>
      <c r="H33" s="15">
        <v>250</v>
      </c>
      <c r="I33" s="15">
        <v>250</v>
      </c>
      <c r="J33" s="15">
        <v>250</v>
      </c>
      <c r="K33" s="15">
        <v>250</v>
      </c>
      <c r="L33" s="16">
        <f t="shared" si="0"/>
        <v>22</v>
      </c>
    </row>
    <row r="34" spans="1:12" x14ac:dyDescent="0.2">
      <c r="A34" s="3" t="s">
        <v>35</v>
      </c>
      <c r="C34" s="6" t="str">
        <f>"000-1240-00"</f>
        <v>000-1240-00</v>
      </c>
      <c r="D34" s="6" t="str">
        <f>"Notes Receivable"</f>
        <v>Notes Receivable</v>
      </c>
      <c r="E34" s="15">
        <v>5000</v>
      </c>
      <c r="F34" s="15">
        <v>5000</v>
      </c>
      <c r="G34" s="15">
        <v>5000</v>
      </c>
      <c r="H34" s="15">
        <v>5000</v>
      </c>
      <c r="I34" s="15">
        <v>5000</v>
      </c>
      <c r="J34" s="15">
        <v>5000</v>
      </c>
      <c r="K34" s="15">
        <v>5000</v>
      </c>
      <c r="L34" s="16">
        <f t="shared" si="0"/>
        <v>23</v>
      </c>
    </row>
    <row r="35" spans="1:12" x14ac:dyDescent="0.2">
      <c r="A35" s="3" t="s">
        <v>35</v>
      </c>
      <c r="C35" s="6" t="str">
        <f>"000-1250-00"</f>
        <v>000-1250-00</v>
      </c>
      <c r="D35" s="6" t="str">
        <f>"Other Receivables"</f>
        <v>Other Receivables</v>
      </c>
      <c r="E35" s="15">
        <v>0</v>
      </c>
      <c r="F35" s="15">
        <v>0</v>
      </c>
      <c r="G35" s="15">
        <v>0</v>
      </c>
      <c r="H35" s="15">
        <v>0</v>
      </c>
      <c r="I35" s="15">
        <v>0</v>
      </c>
      <c r="J35" s="15">
        <v>0</v>
      </c>
      <c r="K35" s="15">
        <v>0</v>
      </c>
      <c r="L35" s="16">
        <f t="shared" si="0"/>
        <v>24</v>
      </c>
    </row>
    <row r="36" spans="1:12" x14ac:dyDescent="0.2">
      <c r="A36" s="3" t="s">
        <v>35</v>
      </c>
      <c r="C36" s="6" t="str">
        <f>"000-1260-00"</f>
        <v>000-1260-00</v>
      </c>
      <c r="D36" s="6" t="str">
        <f>"Employee Advances"</f>
        <v>Employee Advances</v>
      </c>
      <c r="E36" s="15">
        <v>250</v>
      </c>
      <c r="F36" s="15">
        <v>250</v>
      </c>
      <c r="G36" s="15">
        <v>250</v>
      </c>
      <c r="H36" s="15">
        <v>250</v>
      </c>
      <c r="I36" s="15">
        <v>250</v>
      </c>
      <c r="J36" s="15">
        <v>250</v>
      </c>
      <c r="K36" s="15">
        <v>250</v>
      </c>
      <c r="L36" s="16">
        <f t="shared" si="0"/>
        <v>25</v>
      </c>
    </row>
    <row r="37" spans="1:12" x14ac:dyDescent="0.2">
      <c r="A37" s="3" t="s">
        <v>35</v>
      </c>
      <c r="C37" s="6" t="str">
        <f>"000-1270-00"</f>
        <v>000-1270-00</v>
      </c>
      <c r="D37" s="6" t="str">
        <f>"Accounts Receivable-MC Trx"</f>
        <v>Accounts Receivable-MC Trx</v>
      </c>
      <c r="E37" s="15">
        <v>0</v>
      </c>
      <c r="F37" s="15">
        <v>0</v>
      </c>
      <c r="G37" s="15">
        <v>0</v>
      </c>
      <c r="H37" s="15">
        <v>0</v>
      </c>
      <c r="I37" s="15">
        <v>0</v>
      </c>
      <c r="J37" s="15">
        <v>0</v>
      </c>
      <c r="K37" s="15">
        <v>0</v>
      </c>
      <c r="L37" s="16">
        <f t="shared" si="0"/>
        <v>26</v>
      </c>
    </row>
    <row r="38" spans="1:12" x14ac:dyDescent="0.2">
      <c r="A38" s="3" t="s">
        <v>35</v>
      </c>
      <c r="C38" s="6" t="str">
        <f>"000-1271-00"</f>
        <v>000-1271-00</v>
      </c>
      <c r="D38" s="6" t="str">
        <f>"Accounts Receivable - Canada"</f>
        <v>Accounts Receivable - Canada</v>
      </c>
      <c r="E38" s="15">
        <v>26757.58</v>
      </c>
      <c r="F38" s="15">
        <v>26757.58</v>
      </c>
      <c r="G38" s="15">
        <v>26757.58</v>
      </c>
      <c r="H38" s="15">
        <v>26757.58</v>
      </c>
      <c r="I38" s="15">
        <v>26757.58</v>
      </c>
      <c r="J38" s="15">
        <v>26757.58</v>
      </c>
      <c r="K38" s="15">
        <v>26757.58</v>
      </c>
      <c r="L38" s="16">
        <f t="shared" si="0"/>
        <v>27</v>
      </c>
    </row>
    <row r="39" spans="1:12" x14ac:dyDescent="0.2">
      <c r="A39" s="3" t="s">
        <v>35</v>
      </c>
      <c r="C39" s="6" t="str">
        <f>"000-1272-00"</f>
        <v>000-1272-00</v>
      </c>
      <c r="D39" s="6" t="str">
        <f>"Accounts Receivables - Australia"</f>
        <v>Accounts Receivables - Australia</v>
      </c>
      <c r="E39" s="15">
        <v>11164.46</v>
      </c>
      <c r="F39" s="15">
        <v>11164.46</v>
      </c>
      <c r="G39" s="15">
        <v>11164.46</v>
      </c>
      <c r="H39" s="15">
        <v>11164.46</v>
      </c>
      <c r="I39" s="15">
        <v>11164.46</v>
      </c>
      <c r="J39" s="15">
        <v>11164.46</v>
      </c>
      <c r="K39" s="15">
        <v>11164.46</v>
      </c>
      <c r="L39" s="16">
        <f t="shared" si="0"/>
        <v>28</v>
      </c>
    </row>
    <row r="40" spans="1:12" x14ac:dyDescent="0.2">
      <c r="A40" s="3" t="s">
        <v>35</v>
      </c>
      <c r="C40" s="6" t="str">
        <f>"000-1273-00"</f>
        <v>000-1273-00</v>
      </c>
      <c r="D40" s="6" t="str">
        <f>"Accounts Receivable - New Zealand"</f>
        <v>Accounts Receivable - New Zealand</v>
      </c>
      <c r="E40" s="15">
        <v>9381.7900000000009</v>
      </c>
      <c r="F40" s="15">
        <v>9381.7900000000009</v>
      </c>
      <c r="G40" s="15">
        <v>9381.7900000000009</v>
      </c>
      <c r="H40" s="15">
        <v>9381.7900000000009</v>
      </c>
      <c r="I40" s="15">
        <v>9381.7900000000009</v>
      </c>
      <c r="J40" s="15">
        <v>9381.7900000000009</v>
      </c>
      <c r="K40" s="15">
        <v>9381.7900000000009</v>
      </c>
      <c r="L40" s="16">
        <f t="shared" si="0"/>
        <v>29</v>
      </c>
    </row>
    <row r="41" spans="1:12" x14ac:dyDescent="0.2">
      <c r="A41" s="3" t="s">
        <v>35</v>
      </c>
      <c r="C41" s="6" t="str">
        <f>"000-1274-00"</f>
        <v>000-1274-00</v>
      </c>
      <c r="D41" s="6" t="str">
        <f>"Accounts Receivable - Germany"</f>
        <v>Accounts Receivable - Germany</v>
      </c>
      <c r="E41" s="15">
        <v>0</v>
      </c>
      <c r="F41" s="15">
        <v>0</v>
      </c>
      <c r="G41" s="15">
        <v>0</v>
      </c>
      <c r="H41" s="15">
        <v>0</v>
      </c>
      <c r="I41" s="15">
        <v>0</v>
      </c>
      <c r="J41" s="15">
        <v>0</v>
      </c>
      <c r="K41" s="15">
        <v>0</v>
      </c>
      <c r="L41" s="16">
        <f t="shared" si="0"/>
        <v>30</v>
      </c>
    </row>
    <row r="42" spans="1:12" x14ac:dyDescent="0.2">
      <c r="A42" s="3" t="s">
        <v>35</v>
      </c>
      <c r="C42" s="6" t="str">
        <f>"000-1275-00"</f>
        <v>000-1275-00</v>
      </c>
      <c r="D42" s="6" t="str">
        <f>"Accounts Receivable - United Kingdom"</f>
        <v>Accounts Receivable - United Kingdom</v>
      </c>
      <c r="E42" s="15">
        <v>2003.24</v>
      </c>
      <c r="F42" s="15">
        <v>2003.24</v>
      </c>
      <c r="G42" s="15">
        <v>2003.24</v>
      </c>
      <c r="H42" s="15">
        <v>2003.24</v>
      </c>
      <c r="I42" s="15">
        <v>2003.24</v>
      </c>
      <c r="J42" s="15">
        <v>2003.24</v>
      </c>
      <c r="K42" s="15">
        <v>2003.24</v>
      </c>
      <c r="L42" s="16">
        <f t="shared" si="0"/>
        <v>31</v>
      </c>
    </row>
    <row r="43" spans="1:12" x14ac:dyDescent="0.2">
      <c r="A43" s="3" t="s">
        <v>35</v>
      </c>
      <c r="C43" s="6" t="str">
        <f>"000-1276-00"</f>
        <v>000-1276-00</v>
      </c>
      <c r="D43" s="6" t="str">
        <f>"Accounts Receivable - South Africa"</f>
        <v>Accounts Receivable - South Africa</v>
      </c>
      <c r="E43" s="15">
        <v>6772.78</v>
      </c>
      <c r="F43" s="15">
        <v>6772.78</v>
      </c>
      <c r="G43" s="15">
        <v>6772.78</v>
      </c>
      <c r="H43" s="15">
        <v>6772.78</v>
      </c>
      <c r="I43" s="15">
        <v>6772.78</v>
      </c>
      <c r="J43" s="15">
        <v>6772.78</v>
      </c>
      <c r="K43" s="15">
        <v>6772.78</v>
      </c>
      <c r="L43" s="16">
        <f t="shared" si="0"/>
        <v>32</v>
      </c>
    </row>
    <row r="44" spans="1:12" x14ac:dyDescent="0.2">
      <c r="A44" s="3" t="s">
        <v>35</v>
      </c>
      <c r="C44" s="6" t="str">
        <f>"000-1277-00"</f>
        <v>000-1277-00</v>
      </c>
      <c r="D44" s="6" t="str">
        <f>"Accounts Receivable - Singapore"</f>
        <v>Accounts Receivable - Singapore</v>
      </c>
      <c r="E44" s="15">
        <v>3221.71</v>
      </c>
      <c r="F44" s="15">
        <v>3221.71</v>
      </c>
      <c r="G44" s="15">
        <v>3221.71</v>
      </c>
      <c r="H44" s="15">
        <v>3221.71</v>
      </c>
      <c r="I44" s="15">
        <v>3221.71</v>
      </c>
      <c r="J44" s="15">
        <v>3221.71</v>
      </c>
      <c r="K44" s="15">
        <v>3221.71</v>
      </c>
      <c r="L44" s="16">
        <f t="shared" si="0"/>
        <v>33</v>
      </c>
    </row>
    <row r="45" spans="1:12" x14ac:dyDescent="0.2">
      <c r="A45" s="3" t="s">
        <v>35</v>
      </c>
      <c r="C45" s="6" t="str">
        <f>"000-1280-00"</f>
        <v>000-1280-00</v>
      </c>
      <c r="D45" s="6" t="str">
        <f>"Unbilled Accounts Receivable"</f>
        <v>Unbilled Accounts Receivable</v>
      </c>
      <c r="E45" s="15">
        <v>0</v>
      </c>
      <c r="F45" s="15">
        <v>0</v>
      </c>
      <c r="G45" s="15">
        <v>0</v>
      </c>
      <c r="H45" s="15">
        <v>0</v>
      </c>
      <c r="I45" s="15">
        <v>0</v>
      </c>
      <c r="J45" s="15">
        <v>0</v>
      </c>
      <c r="K45" s="15">
        <v>0</v>
      </c>
      <c r="L45" s="16">
        <f t="shared" si="0"/>
        <v>34</v>
      </c>
    </row>
    <row r="46" spans="1:12" x14ac:dyDescent="0.2">
      <c r="A46" s="3" t="s">
        <v>35</v>
      </c>
      <c r="C46" s="6" t="str">
        <f>"000-1300-01"</f>
        <v>000-1300-01</v>
      </c>
      <c r="D46" s="6" t="str">
        <f>"Inventory - Retail/Parts"</f>
        <v>Inventory - Retail/Parts</v>
      </c>
      <c r="E46" s="15">
        <v>249677.88</v>
      </c>
      <c r="F46" s="15">
        <v>249677.88</v>
      </c>
      <c r="G46" s="15">
        <v>249981.84</v>
      </c>
      <c r="H46" s="15">
        <v>249981.84</v>
      </c>
      <c r="I46" s="15">
        <v>249981.84</v>
      </c>
      <c r="J46" s="15">
        <v>249981.84</v>
      </c>
      <c r="K46" s="15">
        <v>249981.84</v>
      </c>
      <c r="L46" s="16">
        <f t="shared" si="0"/>
        <v>35</v>
      </c>
    </row>
    <row r="47" spans="1:12" x14ac:dyDescent="0.2">
      <c r="A47" s="3" t="s">
        <v>35</v>
      </c>
      <c r="C47" s="6" t="str">
        <f>"000-1300-02"</f>
        <v>000-1300-02</v>
      </c>
      <c r="D47" s="6" t="str">
        <f>"Inventory - Finished Goods"</f>
        <v>Inventory - Finished Goods</v>
      </c>
      <c r="E47" s="15">
        <v>64341.37</v>
      </c>
      <c r="F47" s="15">
        <v>64341.37</v>
      </c>
      <c r="G47" s="15">
        <v>64037.41</v>
      </c>
      <c r="H47" s="15">
        <v>64037.41</v>
      </c>
      <c r="I47" s="15">
        <v>64037.41</v>
      </c>
      <c r="J47" s="15">
        <v>64037.41</v>
      </c>
      <c r="K47" s="15">
        <v>64037.41</v>
      </c>
      <c r="L47" s="16">
        <f t="shared" si="0"/>
        <v>36</v>
      </c>
    </row>
    <row r="48" spans="1:12" x14ac:dyDescent="0.2">
      <c r="A48" s="3" t="s">
        <v>35</v>
      </c>
      <c r="C48" s="6" t="str">
        <f>"000-1310-01"</f>
        <v>000-1310-01</v>
      </c>
      <c r="D48" s="6" t="str">
        <f>"Inventory Warehouse - Retail/Parts"</f>
        <v>Inventory Warehouse - Retail/Parts</v>
      </c>
      <c r="E48" s="15">
        <v>62613.94</v>
      </c>
      <c r="F48" s="15">
        <v>62613.94</v>
      </c>
      <c r="G48" s="15">
        <v>62613.94</v>
      </c>
      <c r="H48" s="15">
        <v>62613.94</v>
      </c>
      <c r="I48" s="15">
        <v>62613.94</v>
      </c>
      <c r="J48" s="15">
        <v>62613.94</v>
      </c>
      <c r="K48" s="15">
        <v>62613.94</v>
      </c>
      <c r="L48" s="16">
        <f t="shared" si="0"/>
        <v>37</v>
      </c>
    </row>
    <row r="49" spans="1:12" x14ac:dyDescent="0.2">
      <c r="A49" s="3" t="s">
        <v>35</v>
      </c>
      <c r="C49" s="6" t="str">
        <f>"000-1312-00"</f>
        <v>000-1312-00</v>
      </c>
      <c r="D49" s="6" t="str">
        <f>"Inventory Offset"</f>
        <v>Inventory Offset</v>
      </c>
      <c r="E49" s="15">
        <v>0</v>
      </c>
      <c r="F49" s="15">
        <v>0</v>
      </c>
      <c r="G49" s="15">
        <v>0</v>
      </c>
      <c r="H49" s="15">
        <v>0</v>
      </c>
      <c r="I49" s="15">
        <v>0</v>
      </c>
      <c r="J49" s="15">
        <v>0</v>
      </c>
      <c r="K49" s="15">
        <v>0</v>
      </c>
      <c r="L49" s="16">
        <f t="shared" si="0"/>
        <v>38</v>
      </c>
    </row>
    <row r="50" spans="1:12" x14ac:dyDescent="0.2">
      <c r="A50" s="3" t="s">
        <v>35</v>
      </c>
      <c r="C50" s="6" t="str">
        <f>"000-1320-01"</f>
        <v>000-1320-01</v>
      </c>
      <c r="D50" s="6" t="str">
        <f>"Non-inventoried item"</f>
        <v>Non-inventoried item</v>
      </c>
      <c r="E50" s="15">
        <v>0</v>
      </c>
      <c r="F50" s="15">
        <v>0</v>
      </c>
      <c r="G50" s="15">
        <v>0</v>
      </c>
      <c r="H50" s="15">
        <v>0</v>
      </c>
      <c r="I50" s="15">
        <v>0</v>
      </c>
      <c r="J50" s="15">
        <v>0</v>
      </c>
      <c r="K50" s="15">
        <v>0</v>
      </c>
      <c r="L50" s="16">
        <f t="shared" si="0"/>
        <v>39</v>
      </c>
    </row>
    <row r="51" spans="1:12" x14ac:dyDescent="0.2">
      <c r="A51" s="3" t="s">
        <v>35</v>
      </c>
      <c r="C51" s="6" t="str">
        <f>"000-1330-01"</f>
        <v>000-1330-01</v>
      </c>
      <c r="D51" s="6" t="str">
        <f>"Inventory Returns - Retail/Parts"</f>
        <v>Inventory Returns - Retail/Parts</v>
      </c>
      <c r="E51" s="15">
        <v>0</v>
      </c>
      <c r="F51" s="15">
        <v>0</v>
      </c>
      <c r="G51" s="15">
        <v>0</v>
      </c>
      <c r="H51" s="15">
        <v>0</v>
      </c>
      <c r="I51" s="15">
        <v>0</v>
      </c>
      <c r="J51" s="15">
        <v>0</v>
      </c>
      <c r="K51" s="15">
        <v>0</v>
      </c>
      <c r="L51" s="16">
        <f t="shared" si="0"/>
        <v>40</v>
      </c>
    </row>
    <row r="52" spans="1:12" x14ac:dyDescent="0.2">
      <c r="A52" s="3" t="s">
        <v>35</v>
      </c>
      <c r="C52" s="6" t="str">
        <f>"000-1330-02"</f>
        <v>000-1330-02</v>
      </c>
      <c r="D52" s="6" t="str">
        <f>"Inventory Returns - Finished Goods"</f>
        <v>Inventory Returns - Finished Goods</v>
      </c>
      <c r="E52" s="15">
        <v>0</v>
      </c>
      <c r="F52" s="15">
        <v>0</v>
      </c>
      <c r="G52" s="15">
        <v>0</v>
      </c>
      <c r="H52" s="15">
        <v>0</v>
      </c>
      <c r="I52" s="15">
        <v>0</v>
      </c>
      <c r="J52" s="15">
        <v>0</v>
      </c>
      <c r="K52" s="15">
        <v>0</v>
      </c>
      <c r="L52" s="16">
        <f t="shared" si="0"/>
        <v>41</v>
      </c>
    </row>
    <row r="53" spans="1:12" x14ac:dyDescent="0.2">
      <c r="A53" s="3" t="s">
        <v>35</v>
      </c>
      <c r="C53" s="6" t="str">
        <f>"000-1330-03"</f>
        <v>000-1330-03</v>
      </c>
      <c r="D53" s="6" t="str">
        <f>"Inventory Returns - Warehouse"</f>
        <v>Inventory Returns - Warehouse</v>
      </c>
      <c r="E53" s="15">
        <v>0</v>
      </c>
      <c r="F53" s="15">
        <v>0</v>
      </c>
      <c r="G53" s="15">
        <v>0</v>
      </c>
      <c r="H53" s="15">
        <v>0</v>
      </c>
      <c r="I53" s="15">
        <v>0</v>
      </c>
      <c r="J53" s="15">
        <v>0</v>
      </c>
      <c r="K53" s="15">
        <v>0</v>
      </c>
      <c r="L53" s="16">
        <f t="shared" si="0"/>
        <v>42</v>
      </c>
    </row>
    <row r="54" spans="1:12" x14ac:dyDescent="0.2">
      <c r="A54" s="3" t="s">
        <v>35</v>
      </c>
      <c r="C54" s="6" t="str">
        <f>"000-1340-01"</f>
        <v>000-1340-01</v>
      </c>
      <c r="D54" s="6" t="str">
        <f>"Work in Progress"</f>
        <v>Work in Progress</v>
      </c>
      <c r="E54" s="15">
        <v>0</v>
      </c>
      <c r="F54" s="15">
        <v>0</v>
      </c>
      <c r="G54" s="15">
        <v>0</v>
      </c>
      <c r="H54" s="15">
        <v>0</v>
      </c>
      <c r="I54" s="15">
        <v>0</v>
      </c>
      <c r="J54" s="15">
        <v>0</v>
      </c>
      <c r="K54" s="15">
        <v>0</v>
      </c>
      <c r="L54" s="16">
        <f t="shared" si="0"/>
        <v>43</v>
      </c>
    </row>
    <row r="55" spans="1:12" x14ac:dyDescent="0.2">
      <c r="A55" s="3" t="s">
        <v>35</v>
      </c>
      <c r="C55" s="6" t="str">
        <f>"000-1350-02"</f>
        <v>000-1350-02</v>
      </c>
      <c r="D55" s="6" t="str">
        <f>"Inventory - Mat. Fixed OH"</f>
        <v>Inventory - Mat. Fixed OH</v>
      </c>
      <c r="E55" s="15">
        <v>0</v>
      </c>
      <c r="F55" s="15">
        <v>0</v>
      </c>
      <c r="G55" s="15">
        <v>0</v>
      </c>
      <c r="H55" s="15">
        <v>0</v>
      </c>
      <c r="I55" s="15">
        <v>0</v>
      </c>
      <c r="J55" s="15">
        <v>0</v>
      </c>
      <c r="K55" s="15">
        <v>0</v>
      </c>
      <c r="L55" s="16">
        <f t="shared" si="0"/>
        <v>44</v>
      </c>
    </row>
    <row r="56" spans="1:12" x14ac:dyDescent="0.2">
      <c r="A56" s="3" t="s">
        <v>35</v>
      </c>
      <c r="C56" s="6" t="str">
        <f>"000-1350-03"</f>
        <v>000-1350-03</v>
      </c>
      <c r="D56" s="6" t="str">
        <f>"Inventory - Mat. Var. OH"</f>
        <v>Inventory - Mat. Var. OH</v>
      </c>
      <c r="E56" s="15">
        <v>0</v>
      </c>
      <c r="F56" s="15">
        <v>0</v>
      </c>
      <c r="G56" s="15">
        <v>0</v>
      </c>
      <c r="H56" s="15">
        <v>0</v>
      </c>
      <c r="I56" s="15">
        <v>0</v>
      </c>
      <c r="J56" s="15">
        <v>0</v>
      </c>
      <c r="K56" s="15">
        <v>0</v>
      </c>
      <c r="L56" s="16">
        <f t="shared" si="0"/>
        <v>45</v>
      </c>
    </row>
    <row r="57" spans="1:12" x14ac:dyDescent="0.2">
      <c r="A57" s="3" t="s">
        <v>35</v>
      </c>
      <c r="C57" s="6" t="str">
        <f>"000-1350-04"</f>
        <v>000-1350-04</v>
      </c>
      <c r="D57" s="6" t="str">
        <f>"Inventory - Labor"</f>
        <v>Inventory - Labor</v>
      </c>
      <c r="E57" s="15">
        <v>0</v>
      </c>
      <c r="F57" s="15">
        <v>0</v>
      </c>
      <c r="G57" s="15">
        <v>0</v>
      </c>
      <c r="H57" s="15">
        <v>0</v>
      </c>
      <c r="I57" s="15">
        <v>0</v>
      </c>
      <c r="J57" s="15">
        <v>0</v>
      </c>
      <c r="K57" s="15">
        <v>0</v>
      </c>
      <c r="L57" s="16">
        <f t="shared" si="0"/>
        <v>46</v>
      </c>
    </row>
    <row r="58" spans="1:12" x14ac:dyDescent="0.2">
      <c r="A58" s="3" t="s">
        <v>35</v>
      </c>
      <c r="C58" s="6" t="str">
        <f>"000-1350-05"</f>
        <v>000-1350-05</v>
      </c>
      <c r="D58" s="6" t="str">
        <f>"Inventory - Labor Fixed OH"</f>
        <v>Inventory - Labor Fixed OH</v>
      </c>
      <c r="E58" s="15">
        <v>0</v>
      </c>
      <c r="F58" s="15">
        <v>0</v>
      </c>
      <c r="G58" s="15">
        <v>0</v>
      </c>
      <c r="H58" s="15">
        <v>0</v>
      </c>
      <c r="I58" s="15">
        <v>0</v>
      </c>
      <c r="J58" s="15">
        <v>0</v>
      </c>
      <c r="K58" s="15">
        <v>0</v>
      </c>
      <c r="L58" s="16">
        <f t="shared" si="0"/>
        <v>47</v>
      </c>
    </row>
    <row r="59" spans="1:12" x14ac:dyDescent="0.2">
      <c r="A59" s="3" t="s">
        <v>35</v>
      </c>
      <c r="C59" s="6" t="str">
        <f>"000-1350-06"</f>
        <v>000-1350-06</v>
      </c>
      <c r="D59" s="6" t="str">
        <f>"Inventory - Labor Var. OH"</f>
        <v>Inventory - Labor Var. OH</v>
      </c>
      <c r="E59" s="15">
        <v>0</v>
      </c>
      <c r="F59" s="15">
        <v>0</v>
      </c>
      <c r="G59" s="15">
        <v>0</v>
      </c>
      <c r="H59" s="15">
        <v>0</v>
      </c>
      <c r="I59" s="15">
        <v>0</v>
      </c>
      <c r="J59" s="15">
        <v>0</v>
      </c>
      <c r="K59" s="15">
        <v>0</v>
      </c>
      <c r="L59" s="16">
        <f t="shared" si="0"/>
        <v>48</v>
      </c>
    </row>
    <row r="60" spans="1:12" x14ac:dyDescent="0.2">
      <c r="A60" s="3" t="s">
        <v>35</v>
      </c>
      <c r="C60" s="6" t="str">
        <f>"000-1350-07"</f>
        <v>000-1350-07</v>
      </c>
      <c r="D60" s="6" t="str">
        <f>"Inventory - Machine"</f>
        <v>Inventory - Machine</v>
      </c>
      <c r="E60" s="15">
        <v>0</v>
      </c>
      <c r="F60" s="15">
        <v>0</v>
      </c>
      <c r="G60" s="15">
        <v>0</v>
      </c>
      <c r="H60" s="15">
        <v>0</v>
      </c>
      <c r="I60" s="15">
        <v>0</v>
      </c>
      <c r="J60" s="15">
        <v>0</v>
      </c>
      <c r="K60" s="15">
        <v>0</v>
      </c>
      <c r="L60" s="16">
        <f t="shared" si="0"/>
        <v>49</v>
      </c>
    </row>
    <row r="61" spans="1:12" x14ac:dyDescent="0.2">
      <c r="A61" s="3" t="s">
        <v>35</v>
      </c>
      <c r="C61" s="6" t="str">
        <f>"000-1350-08"</f>
        <v>000-1350-08</v>
      </c>
      <c r="D61" s="6" t="str">
        <f>"Inventory - Mach. Fixed OH"</f>
        <v>Inventory - Mach. Fixed OH</v>
      </c>
      <c r="E61" s="15">
        <v>0</v>
      </c>
      <c r="F61" s="15">
        <v>0</v>
      </c>
      <c r="G61" s="15">
        <v>0</v>
      </c>
      <c r="H61" s="15">
        <v>0</v>
      </c>
      <c r="I61" s="15">
        <v>0</v>
      </c>
      <c r="J61" s="15">
        <v>0</v>
      </c>
      <c r="K61" s="15">
        <v>0</v>
      </c>
      <c r="L61" s="16">
        <f t="shared" si="0"/>
        <v>50</v>
      </c>
    </row>
    <row r="62" spans="1:12" x14ac:dyDescent="0.2">
      <c r="A62" s="3" t="s">
        <v>35</v>
      </c>
      <c r="C62" s="6" t="str">
        <f>"000-1350-09"</f>
        <v>000-1350-09</v>
      </c>
      <c r="D62" s="6" t="str">
        <f>"Inventory - Mach. Var. OH"</f>
        <v>Inventory - Mach. Var. OH</v>
      </c>
      <c r="E62" s="15">
        <v>0</v>
      </c>
      <c r="F62" s="15">
        <v>0</v>
      </c>
      <c r="G62" s="15">
        <v>0</v>
      </c>
      <c r="H62" s="15">
        <v>0</v>
      </c>
      <c r="I62" s="15">
        <v>0</v>
      </c>
      <c r="J62" s="15">
        <v>0</v>
      </c>
      <c r="K62" s="15">
        <v>0</v>
      </c>
      <c r="L62" s="16">
        <f t="shared" si="0"/>
        <v>51</v>
      </c>
    </row>
    <row r="63" spans="1:12" x14ac:dyDescent="0.2">
      <c r="A63" s="3" t="s">
        <v>35</v>
      </c>
      <c r="C63" s="6" t="str">
        <f>"000-1360-01"</f>
        <v>000-1360-01</v>
      </c>
      <c r="D63" s="6" t="str">
        <f>"WIP - Material"</f>
        <v>WIP - Material</v>
      </c>
      <c r="E63" s="15">
        <v>0</v>
      </c>
      <c r="F63" s="15">
        <v>0</v>
      </c>
      <c r="G63" s="15">
        <v>0</v>
      </c>
      <c r="H63" s="15">
        <v>0</v>
      </c>
      <c r="I63" s="15">
        <v>0</v>
      </c>
      <c r="J63" s="15">
        <v>0</v>
      </c>
      <c r="K63" s="15">
        <v>0</v>
      </c>
      <c r="L63" s="16">
        <f t="shared" si="0"/>
        <v>52</v>
      </c>
    </row>
    <row r="64" spans="1:12" x14ac:dyDescent="0.2">
      <c r="A64" s="3" t="s">
        <v>35</v>
      </c>
      <c r="C64" s="6" t="str">
        <f>"000-1360-02"</f>
        <v>000-1360-02</v>
      </c>
      <c r="D64" s="6" t="str">
        <f>"WIP - Material Fixed OH"</f>
        <v>WIP - Material Fixed OH</v>
      </c>
      <c r="E64" s="15">
        <v>0</v>
      </c>
      <c r="F64" s="15">
        <v>0</v>
      </c>
      <c r="G64" s="15">
        <v>0</v>
      </c>
      <c r="H64" s="15">
        <v>0</v>
      </c>
      <c r="I64" s="15">
        <v>0</v>
      </c>
      <c r="J64" s="15">
        <v>0</v>
      </c>
      <c r="K64" s="15">
        <v>0</v>
      </c>
      <c r="L64" s="16">
        <f t="shared" si="0"/>
        <v>53</v>
      </c>
    </row>
    <row r="65" spans="1:12" x14ac:dyDescent="0.2">
      <c r="A65" s="3" t="s">
        <v>35</v>
      </c>
      <c r="C65" s="6" t="str">
        <f>"000-1360-03"</f>
        <v>000-1360-03</v>
      </c>
      <c r="D65" s="6" t="str">
        <f>"WIP - Material Var. OH"</f>
        <v>WIP - Material Var. OH</v>
      </c>
      <c r="E65" s="15">
        <v>0</v>
      </c>
      <c r="F65" s="15">
        <v>0</v>
      </c>
      <c r="G65" s="15">
        <v>0</v>
      </c>
      <c r="H65" s="15">
        <v>0</v>
      </c>
      <c r="I65" s="15">
        <v>0</v>
      </c>
      <c r="J65" s="15">
        <v>0</v>
      </c>
      <c r="K65" s="15">
        <v>0</v>
      </c>
      <c r="L65" s="16">
        <f t="shared" si="0"/>
        <v>54</v>
      </c>
    </row>
    <row r="66" spans="1:12" x14ac:dyDescent="0.2">
      <c r="A66" s="3" t="s">
        <v>35</v>
      </c>
      <c r="C66" s="6" t="str">
        <f>"000-1360-04"</f>
        <v>000-1360-04</v>
      </c>
      <c r="D66" s="6" t="str">
        <f>"WIP - Labor"</f>
        <v>WIP - Labor</v>
      </c>
      <c r="E66" s="15">
        <v>0</v>
      </c>
      <c r="F66" s="15">
        <v>0</v>
      </c>
      <c r="G66" s="15">
        <v>0</v>
      </c>
      <c r="H66" s="15">
        <v>0</v>
      </c>
      <c r="I66" s="15">
        <v>0</v>
      </c>
      <c r="J66" s="15">
        <v>0</v>
      </c>
      <c r="K66" s="15">
        <v>0</v>
      </c>
      <c r="L66" s="16">
        <f t="shared" si="0"/>
        <v>55</v>
      </c>
    </row>
    <row r="67" spans="1:12" x14ac:dyDescent="0.2">
      <c r="A67" s="3" t="s">
        <v>35</v>
      </c>
      <c r="C67" s="6" t="str">
        <f>"000-1360-05"</f>
        <v>000-1360-05</v>
      </c>
      <c r="D67" s="6" t="str">
        <f>"WIP - Labor Fixed OH"</f>
        <v>WIP - Labor Fixed OH</v>
      </c>
      <c r="E67" s="15">
        <v>0</v>
      </c>
      <c r="F67" s="15">
        <v>0</v>
      </c>
      <c r="G67" s="15">
        <v>0</v>
      </c>
      <c r="H67" s="15">
        <v>0</v>
      </c>
      <c r="I67" s="15">
        <v>0</v>
      </c>
      <c r="J67" s="15">
        <v>0</v>
      </c>
      <c r="K67" s="15">
        <v>0</v>
      </c>
      <c r="L67" s="16">
        <f t="shared" si="0"/>
        <v>56</v>
      </c>
    </row>
    <row r="68" spans="1:12" x14ac:dyDescent="0.2">
      <c r="A68" s="3" t="s">
        <v>35</v>
      </c>
      <c r="C68" s="6" t="str">
        <f>"000-1360-06"</f>
        <v>000-1360-06</v>
      </c>
      <c r="D68" s="6" t="str">
        <f>"WIP - Labor Var. OH"</f>
        <v>WIP - Labor Var. OH</v>
      </c>
      <c r="E68" s="15">
        <v>0</v>
      </c>
      <c r="F68" s="15">
        <v>0</v>
      </c>
      <c r="G68" s="15">
        <v>0</v>
      </c>
      <c r="H68" s="15">
        <v>0</v>
      </c>
      <c r="I68" s="15">
        <v>0</v>
      </c>
      <c r="J68" s="15">
        <v>0</v>
      </c>
      <c r="K68" s="15">
        <v>0</v>
      </c>
      <c r="L68" s="16">
        <f t="shared" si="0"/>
        <v>57</v>
      </c>
    </row>
    <row r="69" spans="1:12" x14ac:dyDescent="0.2">
      <c r="A69" s="3" t="s">
        <v>35</v>
      </c>
      <c r="C69" s="6" t="str">
        <f>"000-1360-07"</f>
        <v>000-1360-07</v>
      </c>
      <c r="D69" s="6" t="str">
        <f>"WIP - Machine"</f>
        <v>WIP - Machine</v>
      </c>
      <c r="E69" s="15">
        <v>0</v>
      </c>
      <c r="F69" s="15">
        <v>0</v>
      </c>
      <c r="G69" s="15">
        <v>0</v>
      </c>
      <c r="H69" s="15">
        <v>0</v>
      </c>
      <c r="I69" s="15">
        <v>0</v>
      </c>
      <c r="J69" s="15">
        <v>0</v>
      </c>
      <c r="K69" s="15">
        <v>0</v>
      </c>
      <c r="L69" s="16">
        <f t="shared" si="0"/>
        <v>58</v>
      </c>
    </row>
    <row r="70" spans="1:12" x14ac:dyDescent="0.2">
      <c r="A70" s="3" t="s">
        <v>35</v>
      </c>
      <c r="C70" s="6" t="str">
        <f>"000-1360-08"</f>
        <v>000-1360-08</v>
      </c>
      <c r="D70" s="6" t="str">
        <f>"WIP - Machine Fixed OH"</f>
        <v>WIP - Machine Fixed OH</v>
      </c>
      <c r="E70" s="15">
        <v>0</v>
      </c>
      <c r="F70" s="15">
        <v>0</v>
      </c>
      <c r="G70" s="15">
        <v>0</v>
      </c>
      <c r="H70" s="15">
        <v>0</v>
      </c>
      <c r="I70" s="15">
        <v>0</v>
      </c>
      <c r="J70" s="15">
        <v>0</v>
      </c>
      <c r="K70" s="15">
        <v>0</v>
      </c>
      <c r="L70" s="16">
        <f t="shared" si="0"/>
        <v>59</v>
      </c>
    </row>
    <row r="71" spans="1:12" x14ac:dyDescent="0.2">
      <c r="A71" s="3" t="s">
        <v>35</v>
      </c>
      <c r="C71" s="6" t="str">
        <f>"000-1360-09"</f>
        <v>000-1360-09</v>
      </c>
      <c r="D71" s="6" t="str">
        <f>"WIP - Machine Var. OH"</f>
        <v>WIP - Machine Var. OH</v>
      </c>
      <c r="E71" s="15">
        <v>0</v>
      </c>
      <c r="F71" s="15">
        <v>0</v>
      </c>
      <c r="G71" s="15">
        <v>0</v>
      </c>
      <c r="H71" s="15">
        <v>0</v>
      </c>
      <c r="I71" s="15">
        <v>0</v>
      </c>
      <c r="J71" s="15">
        <v>0</v>
      </c>
      <c r="K71" s="15">
        <v>0</v>
      </c>
      <c r="L71" s="16">
        <f t="shared" si="0"/>
        <v>60</v>
      </c>
    </row>
    <row r="72" spans="1:12" x14ac:dyDescent="0.2">
      <c r="A72" s="3" t="s">
        <v>35</v>
      </c>
      <c r="C72" s="6" t="str">
        <f>"000-1370-01"</f>
        <v>000-1370-01</v>
      </c>
      <c r="D72" s="6" t="str">
        <f>"Applied - Material Fixed OH"</f>
        <v>Applied - Material Fixed OH</v>
      </c>
      <c r="E72" s="15">
        <v>0</v>
      </c>
      <c r="F72" s="15">
        <v>0</v>
      </c>
      <c r="G72" s="15">
        <v>0</v>
      </c>
      <c r="H72" s="15">
        <v>0</v>
      </c>
      <c r="I72" s="15">
        <v>0</v>
      </c>
      <c r="J72" s="15">
        <v>0</v>
      </c>
      <c r="K72" s="15">
        <v>0</v>
      </c>
      <c r="L72" s="16">
        <f t="shared" si="0"/>
        <v>61</v>
      </c>
    </row>
    <row r="73" spans="1:12" x14ac:dyDescent="0.2">
      <c r="A73" s="3" t="s">
        <v>35</v>
      </c>
      <c r="C73" s="6" t="str">
        <f>"000-1370-02"</f>
        <v>000-1370-02</v>
      </c>
      <c r="D73" s="6" t="str">
        <f>"Applied - Material Var. OH"</f>
        <v>Applied - Material Var. OH</v>
      </c>
      <c r="E73" s="15">
        <v>0</v>
      </c>
      <c r="F73" s="15">
        <v>0</v>
      </c>
      <c r="G73" s="15">
        <v>0</v>
      </c>
      <c r="H73" s="15">
        <v>0</v>
      </c>
      <c r="I73" s="15">
        <v>0</v>
      </c>
      <c r="J73" s="15">
        <v>0</v>
      </c>
      <c r="K73" s="15">
        <v>0</v>
      </c>
      <c r="L73" s="16">
        <f t="shared" si="0"/>
        <v>62</v>
      </c>
    </row>
    <row r="74" spans="1:12" x14ac:dyDescent="0.2">
      <c r="A74" s="3" t="s">
        <v>35</v>
      </c>
      <c r="C74" s="6" t="str">
        <f>"000-1380-04"</f>
        <v>000-1380-04</v>
      </c>
      <c r="D74" s="6" t="str">
        <f>"Labor Applied"</f>
        <v>Labor Applied</v>
      </c>
      <c r="E74" s="15">
        <v>0</v>
      </c>
      <c r="F74" s="15">
        <v>0</v>
      </c>
      <c r="G74" s="15">
        <v>0</v>
      </c>
      <c r="H74" s="15">
        <v>0</v>
      </c>
      <c r="I74" s="15">
        <v>0</v>
      </c>
      <c r="J74" s="15">
        <v>0</v>
      </c>
      <c r="K74" s="15">
        <v>0</v>
      </c>
      <c r="L74" s="16">
        <f t="shared" si="0"/>
        <v>63</v>
      </c>
    </row>
    <row r="75" spans="1:12" x14ac:dyDescent="0.2">
      <c r="A75" s="3" t="s">
        <v>35</v>
      </c>
      <c r="C75" s="6" t="str">
        <f>"000-1380-05"</f>
        <v>000-1380-05</v>
      </c>
      <c r="D75" s="6" t="str">
        <f>"Applied - Labor Fixed OH"</f>
        <v>Applied - Labor Fixed OH</v>
      </c>
      <c r="E75" s="15">
        <v>0</v>
      </c>
      <c r="F75" s="15">
        <v>0</v>
      </c>
      <c r="G75" s="15">
        <v>0</v>
      </c>
      <c r="H75" s="15">
        <v>0</v>
      </c>
      <c r="I75" s="15">
        <v>0</v>
      </c>
      <c r="J75" s="15">
        <v>0</v>
      </c>
      <c r="K75" s="15">
        <v>0</v>
      </c>
      <c r="L75" s="16">
        <f t="shared" si="0"/>
        <v>64</v>
      </c>
    </row>
    <row r="76" spans="1:12" x14ac:dyDescent="0.2">
      <c r="A76" s="3" t="s">
        <v>35</v>
      </c>
      <c r="C76" s="6" t="str">
        <f>"000-1380-06"</f>
        <v>000-1380-06</v>
      </c>
      <c r="D76" s="6" t="str">
        <f>"Applied - Labor Var. OH"</f>
        <v>Applied - Labor Var. OH</v>
      </c>
      <c r="E76" s="15">
        <v>0</v>
      </c>
      <c r="F76" s="15">
        <v>0</v>
      </c>
      <c r="G76" s="15">
        <v>0</v>
      </c>
      <c r="H76" s="15">
        <v>0</v>
      </c>
      <c r="I76" s="15">
        <v>0</v>
      </c>
      <c r="J76" s="15">
        <v>0</v>
      </c>
      <c r="K76" s="15">
        <v>0</v>
      </c>
      <c r="L76" s="16">
        <f t="shared" si="0"/>
        <v>65</v>
      </c>
    </row>
    <row r="77" spans="1:12" x14ac:dyDescent="0.2">
      <c r="A77" s="3" t="s">
        <v>35</v>
      </c>
      <c r="C77" s="6" t="str">
        <f>"000-1380-07"</f>
        <v>000-1380-07</v>
      </c>
      <c r="D77" s="6" t="str">
        <f>"Machine - Applied"</f>
        <v>Machine - Applied</v>
      </c>
      <c r="E77" s="15">
        <v>0</v>
      </c>
      <c r="F77" s="15">
        <v>0</v>
      </c>
      <c r="G77" s="15">
        <v>0</v>
      </c>
      <c r="H77" s="15">
        <v>0</v>
      </c>
      <c r="I77" s="15">
        <v>0</v>
      </c>
      <c r="J77" s="15">
        <v>0</v>
      </c>
      <c r="K77" s="15">
        <v>0</v>
      </c>
      <c r="L77" s="16">
        <f t="shared" ref="L77:L140" si="1">L76+1</f>
        <v>66</v>
      </c>
    </row>
    <row r="78" spans="1:12" x14ac:dyDescent="0.2">
      <c r="A78" s="3" t="s">
        <v>35</v>
      </c>
      <c r="C78" s="6" t="str">
        <f>"000-1380-08"</f>
        <v>000-1380-08</v>
      </c>
      <c r="D78" s="6" t="str">
        <f>"Applied - Mach. Fixed OH"</f>
        <v>Applied - Mach. Fixed OH</v>
      </c>
      <c r="E78" s="15">
        <v>0</v>
      </c>
      <c r="F78" s="15">
        <v>0</v>
      </c>
      <c r="G78" s="15">
        <v>0</v>
      </c>
      <c r="H78" s="15">
        <v>0</v>
      </c>
      <c r="I78" s="15">
        <v>0</v>
      </c>
      <c r="J78" s="15">
        <v>0</v>
      </c>
      <c r="K78" s="15">
        <v>0</v>
      </c>
      <c r="L78" s="16">
        <f t="shared" si="1"/>
        <v>67</v>
      </c>
    </row>
    <row r="79" spans="1:12" x14ac:dyDescent="0.2">
      <c r="A79" s="3" t="s">
        <v>35</v>
      </c>
      <c r="C79" s="6" t="str">
        <f>"000-1380-09"</f>
        <v>000-1380-09</v>
      </c>
      <c r="D79" s="6" t="str">
        <f>"Applied - Mach. Var. OH"</f>
        <v>Applied - Mach. Var. OH</v>
      </c>
      <c r="E79" s="15">
        <v>0</v>
      </c>
      <c r="F79" s="15">
        <v>0</v>
      </c>
      <c r="G79" s="15">
        <v>0</v>
      </c>
      <c r="H79" s="15">
        <v>0</v>
      </c>
      <c r="I79" s="15">
        <v>0</v>
      </c>
      <c r="J79" s="15">
        <v>0</v>
      </c>
      <c r="K79" s="15">
        <v>0</v>
      </c>
      <c r="L79" s="16">
        <f t="shared" si="1"/>
        <v>68</v>
      </c>
    </row>
    <row r="80" spans="1:12" x14ac:dyDescent="0.2">
      <c r="A80" s="3" t="s">
        <v>35</v>
      </c>
      <c r="C80" s="6" t="str">
        <f>"000-1390-00"</f>
        <v>000-1390-00</v>
      </c>
      <c r="D80" s="6" t="str">
        <f>"Standard Cost Revaluation"</f>
        <v>Standard Cost Revaluation</v>
      </c>
      <c r="E80" s="15">
        <v>0</v>
      </c>
      <c r="F80" s="15">
        <v>0</v>
      </c>
      <c r="G80" s="15">
        <v>0</v>
      </c>
      <c r="H80" s="15">
        <v>0</v>
      </c>
      <c r="I80" s="15">
        <v>0</v>
      </c>
      <c r="J80" s="15">
        <v>0</v>
      </c>
      <c r="K80" s="15">
        <v>0</v>
      </c>
      <c r="L80" s="16">
        <f t="shared" si="1"/>
        <v>69</v>
      </c>
    </row>
    <row r="81" spans="1:12" x14ac:dyDescent="0.2">
      <c r="A81" s="3" t="s">
        <v>35</v>
      </c>
      <c r="C81" s="6" t="str">
        <f>"000-1400-00"</f>
        <v>000-1400-00</v>
      </c>
      <c r="D81" s="6" t="str">
        <f>"Prepaid Expenses"</f>
        <v>Prepaid Expenses</v>
      </c>
      <c r="E81" s="15">
        <v>0</v>
      </c>
      <c r="F81" s="15">
        <v>0</v>
      </c>
      <c r="G81" s="15">
        <v>0</v>
      </c>
      <c r="H81" s="15">
        <v>0</v>
      </c>
      <c r="I81" s="15">
        <v>0</v>
      </c>
      <c r="J81" s="15">
        <v>0</v>
      </c>
      <c r="K81" s="15">
        <v>0</v>
      </c>
      <c r="L81" s="16">
        <f t="shared" si="1"/>
        <v>70</v>
      </c>
    </row>
    <row r="82" spans="1:12" x14ac:dyDescent="0.2">
      <c r="A82" s="3" t="s">
        <v>35</v>
      </c>
      <c r="C82" s="6" t="str">
        <f>"000-1410-00"</f>
        <v>000-1410-00</v>
      </c>
      <c r="D82" s="6" t="str">
        <f>"Prepaid Insurance"</f>
        <v>Prepaid Insurance</v>
      </c>
      <c r="E82" s="15">
        <v>31486.59</v>
      </c>
      <c r="F82" s="15">
        <v>31486.59</v>
      </c>
      <c r="G82" s="15">
        <v>31486.59</v>
      </c>
      <c r="H82" s="15">
        <v>31486.59</v>
      </c>
      <c r="I82" s="15">
        <v>31486.59</v>
      </c>
      <c r="J82" s="15">
        <v>31486.59</v>
      </c>
      <c r="K82" s="15">
        <v>31486.59</v>
      </c>
      <c r="L82" s="16">
        <f t="shared" si="1"/>
        <v>71</v>
      </c>
    </row>
    <row r="83" spans="1:12" x14ac:dyDescent="0.2">
      <c r="A83" s="3" t="s">
        <v>35</v>
      </c>
      <c r="C83" s="6" t="str">
        <f>"000-1500-00"</f>
        <v>000-1500-00</v>
      </c>
      <c r="D83" s="6" t="str">
        <f>"Furniture &amp; Fixtures"</f>
        <v>Furniture &amp; Fixtures</v>
      </c>
      <c r="E83" s="15">
        <v>543695.97</v>
      </c>
      <c r="F83" s="15">
        <v>543695.97</v>
      </c>
      <c r="G83" s="15">
        <v>543695.97</v>
      </c>
      <c r="H83" s="15">
        <v>543695.97</v>
      </c>
      <c r="I83" s="15">
        <v>543695.97</v>
      </c>
      <c r="J83" s="15">
        <v>543695.97</v>
      </c>
      <c r="K83" s="15">
        <v>543695.97</v>
      </c>
      <c r="L83" s="16">
        <f t="shared" si="1"/>
        <v>72</v>
      </c>
    </row>
    <row r="84" spans="1:12" x14ac:dyDescent="0.2">
      <c r="A84" s="3" t="s">
        <v>35</v>
      </c>
      <c r="C84" s="6" t="str">
        <f>"000-1505-00"</f>
        <v>000-1505-00</v>
      </c>
      <c r="D84" s="6" t="str">
        <f>"Accumulated Depreciation-Furniture &amp; Fixtures"</f>
        <v>Accumulated Depreciation-Furniture &amp; Fixtures</v>
      </c>
      <c r="E84" s="15">
        <v>-204639.25</v>
      </c>
      <c r="F84" s="15">
        <v>-204639.25</v>
      </c>
      <c r="G84" s="15">
        <v>-204639.25</v>
      </c>
      <c r="H84" s="15">
        <v>-204639.25</v>
      </c>
      <c r="I84" s="15">
        <v>-204639.25</v>
      </c>
      <c r="J84" s="15">
        <v>-204639.25</v>
      </c>
      <c r="K84" s="15">
        <v>-204639.25</v>
      </c>
      <c r="L84" s="16">
        <f t="shared" si="1"/>
        <v>73</v>
      </c>
    </row>
    <row r="85" spans="1:12" x14ac:dyDescent="0.2">
      <c r="A85" s="3" t="s">
        <v>35</v>
      </c>
      <c r="C85" s="6" t="str">
        <f>"000-1510-00"</f>
        <v>000-1510-00</v>
      </c>
      <c r="D85" s="6" t="str">
        <f>"Computer Equipment"</f>
        <v>Computer Equipment</v>
      </c>
      <c r="E85" s="15">
        <v>125895.23</v>
      </c>
      <c r="F85" s="15">
        <v>125895.23</v>
      </c>
      <c r="G85" s="15">
        <v>125895.23</v>
      </c>
      <c r="H85" s="15">
        <v>125895.23</v>
      </c>
      <c r="I85" s="15">
        <v>125895.23</v>
      </c>
      <c r="J85" s="15">
        <v>125895.23</v>
      </c>
      <c r="K85" s="15">
        <v>125895.23</v>
      </c>
      <c r="L85" s="16">
        <f t="shared" si="1"/>
        <v>74</v>
      </c>
    </row>
    <row r="86" spans="1:12" x14ac:dyDescent="0.2">
      <c r="A86" s="3" t="s">
        <v>35</v>
      </c>
      <c r="C86" s="6" t="str">
        <f>"000-1515-00"</f>
        <v>000-1515-00</v>
      </c>
      <c r="D86" s="6" t="str">
        <f>"Accumulated Depreciation-Computer Equipment"</f>
        <v>Accumulated Depreciation-Computer Equipment</v>
      </c>
      <c r="E86" s="15">
        <v>-48788.79</v>
      </c>
      <c r="F86" s="15">
        <v>-48788.79</v>
      </c>
      <c r="G86" s="15">
        <v>-48788.79</v>
      </c>
      <c r="H86" s="15">
        <v>-48788.79</v>
      </c>
      <c r="I86" s="15">
        <v>-48788.79</v>
      </c>
      <c r="J86" s="15">
        <v>-48788.79</v>
      </c>
      <c r="K86" s="15">
        <v>-48788.79</v>
      </c>
      <c r="L86" s="16">
        <f t="shared" si="1"/>
        <v>75</v>
      </c>
    </row>
    <row r="87" spans="1:12" x14ac:dyDescent="0.2">
      <c r="A87" s="3" t="s">
        <v>35</v>
      </c>
      <c r="C87" s="6" t="str">
        <f>"000-1520-00"</f>
        <v>000-1520-00</v>
      </c>
      <c r="D87" s="6" t="str">
        <f>"Machinery &amp; Equipment"</f>
        <v>Machinery &amp; Equipment</v>
      </c>
      <c r="E87" s="15">
        <v>1409884.3</v>
      </c>
      <c r="F87" s="15">
        <v>1409884.3</v>
      </c>
      <c r="G87" s="15">
        <v>1409884.3</v>
      </c>
      <c r="H87" s="15">
        <v>1409884.3</v>
      </c>
      <c r="I87" s="15">
        <v>1409884.3</v>
      </c>
      <c r="J87" s="15">
        <v>1409884.3</v>
      </c>
      <c r="K87" s="15">
        <v>1409884.3</v>
      </c>
      <c r="L87" s="16">
        <f t="shared" si="1"/>
        <v>76</v>
      </c>
    </row>
    <row r="88" spans="1:12" x14ac:dyDescent="0.2">
      <c r="A88" s="3" t="s">
        <v>35</v>
      </c>
      <c r="C88" s="6" t="str">
        <f>"000-1525-00"</f>
        <v>000-1525-00</v>
      </c>
      <c r="D88" s="6" t="str">
        <f>"Accumulated Depreciation-Machinery &amp; Equipment"</f>
        <v>Accumulated Depreciation-Machinery &amp; Equipment</v>
      </c>
      <c r="E88" s="15">
        <v>-654177.22</v>
      </c>
      <c r="F88" s="15">
        <v>-654177.22</v>
      </c>
      <c r="G88" s="15">
        <v>-654177.22</v>
      </c>
      <c r="H88" s="15">
        <v>-654177.22</v>
      </c>
      <c r="I88" s="15">
        <v>-654177.22</v>
      </c>
      <c r="J88" s="15">
        <v>-654177.22</v>
      </c>
      <c r="K88" s="15">
        <v>-654177.22</v>
      </c>
      <c r="L88" s="16">
        <f t="shared" si="1"/>
        <v>77</v>
      </c>
    </row>
    <row r="89" spans="1:12" x14ac:dyDescent="0.2">
      <c r="A89" s="3" t="s">
        <v>35</v>
      </c>
      <c r="C89" s="6" t="str">
        <f>"000-1530-00"</f>
        <v>000-1530-00</v>
      </c>
      <c r="D89" s="6" t="str">
        <f>"Fleet Vehicles"</f>
        <v>Fleet Vehicles</v>
      </c>
      <c r="E89" s="15">
        <v>62500</v>
      </c>
      <c r="F89" s="15">
        <v>62500</v>
      </c>
      <c r="G89" s="15">
        <v>62500</v>
      </c>
      <c r="H89" s="15">
        <v>62500</v>
      </c>
      <c r="I89" s="15">
        <v>62500</v>
      </c>
      <c r="J89" s="15">
        <v>62500</v>
      </c>
      <c r="K89" s="15">
        <v>62500</v>
      </c>
      <c r="L89" s="16">
        <f t="shared" si="1"/>
        <v>78</v>
      </c>
    </row>
    <row r="90" spans="1:12" x14ac:dyDescent="0.2">
      <c r="A90" s="3" t="s">
        <v>35</v>
      </c>
      <c r="C90" s="6" t="str">
        <f>"000-1535-00"</f>
        <v>000-1535-00</v>
      </c>
      <c r="D90" s="6" t="str">
        <f>"Accumulated Depreciation-Fleet Vehicles"</f>
        <v>Accumulated Depreciation-Fleet Vehicles</v>
      </c>
      <c r="E90" s="15">
        <v>-19901.63</v>
      </c>
      <c r="F90" s="15">
        <v>-19901.63</v>
      </c>
      <c r="G90" s="15">
        <v>-19901.63</v>
      </c>
      <c r="H90" s="15">
        <v>-19901.63</v>
      </c>
      <c r="I90" s="15">
        <v>-19901.63</v>
      </c>
      <c r="J90" s="15">
        <v>-19901.63</v>
      </c>
      <c r="K90" s="15">
        <v>-19901.63</v>
      </c>
      <c r="L90" s="16">
        <f t="shared" si="1"/>
        <v>79</v>
      </c>
    </row>
    <row r="91" spans="1:12" x14ac:dyDescent="0.2">
      <c r="A91" s="3" t="s">
        <v>35</v>
      </c>
      <c r="C91" s="6" t="str">
        <f>"000-1590-00"</f>
        <v>000-1590-00</v>
      </c>
      <c r="D91" s="6" t="str">
        <f>"FA Clearing"</f>
        <v>FA Clearing</v>
      </c>
      <c r="E91" s="15">
        <v>0</v>
      </c>
      <c r="F91" s="15">
        <v>0</v>
      </c>
      <c r="G91" s="15">
        <v>0</v>
      </c>
      <c r="H91" s="15">
        <v>0</v>
      </c>
      <c r="I91" s="15">
        <v>0</v>
      </c>
      <c r="J91" s="15">
        <v>0</v>
      </c>
      <c r="K91" s="15">
        <v>0</v>
      </c>
      <c r="L91" s="16">
        <f t="shared" si="1"/>
        <v>80</v>
      </c>
    </row>
    <row r="92" spans="1:12" x14ac:dyDescent="0.2">
      <c r="A92" s="3" t="s">
        <v>35</v>
      </c>
      <c r="C92" s="6" t="str">
        <f>"000-1600-00"</f>
        <v>000-1600-00</v>
      </c>
      <c r="D92" s="6" t="str">
        <f>"Computer Software"</f>
        <v>Computer Software</v>
      </c>
      <c r="E92" s="15">
        <v>58975.48</v>
      </c>
      <c r="F92" s="15">
        <v>58975.48</v>
      </c>
      <c r="G92" s="15">
        <v>58975.48</v>
      </c>
      <c r="H92" s="15">
        <v>58975.48</v>
      </c>
      <c r="I92" s="15">
        <v>58975.48</v>
      </c>
      <c r="J92" s="15">
        <v>58975.48</v>
      </c>
      <c r="K92" s="15">
        <v>58975.48</v>
      </c>
      <c r="L92" s="16">
        <f t="shared" si="1"/>
        <v>81</v>
      </c>
    </row>
    <row r="93" spans="1:12" x14ac:dyDescent="0.2">
      <c r="A93" s="3" t="s">
        <v>35</v>
      </c>
      <c r="C93" s="6" t="str">
        <f>"000-1610-00"</f>
        <v>000-1610-00</v>
      </c>
      <c r="D93" s="6" t="str">
        <f>"Amortized Software Costs"</f>
        <v>Amortized Software Costs</v>
      </c>
      <c r="E93" s="15">
        <v>-27876.93</v>
      </c>
      <c r="F93" s="15">
        <v>-27876.93</v>
      </c>
      <c r="G93" s="15">
        <v>-27876.93</v>
      </c>
      <c r="H93" s="15">
        <v>-27876.93</v>
      </c>
      <c r="I93" s="15">
        <v>-27876.93</v>
      </c>
      <c r="J93" s="15">
        <v>-27876.93</v>
      </c>
      <c r="K93" s="15">
        <v>-27876.93</v>
      </c>
      <c r="L93" s="16">
        <f t="shared" si="1"/>
        <v>82</v>
      </c>
    </row>
    <row r="94" spans="1:12" x14ac:dyDescent="0.2">
      <c r="A94" s="3" t="s">
        <v>35</v>
      </c>
      <c r="C94" s="6" t="str">
        <f>"000-1700-00"</f>
        <v>000-1700-00</v>
      </c>
      <c r="D94" s="6" t="str">
        <f>"Leasehold Improvement Costs"</f>
        <v>Leasehold Improvement Costs</v>
      </c>
      <c r="E94" s="15">
        <v>0</v>
      </c>
      <c r="F94" s="15">
        <v>0</v>
      </c>
      <c r="G94" s="15">
        <v>0</v>
      </c>
      <c r="H94" s="15">
        <v>0</v>
      </c>
      <c r="I94" s="15">
        <v>0</v>
      </c>
      <c r="J94" s="15">
        <v>0</v>
      </c>
      <c r="K94" s="15">
        <v>0</v>
      </c>
      <c r="L94" s="16">
        <f t="shared" si="1"/>
        <v>83</v>
      </c>
    </row>
    <row r="95" spans="1:12" x14ac:dyDescent="0.2">
      <c r="A95" s="3" t="s">
        <v>35</v>
      </c>
      <c r="C95" s="6" t="str">
        <f>"000-1710-00"</f>
        <v>000-1710-00</v>
      </c>
      <c r="D95" s="6" t="str">
        <f>"Amortized Leasehold Improvements"</f>
        <v>Amortized Leasehold Improvements</v>
      </c>
      <c r="E95" s="15">
        <v>0</v>
      </c>
      <c r="F95" s="15">
        <v>0</v>
      </c>
      <c r="G95" s="15">
        <v>0</v>
      </c>
      <c r="H95" s="15">
        <v>0</v>
      </c>
      <c r="I95" s="15">
        <v>0</v>
      </c>
      <c r="J95" s="15">
        <v>0</v>
      </c>
      <c r="K95" s="15">
        <v>0</v>
      </c>
      <c r="L95" s="16">
        <f t="shared" si="1"/>
        <v>84</v>
      </c>
    </row>
    <row r="96" spans="1:12" x14ac:dyDescent="0.2">
      <c r="A96" s="3" t="s">
        <v>35</v>
      </c>
      <c r="C96" s="6" t="str">
        <f>"000-1800-00"</f>
        <v>000-1800-00</v>
      </c>
      <c r="D96" s="6" t="str">
        <f>"Revaluation Offset for Fin. Revaluation"</f>
        <v>Revaluation Offset for Fin. Revaluation</v>
      </c>
      <c r="E96" s="15">
        <v>0</v>
      </c>
      <c r="F96" s="15">
        <v>0</v>
      </c>
      <c r="G96" s="15">
        <v>0</v>
      </c>
      <c r="H96" s="15">
        <v>0</v>
      </c>
      <c r="I96" s="15">
        <v>0</v>
      </c>
      <c r="J96" s="15">
        <v>0</v>
      </c>
      <c r="K96" s="15">
        <v>0</v>
      </c>
      <c r="L96" s="16">
        <f t="shared" si="1"/>
        <v>85</v>
      </c>
    </row>
    <row r="97" spans="1:12" x14ac:dyDescent="0.2">
      <c r="A97" s="3" t="s">
        <v>35</v>
      </c>
      <c r="C97" s="6" t="str">
        <f>"000-2014-01"</f>
        <v>000-2014-01</v>
      </c>
      <c r="D97" s="6" t="str">
        <f>"Contra Accounts for Costs"</f>
        <v>Contra Accounts for Costs</v>
      </c>
      <c r="E97" s="15">
        <v>0</v>
      </c>
      <c r="F97" s="15">
        <v>0</v>
      </c>
      <c r="G97" s="15">
        <v>0</v>
      </c>
      <c r="H97" s="15">
        <v>0</v>
      </c>
      <c r="I97" s="15">
        <v>0</v>
      </c>
      <c r="J97" s="15">
        <v>0</v>
      </c>
      <c r="K97" s="15">
        <v>0</v>
      </c>
      <c r="L97" s="16">
        <f t="shared" si="1"/>
        <v>86</v>
      </c>
    </row>
    <row r="98" spans="1:12" x14ac:dyDescent="0.2">
      <c r="A98" s="3" t="s">
        <v>35</v>
      </c>
      <c r="C98" s="6" t="str">
        <f>"000-2100-00"</f>
        <v>000-2100-00</v>
      </c>
      <c r="D98" s="6" t="str">
        <f>"Accounts Payable"</f>
        <v>Accounts Payable</v>
      </c>
      <c r="E98" s="15">
        <v>-1669517.21</v>
      </c>
      <c r="F98" s="15">
        <v>-1669517.21</v>
      </c>
      <c r="G98" s="15">
        <v>-1669517.21</v>
      </c>
      <c r="H98" s="15">
        <v>-1669517.21</v>
      </c>
      <c r="I98" s="15">
        <v>-1669517.21</v>
      </c>
      <c r="J98" s="15">
        <v>-1669517.21</v>
      </c>
      <c r="K98" s="15">
        <v>-1669517.21</v>
      </c>
      <c r="L98" s="16">
        <f t="shared" si="1"/>
        <v>87</v>
      </c>
    </row>
    <row r="99" spans="1:12" x14ac:dyDescent="0.2">
      <c r="A99" s="3" t="s">
        <v>35</v>
      </c>
      <c r="C99" s="6" t="str">
        <f>"000-2101-00"</f>
        <v>000-2101-00</v>
      </c>
      <c r="D99" s="6" t="str">
        <f>"Accounts Payable-MC Trx"</f>
        <v>Accounts Payable-MC Trx</v>
      </c>
      <c r="E99" s="15">
        <v>0</v>
      </c>
      <c r="F99" s="15">
        <v>0</v>
      </c>
      <c r="G99" s="15">
        <v>0</v>
      </c>
      <c r="H99" s="15">
        <v>0</v>
      </c>
      <c r="I99" s="15">
        <v>0</v>
      </c>
      <c r="J99" s="15">
        <v>0</v>
      </c>
      <c r="K99" s="15">
        <v>0</v>
      </c>
      <c r="L99" s="16">
        <f t="shared" si="1"/>
        <v>88</v>
      </c>
    </row>
    <row r="100" spans="1:12" x14ac:dyDescent="0.2">
      <c r="A100" s="3" t="s">
        <v>35</v>
      </c>
      <c r="C100" s="6" t="str">
        <f>"000-2101-01"</f>
        <v>000-2101-01</v>
      </c>
      <c r="D100" s="6" t="str">
        <f>"Accounts Payable - Canada"</f>
        <v>Accounts Payable - Canada</v>
      </c>
      <c r="E100" s="15">
        <v>-1124.67</v>
      </c>
      <c r="F100" s="15">
        <v>-1124.67</v>
      </c>
      <c r="G100" s="15">
        <v>-1124.67</v>
      </c>
      <c r="H100" s="15">
        <v>-1124.67</v>
      </c>
      <c r="I100" s="15">
        <v>-1124.67</v>
      </c>
      <c r="J100" s="15">
        <v>-1124.67</v>
      </c>
      <c r="K100" s="15">
        <v>-1124.67</v>
      </c>
      <c r="L100" s="16">
        <f t="shared" si="1"/>
        <v>89</v>
      </c>
    </row>
    <row r="101" spans="1:12" x14ac:dyDescent="0.2">
      <c r="A101" s="3" t="s">
        <v>35</v>
      </c>
      <c r="C101" s="6" t="str">
        <f>"000-2101-02"</f>
        <v>000-2101-02</v>
      </c>
      <c r="D101" s="6" t="str">
        <f>"Accounts Payable - Australia"</f>
        <v>Accounts Payable - Australia</v>
      </c>
      <c r="E101" s="15">
        <v>270.01</v>
      </c>
      <c r="F101" s="15">
        <v>270.01</v>
      </c>
      <c r="G101" s="15">
        <v>270.01</v>
      </c>
      <c r="H101" s="15">
        <v>270.01</v>
      </c>
      <c r="I101" s="15">
        <v>270.01</v>
      </c>
      <c r="J101" s="15">
        <v>270.01</v>
      </c>
      <c r="K101" s="15">
        <v>270.01</v>
      </c>
      <c r="L101" s="16">
        <f t="shared" si="1"/>
        <v>90</v>
      </c>
    </row>
    <row r="102" spans="1:12" x14ac:dyDescent="0.2">
      <c r="A102" s="3" t="s">
        <v>35</v>
      </c>
      <c r="C102" s="6" t="str">
        <f>"000-2101-03"</f>
        <v>000-2101-03</v>
      </c>
      <c r="D102" s="6" t="str">
        <f>"Accounts Payable - New Zealand"</f>
        <v>Accounts Payable - New Zealand</v>
      </c>
      <c r="E102" s="15">
        <v>-4583.18</v>
      </c>
      <c r="F102" s="15">
        <v>-4583.18</v>
      </c>
      <c r="G102" s="15">
        <v>-4583.18</v>
      </c>
      <c r="H102" s="15">
        <v>-4583.18</v>
      </c>
      <c r="I102" s="15">
        <v>-4583.18</v>
      </c>
      <c r="J102" s="15">
        <v>-4583.18</v>
      </c>
      <c r="K102" s="15">
        <v>-4583.18</v>
      </c>
      <c r="L102" s="16">
        <f t="shared" si="1"/>
        <v>91</v>
      </c>
    </row>
    <row r="103" spans="1:12" x14ac:dyDescent="0.2">
      <c r="A103" s="3" t="s">
        <v>35</v>
      </c>
      <c r="C103" s="6" t="str">
        <f>"000-2101-04"</f>
        <v>000-2101-04</v>
      </c>
      <c r="D103" s="6" t="str">
        <f>"Accounts Payable - Germany"</f>
        <v>Accounts Payable - Germany</v>
      </c>
      <c r="E103" s="15">
        <v>0</v>
      </c>
      <c r="F103" s="15">
        <v>0</v>
      </c>
      <c r="G103" s="15">
        <v>0</v>
      </c>
      <c r="H103" s="15">
        <v>0</v>
      </c>
      <c r="I103" s="15">
        <v>0</v>
      </c>
      <c r="J103" s="15">
        <v>0</v>
      </c>
      <c r="K103" s="15">
        <v>0</v>
      </c>
      <c r="L103" s="16">
        <f t="shared" si="1"/>
        <v>92</v>
      </c>
    </row>
    <row r="104" spans="1:12" x14ac:dyDescent="0.2">
      <c r="A104" s="3" t="s">
        <v>35</v>
      </c>
      <c r="C104" s="6" t="str">
        <f>"000-2101-05"</f>
        <v>000-2101-05</v>
      </c>
      <c r="D104" s="6" t="str">
        <f>"Accounts Payable - United Kingdom"</f>
        <v>Accounts Payable - United Kingdom</v>
      </c>
      <c r="E104" s="15">
        <v>1476.18</v>
      </c>
      <c r="F104" s="15">
        <v>1476.18</v>
      </c>
      <c r="G104" s="15">
        <v>1476.18</v>
      </c>
      <c r="H104" s="15">
        <v>1476.18</v>
      </c>
      <c r="I104" s="15">
        <v>1476.18</v>
      </c>
      <c r="J104" s="15">
        <v>1476.18</v>
      </c>
      <c r="K104" s="15">
        <v>1476.18</v>
      </c>
      <c r="L104" s="16">
        <f t="shared" si="1"/>
        <v>93</v>
      </c>
    </row>
    <row r="105" spans="1:12" x14ac:dyDescent="0.2">
      <c r="A105" s="3" t="s">
        <v>35</v>
      </c>
      <c r="C105" s="6" t="str">
        <f>"000-2101-06"</f>
        <v>000-2101-06</v>
      </c>
      <c r="D105" s="6" t="str">
        <f>"Accounts Payable - South Africa"</f>
        <v>Accounts Payable - South Africa</v>
      </c>
      <c r="E105" s="15">
        <v>-2741.87</v>
      </c>
      <c r="F105" s="15">
        <v>-2741.87</v>
      </c>
      <c r="G105" s="15">
        <v>-2741.87</v>
      </c>
      <c r="H105" s="15">
        <v>-2741.87</v>
      </c>
      <c r="I105" s="15">
        <v>-2741.87</v>
      </c>
      <c r="J105" s="15">
        <v>-2741.87</v>
      </c>
      <c r="K105" s="15">
        <v>-2741.87</v>
      </c>
      <c r="L105" s="16">
        <f t="shared" si="1"/>
        <v>94</v>
      </c>
    </row>
    <row r="106" spans="1:12" x14ac:dyDescent="0.2">
      <c r="A106" s="3" t="s">
        <v>35</v>
      </c>
      <c r="C106" s="6" t="str">
        <f>"000-2101-07"</f>
        <v>000-2101-07</v>
      </c>
      <c r="D106" s="6" t="str">
        <f>"Accounts Payable - Singapore"</f>
        <v>Accounts Payable - Singapore</v>
      </c>
      <c r="E106" s="15">
        <v>-3119.01</v>
      </c>
      <c r="F106" s="15">
        <v>-3119.01</v>
      </c>
      <c r="G106" s="15">
        <v>-3119.01</v>
      </c>
      <c r="H106" s="15">
        <v>-3119.01</v>
      </c>
      <c r="I106" s="15">
        <v>-3119.01</v>
      </c>
      <c r="J106" s="15">
        <v>-3119.01</v>
      </c>
      <c r="K106" s="15">
        <v>-3119.01</v>
      </c>
      <c r="L106" s="16">
        <f t="shared" si="1"/>
        <v>95</v>
      </c>
    </row>
    <row r="107" spans="1:12" x14ac:dyDescent="0.2">
      <c r="A107" s="3" t="s">
        <v>35</v>
      </c>
      <c r="C107" s="6" t="str">
        <f>"000-2105-00"</f>
        <v>000-2105-00</v>
      </c>
      <c r="D107" s="6" t="str">
        <f>"Purchases Discounts Available"</f>
        <v>Purchases Discounts Available</v>
      </c>
      <c r="E107" s="15">
        <v>-5386.47</v>
      </c>
      <c r="F107" s="15">
        <v>-5386.47</v>
      </c>
      <c r="G107" s="15">
        <v>-5386.47</v>
      </c>
      <c r="H107" s="15">
        <v>-5386.47</v>
      </c>
      <c r="I107" s="15">
        <v>-5386.47</v>
      </c>
      <c r="J107" s="15">
        <v>-5386.47</v>
      </c>
      <c r="K107" s="15">
        <v>-5386.47</v>
      </c>
      <c r="L107" s="16">
        <f t="shared" si="1"/>
        <v>96</v>
      </c>
    </row>
    <row r="108" spans="1:12" x14ac:dyDescent="0.2">
      <c r="A108" s="3" t="s">
        <v>35</v>
      </c>
      <c r="C108" s="6" t="str">
        <f>"000-2110-00"</f>
        <v>000-2110-00</v>
      </c>
      <c r="D108" s="6" t="str">
        <f>"Accrued Expenses"</f>
        <v>Accrued Expenses</v>
      </c>
      <c r="E108" s="15">
        <v>-24500</v>
      </c>
      <c r="F108" s="15">
        <v>-24500</v>
      </c>
      <c r="G108" s="15">
        <v>-24500</v>
      </c>
      <c r="H108" s="15">
        <v>-24500</v>
      </c>
      <c r="I108" s="15">
        <v>-24500</v>
      </c>
      <c r="J108" s="15">
        <v>-24500</v>
      </c>
      <c r="K108" s="15">
        <v>-24500</v>
      </c>
      <c r="L108" s="16">
        <f t="shared" si="1"/>
        <v>97</v>
      </c>
    </row>
    <row r="109" spans="1:12" x14ac:dyDescent="0.2">
      <c r="A109" s="3" t="s">
        <v>35</v>
      </c>
      <c r="C109" s="6" t="str">
        <f>"000-2111-00"</f>
        <v>000-2111-00</v>
      </c>
      <c r="D109" s="6" t="str">
        <f>"Accrued Purchases"</f>
        <v>Accrued Purchases</v>
      </c>
      <c r="E109" s="15">
        <v>-103.79</v>
      </c>
      <c r="F109" s="15">
        <v>-103.79</v>
      </c>
      <c r="G109" s="15">
        <v>-103.79</v>
      </c>
      <c r="H109" s="15">
        <v>-103.79</v>
      </c>
      <c r="I109" s="15">
        <v>-103.79</v>
      </c>
      <c r="J109" s="15">
        <v>-103.79</v>
      </c>
      <c r="K109" s="15">
        <v>-103.79</v>
      </c>
      <c r="L109" s="16">
        <f t="shared" si="1"/>
        <v>98</v>
      </c>
    </row>
    <row r="110" spans="1:12" x14ac:dyDescent="0.2">
      <c r="A110" s="3" t="s">
        <v>35</v>
      </c>
      <c r="C110" s="6" t="str">
        <f>"000-2115-00"</f>
        <v>000-2115-00</v>
      </c>
      <c r="D110" s="6" t="str">
        <f>"Unearned Income"</f>
        <v>Unearned Income</v>
      </c>
      <c r="E110" s="15">
        <v>0</v>
      </c>
      <c r="F110" s="15">
        <v>0</v>
      </c>
      <c r="G110" s="15">
        <v>0</v>
      </c>
      <c r="H110" s="15">
        <v>0</v>
      </c>
      <c r="I110" s="15">
        <v>0</v>
      </c>
      <c r="J110" s="15">
        <v>0</v>
      </c>
      <c r="K110" s="15">
        <v>0</v>
      </c>
      <c r="L110" s="16">
        <f t="shared" si="1"/>
        <v>99</v>
      </c>
    </row>
    <row r="111" spans="1:12" x14ac:dyDescent="0.2">
      <c r="A111" s="3" t="s">
        <v>35</v>
      </c>
      <c r="C111" s="6" t="str">
        <f>"000-2120-00"</f>
        <v>000-2120-00</v>
      </c>
      <c r="D111" s="6" t="str">
        <f>"Commissions Payable"</f>
        <v>Commissions Payable</v>
      </c>
      <c r="E111" s="15">
        <v>-97290.1</v>
      </c>
      <c r="F111" s="15">
        <v>-97290.1</v>
      </c>
      <c r="G111" s="15">
        <v>-97290.1</v>
      </c>
      <c r="H111" s="15">
        <v>-97290.1</v>
      </c>
      <c r="I111" s="15">
        <v>-97290.1</v>
      </c>
      <c r="J111" s="15">
        <v>-97290.1</v>
      </c>
      <c r="K111" s="15">
        <v>-97290.1</v>
      </c>
      <c r="L111" s="16">
        <f t="shared" si="1"/>
        <v>100</v>
      </c>
    </row>
    <row r="112" spans="1:12" x14ac:dyDescent="0.2">
      <c r="A112" s="3" t="s">
        <v>35</v>
      </c>
      <c r="C112" s="6" t="str">
        <f>"000-2130-00"</f>
        <v>000-2130-00</v>
      </c>
      <c r="D112" s="6" t="str">
        <f>"Bonuses Payable"</f>
        <v>Bonuses Payable</v>
      </c>
      <c r="E112" s="15">
        <v>0</v>
      </c>
      <c r="F112" s="15">
        <v>0</v>
      </c>
      <c r="G112" s="15">
        <v>0</v>
      </c>
      <c r="H112" s="15">
        <v>0</v>
      </c>
      <c r="I112" s="15">
        <v>0</v>
      </c>
      <c r="J112" s="15">
        <v>0</v>
      </c>
      <c r="K112" s="15">
        <v>0</v>
      </c>
      <c r="L112" s="16">
        <f t="shared" si="1"/>
        <v>101</v>
      </c>
    </row>
    <row r="113" spans="1:12" x14ac:dyDescent="0.2">
      <c r="A113" s="3" t="s">
        <v>35</v>
      </c>
      <c r="C113" s="6" t="str">
        <f>"000-2140-00"</f>
        <v>000-2140-00</v>
      </c>
      <c r="D113" s="6" t="str">
        <f>"Accrued Vacation Payable"</f>
        <v>Accrued Vacation Payable</v>
      </c>
      <c r="E113" s="15">
        <v>-18806.7</v>
      </c>
      <c r="F113" s="15">
        <v>-18806.7</v>
      </c>
      <c r="G113" s="15">
        <v>-18806.7</v>
      </c>
      <c r="H113" s="15">
        <v>-18806.7</v>
      </c>
      <c r="I113" s="15">
        <v>-18806.7</v>
      </c>
      <c r="J113" s="15">
        <v>-18806.7</v>
      </c>
      <c r="K113" s="15">
        <v>-18806.7</v>
      </c>
      <c r="L113" s="16">
        <f t="shared" si="1"/>
        <v>102</v>
      </c>
    </row>
    <row r="114" spans="1:12" x14ac:dyDescent="0.2">
      <c r="A114" s="3" t="s">
        <v>35</v>
      </c>
      <c r="C114" s="6" t="str">
        <f>"000-2150-00"</f>
        <v>000-2150-00</v>
      </c>
      <c r="D114" s="6" t="str">
        <f>"Taxable Benefits Payable"</f>
        <v>Taxable Benefits Payable</v>
      </c>
      <c r="E114" s="15">
        <v>-11082.8</v>
      </c>
      <c r="F114" s="15">
        <v>-12508.29</v>
      </c>
      <c r="G114" s="15">
        <v>-13934.03</v>
      </c>
      <c r="H114" s="15">
        <v>-15366.04</v>
      </c>
      <c r="I114" s="15">
        <v>-16797.36</v>
      </c>
      <c r="J114" s="15">
        <v>-18176.900000000001</v>
      </c>
      <c r="K114" s="15">
        <v>-19609.64</v>
      </c>
      <c r="L114" s="16">
        <f t="shared" si="1"/>
        <v>103</v>
      </c>
    </row>
    <row r="115" spans="1:12" x14ac:dyDescent="0.2">
      <c r="A115" s="3" t="s">
        <v>35</v>
      </c>
      <c r="C115" s="6" t="str">
        <f>"000-2161-00"</f>
        <v>000-2161-00</v>
      </c>
      <c r="D115" s="6" t="str">
        <f>"IL State Withholding Payable"</f>
        <v>IL State Withholding Payable</v>
      </c>
      <c r="E115" s="15">
        <v>-8376.7000000000007</v>
      </c>
      <c r="F115" s="15">
        <v>-9128.6200000000008</v>
      </c>
      <c r="G115" s="15">
        <v>-9874.8700000000008</v>
      </c>
      <c r="H115" s="15">
        <v>-10645.47</v>
      </c>
      <c r="I115" s="15">
        <v>-11401.73</v>
      </c>
      <c r="J115" s="15">
        <v>-12139.84</v>
      </c>
      <c r="K115" s="15">
        <v>-12897.7</v>
      </c>
      <c r="L115" s="16">
        <f t="shared" si="1"/>
        <v>104</v>
      </c>
    </row>
    <row r="116" spans="1:12" x14ac:dyDescent="0.2">
      <c r="A116" s="3" t="s">
        <v>35</v>
      </c>
      <c r="C116" s="6" t="str">
        <f>"000-2162-00"</f>
        <v>000-2162-00</v>
      </c>
      <c r="D116" s="6" t="str">
        <f>"NE State Witholding Payable"</f>
        <v>NE State Witholding Payable</v>
      </c>
      <c r="E116" s="15">
        <v>0</v>
      </c>
      <c r="F116" s="15">
        <v>0</v>
      </c>
      <c r="G116" s="15">
        <v>0</v>
      </c>
      <c r="H116" s="15">
        <v>0</v>
      </c>
      <c r="I116" s="15">
        <v>0</v>
      </c>
      <c r="J116" s="15">
        <v>0</v>
      </c>
      <c r="K116" s="15">
        <v>0</v>
      </c>
      <c r="L116" s="16">
        <f t="shared" si="1"/>
        <v>105</v>
      </c>
    </row>
    <row r="117" spans="1:12" x14ac:dyDescent="0.2">
      <c r="A117" s="3" t="s">
        <v>35</v>
      </c>
      <c r="C117" s="6" t="str">
        <f>"000-2163-00"</f>
        <v>000-2163-00</v>
      </c>
      <c r="D117" s="6" t="str">
        <f>"IN State Witholding Payable"</f>
        <v>IN State Witholding Payable</v>
      </c>
      <c r="E117" s="15">
        <v>0</v>
      </c>
      <c r="F117" s="15">
        <v>0</v>
      </c>
      <c r="G117" s="15">
        <v>0</v>
      </c>
      <c r="H117" s="15">
        <v>0</v>
      </c>
      <c r="I117" s="15">
        <v>0</v>
      </c>
      <c r="J117" s="15">
        <v>0</v>
      </c>
      <c r="K117" s="15">
        <v>0</v>
      </c>
      <c r="L117" s="16">
        <f t="shared" si="1"/>
        <v>106</v>
      </c>
    </row>
    <row r="118" spans="1:12" x14ac:dyDescent="0.2">
      <c r="A118" s="3" t="s">
        <v>35</v>
      </c>
      <c r="C118" s="6" t="str">
        <f>"000-2164-00"</f>
        <v>000-2164-00</v>
      </c>
      <c r="D118" s="6" t="str">
        <f>"MN State Withholding Payable"</f>
        <v>MN State Withholding Payable</v>
      </c>
      <c r="E118" s="15">
        <v>-102.63</v>
      </c>
      <c r="F118" s="15">
        <v>-102.63</v>
      </c>
      <c r="G118" s="15">
        <v>-102.63</v>
      </c>
      <c r="H118" s="15">
        <v>-102.63</v>
      </c>
      <c r="I118" s="15">
        <v>-102.63</v>
      </c>
      <c r="J118" s="15">
        <v>-102.63</v>
      </c>
      <c r="K118" s="15">
        <v>-102.63</v>
      </c>
      <c r="L118" s="16">
        <f t="shared" si="1"/>
        <v>107</v>
      </c>
    </row>
    <row r="119" spans="1:12" x14ac:dyDescent="0.2">
      <c r="A119" s="3" t="s">
        <v>35</v>
      </c>
      <c r="C119" s="6" t="str">
        <f>"000-2165-00"</f>
        <v>000-2165-00</v>
      </c>
      <c r="D119" s="6" t="str">
        <f>"MO State Withholding Payable"</f>
        <v>MO State Withholding Payable</v>
      </c>
      <c r="E119" s="15">
        <v>0</v>
      </c>
      <c r="F119" s="15">
        <v>0</v>
      </c>
      <c r="G119" s="15">
        <v>0</v>
      </c>
      <c r="H119" s="15">
        <v>0</v>
      </c>
      <c r="I119" s="15">
        <v>0</v>
      </c>
      <c r="J119" s="15">
        <v>0</v>
      </c>
      <c r="K119" s="15">
        <v>0</v>
      </c>
      <c r="L119" s="16">
        <f t="shared" si="1"/>
        <v>108</v>
      </c>
    </row>
    <row r="120" spans="1:12" x14ac:dyDescent="0.2">
      <c r="A120" s="3" t="s">
        <v>35</v>
      </c>
      <c r="C120" s="6" t="str">
        <f>"000-2166-00"</f>
        <v>000-2166-00</v>
      </c>
      <c r="D120" s="6" t="str">
        <f>"Bloomington City Withholding Tax Payable"</f>
        <v>Bloomington City Withholding Tax Payable</v>
      </c>
      <c r="E120" s="15">
        <v>0</v>
      </c>
      <c r="F120" s="15">
        <v>0</v>
      </c>
      <c r="G120" s="15">
        <v>0</v>
      </c>
      <c r="H120" s="15">
        <v>0</v>
      </c>
      <c r="I120" s="15">
        <v>0</v>
      </c>
      <c r="J120" s="15">
        <v>0</v>
      </c>
      <c r="K120" s="15">
        <v>0</v>
      </c>
      <c r="L120" s="16">
        <f t="shared" si="1"/>
        <v>109</v>
      </c>
    </row>
    <row r="121" spans="1:12" x14ac:dyDescent="0.2">
      <c r="A121" s="3" t="s">
        <v>35</v>
      </c>
      <c r="C121" s="6" t="str">
        <f>"000-2170-00"</f>
        <v>000-2170-00</v>
      </c>
      <c r="D121" s="6" t="str">
        <f>"Federal Withholding Payable"</f>
        <v>Federal Withholding Payable</v>
      </c>
      <c r="E121" s="15">
        <v>-71393.7</v>
      </c>
      <c r="F121" s="15">
        <v>-78014.58</v>
      </c>
      <c r="G121" s="15">
        <v>-84609.18</v>
      </c>
      <c r="H121" s="15">
        <v>-91417.26</v>
      </c>
      <c r="I121" s="15">
        <v>-98110.48</v>
      </c>
      <c r="J121" s="15">
        <v>-104611.01</v>
      </c>
      <c r="K121" s="15">
        <v>-111296.62</v>
      </c>
      <c r="L121" s="16">
        <f t="shared" si="1"/>
        <v>110</v>
      </c>
    </row>
    <row r="122" spans="1:12" x14ac:dyDescent="0.2">
      <c r="A122" s="3" t="s">
        <v>35</v>
      </c>
      <c r="C122" s="6" t="str">
        <f>"000-2175-00"</f>
        <v>000-2175-00</v>
      </c>
      <c r="D122" s="6" t="str">
        <f>"FICA Payable"</f>
        <v>FICA Payable</v>
      </c>
      <c r="E122" s="15">
        <v>0</v>
      </c>
      <c r="F122" s="15">
        <v>0</v>
      </c>
      <c r="G122" s="15">
        <v>0</v>
      </c>
      <c r="H122" s="15">
        <v>0</v>
      </c>
      <c r="I122" s="15">
        <v>0</v>
      </c>
      <c r="J122" s="15">
        <v>0</v>
      </c>
      <c r="K122" s="15">
        <v>0</v>
      </c>
      <c r="L122" s="16">
        <f t="shared" si="1"/>
        <v>111</v>
      </c>
    </row>
    <row r="123" spans="1:12" x14ac:dyDescent="0.2">
      <c r="A123" s="3" t="s">
        <v>35</v>
      </c>
      <c r="C123" s="6" t="str">
        <f>"000-2180-00"</f>
        <v>000-2180-00</v>
      </c>
      <c r="D123" s="6" t="str">
        <f>"FUTA Payable"</f>
        <v>FUTA Payable</v>
      </c>
      <c r="E123" s="15">
        <v>0</v>
      </c>
      <c r="F123" s="15">
        <v>0</v>
      </c>
      <c r="G123" s="15">
        <v>0</v>
      </c>
      <c r="H123" s="15">
        <v>0</v>
      </c>
      <c r="I123" s="15">
        <v>0</v>
      </c>
      <c r="J123" s="15">
        <v>0</v>
      </c>
      <c r="K123" s="15">
        <v>0</v>
      </c>
      <c r="L123" s="16">
        <f t="shared" si="1"/>
        <v>112</v>
      </c>
    </row>
    <row r="124" spans="1:12" x14ac:dyDescent="0.2">
      <c r="A124" s="3" t="s">
        <v>35</v>
      </c>
      <c r="C124" s="6" t="str">
        <f>"000-2191-00"</f>
        <v>000-2191-00</v>
      </c>
      <c r="D124" s="6" t="str">
        <f>"IL State SUTA Payable"</f>
        <v>IL State SUTA Payable</v>
      </c>
      <c r="E124" s="15">
        <v>0</v>
      </c>
      <c r="F124" s="15">
        <v>0</v>
      </c>
      <c r="G124" s="15">
        <v>0</v>
      </c>
      <c r="H124" s="15">
        <v>0</v>
      </c>
      <c r="I124" s="15">
        <v>0</v>
      </c>
      <c r="J124" s="15">
        <v>0</v>
      </c>
      <c r="K124" s="15">
        <v>0</v>
      </c>
      <c r="L124" s="16">
        <f t="shared" si="1"/>
        <v>113</v>
      </c>
    </row>
    <row r="125" spans="1:12" x14ac:dyDescent="0.2">
      <c r="A125" s="3" t="s">
        <v>35</v>
      </c>
      <c r="C125" s="6" t="str">
        <f>"000-2192-00"</f>
        <v>000-2192-00</v>
      </c>
      <c r="D125" s="6" t="str">
        <f>"NE State SUTA Payable"</f>
        <v>NE State SUTA Payable</v>
      </c>
      <c r="E125" s="15">
        <v>0</v>
      </c>
      <c r="F125" s="15">
        <v>0</v>
      </c>
      <c r="G125" s="15">
        <v>0</v>
      </c>
      <c r="H125" s="15">
        <v>0</v>
      </c>
      <c r="I125" s="15">
        <v>0</v>
      </c>
      <c r="J125" s="15">
        <v>0</v>
      </c>
      <c r="K125" s="15">
        <v>0</v>
      </c>
      <c r="L125" s="16">
        <f t="shared" si="1"/>
        <v>114</v>
      </c>
    </row>
    <row r="126" spans="1:12" x14ac:dyDescent="0.2">
      <c r="A126" s="3" t="s">
        <v>35</v>
      </c>
      <c r="C126" s="6" t="str">
        <f>"000-2193-00"</f>
        <v>000-2193-00</v>
      </c>
      <c r="D126" s="6" t="str">
        <f>"IN State SUTA Payable"</f>
        <v>IN State SUTA Payable</v>
      </c>
      <c r="E126" s="15">
        <v>0</v>
      </c>
      <c r="F126" s="15">
        <v>0</v>
      </c>
      <c r="G126" s="15">
        <v>0</v>
      </c>
      <c r="H126" s="15">
        <v>0</v>
      </c>
      <c r="I126" s="15">
        <v>0</v>
      </c>
      <c r="J126" s="15">
        <v>0</v>
      </c>
      <c r="K126" s="15">
        <v>0</v>
      </c>
      <c r="L126" s="16">
        <f t="shared" si="1"/>
        <v>115</v>
      </c>
    </row>
    <row r="127" spans="1:12" x14ac:dyDescent="0.2">
      <c r="A127" s="3" t="s">
        <v>35</v>
      </c>
      <c r="C127" s="6" t="str">
        <f>"000-2194-00"</f>
        <v>000-2194-00</v>
      </c>
      <c r="D127" s="6" t="str">
        <f>"MN State SUTA Payable"</f>
        <v>MN State SUTA Payable</v>
      </c>
      <c r="E127" s="15">
        <v>0</v>
      </c>
      <c r="F127" s="15">
        <v>0</v>
      </c>
      <c r="G127" s="15">
        <v>0</v>
      </c>
      <c r="H127" s="15">
        <v>0</v>
      </c>
      <c r="I127" s="15">
        <v>0</v>
      </c>
      <c r="J127" s="15">
        <v>0</v>
      </c>
      <c r="K127" s="15">
        <v>0</v>
      </c>
      <c r="L127" s="16">
        <f t="shared" si="1"/>
        <v>116</v>
      </c>
    </row>
    <row r="128" spans="1:12" x14ac:dyDescent="0.2">
      <c r="A128" s="3" t="s">
        <v>35</v>
      </c>
      <c r="C128" s="6" t="str">
        <f>"000-2195-00"</f>
        <v>000-2195-00</v>
      </c>
      <c r="D128" s="6" t="str">
        <f>"MO State SUTA Payable"</f>
        <v>MO State SUTA Payable</v>
      </c>
      <c r="E128" s="15">
        <v>0</v>
      </c>
      <c r="F128" s="15">
        <v>0</v>
      </c>
      <c r="G128" s="15">
        <v>0</v>
      </c>
      <c r="H128" s="15">
        <v>0</v>
      </c>
      <c r="I128" s="15">
        <v>0</v>
      </c>
      <c r="J128" s="15">
        <v>0</v>
      </c>
      <c r="K128" s="15">
        <v>0</v>
      </c>
      <c r="L128" s="16">
        <f t="shared" si="1"/>
        <v>117</v>
      </c>
    </row>
    <row r="129" spans="1:12" x14ac:dyDescent="0.2">
      <c r="A129" s="3" t="s">
        <v>35</v>
      </c>
      <c r="C129" s="6" t="str">
        <f>"000-2200-00"</f>
        <v>000-2200-00</v>
      </c>
      <c r="D129" s="6" t="str">
        <f>"Payroll Deductions Payable"</f>
        <v>Payroll Deductions Payable</v>
      </c>
      <c r="E129" s="15">
        <v>-12127.2</v>
      </c>
      <c r="F129" s="15">
        <v>-13972.72</v>
      </c>
      <c r="G129" s="15">
        <v>-15823.44</v>
      </c>
      <c r="H129" s="15">
        <v>-17799.23</v>
      </c>
      <c r="I129" s="15">
        <v>-19761.21</v>
      </c>
      <c r="J129" s="15">
        <v>-21581.75</v>
      </c>
      <c r="K129" s="15">
        <v>-23571.97</v>
      </c>
      <c r="L129" s="16">
        <f t="shared" si="1"/>
        <v>118</v>
      </c>
    </row>
    <row r="130" spans="1:12" x14ac:dyDescent="0.2">
      <c r="A130" s="3" t="s">
        <v>35</v>
      </c>
      <c r="C130" s="6" t="str">
        <f>"000-2210-00"</f>
        <v>000-2210-00</v>
      </c>
      <c r="D130" s="6" t="str">
        <f>"401(k) Payable"</f>
        <v>401(k) Payable</v>
      </c>
      <c r="E130" s="15">
        <v>0</v>
      </c>
      <c r="F130" s="15">
        <v>0</v>
      </c>
      <c r="G130" s="15">
        <v>0</v>
      </c>
      <c r="H130" s="15">
        <v>0</v>
      </c>
      <c r="I130" s="15">
        <v>0</v>
      </c>
      <c r="J130" s="15">
        <v>0</v>
      </c>
      <c r="K130" s="15">
        <v>0</v>
      </c>
      <c r="L130" s="16">
        <f t="shared" si="1"/>
        <v>119</v>
      </c>
    </row>
    <row r="131" spans="1:12" x14ac:dyDescent="0.2">
      <c r="A131" s="3" t="s">
        <v>35</v>
      </c>
      <c r="C131" s="6" t="str">
        <f>"000-2220-00"</f>
        <v>000-2220-00</v>
      </c>
      <c r="D131" s="6" t="str">
        <f>"Insurance Premiums Payable"</f>
        <v>Insurance Premiums Payable</v>
      </c>
      <c r="E131" s="15">
        <v>0</v>
      </c>
      <c r="F131" s="15">
        <v>0</v>
      </c>
      <c r="G131" s="15">
        <v>0</v>
      </c>
      <c r="H131" s="15">
        <v>0</v>
      </c>
      <c r="I131" s="15">
        <v>0</v>
      </c>
      <c r="J131" s="15">
        <v>0</v>
      </c>
      <c r="K131" s="15">
        <v>0</v>
      </c>
      <c r="L131" s="16">
        <f t="shared" si="1"/>
        <v>120</v>
      </c>
    </row>
    <row r="132" spans="1:12" x14ac:dyDescent="0.2">
      <c r="A132" s="3" t="s">
        <v>35</v>
      </c>
      <c r="C132" s="6" t="str">
        <f>"000-2230-00"</f>
        <v>000-2230-00</v>
      </c>
      <c r="D132" s="6" t="str">
        <f>"Medical Reimbursement Payable"</f>
        <v>Medical Reimbursement Payable</v>
      </c>
      <c r="E132" s="15">
        <v>364.62</v>
      </c>
      <c r="F132" s="15">
        <v>364.62</v>
      </c>
      <c r="G132" s="15">
        <v>364.62</v>
      </c>
      <c r="H132" s="15">
        <v>364.62</v>
      </c>
      <c r="I132" s="15">
        <v>364.62</v>
      </c>
      <c r="J132" s="15">
        <v>364.62</v>
      </c>
      <c r="K132" s="15">
        <v>364.62</v>
      </c>
      <c r="L132" s="16">
        <f t="shared" si="1"/>
        <v>121</v>
      </c>
    </row>
    <row r="133" spans="1:12" x14ac:dyDescent="0.2">
      <c r="A133" s="3" t="s">
        <v>35</v>
      </c>
      <c r="C133" s="6" t="str">
        <f>"000-2240-00"</f>
        <v>000-2240-00</v>
      </c>
      <c r="D133" s="6" t="str">
        <f>"Dependent Care Payable"</f>
        <v>Dependent Care Payable</v>
      </c>
      <c r="E133" s="15">
        <v>1085</v>
      </c>
      <c r="F133" s="15">
        <v>1085</v>
      </c>
      <c r="G133" s="15">
        <v>1085</v>
      </c>
      <c r="H133" s="15">
        <v>1085</v>
      </c>
      <c r="I133" s="15">
        <v>1085</v>
      </c>
      <c r="J133" s="15">
        <v>1085</v>
      </c>
      <c r="K133" s="15">
        <v>1085</v>
      </c>
      <c r="L133" s="16">
        <f t="shared" si="1"/>
        <v>122</v>
      </c>
    </row>
    <row r="134" spans="1:12" x14ac:dyDescent="0.2">
      <c r="A134" s="3" t="s">
        <v>35</v>
      </c>
      <c r="C134" s="6" t="str">
        <f>"000-2250-00"</f>
        <v>000-2250-00</v>
      </c>
      <c r="D134" s="6" t="str">
        <f>"Employee Benefits Payable"</f>
        <v>Employee Benefits Payable</v>
      </c>
      <c r="E134" s="15">
        <v>0</v>
      </c>
      <c r="F134" s="15">
        <v>0</v>
      </c>
      <c r="G134" s="15">
        <v>0</v>
      </c>
      <c r="H134" s="15">
        <v>0</v>
      </c>
      <c r="I134" s="15">
        <v>0</v>
      </c>
      <c r="J134" s="15">
        <v>0</v>
      </c>
      <c r="K134" s="15">
        <v>0</v>
      </c>
      <c r="L134" s="16">
        <f t="shared" si="1"/>
        <v>123</v>
      </c>
    </row>
    <row r="135" spans="1:12" x14ac:dyDescent="0.2">
      <c r="A135" s="3" t="s">
        <v>35</v>
      </c>
      <c r="C135" s="6" t="str">
        <f>"000-2260-00"</f>
        <v>000-2260-00</v>
      </c>
      <c r="D135" s="6" t="str">
        <f>"Union Dues Payable - 1"</f>
        <v>Union Dues Payable - 1</v>
      </c>
      <c r="E135" s="15">
        <v>0</v>
      </c>
      <c r="F135" s="15">
        <v>0</v>
      </c>
      <c r="G135" s="15">
        <v>0</v>
      </c>
      <c r="H135" s="15">
        <v>0</v>
      </c>
      <c r="I135" s="15">
        <v>0</v>
      </c>
      <c r="J135" s="15">
        <v>0</v>
      </c>
      <c r="K135" s="15">
        <v>0</v>
      </c>
      <c r="L135" s="16">
        <f t="shared" si="1"/>
        <v>124</v>
      </c>
    </row>
    <row r="136" spans="1:12" x14ac:dyDescent="0.2">
      <c r="A136" s="3" t="s">
        <v>35</v>
      </c>
      <c r="C136" s="6" t="str">
        <f>"000-2261-00"</f>
        <v>000-2261-00</v>
      </c>
      <c r="D136" s="6" t="str">
        <f>"Union Dues Payable - 2"</f>
        <v>Union Dues Payable - 2</v>
      </c>
      <c r="E136" s="15">
        <v>0</v>
      </c>
      <c r="F136" s="15">
        <v>0</v>
      </c>
      <c r="G136" s="15">
        <v>0</v>
      </c>
      <c r="H136" s="15">
        <v>0</v>
      </c>
      <c r="I136" s="15">
        <v>0</v>
      </c>
      <c r="J136" s="15">
        <v>0</v>
      </c>
      <c r="K136" s="15">
        <v>0</v>
      </c>
      <c r="L136" s="16">
        <f t="shared" si="1"/>
        <v>125</v>
      </c>
    </row>
    <row r="137" spans="1:12" x14ac:dyDescent="0.2">
      <c r="A137" s="3" t="s">
        <v>35</v>
      </c>
      <c r="C137" s="6" t="str">
        <f>"000-2270-00"</f>
        <v>000-2270-00</v>
      </c>
      <c r="D137" s="6" t="str">
        <f>"IL Workers Compensation Payable"</f>
        <v>IL Workers Compensation Payable</v>
      </c>
      <c r="E137" s="15">
        <v>0</v>
      </c>
      <c r="F137" s="15">
        <v>0</v>
      </c>
      <c r="G137" s="15">
        <v>0</v>
      </c>
      <c r="H137" s="15">
        <v>0</v>
      </c>
      <c r="I137" s="15">
        <v>0</v>
      </c>
      <c r="J137" s="15">
        <v>0</v>
      </c>
      <c r="K137" s="15">
        <v>0</v>
      </c>
      <c r="L137" s="16">
        <f t="shared" si="1"/>
        <v>126</v>
      </c>
    </row>
    <row r="138" spans="1:12" x14ac:dyDescent="0.2">
      <c r="A138" s="3" t="s">
        <v>35</v>
      </c>
      <c r="C138" s="6" t="str">
        <f>"000-2271-00"</f>
        <v>000-2271-00</v>
      </c>
      <c r="D138" s="6" t="str">
        <f>"NE Workers Compensation Payable"</f>
        <v>NE Workers Compensation Payable</v>
      </c>
      <c r="E138" s="15">
        <v>0</v>
      </c>
      <c r="F138" s="15">
        <v>0</v>
      </c>
      <c r="G138" s="15">
        <v>0</v>
      </c>
      <c r="H138" s="15">
        <v>0</v>
      </c>
      <c r="I138" s="15">
        <v>0</v>
      </c>
      <c r="J138" s="15">
        <v>0</v>
      </c>
      <c r="K138" s="15">
        <v>0</v>
      </c>
      <c r="L138" s="16">
        <f t="shared" si="1"/>
        <v>127</v>
      </c>
    </row>
    <row r="139" spans="1:12" x14ac:dyDescent="0.2">
      <c r="A139" s="3" t="s">
        <v>35</v>
      </c>
      <c r="C139" s="6" t="str">
        <f>"000-2272-00"</f>
        <v>000-2272-00</v>
      </c>
      <c r="D139" s="6" t="str">
        <f>"IN Workers Compensation Payable"</f>
        <v>IN Workers Compensation Payable</v>
      </c>
      <c r="E139" s="15">
        <v>0</v>
      </c>
      <c r="F139" s="15">
        <v>0</v>
      </c>
      <c r="G139" s="15">
        <v>0</v>
      </c>
      <c r="H139" s="15">
        <v>0</v>
      </c>
      <c r="I139" s="15">
        <v>0</v>
      </c>
      <c r="J139" s="15">
        <v>0</v>
      </c>
      <c r="K139" s="15">
        <v>0</v>
      </c>
      <c r="L139" s="16">
        <f t="shared" si="1"/>
        <v>128</v>
      </c>
    </row>
    <row r="140" spans="1:12" x14ac:dyDescent="0.2">
      <c r="A140" s="3" t="s">
        <v>35</v>
      </c>
      <c r="C140" s="6" t="str">
        <f>"000-2273-00"</f>
        <v>000-2273-00</v>
      </c>
      <c r="D140" s="6" t="str">
        <f>"MN Workers Compensation Payable"</f>
        <v>MN Workers Compensation Payable</v>
      </c>
      <c r="E140" s="15">
        <v>0</v>
      </c>
      <c r="F140" s="15">
        <v>0</v>
      </c>
      <c r="G140" s="15">
        <v>0</v>
      </c>
      <c r="H140" s="15">
        <v>0</v>
      </c>
      <c r="I140" s="15">
        <v>0</v>
      </c>
      <c r="J140" s="15">
        <v>0</v>
      </c>
      <c r="K140" s="15">
        <v>0</v>
      </c>
      <c r="L140" s="16">
        <f t="shared" si="1"/>
        <v>129</v>
      </c>
    </row>
    <row r="141" spans="1:12" x14ac:dyDescent="0.2">
      <c r="A141" s="3" t="s">
        <v>35</v>
      </c>
      <c r="C141" s="6" t="str">
        <f>"000-2274-00"</f>
        <v>000-2274-00</v>
      </c>
      <c r="D141" s="6" t="str">
        <f>"MO Workers compensation Payable"</f>
        <v>MO Workers compensation Payable</v>
      </c>
      <c r="E141" s="15">
        <v>0</v>
      </c>
      <c r="F141" s="15">
        <v>0</v>
      </c>
      <c r="G141" s="15">
        <v>0</v>
      </c>
      <c r="H141" s="15">
        <v>0</v>
      </c>
      <c r="I141" s="15">
        <v>0</v>
      </c>
      <c r="J141" s="15">
        <v>0</v>
      </c>
      <c r="K141" s="15">
        <v>0</v>
      </c>
      <c r="L141" s="16">
        <f t="shared" ref="L141:L204" si="2">L140+1</f>
        <v>130</v>
      </c>
    </row>
    <row r="142" spans="1:12" x14ac:dyDescent="0.2">
      <c r="A142" s="3" t="s">
        <v>35</v>
      </c>
      <c r="C142" s="6" t="str">
        <f>"000-2275-00"</f>
        <v>000-2275-00</v>
      </c>
      <c r="D142" s="6" t="str">
        <f>"Ontario Workers Compensation Payable"</f>
        <v>Ontario Workers Compensation Payable</v>
      </c>
      <c r="E142" s="15">
        <v>0</v>
      </c>
      <c r="F142" s="15">
        <v>0</v>
      </c>
      <c r="G142" s="15">
        <v>0</v>
      </c>
      <c r="H142" s="15">
        <v>0</v>
      </c>
      <c r="I142" s="15">
        <v>0</v>
      </c>
      <c r="J142" s="15">
        <v>0</v>
      </c>
      <c r="K142" s="15">
        <v>0</v>
      </c>
      <c r="L142" s="16">
        <f t="shared" si="2"/>
        <v>131</v>
      </c>
    </row>
    <row r="143" spans="1:12" x14ac:dyDescent="0.2">
      <c r="A143" s="3" t="s">
        <v>35</v>
      </c>
      <c r="C143" s="6" t="str">
        <f>"000-2276-00"</f>
        <v>000-2276-00</v>
      </c>
      <c r="D143" s="6" t="str">
        <f>"Alberta Workers Compensation Payable"</f>
        <v>Alberta Workers Compensation Payable</v>
      </c>
      <c r="E143" s="15">
        <v>0</v>
      </c>
      <c r="F143" s="15">
        <v>0</v>
      </c>
      <c r="G143" s="15">
        <v>0</v>
      </c>
      <c r="H143" s="15">
        <v>0</v>
      </c>
      <c r="I143" s="15">
        <v>0</v>
      </c>
      <c r="J143" s="15">
        <v>0</v>
      </c>
      <c r="K143" s="15">
        <v>0</v>
      </c>
      <c r="L143" s="16">
        <f t="shared" si="2"/>
        <v>132</v>
      </c>
    </row>
    <row r="144" spans="1:12" x14ac:dyDescent="0.2">
      <c r="A144" s="3" t="s">
        <v>35</v>
      </c>
      <c r="C144" s="6" t="str">
        <f>"000-2277-00"</f>
        <v>000-2277-00</v>
      </c>
      <c r="D144" s="6" t="str">
        <f>"Quebec Workers Compensation Payable"</f>
        <v>Quebec Workers Compensation Payable</v>
      </c>
      <c r="E144" s="15">
        <v>0</v>
      </c>
      <c r="F144" s="15">
        <v>0</v>
      </c>
      <c r="G144" s="15">
        <v>0</v>
      </c>
      <c r="H144" s="15">
        <v>0</v>
      </c>
      <c r="I144" s="15">
        <v>0</v>
      </c>
      <c r="J144" s="15">
        <v>0</v>
      </c>
      <c r="K144" s="15">
        <v>0</v>
      </c>
      <c r="L144" s="16">
        <f t="shared" si="2"/>
        <v>133</v>
      </c>
    </row>
    <row r="145" spans="1:12" x14ac:dyDescent="0.2">
      <c r="A145" s="3" t="s">
        <v>35</v>
      </c>
      <c r="C145" s="6" t="str">
        <f>"000-2280-00"</f>
        <v>000-2280-00</v>
      </c>
      <c r="D145" s="6" t="str">
        <f>"RRSP Payable"</f>
        <v>RRSP Payable</v>
      </c>
      <c r="E145" s="15">
        <v>-1078.8900000000001</v>
      </c>
      <c r="F145" s="15">
        <v>-1078.8900000000001</v>
      </c>
      <c r="G145" s="15">
        <v>-1078.8900000000001</v>
      </c>
      <c r="H145" s="15">
        <v>-1078.8900000000001</v>
      </c>
      <c r="I145" s="15">
        <v>-1078.8900000000001</v>
      </c>
      <c r="J145" s="15">
        <v>-1078.8900000000001</v>
      </c>
      <c r="K145" s="15">
        <v>-1078.8900000000001</v>
      </c>
      <c r="L145" s="16">
        <f t="shared" si="2"/>
        <v>134</v>
      </c>
    </row>
    <row r="146" spans="1:12" x14ac:dyDescent="0.2">
      <c r="A146" s="3" t="s">
        <v>35</v>
      </c>
      <c r="C146" s="6" t="str">
        <f>"000-2281-00"</f>
        <v>000-2281-00</v>
      </c>
      <c r="D146" s="6" t="str">
        <f>"CPP Payable"</f>
        <v>CPP Payable</v>
      </c>
      <c r="E146" s="15">
        <v>0</v>
      </c>
      <c r="F146" s="15">
        <v>0</v>
      </c>
      <c r="G146" s="15">
        <v>0</v>
      </c>
      <c r="H146" s="15">
        <v>0</v>
      </c>
      <c r="I146" s="15">
        <v>0</v>
      </c>
      <c r="J146" s="15">
        <v>0</v>
      </c>
      <c r="K146" s="15">
        <v>0</v>
      </c>
      <c r="L146" s="16">
        <f t="shared" si="2"/>
        <v>135</v>
      </c>
    </row>
    <row r="147" spans="1:12" x14ac:dyDescent="0.2">
      <c r="A147" s="3" t="s">
        <v>35</v>
      </c>
      <c r="C147" s="6" t="str">
        <f>"000-2282-00"</f>
        <v>000-2282-00</v>
      </c>
      <c r="D147" s="6" t="str">
        <f>"QPP Payable"</f>
        <v>QPP Payable</v>
      </c>
      <c r="E147" s="15">
        <v>0</v>
      </c>
      <c r="F147" s="15">
        <v>0</v>
      </c>
      <c r="G147" s="15">
        <v>0</v>
      </c>
      <c r="H147" s="15">
        <v>0</v>
      </c>
      <c r="I147" s="15">
        <v>0</v>
      </c>
      <c r="J147" s="15">
        <v>0</v>
      </c>
      <c r="K147" s="15">
        <v>0</v>
      </c>
      <c r="L147" s="16">
        <f t="shared" si="2"/>
        <v>136</v>
      </c>
    </row>
    <row r="148" spans="1:12" x14ac:dyDescent="0.2">
      <c r="A148" s="3" t="s">
        <v>35</v>
      </c>
      <c r="C148" s="6" t="str">
        <f>"000-2283-00"</f>
        <v>000-2283-00</v>
      </c>
      <c r="D148" s="6" t="str">
        <f>"UIC Payable"</f>
        <v>UIC Payable</v>
      </c>
      <c r="E148" s="15">
        <v>0</v>
      </c>
      <c r="F148" s="15">
        <v>0</v>
      </c>
      <c r="G148" s="15">
        <v>0</v>
      </c>
      <c r="H148" s="15">
        <v>0</v>
      </c>
      <c r="I148" s="15">
        <v>0</v>
      </c>
      <c r="J148" s="15">
        <v>0</v>
      </c>
      <c r="K148" s="15">
        <v>0</v>
      </c>
      <c r="L148" s="16">
        <f t="shared" si="2"/>
        <v>137</v>
      </c>
    </row>
    <row r="149" spans="1:12" x14ac:dyDescent="0.2">
      <c r="A149" s="3" t="s">
        <v>35</v>
      </c>
      <c r="C149" s="6" t="str">
        <f>"000-2284-00"</f>
        <v>000-2284-00</v>
      </c>
      <c r="D149" s="6" t="str">
        <f>"Quebec Withholding Payable"</f>
        <v>Quebec Withholding Payable</v>
      </c>
      <c r="E149" s="15">
        <v>0</v>
      </c>
      <c r="F149" s="15">
        <v>0</v>
      </c>
      <c r="G149" s="15">
        <v>0</v>
      </c>
      <c r="H149" s="15">
        <v>0</v>
      </c>
      <c r="I149" s="15">
        <v>0</v>
      </c>
      <c r="J149" s="15">
        <v>0</v>
      </c>
      <c r="K149" s="15">
        <v>0</v>
      </c>
      <c r="L149" s="16">
        <f t="shared" si="2"/>
        <v>138</v>
      </c>
    </row>
    <row r="150" spans="1:12" x14ac:dyDescent="0.2">
      <c r="A150" s="3" t="s">
        <v>35</v>
      </c>
      <c r="C150" s="6" t="str">
        <f>"000-2300-00"</f>
        <v>000-2300-00</v>
      </c>
      <c r="D150" s="6" t="str">
        <f>"IL State Sales Tax Payable"</f>
        <v>IL State Sales Tax Payable</v>
      </c>
      <c r="E150" s="15">
        <v>-55368.87</v>
      </c>
      <c r="F150" s="15">
        <v>-55368.87</v>
      </c>
      <c r="G150" s="15">
        <v>-55368.87</v>
      </c>
      <c r="H150" s="15">
        <v>-55368.87</v>
      </c>
      <c r="I150" s="15">
        <v>-55368.87</v>
      </c>
      <c r="J150" s="15">
        <v>-55368.87</v>
      </c>
      <c r="K150" s="15">
        <v>-55368.87</v>
      </c>
      <c r="L150" s="16">
        <f t="shared" si="2"/>
        <v>139</v>
      </c>
    </row>
    <row r="151" spans="1:12" x14ac:dyDescent="0.2">
      <c r="A151" s="3" t="s">
        <v>35</v>
      </c>
      <c r="C151" s="6" t="str">
        <f>"000-2310-00"</f>
        <v>000-2310-00</v>
      </c>
      <c r="D151" s="6" t="str">
        <f>"Chicago City Sales Tax Payable"</f>
        <v>Chicago City Sales Tax Payable</v>
      </c>
      <c r="E151" s="15">
        <v>-9195.4</v>
      </c>
      <c r="F151" s="15">
        <v>-9195.4</v>
      </c>
      <c r="G151" s="15">
        <v>-9195.4</v>
      </c>
      <c r="H151" s="15">
        <v>-9195.4</v>
      </c>
      <c r="I151" s="15">
        <v>-9195.4</v>
      </c>
      <c r="J151" s="15">
        <v>-9195.4</v>
      </c>
      <c r="K151" s="15">
        <v>-9195.4</v>
      </c>
      <c r="L151" s="16">
        <f t="shared" si="2"/>
        <v>140</v>
      </c>
    </row>
    <row r="152" spans="1:12" x14ac:dyDescent="0.2">
      <c r="A152" s="3" t="s">
        <v>35</v>
      </c>
      <c r="C152" s="6" t="str">
        <f>"000-2311-00"</f>
        <v>000-2311-00</v>
      </c>
      <c r="D152" s="6" t="str">
        <f>"Springfield City Tax Payable"</f>
        <v>Springfield City Tax Payable</v>
      </c>
      <c r="E152" s="15">
        <v>0</v>
      </c>
      <c r="F152" s="15">
        <v>0</v>
      </c>
      <c r="G152" s="15">
        <v>0</v>
      </c>
      <c r="H152" s="15">
        <v>0</v>
      </c>
      <c r="I152" s="15">
        <v>0</v>
      </c>
      <c r="J152" s="15">
        <v>0</v>
      </c>
      <c r="K152" s="15">
        <v>0</v>
      </c>
      <c r="L152" s="16">
        <f t="shared" si="2"/>
        <v>141</v>
      </c>
    </row>
    <row r="153" spans="1:12" x14ac:dyDescent="0.2">
      <c r="A153" s="3" t="s">
        <v>35</v>
      </c>
      <c r="C153" s="6" t="str">
        <f>"000-2315-00"</f>
        <v>000-2315-00</v>
      </c>
      <c r="D153" s="6" t="str">
        <f>"Export/Duty Tax Payable"</f>
        <v>Export/Duty Tax Payable</v>
      </c>
      <c r="E153" s="15">
        <v>0</v>
      </c>
      <c r="F153" s="15">
        <v>0</v>
      </c>
      <c r="G153" s="15">
        <v>0</v>
      </c>
      <c r="H153" s="15">
        <v>0</v>
      </c>
      <c r="I153" s="15">
        <v>0</v>
      </c>
      <c r="J153" s="15">
        <v>0</v>
      </c>
      <c r="K153" s="15">
        <v>0</v>
      </c>
      <c r="L153" s="16">
        <f t="shared" si="2"/>
        <v>142</v>
      </c>
    </row>
    <row r="154" spans="1:12" x14ac:dyDescent="0.2">
      <c r="A154" s="3" t="s">
        <v>35</v>
      </c>
      <c r="C154" s="6" t="str">
        <f>"000-2320-00"</f>
        <v>000-2320-00</v>
      </c>
      <c r="D154" s="6" t="str">
        <f>"GST Collected-Canada"</f>
        <v>GST Collected-Canada</v>
      </c>
      <c r="E154" s="15">
        <v>-21142.09</v>
      </c>
      <c r="F154" s="15">
        <v>-21142.09</v>
      </c>
      <c r="G154" s="15">
        <v>-21142.09</v>
      </c>
      <c r="H154" s="15">
        <v>-21142.09</v>
      </c>
      <c r="I154" s="15">
        <v>-21142.09</v>
      </c>
      <c r="J154" s="15">
        <v>-21142.09</v>
      </c>
      <c r="K154" s="15">
        <v>-21142.09</v>
      </c>
      <c r="L154" s="16">
        <f t="shared" si="2"/>
        <v>143</v>
      </c>
    </row>
    <row r="155" spans="1:12" x14ac:dyDescent="0.2">
      <c r="A155" s="3" t="s">
        <v>35</v>
      </c>
      <c r="C155" s="6" t="str">
        <f>"000-2321-00"</f>
        <v>000-2321-00</v>
      </c>
      <c r="D155" s="6" t="str">
        <f>"GST Input Tax Credit-Canada"</f>
        <v>GST Input Tax Credit-Canada</v>
      </c>
      <c r="E155" s="15">
        <v>21227.040000000001</v>
      </c>
      <c r="F155" s="15">
        <v>21227.040000000001</v>
      </c>
      <c r="G155" s="15">
        <v>21227.040000000001</v>
      </c>
      <c r="H155" s="15">
        <v>21227.040000000001</v>
      </c>
      <c r="I155" s="15">
        <v>21227.040000000001</v>
      </c>
      <c r="J155" s="15">
        <v>21227.040000000001</v>
      </c>
      <c r="K155" s="15">
        <v>21227.040000000001</v>
      </c>
      <c r="L155" s="16">
        <f t="shared" si="2"/>
        <v>144</v>
      </c>
    </row>
    <row r="156" spans="1:12" x14ac:dyDescent="0.2">
      <c r="A156" s="3" t="s">
        <v>35</v>
      </c>
      <c r="C156" s="6" t="str">
        <f>"000-2322-00"</f>
        <v>000-2322-00</v>
      </c>
      <c r="D156" s="6" t="str">
        <f>"PST Payable"</f>
        <v>PST Payable</v>
      </c>
      <c r="E156" s="15">
        <v>0</v>
      </c>
      <c r="F156" s="15">
        <v>0</v>
      </c>
      <c r="G156" s="15">
        <v>0</v>
      </c>
      <c r="H156" s="15">
        <v>0</v>
      </c>
      <c r="I156" s="15">
        <v>0</v>
      </c>
      <c r="J156" s="15">
        <v>0</v>
      </c>
      <c r="K156" s="15">
        <v>0</v>
      </c>
      <c r="L156" s="16">
        <f t="shared" si="2"/>
        <v>145</v>
      </c>
    </row>
    <row r="157" spans="1:12" x14ac:dyDescent="0.2">
      <c r="A157" s="3" t="s">
        <v>35</v>
      </c>
      <c r="C157" s="6" t="str">
        <f>"000-2323-00"</f>
        <v>000-2323-00</v>
      </c>
      <c r="D157" s="6" t="str">
        <f>"QST Payable"</f>
        <v>QST Payable</v>
      </c>
      <c r="E157" s="15">
        <v>0</v>
      </c>
      <c r="F157" s="15">
        <v>0</v>
      </c>
      <c r="G157" s="15">
        <v>0</v>
      </c>
      <c r="H157" s="15">
        <v>0</v>
      </c>
      <c r="I157" s="15">
        <v>0</v>
      </c>
      <c r="J157" s="15">
        <v>0</v>
      </c>
      <c r="K157" s="15">
        <v>0</v>
      </c>
      <c r="L157" s="16">
        <f t="shared" si="2"/>
        <v>146</v>
      </c>
    </row>
    <row r="158" spans="1:12" x14ac:dyDescent="0.2">
      <c r="A158" s="3" t="s">
        <v>35</v>
      </c>
      <c r="C158" s="6" t="str">
        <f>"000-2330-00"</f>
        <v>000-2330-00</v>
      </c>
      <c r="D158" s="6" t="str">
        <f>"Australia Sales Tax Payable"</f>
        <v>Australia Sales Tax Payable</v>
      </c>
      <c r="E158" s="15">
        <v>-10428.15</v>
      </c>
      <c r="F158" s="15">
        <v>-10428.15</v>
      </c>
      <c r="G158" s="15">
        <v>-10428.15</v>
      </c>
      <c r="H158" s="15">
        <v>-10428.15</v>
      </c>
      <c r="I158" s="15">
        <v>-10428.15</v>
      </c>
      <c r="J158" s="15">
        <v>-10428.15</v>
      </c>
      <c r="K158" s="15">
        <v>-10428.15</v>
      </c>
      <c r="L158" s="16">
        <f t="shared" si="2"/>
        <v>147</v>
      </c>
    </row>
    <row r="159" spans="1:12" x14ac:dyDescent="0.2">
      <c r="A159" s="3" t="s">
        <v>35</v>
      </c>
      <c r="C159" s="6" t="str">
        <f>"000-2340-00"</f>
        <v>000-2340-00</v>
      </c>
      <c r="D159" s="6" t="str">
        <f>"GST Collected -New Zealand"</f>
        <v>GST Collected -New Zealand</v>
      </c>
      <c r="E159" s="15">
        <v>-2953.19</v>
      </c>
      <c r="F159" s="15">
        <v>-2953.19</v>
      </c>
      <c r="G159" s="15">
        <v>-2953.19</v>
      </c>
      <c r="H159" s="15">
        <v>-2953.19</v>
      </c>
      <c r="I159" s="15">
        <v>-2953.19</v>
      </c>
      <c r="J159" s="15">
        <v>-2953.19</v>
      </c>
      <c r="K159" s="15">
        <v>-2953.19</v>
      </c>
      <c r="L159" s="16">
        <f t="shared" si="2"/>
        <v>148</v>
      </c>
    </row>
    <row r="160" spans="1:12" x14ac:dyDescent="0.2">
      <c r="A160" s="3" t="s">
        <v>35</v>
      </c>
      <c r="C160" s="6" t="str">
        <f>"000-2341-00"</f>
        <v>000-2341-00</v>
      </c>
      <c r="D160" s="6" t="str">
        <f>"GST Input Tax Credit-New Zealand"</f>
        <v>GST Input Tax Credit-New Zealand</v>
      </c>
      <c r="E160" s="15">
        <v>1250</v>
      </c>
      <c r="F160" s="15">
        <v>1250</v>
      </c>
      <c r="G160" s="15">
        <v>1250</v>
      </c>
      <c r="H160" s="15">
        <v>1250</v>
      </c>
      <c r="I160" s="15">
        <v>1250</v>
      </c>
      <c r="J160" s="15">
        <v>1250</v>
      </c>
      <c r="K160" s="15">
        <v>1250</v>
      </c>
      <c r="L160" s="16">
        <f t="shared" si="2"/>
        <v>149</v>
      </c>
    </row>
    <row r="161" spans="1:12" x14ac:dyDescent="0.2">
      <c r="A161" s="3" t="s">
        <v>35</v>
      </c>
      <c r="C161" s="6" t="str">
        <f>"000-2350-00"</f>
        <v>000-2350-00</v>
      </c>
      <c r="D161" s="6" t="str">
        <f>"VAT Collected-UK"</f>
        <v>VAT Collected-UK</v>
      </c>
      <c r="E161" s="15">
        <v>0</v>
      </c>
      <c r="F161" s="15">
        <v>0</v>
      </c>
      <c r="G161" s="15">
        <v>0</v>
      </c>
      <c r="H161" s="15">
        <v>0</v>
      </c>
      <c r="I161" s="15">
        <v>0</v>
      </c>
      <c r="J161" s="15">
        <v>0</v>
      </c>
      <c r="K161" s="15">
        <v>0</v>
      </c>
      <c r="L161" s="16">
        <f t="shared" si="2"/>
        <v>150</v>
      </c>
    </row>
    <row r="162" spans="1:12" x14ac:dyDescent="0.2">
      <c r="A162" s="3" t="s">
        <v>35</v>
      </c>
      <c r="C162" s="6" t="str">
        <f>"000-2351-00"</f>
        <v>000-2351-00</v>
      </c>
      <c r="D162" s="6" t="str">
        <f>"VAT Paid-UK"</f>
        <v>VAT Paid-UK</v>
      </c>
      <c r="E162" s="15">
        <v>0</v>
      </c>
      <c r="F162" s="15">
        <v>0</v>
      </c>
      <c r="G162" s="15">
        <v>0</v>
      </c>
      <c r="H162" s="15">
        <v>0</v>
      </c>
      <c r="I162" s="15">
        <v>0</v>
      </c>
      <c r="J162" s="15">
        <v>0</v>
      </c>
      <c r="K162" s="15">
        <v>0</v>
      </c>
      <c r="L162" s="16">
        <f t="shared" si="2"/>
        <v>151</v>
      </c>
    </row>
    <row r="163" spans="1:12" x14ac:dyDescent="0.2">
      <c r="A163" s="3" t="s">
        <v>35</v>
      </c>
      <c r="C163" s="6" t="str">
        <f>"000-2400-00"</f>
        <v>000-2400-00</v>
      </c>
      <c r="D163" s="6" t="str">
        <f>"Dividends Payable"</f>
        <v>Dividends Payable</v>
      </c>
      <c r="E163" s="15">
        <v>0</v>
      </c>
      <c r="F163" s="15">
        <v>0</v>
      </c>
      <c r="G163" s="15">
        <v>0</v>
      </c>
      <c r="H163" s="15">
        <v>0</v>
      </c>
      <c r="I163" s="15">
        <v>0</v>
      </c>
      <c r="J163" s="15">
        <v>0</v>
      </c>
      <c r="K163" s="15">
        <v>0</v>
      </c>
      <c r="L163" s="16">
        <f t="shared" si="2"/>
        <v>152</v>
      </c>
    </row>
    <row r="164" spans="1:12" x14ac:dyDescent="0.2">
      <c r="A164" s="3" t="s">
        <v>35</v>
      </c>
      <c r="C164" s="6" t="str">
        <f>"000-2410-00"</f>
        <v>000-2410-00</v>
      </c>
      <c r="D164" s="6" t="str">
        <f>"Freight Payable"</f>
        <v>Freight Payable</v>
      </c>
      <c r="E164" s="15">
        <v>0</v>
      </c>
      <c r="F164" s="15">
        <v>0</v>
      </c>
      <c r="G164" s="15">
        <v>0</v>
      </c>
      <c r="H164" s="15">
        <v>0</v>
      </c>
      <c r="I164" s="15">
        <v>0</v>
      </c>
      <c r="J164" s="15">
        <v>0</v>
      </c>
      <c r="K164" s="15">
        <v>0</v>
      </c>
      <c r="L164" s="16">
        <f t="shared" si="2"/>
        <v>153</v>
      </c>
    </row>
    <row r="165" spans="1:12" x14ac:dyDescent="0.2">
      <c r="A165" s="3" t="s">
        <v>35</v>
      </c>
      <c r="C165" s="6" t="str">
        <f>"000-2420-00"</f>
        <v>000-2420-00</v>
      </c>
      <c r="D165" s="6" t="str">
        <f>"Brokerage Fees Payable"</f>
        <v>Brokerage Fees Payable</v>
      </c>
      <c r="E165" s="15">
        <v>0</v>
      </c>
      <c r="F165" s="15">
        <v>0</v>
      </c>
      <c r="G165" s="15">
        <v>0</v>
      </c>
      <c r="H165" s="15">
        <v>0</v>
      </c>
      <c r="I165" s="15">
        <v>0</v>
      </c>
      <c r="J165" s="15">
        <v>0</v>
      </c>
      <c r="K165" s="15">
        <v>0</v>
      </c>
      <c r="L165" s="16">
        <f t="shared" si="2"/>
        <v>154</v>
      </c>
    </row>
    <row r="166" spans="1:12" x14ac:dyDescent="0.2">
      <c r="A166" s="3" t="s">
        <v>35</v>
      </c>
      <c r="C166" s="6" t="str">
        <f>"000-2430-00"</f>
        <v>000-2430-00</v>
      </c>
      <c r="D166" s="6" t="str">
        <f>"Miscellaneous Payable"</f>
        <v>Miscellaneous Payable</v>
      </c>
      <c r="E166" s="15">
        <v>0</v>
      </c>
      <c r="F166" s="15">
        <v>0</v>
      </c>
      <c r="G166" s="15">
        <v>0</v>
      </c>
      <c r="H166" s="15">
        <v>0</v>
      </c>
      <c r="I166" s="15">
        <v>0</v>
      </c>
      <c r="J166" s="15">
        <v>0</v>
      </c>
      <c r="K166" s="15">
        <v>0</v>
      </c>
      <c r="L166" s="16">
        <f t="shared" si="2"/>
        <v>155</v>
      </c>
    </row>
    <row r="167" spans="1:12" x14ac:dyDescent="0.2">
      <c r="A167" s="3" t="s">
        <v>35</v>
      </c>
      <c r="C167" s="6" t="str">
        <f>"000-2500-00"</f>
        <v>000-2500-00</v>
      </c>
      <c r="D167" s="6" t="str">
        <f>"Interest Payable"</f>
        <v>Interest Payable</v>
      </c>
      <c r="E167" s="15">
        <v>738.97</v>
      </c>
      <c r="F167" s="15">
        <v>738.97</v>
      </c>
      <c r="G167" s="15">
        <v>738.97</v>
      </c>
      <c r="H167" s="15">
        <v>738.97</v>
      </c>
      <c r="I167" s="15">
        <v>738.97</v>
      </c>
      <c r="J167" s="15">
        <v>738.97</v>
      </c>
      <c r="K167" s="15">
        <v>738.97</v>
      </c>
      <c r="L167" s="16">
        <f t="shared" si="2"/>
        <v>156</v>
      </c>
    </row>
    <row r="168" spans="1:12" x14ac:dyDescent="0.2">
      <c r="A168" s="3" t="s">
        <v>35</v>
      </c>
      <c r="C168" s="6" t="str">
        <f>"000-2600-00"</f>
        <v>000-2600-00</v>
      </c>
      <c r="D168" s="6" t="str">
        <f>"Federal Income Tax Payable"</f>
        <v>Federal Income Tax Payable</v>
      </c>
      <c r="E168" s="15">
        <v>-107870.2</v>
      </c>
      <c r="F168" s="15">
        <v>-107870.2</v>
      </c>
      <c r="G168" s="15">
        <v>-107870.2</v>
      </c>
      <c r="H168" s="15">
        <v>-107870.2</v>
      </c>
      <c r="I168" s="15">
        <v>-107870.2</v>
      </c>
      <c r="J168" s="15">
        <v>-107870.2</v>
      </c>
      <c r="K168" s="15">
        <v>-107870.2</v>
      </c>
      <c r="L168" s="16">
        <f t="shared" si="2"/>
        <v>157</v>
      </c>
    </row>
    <row r="169" spans="1:12" x14ac:dyDescent="0.2">
      <c r="A169" s="3" t="s">
        <v>35</v>
      </c>
      <c r="C169" s="6" t="str">
        <f>"000-2610-00"</f>
        <v>000-2610-00</v>
      </c>
      <c r="D169" s="6" t="str">
        <f>"IL Income Tax Payable"</f>
        <v>IL Income Tax Payable</v>
      </c>
      <c r="E169" s="15">
        <v>0</v>
      </c>
      <c r="F169" s="15">
        <v>0</v>
      </c>
      <c r="G169" s="15">
        <v>0</v>
      </c>
      <c r="H169" s="15">
        <v>0</v>
      </c>
      <c r="I169" s="15">
        <v>0</v>
      </c>
      <c r="J169" s="15">
        <v>0</v>
      </c>
      <c r="K169" s="15">
        <v>0</v>
      </c>
      <c r="L169" s="16">
        <f t="shared" si="2"/>
        <v>158</v>
      </c>
    </row>
    <row r="170" spans="1:12" x14ac:dyDescent="0.2">
      <c r="A170" s="3" t="s">
        <v>35</v>
      </c>
      <c r="C170" s="6" t="str">
        <f>"000-2700-00"</f>
        <v>000-2700-00</v>
      </c>
      <c r="D170" s="6" t="str">
        <f>"Line of Credit-Accounts Recievable"</f>
        <v>Line of Credit-Accounts Recievable</v>
      </c>
      <c r="E170" s="15">
        <v>0</v>
      </c>
      <c r="F170" s="15">
        <v>0</v>
      </c>
      <c r="G170" s="15">
        <v>0</v>
      </c>
      <c r="H170" s="15">
        <v>0</v>
      </c>
      <c r="I170" s="15">
        <v>0</v>
      </c>
      <c r="J170" s="15">
        <v>0</v>
      </c>
      <c r="K170" s="15">
        <v>0</v>
      </c>
      <c r="L170" s="16">
        <f t="shared" si="2"/>
        <v>159</v>
      </c>
    </row>
    <row r="171" spans="1:12" x14ac:dyDescent="0.2">
      <c r="A171" s="3" t="s">
        <v>35</v>
      </c>
      <c r="C171" s="6" t="str">
        <f>"000-2710-00"</f>
        <v>000-2710-00</v>
      </c>
      <c r="D171" s="6" t="str">
        <f>"Operating Line of Credit"</f>
        <v>Operating Line of Credit</v>
      </c>
      <c r="E171" s="15">
        <v>-15000</v>
      </c>
      <c r="F171" s="15">
        <v>-15000</v>
      </c>
      <c r="G171" s="15">
        <v>-15000</v>
      </c>
      <c r="H171" s="15">
        <v>-15000</v>
      </c>
      <c r="I171" s="15">
        <v>-15000</v>
      </c>
      <c r="J171" s="15">
        <v>-15000</v>
      </c>
      <c r="K171" s="15">
        <v>-15000</v>
      </c>
      <c r="L171" s="16">
        <f t="shared" si="2"/>
        <v>160</v>
      </c>
    </row>
    <row r="172" spans="1:12" x14ac:dyDescent="0.2">
      <c r="A172" s="3" t="s">
        <v>35</v>
      </c>
      <c r="C172" s="6" t="str">
        <f>"000-2720-00"</f>
        <v>000-2720-00</v>
      </c>
      <c r="D172" s="6" t="str">
        <f>"Client Deposits"</f>
        <v>Client Deposits</v>
      </c>
      <c r="E172" s="15">
        <v>-30000</v>
      </c>
      <c r="F172" s="15">
        <v>-30000</v>
      </c>
      <c r="G172" s="15">
        <v>-30000</v>
      </c>
      <c r="H172" s="15">
        <v>-30000</v>
      </c>
      <c r="I172" s="15">
        <v>-30000</v>
      </c>
      <c r="J172" s="15">
        <v>-30000</v>
      </c>
      <c r="K172" s="15">
        <v>-30000</v>
      </c>
      <c r="L172" s="16">
        <f t="shared" si="2"/>
        <v>161</v>
      </c>
    </row>
    <row r="173" spans="1:12" x14ac:dyDescent="0.2">
      <c r="A173" s="3" t="s">
        <v>35</v>
      </c>
      <c r="C173" s="6" t="str">
        <f>"000-2730-00"</f>
        <v>000-2730-00</v>
      </c>
      <c r="D173" s="6" t="str">
        <f>"Purchases Clearing Account"</f>
        <v>Purchases Clearing Account</v>
      </c>
      <c r="E173" s="15">
        <v>0</v>
      </c>
      <c r="F173" s="15">
        <v>0</v>
      </c>
      <c r="G173" s="15">
        <v>0</v>
      </c>
      <c r="H173" s="15">
        <v>0</v>
      </c>
      <c r="I173" s="15">
        <v>0</v>
      </c>
      <c r="J173" s="15">
        <v>0</v>
      </c>
      <c r="K173" s="15">
        <v>0</v>
      </c>
      <c r="L173" s="16">
        <f t="shared" si="2"/>
        <v>162</v>
      </c>
    </row>
    <row r="174" spans="1:12" x14ac:dyDescent="0.2">
      <c r="A174" s="3" t="s">
        <v>35</v>
      </c>
      <c r="C174" s="6" t="str">
        <f>"000-2735-00"</f>
        <v>000-2735-00</v>
      </c>
      <c r="D174" s="6" t="str">
        <f>"Purchases Clearing Acct for Inventory"</f>
        <v>Purchases Clearing Acct for Inventory</v>
      </c>
      <c r="E174" s="15">
        <v>93.55</v>
      </c>
      <c r="F174" s="15">
        <v>93.55</v>
      </c>
      <c r="G174" s="15">
        <v>93.55</v>
      </c>
      <c r="H174" s="15">
        <v>93.55</v>
      </c>
      <c r="I174" s="15">
        <v>93.55</v>
      </c>
      <c r="J174" s="15">
        <v>93.55</v>
      </c>
      <c r="K174" s="15">
        <v>93.55</v>
      </c>
      <c r="L174" s="16">
        <f t="shared" si="2"/>
        <v>163</v>
      </c>
    </row>
    <row r="175" spans="1:12" x14ac:dyDescent="0.2">
      <c r="A175" s="3" t="s">
        <v>35</v>
      </c>
      <c r="C175" s="6" t="str">
        <f>"000-2740-00"</f>
        <v>000-2740-00</v>
      </c>
      <c r="D175" s="6" t="str">
        <f>"Advances from Customers"</f>
        <v>Advances from Customers</v>
      </c>
      <c r="E175" s="15">
        <v>-28000</v>
      </c>
      <c r="F175" s="15">
        <v>-28000</v>
      </c>
      <c r="G175" s="15">
        <v>-28000</v>
      </c>
      <c r="H175" s="15">
        <v>-28000</v>
      </c>
      <c r="I175" s="15">
        <v>-28000</v>
      </c>
      <c r="J175" s="15">
        <v>-28000</v>
      </c>
      <c r="K175" s="15">
        <v>-28000</v>
      </c>
      <c r="L175" s="16">
        <f t="shared" si="2"/>
        <v>164</v>
      </c>
    </row>
    <row r="176" spans="1:12" x14ac:dyDescent="0.2">
      <c r="A176" s="3" t="s">
        <v>35</v>
      </c>
      <c r="C176" s="6" t="str">
        <f>"000-2800-00"</f>
        <v>000-2800-00</v>
      </c>
      <c r="D176" s="6" t="str">
        <f>"Current N/P on Vehicles"</f>
        <v>Current N/P on Vehicles</v>
      </c>
      <c r="E176" s="15">
        <v>-1041.6600000000001</v>
      </c>
      <c r="F176" s="15">
        <v>-1041.6600000000001</v>
      </c>
      <c r="G176" s="15">
        <v>-1041.6600000000001</v>
      </c>
      <c r="H176" s="15">
        <v>-1041.6600000000001</v>
      </c>
      <c r="I176" s="15">
        <v>-1041.6600000000001</v>
      </c>
      <c r="J176" s="15">
        <v>-1041.6600000000001</v>
      </c>
      <c r="K176" s="15">
        <v>-1041.6600000000001</v>
      </c>
      <c r="L176" s="16">
        <f t="shared" si="2"/>
        <v>165</v>
      </c>
    </row>
    <row r="177" spans="1:12" x14ac:dyDescent="0.2">
      <c r="A177" s="3" t="s">
        <v>35</v>
      </c>
      <c r="C177" s="6" t="str">
        <f>"000-2810-00"</f>
        <v>000-2810-00</v>
      </c>
      <c r="D177" s="6" t="str">
        <f>"Current N/P to Banks"</f>
        <v>Current N/P to Banks</v>
      </c>
      <c r="E177" s="15">
        <v>0</v>
      </c>
      <c r="F177" s="15">
        <v>0</v>
      </c>
      <c r="G177" s="15">
        <v>0</v>
      </c>
      <c r="H177" s="15">
        <v>0</v>
      </c>
      <c r="I177" s="15">
        <v>0</v>
      </c>
      <c r="J177" s="15">
        <v>0</v>
      </c>
      <c r="K177" s="15">
        <v>0</v>
      </c>
      <c r="L177" s="16">
        <f t="shared" si="2"/>
        <v>166</v>
      </c>
    </row>
    <row r="178" spans="1:12" x14ac:dyDescent="0.2">
      <c r="A178" s="3" t="s">
        <v>35</v>
      </c>
      <c r="C178" s="6" t="str">
        <f>"000-2820-00"</f>
        <v>000-2820-00</v>
      </c>
      <c r="D178" s="6" t="str">
        <f>"Current N/P to Stockholders"</f>
        <v>Current N/P to Stockholders</v>
      </c>
      <c r="E178" s="15">
        <v>-10416.44</v>
      </c>
      <c r="F178" s="15">
        <v>-10416.44</v>
      </c>
      <c r="G178" s="15">
        <v>-10416.44</v>
      </c>
      <c r="H178" s="15">
        <v>-10416.44</v>
      </c>
      <c r="I178" s="15">
        <v>-10416.44</v>
      </c>
      <c r="J178" s="15">
        <v>-10416.44</v>
      </c>
      <c r="K178" s="15">
        <v>-10416.44</v>
      </c>
      <c r="L178" s="16">
        <f t="shared" si="2"/>
        <v>167</v>
      </c>
    </row>
    <row r="179" spans="1:12" x14ac:dyDescent="0.2">
      <c r="A179" s="3" t="s">
        <v>35</v>
      </c>
      <c r="C179" s="6" t="str">
        <f>"000-2900-00"</f>
        <v>000-2900-00</v>
      </c>
      <c r="D179" s="6" t="str">
        <f>"Notes Payable on Vehicles"</f>
        <v>Notes Payable on Vehicles</v>
      </c>
      <c r="E179" s="15">
        <v>-32292.76</v>
      </c>
      <c r="F179" s="15">
        <v>-32292.76</v>
      </c>
      <c r="G179" s="15">
        <v>-32292.76</v>
      </c>
      <c r="H179" s="15">
        <v>-32292.76</v>
      </c>
      <c r="I179" s="15">
        <v>-32292.76</v>
      </c>
      <c r="J179" s="15">
        <v>-32292.76</v>
      </c>
      <c r="K179" s="15">
        <v>-32292.76</v>
      </c>
      <c r="L179" s="16">
        <f t="shared" si="2"/>
        <v>168</v>
      </c>
    </row>
    <row r="180" spans="1:12" x14ac:dyDescent="0.2">
      <c r="A180" s="3" t="s">
        <v>35</v>
      </c>
      <c r="C180" s="6" t="str">
        <f>"000-2910-00"</f>
        <v>000-2910-00</v>
      </c>
      <c r="D180" s="6" t="str">
        <f>"Notes Payable to Banks"</f>
        <v>Notes Payable to Banks</v>
      </c>
      <c r="E180" s="15">
        <v>0</v>
      </c>
      <c r="F180" s="15">
        <v>0</v>
      </c>
      <c r="G180" s="15">
        <v>0</v>
      </c>
      <c r="H180" s="15">
        <v>0</v>
      </c>
      <c r="I180" s="15">
        <v>0</v>
      </c>
      <c r="J180" s="15">
        <v>0</v>
      </c>
      <c r="K180" s="15">
        <v>0</v>
      </c>
      <c r="L180" s="16">
        <f t="shared" si="2"/>
        <v>169</v>
      </c>
    </row>
    <row r="181" spans="1:12" x14ac:dyDescent="0.2">
      <c r="A181" s="3" t="s">
        <v>35</v>
      </c>
      <c r="C181" s="6" t="str">
        <f>"000-2920-00"</f>
        <v>000-2920-00</v>
      </c>
      <c r="D181" s="6" t="str">
        <f>"Notes Payable to Stockholders"</f>
        <v>Notes Payable to Stockholders</v>
      </c>
      <c r="E181" s="15">
        <v>-20835.16</v>
      </c>
      <c r="F181" s="15">
        <v>-20835.16</v>
      </c>
      <c r="G181" s="15">
        <v>-20835.16</v>
      </c>
      <c r="H181" s="15">
        <v>-20835.16</v>
      </c>
      <c r="I181" s="15">
        <v>-20835.16</v>
      </c>
      <c r="J181" s="15">
        <v>-20835.16</v>
      </c>
      <c r="K181" s="15">
        <v>-20835.16</v>
      </c>
      <c r="L181" s="16">
        <f t="shared" si="2"/>
        <v>170</v>
      </c>
    </row>
    <row r="182" spans="1:12" x14ac:dyDescent="0.2">
      <c r="A182" s="3" t="s">
        <v>35</v>
      </c>
      <c r="C182" s="6" t="str">
        <f>"000-2930-00"</f>
        <v>000-2930-00</v>
      </c>
      <c r="D182" s="6" t="str">
        <f>"Capital Leases Payable"</f>
        <v>Capital Leases Payable</v>
      </c>
      <c r="E182" s="15">
        <v>-273763.03000000003</v>
      </c>
      <c r="F182" s="15">
        <v>-273763.03000000003</v>
      </c>
      <c r="G182" s="15">
        <v>-273763.03000000003</v>
      </c>
      <c r="H182" s="15">
        <v>-273763.03000000003</v>
      </c>
      <c r="I182" s="15">
        <v>-273763.03000000003</v>
      </c>
      <c r="J182" s="15">
        <v>-273763.03000000003</v>
      </c>
      <c r="K182" s="15">
        <v>-273763.03000000003</v>
      </c>
      <c r="L182" s="16">
        <f t="shared" si="2"/>
        <v>171</v>
      </c>
    </row>
    <row r="183" spans="1:12" x14ac:dyDescent="0.2">
      <c r="A183" s="3" t="s">
        <v>35</v>
      </c>
      <c r="C183" s="6" t="str">
        <f>"000-2940-00"</f>
        <v>000-2940-00</v>
      </c>
      <c r="D183" s="6" t="str">
        <f>"Deferred Income Taxes"</f>
        <v>Deferred Income Taxes</v>
      </c>
      <c r="E183" s="15">
        <v>0</v>
      </c>
      <c r="F183" s="15">
        <v>0</v>
      </c>
      <c r="G183" s="15">
        <v>0</v>
      </c>
      <c r="H183" s="15">
        <v>0</v>
      </c>
      <c r="I183" s="15">
        <v>0</v>
      </c>
      <c r="J183" s="15">
        <v>0</v>
      </c>
      <c r="K183" s="15">
        <v>0</v>
      </c>
      <c r="L183" s="16">
        <f t="shared" si="2"/>
        <v>172</v>
      </c>
    </row>
    <row r="184" spans="1:12" x14ac:dyDescent="0.2">
      <c r="A184" s="3" t="s">
        <v>35</v>
      </c>
      <c r="C184" s="6" t="str">
        <f>"000-2950-00"</f>
        <v>000-2950-00</v>
      </c>
      <c r="D184" s="6" t="str">
        <f>"PPV - Realized"</f>
        <v>PPV - Realized</v>
      </c>
      <c r="E184" s="15">
        <v>0</v>
      </c>
      <c r="F184" s="15">
        <v>0</v>
      </c>
      <c r="G184" s="15">
        <v>0</v>
      </c>
      <c r="H184" s="15">
        <v>0</v>
      </c>
      <c r="I184" s="15">
        <v>0</v>
      </c>
      <c r="J184" s="15">
        <v>0</v>
      </c>
      <c r="K184" s="15">
        <v>0</v>
      </c>
      <c r="L184" s="16">
        <f t="shared" si="2"/>
        <v>173</v>
      </c>
    </row>
    <row r="185" spans="1:12" x14ac:dyDescent="0.2">
      <c r="A185" s="3" t="s">
        <v>35</v>
      </c>
      <c r="C185" s="6" t="str">
        <f>"000-2950-01"</f>
        <v>000-2950-01</v>
      </c>
      <c r="D185" s="6" t="str">
        <f>"PPV - Unrealized"</f>
        <v>PPV - Unrealized</v>
      </c>
      <c r="E185" s="15">
        <v>0</v>
      </c>
      <c r="F185" s="15">
        <v>0</v>
      </c>
      <c r="G185" s="15">
        <v>0</v>
      </c>
      <c r="H185" s="15">
        <v>0</v>
      </c>
      <c r="I185" s="15">
        <v>0</v>
      </c>
      <c r="J185" s="15">
        <v>0</v>
      </c>
      <c r="K185" s="15">
        <v>0</v>
      </c>
      <c r="L185" s="16">
        <f t="shared" si="2"/>
        <v>174</v>
      </c>
    </row>
    <row r="186" spans="1:12" x14ac:dyDescent="0.2">
      <c r="A186" s="3" t="s">
        <v>35</v>
      </c>
      <c r="C186" s="6" t="str">
        <f>"000-3010-00"</f>
        <v>000-3010-00</v>
      </c>
      <c r="D186" s="6" t="str">
        <f>"Common Stock"</f>
        <v>Common Stock</v>
      </c>
      <c r="E186" s="15">
        <v>-782469</v>
      </c>
      <c r="F186" s="15">
        <v>-782469</v>
      </c>
      <c r="G186" s="15">
        <v>-782469</v>
      </c>
      <c r="H186" s="15">
        <v>-782469</v>
      </c>
      <c r="I186" s="15">
        <v>-782469</v>
      </c>
      <c r="J186" s="15">
        <v>-782469</v>
      </c>
      <c r="K186" s="15">
        <v>-782469</v>
      </c>
      <c r="L186" s="16">
        <f t="shared" si="2"/>
        <v>175</v>
      </c>
    </row>
    <row r="187" spans="1:12" x14ac:dyDescent="0.2">
      <c r="A187" s="3" t="s">
        <v>35</v>
      </c>
      <c r="C187" s="6" t="str">
        <f>"000-3020-00"</f>
        <v>000-3020-00</v>
      </c>
      <c r="D187" s="6" t="str">
        <f>"Additional Paid-In Capital-Common Stock"</f>
        <v>Additional Paid-In Capital-Common Stock</v>
      </c>
      <c r="E187" s="15">
        <v>-200652.92</v>
      </c>
      <c r="F187" s="15">
        <v>-200652.92</v>
      </c>
      <c r="G187" s="15">
        <v>-200652.92</v>
      </c>
      <c r="H187" s="15">
        <v>-200652.92</v>
      </c>
      <c r="I187" s="15">
        <v>-200652.92</v>
      </c>
      <c r="J187" s="15">
        <v>-200652.92</v>
      </c>
      <c r="K187" s="15">
        <v>-200652.92</v>
      </c>
      <c r="L187" s="16">
        <f t="shared" si="2"/>
        <v>176</v>
      </c>
    </row>
    <row r="188" spans="1:12" x14ac:dyDescent="0.2">
      <c r="A188" s="3" t="s">
        <v>35</v>
      </c>
      <c r="C188" s="6" t="str">
        <f>"000-3030-00"</f>
        <v>000-3030-00</v>
      </c>
      <c r="D188" s="6" t="str">
        <f>"Retained Earnings"</f>
        <v>Retained Earnings</v>
      </c>
      <c r="E188" s="15">
        <v>-424524.72</v>
      </c>
      <c r="F188" s="15">
        <v>-424524.72</v>
      </c>
      <c r="G188" s="15">
        <v>-424524.72</v>
      </c>
      <c r="H188" s="15">
        <v>-424524.72</v>
      </c>
      <c r="I188" s="15">
        <v>-424524.72</v>
      </c>
      <c r="J188" s="15">
        <v>-424524.72</v>
      </c>
      <c r="K188" s="15">
        <v>-424524.72</v>
      </c>
      <c r="L188" s="16">
        <f t="shared" si="2"/>
        <v>177</v>
      </c>
    </row>
    <row r="189" spans="1:12" x14ac:dyDescent="0.2">
      <c r="A189" s="3" t="s">
        <v>35</v>
      </c>
      <c r="C189" s="6" t="str">
        <f>"000-4100-00"</f>
        <v>000-4100-00</v>
      </c>
      <c r="D189" s="6" t="str">
        <f>"Sales"</f>
        <v>Sales</v>
      </c>
      <c r="E189" s="15">
        <v>0</v>
      </c>
      <c r="F189" s="15">
        <v>0</v>
      </c>
      <c r="G189" s="15">
        <v>0</v>
      </c>
      <c r="H189" s="15">
        <v>0</v>
      </c>
      <c r="I189" s="15">
        <v>0</v>
      </c>
      <c r="J189" s="15">
        <v>0</v>
      </c>
      <c r="K189" s="15">
        <v>0</v>
      </c>
      <c r="L189" s="16">
        <f t="shared" si="2"/>
        <v>178</v>
      </c>
    </row>
    <row r="190" spans="1:12" x14ac:dyDescent="0.2">
      <c r="A190" s="3" t="s">
        <v>35</v>
      </c>
      <c r="C190" s="6" t="str">
        <f>"000-4110-01"</f>
        <v>000-4110-01</v>
      </c>
      <c r="D190" s="6" t="str">
        <f>"US Sales - Retail/Parts"</f>
        <v>US Sales - Retail/Parts</v>
      </c>
      <c r="E190" s="15">
        <v>-1021905.38</v>
      </c>
      <c r="F190" s="15">
        <v>-1021905.38</v>
      </c>
      <c r="G190" s="15">
        <v>-1021905.38</v>
      </c>
      <c r="H190" s="15">
        <v>-1021905.38</v>
      </c>
      <c r="I190" s="15">
        <v>-1021905.38</v>
      </c>
      <c r="J190" s="15">
        <v>-1021905.38</v>
      </c>
      <c r="K190" s="15">
        <v>-1021905.38</v>
      </c>
      <c r="L190" s="16">
        <f t="shared" si="2"/>
        <v>179</v>
      </c>
    </row>
    <row r="191" spans="1:12" x14ac:dyDescent="0.2">
      <c r="A191" s="3" t="s">
        <v>35</v>
      </c>
      <c r="C191" s="6" t="str">
        <f>"000-4110-02"</f>
        <v>000-4110-02</v>
      </c>
      <c r="D191" s="6" t="str">
        <f>"US Sales - Finished Goods"</f>
        <v>US Sales - Finished Goods</v>
      </c>
      <c r="E191" s="15">
        <v>-79604.490000000005</v>
      </c>
      <c r="F191" s="15">
        <v>-79604.490000000005</v>
      </c>
      <c r="G191" s="15">
        <v>-79604.490000000005</v>
      </c>
      <c r="H191" s="15">
        <v>-79604.490000000005</v>
      </c>
      <c r="I191" s="15">
        <v>-79604.490000000005</v>
      </c>
      <c r="J191" s="15">
        <v>-79604.490000000005</v>
      </c>
      <c r="K191" s="15">
        <v>-79604.490000000005</v>
      </c>
      <c r="L191" s="16">
        <f t="shared" si="2"/>
        <v>180</v>
      </c>
    </row>
    <row r="192" spans="1:12" x14ac:dyDescent="0.2">
      <c r="A192" s="3" t="s">
        <v>35</v>
      </c>
      <c r="C192" s="6" t="str">
        <f>"000-4111-01"</f>
        <v>000-4111-01</v>
      </c>
      <c r="D192" s="6" t="str">
        <f>"Canadian Sales - Retail/Parts"</f>
        <v>Canadian Sales - Retail/Parts</v>
      </c>
      <c r="E192" s="15">
        <v>-45208.55</v>
      </c>
      <c r="F192" s="15">
        <v>-45208.55</v>
      </c>
      <c r="G192" s="15">
        <v>-45208.55</v>
      </c>
      <c r="H192" s="15">
        <v>-45208.55</v>
      </c>
      <c r="I192" s="15">
        <v>-45208.55</v>
      </c>
      <c r="J192" s="15">
        <v>-45208.55</v>
      </c>
      <c r="K192" s="15">
        <v>-45208.55</v>
      </c>
      <c r="L192" s="16">
        <f t="shared" si="2"/>
        <v>181</v>
      </c>
    </row>
    <row r="193" spans="1:12" x14ac:dyDescent="0.2">
      <c r="A193" s="3" t="s">
        <v>35</v>
      </c>
      <c r="C193" s="6" t="str">
        <f>"000-4111-02"</f>
        <v>000-4111-02</v>
      </c>
      <c r="D193" s="6" t="str">
        <f>"Canadian Sales - Finished Goods"</f>
        <v>Canadian Sales - Finished Goods</v>
      </c>
      <c r="E193" s="15">
        <v>0</v>
      </c>
      <c r="F193" s="15">
        <v>0</v>
      </c>
      <c r="G193" s="15">
        <v>0</v>
      </c>
      <c r="H193" s="15">
        <v>0</v>
      </c>
      <c r="I193" s="15">
        <v>0</v>
      </c>
      <c r="J193" s="15">
        <v>0</v>
      </c>
      <c r="K193" s="15">
        <v>0</v>
      </c>
      <c r="L193" s="16">
        <f t="shared" si="2"/>
        <v>182</v>
      </c>
    </row>
    <row r="194" spans="1:12" x14ac:dyDescent="0.2">
      <c r="A194" s="3" t="s">
        <v>35</v>
      </c>
      <c r="C194" s="6" t="str">
        <f>"000-4112-01"</f>
        <v>000-4112-01</v>
      </c>
      <c r="D194" s="6" t="str">
        <f>"AustralAsian Sales - Retail/Parts"</f>
        <v>AustralAsian Sales - Retail/Parts</v>
      </c>
      <c r="E194" s="15">
        <v>-96936.57</v>
      </c>
      <c r="F194" s="15">
        <v>-96936.57</v>
      </c>
      <c r="G194" s="15">
        <v>-96936.57</v>
      </c>
      <c r="H194" s="15">
        <v>-96936.57</v>
      </c>
      <c r="I194" s="15">
        <v>-96936.57</v>
      </c>
      <c r="J194" s="15">
        <v>-96936.57</v>
      </c>
      <c r="K194" s="15">
        <v>-96936.57</v>
      </c>
      <c r="L194" s="16">
        <f t="shared" si="2"/>
        <v>183</v>
      </c>
    </row>
    <row r="195" spans="1:12" x14ac:dyDescent="0.2">
      <c r="A195" s="3" t="s">
        <v>35</v>
      </c>
      <c r="C195" s="6" t="str">
        <f>"000-4112-02"</f>
        <v>000-4112-02</v>
      </c>
      <c r="D195" s="6" t="str">
        <f>"AustralAsian Sales - Finished Goods"</f>
        <v>AustralAsian Sales - Finished Goods</v>
      </c>
      <c r="E195" s="15">
        <v>-6290.65</v>
      </c>
      <c r="F195" s="15">
        <v>-6290.65</v>
      </c>
      <c r="G195" s="15">
        <v>-6290.65</v>
      </c>
      <c r="H195" s="15">
        <v>-6290.65</v>
      </c>
      <c r="I195" s="15">
        <v>-6290.65</v>
      </c>
      <c r="J195" s="15">
        <v>-6290.65</v>
      </c>
      <c r="K195" s="15">
        <v>-6290.65</v>
      </c>
      <c r="L195" s="16">
        <f t="shared" si="2"/>
        <v>184</v>
      </c>
    </row>
    <row r="196" spans="1:12" x14ac:dyDescent="0.2">
      <c r="A196" s="3" t="s">
        <v>35</v>
      </c>
      <c r="C196" s="6" t="str">
        <f>"000-4114-01"</f>
        <v>000-4114-01</v>
      </c>
      <c r="D196" s="6" t="str">
        <f>"Germany Sales - Retail/Parts"</f>
        <v>Germany Sales - Retail/Parts</v>
      </c>
      <c r="E196" s="15">
        <v>0</v>
      </c>
      <c r="F196" s="15">
        <v>0</v>
      </c>
      <c r="G196" s="15">
        <v>0</v>
      </c>
      <c r="H196" s="15">
        <v>0</v>
      </c>
      <c r="I196" s="15">
        <v>0</v>
      </c>
      <c r="J196" s="15">
        <v>0</v>
      </c>
      <c r="K196" s="15">
        <v>0</v>
      </c>
      <c r="L196" s="16">
        <f t="shared" si="2"/>
        <v>185</v>
      </c>
    </row>
    <row r="197" spans="1:12" x14ac:dyDescent="0.2">
      <c r="A197" s="3" t="s">
        <v>35</v>
      </c>
      <c r="C197" s="6" t="str">
        <f>"000-4114-02"</f>
        <v>000-4114-02</v>
      </c>
      <c r="D197" s="6" t="str">
        <f>"Germany Sales - Finished Goods"</f>
        <v>Germany Sales - Finished Goods</v>
      </c>
      <c r="E197" s="15">
        <v>0</v>
      </c>
      <c r="F197" s="15">
        <v>0</v>
      </c>
      <c r="G197" s="15">
        <v>0</v>
      </c>
      <c r="H197" s="15">
        <v>0</v>
      </c>
      <c r="I197" s="15">
        <v>0</v>
      </c>
      <c r="J197" s="15">
        <v>0</v>
      </c>
      <c r="K197" s="15">
        <v>0</v>
      </c>
      <c r="L197" s="16">
        <f t="shared" si="2"/>
        <v>186</v>
      </c>
    </row>
    <row r="198" spans="1:12" x14ac:dyDescent="0.2">
      <c r="A198" s="3" t="s">
        <v>35</v>
      </c>
      <c r="C198" s="6" t="str">
        <f>"000-4115-01"</f>
        <v>000-4115-01</v>
      </c>
      <c r="D198" s="6" t="str">
        <f>"United Kingdom Sales - Retail/Parts"</f>
        <v>United Kingdom Sales - Retail/Parts</v>
      </c>
      <c r="E198" s="15">
        <v>-894.12</v>
      </c>
      <c r="F198" s="15">
        <v>-894.12</v>
      </c>
      <c r="G198" s="15">
        <v>-894.12</v>
      </c>
      <c r="H198" s="15">
        <v>-894.12</v>
      </c>
      <c r="I198" s="15">
        <v>-894.12</v>
      </c>
      <c r="J198" s="15">
        <v>-894.12</v>
      </c>
      <c r="K198" s="15">
        <v>-894.12</v>
      </c>
      <c r="L198" s="16">
        <f t="shared" si="2"/>
        <v>187</v>
      </c>
    </row>
    <row r="199" spans="1:12" x14ac:dyDescent="0.2">
      <c r="A199" s="3" t="s">
        <v>35</v>
      </c>
      <c r="C199" s="6" t="str">
        <f>"000-4115-02"</f>
        <v>000-4115-02</v>
      </c>
      <c r="D199" s="6" t="str">
        <f>"United Kingdom Sales - Finished Goods"</f>
        <v>United Kingdom Sales - Finished Goods</v>
      </c>
      <c r="E199" s="15">
        <v>-6542.12</v>
      </c>
      <c r="F199" s="15">
        <v>-6542.12</v>
      </c>
      <c r="G199" s="15">
        <v>-6542.12</v>
      </c>
      <c r="H199" s="15">
        <v>-6542.12</v>
      </c>
      <c r="I199" s="15">
        <v>-6542.12</v>
      </c>
      <c r="J199" s="15">
        <v>-6542.12</v>
      </c>
      <c r="K199" s="15">
        <v>-6542.12</v>
      </c>
      <c r="L199" s="16">
        <f t="shared" si="2"/>
        <v>188</v>
      </c>
    </row>
    <row r="200" spans="1:12" x14ac:dyDescent="0.2">
      <c r="A200" s="3" t="s">
        <v>35</v>
      </c>
      <c r="C200" s="6" t="str">
        <f>"000-4116-01"</f>
        <v>000-4116-01</v>
      </c>
      <c r="D200" s="6" t="str">
        <f>"South Africa - Retail/Parts"</f>
        <v>South Africa - Retail/Parts</v>
      </c>
      <c r="E200" s="15">
        <v>-5034.33</v>
      </c>
      <c r="F200" s="15">
        <v>-5034.33</v>
      </c>
      <c r="G200" s="15">
        <v>-5034.33</v>
      </c>
      <c r="H200" s="15">
        <v>-5034.33</v>
      </c>
      <c r="I200" s="15">
        <v>-5034.33</v>
      </c>
      <c r="J200" s="15">
        <v>-5034.33</v>
      </c>
      <c r="K200" s="15">
        <v>-5034.33</v>
      </c>
      <c r="L200" s="16">
        <f t="shared" si="2"/>
        <v>189</v>
      </c>
    </row>
    <row r="201" spans="1:12" x14ac:dyDescent="0.2">
      <c r="A201" s="3" t="s">
        <v>35</v>
      </c>
      <c r="C201" s="6" t="str">
        <f>"000-4116-02"</f>
        <v>000-4116-02</v>
      </c>
      <c r="D201" s="6" t="str">
        <f>"South Africa Sales - Finished Goods"</f>
        <v>South Africa Sales - Finished Goods</v>
      </c>
      <c r="E201" s="15">
        <v>0</v>
      </c>
      <c r="F201" s="15">
        <v>0</v>
      </c>
      <c r="G201" s="15">
        <v>0</v>
      </c>
      <c r="H201" s="15">
        <v>0</v>
      </c>
      <c r="I201" s="15">
        <v>0</v>
      </c>
      <c r="J201" s="15">
        <v>0</v>
      </c>
      <c r="K201" s="15">
        <v>0</v>
      </c>
      <c r="L201" s="16">
        <f t="shared" si="2"/>
        <v>190</v>
      </c>
    </row>
    <row r="202" spans="1:12" x14ac:dyDescent="0.2">
      <c r="A202" s="3" t="s">
        <v>35</v>
      </c>
      <c r="C202" s="6" t="str">
        <f>"000-4117-01"</f>
        <v>000-4117-01</v>
      </c>
      <c r="D202" s="6" t="str">
        <f>"Singapore Sales - Retail/Parts"</f>
        <v>Singapore Sales - Retail/Parts</v>
      </c>
      <c r="E202" s="15">
        <v>-1693.32</v>
      </c>
      <c r="F202" s="15">
        <v>-1693.32</v>
      </c>
      <c r="G202" s="15">
        <v>-1693.32</v>
      </c>
      <c r="H202" s="15">
        <v>-1693.32</v>
      </c>
      <c r="I202" s="15">
        <v>-1693.32</v>
      </c>
      <c r="J202" s="15">
        <v>-1693.32</v>
      </c>
      <c r="K202" s="15">
        <v>-1693.32</v>
      </c>
      <c r="L202" s="16">
        <f t="shared" si="2"/>
        <v>191</v>
      </c>
    </row>
    <row r="203" spans="1:12" x14ac:dyDescent="0.2">
      <c r="A203" s="3" t="s">
        <v>35</v>
      </c>
      <c r="C203" s="6" t="str">
        <f>"000-4117-02"</f>
        <v>000-4117-02</v>
      </c>
      <c r="D203" s="6" t="str">
        <f>"Singapore Sales - Finished Goods"</f>
        <v>Singapore Sales - Finished Goods</v>
      </c>
      <c r="E203" s="15">
        <v>-1693.32</v>
      </c>
      <c r="F203" s="15">
        <v>-1693.32</v>
      </c>
      <c r="G203" s="15">
        <v>-1693.32</v>
      </c>
      <c r="H203" s="15">
        <v>-1693.32</v>
      </c>
      <c r="I203" s="15">
        <v>-1693.32</v>
      </c>
      <c r="J203" s="15">
        <v>-1693.32</v>
      </c>
      <c r="K203" s="15">
        <v>-1693.32</v>
      </c>
      <c r="L203" s="16">
        <f t="shared" si="2"/>
        <v>192</v>
      </c>
    </row>
    <row r="204" spans="1:12" x14ac:dyDescent="0.2">
      <c r="A204" s="3" t="s">
        <v>35</v>
      </c>
      <c r="C204" s="6" t="str">
        <f>"000-4120-00"</f>
        <v>000-4120-00</v>
      </c>
      <c r="D204" s="6" t="str">
        <f>"US Sales - Service Plans"</f>
        <v>US Sales - Service Plans</v>
      </c>
      <c r="E204" s="15">
        <v>-166894.54</v>
      </c>
      <c r="F204" s="15">
        <v>-166894.54</v>
      </c>
      <c r="G204" s="15">
        <v>-166894.54</v>
      </c>
      <c r="H204" s="15">
        <v>-166894.54</v>
      </c>
      <c r="I204" s="15">
        <v>-166894.54</v>
      </c>
      <c r="J204" s="15">
        <v>-166894.54</v>
      </c>
      <c r="K204" s="15">
        <v>-166894.54</v>
      </c>
      <c r="L204" s="16">
        <f t="shared" si="2"/>
        <v>193</v>
      </c>
    </row>
    <row r="205" spans="1:12" x14ac:dyDescent="0.2">
      <c r="A205" s="3" t="s">
        <v>35</v>
      </c>
      <c r="C205" s="6" t="str">
        <f>"000-4121-00"</f>
        <v>000-4121-00</v>
      </c>
      <c r="D205" s="6" t="str">
        <f>"Canadian Sales - Service Plans"</f>
        <v>Canadian Sales - Service Plans</v>
      </c>
      <c r="E205" s="15">
        <v>0</v>
      </c>
      <c r="F205" s="15">
        <v>0</v>
      </c>
      <c r="G205" s="15">
        <v>0</v>
      </c>
      <c r="H205" s="15">
        <v>0</v>
      </c>
      <c r="I205" s="15">
        <v>0</v>
      </c>
      <c r="J205" s="15">
        <v>0</v>
      </c>
      <c r="K205" s="15">
        <v>0</v>
      </c>
      <c r="L205" s="16">
        <f t="shared" ref="L205:L268" si="3">L204+1</f>
        <v>194</v>
      </c>
    </row>
    <row r="206" spans="1:12" x14ac:dyDescent="0.2">
      <c r="A206" s="3" t="s">
        <v>35</v>
      </c>
      <c r="C206" s="6" t="str">
        <f>"000-4122-00"</f>
        <v>000-4122-00</v>
      </c>
      <c r="D206" s="6" t="str">
        <f>"AustralAsian Sales - Service Plans"</f>
        <v>AustralAsian Sales - Service Plans</v>
      </c>
      <c r="E206" s="15">
        <v>-12500</v>
      </c>
      <c r="F206" s="15">
        <v>-12500</v>
      </c>
      <c r="G206" s="15">
        <v>-12500</v>
      </c>
      <c r="H206" s="15">
        <v>-12500</v>
      </c>
      <c r="I206" s="15">
        <v>-12500</v>
      </c>
      <c r="J206" s="15">
        <v>-12500</v>
      </c>
      <c r="K206" s="15">
        <v>-12500</v>
      </c>
      <c r="L206" s="16">
        <f t="shared" si="3"/>
        <v>195</v>
      </c>
    </row>
    <row r="207" spans="1:12" x14ac:dyDescent="0.2">
      <c r="A207" s="3" t="s">
        <v>35</v>
      </c>
      <c r="C207" s="6" t="str">
        <f>"000-4124-00"</f>
        <v>000-4124-00</v>
      </c>
      <c r="D207" s="6" t="str">
        <f>"Germany Sales - Service Plans"</f>
        <v>Germany Sales - Service Plans</v>
      </c>
      <c r="E207" s="15">
        <v>0</v>
      </c>
      <c r="F207" s="15">
        <v>0</v>
      </c>
      <c r="G207" s="15">
        <v>0</v>
      </c>
      <c r="H207" s="15">
        <v>0</v>
      </c>
      <c r="I207" s="15">
        <v>0</v>
      </c>
      <c r="J207" s="15">
        <v>0</v>
      </c>
      <c r="K207" s="15">
        <v>0</v>
      </c>
      <c r="L207" s="16">
        <f t="shared" si="3"/>
        <v>196</v>
      </c>
    </row>
    <row r="208" spans="1:12" x14ac:dyDescent="0.2">
      <c r="A208" s="3" t="s">
        <v>35</v>
      </c>
      <c r="C208" s="6" t="str">
        <f>"000-4125-00"</f>
        <v>000-4125-00</v>
      </c>
      <c r="D208" s="6" t="str">
        <f>"United Kingdom Sales - Service Plans"</f>
        <v>United Kingdom Sales - Service Plans</v>
      </c>
      <c r="E208" s="15">
        <v>0</v>
      </c>
      <c r="F208" s="15">
        <v>0</v>
      </c>
      <c r="G208" s="15">
        <v>0</v>
      </c>
      <c r="H208" s="15">
        <v>0</v>
      </c>
      <c r="I208" s="15">
        <v>0</v>
      </c>
      <c r="J208" s="15">
        <v>0</v>
      </c>
      <c r="K208" s="15">
        <v>0</v>
      </c>
      <c r="L208" s="16">
        <f t="shared" si="3"/>
        <v>197</v>
      </c>
    </row>
    <row r="209" spans="1:12" x14ac:dyDescent="0.2">
      <c r="A209" s="3" t="s">
        <v>35</v>
      </c>
      <c r="C209" s="6" t="str">
        <f>"000-4126-00"</f>
        <v>000-4126-00</v>
      </c>
      <c r="D209" s="6" t="str">
        <f>"South Africa Sales - Service Plans"</f>
        <v>South Africa Sales - Service Plans</v>
      </c>
      <c r="E209" s="15">
        <v>0</v>
      </c>
      <c r="F209" s="15">
        <v>0</v>
      </c>
      <c r="G209" s="15">
        <v>0</v>
      </c>
      <c r="H209" s="15">
        <v>0</v>
      </c>
      <c r="I209" s="15">
        <v>0</v>
      </c>
      <c r="J209" s="15">
        <v>0</v>
      </c>
      <c r="K209" s="15">
        <v>0</v>
      </c>
      <c r="L209" s="16">
        <f t="shared" si="3"/>
        <v>198</v>
      </c>
    </row>
    <row r="210" spans="1:12" x14ac:dyDescent="0.2">
      <c r="A210" s="3" t="s">
        <v>35</v>
      </c>
      <c r="C210" s="6" t="str">
        <f>"000-4127-00"</f>
        <v>000-4127-00</v>
      </c>
      <c r="D210" s="6" t="str">
        <f>"Singapore Sales - Service Plans"</f>
        <v>Singapore Sales - Service Plans</v>
      </c>
      <c r="E210" s="15">
        <v>0</v>
      </c>
      <c r="F210" s="15">
        <v>0</v>
      </c>
      <c r="G210" s="15">
        <v>0</v>
      </c>
      <c r="H210" s="15">
        <v>0</v>
      </c>
      <c r="I210" s="15">
        <v>0</v>
      </c>
      <c r="J210" s="15">
        <v>0</v>
      </c>
      <c r="K210" s="15">
        <v>0</v>
      </c>
      <c r="L210" s="16">
        <f t="shared" si="3"/>
        <v>199</v>
      </c>
    </row>
    <row r="211" spans="1:12" x14ac:dyDescent="0.2">
      <c r="A211" s="3" t="s">
        <v>35</v>
      </c>
      <c r="C211" s="6" t="str">
        <f>"000-4130-00"</f>
        <v>000-4130-00</v>
      </c>
      <c r="D211" s="6" t="str">
        <f>"US Sales - Installation Charges"</f>
        <v>US Sales - Installation Charges</v>
      </c>
      <c r="E211" s="15">
        <v>-211747.78</v>
      </c>
      <c r="F211" s="15">
        <v>-211747.78</v>
      </c>
      <c r="G211" s="15">
        <v>-211747.78</v>
      </c>
      <c r="H211" s="15">
        <v>-211747.78</v>
      </c>
      <c r="I211" s="15">
        <v>-211747.78</v>
      </c>
      <c r="J211" s="15">
        <v>-211747.78</v>
      </c>
      <c r="K211" s="15">
        <v>-211747.78</v>
      </c>
      <c r="L211" s="16">
        <f t="shared" si="3"/>
        <v>200</v>
      </c>
    </row>
    <row r="212" spans="1:12" x14ac:dyDescent="0.2">
      <c r="A212" s="3" t="s">
        <v>35</v>
      </c>
      <c r="C212" s="6" t="str">
        <f>"000-4131-00"</f>
        <v>000-4131-00</v>
      </c>
      <c r="D212" s="6" t="str">
        <f>"Canadian Sales - Installation Charges"</f>
        <v>Canadian Sales - Installation Charges</v>
      </c>
      <c r="E212" s="15">
        <v>0</v>
      </c>
      <c r="F212" s="15">
        <v>0</v>
      </c>
      <c r="G212" s="15">
        <v>0</v>
      </c>
      <c r="H212" s="15">
        <v>0</v>
      </c>
      <c r="I212" s="15">
        <v>0</v>
      </c>
      <c r="J212" s="15">
        <v>0</v>
      </c>
      <c r="K212" s="15">
        <v>0</v>
      </c>
      <c r="L212" s="16">
        <f t="shared" si="3"/>
        <v>201</v>
      </c>
    </row>
    <row r="213" spans="1:12" x14ac:dyDescent="0.2">
      <c r="A213" s="3" t="s">
        <v>35</v>
      </c>
      <c r="C213" s="6" t="str">
        <f>"000-4132-00"</f>
        <v>000-4132-00</v>
      </c>
      <c r="D213" s="6" t="str">
        <f>"AustralAsian Sales - Installation Charges"</f>
        <v>AustralAsian Sales - Installation Charges</v>
      </c>
      <c r="E213" s="15">
        <v>-11154.59</v>
      </c>
      <c r="F213" s="15">
        <v>-11154.59</v>
      </c>
      <c r="G213" s="15">
        <v>-11154.59</v>
      </c>
      <c r="H213" s="15">
        <v>-11154.59</v>
      </c>
      <c r="I213" s="15">
        <v>-11154.59</v>
      </c>
      <c r="J213" s="15">
        <v>-11154.59</v>
      </c>
      <c r="K213" s="15">
        <v>-11154.59</v>
      </c>
      <c r="L213" s="16">
        <f t="shared" si="3"/>
        <v>202</v>
      </c>
    </row>
    <row r="214" spans="1:12" x14ac:dyDescent="0.2">
      <c r="A214" s="3" t="s">
        <v>35</v>
      </c>
      <c r="C214" s="6" t="str">
        <f>"000-4134-00"</f>
        <v>000-4134-00</v>
      </c>
      <c r="D214" s="6" t="str">
        <f>"Germany Sales - Installation Charges"</f>
        <v>Germany Sales - Installation Charges</v>
      </c>
      <c r="E214" s="15">
        <v>0</v>
      </c>
      <c r="F214" s="15">
        <v>0</v>
      </c>
      <c r="G214" s="15">
        <v>0</v>
      </c>
      <c r="H214" s="15">
        <v>0</v>
      </c>
      <c r="I214" s="15">
        <v>0</v>
      </c>
      <c r="J214" s="15">
        <v>0</v>
      </c>
      <c r="K214" s="15">
        <v>0</v>
      </c>
      <c r="L214" s="16">
        <f t="shared" si="3"/>
        <v>203</v>
      </c>
    </row>
    <row r="215" spans="1:12" x14ac:dyDescent="0.2">
      <c r="A215" s="3" t="s">
        <v>35</v>
      </c>
      <c r="C215" s="6" t="str">
        <f>"000-4135-00"</f>
        <v>000-4135-00</v>
      </c>
      <c r="D215" s="6" t="str">
        <f>"United Kingdom Sales - Installation Charges"</f>
        <v>United Kingdom Sales - Installation Charges</v>
      </c>
      <c r="E215" s="15">
        <v>0</v>
      </c>
      <c r="F215" s="15">
        <v>0</v>
      </c>
      <c r="G215" s="15">
        <v>0</v>
      </c>
      <c r="H215" s="15">
        <v>0</v>
      </c>
      <c r="I215" s="15">
        <v>0</v>
      </c>
      <c r="J215" s="15">
        <v>0</v>
      </c>
      <c r="K215" s="15">
        <v>0</v>
      </c>
      <c r="L215" s="16">
        <f t="shared" si="3"/>
        <v>204</v>
      </c>
    </row>
    <row r="216" spans="1:12" x14ac:dyDescent="0.2">
      <c r="A216" s="3" t="s">
        <v>35</v>
      </c>
      <c r="C216" s="6" t="str">
        <f>"000-4136-00"</f>
        <v>000-4136-00</v>
      </c>
      <c r="D216" s="6" t="str">
        <f>"South Africa Sales - Installation Charges"</f>
        <v>South Africa Sales - Installation Charges</v>
      </c>
      <c r="E216" s="15">
        <v>0</v>
      </c>
      <c r="F216" s="15">
        <v>0</v>
      </c>
      <c r="G216" s="15">
        <v>0</v>
      </c>
      <c r="H216" s="15">
        <v>0</v>
      </c>
      <c r="I216" s="15">
        <v>0</v>
      </c>
      <c r="J216" s="15">
        <v>0</v>
      </c>
      <c r="K216" s="15">
        <v>0</v>
      </c>
      <c r="L216" s="16">
        <f t="shared" si="3"/>
        <v>205</v>
      </c>
    </row>
    <row r="217" spans="1:12" x14ac:dyDescent="0.2">
      <c r="A217" s="3" t="s">
        <v>35</v>
      </c>
      <c r="C217" s="6" t="str">
        <f>"000-4137-00"</f>
        <v>000-4137-00</v>
      </c>
      <c r="D217" s="6" t="str">
        <f>"Singapore Sales - Installation Charges"</f>
        <v>Singapore Sales - Installation Charges</v>
      </c>
      <c r="E217" s="15">
        <v>0</v>
      </c>
      <c r="F217" s="15">
        <v>0</v>
      </c>
      <c r="G217" s="15">
        <v>0</v>
      </c>
      <c r="H217" s="15">
        <v>0</v>
      </c>
      <c r="I217" s="15">
        <v>0</v>
      </c>
      <c r="J217" s="15">
        <v>0</v>
      </c>
      <c r="K217" s="15">
        <v>0</v>
      </c>
      <c r="L217" s="16">
        <f t="shared" si="3"/>
        <v>206</v>
      </c>
    </row>
    <row r="218" spans="1:12" x14ac:dyDescent="0.2">
      <c r="A218" s="3" t="s">
        <v>35</v>
      </c>
      <c r="C218" s="6" t="str">
        <f>"000-4140-00"</f>
        <v>000-4140-00</v>
      </c>
      <c r="D218" s="6" t="str">
        <f>"US Sales - Repair Charges"</f>
        <v>US Sales - Repair Charges</v>
      </c>
      <c r="E218" s="15">
        <v>-82450.19</v>
      </c>
      <c r="F218" s="15">
        <v>-82450.19</v>
      </c>
      <c r="G218" s="15">
        <v>-82450.19</v>
      </c>
      <c r="H218" s="15">
        <v>-82450.19</v>
      </c>
      <c r="I218" s="15">
        <v>-82450.19</v>
      </c>
      <c r="J218" s="15">
        <v>-82450.19</v>
      </c>
      <c r="K218" s="15">
        <v>-82450.19</v>
      </c>
      <c r="L218" s="16">
        <f t="shared" si="3"/>
        <v>207</v>
      </c>
    </row>
    <row r="219" spans="1:12" x14ac:dyDescent="0.2">
      <c r="A219" s="3" t="s">
        <v>35</v>
      </c>
      <c r="C219" s="6" t="str">
        <f>"000-4141-00"</f>
        <v>000-4141-00</v>
      </c>
      <c r="D219" s="6" t="str">
        <f>"Canadian Sales - Repair Charges"</f>
        <v>Canadian Sales - Repair Charges</v>
      </c>
      <c r="E219" s="15">
        <v>-4841.26</v>
      </c>
      <c r="F219" s="15">
        <v>-4841.26</v>
      </c>
      <c r="G219" s="15">
        <v>-4841.26</v>
      </c>
      <c r="H219" s="15">
        <v>-4841.26</v>
      </c>
      <c r="I219" s="15">
        <v>-4841.26</v>
      </c>
      <c r="J219" s="15">
        <v>-4841.26</v>
      </c>
      <c r="K219" s="15">
        <v>-4841.26</v>
      </c>
      <c r="L219" s="16">
        <f t="shared" si="3"/>
        <v>208</v>
      </c>
    </row>
    <row r="220" spans="1:12" x14ac:dyDescent="0.2">
      <c r="A220" s="3" t="s">
        <v>35</v>
      </c>
      <c r="C220" s="6" t="str">
        <f>"000-4142-00"</f>
        <v>000-4142-00</v>
      </c>
      <c r="D220" s="6" t="str">
        <f>"AustralAsian Sales - Repair Charges"</f>
        <v>AustralAsian Sales - Repair Charges</v>
      </c>
      <c r="E220" s="15">
        <v>-4359.3999999999996</v>
      </c>
      <c r="F220" s="15">
        <v>-4359.3999999999996</v>
      </c>
      <c r="G220" s="15">
        <v>-4359.3999999999996</v>
      </c>
      <c r="H220" s="15">
        <v>-4359.3999999999996</v>
      </c>
      <c r="I220" s="15">
        <v>-4359.3999999999996</v>
      </c>
      <c r="J220" s="15">
        <v>-4359.3999999999996</v>
      </c>
      <c r="K220" s="15">
        <v>-4359.3999999999996</v>
      </c>
      <c r="L220" s="16">
        <f t="shared" si="3"/>
        <v>209</v>
      </c>
    </row>
    <row r="221" spans="1:12" x14ac:dyDescent="0.2">
      <c r="A221" s="3" t="s">
        <v>35</v>
      </c>
      <c r="C221" s="6" t="str">
        <f>"000-4176-00"</f>
        <v>000-4176-00</v>
      </c>
      <c r="D221" s="6" t="str">
        <f>"South Africa Sales Discount"</f>
        <v>South Africa Sales Discount</v>
      </c>
      <c r="E221" s="15">
        <v>0</v>
      </c>
      <c r="F221" s="15">
        <v>0</v>
      </c>
      <c r="G221" s="15">
        <v>0</v>
      </c>
      <c r="H221" s="15">
        <v>0</v>
      </c>
      <c r="I221" s="15">
        <v>0</v>
      </c>
      <c r="J221" s="15">
        <v>0</v>
      </c>
      <c r="K221" s="15">
        <v>0</v>
      </c>
      <c r="L221" s="16">
        <f t="shared" si="3"/>
        <v>210</v>
      </c>
    </row>
    <row r="222" spans="1:12" x14ac:dyDescent="0.2">
      <c r="A222" s="3" t="s">
        <v>35</v>
      </c>
      <c r="C222" s="6" t="str">
        <f>"000-4177-00"</f>
        <v>000-4177-00</v>
      </c>
      <c r="D222" s="6" t="str">
        <f>"Germany Sales Discount"</f>
        <v>Germany Sales Discount</v>
      </c>
      <c r="E222" s="15">
        <v>0</v>
      </c>
      <c r="F222" s="15">
        <v>0</v>
      </c>
      <c r="G222" s="15">
        <v>0</v>
      </c>
      <c r="H222" s="15">
        <v>0</v>
      </c>
      <c r="I222" s="15">
        <v>0</v>
      </c>
      <c r="J222" s="15">
        <v>0</v>
      </c>
      <c r="K222" s="15">
        <v>0</v>
      </c>
      <c r="L222" s="16">
        <f t="shared" si="3"/>
        <v>211</v>
      </c>
    </row>
    <row r="223" spans="1:12" x14ac:dyDescent="0.2">
      <c r="A223" s="3" t="s">
        <v>35</v>
      </c>
      <c r="C223" s="6" t="str">
        <f>"000-4178-00"</f>
        <v>000-4178-00</v>
      </c>
      <c r="D223" s="6" t="str">
        <f>"Singapore Sales Discount"</f>
        <v>Singapore Sales Discount</v>
      </c>
      <c r="E223" s="15">
        <v>0</v>
      </c>
      <c r="F223" s="15">
        <v>0</v>
      </c>
      <c r="G223" s="15">
        <v>0</v>
      </c>
      <c r="H223" s="15">
        <v>0</v>
      </c>
      <c r="I223" s="15">
        <v>0</v>
      </c>
      <c r="J223" s="15">
        <v>0</v>
      </c>
      <c r="K223" s="15">
        <v>0</v>
      </c>
      <c r="L223" s="16">
        <f t="shared" si="3"/>
        <v>212</v>
      </c>
    </row>
    <row r="224" spans="1:12" x14ac:dyDescent="0.2">
      <c r="A224" s="3" t="s">
        <v>35</v>
      </c>
      <c r="C224" s="6" t="str">
        <f>"000-4179-00"</f>
        <v>000-4179-00</v>
      </c>
      <c r="D224" s="6" t="str">
        <f>"United Kingdom Sales Discount"</f>
        <v>United Kingdom Sales Discount</v>
      </c>
      <c r="E224" s="15">
        <v>0</v>
      </c>
      <c r="F224" s="15">
        <v>0</v>
      </c>
      <c r="G224" s="15">
        <v>0</v>
      </c>
      <c r="H224" s="15">
        <v>0</v>
      </c>
      <c r="I224" s="15">
        <v>0</v>
      </c>
      <c r="J224" s="15">
        <v>0</v>
      </c>
      <c r="K224" s="15">
        <v>0</v>
      </c>
      <c r="L224" s="16">
        <f t="shared" si="3"/>
        <v>213</v>
      </c>
    </row>
    <row r="225" spans="1:12" x14ac:dyDescent="0.2">
      <c r="A225" s="3" t="s">
        <v>35</v>
      </c>
      <c r="C225" s="6" t="str">
        <f>"000-4180-00"</f>
        <v>000-4180-00</v>
      </c>
      <c r="D225" s="6" t="str">
        <f>"US Sales Discounts"</f>
        <v>US Sales Discounts</v>
      </c>
      <c r="E225" s="15">
        <v>2473.17</v>
      </c>
      <c r="F225" s="15">
        <v>2473.17</v>
      </c>
      <c r="G225" s="15">
        <v>2473.17</v>
      </c>
      <c r="H225" s="15">
        <v>2473.17</v>
      </c>
      <c r="I225" s="15">
        <v>2473.17</v>
      </c>
      <c r="J225" s="15">
        <v>2473.17</v>
      </c>
      <c r="K225" s="15">
        <v>2473.17</v>
      </c>
      <c r="L225" s="16">
        <f t="shared" si="3"/>
        <v>214</v>
      </c>
    </row>
    <row r="226" spans="1:12" x14ac:dyDescent="0.2">
      <c r="A226" s="3" t="s">
        <v>35</v>
      </c>
      <c r="C226" s="6" t="str">
        <f>"000-4181-00"</f>
        <v>000-4181-00</v>
      </c>
      <c r="D226" s="6" t="str">
        <f>"Canadian Sales Discounts"</f>
        <v>Canadian Sales Discounts</v>
      </c>
      <c r="E226" s="15">
        <v>0</v>
      </c>
      <c r="F226" s="15">
        <v>0</v>
      </c>
      <c r="G226" s="15">
        <v>0</v>
      </c>
      <c r="H226" s="15">
        <v>0</v>
      </c>
      <c r="I226" s="15">
        <v>0</v>
      </c>
      <c r="J226" s="15">
        <v>0</v>
      </c>
      <c r="K226" s="15">
        <v>0</v>
      </c>
      <c r="L226" s="16">
        <f t="shared" si="3"/>
        <v>215</v>
      </c>
    </row>
    <row r="227" spans="1:12" x14ac:dyDescent="0.2">
      <c r="A227" s="3" t="s">
        <v>35</v>
      </c>
      <c r="C227" s="6" t="str">
        <f>"000-4182-00"</f>
        <v>000-4182-00</v>
      </c>
      <c r="D227" s="6" t="str">
        <f>"AustralAsian Sales Discounts"</f>
        <v>AustralAsian Sales Discounts</v>
      </c>
      <c r="E227" s="15">
        <v>0</v>
      </c>
      <c r="F227" s="15">
        <v>0</v>
      </c>
      <c r="G227" s="15">
        <v>0</v>
      </c>
      <c r="H227" s="15">
        <v>0</v>
      </c>
      <c r="I227" s="15">
        <v>0</v>
      </c>
      <c r="J227" s="15">
        <v>0</v>
      </c>
      <c r="K227" s="15">
        <v>0</v>
      </c>
      <c r="L227" s="16">
        <f t="shared" si="3"/>
        <v>216</v>
      </c>
    </row>
    <row r="228" spans="1:12" x14ac:dyDescent="0.2">
      <c r="A228" s="3" t="s">
        <v>35</v>
      </c>
      <c r="C228" s="6" t="str">
        <f>"000-4183-00"</f>
        <v>000-4183-00</v>
      </c>
      <c r="D228" s="6" t="str">
        <f>"US Sales Trade Discounts"</f>
        <v>US Sales Trade Discounts</v>
      </c>
      <c r="E228" s="15">
        <v>5215.09</v>
      </c>
      <c r="F228" s="15">
        <v>5215.09</v>
      </c>
      <c r="G228" s="15">
        <v>5215.09</v>
      </c>
      <c r="H228" s="15">
        <v>5215.09</v>
      </c>
      <c r="I228" s="15">
        <v>5215.09</v>
      </c>
      <c r="J228" s="15">
        <v>5215.09</v>
      </c>
      <c r="K228" s="15">
        <v>5215.09</v>
      </c>
      <c r="L228" s="16">
        <f t="shared" si="3"/>
        <v>217</v>
      </c>
    </row>
    <row r="229" spans="1:12" x14ac:dyDescent="0.2">
      <c r="A229" s="3" t="s">
        <v>35</v>
      </c>
      <c r="C229" s="6" t="str">
        <f>"000-4184-00"</f>
        <v>000-4184-00</v>
      </c>
      <c r="D229" s="6" t="str">
        <f>"Canadian Sales Trade Discounts"</f>
        <v>Canadian Sales Trade Discounts</v>
      </c>
      <c r="E229" s="15">
        <v>0</v>
      </c>
      <c r="F229" s="15">
        <v>0</v>
      </c>
      <c r="G229" s="15">
        <v>0</v>
      </c>
      <c r="H229" s="15">
        <v>0</v>
      </c>
      <c r="I229" s="15">
        <v>0</v>
      </c>
      <c r="J229" s="15">
        <v>0</v>
      </c>
      <c r="K229" s="15">
        <v>0</v>
      </c>
      <c r="L229" s="16">
        <f t="shared" si="3"/>
        <v>218</v>
      </c>
    </row>
    <row r="230" spans="1:12" x14ac:dyDescent="0.2">
      <c r="A230" s="3" t="s">
        <v>35</v>
      </c>
      <c r="C230" s="6" t="str">
        <f>"000-4185-00"</f>
        <v>000-4185-00</v>
      </c>
      <c r="D230" s="6" t="str">
        <f>"AustralAsian Trade Discounts"</f>
        <v>AustralAsian Trade Discounts</v>
      </c>
      <c r="E230" s="15">
        <v>0</v>
      </c>
      <c r="F230" s="15">
        <v>0</v>
      </c>
      <c r="G230" s="15">
        <v>0</v>
      </c>
      <c r="H230" s="15">
        <v>0</v>
      </c>
      <c r="I230" s="15">
        <v>0</v>
      </c>
      <c r="J230" s="15">
        <v>0</v>
      </c>
      <c r="K230" s="15">
        <v>0</v>
      </c>
      <c r="L230" s="16">
        <f t="shared" si="3"/>
        <v>219</v>
      </c>
    </row>
    <row r="231" spans="1:12" x14ac:dyDescent="0.2">
      <c r="A231" s="3" t="s">
        <v>35</v>
      </c>
      <c r="C231" s="6" t="str">
        <f>"000-4186-00"</f>
        <v>000-4186-00</v>
      </c>
      <c r="D231" s="6" t="str">
        <f>"United Kingdom Trade Discount"</f>
        <v>United Kingdom Trade Discount</v>
      </c>
      <c r="E231" s="15">
        <v>0</v>
      </c>
      <c r="F231" s="15">
        <v>0</v>
      </c>
      <c r="G231" s="15">
        <v>0</v>
      </c>
      <c r="H231" s="15">
        <v>0</v>
      </c>
      <c r="I231" s="15">
        <v>0</v>
      </c>
      <c r="J231" s="15">
        <v>0</v>
      </c>
      <c r="K231" s="15">
        <v>0</v>
      </c>
      <c r="L231" s="16">
        <f t="shared" si="3"/>
        <v>220</v>
      </c>
    </row>
    <row r="232" spans="1:12" x14ac:dyDescent="0.2">
      <c r="A232" s="3" t="s">
        <v>35</v>
      </c>
      <c r="C232" s="6" t="str">
        <f>"000-4187-00"</f>
        <v>000-4187-00</v>
      </c>
      <c r="D232" s="6" t="str">
        <f>"Singapore Trade Discount"</f>
        <v>Singapore Trade Discount</v>
      </c>
      <c r="E232" s="15">
        <v>0</v>
      </c>
      <c r="F232" s="15">
        <v>0</v>
      </c>
      <c r="G232" s="15">
        <v>0</v>
      </c>
      <c r="H232" s="15">
        <v>0</v>
      </c>
      <c r="I232" s="15">
        <v>0</v>
      </c>
      <c r="J232" s="15">
        <v>0</v>
      </c>
      <c r="K232" s="15">
        <v>0</v>
      </c>
      <c r="L232" s="16">
        <f t="shared" si="3"/>
        <v>221</v>
      </c>
    </row>
    <row r="233" spans="1:12" x14ac:dyDescent="0.2">
      <c r="A233" s="3" t="s">
        <v>35</v>
      </c>
      <c r="C233" s="6" t="str">
        <f>"000-4188-00"</f>
        <v>000-4188-00</v>
      </c>
      <c r="D233" s="6" t="str">
        <f>"Germany Trade Discount"</f>
        <v>Germany Trade Discount</v>
      </c>
      <c r="E233" s="15">
        <v>0</v>
      </c>
      <c r="F233" s="15">
        <v>0</v>
      </c>
      <c r="G233" s="15">
        <v>0</v>
      </c>
      <c r="H233" s="15">
        <v>0</v>
      </c>
      <c r="I233" s="15">
        <v>0</v>
      </c>
      <c r="J233" s="15">
        <v>0</v>
      </c>
      <c r="K233" s="15">
        <v>0</v>
      </c>
      <c r="L233" s="16">
        <f t="shared" si="3"/>
        <v>222</v>
      </c>
    </row>
    <row r="234" spans="1:12" x14ac:dyDescent="0.2">
      <c r="A234" s="3" t="s">
        <v>35</v>
      </c>
      <c r="C234" s="6" t="str">
        <f>"000-4189-00"</f>
        <v>000-4189-00</v>
      </c>
      <c r="D234" s="6" t="str">
        <f>"South Africa Trade Discount"</f>
        <v>South Africa Trade Discount</v>
      </c>
      <c r="E234" s="15">
        <v>0</v>
      </c>
      <c r="F234" s="15">
        <v>0</v>
      </c>
      <c r="G234" s="15">
        <v>0</v>
      </c>
      <c r="H234" s="15">
        <v>0</v>
      </c>
      <c r="I234" s="15">
        <v>0</v>
      </c>
      <c r="J234" s="15">
        <v>0</v>
      </c>
      <c r="K234" s="15">
        <v>0</v>
      </c>
      <c r="L234" s="16">
        <f t="shared" si="3"/>
        <v>223</v>
      </c>
    </row>
    <row r="235" spans="1:12" x14ac:dyDescent="0.2">
      <c r="A235" s="3" t="s">
        <v>35</v>
      </c>
      <c r="C235" s="6" t="str">
        <f>"000-4190-00"</f>
        <v>000-4190-00</v>
      </c>
      <c r="D235" s="6" t="str">
        <f>"US Sales Returns"</f>
        <v>US Sales Returns</v>
      </c>
      <c r="E235" s="15">
        <v>49193.53</v>
      </c>
      <c r="F235" s="15">
        <v>49193.53</v>
      </c>
      <c r="G235" s="15">
        <v>49193.53</v>
      </c>
      <c r="H235" s="15">
        <v>49193.53</v>
      </c>
      <c r="I235" s="15">
        <v>49193.53</v>
      </c>
      <c r="J235" s="15">
        <v>49193.53</v>
      </c>
      <c r="K235" s="15">
        <v>49193.53</v>
      </c>
      <c r="L235" s="16">
        <f t="shared" si="3"/>
        <v>224</v>
      </c>
    </row>
    <row r="236" spans="1:12" x14ac:dyDescent="0.2">
      <c r="A236" s="3" t="s">
        <v>35</v>
      </c>
      <c r="C236" s="6" t="str">
        <f>"000-4191-00"</f>
        <v>000-4191-00</v>
      </c>
      <c r="D236" s="6" t="str">
        <f>"Canadian Sales Returns"</f>
        <v>Canadian Sales Returns</v>
      </c>
      <c r="E236" s="15">
        <v>0</v>
      </c>
      <c r="F236" s="15">
        <v>0</v>
      </c>
      <c r="G236" s="15">
        <v>0</v>
      </c>
      <c r="H236" s="15">
        <v>0</v>
      </c>
      <c r="I236" s="15">
        <v>0</v>
      </c>
      <c r="J236" s="15">
        <v>0</v>
      </c>
      <c r="K236" s="15">
        <v>0</v>
      </c>
      <c r="L236" s="16">
        <f t="shared" si="3"/>
        <v>225</v>
      </c>
    </row>
    <row r="237" spans="1:12" x14ac:dyDescent="0.2">
      <c r="A237" s="3" t="s">
        <v>35</v>
      </c>
      <c r="C237" s="6" t="str">
        <f>"000-4192-00"</f>
        <v>000-4192-00</v>
      </c>
      <c r="D237" s="6" t="str">
        <f>"AustralAsian Sales Returns"</f>
        <v>AustralAsian Sales Returns</v>
      </c>
      <c r="E237" s="15">
        <v>0</v>
      </c>
      <c r="F237" s="15">
        <v>0</v>
      </c>
      <c r="G237" s="15">
        <v>0</v>
      </c>
      <c r="H237" s="15">
        <v>0</v>
      </c>
      <c r="I237" s="15">
        <v>0</v>
      </c>
      <c r="J237" s="15">
        <v>0</v>
      </c>
      <c r="K237" s="15">
        <v>0</v>
      </c>
      <c r="L237" s="16">
        <f t="shared" si="3"/>
        <v>226</v>
      </c>
    </row>
    <row r="238" spans="1:12" x14ac:dyDescent="0.2">
      <c r="A238" s="3" t="s">
        <v>35</v>
      </c>
      <c r="C238" s="6" t="str">
        <f>"000-4200-00"</f>
        <v>000-4200-00</v>
      </c>
      <c r="D238" s="6" t="str">
        <f>"Project Revenue/Sales"</f>
        <v>Project Revenue/Sales</v>
      </c>
      <c r="E238" s="15">
        <v>0</v>
      </c>
      <c r="F238" s="15">
        <v>0</v>
      </c>
      <c r="G238" s="15">
        <v>0</v>
      </c>
      <c r="H238" s="15">
        <v>0</v>
      </c>
      <c r="I238" s="15">
        <v>0</v>
      </c>
      <c r="J238" s="15">
        <v>0</v>
      </c>
      <c r="K238" s="15">
        <v>0</v>
      </c>
      <c r="L238" s="16">
        <f t="shared" si="3"/>
        <v>227</v>
      </c>
    </row>
    <row r="239" spans="1:12" x14ac:dyDescent="0.2">
      <c r="A239" s="3" t="s">
        <v>35</v>
      </c>
      <c r="C239" s="6" t="str">
        <f>"000-4210-01"</f>
        <v>000-4210-01</v>
      </c>
      <c r="D239" s="6" t="str">
        <f>"Project Billings"</f>
        <v>Project Billings</v>
      </c>
      <c r="E239" s="15">
        <v>0</v>
      </c>
      <c r="F239" s="15">
        <v>0</v>
      </c>
      <c r="G239" s="15">
        <v>0</v>
      </c>
      <c r="H239" s="15">
        <v>0</v>
      </c>
      <c r="I239" s="15">
        <v>0</v>
      </c>
      <c r="J239" s="15">
        <v>0</v>
      </c>
      <c r="K239" s="15">
        <v>0</v>
      </c>
      <c r="L239" s="16">
        <f t="shared" si="3"/>
        <v>228</v>
      </c>
    </row>
    <row r="240" spans="1:12" x14ac:dyDescent="0.2">
      <c r="A240" s="3" t="s">
        <v>35</v>
      </c>
      <c r="C240" s="6" t="str">
        <f>"000-4280-01"</f>
        <v>000-4280-01</v>
      </c>
      <c r="D240" s="6" t="str">
        <f>"Unbilled Project Revenue"</f>
        <v>Unbilled Project Revenue</v>
      </c>
      <c r="E240" s="15">
        <v>0</v>
      </c>
      <c r="F240" s="15">
        <v>0</v>
      </c>
      <c r="G240" s="15">
        <v>0</v>
      </c>
      <c r="H240" s="15">
        <v>0</v>
      </c>
      <c r="I240" s="15">
        <v>0</v>
      </c>
      <c r="J240" s="15">
        <v>0</v>
      </c>
      <c r="K240" s="15">
        <v>0</v>
      </c>
      <c r="L240" s="16">
        <f t="shared" si="3"/>
        <v>229</v>
      </c>
    </row>
    <row r="241" spans="1:12" x14ac:dyDescent="0.2">
      <c r="A241" s="3" t="s">
        <v>35</v>
      </c>
      <c r="C241" s="6" t="str">
        <f>"000-4500-01"</f>
        <v>000-4500-01</v>
      </c>
      <c r="D241" s="6" t="str">
        <f>"Project Revenue"</f>
        <v>Project Revenue</v>
      </c>
      <c r="E241" s="15">
        <v>0</v>
      </c>
      <c r="F241" s="15">
        <v>0</v>
      </c>
      <c r="G241" s="15">
        <v>0</v>
      </c>
      <c r="H241" s="15">
        <v>0</v>
      </c>
      <c r="I241" s="15">
        <v>0</v>
      </c>
      <c r="J241" s="15">
        <v>0</v>
      </c>
      <c r="K241" s="15">
        <v>0</v>
      </c>
      <c r="L241" s="16">
        <f t="shared" si="3"/>
        <v>230</v>
      </c>
    </row>
    <row r="242" spans="1:12" x14ac:dyDescent="0.2">
      <c r="A242" s="3" t="s">
        <v>35</v>
      </c>
      <c r="C242" s="6" t="str">
        <f>"000-4510-01"</f>
        <v>000-4510-01</v>
      </c>
      <c r="D242" s="6" t="str">
        <f>"Cost of Goods Sold - Retail/Parts"</f>
        <v>Cost of Goods Sold - Retail/Parts</v>
      </c>
      <c r="E242" s="15">
        <v>413144.72</v>
      </c>
      <c r="F242" s="15">
        <v>413144.72</v>
      </c>
      <c r="G242" s="15">
        <v>413144.72</v>
      </c>
      <c r="H242" s="15">
        <v>413144.72</v>
      </c>
      <c r="I242" s="15">
        <v>413144.72</v>
      </c>
      <c r="J242" s="15">
        <v>413144.72</v>
      </c>
      <c r="K242" s="15">
        <v>413144.72</v>
      </c>
      <c r="L242" s="16">
        <f t="shared" si="3"/>
        <v>231</v>
      </c>
    </row>
    <row r="243" spans="1:12" x14ac:dyDescent="0.2">
      <c r="A243" s="3" t="s">
        <v>35</v>
      </c>
      <c r="C243" s="6" t="str">
        <f>"000-4510-02"</f>
        <v>000-4510-02</v>
      </c>
      <c r="D243" s="6" t="str">
        <f>"Cost of Goods Sold - Finished Goods"</f>
        <v>Cost of Goods Sold - Finished Goods</v>
      </c>
      <c r="E243" s="15">
        <v>38579.54</v>
      </c>
      <c r="F243" s="15">
        <v>38579.54</v>
      </c>
      <c r="G243" s="15">
        <v>38579.54</v>
      </c>
      <c r="H243" s="15">
        <v>38579.54</v>
      </c>
      <c r="I243" s="15">
        <v>38579.54</v>
      </c>
      <c r="J243" s="15">
        <v>38579.54</v>
      </c>
      <c r="K243" s="15">
        <v>38579.54</v>
      </c>
      <c r="L243" s="16">
        <f t="shared" si="3"/>
        <v>232</v>
      </c>
    </row>
    <row r="244" spans="1:12" x14ac:dyDescent="0.2">
      <c r="A244" s="3" t="s">
        <v>35</v>
      </c>
      <c r="C244" s="6" t="str">
        <f>"000-4520-01"</f>
        <v>000-4520-01</v>
      </c>
      <c r="D244" s="6" t="str">
        <f>"CoGS - Material"</f>
        <v>CoGS - Material</v>
      </c>
      <c r="E244" s="15">
        <v>0</v>
      </c>
      <c r="F244" s="15">
        <v>0</v>
      </c>
      <c r="G244" s="15">
        <v>0</v>
      </c>
      <c r="H244" s="15">
        <v>0</v>
      </c>
      <c r="I244" s="15">
        <v>0</v>
      </c>
      <c r="J244" s="15">
        <v>0</v>
      </c>
      <c r="K244" s="15">
        <v>0</v>
      </c>
      <c r="L244" s="16">
        <f t="shared" si="3"/>
        <v>233</v>
      </c>
    </row>
    <row r="245" spans="1:12" x14ac:dyDescent="0.2">
      <c r="A245" s="3" t="s">
        <v>35</v>
      </c>
      <c r="C245" s="6" t="str">
        <f>"000-4520-02"</f>
        <v>000-4520-02</v>
      </c>
      <c r="D245" s="6" t="str">
        <f>"CoGS - Material Fixed OH"</f>
        <v>CoGS - Material Fixed OH</v>
      </c>
      <c r="E245" s="15">
        <v>0</v>
      </c>
      <c r="F245" s="15">
        <v>0</v>
      </c>
      <c r="G245" s="15">
        <v>0</v>
      </c>
      <c r="H245" s="15">
        <v>0</v>
      </c>
      <c r="I245" s="15">
        <v>0</v>
      </c>
      <c r="J245" s="15">
        <v>0</v>
      </c>
      <c r="K245" s="15">
        <v>0</v>
      </c>
      <c r="L245" s="16">
        <f t="shared" si="3"/>
        <v>234</v>
      </c>
    </row>
    <row r="246" spans="1:12" x14ac:dyDescent="0.2">
      <c r="A246" s="3" t="s">
        <v>35</v>
      </c>
      <c r="C246" s="6" t="str">
        <f>"000-4520-03"</f>
        <v>000-4520-03</v>
      </c>
      <c r="D246" s="6" t="str">
        <f>"CoGS - Material Var. OH"</f>
        <v>CoGS - Material Var. OH</v>
      </c>
      <c r="E246" s="15">
        <v>0</v>
      </c>
      <c r="F246" s="15">
        <v>0</v>
      </c>
      <c r="G246" s="15">
        <v>0</v>
      </c>
      <c r="H246" s="15">
        <v>0</v>
      </c>
      <c r="I246" s="15">
        <v>0</v>
      </c>
      <c r="J246" s="15">
        <v>0</v>
      </c>
      <c r="K246" s="15">
        <v>0</v>
      </c>
      <c r="L246" s="16">
        <f t="shared" si="3"/>
        <v>235</v>
      </c>
    </row>
    <row r="247" spans="1:12" x14ac:dyDescent="0.2">
      <c r="A247" s="3" t="s">
        <v>35</v>
      </c>
      <c r="C247" s="6" t="str">
        <f>"000-4520-04"</f>
        <v>000-4520-04</v>
      </c>
      <c r="D247" s="6" t="str">
        <f>"CoGS - Labor"</f>
        <v>CoGS - Labor</v>
      </c>
      <c r="E247" s="15">
        <v>0</v>
      </c>
      <c r="F247" s="15">
        <v>0</v>
      </c>
      <c r="G247" s="15">
        <v>0</v>
      </c>
      <c r="H247" s="15">
        <v>0</v>
      </c>
      <c r="I247" s="15">
        <v>0</v>
      </c>
      <c r="J247" s="15">
        <v>0</v>
      </c>
      <c r="K247" s="15">
        <v>0</v>
      </c>
      <c r="L247" s="16">
        <f t="shared" si="3"/>
        <v>236</v>
      </c>
    </row>
    <row r="248" spans="1:12" x14ac:dyDescent="0.2">
      <c r="A248" s="3" t="s">
        <v>35</v>
      </c>
      <c r="C248" s="6" t="str">
        <f>"000-4520-05"</f>
        <v>000-4520-05</v>
      </c>
      <c r="D248" s="6" t="str">
        <f>"CoGS - Labor Fixed OH"</f>
        <v>CoGS - Labor Fixed OH</v>
      </c>
      <c r="E248" s="15">
        <v>0</v>
      </c>
      <c r="F248" s="15">
        <v>0</v>
      </c>
      <c r="G248" s="15">
        <v>0</v>
      </c>
      <c r="H248" s="15">
        <v>0</v>
      </c>
      <c r="I248" s="15">
        <v>0</v>
      </c>
      <c r="J248" s="15">
        <v>0</v>
      </c>
      <c r="K248" s="15">
        <v>0</v>
      </c>
      <c r="L248" s="16">
        <f t="shared" si="3"/>
        <v>237</v>
      </c>
    </row>
    <row r="249" spans="1:12" x14ac:dyDescent="0.2">
      <c r="A249" s="3" t="s">
        <v>35</v>
      </c>
      <c r="C249" s="6" t="str">
        <f>"000-4520-06"</f>
        <v>000-4520-06</v>
      </c>
      <c r="D249" s="6" t="str">
        <f>"CoGS - Labor Var. OH"</f>
        <v>CoGS - Labor Var. OH</v>
      </c>
      <c r="E249" s="15">
        <v>0</v>
      </c>
      <c r="F249" s="15">
        <v>0</v>
      </c>
      <c r="G249" s="15">
        <v>0</v>
      </c>
      <c r="H249" s="15">
        <v>0</v>
      </c>
      <c r="I249" s="15">
        <v>0</v>
      </c>
      <c r="J249" s="15">
        <v>0</v>
      </c>
      <c r="K249" s="15">
        <v>0</v>
      </c>
      <c r="L249" s="16">
        <f t="shared" si="3"/>
        <v>238</v>
      </c>
    </row>
    <row r="250" spans="1:12" x14ac:dyDescent="0.2">
      <c r="A250" s="3" t="s">
        <v>35</v>
      </c>
      <c r="C250" s="6" t="str">
        <f>"000-4520-07"</f>
        <v>000-4520-07</v>
      </c>
      <c r="D250" s="6" t="str">
        <f>"CoGS - Machine"</f>
        <v>CoGS - Machine</v>
      </c>
      <c r="E250" s="15">
        <v>0</v>
      </c>
      <c r="F250" s="15">
        <v>0</v>
      </c>
      <c r="G250" s="15">
        <v>0</v>
      </c>
      <c r="H250" s="15">
        <v>0</v>
      </c>
      <c r="I250" s="15">
        <v>0</v>
      </c>
      <c r="J250" s="15">
        <v>0</v>
      </c>
      <c r="K250" s="15">
        <v>0</v>
      </c>
      <c r="L250" s="16">
        <f t="shared" si="3"/>
        <v>239</v>
      </c>
    </row>
    <row r="251" spans="1:12" x14ac:dyDescent="0.2">
      <c r="A251" s="3" t="s">
        <v>35</v>
      </c>
      <c r="C251" s="6" t="str">
        <f>"000-4520-08"</f>
        <v>000-4520-08</v>
      </c>
      <c r="D251" s="6" t="str">
        <f>"CoGS - Machine Fixed OH"</f>
        <v>CoGS - Machine Fixed OH</v>
      </c>
      <c r="E251" s="15">
        <v>0</v>
      </c>
      <c r="F251" s="15">
        <v>0</v>
      </c>
      <c r="G251" s="15">
        <v>0</v>
      </c>
      <c r="H251" s="15">
        <v>0</v>
      </c>
      <c r="I251" s="15">
        <v>0</v>
      </c>
      <c r="J251" s="15">
        <v>0</v>
      </c>
      <c r="K251" s="15">
        <v>0</v>
      </c>
      <c r="L251" s="16">
        <f t="shared" si="3"/>
        <v>240</v>
      </c>
    </row>
    <row r="252" spans="1:12" x14ac:dyDescent="0.2">
      <c r="A252" s="3" t="s">
        <v>35</v>
      </c>
      <c r="C252" s="6" t="str">
        <f>"000-4520-09"</f>
        <v>000-4520-09</v>
      </c>
      <c r="D252" s="6" t="str">
        <f>"CoGS - Machine Var. OH"</f>
        <v>CoGS - Machine Var. OH</v>
      </c>
      <c r="E252" s="15">
        <v>0</v>
      </c>
      <c r="F252" s="15">
        <v>0</v>
      </c>
      <c r="G252" s="15">
        <v>0</v>
      </c>
      <c r="H252" s="15">
        <v>0</v>
      </c>
      <c r="I252" s="15">
        <v>0</v>
      </c>
      <c r="J252" s="15">
        <v>0</v>
      </c>
      <c r="K252" s="15">
        <v>0</v>
      </c>
      <c r="L252" s="16">
        <f t="shared" si="3"/>
        <v>241</v>
      </c>
    </row>
    <row r="253" spans="1:12" x14ac:dyDescent="0.2">
      <c r="A253" s="3" t="s">
        <v>35</v>
      </c>
      <c r="C253" s="6" t="str">
        <f>"000-4530-01"</f>
        <v>000-4530-01</v>
      </c>
      <c r="D253" s="6" t="str">
        <f>"Cost of Goods Sold/Expense"</f>
        <v>Cost of Goods Sold/Expense</v>
      </c>
      <c r="E253" s="15">
        <v>0</v>
      </c>
      <c r="F253" s="15">
        <v>0</v>
      </c>
      <c r="G253" s="15">
        <v>0</v>
      </c>
      <c r="H253" s="15">
        <v>0</v>
      </c>
      <c r="I253" s="15">
        <v>0</v>
      </c>
      <c r="J253" s="15">
        <v>0</v>
      </c>
      <c r="K253" s="15">
        <v>0</v>
      </c>
      <c r="L253" s="16">
        <f t="shared" si="3"/>
        <v>242</v>
      </c>
    </row>
    <row r="254" spans="1:12" x14ac:dyDescent="0.2">
      <c r="A254" s="3" t="s">
        <v>35</v>
      </c>
      <c r="C254" s="6" t="str">
        <f>"000-4600-00"</f>
        <v>000-4600-00</v>
      </c>
      <c r="D254" s="6" t="str">
        <f>"Purchases Discounts Taken"</f>
        <v>Purchases Discounts Taken</v>
      </c>
      <c r="E254" s="15">
        <v>-229.57</v>
      </c>
      <c r="F254" s="15">
        <v>-229.57</v>
      </c>
      <c r="G254" s="15">
        <v>-229.57</v>
      </c>
      <c r="H254" s="15">
        <v>-229.57</v>
      </c>
      <c r="I254" s="15">
        <v>-229.57</v>
      </c>
      <c r="J254" s="15">
        <v>-229.57</v>
      </c>
      <c r="K254" s="15">
        <v>-229.57</v>
      </c>
      <c r="L254" s="16">
        <f t="shared" si="3"/>
        <v>243</v>
      </c>
    </row>
    <row r="255" spans="1:12" x14ac:dyDescent="0.2">
      <c r="A255" s="3" t="s">
        <v>35</v>
      </c>
      <c r="C255" s="6" t="str">
        <f>"000-4601-00"</f>
        <v>000-4601-00</v>
      </c>
      <c r="D255" s="6" t="str">
        <f>"Purchases Trade Discounts"</f>
        <v>Purchases Trade Discounts</v>
      </c>
      <c r="E255" s="15">
        <v>0</v>
      </c>
      <c r="F255" s="15">
        <v>0</v>
      </c>
      <c r="G255" s="15">
        <v>0</v>
      </c>
      <c r="H255" s="15">
        <v>0</v>
      </c>
      <c r="I255" s="15">
        <v>0</v>
      </c>
      <c r="J255" s="15">
        <v>0</v>
      </c>
      <c r="K255" s="15">
        <v>0</v>
      </c>
      <c r="L255" s="16">
        <f t="shared" si="3"/>
        <v>244</v>
      </c>
    </row>
    <row r="256" spans="1:12" x14ac:dyDescent="0.2">
      <c r="A256" s="3" t="s">
        <v>35</v>
      </c>
      <c r="C256" s="6" t="str">
        <f>"000-4700-00"</f>
        <v>000-4700-00</v>
      </c>
      <c r="D256" s="6" t="str">
        <f>"Shrinkage and Waste"</f>
        <v>Shrinkage and Waste</v>
      </c>
      <c r="E256" s="15">
        <v>24750.36</v>
      </c>
      <c r="F256" s="15">
        <v>24750.36</v>
      </c>
      <c r="G256" s="15">
        <v>24750.36</v>
      </c>
      <c r="H256" s="15">
        <v>24750.36</v>
      </c>
      <c r="I256" s="15">
        <v>24750.36</v>
      </c>
      <c r="J256" s="15">
        <v>24750.36</v>
      </c>
      <c r="K256" s="15">
        <v>24750.36</v>
      </c>
      <c r="L256" s="16">
        <f t="shared" si="3"/>
        <v>245</v>
      </c>
    </row>
    <row r="257" spans="1:12" x14ac:dyDescent="0.2">
      <c r="A257" s="3" t="s">
        <v>35</v>
      </c>
      <c r="C257" s="6" t="str">
        <f>"000-4710-00"</f>
        <v>000-4710-00</v>
      </c>
      <c r="D257" s="6" t="str">
        <f>"Freight and Handling"</f>
        <v>Freight and Handling</v>
      </c>
      <c r="E257" s="15">
        <v>11787.95</v>
      </c>
      <c r="F257" s="15">
        <v>11787.95</v>
      </c>
      <c r="G257" s="15">
        <v>11787.95</v>
      </c>
      <c r="H257" s="15">
        <v>11787.95</v>
      </c>
      <c r="I257" s="15">
        <v>11787.95</v>
      </c>
      <c r="J257" s="15">
        <v>11787.95</v>
      </c>
      <c r="K257" s="15">
        <v>11787.95</v>
      </c>
      <c r="L257" s="16">
        <f t="shared" si="3"/>
        <v>246</v>
      </c>
    </row>
    <row r="258" spans="1:12" x14ac:dyDescent="0.2">
      <c r="A258" s="3" t="s">
        <v>35</v>
      </c>
      <c r="C258" s="6" t="str">
        <f>"000-4720-00"</f>
        <v>000-4720-00</v>
      </c>
      <c r="D258" s="6" t="str">
        <f>"International Freight and Handling"</f>
        <v>International Freight and Handling</v>
      </c>
      <c r="E258" s="15">
        <v>8595.23</v>
      </c>
      <c r="F258" s="15">
        <v>8595.23</v>
      </c>
      <c r="G258" s="15">
        <v>8595.23</v>
      </c>
      <c r="H258" s="15">
        <v>8595.23</v>
      </c>
      <c r="I258" s="15">
        <v>8595.23</v>
      </c>
      <c r="J258" s="15">
        <v>8595.23</v>
      </c>
      <c r="K258" s="15">
        <v>8595.23</v>
      </c>
      <c r="L258" s="16">
        <f t="shared" si="3"/>
        <v>247</v>
      </c>
    </row>
    <row r="259" spans="1:12" x14ac:dyDescent="0.2">
      <c r="A259" s="3" t="s">
        <v>35</v>
      </c>
      <c r="C259" s="6" t="str">
        <f>"000-4730-00"</f>
        <v>000-4730-00</v>
      </c>
      <c r="D259" s="6" t="str">
        <f>"Purchase Price Variance - Unrealized"</f>
        <v>Purchase Price Variance - Unrealized</v>
      </c>
      <c r="E259" s="15">
        <v>0</v>
      </c>
      <c r="F259" s="15">
        <v>0</v>
      </c>
      <c r="G259" s="15">
        <v>0</v>
      </c>
      <c r="H259" s="15">
        <v>0</v>
      </c>
      <c r="I259" s="15">
        <v>0</v>
      </c>
      <c r="J259" s="15">
        <v>0</v>
      </c>
      <c r="K259" s="15">
        <v>0</v>
      </c>
      <c r="L259" s="16">
        <f t="shared" si="3"/>
        <v>248</v>
      </c>
    </row>
    <row r="260" spans="1:12" x14ac:dyDescent="0.2">
      <c r="A260" s="3" t="s">
        <v>35</v>
      </c>
      <c r="C260" s="6" t="str">
        <f>"000-4731-00"</f>
        <v>000-4731-00</v>
      </c>
      <c r="D260" s="6" t="str">
        <f>"Withholding offset"</f>
        <v>Withholding offset</v>
      </c>
      <c r="E260" s="15">
        <v>0</v>
      </c>
      <c r="F260" s="15">
        <v>0</v>
      </c>
      <c r="G260" s="15">
        <v>0</v>
      </c>
      <c r="H260" s="15">
        <v>0</v>
      </c>
      <c r="I260" s="15">
        <v>0</v>
      </c>
      <c r="J260" s="15">
        <v>0</v>
      </c>
      <c r="K260" s="15">
        <v>0</v>
      </c>
      <c r="L260" s="16">
        <f t="shared" si="3"/>
        <v>249</v>
      </c>
    </row>
    <row r="261" spans="1:12" x14ac:dyDescent="0.2">
      <c r="A261" s="3" t="s">
        <v>35</v>
      </c>
      <c r="C261" s="6" t="str">
        <f>"000-4740-00"</f>
        <v>000-4740-00</v>
      </c>
      <c r="D261" s="6" t="str">
        <f>"Assembly Variance"</f>
        <v>Assembly Variance</v>
      </c>
      <c r="E261" s="15">
        <v>0</v>
      </c>
      <c r="F261" s="15">
        <v>0</v>
      </c>
      <c r="G261" s="15">
        <v>0</v>
      </c>
      <c r="H261" s="15">
        <v>0</v>
      </c>
      <c r="I261" s="15">
        <v>0</v>
      </c>
      <c r="J261" s="15">
        <v>0</v>
      </c>
      <c r="K261" s="15">
        <v>0</v>
      </c>
      <c r="L261" s="16">
        <f t="shared" si="3"/>
        <v>250</v>
      </c>
    </row>
    <row r="262" spans="1:12" x14ac:dyDescent="0.2">
      <c r="A262" s="3" t="s">
        <v>35</v>
      </c>
      <c r="C262" s="6" t="str">
        <f>"000-4750-01"</f>
        <v>000-4750-01</v>
      </c>
      <c r="D262" s="6" t="str">
        <f>"Variance - Material"</f>
        <v>Variance - Material</v>
      </c>
      <c r="E262" s="15">
        <v>0</v>
      </c>
      <c r="F262" s="15">
        <v>0</v>
      </c>
      <c r="G262" s="15">
        <v>0</v>
      </c>
      <c r="H262" s="15">
        <v>0</v>
      </c>
      <c r="I262" s="15">
        <v>0</v>
      </c>
      <c r="J262" s="15">
        <v>0</v>
      </c>
      <c r="K262" s="15">
        <v>0</v>
      </c>
      <c r="L262" s="16">
        <f t="shared" si="3"/>
        <v>251</v>
      </c>
    </row>
    <row r="263" spans="1:12" x14ac:dyDescent="0.2">
      <c r="A263" s="3" t="s">
        <v>35</v>
      </c>
      <c r="C263" s="6" t="str">
        <f>"000-4750-02"</f>
        <v>000-4750-02</v>
      </c>
      <c r="D263" s="6" t="str">
        <f>"Variance - Mat. Fixed OH"</f>
        <v>Variance - Mat. Fixed OH</v>
      </c>
      <c r="E263" s="15">
        <v>0</v>
      </c>
      <c r="F263" s="15">
        <v>0</v>
      </c>
      <c r="G263" s="15">
        <v>0</v>
      </c>
      <c r="H263" s="15">
        <v>0</v>
      </c>
      <c r="I263" s="15">
        <v>0</v>
      </c>
      <c r="J263" s="15">
        <v>0</v>
      </c>
      <c r="K263" s="15">
        <v>0</v>
      </c>
      <c r="L263" s="16">
        <f t="shared" si="3"/>
        <v>252</v>
      </c>
    </row>
    <row r="264" spans="1:12" x14ac:dyDescent="0.2">
      <c r="A264" s="3" t="s">
        <v>35</v>
      </c>
      <c r="C264" s="6" t="str">
        <f>"000-4750-03"</f>
        <v>000-4750-03</v>
      </c>
      <c r="D264" s="6" t="str">
        <f>"Variance - Mat. Var. OH"</f>
        <v>Variance - Mat. Var. OH</v>
      </c>
      <c r="E264" s="15">
        <v>0</v>
      </c>
      <c r="F264" s="15">
        <v>0</v>
      </c>
      <c r="G264" s="15">
        <v>0</v>
      </c>
      <c r="H264" s="15">
        <v>0</v>
      </c>
      <c r="I264" s="15">
        <v>0</v>
      </c>
      <c r="J264" s="15">
        <v>0</v>
      </c>
      <c r="K264" s="15">
        <v>0</v>
      </c>
      <c r="L264" s="16">
        <f t="shared" si="3"/>
        <v>253</v>
      </c>
    </row>
    <row r="265" spans="1:12" x14ac:dyDescent="0.2">
      <c r="A265" s="3" t="s">
        <v>35</v>
      </c>
      <c r="C265" s="6" t="str">
        <f>"000-4750-04"</f>
        <v>000-4750-04</v>
      </c>
      <c r="D265" s="6" t="str">
        <f>"Variance - Labor"</f>
        <v>Variance - Labor</v>
      </c>
      <c r="E265" s="15">
        <v>0</v>
      </c>
      <c r="F265" s="15">
        <v>0</v>
      </c>
      <c r="G265" s="15">
        <v>0</v>
      </c>
      <c r="H265" s="15">
        <v>0</v>
      </c>
      <c r="I265" s="15">
        <v>0</v>
      </c>
      <c r="J265" s="15">
        <v>0</v>
      </c>
      <c r="K265" s="15">
        <v>0</v>
      </c>
      <c r="L265" s="16">
        <f t="shared" si="3"/>
        <v>254</v>
      </c>
    </row>
    <row r="266" spans="1:12" x14ac:dyDescent="0.2">
      <c r="A266" s="3" t="s">
        <v>35</v>
      </c>
      <c r="C266" s="6" t="str">
        <f>"000-4750-05"</f>
        <v>000-4750-05</v>
      </c>
      <c r="D266" s="6" t="str">
        <f>"Variance - Labor Fixed OH"</f>
        <v>Variance - Labor Fixed OH</v>
      </c>
      <c r="E266" s="15">
        <v>0</v>
      </c>
      <c r="F266" s="15">
        <v>0</v>
      </c>
      <c r="G266" s="15">
        <v>0</v>
      </c>
      <c r="H266" s="15">
        <v>0</v>
      </c>
      <c r="I266" s="15">
        <v>0</v>
      </c>
      <c r="J266" s="15">
        <v>0</v>
      </c>
      <c r="K266" s="15">
        <v>0</v>
      </c>
      <c r="L266" s="16">
        <f t="shared" si="3"/>
        <v>255</v>
      </c>
    </row>
    <row r="267" spans="1:12" x14ac:dyDescent="0.2">
      <c r="A267" s="3" t="s">
        <v>35</v>
      </c>
      <c r="C267" s="6" t="str">
        <f>"000-4750-06"</f>
        <v>000-4750-06</v>
      </c>
      <c r="D267" s="6" t="str">
        <f>"Variance - Labor Var. OH"</f>
        <v>Variance - Labor Var. OH</v>
      </c>
      <c r="E267" s="15">
        <v>0</v>
      </c>
      <c r="F267" s="15">
        <v>0</v>
      </c>
      <c r="G267" s="15">
        <v>0</v>
      </c>
      <c r="H267" s="15">
        <v>0</v>
      </c>
      <c r="I267" s="15">
        <v>0</v>
      </c>
      <c r="J267" s="15">
        <v>0</v>
      </c>
      <c r="K267" s="15">
        <v>0</v>
      </c>
      <c r="L267" s="16">
        <f t="shared" si="3"/>
        <v>256</v>
      </c>
    </row>
    <row r="268" spans="1:12" x14ac:dyDescent="0.2">
      <c r="A268" s="3" t="s">
        <v>35</v>
      </c>
      <c r="C268" s="6" t="str">
        <f>"000-4750-07"</f>
        <v>000-4750-07</v>
      </c>
      <c r="D268" s="6" t="str">
        <f>"Variance - Machine"</f>
        <v>Variance - Machine</v>
      </c>
      <c r="E268" s="15">
        <v>0</v>
      </c>
      <c r="F268" s="15">
        <v>0</v>
      </c>
      <c r="G268" s="15">
        <v>0</v>
      </c>
      <c r="H268" s="15">
        <v>0</v>
      </c>
      <c r="I268" s="15">
        <v>0</v>
      </c>
      <c r="J268" s="15">
        <v>0</v>
      </c>
      <c r="K268" s="15">
        <v>0</v>
      </c>
      <c r="L268" s="16">
        <f t="shared" si="3"/>
        <v>257</v>
      </c>
    </row>
    <row r="269" spans="1:12" x14ac:dyDescent="0.2">
      <c r="A269" s="3" t="s">
        <v>35</v>
      </c>
      <c r="C269" s="6" t="str">
        <f>"000-4750-08"</f>
        <v>000-4750-08</v>
      </c>
      <c r="D269" s="6" t="str">
        <f>"Variance - Mach. Fixed OH"</f>
        <v>Variance - Mach. Fixed OH</v>
      </c>
      <c r="E269" s="15">
        <v>0</v>
      </c>
      <c r="F269" s="15">
        <v>0</v>
      </c>
      <c r="G269" s="15">
        <v>0</v>
      </c>
      <c r="H269" s="15">
        <v>0</v>
      </c>
      <c r="I269" s="15">
        <v>0</v>
      </c>
      <c r="J269" s="15">
        <v>0</v>
      </c>
      <c r="K269" s="15">
        <v>0</v>
      </c>
      <c r="L269" s="16">
        <f t="shared" ref="L269:L332" si="4">L268+1</f>
        <v>258</v>
      </c>
    </row>
    <row r="270" spans="1:12" x14ac:dyDescent="0.2">
      <c r="A270" s="3" t="s">
        <v>35</v>
      </c>
      <c r="C270" s="6" t="str">
        <f>"000-4750-09"</f>
        <v>000-4750-09</v>
      </c>
      <c r="D270" s="6" t="str">
        <f>"Variance - Mach. Var OH"</f>
        <v>Variance - Mach. Var OH</v>
      </c>
      <c r="E270" s="15">
        <v>0</v>
      </c>
      <c r="F270" s="15">
        <v>0</v>
      </c>
      <c r="G270" s="15">
        <v>0</v>
      </c>
      <c r="H270" s="15">
        <v>0</v>
      </c>
      <c r="I270" s="15">
        <v>0</v>
      </c>
      <c r="J270" s="15">
        <v>0</v>
      </c>
      <c r="K270" s="15">
        <v>0</v>
      </c>
      <c r="L270" s="16">
        <f t="shared" si="4"/>
        <v>259</v>
      </c>
    </row>
    <row r="271" spans="1:12" x14ac:dyDescent="0.2">
      <c r="A271" s="3" t="s">
        <v>35</v>
      </c>
      <c r="C271" s="6" t="str">
        <f>"000-4800-00"</f>
        <v>000-4800-00</v>
      </c>
      <c r="D271" s="6" t="str">
        <f>"Overhead"</f>
        <v>Overhead</v>
      </c>
      <c r="E271" s="15">
        <v>0</v>
      </c>
      <c r="F271" s="15">
        <v>0</v>
      </c>
      <c r="G271" s="15">
        <v>0</v>
      </c>
      <c r="H271" s="15">
        <v>0</v>
      </c>
      <c r="I271" s="15">
        <v>0</v>
      </c>
      <c r="J271" s="15">
        <v>0</v>
      </c>
      <c r="K271" s="15">
        <v>0</v>
      </c>
      <c r="L271" s="16">
        <f t="shared" si="4"/>
        <v>260</v>
      </c>
    </row>
    <row r="272" spans="1:12" x14ac:dyDescent="0.2">
      <c r="A272" s="3" t="s">
        <v>35</v>
      </c>
      <c r="C272" s="6" t="str">
        <f>"000-5100-00"</f>
        <v>000-5100-00</v>
      </c>
      <c r="D272" s="6" t="str">
        <f>"Salaries and Wages"</f>
        <v>Salaries and Wages</v>
      </c>
      <c r="E272" s="15">
        <v>264548.64</v>
      </c>
      <c r="F272" s="15">
        <v>293750.31</v>
      </c>
      <c r="G272" s="15">
        <v>322782.15000000002</v>
      </c>
      <c r="H272" s="15">
        <v>352692.7</v>
      </c>
      <c r="I272" s="15">
        <v>382198.94</v>
      </c>
      <c r="J272" s="15">
        <v>410621.38</v>
      </c>
      <c r="K272" s="15">
        <v>440121.86</v>
      </c>
      <c r="L272" s="16">
        <f t="shared" si="4"/>
        <v>261</v>
      </c>
    </row>
    <row r="273" spans="1:12" x14ac:dyDescent="0.2">
      <c r="A273" s="3" t="s">
        <v>35</v>
      </c>
      <c r="C273" s="6" t="str">
        <f>"000-5200-00"</f>
        <v>000-5200-00</v>
      </c>
      <c r="D273" s="6" t="str">
        <f>"CPP Expense"</f>
        <v>CPP Expense</v>
      </c>
      <c r="E273" s="15">
        <v>0</v>
      </c>
      <c r="F273" s="15">
        <v>0</v>
      </c>
      <c r="G273" s="15">
        <v>0</v>
      </c>
      <c r="H273" s="15">
        <v>0</v>
      </c>
      <c r="I273" s="15">
        <v>0</v>
      </c>
      <c r="J273" s="15">
        <v>0</v>
      </c>
      <c r="K273" s="15">
        <v>0</v>
      </c>
      <c r="L273" s="16">
        <f t="shared" si="4"/>
        <v>262</v>
      </c>
    </row>
    <row r="274" spans="1:12" x14ac:dyDescent="0.2">
      <c r="A274" s="3" t="s">
        <v>35</v>
      </c>
      <c r="C274" s="6" t="str">
        <f>"000-5210-00"</f>
        <v>000-5210-00</v>
      </c>
      <c r="D274" s="6" t="str">
        <f>"QPP Expense"</f>
        <v>QPP Expense</v>
      </c>
      <c r="E274" s="15">
        <v>0</v>
      </c>
      <c r="F274" s="15">
        <v>0</v>
      </c>
      <c r="G274" s="15">
        <v>0</v>
      </c>
      <c r="H274" s="15">
        <v>0</v>
      </c>
      <c r="I274" s="15">
        <v>0</v>
      </c>
      <c r="J274" s="15">
        <v>0</v>
      </c>
      <c r="K274" s="15">
        <v>0</v>
      </c>
      <c r="L274" s="16">
        <f t="shared" si="4"/>
        <v>263</v>
      </c>
    </row>
    <row r="275" spans="1:12" x14ac:dyDescent="0.2">
      <c r="A275" s="3" t="s">
        <v>35</v>
      </c>
      <c r="C275" s="6" t="str">
        <f>"000-5220-00"</f>
        <v>000-5220-00</v>
      </c>
      <c r="D275" s="6" t="str">
        <f>"UIC Expense"</f>
        <v>UIC Expense</v>
      </c>
      <c r="E275" s="15">
        <v>0</v>
      </c>
      <c r="F275" s="15">
        <v>0</v>
      </c>
      <c r="G275" s="15">
        <v>0</v>
      </c>
      <c r="H275" s="15">
        <v>0</v>
      </c>
      <c r="I275" s="15">
        <v>0</v>
      </c>
      <c r="J275" s="15">
        <v>0</v>
      </c>
      <c r="K275" s="15">
        <v>0</v>
      </c>
      <c r="L275" s="16">
        <f t="shared" si="4"/>
        <v>264</v>
      </c>
    </row>
    <row r="276" spans="1:12" x14ac:dyDescent="0.2">
      <c r="A276" s="3" t="s">
        <v>35</v>
      </c>
      <c r="C276" s="6" t="str">
        <f>"000-5300-00"</f>
        <v>000-5300-00</v>
      </c>
      <c r="D276" s="6" t="str">
        <f>"SUTA Tax Expense"</f>
        <v>SUTA Tax Expense</v>
      </c>
      <c r="E276" s="15">
        <v>0</v>
      </c>
      <c r="F276" s="15">
        <v>0</v>
      </c>
      <c r="G276" s="15">
        <v>0</v>
      </c>
      <c r="H276" s="15">
        <v>0</v>
      </c>
      <c r="I276" s="15">
        <v>0</v>
      </c>
      <c r="J276" s="15">
        <v>0</v>
      </c>
      <c r="K276" s="15">
        <v>0</v>
      </c>
      <c r="L276" s="16">
        <f t="shared" si="4"/>
        <v>265</v>
      </c>
    </row>
    <row r="277" spans="1:12" x14ac:dyDescent="0.2">
      <c r="A277" s="3" t="s">
        <v>35</v>
      </c>
      <c r="C277" s="6" t="str">
        <f>"000-5400-00"</f>
        <v>000-5400-00</v>
      </c>
      <c r="D277" s="6" t="str">
        <f>"FUTA Tax Expense"</f>
        <v>FUTA Tax Expense</v>
      </c>
      <c r="E277" s="15">
        <v>0</v>
      </c>
      <c r="F277" s="15">
        <v>0</v>
      </c>
      <c r="G277" s="15">
        <v>0</v>
      </c>
      <c r="H277" s="15">
        <v>0</v>
      </c>
      <c r="I277" s="15">
        <v>0</v>
      </c>
      <c r="J277" s="15">
        <v>0</v>
      </c>
      <c r="K277" s="15">
        <v>0</v>
      </c>
      <c r="L277" s="16">
        <f t="shared" si="4"/>
        <v>266</v>
      </c>
    </row>
    <row r="278" spans="1:12" x14ac:dyDescent="0.2">
      <c r="A278" s="3" t="s">
        <v>35</v>
      </c>
      <c r="C278" s="6" t="str">
        <f>"000-5500-00"</f>
        <v>000-5500-00</v>
      </c>
      <c r="D278" s="6" t="str">
        <f>"Workers Compensation Tax Expense"</f>
        <v>Workers Compensation Tax Expense</v>
      </c>
      <c r="E278" s="15">
        <v>0</v>
      </c>
      <c r="F278" s="15">
        <v>0</v>
      </c>
      <c r="G278" s="15">
        <v>0</v>
      </c>
      <c r="H278" s="15">
        <v>0</v>
      </c>
      <c r="I278" s="15">
        <v>0</v>
      </c>
      <c r="J278" s="15">
        <v>0</v>
      </c>
      <c r="K278" s="15">
        <v>0</v>
      </c>
      <c r="L278" s="16">
        <f t="shared" si="4"/>
        <v>267</v>
      </c>
    </row>
    <row r="279" spans="1:12" x14ac:dyDescent="0.2">
      <c r="A279" s="3" t="s">
        <v>35</v>
      </c>
      <c r="C279" s="6" t="str">
        <f>"000-5615-00"</f>
        <v>000-5615-00</v>
      </c>
      <c r="D279" s="6" t="str">
        <f>"Floor Stock Expense"</f>
        <v>Floor Stock Expense</v>
      </c>
      <c r="E279" s="15">
        <v>0</v>
      </c>
      <c r="F279" s="15">
        <v>0</v>
      </c>
      <c r="G279" s="15">
        <v>0</v>
      </c>
      <c r="H279" s="15">
        <v>0</v>
      </c>
      <c r="I279" s="15">
        <v>0</v>
      </c>
      <c r="J279" s="15">
        <v>0</v>
      </c>
      <c r="K279" s="15">
        <v>0</v>
      </c>
      <c r="L279" s="16">
        <f t="shared" si="4"/>
        <v>268</v>
      </c>
    </row>
    <row r="280" spans="1:12" x14ac:dyDescent="0.2">
      <c r="A280" s="3" t="s">
        <v>35</v>
      </c>
      <c r="C280" s="6" t="str">
        <f>"000-5700-00"</f>
        <v>000-5700-00</v>
      </c>
      <c r="D280" s="6" t="str">
        <f>"Non-Inventoried Purchase Item"</f>
        <v>Non-Inventoried Purchase Item</v>
      </c>
      <c r="E280" s="15">
        <v>0</v>
      </c>
      <c r="F280" s="15">
        <v>0</v>
      </c>
      <c r="G280" s="15">
        <v>0</v>
      </c>
      <c r="H280" s="15">
        <v>0</v>
      </c>
      <c r="I280" s="15">
        <v>0</v>
      </c>
      <c r="J280" s="15">
        <v>0</v>
      </c>
      <c r="K280" s="15">
        <v>0</v>
      </c>
      <c r="L280" s="16">
        <f t="shared" si="4"/>
        <v>269</v>
      </c>
    </row>
    <row r="281" spans="1:12" x14ac:dyDescent="0.2">
      <c r="A281" s="3" t="s">
        <v>35</v>
      </c>
      <c r="C281" s="6" t="str">
        <f>"000-6170-04"</f>
        <v>000-6170-04</v>
      </c>
      <c r="D281" s="6" t="str">
        <f>"Repairs &amp; Maintenance Expense-Staff"</f>
        <v>Repairs &amp; Maintenance Expense-Staff</v>
      </c>
      <c r="E281" s="15">
        <v>0</v>
      </c>
      <c r="F281" s="15">
        <v>0</v>
      </c>
      <c r="G281" s="15">
        <v>0</v>
      </c>
      <c r="H281" s="15">
        <v>0</v>
      </c>
      <c r="I281" s="15">
        <v>0</v>
      </c>
      <c r="J281" s="15">
        <v>0</v>
      </c>
      <c r="K281" s="15">
        <v>0</v>
      </c>
      <c r="L281" s="16">
        <f t="shared" si="4"/>
        <v>270</v>
      </c>
    </row>
    <row r="282" spans="1:12" x14ac:dyDescent="0.2">
      <c r="A282" s="3" t="s">
        <v>35</v>
      </c>
      <c r="C282" s="6" t="str">
        <f>"000-6170-05"</f>
        <v>000-6170-05</v>
      </c>
      <c r="D282" s="6" t="str">
        <f>"Repairs &amp; Maintenance Expense-Line"</f>
        <v>Repairs &amp; Maintenance Expense-Line</v>
      </c>
      <c r="E282" s="15">
        <v>0</v>
      </c>
      <c r="F282" s="15">
        <v>0</v>
      </c>
      <c r="G282" s="15">
        <v>0</v>
      </c>
      <c r="H282" s="15">
        <v>0</v>
      </c>
      <c r="I282" s="15">
        <v>0</v>
      </c>
      <c r="J282" s="15">
        <v>0</v>
      </c>
      <c r="K282" s="15">
        <v>0</v>
      </c>
      <c r="L282" s="16">
        <f t="shared" si="4"/>
        <v>271</v>
      </c>
    </row>
    <row r="283" spans="1:12" x14ac:dyDescent="0.2">
      <c r="A283" s="3" t="s">
        <v>35</v>
      </c>
      <c r="C283" s="6" t="str">
        <f>"000-6180-00"</f>
        <v>000-6180-00</v>
      </c>
      <c r="D283" s="6" t="str">
        <f>"Rent Expense"</f>
        <v>Rent Expense</v>
      </c>
      <c r="E283" s="15">
        <v>0</v>
      </c>
      <c r="F283" s="15">
        <v>0</v>
      </c>
      <c r="G283" s="15">
        <v>0</v>
      </c>
      <c r="H283" s="15">
        <v>0</v>
      </c>
      <c r="I283" s="15">
        <v>0</v>
      </c>
      <c r="J283" s="15">
        <v>0</v>
      </c>
      <c r="K283" s="15">
        <v>0</v>
      </c>
      <c r="L283" s="16">
        <f t="shared" si="4"/>
        <v>272</v>
      </c>
    </row>
    <row r="284" spans="1:12" x14ac:dyDescent="0.2">
      <c r="A284" s="3" t="s">
        <v>35</v>
      </c>
      <c r="C284" s="6" t="str">
        <f>"000-6190-00"</f>
        <v>000-6190-00</v>
      </c>
      <c r="D284" s="6" t="str">
        <f>"Utilities Expense"</f>
        <v>Utilities Expense</v>
      </c>
      <c r="E284" s="15">
        <v>0</v>
      </c>
      <c r="F284" s="15">
        <v>0</v>
      </c>
      <c r="G284" s="15">
        <v>0</v>
      </c>
      <c r="H284" s="15">
        <v>0</v>
      </c>
      <c r="I284" s="15">
        <v>0</v>
      </c>
      <c r="J284" s="15">
        <v>0</v>
      </c>
      <c r="K284" s="15">
        <v>0</v>
      </c>
      <c r="L284" s="16">
        <f t="shared" si="4"/>
        <v>273</v>
      </c>
    </row>
    <row r="285" spans="1:12" x14ac:dyDescent="0.2">
      <c r="A285" s="3" t="s">
        <v>35</v>
      </c>
      <c r="C285" s="6" t="str">
        <f>"000-6200-00"</f>
        <v>000-6200-00</v>
      </c>
      <c r="D285" s="6" t="str">
        <f>"Depreciation Expense - Furniture &amp; Fixtures"</f>
        <v>Depreciation Expense - Furniture &amp; Fixtures</v>
      </c>
      <c r="E285" s="15">
        <v>3624.64</v>
      </c>
      <c r="F285" s="15">
        <v>3624.64</v>
      </c>
      <c r="G285" s="15">
        <v>3624.64</v>
      </c>
      <c r="H285" s="15">
        <v>3624.64</v>
      </c>
      <c r="I285" s="15">
        <v>3624.64</v>
      </c>
      <c r="J285" s="15">
        <v>3624.64</v>
      </c>
      <c r="K285" s="15">
        <v>3624.64</v>
      </c>
      <c r="L285" s="16">
        <f t="shared" si="4"/>
        <v>274</v>
      </c>
    </row>
    <row r="286" spans="1:12" x14ac:dyDescent="0.2">
      <c r="A286" s="3" t="s">
        <v>35</v>
      </c>
      <c r="C286" s="6" t="str">
        <f>"000-6210-00"</f>
        <v>000-6210-00</v>
      </c>
      <c r="D286" s="6" t="str">
        <f>"Depreciation Expense - Computer Equipment"</f>
        <v>Depreciation Expense - Computer Equipment</v>
      </c>
      <c r="E286" s="15">
        <v>1888.43</v>
      </c>
      <c r="F286" s="15">
        <v>1888.43</v>
      </c>
      <c r="G286" s="15">
        <v>1888.43</v>
      </c>
      <c r="H286" s="15">
        <v>1888.43</v>
      </c>
      <c r="I286" s="15">
        <v>1888.43</v>
      </c>
      <c r="J286" s="15">
        <v>1888.43</v>
      </c>
      <c r="K286" s="15">
        <v>1888.43</v>
      </c>
      <c r="L286" s="16">
        <f t="shared" si="4"/>
        <v>275</v>
      </c>
    </row>
    <row r="287" spans="1:12" x14ac:dyDescent="0.2">
      <c r="A287" s="3" t="s">
        <v>35</v>
      </c>
      <c r="C287" s="6" t="str">
        <f>"000-6220-00"</f>
        <v>000-6220-00</v>
      </c>
      <c r="D287" s="6" t="str">
        <f>"Depreciation Expense - Machinery &amp; Equipment"</f>
        <v>Depreciation Expense - Machinery &amp; Equipment</v>
      </c>
      <c r="E287" s="15">
        <v>14098.84</v>
      </c>
      <c r="F287" s="15">
        <v>14098.84</v>
      </c>
      <c r="G287" s="15">
        <v>14098.84</v>
      </c>
      <c r="H287" s="15">
        <v>14098.84</v>
      </c>
      <c r="I287" s="15">
        <v>14098.84</v>
      </c>
      <c r="J287" s="15">
        <v>14098.84</v>
      </c>
      <c r="K287" s="15">
        <v>14098.84</v>
      </c>
      <c r="L287" s="16">
        <f t="shared" si="4"/>
        <v>276</v>
      </c>
    </row>
    <row r="288" spans="1:12" x14ac:dyDescent="0.2">
      <c r="A288" s="3" t="s">
        <v>35</v>
      </c>
      <c r="C288" s="6" t="str">
        <f>"000-6230-00"</f>
        <v>000-6230-00</v>
      </c>
      <c r="D288" s="6" t="str">
        <f>"Depreciation Expense - Fleet Vehicles"</f>
        <v>Depreciation Expense - Fleet Vehicles</v>
      </c>
      <c r="E288" s="15">
        <v>833.33</v>
      </c>
      <c r="F288" s="15">
        <v>833.33</v>
      </c>
      <c r="G288" s="15">
        <v>833.33</v>
      </c>
      <c r="H288" s="15">
        <v>833.33</v>
      </c>
      <c r="I288" s="15">
        <v>833.33</v>
      </c>
      <c r="J288" s="15">
        <v>833.33</v>
      </c>
      <c r="K288" s="15">
        <v>833.33</v>
      </c>
      <c r="L288" s="16">
        <f t="shared" si="4"/>
        <v>277</v>
      </c>
    </row>
    <row r="289" spans="1:12" x14ac:dyDescent="0.2">
      <c r="A289" s="3" t="s">
        <v>35</v>
      </c>
      <c r="C289" s="6" t="str">
        <f>"000-6300-00"</f>
        <v>000-6300-00</v>
      </c>
      <c r="D289" s="6" t="str">
        <f>"Amortization - Software"</f>
        <v>Amortization - Software</v>
      </c>
      <c r="E289" s="15">
        <v>982.92</v>
      </c>
      <c r="F289" s="15">
        <v>982.92</v>
      </c>
      <c r="G289" s="15">
        <v>982.92</v>
      </c>
      <c r="H289" s="15">
        <v>982.92</v>
      </c>
      <c r="I289" s="15">
        <v>982.92</v>
      </c>
      <c r="J289" s="15">
        <v>982.92</v>
      </c>
      <c r="K289" s="15">
        <v>982.92</v>
      </c>
      <c r="L289" s="16">
        <f t="shared" si="4"/>
        <v>278</v>
      </c>
    </row>
    <row r="290" spans="1:12" x14ac:dyDescent="0.2">
      <c r="A290" s="3" t="s">
        <v>35</v>
      </c>
      <c r="C290" s="6" t="str">
        <f>"000-6400-00"</f>
        <v>000-6400-00</v>
      </c>
      <c r="D290" s="6" t="str">
        <f>"Life Insurance - Administration"</f>
        <v>Life Insurance - Administration</v>
      </c>
      <c r="E290" s="15">
        <v>133.97999999999999</v>
      </c>
      <c r="F290" s="15">
        <v>133.97999999999999</v>
      </c>
      <c r="G290" s="15">
        <v>133.97999999999999</v>
      </c>
      <c r="H290" s="15">
        <v>133.97999999999999</v>
      </c>
      <c r="I290" s="15">
        <v>133.97999999999999</v>
      </c>
      <c r="J290" s="15">
        <v>133.97999999999999</v>
      </c>
      <c r="K290" s="15">
        <v>133.97999999999999</v>
      </c>
      <c r="L290" s="16">
        <f t="shared" si="4"/>
        <v>279</v>
      </c>
    </row>
    <row r="291" spans="1:12" x14ac:dyDescent="0.2">
      <c r="A291" s="3" t="s">
        <v>35</v>
      </c>
      <c r="C291" s="6" t="str">
        <f>"000-6410-00"</f>
        <v>000-6410-00</v>
      </c>
      <c r="D291" s="6" t="str">
        <f>"Vehicle Insurance"</f>
        <v>Vehicle Insurance</v>
      </c>
      <c r="E291" s="15">
        <v>569.5</v>
      </c>
      <c r="F291" s="15">
        <v>569.5</v>
      </c>
      <c r="G291" s="15">
        <v>569.5</v>
      </c>
      <c r="H291" s="15">
        <v>569.5</v>
      </c>
      <c r="I291" s="15">
        <v>569.5</v>
      </c>
      <c r="J291" s="15">
        <v>569.5</v>
      </c>
      <c r="K291" s="15">
        <v>569.5</v>
      </c>
      <c r="L291" s="16">
        <f t="shared" si="4"/>
        <v>280</v>
      </c>
    </row>
    <row r="292" spans="1:12" x14ac:dyDescent="0.2">
      <c r="A292" s="3" t="s">
        <v>35</v>
      </c>
      <c r="C292" s="6" t="str">
        <f>"000-6420-00"</f>
        <v>000-6420-00</v>
      </c>
      <c r="D292" s="6" t="str">
        <f>"Liability Insurance"</f>
        <v>Liability Insurance</v>
      </c>
      <c r="E292" s="15">
        <v>1270.83</v>
      </c>
      <c r="F292" s="15">
        <v>1270.83</v>
      </c>
      <c r="G292" s="15">
        <v>1270.83</v>
      </c>
      <c r="H292" s="15">
        <v>1270.83</v>
      </c>
      <c r="I292" s="15">
        <v>1270.83</v>
      </c>
      <c r="J292" s="15">
        <v>1270.83</v>
      </c>
      <c r="K292" s="15">
        <v>1270.83</v>
      </c>
      <c r="L292" s="16">
        <f t="shared" si="4"/>
        <v>281</v>
      </c>
    </row>
    <row r="293" spans="1:12" x14ac:dyDescent="0.2">
      <c r="A293" s="3" t="s">
        <v>35</v>
      </c>
      <c r="C293" s="6" t="str">
        <f>"000-6430-00"</f>
        <v>000-6430-00</v>
      </c>
      <c r="D293" s="6" t="str">
        <f>"Casualty Insurance"</f>
        <v>Casualty Insurance</v>
      </c>
      <c r="E293" s="15">
        <v>888.1</v>
      </c>
      <c r="F293" s="15">
        <v>888.1</v>
      </c>
      <c r="G293" s="15">
        <v>888.1</v>
      </c>
      <c r="H293" s="15">
        <v>888.1</v>
      </c>
      <c r="I293" s="15">
        <v>888.1</v>
      </c>
      <c r="J293" s="15">
        <v>888.1</v>
      </c>
      <c r="K293" s="15">
        <v>888.1</v>
      </c>
      <c r="L293" s="16">
        <f t="shared" si="4"/>
        <v>282</v>
      </c>
    </row>
    <row r="294" spans="1:12" x14ac:dyDescent="0.2">
      <c r="A294" s="3" t="s">
        <v>35</v>
      </c>
      <c r="C294" s="6" t="str">
        <f>"000-6500-04"</f>
        <v>000-6500-04</v>
      </c>
      <c r="D294" s="6" t="str">
        <f>"Postage/Freight Expense-Staff"</f>
        <v>Postage/Freight Expense-Staff</v>
      </c>
      <c r="E294" s="15">
        <v>0</v>
      </c>
      <c r="F294" s="15">
        <v>0</v>
      </c>
      <c r="G294" s="15">
        <v>0</v>
      </c>
      <c r="H294" s="15">
        <v>0</v>
      </c>
      <c r="I294" s="15">
        <v>0</v>
      </c>
      <c r="J294" s="15">
        <v>0</v>
      </c>
      <c r="K294" s="15">
        <v>0</v>
      </c>
      <c r="L294" s="16">
        <f t="shared" si="4"/>
        <v>283</v>
      </c>
    </row>
    <row r="295" spans="1:12" x14ac:dyDescent="0.2">
      <c r="A295" s="3" t="s">
        <v>35</v>
      </c>
      <c r="C295" s="6" t="str">
        <f>"000-6500-05"</f>
        <v>000-6500-05</v>
      </c>
      <c r="D295" s="6" t="str">
        <f>"Postage/Freight Expense-Line"</f>
        <v>Postage/Freight Expense-Line</v>
      </c>
      <c r="E295" s="15">
        <v>0</v>
      </c>
      <c r="F295" s="15">
        <v>0</v>
      </c>
      <c r="G295" s="15">
        <v>0</v>
      </c>
      <c r="H295" s="15">
        <v>0</v>
      </c>
      <c r="I295" s="15">
        <v>0</v>
      </c>
      <c r="J295" s="15">
        <v>0</v>
      </c>
      <c r="K295" s="15">
        <v>0</v>
      </c>
      <c r="L295" s="16">
        <f t="shared" si="4"/>
        <v>284</v>
      </c>
    </row>
    <row r="296" spans="1:12" x14ac:dyDescent="0.2">
      <c r="A296" s="3" t="s">
        <v>35</v>
      </c>
      <c r="C296" s="6" t="str">
        <f>"000-6600-00"</f>
        <v>000-6600-00</v>
      </c>
      <c r="D296" s="6" t="str">
        <f>"Bank Fees"</f>
        <v>Bank Fees</v>
      </c>
      <c r="E296" s="15">
        <v>275</v>
      </c>
      <c r="F296" s="15">
        <v>275</v>
      </c>
      <c r="G296" s="15">
        <v>275</v>
      </c>
      <c r="H296" s="15">
        <v>275</v>
      </c>
      <c r="I296" s="15">
        <v>275</v>
      </c>
      <c r="J296" s="15">
        <v>275</v>
      </c>
      <c r="K296" s="15">
        <v>275</v>
      </c>
      <c r="L296" s="16">
        <f t="shared" si="4"/>
        <v>285</v>
      </c>
    </row>
    <row r="297" spans="1:12" x14ac:dyDescent="0.2">
      <c r="A297" s="3" t="s">
        <v>35</v>
      </c>
      <c r="C297" s="6" t="str">
        <f>"000-6610-00"</f>
        <v>000-6610-00</v>
      </c>
      <c r="D297" s="6" t="str">
        <f>"Advertising Expense"</f>
        <v>Advertising Expense</v>
      </c>
      <c r="E297" s="15">
        <v>1150</v>
      </c>
      <c r="F297" s="15">
        <v>1150</v>
      </c>
      <c r="G297" s="15">
        <v>1150</v>
      </c>
      <c r="H297" s="15">
        <v>1150</v>
      </c>
      <c r="I297" s="15">
        <v>1150</v>
      </c>
      <c r="J297" s="15">
        <v>1150</v>
      </c>
      <c r="K297" s="15">
        <v>1150</v>
      </c>
      <c r="L297" s="16">
        <f t="shared" si="4"/>
        <v>286</v>
      </c>
    </row>
    <row r="298" spans="1:12" x14ac:dyDescent="0.2">
      <c r="A298" s="3" t="s">
        <v>35</v>
      </c>
      <c r="C298" s="6" t="str">
        <f>"000-6620-00"</f>
        <v>000-6620-00</v>
      </c>
      <c r="D298" s="6" t="str">
        <f>"Direct Mail Advertising Expense"</f>
        <v>Direct Mail Advertising Expense</v>
      </c>
      <c r="E298" s="15">
        <v>638.01</v>
      </c>
      <c r="F298" s="15">
        <v>638.01</v>
      </c>
      <c r="G298" s="15">
        <v>638.01</v>
      </c>
      <c r="H298" s="15">
        <v>638.01</v>
      </c>
      <c r="I298" s="15">
        <v>638.01</v>
      </c>
      <c r="J298" s="15">
        <v>638.01</v>
      </c>
      <c r="K298" s="15">
        <v>638.01</v>
      </c>
      <c r="L298" s="16">
        <f t="shared" si="4"/>
        <v>287</v>
      </c>
    </row>
    <row r="299" spans="1:12" x14ac:dyDescent="0.2">
      <c r="A299" s="3" t="s">
        <v>35</v>
      </c>
      <c r="C299" s="6" t="str">
        <f>"000-6630-00"</f>
        <v>000-6630-00</v>
      </c>
      <c r="D299" s="6" t="str">
        <f>"IL State Sales Tax Expense"</f>
        <v>IL State Sales Tax Expense</v>
      </c>
      <c r="E299" s="15">
        <v>120</v>
      </c>
      <c r="F299" s="15">
        <v>120</v>
      </c>
      <c r="G299" s="15">
        <v>120</v>
      </c>
      <c r="H299" s="15">
        <v>120</v>
      </c>
      <c r="I299" s="15">
        <v>120</v>
      </c>
      <c r="J299" s="15">
        <v>120</v>
      </c>
      <c r="K299" s="15">
        <v>120</v>
      </c>
      <c r="L299" s="16">
        <f t="shared" si="4"/>
        <v>288</v>
      </c>
    </row>
    <row r="300" spans="1:12" x14ac:dyDescent="0.2">
      <c r="A300" s="3" t="s">
        <v>35</v>
      </c>
      <c r="C300" s="6" t="str">
        <f>"000-6635-00"</f>
        <v>000-6635-00</v>
      </c>
      <c r="D300" s="6" t="str">
        <f>"Import Tax Expense"</f>
        <v>Import Tax Expense</v>
      </c>
      <c r="E300" s="15">
        <v>0</v>
      </c>
      <c r="F300" s="15">
        <v>0</v>
      </c>
      <c r="G300" s="15">
        <v>0</v>
      </c>
      <c r="H300" s="15">
        <v>0</v>
      </c>
      <c r="I300" s="15">
        <v>0</v>
      </c>
      <c r="J300" s="15">
        <v>0</v>
      </c>
      <c r="K300" s="15">
        <v>0</v>
      </c>
      <c r="L300" s="16">
        <f t="shared" si="4"/>
        <v>289</v>
      </c>
    </row>
    <row r="301" spans="1:12" x14ac:dyDescent="0.2">
      <c r="A301" s="3" t="s">
        <v>35</v>
      </c>
      <c r="C301" s="6" t="str">
        <f>"000-6640-00"</f>
        <v>000-6640-00</v>
      </c>
      <c r="D301" s="6" t="str">
        <f>"Chicago City Sales Tax Expense"</f>
        <v>Chicago City Sales Tax Expense</v>
      </c>
      <c r="E301" s="15">
        <v>3.73</v>
      </c>
      <c r="F301" s="15">
        <v>3.73</v>
      </c>
      <c r="G301" s="15">
        <v>3.73</v>
      </c>
      <c r="H301" s="15">
        <v>3.73</v>
      </c>
      <c r="I301" s="15">
        <v>3.73</v>
      </c>
      <c r="J301" s="15">
        <v>3.73</v>
      </c>
      <c r="K301" s="15">
        <v>3.73</v>
      </c>
      <c r="L301" s="16">
        <f t="shared" si="4"/>
        <v>290</v>
      </c>
    </row>
    <row r="302" spans="1:12" x14ac:dyDescent="0.2">
      <c r="A302" s="3" t="s">
        <v>35</v>
      </c>
      <c r="C302" s="6" t="str">
        <f>"000-6650-00"</f>
        <v>000-6650-00</v>
      </c>
      <c r="D302" s="6" t="str">
        <f>"Australia Sales Tax Expense"</f>
        <v>Australia Sales Tax Expense</v>
      </c>
      <c r="E302" s="15">
        <v>1296.9100000000001</v>
      </c>
      <c r="F302" s="15">
        <v>1296.9100000000001</v>
      </c>
      <c r="G302" s="15">
        <v>1296.9100000000001</v>
      </c>
      <c r="H302" s="15">
        <v>1296.9100000000001</v>
      </c>
      <c r="I302" s="15">
        <v>1296.9100000000001</v>
      </c>
      <c r="J302" s="15">
        <v>1296.9100000000001</v>
      </c>
      <c r="K302" s="15">
        <v>1296.9100000000001</v>
      </c>
      <c r="L302" s="16">
        <f t="shared" si="4"/>
        <v>291</v>
      </c>
    </row>
    <row r="303" spans="1:12" x14ac:dyDescent="0.2">
      <c r="A303" s="3" t="s">
        <v>35</v>
      </c>
      <c r="C303" s="6" t="str">
        <f>"000-6651-00"</f>
        <v>000-6651-00</v>
      </c>
      <c r="D303" s="6" t="str">
        <f>"PST Expense"</f>
        <v>PST Expense</v>
      </c>
      <c r="E303" s="15">
        <v>0</v>
      </c>
      <c r="F303" s="15">
        <v>0</v>
      </c>
      <c r="G303" s="15">
        <v>0</v>
      </c>
      <c r="H303" s="15">
        <v>0</v>
      </c>
      <c r="I303" s="15">
        <v>0</v>
      </c>
      <c r="J303" s="15">
        <v>0</v>
      </c>
      <c r="K303" s="15">
        <v>0</v>
      </c>
      <c r="L303" s="16">
        <f t="shared" si="4"/>
        <v>292</v>
      </c>
    </row>
    <row r="304" spans="1:12" x14ac:dyDescent="0.2">
      <c r="A304" s="3" t="s">
        <v>35</v>
      </c>
      <c r="C304" s="6" t="str">
        <f>"000-6652-00"</f>
        <v>000-6652-00</v>
      </c>
      <c r="D304" s="6" t="str">
        <f>"PPS Expense"</f>
        <v>PPS Expense</v>
      </c>
      <c r="E304" s="15">
        <v>0</v>
      </c>
      <c r="F304" s="15">
        <v>0</v>
      </c>
      <c r="G304" s="15">
        <v>0</v>
      </c>
      <c r="H304" s="15">
        <v>0</v>
      </c>
      <c r="I304" s="15">
        <v>0</v>
      </c>
      <c r="J304" s="15">
        <v>0</v>
      </c>
      <c r="K304" s="15">
        <v>0</v>
      </c>
      <c r="L304" s="16">
        <f t="shared" si="4"/>
        <v>293</v>
      </c>
    </row>
    <row r="305" spans="1:12" x14ac:dyDescent="0.2">
      <c r="A305" s="3" t="s">
        <v>35</v>
      </c>
      <c r="C305" s="6" t="str">
        <f>"000-6660-00"</f>
        <v>000-6660-00</v>
      </c>
      <c r="D305" s="6" t="str">
        <f>"PST Expense"</f>
        <v>PST Expense</v>
      </c>
      <c r="E305" s="15">
        <v>0</v>
      </c>
      <c r="F305" s="15">
        <v>0</v>
      </c>
      <c r="G305" s="15">
        <v>0</v>
      </c>
      <c r="H305" s="15">
        <v>0</v>
      </c>
      <c r="I305" s="15">
        <v>0</v>
      </c>
      <c r="J305" s="15">
        <v>0</v>
      </c>
      <c r="K305" s="15">
        <v>0</v>
      </c>
      <c r="L305" s="16">
        <f t="shared" si="4"/>
        <v>294</v>
      </c>
    </row>
    <row r="306" spans="1:12" x14ac:dyDescent="0.2">
      <c r="A306" s="3" t="s">
        <v>35</v>
      </c>
      <c r="C306" s="6" t="str">
        <f>"000-6661-00"</f>
        <v>000-6661-00</v>
      </c>
      <c r="D306" s="6" t="str">
        <f>"QST Expense"</f>
        <v>QST Expense</v>
      </c>
      <c r="E306" s="15">
        <v>0</v>
      </c>
      <c r="F306" s="15">
        <v>0</v>
      </c>
      <c r="G306" s="15">
        <v>0</v>
      </c>
      <c r="H306" s="15">
        <v>0</v>
      </c>
      <c r="I306" s="15">
        <v>0</v>
      </c>
      <c r="J306" s="15">
        <v>0</v>
      </c>
      <c r="K306" s="15">
        <v>0</v>
      </c>
      <c r="L306" s="16">
        <f t="shared" si="4"/>
        <v>295</v>
      </c>
    </row>
    <row r="307" spans="1:12" x14ac:dyDescent="0.2">
      <c r="A307" s="3" t="s">
        <v>35</v>
      </c>
      <c r="C307" s="6" t="str">
        <f>"000-6700-00"</f>
        <v>000-6700-00</v>
      </c>
      <c r="D307" s="6" t="str">
        <f>"Bad Debts Expense"</f>
        <v>Bad Debts Expense</v>
      </c>
      <c r="E307" s="15">
        <v>19445.759999999998</v>
      </c>
      <c r="F307" s="15">
        <v>19445.759999999998</v>
      </c>
      <c r="G307" s="15">
        <v>19445.759999999998</v>
      </c>
      <c r="H307" s="15">
        <v>19445.759999999998</v>
      </c>
      <c r="I307" s="15">
        <v>19445.759999999998</v>
      </c>
      <c r="J307" s="15">
        <v>19445.759999999998</v>
      </c>
      <c r="K307" s="15">
        <v>19445.759999999998</v>
      </c>
      <c r="L307" s="16">
        <f t="shared" si="4"/>
        <v>296</v>
      </c>
    </row>
    <row r="308" spans="1:12" x14ac:dyDescent="0.2">
      <c r="A308" s="3" t="s">
        <v>35</v>
      </c>
      <c r="C308" s="6" t="str">
        <f>"000-6701-00"</f>
        <v>000-6701-00</v>
      </c>
      <c r="D308" s="6" t="str">
        <f>"Write-Off Expense"</f>
        <v>Write-Off Expense</v>
      </c>
      <c r="E308" s="15">
        <v>0</v>
      </c>
      <c r="F308" s="15">
        <v>0</v>
      </c>
      <c r="G308" s="15">
        <v>0</v>
      </c>
      <c r="H308" s="15">
        <v>0</v>
      </c>
      <c r="I308" s="15">
        <v>0</v>
      </c>
      <c r="J308" s="15">
        <v>0</v>
      </c>
      <c r="K308" s="15">
        <v>0</v>
      </c>
      <c r="L308" s="16">
        <f t="shared" si="4"/>
        <v>297</v>
      </c>
    </row>
    <row r="309" spans="1:12" x14ac:dyDescent="0.2">
      <c r="A309" s="3" t="s">
        <v>35</v>
      </c>
      <c r="C309" s="6" t="str">
        <f>"000-6710-00"</f>
        <v>000-6710-00</v>
      </c>
      <c r="D309" s="6" t="str">
        <f>"Collection Costs"</f>
        <v>Collection Costs</v>
      </c>
      <c r="E309" s="15">
        <v>525</v>
      </c>
      <c r="F309" s="15">
        <v>525</v>
      </c>
      <c r="G309" s="15">
        <v>525</v>
      </c>
      <c r="H309" s="15">
        <v>525</v>
      </c>
      <c r="I309" s="15">
        <v>525</v>
      </c>
      <c r="J309" s="15">
        <v>525</v>
      </c>
      <c r="K309" s="15">
        <v>525</v>
      </c>
      <c r="L309" s="16">
        <f t="shared" si="4"/>
        <v>298</v>
      </c>
    </row>
    <row r="310" spans="1:12" x14ac:dyDescent="0.2">
      <c r="A310" s="3" t="s">
        <v>35</v>
      </c>
      <c r="C310" s="6" t="str">
        <f>"000-6720-00"</f>
        <v>000-6720-00</v>
      </c>
      <c r="D310" s="6" t="str">
        <f>"Legal Fees"</f>
        <v>Legal Fees</v>
      </c>
      <c r="E310" s="15">
        <v>0</v>
      </c>
      <c r="F310" s="15">
        <v>0</v>
      </c>
      <c r="G310" s="15">
        <v>0</v>
      </c>
      <c r="H310" s="15">
        <v>0</v>
      </c>
      <c r="I310" s="15">
        <v>0</v>
      </c>
      <c r="J310" s="15">
        <v>0</v>
      </c>
      <c r="K310" s="15">
        <v>0</v>
      </c>
      <c r="L310" s="16">
        <f t="shared" si="4"/>
        <v>299</v>
      </c>
    </row>
    <row r="311" spans="1:12" x14ac:dyDescent="0.2">
      <c r="A311" s="3" t="s">
        <v>35</v>
      </c>
      <c r="C311" s="6" t="str">
        <f>"000-6730-00"</f>
        <v>000-6730-00</v>
      </c>
      <c r="D311" s="6" t="str">
        <f>"Accounting Fees"</f>
        <v>Accounting Fees</v>
      </c>
      <c r="E311" s="15">
        <v>5000</v>
      </c>
      <c r="F311" s="15">
        <v>5000</v>
      </c>
      <c r="G311" s="15">
        <v>5000</v>
      </c>
      <c r="H311" s="15">
        <v>5000</v>
      </c>
      <c r="I311" s="15">
        <v>5000</v>
      </c>
      <c r="J311" s="15">
        <v>5000</v>
      </c>
      <c r="K311" s="15">
        <v>5000</v>
      </c>
      <c r="L311" s="16">
        <f t="shared" si="4"/>
        <v>300</v>
      </c>
    </row>
    <row r="312" spans="1:12" x14ac:dyDescent="0.2">
      <c r="A312" s="3" t="s">
        <v>35</v>
      </c>
      <c r="C312" s="6" t="str">
        <f>"000-6740-00"</f>
        <v>000-6740-00</v>
      </c>
      <c r="D312" s="6" t="str">
        <f>"Fines &amp; Penalties"</f>
        <v>Fines &amp; Penalties</v>
      </c>
      <c r="E312" s="15">
        <v>0</v>
      </c>
      <c r="F312" s="15">
        <v>0</v>
      </c>
      <c r="G312" s="15">
        <v>0</v>
      </c>
      <c r="H312" s="15">
        <v>0</v>
      </c>
      <c r="I312" s="15">
        <v>0</v>
      </c>
      <c r="J312" s="15">
        <v>0</v>
      </c>
      <c r="K312" s="15">
        <v>0</v>
      </c>
      <c r="L312" s="16">
        <f t="shared" si="4"/>
        <v>301</v>
      </c>
    </row>
    <row r="313" spans="1:12" x14ac:dyDescent="0.2">
      <c r="A313" s="3" t="s">
        <v>35</v>
      </c>
      <c r="C313" s="6" t="str">
        <f>"000-6750-00"</f>
        <v>000-6750-00</v>
      </c>
      <c r="D313" s="6" t="str">
        <f>"Licenses &amp; Fees"</f>
        <v>Licenses &amp; Fees</v>
      </c>
      <c r="E313" s="15">
        <v>10500</v>
      </c>
      <c r="F313" s="15">
        <v>10500</v>
      </c>
      <c r="G313" s="15">
        <v>10500</v>
      </c>
      <c r="H313" s="15">
        <v>10500</v>
      </c>
      <c r="I313" s="15">
        <v>10500</v>
      </c>
      <c r="J313" s="15">
        <v>10500</v>
      </c>
      <c r="K313" s="15">
        <v>10500</v>
      </c>
      <c r="L313" s="16">
        <f t="shared" si="4"/>
        <v>302</v>
      </c>
    </row>
    <row r="314" spans="1:12" x14ac:dyDescent="0.2">
      <c r="A314" s="3" t="s">
        <v>35</v>
      </c>
      <c r="C314" s="6" t="str">
        <f>"000-6760-00"</f>
        <v>000-6760-00</v>
      </c>
      <c r="D314" s="6" t="str">
        <f>"Recruiting &amp; Moving Expense"</f>
        <v>Recruiting &amp; Moving Expense</v>
      </c>
      <c r="E314" s="15">
        <v>759.87</v>
      </c>
      <c r="F314" s="15">
        <v>759.87</v>
      </c>
      <c r="G314" s="15">
        <v>759.87</v>
      </c>
      <c r="H314" s="15">
        <v>759.87</v>
      </c>
      <c r="I314" s="15">
        <v>759.87</v>
      </c>
      <c r="J314" s="15">
        <v>759.87</v>
      </c>
      <c r="K314" s="15">
        <v>759.87</v>
      </c>
      <c r="L314" s="16">
        <f t="shared" si="4"/>
        <v>303</v>
      </c>
    </row>
    <row r="315" spans="1:12" x14ac:dyDescent="0.2">
      <c r="A315" s="3" t="s">
        <v>35</v>
      </c>
      <c r="C315" s="6" t="str">
        <f>"000-6770-00"</f>
        <v>000-6770-00</v>
      </c>
      <c r="D315" s="6" t="str">
        <f>"Company Meetings"</f>
        <v>Company Meetings</v>
      </c>
      <c r="E315" s="15">
        <v>350</v>
      </c>
      <c r="F315" s="15">
        <v>350</v>
      </c>
      <c r="G315" s="15">
        <v>350</v>
      </c>
      <c r="H315" s="15">
        <v>350</v>
      </c>
      <c r="I315" s="15">
        <v>350</v>
      </c>
      <c r="J315" s="15">
        <v>350</v>
      </c>
      <c r="K315" s="15">
        <v>350</v>
      </c>
      <c r="L315" s="16">
        <f t="shared" si="4"/>
        <v>304</v>
      </c>
    </row>
    <row r="316" spans="1:12" x14ac:dyDescent="0.2">
      <c r="A316" s="3" t="s">
        <v>35</v>
      </c>
      <c r="C316" s="6" t="str">
        <f>"000-6780-00"</f>
        <v>000-6780-00</v>
      </c>
      <c r="D316" s="6" t="str">
        <f>"Miscellaneous Expense"</f>
        <v>Miscellaneous Expense</v>
      </c>
      <c r="E316" s="15">
        <v>161.19999999999999</v>
      </c>
      <c r="F316" s="15">
        <v>161.19999999999999</v>
      </c>
      <c r="G316" s="15">
        <v>161.19999999999999</v>
      </c>
      <c r="H316" s="15">
        <v>161.19999999999999</v>
      </c>
      <c r="I316" s="15">
        <v>161.19999999999999</v>
      </c>
      <c r="J316" s="15">
        <v>161.19999999999999</v>
      </c>
      <c r="K316" s="15">
        <v>161.19999999999999</v>
      </c>
      <c r="L316" s="16">
        <f t="shared" si="4"/>
        <v>305</v>
      </c>
    </row>
    <row r="317" spans="1:12" x14ac:dyDescent="0.2">
      <c r="A317" s="3" t="s">
        <v>35</v>
      </c>
      <c r="C317" s="6" t="str">
        <f>"000-6790-00"</f>
        <v>000-6790-00</v>
      </c>
      <c r="D317" s="6" t="str">
        <f>"Warranty Expense"</f>
        <v>Warranty Expense</v>
      </c>
      <c r="E317" s="15">
        <v>2750</v>
      </c>
      <c r="F317" s="15">
        <v>2750</v>
      </c>
      <c r="G317" s="15">
        <v>2750</v>
      </c>
      <c r="H317" s="15">
        <v>2750</v>
      </c>
      <c r="I317" s="15">
        <v>2750</v>
      </c>
      <c r="J317" s="15">
        <v>2750</v>
      </c>
      <c r="K317" s="15">
        <v>2750</v>
      </c>
      <c r="L317" s="16">
        <f t="shared" si="4"/>
        <v>306</v>
      </c>
    </row>
    <row r="318" spans="1:12" x14ac:dyDescent="0.2">
      <c r="A318" s="3" t="s">
        <v>35</v>
      </c>
      <c r="C318" s="6" t="str">
        <f>"000-6800-01"</f>
        <v>000-6800-01</v>
      </c>
      <c r="D318" s="6" t="str">
        <f>"Project Expenses"</f>
        <v>Project Expenses</v>
      </c>
      <c r="E318" s="15">
        <v>0</v>
      </c>
      <c r="F318" s="15">
        <v>0</v>
      </c>
      <c r="G318" s="15">
        <v>0</v>
      </c>
      <c r="H318" s="15">
        <v>0</v>
      </c>
      <c r="I318" s="15">
        <v>0</v>
      </c>
      <c r="J318" s="15">
        <v>0</v>
      </c>
      <c r="K318" s="15">
        <v>0</v>
      </c>
      <c r="L318" s="16">
        <f t="shared" si="4"/>
        <v>307</v>
      </c>
    </row>
    <row r="319" spans="1:12" x14ac:dyDescent="0.2">
      <c r="A319" s="3" t="s">
        <v>35</v>
      </c>
      <c r="C319" s="6" t="str">
        <f>"000-6900-00"</f>
        <v>000-6900-00</v>
      </c>
      <c r="D319" s="6" t="str">
        <f>"Project Losses"</f>
        <v>Project Losses</v>
      </c>
      <c r="E319" s="15">
        <v>0</v>
      </c>
      <c r="F319" s="15">
        <v>0</v>
      </c>
      <c r="G319" s="15">
        <v>0</v>
      </c>
      <c r="H319" s="15">
        <v>0</v>
      </c>
      <c r="I319" s="15">
        <v>0</v>
      </c>
      <c r="J319" s="15">
        <v>0</v>
      </c>
      <c r="K319" s="15">
        <v>0</v>
      </c>
      <c r="L319" s="16">
        <f t="shared" si="4"/>
        <v>308</v>
      </c>
    </row>
    <row r="320" spans="1:12" x14ac:dyDescent="0.2">
      <c r="A320" s="3" t="s">
        <v>35</v>
      </c>
      <c r="C320" s="6" t="str">
        <f>"000-7010-00"</f>
        <v>000-7010-00</v>
      </c>
      <c r="D320" s="6" t="str">
        <f>"Finance Charge Income"</f>
        <v>Finance Charge Income</v>
      </c>
      <c r="E320" s="15">
        <v>-25</v>
      </c>
      <c r="F320" s="15">
        <v>-25</v>
      </c>
      <c r="G320" s="15">
        <v>-25</v>
      </c>
      <c r="H320" s="15">
        <v>-25</v>
      </c>
      <c r="I320" s="15">
        <v>-25</v>
      </c>
      <c r="J320" s="15">
        <v>-25</v>
      </c>
      <c r="K320" s="15">
        <v>-25</v>
      </c>
      <c r="L320" s="16">
        <f t="shared" si="4"/>
        <v>309</v>
      </c>
    </row>
    <row r="321" spans="1:12" x14ac:dyDescent="0.2">
      <c r="A321" s="3" t="s">
        <v>35</v>
      </c>
      <c r="C321" s="6" t="str">
        <f>"000-7020-00"</f>
        <v>000-7020-00</v>
      </c>
      <c r="D321" s="6" t="str">
        <f>"Interest Income"</f>
        <v>Interest Income</v>
      </c>
      <c r="E321" s="15">
        <v>-909.16</v>
      </c>
      <c r="F321" s="15">
        <v>-909.16</v>
      </c>
      <c r="G321" s="15">
        <v>-909.16</v>
      </c>
      <c r="H321" s="15">
        <v>-909.16</v>
      </c>
      <c r="I321" s="15">
        <v>-909.16</v>
      </c>
      <c r="J321" s="15">
        <v>-909.16</v>
      </c>
      <c r="K321" s="15">
        <v>-909.16</v>
      </c>
      <c r="L321" s="16">
        <f t="shared" si="4"/>
        <v>310</v>
      </c>
    </row>
    <row r="322" spans="1:12" x14ac:dyDescent="0.2">
      <c r="A322" s="3" t="s">
        <v>35</v>
      </c>
      <c r="C322" s="6" t="str">
        <f>"000-7040-00"</f>
        <v>000-7040-00</v>
      </c>
      <c r="D322" s="6" t="str">
        <f>"Miscellaneous Income"</f>
        <v>Miscellaneous Income</v>
      </c>
      <c r="E322" s="15">
        <v>-977.08</v>
      </c>
      <c r="F322" s="15">
        <v>-977.08</v>
      </c>
      <c r="G322" s="15">
        <v>-977.08</v>
      </c>
      <c r="H322" s="15">
        <v>-977.08</v>
      </c>
      <c r="I322" s="15">
        <v>-977.08</v>
      </c>
      <c r="J322" s="15">
        <v>-977.08</v>
      </c>
      <c r="K322" s="15">
        <v>-977.08</v>
      </c>
      <c r="L322" s="16">
        <f t="shared" si="4"/>
        <v>311</v>
      </c>
    </row>
    <row r="323" spans="1:12" x14ac:dyDescent="0.2">
      <c r="A323" s="3" t="s">
        <v>35</v>
      </c>
      <c r="C323" s="6" t="str">
        <f>"000-7041-00"</f>
        <v>000-7041-00</v>
      </c>
      <c r="D323" s="6" t="str">
        <f>"Freight Income"</f>
        <v>Freight Income</v>
      </c>
      <c r="E323" s="15">
        <v>0</v>
      </c>
      <c r="F323" s="15">
        <v>0</v>
      </c>
      <c r="G323" s="15">
        <v>0</v>
      </c>
      <c r="H323" s="15">
        <v>0</v>
      </c>
      <c r="I323" s="15">
        <v>0</v>
      </c>
      <c r="J323" s="15">
        <v>0</v>
      </c>
      <c r="K323" s="15">
        <v>0</v>
      </c>
      <c r="L323" s="16">
        <f t="shared" si="4"/>
        <v>312</v>
      </c>
    </row>
    <row r="324" spans="1:12" x14ac:dyDescent="0.2">
      <c r="A324" s="3" t="s">
        <v>35</v>
      </c>
      <c r="C324" s="6" t="str">
        <f>"000-7100-00"</f>
        <v>000-7100-00</v>
      </c>
      <c r="D324" s="6" t="str">
        <f>"Realized Gain on MC Transactions"</f>
        <v>Realized Gain on MC Transactions</v>
      </c>
      <c r="E324" s="15">
        <v>0</v>
      </c>
      <c r="F324" s="15">
        <v>0</v>
      </c>
      <c r="G324" s="15">
        <v>0</v>
      </c>
      <c r="H324" s="15">
        <v>0</v>
      </c>
      <c r="I324" s="15">
        <v>0</v>
      </c>
      <c r="J324" s="15">
        <v>0</v>
      </c>
      <c r="K324" s="15">
        <v>0</v>
      </c>
      <c r="L324" s="16">
        <f t="shared" si="4"/>
        <v>313</v>
      </c>
    </row>
    <row r="325" spans="1:12" x14ac:dyDescent="0.2">
      <c r="A325" s="3" t="s">
        <v>35</v>
      </c>
      <c r="C325" s="6" t="str">
        <f>"000-7101-00"</f>
        <v>000-7101-00</v>
      </c>
      <c r="D325" s="6" t="str">
        <f>"Realized Gain on MC Transactions - Z - C$ - SELL"</f>
        <v>Realized Gain on MC Transactions - Z - C$ - SELL</v>
      </c>
      <c r="E325" s="15">
        <v>0</v>
      </c>
      <c r="F325" s="15">
        <v>0</v>
      </c>
      <c r="G325" s="15">
        <v>0</v>
      </c>
      <c r="H325" s="15">
        <v>0</v>
      </c>
      <c r="I325" s="15">
        <v>0</v>
      </c>
      <c r="J325" s="15">
        <v>0</v>
      </c>
      <c r="K325" s="15">
        <v>0</v>
      </c>
      <c r="L325" s="16">
        <f t="shared" si="4"/>
        <v>314</v>
      </c>
    </row>
    <row r="326" spans="1:12" x14ac:dyDescent="0.2">
      <c r="A326" s="3" t="s">
        <v>35</v>
      </c>
      <c r="C326" s="6" t="str">
        <f>"000-7102-00"</f>
        <v>000-7102-00</v>
      </c>
      <c r="D326" s="6" t="str">
        <f>"Realized Gain on MC Transactions - Z - C$ - BUY"</f>
        <v>Realized Gain on MC Transactions - Z - C$ - BUY</v>
      </c>
      <c r="E326" s="15">
        <v>0</v>
      </c>
      <c r="F326" s="15">
        <v>0</v>
      </c>
      <c r="G326" s="15">
        <v>0</v>
      </c>
      <c r="H326" s="15">
        <v>0</v>
      </c>
      <c r="I326" s="15">
        <v>0</v>
      </c>
      <c r="J326" s="15">
        <v>0</v>
      </c>
      <c r="K326" s="15">
        <v>0</v>
      </c>
      <c r="L326" s="16">
        <f t="shared" si="4"/>
        <v>315</v>
      </c>
    </row>
    <row r="327" spans="1:12" x14ac:dyDescent="0.2">
      <c r="A327" s="3" t="s">
        <v>35</v>
      </c>
      <c r="C327" s="6" t="str">
        <f>"000-7103-00"</f>
        <v>000-7103-00</v>
      </c>
      <c r="D327" s="6" t="str">
        <f>"Realized Gain on MC Transactions - Z - C$ - AVG"</f>
        <v>Realized Gain on MC Transactions - Z - C$ - AVG</v>
      </c>
      <c r="E327" s="15">
        <v>0</v>
      </c>
      <c r="F327" s="15">
        <v>0</v>
      </c>
      <c r="G327" s="15">
        <v>0</v>
      </c>
      <c r="H327" s="15">
        <v>0</v>
      </c>
      <c r="I327" s="15">
        <v>0</v>
      </c>
      <c r="J327" s="15">
        <v>0</v>
      </c>
      <c r="K327" s="15">
        <v>0</v>
      </c>
      <c r="L327" s="16">
        <f t="shared" si="4"/>
        <v>316</v>
      </c>
    </row>
    <row r="328" spans="1:12" x14ac:dyDescent="0.2">
      <c r="A328" s="3" t="s">
        <v>35</v>
      </c>
      <c r="C328" s="6" t="str">
        <f>"000-7200-00"</f>
        <v>000-7200-00</v>
      </c>
      <c r="D328" s="6" t="str">
        <f>"Unrealized Gain on MC Transactions"</f>
        <v>Unrealized Gain on MC Transactions</v>
      </c>
      <c r="E328" s="15">
        <v>0</v>
      </c>
      <c r="F328" s="15">
        <v>0</v>
      </c>
      <c r="G328" s="15">
        <v>0</v>
      </c>
      <c r="H328" s="15">
        <v>0</v>
      </c>
      <c r="I328" s="15">
        <v>0</v>
      </c>
      <c r="J328" s="15">
        <v>0</v>
      </c>
      <c r="K328" s="15">
        <v>0</v>
      </c>
      <c r="L328" s="16">
        <f t="shared" si="4"/>
        <v>317</v>
      </c>
    </row>
    <row r="329" spans="1:12" x14ac:dyDescent="0.2">
      <c r="A329" s="3" t="s">
        <v>35</v>
      </c>
      <c r="C329" s="6" t="str">
        <f>"000-7201-00"</f>
        <v>000-7201-00</v>
      </c>
      <c r="D329" s="6" t="str">
        <f>"Unrealized Gain on MC Transactions-Canada"</f>
        <v>Unrealized Gain on MC Transactions-Canada</v>
      </c>
      <c r="E329" s="15">
        <v>0</v>
      </c>
      <c r="F329" s="15">
        <v>0</v>
      </c>
      <c r="G329" s="15">
        <v>0</v>
      </c>
      <c r="H329" s="15">
        <v>0</v>
      </c>
      <c r="I329" s="15">
        <v>0</v>
      </c>
      <c r="J329" s="15">
        <v>0</v>
      </c>
      <c r="K329" s="15">
        <v>0</v>
      </c>
      <c r="L329" s="16">
        <f t="shared" si="4"/>
        <v>318</v>
      </c>
    </row>
    <row r="330" spans="1:12" x14ac:dyDescent="0.2">
      <c r="A330" s="3" t="s">
        <v>35</v>
      </c>
      <c r="C330" s="6" t="str">
        <f>"000-7202-00"</f>
        <v>000-7202-00</v>
      </c>
      <c r="D330" s="6" t="str">
        <f>"Unrealized Gain on MC Transactions - Australia"</f>
        <v>Unrealized Gain on MC Transactions - Australia</v>
      </c>
      <c r="E330" s="15">
        <v>0</v>
      </c>
      <c r="F330" s="15">
        <v>0</v>
      </c>
      <c r="G330" s="15">
        <v>0</v>
      </c>
      <c r="H330" s="15">
        <v>0</v>
      </c>
      <c r="I330" s="15">
        <v>0</v>
      </c>
      <c r="J330" s="15">
        <v>0</v>
      </c>
      <c r="K330" s="15">
        <v>0</v>
      </c>
      <c r="L330" s="16">
        <f t="shared" si="4"/>
        <v>319</v>
      </c>
    </row>
    <row r="331" spans="1:12" x14ac:dyDescent="0.2">
      <c r="A331" s="3" t="s">
        <v>35</v>
      </c>
      <c r="C331" s="6" t="str">
        <f>"000-7203-00"</f>
        <v>000-7203-00</v>
      </c>
      <c r="D331" s="6" t="str">
        <f>"Unrealized Gain on MC Transactions - New Zealand"</f>
        <v>Unrealized Gain on MC Transactions - New Zealand</v>
      </c>
      <c r="E331" s="15">
        <v>0</v>
      </c>
      <c r="F331" s="15">
        <v>0</v>
      </c>
      <c r="G331" s="15">
        <v>0</v>
      </c>
      <c r="H331" s="15">
        <v>0</v>
      </c>
      <c r="I331" s="15">
        <v>0</v>
      </c>
      <c r="J331" s="15">
        <v>0</v>
      </c>
      <c r="K331" s="15">
        <v>0</v>
      </c>
      <c r="L331" s="16">
        <f t="shared" si="4"/>
        <v>320</v>
      </c>
    </row>
    <row r="332" spans="1:12" x14ac:dyDescent="0.2">
      <c r="A332" s="3" t="s">
        <v>35</v>
      </c>
      <c r="C332" s="6" t="str">
        <f>"000-7204-00"</f>
        <v>000-7204-00</v>
      </c>
      <c r="D332" s="6" t="str">
        <f>"Unrealized Gain on MC Transactions - Germany"</f>
        <v>Unrealized Gain on MC Transactions - Germany</v>
      </c>
      <c r="E332" s="15">
        <v>0</v>
      </c>
      <c r="F332" s="15">
        <v>0</v>
      </c>
      <c r="G332" s="15">
        <v>0</v>
      </c>
      <c r="H332" s="15">
        <v>0</v>
      </c>
      <c r="I332" s="15">
        <v>0</v>
      </c>
      <c r="J332" s="15">
        <v>0</v>
      </c>
      <c r="K332" s="15">
        <v>0</v>
      </c>
      <c r="L332" s="16">
        <f t="shared" si="4"/>
        <v>321</v>
      </c>
    </row>
    <row r="333" spans="1:12" x14ac:dyDescent="0.2">
      <c r="A333" s="3" t="s">
        <v>35</v>
      </c>
      <c r="C333" s="6" t="str">
        <f>"000-7205-00"</f>
        <v>000-7205-00</v>
      </c>
      <c r="D333" s="6" t="str">
        <f>"Unrealized Gain on MC Transactions - United Kingdo"</f>
        <v>Unrealized Gain on MC Transactions - United Kingdo</v>
      </c>
      <c r="E333" s="15">
        <v>0</v>
      </c>
      <c r="F333" s="15">
        <v>0</v>
      </c>
      <c r="G333" s="15">
        <v>0</v>
      </c>
      <c r="H333" s="15">
        <v>0</v>
      </c>
      <c r="I333" s="15">
        <v>0</v>
      </c>
      <c r="J333" s="15">
        <v>0</v>
      </c>
      <c r="K333" s="15">
        <v>0</v>
      </c>
      <c r="L333" s="16">
        <f t="shared" ref="L333:L396" si="5">L332+1</f>
        <v>322</v>
      </c>
    </row>
    <row r="334" spans="1:12" x14ac:dyDescent="0.2">
      <c r="A334" s="3" t="s">
        <v>35</v>
      </c>
      <c r="C334" s="6" t="str">
        <f>"000-7206-00"</f>
        <v>000-7206-00</v>
      </c>
      <c r="D334" s="6" t="str">
        <f>"Unrealized Gain on MC Transactions - South Africa"</f>
        <v>Unrealized Gain on MC Transactions - South Africa</v>
      </c>
      <c r="E334" s="15">
        <v>0</v>
      </c>
      <c r="F334" s="15">
        <v>0</v>
      </c>
      <c r="G334" s="15">
        <v>0</v>
      </c>
      <c r="H334" s="15">
        <v>0</v>
      </c>
      <c r="I334" s="15">
        <v>0</v>
      </c>
      <c r="J334" s="15">
        <v>0</v>
      </c>
      <c r="K334" s="15">
        <v>0</v>
      </c>
      <c r="L334" s="16">
        <f t="shared" si="5"/>
        <v>323</v>
      </c>
    </row>
    <row r="335" spans="1:12" x14ac:dyDescent="0.2">
      <c r="A335" s="3" t="s">
        <v>35</v>
      </c>
      <c r="C335" s="6" t="str">
        <f>"000-7207-00"</f>
        <v>000-7207-00</v>
      </c>
      <c r="D335" s="6" t="str">
        <f>"Unrealized Gain on MC Transactions - Singapore"</f>
        <v>Unrealized Gain on MC Transactions - Singapore</v>
      </c>
      <c r="E335" s="15">
        <v>0</v>
      </c>
      <c r="F335" s="15">
        <v>0</v>
      </c>
      <c r="G335" s="15">
        <v>0</v>
      </c>
      <c r="H335" s="15">
        <v>0</v>
      </c>
      <c r="I335" s="15">
        <v>0</v>
      </c>
      <c r="J335" s="15">
        <v>0</v>
      </c>
      <c r="K335" s="15">
        <v>0</v>
      </c>
      <c r="L335" s="16">
        <f t="shared" si="5"/>
        <v>324</v>
      </c>
    </row>
    <row r="336" spans="1:12" x14ac:dyDescent="0.2">
      <c r="A336" s="3" t="s">
        <v>35</v>
      </c>
      <c r="C336" s="6" t="str">
        <f>"000-7300-00"</f>
        <v>000-7300-00</v>
      </c>
      <c r="D336" s="6" t="str">
        <f>"Rounding Writeoff due to MC Trx"</f>
        <v>Rounding Writeoff due to MC Trx</v>
      </c>
      <c r="E336" s="15">
        <v>0</v>
      </c>
      <c r="F336" s="15">
        <v>0</v>
      </c>
      <c r="G336" s="15">
        <v>0</v>
      </c>
      <c r="H336" s="15">
        <v>0</v>
      </c>
      <c r="I336" s="15">
        <v>0</v>
      </c>
      <c r="J336" s="15">
        <v>0</v>
      </c>
      <c r="K336" s="15">
        <v>0</v>
      </c>
      <c r="L336" s="16">
        <f t="shared" si="5"/>
        <v>325</v>
      </c>
    </row>
    <row r="337" spans="1:12" x14ac:dyDescent="0.2">
      <c r="A337" s="3" t="s">
        <v>35</v>
      </c>
      <c r="C337" s="6" t="str">
        <f>"000-7301-00"</f>
        <v>000-7301-00</v>
      </c>
      <c r="D337" s="6" t="str">
        <f>"Rounding Writeoff - Canada"</f>
        <v>Rounding Writeoff - Canada</v>
      </c>
      <c r="E337" s="15">
        <v>0</v>
      </c>
      <c r="F337" s="15">
        <v>0</v>
      </c>
      <c r="G337" s="15">
        <v>0</v>
      </c>
      <c r="H337" s="15">
        <v>0</v>
      </c>
      <c r="I337" s="15">
        <v>0</v>
      </c>
      <c r="J337" s="15">
        <v>0</v>
      </c>
      <c r="K337" s="15">
        <v>0</v>
      </c>
      <c r="L337" s="16">
        <f t="shared" si="5"/>
        <v>326</v>
      </c>
    </row>
    <row r="338" spans="1:12" x14ac:dyDescent="0.2">
      <c r="A338" s="3" t="s">
        <v>35</v>
      </c>
      <c r="C338" s="6" t="str">
        <f>"000-7302-00"</f>
        <v>000-7302-00</v>
      </c>
      <c r="D338" s="6" t="str">
        <f>"Rounding Writeoff - Australia"</f>
        <v>Rounding Writeoff - Australia</v>
      </c>
      <c r="E338" s="15">
        <v>0</v>
      </c>
      <c r="F338" s="15">
        <v>0</v>
      </c>
      <c r="G338" s="15">
        <v>0</v>
      </c>
      <c r="H338" s="15">
        <v>0</v>
      </c>
      <c r="I338" s="15">
        <v>0</v>
      </c>
      <c r="J338" s="15">
        <v>0</v>
      </c>
      <c r="K338" s="15">
        <v>0</v>
      </c>
      <c r="L338" s="16">
        <f t="shared" si="5"/>
        <v>327</v>
      </c>
    </row>
    <row r="339" spans="1:12" x14ac:dyDescent="0.2">
      <c r="A339" s="3" t="s">
        <v>35</v>
      </c>
      <c r="C339" s="6" t="str">
        <f>"000-7303-00"</f>
        <v>000-7303-00</v>
      </c>
      <c r="D339" s="6" t="str">
        <f>"Rounding Writeoff - New Zealand"</f>
        <v>Rounding Writeoff - New Zealand</v>
      </c>
      <c r="E339" s="15">
        <v>0</v>
      </c>
      <c r="F339" s="15">
        <v>0</v>
      </c>
      <c r="G339" s="15">
        <v>0</v>
      </c>
      <c r="H339" s="15">
        <v>0</v>
      </c>
      <c r="I339" s="15">
        <v>0</v>
      </c>
      <c r="J339" s="15">
        <v>0</v>
      </c>
      <c r="K339" s="15">
        <v>0</v>
      </c>
      <c r="L339" s="16">
        <f t="shared" si="5"/>
        <v>328</v>
      </c>
    </row>
    <row r="340" spans="1:12" x14ac:dyDescent="0.2">
      <c r="A340" s="3" t="s">
        <v>35</v>
      </c>
      <c r="C340" s="6" t="str">
        <f>"000-7304-00"</f>
        <v>000-7304-00</v>
      </c>
      <c r="D340" s="6" t="str">
        <f>"Rounding Writeoff - Germany"</f>
        <v>Rounding Writeoff - Germany</v>
      </c>
      <c r="E340" s="15">
        <v>0</v>
      </c>
      <c r="F340" s="15">
        <v>0</v>
      </c>
      <c r="G340" s="15">
        <v>0</v>
      </c>
      <c r="H340" s="15">
        <v>0</v>
      </c>
      <c r="I340" s="15">
        <v>0</v>
      </c>
      <c r="J340" s="15">
        <v>0</v>
      </c>
      <c r="K340" s="15">
        <v>0</v>
      </c>
      <c r="L340" s="16">
        <f t="shared" si="5"/>
        <v>329</v>
      </c>
    </row>
    <row r="341" spans="1:12" x14ac:dyDescent="0.2">
      <c r="A341" s="3" t="s">
        <v>35</v>
      </c>
      <c r="C341" s="6" t="str">
        <f>"000-7305-00"</f>
        <v>000-7305-00</v>
      </c>
      <c r="D341" s="6" t="str">
        <f>"Rounding Writeoff - United Kingdom"</f>
        <v>Rounding Writeoff - United Kingdom</v>
      </c>
      <c r="E341" s="15">
        <v>0</v>
      </c>
      <c r="F341" s="15">
        <v>0</v>
      </c>
      <c r="G341" s="15">
        <v>0</v>
      </c>
      <c r="H341" s="15">
        <v>0</v>
      </c>
      <c r="I341" s="15">
        <v>0</v>
      </c>
      <c r="J341" s="15">
        <v>0</v>
      </c>
      <c r="K341" s="15">
        <v>0</v>
      </c>
      <c r="L341" s="16">
        <f t="shared" si="5"/>
        <v>330</v>
      </c>
    </row>
    <row r="342" spans="1:12" x14ac:dyDescent="0.2">
      <c r="A342" s="3" t="s">
        <v>35</v>
      </c>
      <c r="C342" s="6" t="str">
        <f>"000-7306-00"</f>
        <v>000-7306-00</v>
      </c>
      <c r="D342" s="6" t="str">
        <f>"Rounding Writeoff - South Africa"</f>
        <v>Rounding Writeoff - South Africa</v>
      </c>
      <c r="E342" s="15">
        <v>0</v>
      </c>
      <c r="F342" s="15">
        <v>0</v>
      </c>
      <c r="G342" s="15">
        <v>0</v>
      </c>
      <c r="H342" s="15">
        <v>0</v>
      </c>
      <c r="I342" s="15">
        <v>0</v>
      </c>
      <c r="J342" s="15">
        <v>0</v>
      </c>
      <c r="K342" s="15">
        <v>0</v>
      </c>
      <c r="L342" s="16">
        <f t="shared" si="5"/>
        <v>331</v>
      </c>
    </row>
    <row r="343" spans="1:12" x14ac:dyDescent="0.2">
      <c r="A343" s="3" t="s">
        <v>35</v>
      </c>
      <c r="C343" s="6" t="str">
        <f>"000-7307-00"</f>
        <v>000-7307-00</v>
      </c>
      <c r="D343" s="6" t="str">
        <f>"Rounding Writeoff - Singapore"</f>
        <v>Rounding Writeoff - Singapore</v>
      </c>
      <c r="E343" s="15">
        <v>0</v>
      </c>
      <c r="F343" s="15">
        <v>0</v>
      </c>
      <c r="G343" s="15">
        <v>0</v>
      </c>
      <c r="H343" s="15">
        <v>0</v>
      </c>
      <c r="I343" s="15">
        <v>0</v>
      </c>
      <c r="J343" s="15">
        <v>0</v>
      </c>
      <c r="K343" s="15">
        <v>0</v>
      </c>
      <c r="L343" s="16">
        <f t="shared" si="5"/>
        <v>332</v>
      </c>
    </row>
    <row r="344" spans="1:12" x14ac:dyDescent="0.2">
      <c r="A344" s="3" t="s">
        <v>35</v>
      </c>
      <c r="C344" s="6" t="str">
        <f>"000-7400-00"</f>
        <v>000-7400-00</v>
      </c>
      <c r="D344" s="6" t="str">
        <f>"Rounding Difference due to MC Trx"</f>
        <v>Rounding Difference due to MC Trx</v>
      </c>
      <c r="E344" s="15">
        <v>0</v>
      </c>
      <c r="F344" s="15">
        <v>0</v>
      </c>
      <c r="G344" s="15">
        <v>0</v>
      </c>
      <c r="H344" s="15">
        <v>0</v>
      </c>
      <c r="I344" s="15">
        <v>0</v>
      </c>
      <c r="J344" s="15">
        <v>0</v>
      </c>
      <c r="K344" s="15">
        <v>0</v>
      </c>
      <c r="L344" s="16">
        <f t="shared" si="5"/>
        <v>333</v>
      </c>
    </row>
    <row r="345" spans="1:12" x14ac:dyDescent="0.2">
      <c r="A345" s="3" t="s">
        <v>35</v>
      </c>
      <c r="C345" s="6" t="str">
        <f>"000-7401-00"</f>
        <v>000-7401-00</v>
      </c>
      <c r="D345" s="6" t="str">
        <f>"Rounding Difference - Canada"</f>
        <v>Rounding Difference - Canada</v>
      </c>
      <c r="E345" s="15">
        <v>0</v>
      </c>
      <c r="F345" s="15">
        <v>0</v>
      </c>
      <c r="G345" s="15">
        <v>0</v>
      </c>
      <c r="H345" s="15">
        <v>0</v>
      </c>
      <c r="I345" s="15">
        <v>0</v>
      </c>
      <c r="J345" s="15">
        <v>0</v>
      </c>
      <c r="K345" s="15">
        <v>0</v>
      </c>
      <c r="L345" s="16">
        <f t="shared" si="5"/>
        <v>334</v>
      </c>
    </row>
    <row r="346" spans="1:12" x14ac:dyDescent="0.2">
      <c r="A346" s="3" t="s">
        <v>35</v>
      </c>
      <c r="C346" s="6" t="str">
        <f>"000-7402-00"</f>
        <v>000-7402-00</v>
      </c>
      <c r="D346" s="6" t="str">
        <f>"Rounding Difference - Australia"</f>
        <v>Rounding Difference - Australia</v>
      </c>
      <c r="E346" s="15">
        <v>0</v>
      </c>
      <c r="F346" s="15">
        <v>0</v>
      </c>
      <c r="G346" s="15">
        <v>0</v>
      </c>
      <c r="H346" s="15">
        <v>0</v>
      </c>
      <c r="I346" s="15">
        <v>0</v>
      </c>
      <c r="J346" s="15">
        <v>0</v>
      </c>
      <c r="K346" s="15">
        <v>0</v>
      </c>
      <c r="L346" s="16">
        <f t="shared" si="5"/>
        <v>335</v>
      </c>
    </row>
    <row r="347" spans="1:12" x14ac:dyDescent="0.2">
      <c r="A347" s="3" t="s">
        <v>35</v>
      </c>
      <c r="C347" s="6" t="str">
        <f>"000-7403-00"</f>
        <v>000-7403-00</v>
      </c>
      <c r="D347" s="6" t="str">
        <f>"Rounding Difference - New Zealand"</f>
        <v>Rounding Difference - New Zealand</v>
      </c>
      <c r="E347" s="15">
        <v>0</v>
      </c>
      <c r="F347" s="15">
        <v>0</v>
      </c>
      <c r="G347" s="15">
        <v>0</v>
      </c>
      <c r="H347" s="15">
        <v>0</v>
      </c>
      <c r="I347" s="15">
        <v>0</v>
      </c>
      <c r="J347" s="15">
        <v>0</v>
      </c>
      <c r="K347" s="15">
        <v>0</v>
      </c>
      <c r="L347" s="16">
        <f t="shared" si="5"/>
        <v>336</v>
      </c>
    </row>
    <row r="348" spans="1:12" x14ac:dyDescent="0.2">
      <c r="A348" s="3" t="s">
        <v>35</v>
      </c>
      <c r="C348" s="6" t="str">
        <f>"000-7404-00"</f>
        <v>000-7404-00</v>
      </c>
      <c r="D348" s="6" t="str">
        <f>"Rounding Difference - Germany"</f>
        <v>Rounding Difference - Germany</v>
      </c>
      <c r="E348" s="15">
        <v>0</v>
      </c>
      <c r="F348" s="15">
        <v>0</v>
      </c>
      <c r="G348" s="15">
        <v>0</v>
      </c>
      <c r="H348" s="15">
        <v>0</v>
      </c>
      <c r="I348" s="15">
        <v>0</v>
      </c>
      <c r="J348" s="15">
        <v>0</v>
      </c>
      <c r="K348" s="15">
        <v>0</v>
      </c>
      <c r="L348" s="16">
        <f t="shared" si="5"/>
        <v>337</v>
      </c>
    </row>
    <row r="349" spans="1:12" x14ac:dyDescent="0.2">
      <c r="A349" s="3" t="s">
        <v>35</v>
      </c>
      <c r="C349" s="6" t="str">
        <f>"000-7405-00"</f>
        <v>000-7405-00</v>
      </c>
      <c r="D349" s="6" t="str">
        <f>"Rounding Difference - United Kingdom"</f>
        <v>Rounding Difference - United Kingdom</v>
      </c>
      <c r="E349" s="15">
        <v>0</v>
      </c>
      <c r="F349" s="15">
        <v>0</v>
      </c>
      <c r="G349" s="15">
        <v>0</v>
      </c>
      <c r="H349" s="15">
        <v>0</v>
      </c>
      <c r="I349" s="15">
        <v>0</v>
      </c>
      <c r="J349" s="15">
        <v>0</v>
      </c>
      <c r="K349" s="15">
        <v>0</v>
      </c>
      <c r="L349" s="16">
        <f t="shared" si="5"/>
        <v>338</v>
      </c>
    </row>
    <row r="350" spans="1:12" x14ac:dyDescent="0.2">
      <c r="A350" s="3" t="s">
        <v>35</v>
      </c>
      <c r="C350" s="6" t="str">
        <f>"000-7406-00"</f>
        <v>000-7406-00</v>
      </c>
      <c r="D350" s="6" t="str">
        <f>"Rounding Difference - South Africa"</f>
        <v>Rounding Difference - South Africa</v>
      </c>
      <c r="E350" s="15">
        <v>0</v>
      </c>
      <c r="F350" s="15">
        <v>0</v>
      </c>
      <c r="G350" s="15">
        <v>0</v>
      </c>
      <c r="H350" s="15">
        <v>0</v>
      </c>
      <c r="I350" s="15">
        <v>0</v>
      </c>
      <c r="J350" s="15">
        <v>0</v>
      </c>
      <c r="K350" s="15">
        <v>0</v>
      </c>
      <c r="L350" s="16">
        <f t="shared" si="5"/>
        <v>339</v>
      </c>
    </row>
    <row r="351" spans="1:12" x14ac:dyDescent="0.2">
      <c r="A351" s="3" t="s">
        <v>35</v>
      </c>
      <c r="C351" s="6" t="str">
        <f>"000-7407-00"</f>
        <v>000-7407-00</v>
      </c>
      <c r="D351" s="6" t="str">
        <f>"Rounding Difference - Singapore"</f>
        <v>Rounding Difference - Singapore</v>
      </c>
      <c r="E351" s="15">
        <v>0</v>
      </c>
      <c r="F351" s="15">
        <v>0</v>
      </c>
      <c r="G351" s="15">
        <v>0</v>
      </c>
      <c r="H351" s="15">
        <v>0</v>
      </c>
      <c r="I351" s="15">
        <v>0</v>
      </c>
      <c r="J351" s="15">
        <v>0</v>
      </c>
      <c r="K351" s="15">
        <v>0</v>
      </c>
      <c r="L351" s="16">
        <f t="shared" si="5"/>
        <v>340</v>
      </c>
    </row>
    <row r="352" spans="1:12" x14ac:dyDescent="0.2">
      <c r="A352" s="3" t="s">
        <v>35</v>
      </c>
      <c r="C352" s="6" t="str">
        <f>"000-7410-00"</f>
        <v>000-7410-00</v>
      </c>
      <c r="D352" s="6" t="str">
        <f>"MFG Rounding"</f>
        <v>MFG Rounding</v>
      </c>
      <c r="E352" s="15">
        <v>0</v>
      </c>
      <c r="F352" s="15">
        <v>0</v>
      </c>
      <c r="G352" s="15">
        <v>0</v>
      </c>
      <c r="H352" s="15">
        <v>0</v>
      </c>
      <c r="I352" s="15">
        <v>0</v>
      </c>
      <c r="J352" s="15">
        <v>0</v>
      </c>
      <c r="K352" s="15">
        <v>0</v>
      </c>
      <c r="L352" s="16">
        <f t="shared" si="5"/>
        <v>341</v>
      </c>
    </row>
    <row r="353" spans="1:12" x14ac:dyDescent="0.2">
      <c r="A353" s="3" t="s">
        <v>35</v>
      </c>
      <c r="C353" s="6" t="str">
        <f>"000-8010-00"</f>
        <v>000-8010-00</v>
      </c>
      <c r="D353" s="6" t="str">
        <f>"Finance Charge Expense"</f>
        <v>Finance Charge Expense</v>
      </c>
      <c r="E353" s="15">
        <v>0</v>
      </c>
      <c r="F353" s="15">
        <v>0</v>
      </c>
      <c r="G353" s="15">
        <v>0</v>
      </c>
      <c r="H353" s="15">
        <v>0</v>
      </c>
      <c r="I353" s="15">
        <v>0</v>
      </c>
      <c r="J353" s="15">
        <v>0</v>
      </c>
      <c r="K353" s="15">
        <v>0</v>
      </c>
      <c r="L353" s="16">
        <f t="shared" si="5"/>
        <v>342</v>
      </c>
    </row>
    <row r="354" spans="1:12" x14ac:dyDescent="0.2">
      <c r="A354" s="3" t="s">
        <v>35</v>
      </c>
      <c r="C354" s="6" t="str">
        <f>"000-8020-00"</f>
        <v>000-8020-00</v>
      </c>
      <c r="D354" s="6" t="str">
        <f>"Interest Expense"</f>
        <v>Interest Expense</v>
      </c>
      <c r="E354" s="15">
        <v>2034.57</v>
      </c>
      <c r="F354" s="15">
        <v>2034.57</v>
      </c>
      <c r="G354" s="15">
        <v>2034.57</v>
      </c>
      <c r="H354" s="15">
        <v>2034.57</v>
      </c>
      <c r="I354" s="15">
        <v>2034.57</v>
      </c>
      <c r="J354" s="15">
        <v>2034.57</v>
      </c>
      <c r="K354" s="15">
        <v>2034.57</v>
      </c>
      <c r="L354" s="16">
        <f t="shared" si="5"/>
        <v>343</v>
      </c>
    </row>
    <row r="355" spans="1:12" x14ac:dyDescent="0.2">
      <c r="A355" s="3" t="s">
        <v>35</v>
      </c>
      <c r="C355" s="6" t="str">
        <f>"000-8030-00"</f>
        <v>000-8030-00</v>
      </c>
      <c r="D355" s="6" t="str">
        <f>"Gain or Loss on Sale of Assets"</f>
        <v>Gain or Loss on Sale of Assets</v>
      </c>
      <c r="E355" s="15">
        <v>0</v>
      </c>
      <c r="F355" s="15">
        <v>0</v>
      </c>
      <c r="G355" s="15">
        <v>0</v>
      </c>
      <c r="H355" s="15">
        <v>0</v>
      </c>
      <c r="I355" s="15">
        <v>0</v>
      </c>
      <c r="J355" s="15">
        <v>0</v>
      </c>
      <c r="K355" s="15">
        <v>0</v>
      </c>
      <c r="L355" s="16">
        <f t="shared" si="5"/>
        <v>344</v>
      </c>
    </row>
    <row r="356" spans="1:12" x14ac:dyDescent="0.2">
      <c r="A356" s="3" t="s">
        <v>35</v>
      </c>
      <c r="C356" s="6" t="str">
        <f>"000-8100-00"</f>
        <v>000-8100-00</v>
      </c>
      <c r="D356" s="6" t="str">
        <f>"Federal Income Taxes"</f>
        <v>Federal Income Taxes</v>
      </c>
      <c r="E356" s="15">
        <v>0</v>
      </c>
      <c r="F356" s="15">
        <v>0</v>
      </c>
      <c r="G356" s="15">
        <v>0</v>
      </c>
      <c r="H356" s="15">
        <v>0</v>
      </c>
      <c r="I356" s="15">
        <v>0</v>
      </c>
      <c r="J356" s="15">
        <v>0</v>
      </c>
      <c r="K356" s="15">
        <v>0</v>
      </c>
      <c r="L356" s="16">
        <f t="shared" si="5"/>
        <v>345</v>
      </c>
    </row>
    <row r="357" spans="1:12" x14ac:dyDescent="0.2">
      <c r="A357" s="3" t="s">
        <v>35</v>
      </c>
      <c r="C357" s="6" t="str">
        <f>"000-8110-00"</f>
        <v>000-8110-00</v>
      </c>
      <c r="D357" s="6" t="str">
        <f>"State Income Taxes"</f>
        <v>State Income Taxes</v>
      </c>
      <c r="E357" s="15">
        <v>0</v>
      </c>
      <c r="F357" s="15">
        <v>0</v>
      </c>
      <c r="G357" s="15">
        <v>0</v>
      </c>
      <c r="H357" s="15">
        <v>0</v>
      </c>
      <c r="I357" s="15">
        <v>0</v>
      </c>
      <c r="J357" s="15">
        <v>0</v>
      </c>
      <c r="K357" s="15">
        <v>0</v>
      </c>
      <c r="L357" s="16">
        <f t="shared" si="5"/>
        <v>346</v>
      </c>
    </row>
    <row r="358" spans="1:12" x14ac:dyDescent="0.2">
      <c r="A358" s="3" t="s">
        <v>35</v>
      </c>
      <c r="C358" s="6" t="str">
        <f>"000-8200-00"</f>
        <v>000-8200-00</v>
      </c>
      <c r="D358" s="6" t="str">
        <f>"Realized Loss on MC Transactions"</f>
        <v>Realized Loss on MC Transactions</v>
      </c>
      <c r="E358" s="15">
        <v>0</v>
      </c>
      <c r="F358" s="15">
        <v>0</v>
      </c>
      <c r="G358" s="15">
        <v>0</v>
      </c>
      <c r="H358" s="15">
        <v>0</v>
      </c>
      <c r="I358" s="15">
        <v>0</v>
      </c>
      <c r="J358" s="15">
        <v>0</v>
      </c>
      <c r="K358" s="15">
        <v>0</v>
      </c>
      <c r="L358" s="16">
        <f t="shared" si="5"/>
        <v>347</v>
      </c>
    </row>
    <row r="359" spans="1:12" x14ac:dyDescent="0.2">
      <c r="A359" s="3" t="s">
        <v>35</v>
      </c>
      <c r="C359" s="6" t="str">
        <f>"000-8201-00"</f>
        <v>000-8201-00</v>
      </c>
      <c r="D359" s="6" t="str">
        <f>"Realized Loss on MC Transactions - Z - C$ - SELL"</f>
        <v>Realized Loss on MC Transactions - Z - C$ - SELL</v>
      </c>
      <c r="E359" s="15">
        <v>0</v>
      </c>
      <c r="F359" s="15">
        <v>0</v>
      </c>
      <c r="G359" s="15">
        <v>0</v>
      </c>
      <c r="H359" s="15">
        <v>0</v>
      </c>
      <c r="I359" s="15">
        <v>0</v>
      </c>
      <c r="J359" s="15">
        <v>0</v>
      </c>
      <c r="K359" s="15">
        <v>0</v>
      </c>
      <c r="L359" s="16">
        <f t="shared" si="5"/>
        <v>348</v>
      </c>
    </row>
    <row r="360" spans="1:12" x14ac:dyDescent="0.2">
      <c r="A360" s="3" t="s">
        <v>35</v>
      </c>
      <c r="C360" s="6" t="str">
        <f>"000-8202-00"</f>
        <v>000-8202-00</v>
      </c>
      <c r="D360" s="6" t="str">
        <f>"Realized Loss on MC Transactions - Z - C$ - BUY"</f>
        <v>Realized Loss on MC Transactions - Z - C$ - BUY</v>
      </c>
      <c r="E360" s="15">
        <v>0</v>
      </c>
      <c r="F360" s="15">
        <v>0</v>
      </c>
      <c r="G360" s="15">
        <v>0</v>
      </c>
      <c r="H360" s="15">
        <v>0</v>
      </c>
      <c r="I360" s="15">
        <v>0</v>
      </c>
      <c r="J360" s="15">
        <v>0</v>
      </c>
      <c r="K360" s="15">
        <v>0</v>
      </c>
      <c r="L360" s="16">
        <f t="shared" si="5"/>
        <v>349</v>
      </c>
    </row>
    <row r="361" spans="1:12" x14ac:dyDescent="0.2">
      <c r="A361" s="3" t="s">
        <v>35</v>
      </c>
      <c r="C361" s="6" t="str">
        <f>"000-8203-00"</f>
        <v>000-8203-00</v>
      </c>
      <c r="D361" s="6" t="str">
        <f>"Realized Loss on MC Transactions - Z - C$ - AVG"</f>
        <v>Realized Loss on MC Transactions - Z - C$ - AVG</v>
      </c>
      <c r="E361" s="15">
        <v>0</v>
      </c>
      <c r="F361" s="15">
        <v>0</v>
      </c>
      <c r="G361" s="15">
        <v>0</v>
      </c>
      <c r="H361" s="15">
        <v>0</v>
      </c>
      <c r="I361" s="15">
        <v>0</v>
      </c>
      <c r="J361" s="15">
        <v>0</v>
      </c>
      <c r="K361" s="15">
        <v>0</v>
      </c>
      <c r="L361" s="16">
        <f t="shared" si="5"/>
        <v>350</v>
      </c>
    </row>
    <row r="362" spans="1:12" x14ac:dyDescent="0.2">
      <c r="A362" s="3" t="s">
        <v>35</v>
      </c>
      <c r="C362" s="6" t="str">
        <f>"000-8300-00"</f>
        <v>000-8300-00</v>
      </c>
      <c r="D362" s="6" t="str">
        <f>"Unrealized Loss on MC Transactions"</f>
        <v>Unrealized Loss on MC Transactions</v>
      </c>
      <c r="E362" s="15">
        <v>0</v>
      </c>
      <c r="F362" s="15">
        <v>0</v>
      </c>
      <c r="G362" s="15">
        <v>0</v>
      </c>
      <c r="H362" s="15">
        <v>0</v>
      </c>
      <c r="I362" s="15">
        <v>0</v>
      </c>
      <c r="J362" s="15">
        <v>0</v>
      </c>
      <c r="K362" s="15">
        <v>0</v>
      </c>
      <c r="L362" s="16">
        <f t="shared" si="5"/>
        <v>351</v>
      </c>
    </row>
    <row r="363" spans="1:12" x14ac:dyDescent="0.2">
      <c r="A363" s="3" t="s">
        <v>35</v>
      </c>
      <c r="C363" s="6" t="str">
        <f>"000-8301-00"</f>
        <v>000-8301-00</v>
      </c>
      <c r="D363" s="6" t="str">
        <f>"Unrealized Loss on MC Transactions - Canada"</f>
        <v>Unrealized Loss on MC Transactions - Canada</v>
      </c>
      <c r="E363" s="15">
        <v>0</v>
      </c>
      <c r="F363" s="15">
        <v>0</v>
      </c>
      <c r="G363" s="15">
        <v>0</v>
      </c>
      <c r="H363" s="15">
        <v>0</v>
      </c>
      <c r="I363" s="15">
        <v>0</v>
      </c>
      <c r="J363" s="15">
        <v>0</v>
      </c>
      <c r="K363" s="15">
        <v>0</v>
      </c>
      <c r="L363" s="16">
        <f t="shared" si="5"/>
        <v>352</v>
      </c>
    </row>
    <row r="364" spans="1:12" x14ac:dyDescent="0.2">
      <c r="A364" s="3" t="s">
        <v>35</v>
      </c>
      <c r="C364" s="6" t="str">
        <f>"000-8302-00"</f>
        <v>000-8302-00</v>
      </c>
      <c r="D364" s="6" t="str">
        <f>"Unrealized Loss on MC Transactions - Australia"</f>
        <v>Unrealized Loss on MC Transactions - Australia</v>
      </c>
      <c r="E364" s="15">
        <v>0</v>
      </c>
      <c r="F364" s="15">
        <v>0</v>
      </c>
      <c r="G364" s="15">
        <v>0</v>
      </c>
      <c r="H364" s="15">
        <v>0</v>
      </c>
      <c r="I364" s="15">
        <v>0</v>
      </c>
      <c r="J364" s="15">
        <v>0</v>
      </c>
      <c r="K364" s="15">
        <v>0</v>
      </c>
      <c r="L364" s="16">
        <f t="shared" si="5"/>
        <v>353</v>
      </c>
    </row>
    <row r="365" spans="1:12" x14ac:dyDescent="0.2">
      <c r="A365" s="3" t="s">
        <v>35</v>
      </c>
      <c r="C365" s="6" t="str">
        <f>"000-8303-00"</f>
        <v>000-8303-00</v>
      </c>
      <c r="D365" s="6" t="str">
        <f>"Unrealized Loss on MC Transactions - New Zealand"</f>
        <v>Unrealized Loss on MC Transactions - New Zealand</v>
      </c>
      <c r="E365" s="15">
        <v>0</v>
      </c>
      <c r="F365" s="15">
        <v>0</v>
      </c>
      <c r="G365" s="15">
        <v>0</v>
      </c>
      <c r="H365" s="15">
        <v>0</v>
      </c>
      <c r="I365" s="15">
        <v>0</v>
      </c>
      <c r="J365" s="15">
        <v>0</v>
      </c>
      <c r="K365" s="15">
        <v>0</v>
      </c>
      <c r="L365" s="16">
        <f t="shared" si="5"/>
        <v>354</v>
      </c>
    </row>
    <row r="366" spans="1:12" x14ac:dyDescent="0.2">
      <c r="A366" s="3" t="s">
        <v>35</v>
      </c>
      <c r="C366" s="6" t="str">
        <f>"000-8304-00"</f>
        <v>000-8304-00</v>
      </c>
      <c r="D366" s="6" t="str">
        <f>"Unrealized Loss on MC Transactions - Germany"</f>
        <v>Unrealized Loss on MC Transactions - Germany</v>
      </c>
      <c r="E366" s="15">
        <v>0</v>
      </c>
      <c r="F366" s="15">
        <v>0</v>
      </c>
      <c r="G366" s="15">
        <v>0</v>
      </c>
      <c r="H366" s="15">
        <v>0</v>
      </c>
      <c r="I366" s="15">
        <v>0</v>
      </c>
      <c r="J366" s="15">
        <v>0</v>
      </c>
      <c r="K366" s="15">
        <v>0</v>
      </c>
      <c r="L366" s="16">
        <f t="shared" si="5"/>
        <v>355</v>
      </c>
    </row>
    <row r="367" spans="1:12" x14ac:dyDescent="0.2">
      <c r="A367" s="3" t="s">
        <v>35</v>
      </c>
      <c r="C367" s="6" t="str">
        <f>"000-8305-00"</f>
        <v>000-8305-00</v>
      </c>
      <c r="D367" s="6" t="str">
        <f>"Unrealized Loss on MC Transactions - United Kingdo"</f>
        <v>Unrealized Loss on MC Transactions - United Kingdo</v>
      </c>
      <c r="E367" s="15">
        <v>0</v>
      </c>
      <c r="F367" s="15">
        <v>0</v>
      </c>
      <c r="G367" s="15">
        <v>0</v>
      </c>
      <c r="H367" s="15">
        <v>0</v>
      </c>
      <c r="I367" s="15">
        <v>0</v>
      </c>
      <c r="J367" s="15">
        <v>0</v>
      </c>
      <c r="K367" s="15">
        <v>0</v>
      </c>
      <c r="L367" s="16">
        <f t="shared" si="5"/>
        <v>356</v>
      </c>
    </row>
    <row r="368" spans="1:12" x14ac:dyDescent="0.2">
      <c r="A368" s="3" t="s">
        <v>35</v>
      </c>
      <c r="C368" s="6" t="str">
        <f>"000-8306-00"</f>
        <v>000-8306-00</v>
      </c>
      <c r="D368" s="6" t="str">
        <f>"Unrealized Loss on MC Transactions - South Africa"</f>
        <v>Unrealized Loss on MC Transactions - South Africa</v>
      </c>
      <c r="E368" s="15">
        <v>0</v>
      </c>
      <c r="F368" s="15">
        <v>0</v>
      </c>
      <c r="G368" s="15">
        <v>0</v>
      </c>
      <c r="H368" s="15">
        <v>0</v>
      </c>
      <c r="I368" s="15">
        <v>0</v>
      </c>
      <c r="J368" s="15">
        <v>0</v>
      </c>
      <c r="K368" s="15">
        <v>0</v>
      </c>
      <c r="L368" s="16">
        <f t="shared" si="5"/>
        <v>357</v>
      </c>
    </row>
    <row r="369" spans="1:12" x14ac:dyDescent="0.2">
      <c r="A369" s="3" t="s">
        <v>35</v>
      </c>
      <c r="C369" s="6" t="str">
        <f>"000-8307-00"</f>
        <v>000-8307-00</v>
      </c>
      <c r="D369" s="6" t="str">
        <f>"Unrealized Loss on MC Transactions - Singapore"</f>
        <v>Unrealized Loss on MC Transactions - Singapore</v>
      </c>
      <c r="E369" s="15">
        <v>0</v>
      </c>
      <c r="F369" s="15">
        <v>0</v>
      </c>
      <c r="G369" s="15">
        <v>0</v>
      </c>
      <c r="H369" s="15">
        <v>0</v>
      </c>
      <c r="I369" s="15">
        <v>0</v>
      </c>
      <c r="J369" s="15">
        <v>0</v>
      </c>
      <c r="K369" s="15">
        <v>0</v>
      </c>
      <c r="L369" s="16">
        <f t="shared" si="5"/>
        <v>358</v>
      </c>
    </row>
    <row r="370" spans="1:12" x14ac:dyDescent="0.2">
      <c r="A370" s="3" t="s">
        <v>35</v>
      </c>
      <c r="C370" s="6" t="str">
        <f>"000-8410-00"</f>
        <v>000-8410-00</v>
      </c>
      <c r="D370" s="6" t="str">
        <f>"Billings in Excess of Earnings"</f>
        <v>Billings in Excess of Earnings</v>
      </c>
      <c r="E370" s="15">
        <v>0</v>
      </c>
      <c r="F370" s="15">
        <v>0</v>
      </c>
      <c r="G370" s="15">
        <v>0</v>
      </c>
      <c r="H370" s="15">
        <v>0</v>
      </c>
      <c r="I370" s="15">
        <v>0</v>
      </c>
      <c r="J370" s="15">
        <v>0</v>
      </c>
      <c r="K370" s="15">
        <v>0</v>
      </c>
      <c r="L370" s="16">
        <f t="shared" si="5"/>
        <v>359</v>
      </c>
    </row>
    <row r="371" spans="1:12" x14ac:dyDescent="0.2">
      <c r="A371" s="3" t="s">
        <v>35</v>
      </c>
      <c r="C371" s="6" t="str">
        <f>"000-8510-00"</f>
        <v>000-8510-00</v>
      </c>
      <c r="D371" s="6" t="str">
        <f>"Earnings in Excess of Billings"</f>
        <v>Earnings in Excess of Billings</v>
      </c>
      <c r="E371" s="15">
        <v>0</v>
      </c>
      <c r="F371" s="15">
        <v>0</v>
      </c>
      <c r="G371" s="15">
        <v>0</v>
      </c>
      <c r="H371" s="15">
        <v>0</v>
      </c>
      <c r="I371" s="15">
        <v>0</v>
      </c>
      <c r="J371" s="15">
        <v>0</v>
      </c>
      <c r="K371" s="15">
        <v>0</v>
      </c>
      <c r="L371" s="16">
        <f t="shared" si="5"/>
        <v>360</v>
      </c>
    </row>
    <row r="372" spans="1:12" x14ac:dyDescent="0.2">
      <c r="A372" s="3" t="s">
        <v>35</v>
      </c>
      <c r="C372" s="6" t="str">
        <f>"000-8610-00"</f>
        <v>000-8610-00</v>
      </c>
      <c r="D372" s="6" t="str">
        <f>"Project Deferred Revenue"</f>
        <v>Project Deferred Revenue</v>
      </c>
      <c r="E372" s="15">
        <v>0</v>
      </c>
      <c r="F372" s="15">
        <v>0</v>
      </c>
      <c r="G372" s="15">
        <v>0</v>
      </c>
      <c r="H372" s="15">
        <v>0</v>
      </c>
      <c r="I372" s="15">
        <v>0</v>
      </c>
      <c r="J372" s="15">
        <v>0</v>
      </c>
      <c r="K372" s="15">
        <v>0</v>
      </c>
      <c r="L372" s="16">
        <f t="shared" si="5"/>
        <v>361</v>
      </c>
    </row>
    <row r="373" spans="1:12" x14ac:dyDescent="0.2">
      <c r="A373" s="3" t="s">
        <v>35</v>
      </c>
      <c r="C373" s="6" t="str">
        <f>"000-8710-00"</f>
        <v>000-8710-00</v>
      </c>
      <c r="D373" s="6" t="str">
        <f>"Retentions Account Receivable"</f>
        <v>Retentions Account Receivable</v>
      </c>
      <c r="E373" s="15">
        <v>0</v>
      </c>
      <c r="F373" s="15">
        <v>0</v>
      </c>
      <c r="G373" s="15">
        <v>0</v>
      </c>
      <c r="H373" s="15">
        <v>0</v>
      </c>
      <c r="I373" s="15">
        <v>0</v>
      </c>
      <c r="J373" s="15">
        <v>0</v>
      </c>
      <c r="K373" s="15">
        <v>0</v>
      </c>
      <c r="L373" s="16">
        <f t="shared" si="5"/>
        <v>362</v>
      </c>
    </row>
    <row r="374" spans="1:12" x14ac:dyDescent="0.2">
      <c r="A374" s="3" t="s">
        <v>35</v>
      </c>
      <c r="C374" s="6" t="str">
        <f>"000-9040-00"</f>
        <v>000-9040-00</v>
      </c>
      <c r="D374" s="6" t="str">
        <f>"Number of Telephone Installations"</f>
        <v>Number of Telephone Installations</v>
      </c>
      <c r="E374" s="15">
        <v>0</v>
      </c>
      <c r="F374" s="15">
        <v>0</v>
      </c>
      <c r="G374" s="15">
        <v>0</v>
      </c>
      <c r="H374" s="15">
        <v>0</v>
      </c>
      <c r="I374" s="15">
        <v>0</v>
      </c>
      <c r="J374" s="15">
        <v>0</v>
      </c>
      <c r="K374" s="15">
        <v>0</v>
      </c>
      <c r="L374" s="16">
        <f t="shared" si="5"/>
        <v>363</v>
      </c>
    </row>
    <row r="375" spans="1:12" x14ac:dyDescent="0.2">
      <c r="A375" s="3" t="s">
        <v>35</v>
      </c>
      <c r="C375" s="6" t="str">
        <f>"100-5100-00"</f>
        <v>100-5100-00</v>
      </c>
      <c r="D375" s="6" t="str">
        <f>"Salaries and Wages - Administration"</f>
        <v>Salaries and Wages - Administration</v>
      </c>
      <c r="E375" s="15">
        <v>0</v>
      </c>
      <c r="F375" s="15">
        <v>0</v>
      </c>
      <c r="G375" s="15">
        <v>0</v>
      </c>
      <c r="H375" s="15">
        <v>0</v>
      </c>
      <c r="I375" s="15">
        <v>0</v>
      </c>
      <c r="J375" s="15">
        <v>0</v>
      </c>
      <c r="K375" s="15">
        <v>0</v>
      </c>
      <c r="L375" s="16">
        <f t="shared" si="5"/>
        <v>364</v>
      </c>
    </row>
    <row r="376" spans="1:12" x14ac:dyDescent="0.2">
      <c r="A376" s="3" t="s">
        <v>35</v>
      </c>
      <c r="C376" s="6" t="str">
        <f>"100-5110-00"</f>
        <v>100-5110-00</v>
      </c>
      <c r="D376" s="6" t="str">
        <f>"Overtime Pay - Administration"</f>
        <v>Overtime Pay - Administration</v>
      </c>
      <c r="E376" s="15">
        <v>0</v>
      </c>
      <c r="F376" s="15">
        <v>0</v>
      </c>
      <c r="G376" s="15">
        <v>0</v>
      </c>
      <c r="H376" s="15">
        <v>0</v>
      </c>
      <c r="I376" s="15">
        <v>0</v>
      </c>
      <c r="J376" s="15">
        <v>0</v>
      </c>
      <c r="K376" s="15">
        <v>0</v>
      </c>
      <c r="L376" s="16">
        <f t="shared" si="5"/>
        <v>365</v>
      </c>
    </row>
    <row r="377" spans="1:12" x14ac:dyDescent="0.2">
      <c r="A377" s="3" t="s">
        <v>35</v>
      </c>
      <c r="C377" s="6" t="str">
        <f>"100-5120-00"</f>
        <v>100-5120-00</v>
      </c>
      <c r="D377" s="6" t="str">
        <f>"Bonuses - Administration"</f>
        <v>Bonuses - Administration</v>
      </c>
      <c r="E377" s="15">
        <v>0</v>
      </c>
      <c r="F377" s="15">
        <v>0</v>
      </c>
      <c r="G377" s="15">
        <v>0</v>
      </c>
      <c r="H377" s="15">
        <v>0</v>
      </c>
      <c r="I377" s="15">
        <v>0</v>
      </c>
      <c r="J377" s="15">
        <v>0</v>
      </c>
      <c r="K377" s="15">
        <v>0</v>
      </c>
      <c r="L377" s="16">
        <f t="shared" si="5"/>
        <v>366</v>
      </c>
    </row>
    <row r="378" spans="1:12" x14ac:dyDescent="0.2">
      <c r="A378" s="3" t="s">
        <v>35</v>
      </c>
      <c r="C378" s="6" t="str">
        <f>"100-5140-00"</f>
        <v>100-5140-00</v>
      </c>
      <c r="D378" s="6" t="str">
        <f>"Profit Sharing - Administration"</f>
        <v>Profit Sharing - Administration</v>
      </c>
      <c r="E378" s="15">
        <v>0</v>
      </c>
      <c r="F378" s="15">
        <v>0</v>
      </c>
      <c r="G378" s="15">
        <v>0</v>
      </c>
      <c r="H378" s="15">
        <v>0</v>
      </c>
      <c r="I378" s="15">
        <v>0</v>
      </c>
      <c r="J378" s="15">
        <v>0</v>
      </c>
      <c r="K378" s="15">
        <v>0</v>
      </c>
      <c r="L378" s="16">
        <f t="shared" si="5"/>
        <v>367</v>
      </c>
    </row>
    <row r="379" spans="1:12" x14ac:dyDescent="0.2">
      <c r="A379" s="3" t="s">
        <v>35</v>
      </c>
      <c r="C379" s="6" t="str">
        <f>"100-5150-00"</f>
        <v>100-5150-00</v>
      </c>
      <c r="D379" s="6" t="str">
        <f>"Employee Benefits - Administration"</f>
        <v>Employee Benefits - Administration</v>
      </c>
      <c r="E379" s="15">
        <v>10082.799999999999</v>
      </c>
      <c r="F379" s="15">
        <v>11508.29</v>
      </c>
      <c r="G379" s="15">
        <v>12934.03</v>
      </c>
      <c r="H379" s="15">
        <v>14366.04</v>
      </c>
      <c r="I379" s="15">
        <v>15797.36</v>
      </c>
      <c r="J379" s="15">
        <v>17176.900000000001</v>
      </c>
      <c r="K379" s="15">
        <v>18609.64</v>
      </c>
      <c r="L379" s="16">
        <f t="shared" si="5"/>
        <v>368</v>
      </c>
    </row>
    <row r="380" spans="1:12" x14ac:dyDescent="0.2">
      <c r="A380" s="3" t="s">
        <v>35</v>
      </c>
      <c r="C380" s="6" t="str">
        <f>"100-5160-00"</f>
        <v>100-5160-00</v>
      </c>
      <c r="D380" s="6" t="str">
        <f>"Health Insurance Expense - Administration"</f>
        <v>Health Insurance Expense - Administration</v>
      </c>
      <c r="E380" s="15">
        <v>0</v>
      </c>
      <c r="F380" s="15">
        <v>0</v>
      </c>
      <c r="G380" s="15">
        <v>0</v>
      </c>
      <c r="H380" s="15">
        <v>0</v>
      </c>
      <c r="I380" s="15">
        <v>0</v>
      </c>
      <c r="J380" s="15">
        <v>0</v>
      </c>
      <c r="K380" s="15">
        <v>0</v>
      </c>
      <c r="L380" s="16">
        <f t="shared" si="5"/>
        <v>369</v>
      </c>
    </row>
    <row r="381" spans="1:12" x14ac:dyDescent="0.2">
      <c r="A381" s="3" t="s">
        <v>35</v>
      </c>
      <c r="C381" s="6" t="str">
        <f>"100-5170-00"</f>
        <v>100-5170-00</v>
      </c>
      <c r="D381" s="6" t="str">
        <f>"Payroll Taxes - Administration"</f>
        <v>Payroll Taxes - Administration</v>
      </c>
      <c r="E381" s="15">
        <v>3736.96</v>
      </c>
      <c r="F381" s="15">
        <v>4146.24</v>
      </c>
      <c r="G381" s="15">
        <v>4553.0200000000004</v>
      </c>
      <c r="H381" s="15">
        <v>4972.5600000000004</v>
      </c>
      <c r="I381" s="15">
        <v>5386.24</v>
      </c>
      <c r="J381" s="15">
        <v>5785.55</v>
      </c>
      <c r="K381" s="15">
        <v>6199.12</v>
      </c>
      <c r="L381" s="16">
        <f t="shared" si="5"/>
        <v>370</v>
      </c>
    </row>
    <row r="382" spans="1:12" x14ac:dyDescent="0.2">
      <c r="A382" s="3" t="s">
        <v>35</v>
      </c>
      <c r="C382" s="6" t="str">
        <f>"100-6100-00"</f>
        <v>100-6100-00</v>
      </c>
      <c r="D382" s="6" t="str">
        <f>"Training - Administration"</f>
        <v>Training - Administration</v>
      </c>
      <c r="E382" s="15">
        <v>1500</v>
      </c>
      <c r="F382" s="15">
        <v>1500</v>
      </c>
      <c r="G382" s="15">
        <v>1500</v>
      </c>
      <c r="H382" s="15">
        <v>1500</v>
      </c>
      <c r="I382" s="15">
        <v>1500</v>
      </c>
      <c r="J382" s="15">
        <v>1500</v>
      </c>
      <c r="K382" s="15">
        <v>1500</v>
      </c>
      <c r="L382" s="16">
        <f t="shared" si="5"/>
        <v>371</v>
      </c>
    </row>
    <row r="383" spans="1:12" x14ac:dyDescent="0.2">
      <c r="A383" s="3" t="s">
        <v>35</v>
      </c>
      <c r="C383" s="6" t="str">
        <f>"100-6110-00"</f>
        <v>100-6110-00</v>
      </c>
      <c r="D383" s="6" t="str">
        <f>"Company Car - Administration"</f>
        <v>Company Car - Administration</v>
      </c>
      <c r="E383" s="15">
        <v>297.5</v>
      </c>
      <c r="F383" s="15">
        <v>297.5</v>
      </c>
      <c r="G383" s="15">
        <v>297.5</v>
      </c>
      <c r="H383" s="15">
        <v>297.5</v>
      </c>
      <c r="I383" s="15">
        <v>297.5</v>
      </c>
      <c r="J383" s="15">
        <v>297.5</v>
      </c>
      <c r="K383" s="15">
        <v>297.5</v>
      </c>
      <c r="L383" s="16">
        <f t="shared" si="5"/>
        <v>372</v>
      </c>
    </row>
    <row r="384" spans="1:12" x14ac:dyDescent="0.2">
      <c r="A384" s="3" t="s">
        <v>35</v>
      </c>
      <c r="C384" s="6" t="str">
        <f>"100-6120-00"</f>
        <v>100-6120-00</v>
      </c>
      <c r="D384" s="6" t="str">
        <f>"Supplies/Rental - Administration"</f>
        <v>Supplies/Rental - Administration</v>
      </c>
      <c r="E384" s="15">
        <v>0</v>
      </c>
      <c r="F384" s="15">
        <v>0</v>
      </c>
      <c r="G384" s="15">
        <v>0</v>
      </c>
      <c r="H384" s="15">
        <v>0</v>
      </c>
      <c r="I384" s="15">
        <v>0</v>
      </c>
      <c r="J384" s="15">
        <v>0</v>
      </c>
      <c r="K384" s="15">
        <v>0</v>
      </c>
      <c r="L384" s="16">
        <f t="shared" si="5"/>
        <v>373</v>
      </c>
    </row>
    <row r="385" spans="1:12" x14ac:dyDescent="0.2">
      <c r="A385" s="3" t="s">
        <v>35</v>
      </c>
      <c r="C385" s="6" t="str">
        <f>"100-6130-00"</f>
        <v>100-6130-00</v>
      </c>
      <c r="D385" s="6" t="str">
        <f>"Supplies/Hardware - Administration"</f>
        <v>Supplies/Hardware - Administration</v>
      </c>
      <c r="E385" s="15">
        <v>249.5</v>
      </c>
      <c r="F385" s="15">
        <v>249.5</v>
      </c>
      <c r="G385" s="15">
        <v>249.5</v>
      </c>
      <c r="H385" s="15">
        <v>249.5</v>
      </c>
      <c r="I385" s="15">
        <v>249.5</v>
      </c>
      <c r="J385" s="15">
        <v>249.5</v>
      </c>
      <c r="K385" s="15">
        <v>249.5</v>
      </c>
      <c r="L385" s="16">
        <f t="shared" si="5"/>
        <v>374</v>
      </c>
    </row>
    <row r="386" spans="1:12" x14ac:dyDescent="0.2">
      <c r="A386" s="3" t="s">
        <v>35</v>
      </c>
      <c r="C386" s="6" t="str">
        <f>"100-6140-00"</f>
        <v>100-6140-00</v>
      </c>
      <c r="D386" s="6" t="str">
        <f>"Supplies/Software - Administation"</f>
        <v>Supplies/Software - Administation</v>
      </c>
      <c r="E386" s="15">
        <v>229</v>
      </c>
      <c r="F386" s="15">
        <v>229</v>
      </c>
      <c r="G386" s="15">
        <v>229</v>
      </c>
      <c r="H386" s="15">
        <v>229</v>
      </c>
      <c r="I386" s="15">
        <v>229</v>
      </c>
      <c r="J386" s="15">
        <v>229</v>
      </c>
      <c r="K386" s="15">
        <v>229</v>
      </c>
      <c r="L386" s="16">
        <f t="shared" si="5"/>
        <v>375</v>
      </c>
    </row>
    <row r="387" spans="1:12" x14ac:dyDescent="0.2">
      <c r="A387" s="3" t="s">
        <v>35</v>
      </c>
      <c r="C387" s="6" t="str">
        <f>"100-6150-00"</f>
        <v>100-6150-00</v>
      </c>
      <c r="D387" s="6" t="str">
        <f>"Supplies-Allocated - Administration"</f>
        <v>Supplies-Allocated - Administration</v>
      </c>
      <c r="E387" s="15">
        <v>243.75</v>
      </c>
      <c r="F387" s="15">
        <v>243.75</v>
      </c>
      <c r="G387" s="15">
        <v>243.75</v>
      </c>
      <c r="H387" s="15">
        <v>243.75</v>
      </c>
      <c r="I387" s="15">
        <v>243.75</v>
      </c>
      <c r="J387" s="15">
        <v>243.75</v>
      </c>
      <c r="K387" s="15">
        <v>243.75</v>
      </c>
      <c r="L387" s="16">
        <f t="shared" si="5"/>
        <v>376</v>
      </c>
    </row>
    <row r="388" spans="1:12" x14ac:dyDescent="0.2">
      <c r="A388" s="3" t="s">
        <v>35</v>
      </c>
      <c r="C388" s="6" t="str">
        <f>"100-6160-00"</f>
        <v>100-6160-00</v>
      </c>
      <c r="D388" s="6" t="str">
        <f>"Dues &amp; Subscriptions - Administration"</f>
        <v>Dues &amp; Subscriptions - Administration</v>
      </c>
      <c r="E388" s="15">
        <v>50</v>
      </c>
      <c r="F388" s="15">
        <v>50</v>
      </c>
      <c r="G388" s="15">
        <v>50</v>
      </c>
      <c r="H388" s="15">
        <v>50</v>
      </c>
      <c r="I388" s="15">
        <v>50</v>
      </c>
      <c r="J388" s="15">
        <v>50</v>
      </c>
      <c r="K388" s="15">
        <v>50</v>
      </c>
      <c r="L388" s="16">
        <f t="shared" si="5"/>
        <v>377</v>
      </c>
    </row>
    <row r="389" spans="1:12" x14ac:dyDescent="0.2">
      <c r="A389" s="3" t="s">
        <v>35</v>
      </c>
      <c r="C389" s="6" t="str">
        <f>"100-6170-00"</f>
        <v>100-6170-00</v>
      </c>
      <c r="D389" s="6" t="str">
        <f>"Repairs &amp; Maintenance - Administration"</f>
        <v>Repairs &amp; Maintenance - Administration</v>
      </c>
      <c r="E389" s="15">
        <v>259.31</v>
      </c>
      <c r="F389" s="15">
        <v>259.31</v>
      </c>
      <c r="G389" s="15">
        <v>259.31</v>
      </c>
      <c r="H389" s="15">
        <v>259.31</v>
      </c>
      <c r="I389" s="15">
        <v>259.31</v>
      </c>
      <c r="J389" s="15">
        <v>259.31</v>
      </c>
      <c r="K389" s="15">
        <v>259.31</v>
      </c>
      <c r="L389" s="16">
        <f t="shared" si="5"/>
        <v>378</v>
      </c>
    </row>
    <row r="390" spans="1:12" x14ac:dyDescent="0.2">
      <c r="A390" s="3" t="s">
        <v>35</v>
      </c>
      <c r="C390" s="6" t="str">
        <f>"100-6180-00"</f>
        <v>100-6180-00</v>
      </c>
      <c r="D390" s="6" t="str">
        <f>"Rent Expense - Administration"</f>
        <v>Rent Expense - Administration</v>
      </c>
      <c r="E390" s="15">
        <v>2787.19</v>
      </c>
      <c r="F390" s="15">
        <v>2787.19</v>
      </c>
      <c r="G390" s="15">
        <v>2787.19</v>
      </c>
      <c r="H390" s="15">
        <v>2787.19</v>
      </c>
      <c r="I390" s="15">
        <v>2787.19</v>
      </c>
      <c r="J390" s="15">
        <v>2787.19</v>
      </c>
      <c r="K390" s="15">
        <v>2787.19</v>
      </c>
      <c r="L390" s="16">
        <f t="shared" si="5"/>
        <v>379</v>
      </c>
    </row>
    <row r="391" spans="1:12" x14ac:dyDescent="0.2">
      <c r="A391" s="3" t="s">
        <v>35</v>
      </c>
      <c r="C391" s="6" t="str">
        <f>"100-6190-00"</f>
        <v>100-6190-00</v>
      </c>
      <c r="D391" s="6" t="str">
        <f>"Utilities Expense - Administration"</f>
        <v>Utilities Expense - Administration</v>
      </c>
      <c r="E391" s="15">
        <v>315.79000000000002</v>
      </c>
      <c r="F391" s="15">
        <v>315.79000000000002</v>
      </c>
      <c r="G391" s="15">
        <v>315.79000000000002</v>
      </c>
      <c r="H391" s="15">
        <v>315.79000000000002</v>
      </c>
      <c r="I391" s="15">
        <v>315.79000000000002</v>
      </c>
      <c r="J391" s="15">
        <v>315.79000000000002</v>
      </c>
      <c r="K391" s="15">
        <v>315.79000000000002</v>
      </c>
      <c r="L391" s="16">
        <f t="shared" si="5"/>
        <v>380</v>
      </c>
    </row>
    <row r="392" spans="1:12" x14ac:dyDescent="0.2">
      <c r="A392" s="3" t="s">
        <v>35</v>
      </c>
      <c r="C392" s="6" t="str">
        <f>"100-6500-00"</f>
        <v>100-6500-00</v>
      </c>
      <c r="D392" s="6" t="str">
        <f>"Postage/Freight - Administration"</f>
        <v>Postage/Freight - Administration</v>
      </c>
      <c r="E392" s="15">
        <v>77.91</v>
      </c>
      <c r="F392" s="15">
        <v>77.91</v>
      </c>
      <c r="G392" s="15">
        <v>77.91</v>
      </c>
      <c r="H392" s="15">
        <v>77.91</v>
      </c>
      <c r="I392" s="15">
        <v>77.91</v>
      </c>
      <c r="J392" s="15">
        <v>77.91</v>
      </c>
      <c r="K392" s="15">
        <v>77.91</v>
      </c>
      <c r="L392" s="16">
        <f t="shared" si="5"/>
        <v>381</v>
      </c>
    </row>
    <row r="393" spans="1:12" x14ac:dyDescent="0.2">
      <c r="A393" s="3" t="s">
        <v>35</v>
      </c>
      <c r="C393" s="6" t="str">
        <f>"100-6510-00"</f>
        <v>100-6510-00</v>
      </c>
      <c r="D393" s="6" t="str">
        <f>"Telephone - Administration"</f>
        <v>Telephone - Administration</v>
      </c>
      <c r="E393" s="15">
        <v>2253.5300000000002</v>
      </c>
      <c r="F393" s="15">
        <v>2253.5300000000002</v>
      </c>
      <c r="G393" s="15">
        <v>2253.5300000000002</v>
      </c>
      <c r="H393" s="15">
        <v>2253.5300000000002</v>
      </c>
      <c r="I393" s="15">
        <v>2253.5300000000002</v>
      </c>
      <c r="J393" s="15">
        <v>2253.5300000000002</v>
      </c>
      <c r="K393" s="15">
        <v>2253.5300000000002</v>
      </c>
      <c r="L393" s="16">
        <f t="shared" si="5"/>
        <v>382</v>
      </c>
    </row>
    <row r="394" spans="1:12" x14ac:dyDescent="0.2">
      <c r="A394" s="3" t="s">
        <v>35</v>
      </c>
      <c r="C394" s="6" t="str">
        <f>"100-6520-00"</f>
        <v>100-6520-00</v>
      </c>
      <c r="D394" s="6" t="str">
        <f>"Travel - Administration"</f>
        <v>Travel - Administration</v>
      </c>
      <c r="E394" s="15">
        <v>2049.2800000000002</v>
      </c>
      <c r="F394" s="15">
        <v>2049.2800000000002</v>
      </c>
      <c r="G394" s="15">
        <v>2049.2800000000002</v>
      </c>
      <c r="H394" s="15">
        <v>2049.2800000000002</v>
      </c>
      <c r="I394" s="15">
        <v>2049.2800000000002</v>
      </c>
      <c r="J394" s="15">
        <v>2049.2800000000002</v>
      </c>
      <c r="K394" s="15">
        <v>2049.2800000000002</v>
      </c>
      <c r="L394" s="16">
        <f t="shared" si="5"/>
        <v>383</v>
      </c>
    </row>
    <row r="395" spans="1:12" x14ac:dyDescent="0.2">
      <c r="A395" s="3" t="s">
        <v>35</v>
      </c>
      <c r="C395" s="6" t="str">
        <f>"100-6530-00"</f>
        <v>100-6530-00</v>
      </c>
      <c r="D395" s="6" t="str">
        <f>"Meals/Entertainment - Administration"</f>
        <v>Meals/Entertainment - Administration</v>
      </c>
      <c r="E395" s="15">
        <v>250</v>
      </c>
      <c r="F395" s="15">
        <v>250</v>
      </c>
      <c r="G395" s="15">
        <v>250</v>
      </c>
      <c r="H395" s="15">
        <v>250</v>
      </c>
      <c r="I395" s="15">
        <v>250</v>
      </c>
      <c r="J395" s="15">
        <v>250</v>
      </c>
      <c r="K395" s="15">
        <v>250</v>
      </c>
      <c r="L395" s="16">
        <f t="shared" si="5"/>
        <v>384</v>
      </c>
    </row>
    <row r="396" spans="1:12" x14ac:dyDescent="0.2">
      <c r="A396" s="3" t="s">
        <v>35</v>
      </c>
      <c r="C396" s="6" t="str">
        <f>"100-9010-00"</f>
        <v>100-9010-00</v>
      </c>
      <c r="D396" s="6" t="str">
        <f>"Square Footage-Administration"</f>
        <v>Square Footage-Administration</v>
      </c>
      <c r="E396" s="15">
        <v>50000</v>
      </c>
      <c r="F396" s="15">
        <v>50000</v>
      </c>
      <c r="G396" s="15">
        <v>50000</v>
      </c>
      <c r="H396" s="15">
        <v>50000</v>
      </c>
      <c r="I396" s="15">
        <v>50000</v>
      </c>
      <c r="J396" s="15">
        <v>50000</v>
      </c>
      <c r="K396" s="15">
        <v>50000</v>
      </c>
      <c r="L396" s="16">
        <f t="shared" si="5"/>
        <v>385</v>
      </c>
    </row>
    <row r="397" spans="1:12" x14ac:dyDescent="0.2">
      <c r="A397" s="3" t="s">
        <v>35</v>
      </c>
      <c r="C397" s="6" t="str">
        <f>"100-9020-00"</f>
        <v>100-9020-00</v>
      </c>
      <c r="D397" s="6" t="str">
        <f>"Employee Count-Administration"</f>
        <v>Employee Count-Administration</v>
      </c>
      <c r="E397" s="15">
        <v>0</v>
      </c>
      <c r="F397" s="15">
        <v>0</v>
      </c>
      <c r="G397" s="15">
        <v>0</v>
      </c>
      <c r="H397" s="15">
        <v>0</v>
      </c>
      <c r="I397" s="15">
        <v>0</v>
      </c>
      <c r="J397" s="15">
        <v>0</v>
      </c>
      <c r="K397" s="15">
        <v>0</v>
      </c>
      <c r="L397" s="16">
        <f t="shared" ref="L397:L460" si="6">L396+1</f>
        <v>386</v>
      </c>
    </row>
    <row r="398" spans="1:12" x14ac:dyDescent="0.2">
      <c r="A398" s="3" t="s">
        <v>35</v>
      </c>
      <c r="C398" s="6" t="str">
        <f>"100-9030-00"</f>
        <v>100-9030-00</v>
      </c>
      <c r="D398" s="6" t="str">
        <f>"Fixed Assets-Computer Cabinets"</f>
        <v>Fixed Assets-Computer Cabinets</v>
      </c>
      <c r="E398" s="15">
        <v>0</v>
      </c>
      <c r="F398" s="15">
        <v>0</v>
      </c>
      <c r="G398" s="15">
        <v>0</v>
      </c>
      <c r="H398" s="15">
        <v>0</v>
      </c>
      <c r="I398" s="15">
        <v>0</v>
      </c>
      <c r="J398" s="15">
        <v>0</v>
      </c>
      <c r="K398" s="15">
        <v>0</v>
      </c>
      <c r="L398" s="16">
        <f t="shared" si="6"/>
        <v>387</v>
      </c>
    </row>
    <row r="399" spans="1:12" x14ac:dyDescent="0.2">
      <c r="A399" s="3" t="s">
        <v>35</v>
      </c>
      <c r="C399" s="6" t="str">
        <f>"200-5100-00"</f>
        <v>200-5100-00</v>
      </c>
      <c r="D399" s="6" t="str">
        <f>"Salaries and Wages - Accounting"</f>
        <v>Salaries and Wages - Accounting</v>
      </c>
      <c r="E399" s="15">
        <v>0</v>
      </c>
      <c r="F399" s="15">
        <v>0</v>
      </c>
      <c r="G399" s="15">
        <v>0</v>
      </c>
      <c r="H399" s="15">
        <v>0</v>
      </c>
      <c r="I399" s="15">
        <v>0</v>
      </c>
      <c r="J399" s="15">
        <v>0</v>
      </c>
      <c r="K399" s="15">
        <v>0</v>
      </c>
      <c r="L399" s="16">
        <f t="shared" si="6"/>
        <v>388</v>
      </c>
    </row>
    <row r="400" spans="1:12" x14ac:dyDescent="0.2">
      <c r="A400" s="3" t="s">
        <v>35</v>
      </c>
      <c r="C400" s="6" t="str">
        <f>"200-5110-00"</f>
        <v>200-5110-00</v>
      </c>
      <c r="D400" s="6" t="str">
        <f>"Overtime Pay - Accounting"</f>
        <v>Overtime Pay - Accounting</v>
      </c>
      <c r="E400" s="15">
        <v>0</v>
      </c>
      <c r="F400" s="15">
        <v>0</v>
      </c>
      <c r="G400" s="15">
        <v>0</v>
      </c>
      <c r="H400" s="15">
        <v>0</v>
      </c>
      <c r="I400" s="15">
        <v>0</v>
      </c>
      <c r="J400" s="15">
        <v>0</v>
      </c>
      <c r="K400" s="15">
        <v>0</v>
      </c>
      <c r="L400" s="16">
        <f t="shared" si="6"/>
        <v>389</v>
      </c>
    </row>
    <row r="401" spans="1:12" x14ac:dyDescent="0.2">
      <c r="A401" s="3" t="s">
        <v>35</v>
      </c>
      <c r="C401" s="6" t="str">
        <f>"200-5120-00"</f>
        <v>200-5120-00</v>
      </c>
      <c r="D401" s="6" t="str">
        <f>"Bonuses - Accounting"</f>
        <v>Bonuses - Accounting</v>
      </c>
      <c r="E401" s="15">
        <v>0</v>
      </c>
      <c r="F401" s="15">
        <v>0</v>
      </c>
      <c r="G401" s="15">
        <v>0</v>
      </c>
      <c r="H401" s="15">
        <v>0</v>
      </c>
      <c r="I401" s="15">
        <v>0</v>
      </c>
      <c r="J401" s="15">
        <v>0</v>
      </c>
      <c r="K401" s="15">
        <v>0</v>
      </c>
      <c r="L401" s="16">
        <f t="shared" si="6"/>
        <v>390</v>
      </c>
    </row>
    <row r="402" spans="1:12" x14ac:dyDescent="0.2">
      <c r="A402" s="3" t="s">
        <v>35</v>
      </c>
      <c r="C402" s="6" t="str">
        <f>"200-5140-00"</f>
        <v>200-5140-00</v>
      </c>
      <c r="D402" s="6" t="str">
        <f>"Profit Sharing - Accounting"</f>
        <v>Profit Sharing - Accounting</v>
      </c>
      <c r="E402" s="15">
        <v>0</v>
      </c>
      <c r="F402" s="15">
        <v>0</v>
      </c>
      <c r="G402" s="15">
        <v>0</v>
      </c>
      <c r="H402" s="15">
        <v>0</v>
      </c>
      <c r="I402" s="15">
        <v>0</v>
      </c>
      <c r="J402" s="15">
        <v>0</v>
      </c>
      <c r="K402" s="15">
        <v>0</v>
      </c>
      <c r="L402" s="16">
        <f t="shared" si="6"/>
        <v>391</v>
      </c>
    </row>
    <row r="403" spans="1:12" x14ac:dyDescent="0.2">
      <c r="A403" s="3" t="s">
        <v>35</v>
      </c>
      <c r="C403" s="6" t="str">
        <f>"200-5150-00"</f>
        <v>200-5150-00</v>
      </c>
      <c r="D403" s="6" t="str">
        <f>"Employee Benefits - Accounting"</f>
        <v>Employee Benefits - Accounting</v>
      </c>
      <c r="E403" s="15">
        <v>0</v>
      </c>
      <c r="F403" s="15">
        <v>0</v>
      </c>
      <c r="G403" s="15">
        <v>0</v>
      </c>
      <c r="H403" s="15">
        <v>0</v>
      </c>
      <c r="I403" s="15">
        <v>0</v>
      </c>
      <c r="J403" s="15">
        <v>0</v>
      </c>
      <c r="K403" s="15">
        <v>0</v>
      </c>
      <c r="L403" s="16">
        <f t="shared" si="6"/>
        <v>392</v>
      </c>
    </row>
    <row r="404" spans="1:12" x14ac:dyDescent="0.2">
      <c r="A404" s="3" t="s">
        <v>35</v>
      </c>
      <c r="C404" s="6" t="str">
        <f>"200-5160-00"</f>
        <v>200-5160-00</v>
      </c>
      <c r="D404" s="6" t="str">
        <f>"Health Insurance Expense - Accounting"</f>
        <v>Health Insurance Expense - Accounting</v>
      </c>
      <c r="E404" s="15">
        <v>0</v>
      </c>
      <c r="F404" s="15">
        <v>0</v>
      </c>
      <c r="G404" s="15">
        <v>0</v>
      </c>
      <c r="H404" s="15">
        <v>0</v>
      </c>
      <c r="I404" s="15">
        <v>0</v>
      </c>
      <c r="J404" s="15">
        <v>0</v>
      </c>
      <c r="K404" s="15">
        <v>0</v>
      </c>
      <c r="L404" s="16">
        <f t="shared" si="6"/>
        <v>393</v>
      </c>
    </row>
    <row r="405" spans="1:12" x14ac:dyDescent="0.2">
      <c r="A405" s="3" t="s">
        <v>35</v>
      </c>
      <c r="C405" s="6" t="str">
        <f>"200-5170-00"</f>
        <v>200-5170-00</v>
      </c>
      <c r="D405" s="6" t="str">
        <f>"Payroll Taxes - Accounting"</f>
        <v>Payroll Taxes - Accounting</v>
      </c>
      <c r="E405" s="15">
        <v>15978.73</v>
      </c>
      <c r="F405" s="15">
        <v>17728.650000000001</v>
      </c>
      <c r="G405" s="15">
        <v>19468.060000000001</v>
      </c>
      <c r="H405" s="15">
        <v>21261.9</v>
      </c>
      <c r="I405" s="15">
        <v>23030.66</v>
      </c>
      <c r="J405" s="15">
        <v>24738.03</v>
      </c>
      <c r="K405" s="15">
        <v>26506.46</v>
      </c>
      <c r="L405" s="16">
        <f t="shared" si="6"/>
        <v>394</v>
      </c>
    </row>
    <row r="406" spans="1:12" x14ac:dyDescent="0.2">
      <c r="A406" s="3" t="s">
        <v>35</v>
      </c>
      <c r="C406" s="6" t="str">
        <f>"200-6100-00"</f>
        <v>200-6100-00</v>
      </c>
      <c r="D406" s="6" t="str">
        <f>"Training - Accounting"</f>
        <v>Training - Accounting</v>
      </c>
      <c r="E406" s="15">
        <v>500</v>
      </c>
      <c r="F406" s="15">
        <v>500</v>
      </c>
      <c r="G406" s="15">
        <v>500</v>
      </c>
      <c r="H406" s="15">
        <v>500</v>
      </c>
      <c r="I406" s="15">
        <v>500</v>
      </c>
      <c r="J406" s="15">
        <v>500</v>
      </c>
      <c r="K406" s="15">
        <v>500</v>
      </c>
      <c r="L406" s="16">
        <f t="shared" si="6"/>
        <v>395</v>
      </c>
    </row>
    <row r="407" spans="1:12" x14ac:dyDescent="0.2">
      <c r="A407" s="3" t="s">
        <v>35</v>
      </c>
      <c r="C407" s="6" t="str">
        <f>"200-6120-00"</f>
        <v>200-6120-00</v>
      </c>
      <c r="D407" s="6" t="str">
        <f>"Supplies/Rental - Accounting"</f>
        <v>Supplies/Rental - Accounting</v>
      </c>
      <c r="E407" s="15">
        <v>0</v>
      </c>
      <c r="F407" s="15">
        <v>0</v>
      </c>
      <c r="G407" s="15">
        <v>0</v>
      </c>
      <c r="H407" s="15">
        <v>0</v>
      </c>
      <c r="I407" s="15">
        <v>0</v>
      </c>
      <c r="J407" s="15">
        <v>0</v>
      </c>
      <c r="K407" s="15">
        <v>0</v>
      </c>
      <c r="L407" s="16">
        <f t="shared" si="6"/>
        <v>396</v>
      </c>
    </row>
    <row r="408" spans="1:12" x14ac:dyDescent="0.2">
      <c r="A408" s="3" t="s">
        <v>35</v>
      </c>
      <c r="C408" s="6" t="str">
        <f>"200-6130-00"</f>
        <v>200-6130-00</v>
      </c>
      <c r="D408" s="6" t="str">
        <f>"Supplies/Hardware - Accounting"</f>
        <v>Supplies/Hardware - Accounting</v>
      </c>
      <c r="E408" s="15">
        <v>489.95</v>
      </c>
      <c r="F408" s="15">
        <v>489.95</v>
      </c>
      <c r="G408" s="15">
        <v>489.95</v>
      </c>
      <c r="H408" s="15">
        <v>489.95</v>
      </c>
      <c r="I408" s="15">
        <v>489.95</v>
      </c>
      <c r="J408" s="15">
        <v>489.95</v>
      </c>
      <c r="K408" s="15">
        <v>489.95</v>
      </c>
      <c r="L408" s="16">
        <f t="shared" si="6"/>
        <v>397</v>
      </c>
    </row>
    <row r="409" spans="1:12" x14ac:dyDescent="0.2">
      <c r="A409" s="3" t="s">
        <v>35</v>
      </c>
      <c r="C409" s="6" t="str">
        <f>"200-6140-00"</f>
        <v>200-6140-00</v>
      </c>
      <c r="D409" s="6" t="str">
        <f>"Supplies/Software - Accounting"</f>
        <v>Supplies/Software - Accounting</v>
      </c>
      <c r="E409" s="15">
        <v>537</v>
      </c>
      <c r="F409" s="15">
        <v>537</v>
      </c>
      <c r="G409" s="15">
        <v>537</v>
      </c>
      <c r="H409" s="15">
        <v>537</v>
      </c>
      <c r="I409" s="15">
        <v>537</v>
      </c>
      <c r="J409" s="15">
        <v>537</v>
      </c>
      <c r="K409" s="15">
        <v>537</v>
      </c>
      <c r="L409" s="16">
        <f t="shared" si="6"/>
        <v>398</v>
      </c>
    </row>
    <row r="410" spans="1:12" x14ac:dyDescent="0.2">
      <c r="A410" s="3" t="s">
        <v>35</v>
      </c>
      <c r="C410" s="6" t="str">
        <f>"200-6150-00"</f>
        <v>200-6150-00</v>
      </c>
      <c r="D410" s="6" t="str">
        <f>"Supplies-Allocated - Accounting"</f>
        <v>Supplies-Allocated - Accounting</v>
      </c>
      <c r="E410" s="15">
        <v>609.38</v>
      </c>
      <c r="F410" s="15">
        <v>609.38</v>
      </c>
      <c r="G410" s="15">
        <v>609.38</v>
      </c>
      <c r="H410" s="15">
        <v>609.38</v>
      </c>
      <c r="I410" s="15">
        <v>609.38</v>
      </c>
      <c r="J410" s="15">
        <v>609.38</v>
      </c>
      <c r="K410" s="15">
        <v>609.38</v>
      </c>
      <c r="L410" s="16">
        <f t="shared" si="6"/>
        <v>399</v>
      </c>
    </row>
    <row r="411" spans="1:12" x14ac:dyDescent="0.2">
      <c r="A411" s="3" t="s">
        <v>35</v>
      </c>
      <c r="C411" s="6" t="str">
        <f>"200-6160-00"</f>
        <v>200-6160-00</v>
      </c>
      <c r="D411" s="6" t="str">
        <f>"Dues &amp; Subscriptions - Accounting"</f>
        <v>Dues &amp; Subscriptions - Accounting</v>
      </c>
      <c r="E411" s="15">
        <v>0</v>
      </c>
      <c r="F411" s="15">
        <v>0</v>
      </c>
      <c r="G411" s="15">
        <v>0</v>
      </c>
      <c r="H411" s="15">
        <v>0</v>
      </c>
      <c r="I411" s="15">
        <v>0</v>
      </c>
      <c r="J411" s="15">
        <v>0</v>
      </c>
      <c r="K411" s="15">
        <v>0</v>
      </c>
      <c r="L411" s="16">
        <f t="shared" si="6"/>
        <v>400</v>
      </c>
    </row>
    <row r="412" spans="1:12" x14ac:dyDescent="0.2">
      <c r="A412" s="3" t="s">
        <v>35</v>
      </c>
      <c r="C412" s="6" t="str">
        <f>"200-6170-00"</f>
        <v>200-6170-00</v>
      </c>
      <c r="D412" s="6" t="str">
        <f>"Repairs &amp; Maintenance - Accounting"</f>
        <v>Repairs &amp; Maintenance - Accounting</v>
      </c>
      <c r="E412" s="15">
        <v>864.38</v>
      </c>
      <c r="F412" s="15">
        <v>864.38</v>
      </c>
      <c r="G412" s="15">
        <v>864.38</v>
      </c>
      <c r="H412" s="15">
        <v>864.38</v>
      </c>
      <c r="I412" s="15">
        <v>864.38</v>
      </c>
      <c r="J412" s="15">
        <v>864.38</v>
      </c>
      <c r="K412" s="15">
        <v>864.38</v>
      </c>
      <c r="L412" s="16">
        <f t="shared" si="6"/>
        <v>401</v>
      </c>
    </row>
    <row r="413" spans="1:12" x14ac:dyDescent="0.2">
      <c r="A413" s="3" t="s">
        <v>35</v>
      </c>
      <c r="C413" s="6" t="str">
        <f>"200-6180-00"</f>
        <v>200-6180-00</v>
      </c>
      <c r="D413" s="6" t="str">
        <f>"Rent Expense - Accounting"</f>
        <v>Rent Expense - Accounting</v>
      </c>
      <c r="E413" s="15">
        <v>2787.19</v>
      </c>
      <c r="F413" s="15">
        <v>2787.19</v>
      </c>
      <c r="G413" s="15">
        <v>2787.19</v>
      </c>
      <c r="H413" s="15">
        <v>2787.19</v>
      </c>
      <c r="I413" s="15">
        <v>2787.19</v>
      </c>
      <c r="J413" s="15">
        <v>2787.19</v>
      </c>
      <c r="K413" s="15">
        <v>2787.19</v>
      </c>
      <c r="L413" s="16">
        <f t="shared" si="6"/>
        <v>402</v>
      </c>
    </row>
    <row r="414" spans="1:12" x14ac:dyDescent="0.2">
      <c r="A414" s="3" t="s">
        <v>35</v>
      </c>
      <c r="C414" s="6" t="str">
        <f>"200-6190-00"</f>
        <v>200-6190-00</v>
      </c>
      <c r="D414" s="6" t="str">
        <f>"Utilities Expense - Accounting"</f>
        <v>Utilities Expense - Accounting</v>
      </c>
      <c r="E414" s="15">
        <v>315.79000000000002</v>
      </c>
      <c r="F414" s="15">
        <v>315.79000000000002</v>
      </c>
      <c r="G414" s="15">
        <v>315.79000000000002</v>
      </c>
      <c r="H414" s="15">
        <v>315.79000000000002</v>
      </c>
      <c r="I414" s="15">
        <v>315.79000000000002</v>
      </c>
      <c r="J414" s="15">
        <v>315.79000000000002</v>
      </c>
      <c r="K414" s="15">
        <v>315.79000000000002</v>
      </c>
      <c r="L414" s="16">
        <f t="shared" si="6"/>
        <v>403</v>
      </c>
    </row>
    <row r="415" spans="1:12" x14ac:dyDescent="0.2">
      <c r="A415" s="3" t="s">
        <v>35</v>
      </c>
      <c r="C415" s="6" t="str">
        <f>"200-6500-00"</f>
        <v>200-6500-00</v>
      </c>
      <c r="D415" s="6" t="str">
        <f>"Postage/Freight  - Accounting"</f>
        <v>Postage/Freight  - Accounting</v>
      </c>
      <c r="E415" s="15">
        <v>129.29</v>
      </c>
      <c r="F415" s="15">
        <v>129.29</v>
      </c>
      <c r="G415" s="15">
        <v>129.29</v>
      </c>
      <c r="H415" s="15">
        <v>129.29</v>
      </c>
      <c r="I415" s="15">
        <v>129.29</v>
      </c>
      <c r="J415" s="15">
        <v>129.29</v>
      </c>
      <c r="K415" s="15">
        <v>129.29</v>
      </c>
      <c r="L415" s="16">
        <f t="shared" si="6"/>
        <v>404</v>
      </c>
    </row>
    <row r="416" spans="1:12" x14ac:dyDescent="0.2">
      <c r="A416" s="3" t="s">
        <v>35</v>
      </c>
      <c r="C416" s="6" t="str">
        <f>"200-6510-00"</f>
        <v>200-6510-00</v>
      </c>
      <c r="D416" s="6" t="str">
        <f>"Telephone - Accounting"</f>
        <v>Telephone - Accounting</v>
      </c>
      <c r="E416" s="15">
        <v>2253.5300000000002</v>
      </c>
      <c r="F416" s="15">
        <v>2253.5300000000002</v>
      </c>
      <c r="G416" s="15">
        <v>2253.5300000000002</v>
      </c>
      <c r="H416" s="15">
        <v>2253.5300000000002</v>
      </c>
      <c r="I416" s="15">
        <v>2253.5300000000002</v>
      </c>
      <c r="J416" s="15">
        <v>2253.5300000000002</v>
      </c>
      <c r="K416" s="15">
        <v>2253.5300000000002</v>
      </c>
      <c r="L416" s="16">
        <f t="shared" si="6"/>
        <v>405</v>
      </c>
    </row>
    <row r="417" spans="1:12" x14ac:dyDescent="0.2">
      <c r="A417" s="3" t="s">
        <v>35</v>
      </c>
      <c r="C417" s="6" t="str">
        <f>"200-6520-00"</f>
        <v>200-6520-00</v>
      </c>
      <c r="D417" s="6" t="str">
        <f>"Travel - Accounting"</f>
        <v>Travel - Accounting</v>
      </c>
      <c r="E417" s="15">
        <v>0</v>
      </c>
      <c r="F417" s="15">
        <v>0</v>
      </c>
      <c r="G417" s="15">
        <v>0</v>
      </c>
      <c r="H417" s="15">
        <v>0</v>
      </c>
      <c r="I417" s="15">
        <v>0</v>
      </c>
      <c r="J417" s="15">
        <v>0</v>
      </c>
      <c r="K417" s="15">
        <v>0</v>
      </c>
      <c r="L417" s="16">
        <f t="shared" si="6"/>
        <v>406</v>
      </c>
    </row>
    <row r="418" spans="1:12" x14ac:dyDescent="0.2">
      <c r="A418" s="3" t="s">
        <v>35</v>
      </c>
      <c r="C418" s="6" t="str">
        <f>"200-6530-00"</f>
        <v>200-6530-00</v>
      </c>
      <c r="D418" s="6" t="str">
        <f>"Meals/Entertainment - Accounting"</f>
        <v>Meals/Entertainment - Accounting</v>
      </c>
      <c r="E418" s="15">
        <v>0</v>
      </c>
      <c r="F418" s="15">
        <v>0</v>
      </c>
      <c r="G418" s="15">
        <v>0</v>
      </c>
      <c r="H418" s="15">
        <v>0</v>
      </c>
      <c r="I418" s="15">
        <v>0</v>
      </c>
      <c r="J418" s="15">
        <v>0</v>
      </c>
      <c r="K418" s="15">
        <v>0</v>
      </c>
      <c r="L418" s="16">
        <f t="shared" si="6"/>
        <v>407</v>
      </c>
    </row>
    <row r="419" spans="1:12" x14ac:dyDescent="0.2">
      <c r="A419" s="3" t="s">
        <v>35</v>
      </c>
      <c r="C419" s="6" t="str">
        <f>"200-9010-00"</f>
        <v>200-9010-00</v>
      </c>
      <c r="D419" s="6" t="str">
        <f>"Square Footage-Accounting"</f>
        <v>Square Footage-Accounting</v>
      </c>
      <c r="E419" s="15">
        <v>50000</v>
      </c>
      <c r="F419" s="15">
        <v>50000</v>
      </c>
      <c r="G419" s="15">
        <v>50000</v>
      </c>
      <c r="H419" s="15">
        <v>50000</v>
      </c>
      <c r="I419" s="15">
        <v>50000</v>
      </c>
      <c r="J419" s="15">
        <v>50000</v>
      </c>
      <c r="K419" s="15">
        <v>50000</v>
      </c>
      <c r="L419" s="16">
        <f t="shared" si="6"/>
        <v>408</v>
      </c>
    </row>
    <row r="420" spans="1:12" x14ac:dyDescent="0.2">
      <c r="A420" s="3" t="s">
        <v>35</v>
      </c>
      <c r="C420" s="6" t="str">
        <f>"200-9020-00"</f>
        <v>200-9020-00</v>
      </c>
      <c r="D420" s="6" t="str">
        <f>"Employee Count-Accounting"</f>
        <v>Employee Count-Accounting</v>
      </c>
      <c r="E420" s="15">
        <v>0</v>
      </c>
      <c r="F420" s="15">
        <v>0</v>
      </c>
      <c r="G420" s="15">
        <v>0</v>
      </c>
      <c r="H420" s="15">
        <v>0</v>
      </c>
      <c r="I420" s="15">
        <v>0</v>
      </c>
      <c r="J420" s="15">
        <v>0</v>
      </c>
      <c r="K420" s="15">
        <v>0</v>
      </c>
      <c r="L420" s="16">
        <f t="shared" si="6"/>
        <v>409</v>
      </c>
    </row>
    <row r="421" spans="1:12" x14ac:dyDescent="0.2">
      <c r="A421" s="3" t="s">
        <v>35</v>
      </c>
      <c r="C421" s="6" t="str">
        <f>"200-9030-00"</f>
        <v>200-9030-00</v>
      </c>
      <c r="D421" s="6" t="str">
        <f>"Fixed Assets- Computer Cabinets"</f>
        <v>Fixed Assets- Computer Cabinets</v>
      </c>
      <c r="E421" s="15">
        <v>0</v>
      </c>
      <c r="F421" s="15">
        <v>0</v>
      </c>
      <c r="G421" s="15">
        <v>0</v>
      </c>
      <c r="H421" s="15">
        <v>0</v>
      </c>
      <c r="I421" s="15">
        <v>0</v>
      </c>
      <c r="J421" s="15">
        <v>0</v>
      </c>
      <c r="K421" s="15">
        <v>0</v>
      </c>
      <c r="L421" s="16">
        <f t="shared" si="6"/>
        <v>410</v>
      </c>
    </row>
    <row r="422" spans="1:12" x14ac:dyDescent="0.2">
      <c r="A422" s="3" t="s">
        <v>35</v>
      </c>
      <c r="C422" s="6" t="str">
        <f>"300-5100-00"</f>
        <v>300-5100-00</v>
      </c>
      <c r="D422" s="6" t="str">
        <f>"Salaries and Wages - Sales"</f>
        <v>Salaries and Wages - Sales</v>
      </c>
      <c r="E422" s="15">
        <v>0</v>
      </c>
      <c r="F422" s="15">
        <v>0</v>
      </c>
      <c r="G422" s="15">
        <v>0</v>
      </c>
      <c r="H422" s="15">
        <v>0</v>
      </c>
      <c r="I422" s="15">
        <v>0</v>
      </c>
      <c r="J422" s="15">
        <v>0</v>
      </c>
      <c r="K422" s="15">
        <v>0</v>
      </c>
      <c r="L422" s="16">
        <f t="shared" si="6"/>
        <v>411</v>
      </c>
    </row>
    <row r="423" spans="1:12" x14ac:dyDescent="0.2">
      <c r="A423" s="3" t="s">
        <v>35</v>
      </c>
      <c r="C423" s="6" t="str">
        <f>"300-5110-00"</f>
        <v>300-5110-00</v>
      </c>
      <c r="D423" s="6" t="str">
        <f>"Overtime Pay - Sales"</f>
        <v>Overtime Pay - Sales</v>
      </c>
      <c r="E423" s="15">
        <v>0</v>
      </c>
      <c r="F423" s="15">
        <v>0</v>
      </c>
      <c r="G423" s="15">
        <v>0</v>
      </c>
      <c r="H423" s="15">
        <v>0</v>
      </c>
      <c r="I423" s="15">
        <v>0</v>
      </c>
      <c r="J423" s="15">
        <v>0</v>
      </c>
      <c r="K423" s="15">
        <v>0</v>
      </c>
      <c r="L423" s="16">
        <f t="shared" si="6"/>
        <v>412</v>
      </c>
    </row>
    <row r="424" spans="1:12" x14ac:dyDescent="0.2">
      <c r="A424" s="3" t="s">
        <v>35</v>
      </c>
      <c r="C424" s="6" t="str">
        <f>"300-5120-00"</f>
        <v>300-5120-00</v>
      </c>
      <c r="D424" s="6" t="str">
        <f>"Bonuses - Sales"</f>
        <v>Bonuses - Sales</v>
      </c>
      <c r="E424" s="15">
        <v>0</v>
      </c>
      <c r="F424" s="15">
        <v>0</v>
      </c>
      <c r="G424" s="15">
        <v>0</v>
      </c>
      <c r="H424" s="15">
        <v>0</v>
      </c>
      <c r="I424" s="15">
        <v>0</v>
      </c>
      <c r="J424" s="15">
        <v>0</v>
      </c>
      <c r="K424" s="15">
        <v>0</v>
      </c>
      <c r="L424" s="16">
        <f t="shared" si="6"/>
        <v>413</v>
      </c>
    </row>
    <row r="425" spans="1:12" x14ac:dyDescent="0.2">
      <c r="A425" s="3" t="s">
        <v>35</v>
      </c>
      <c r="C425" s="6" t="str">
        <f>"300-5130-00"</f>
        <v>300-5130-00</v>
      </c>
      <c r="D425" s="6" t="str">
        <f>"Commissions - Sales"</f>
        <v>Commissions - Sales</v>
      </c>
      <c r="E425" s="15">
        <v>51584.27</v>
      </c>
      <c r="F425" s="15">
        <v>51584.27</v>
      </c>
      <c r="G425" s="15">
        <v>51584.27</v>
      </c>
      <c r="H425" s="15">
        <v>51584.27</v>
      </c>
      <c r="I425" s="15">
        <v>51584.27</v>
      </c>
      <c r="J425" s="15">
        <v>51584.27</v>
      </c>
      <c r="K425" s="15">
        <v>51584.27</v>
      </c>
      <c r="L425" s="16">
        <f t="shared" si="6"/>
        <v>414</v>
      </c>
    </row>
    <row r="426" spans="1:12" x14ac:dyDescent="0.2">
      <c r="A426" s="3" t="s">
        <v>35</v>
      </c>
      <c r="C426" s="6" t="str">
        <f>"300-5140-00"</f>
        <v>300-5140-00</v>
      </c>
      <c r="D426" s="6" t="str">
        <f>"Profit Sharing - Sales"</f>
        <v>Profit Sharing - Sales</v>
      </c>
      <c r="E426" s="15">
        <v>0</v>
      </c>
      <c r="F426" s="15">
        <v>0</v>
      </c>
      <c r="G426" s="15">
        <v>0</v>
      </c>
      <c r="H426" s="15">
        <v>0</v>
      </c>
      <c r="I426" s="15">
        <v>0</v>
      </c>
      <c r="J426" s="15">
        <v>0</v>
      </c>
      <c r="K426" s="15">
        <v>0</v>
      </c>
      <c r="L426" s="16">
        <f t="shared" si="6"/>
        <v>415</v>
      </c>
    </row>
    <row r="427" spans="1:12" x14ac:dyDescent="0.2">
      <c r="A427" s="3" t="s">
        <v>35</v>
      </c>
      <c r="C427" s="6" t="str">
        <f>"300-5150-00"</f>
        <v>300-5150-00</v>
      </c>
      <c r="D427" s="6" t="str">
        <f>"Employee Benefits - Sales"</f>
        <v>Employee Benefits - Sales</v>
      </c>
      <c r="E427" s="15">
        <v>0</v>
      </c>
      <c r="F427" s="15">
        <v>0</v>
      </c>
      <c r="G427" s="15">
        <v>0</v>
      </c>
      <c r="H427" s="15">
        <v>0</v>
      </c>
      <c r="I427" s="15">
        <v>0</v>
      </c>
      <c r="J427" s="15">
        <v>0</v>
      </c>
      <c r="K427" s="15">
        <v>0</v>
      </c>
      <c r="L427" s="16">
        <f t="shared" si="6"/>
        <v>416</v>
      </c>
    </row>
    <row r="428" spans="1:12" x14ac:dyDescent="0.2">
      <c r="A428" s="3" t="s">
        <v>35</v>
      </c>
      <c r="C428" s="6" t="str">
        <f>"300-5160-00"</f>
        <v>300-5160-00</v>
      </c>
      <c r="D428" s="6" t="str">
        <f>"Health Insurance Expense - Sales"</f>
        <v>Health Insurance Expense - Sales</v>
      </c>
      <c r="E428" s="15">
        <v>0</v>
      </c>
      <c r="F428" s="15">
        <v>0</v>
      </c>
      <c r="G428" s="15">
        <v>0</v>
      </c>
      <c r="H428" s="15">
        <v>0</v>
      </c>
      <c r="I428" s="15">
        <v>0</v>
      </c>
      <c r="J428" s="15">
        <v>0</v>
      </c>
      <c r="K428" s="15">
        <v>0</v>
      </c>
      <c r="L428" s="16">
        <f t="shared" si="6"/>
        <v>417</v>
      </c>
    </row>
    <row r="429" spans="1:12" x14ac:dyDescent="0.2">
      <c r="A429" s="3" t="s">
        <v>35</v>
      </c>
      <c r="C429" s="6" t="str">
        <f>"300-5170-00"</f>
        <v>300-5170-00</v>
      </c>
      <c r="D429" s="6" t="str">
        <f>"Payroll Taxes - Sales"</f>
        <v>Payroll Taxes - Sales</v>
      </c>
      <c r="E429" s="15">
        <v>0</v>
      </c>
      <c r="F429" s="15">
        <v>0</v>
      </c>
      <c r="G429" s="15">
        <v>0</v>
      </c>
      <c r="H429" s="15">
        <v>0</v>
      </c>
      <c r="I429" s="15">
        <v>0</v>
      </c>
      <c r="J429" s="15">
        <v>0</v>
      </c>
      <c r="K429" s="15">
        <v>0</v>
      </c>
      <c r="L429" s="16">
        <f t="shared" si="6"/>
        <v>418</v>
      </c>
    </row>
    <row r="430" spans="1:12" x14ac:dyDescent="0.2">
      <c r="A430" s="3" t="s">
        <v>35</v>
      </c>
      <c r="C430" s="6" t="str">
        <f>"300-6100-00"</f>
        <v>300-6100-00</v>
      </c>
      <c r="D430" s="6" t="str">
        <f>"Training - Sales"</f>
        <v>Training - Sales</v>
      </c>
      <c r="E430" s="15">
        <v>1520</v>
      </c>
      <c r="F430" s="15">
        <v>1520</v>
      </c>
      <c r="G430" s="15">
        <v>1520</v>
      </c>
      <c r="H430" s="15">
        <v>1520</v>
      </c>
      <c r="I430" s="15">
        <v>1520</v>
      </c>
      <c r="J430" s="15">
        <v>1520</v>
      </c>
      <c r="K430" s="15">
        <v>1520</v>
      </c>
      <c r="L430" s="16">
        <f t="shared" si="6"/>
        <v>419</v>
      </c>
    </row>
    <row r="431" spans="1:12" x14ac:dyDescent="0.2">
      <c r="A431" s="3" t="s">
        <v>35</v>
      </c>
      <c r="C431" s="6" t="str">
        <f>"300-6120-00"</f>
        <v>300-6120-00</v>
      </c>
      <c r="D431" s="6" t="str">
        <f>"Supplies/Rental - Sales"</f>
        <v>Supplies/Rental - Sales</v>
      </c>
      <c r="E431" s="15">
        <v>0</v>
      </c>
      <c r="F431" s="15">
        <v>0</v>
      </c>
      <c r="G431" s="15">
        <v>0</v>
      </c>
      <c r="H431" s="15">
        <v>0</v>
      </c>
      <c r="I431" s="15">
        <v>0</v>
      </c>
      <c r="J431" s="15">
        <v>0</v>
      </c>
      <c r="K431" s="15">
        <v>0</v>
      </c>
      <c r="L431" s="16">
        <f t="shared" si="6"/>
        <v>420</v>
      </c>
    </row>
    <row r="432" spans="1:12" x14ac:dyDescent="0.2">
      <c r="A432" s="3" t="s">
        <v>35</v>
      </c>
      <c r="C432" s="6" t="str">
        <f>"300-6130-00"</f>
        <v>300-6130-00</v>
      </c>
      <c r="D432" s="6" t="str">
        <f>"Supplies/Hardware - Sales"</f>
        <v>Supplies/Hardware - Sales</v>
      </c>
      <c r="E432" s="15">
        <v>0</v>
      </c>
      <c r="F432" s="15">
        <v>0</v>
      </c>
      <c r="G432" s="15">
        <v>0</v>
      </c>
      <c r="H432" s="15">
        <v>0</v>
      </c>
      <c r="I432" s="15">
        <v>0</v>
      </c>
      <c r="J432" s="15">
        <v>0</v>
      </c>
      <c r="K432" s="15">
        <v>0</v>
      </c>
      <c r="L432" s="16">
        <f t="shared" si="6"/>
        <v>421</v>
      </c>
    </row>
    <row r="433" spans="1:12" x14ac:dyDescent="0.2">
      <c r="A433" s="3" t="s">
        <v>35</v>
      </c>
      <c r="C433" s="6" t="str">
        <f>"300-6140-00"</f>
        <v>300-6140-00</v>
      </c>
      <c r="D433" s="6" t="str">
        <f>"Supplies/Software - Sales"</f>
        <v>Supplies/Software - Sales</v>
      </c>
      <c r="E433" s="15">
        <v>792</v>
      </c>
      <c r="F433" s="15">
        <v>792</v>
      </c>
      <c r="G433" s="15">
        <v>792</v>
      </c>
      <c r="H433" s="15">
        <v>792</v>
      </c>
      <c r="I433" s="15">
        <v>792</v>
      </c>
      <c r="J433" s="15">
        <v>792</v>
      </c>
      <c r="K433" s="15">
        <v>792</v>
      </c>
      <c r="L433" s="16">
        <f t="shared" si="6"/>
        <v>422</v>
      </c>
    </row>
    <row r="434" spans="1:12" x14ac:dyDescent="0.2">
      <c r="A434" s="3" t="s">
        <v>35</v>
      </c>
      <c r="C434" s="6" t="str">
        <f>"300-6150-00"</f>
        <v>300-6150-00</v>
      </c>
      <c r="D434" s="6" t="str">
        <f>"Supplies-Allocated - Sales"</f>
        <v>Supplies-Allocated - Sales</v>
      </c>
      <c r="E434" s="15">
        <v>1462.5</v>
      </c>
      <c r="F434" s="15">
        <v>1462.5</v>
      </c>
      <c r="G434" s="15">
        <v>1462.5</v>
      </c>
      <c r="H434" s="15">
        <v>1462.5</v>
      </c>
      <c r="I434" s="15">
        <v>1462.5</v>
      </c>
      <c r="J434" s="15">
        <v>1462.5</v>
      </c>
      <c r="K434" s="15">
        <v>1462.5</v>
      </c>
      <c r="L434" s="16">
        <f t="shared" si="6"/>
        <v>423</v>
      </c>
    </row>
    <row r="435" spans="1:12" x14ac:dyDescent="0.2">
      <c r="A435" s="3" t="s">
        <v>35</v>
      </c>
      <c r="C435" s="6" t="str">
        <f>"300-6160-00"</f>
        <v>300-6160-00</v>
      </c>
      <c r="D435" s="6" t="str">
        <f>"Dues &amp; Subscriptions - Sales"</f>
        <v>Dues &amp; Subscriptions - Sales</v>
      </c>
      <c r="E435" s="15">
        <v>450</v>
      </c>
      <c r="F435" s="15">
        <v>450</v>
      </c>
      <c r="G435" s="15">
        <v>450</v>
      </c>
      <c r="H435" s="15">
        <v>450</v>
      </c>
      <c r="I435" s="15">
        <v>450</v>
      </c>
      <c r="J435" s="15">
        <v>450</v>
      </c>
      <c r="K435" s="15">
        <v>450</v>
      </c>
      <c r="L435" s="16">
        <f t="shared" si="6"/>
        <v>424</v>
      </c>
    </row>
    <row r="436" spans="1:12" x14ac:dyDescent="0.2">
      <c r="A436" s="3" t="s">
        <v>35</v>
      </c>
      <c r="C436" s="6" t="str">
        <f>"300-6170-00"</f>
        <v>300-6170-00</v>
      </c>
      <c r="D436" s="6" t="str">
        <f>"Repairs &amp; Maintenance - Sales"</f>
        <v>Repairs &amp; Maintenance - Sales</v>
      </c>
      <c r="E436" s="15">
        <v>2074.5</v>
      </c>
      <c r="F436" s="15">
        <v>2074.5</v>
      </c>
      <c r="G436" s="15">
        <v>2074.5</v>
      </c>
      <c r="H436" s="15">
        <v>2074.5</v>
      </c>
      <c r="I436" s="15">
        <v>2074.5</v>
      </c>
      <c r="J436" s="15">
        <v>2074.5</v>
      </c>
      <c r="K436" s="15">
        <v>2074.5</v>
      </c>
      <c r="L436" s="16">
        <f t="shared" si="6"/>
        <v>425</v>
      </c>
    </row>
    <row r="437" spans="1:12" x14ac:dyDescent="0.2">
      <c r="A437" s="3" t="s">
        <v>35</v>
      </c>
      <c r="C437" s="6" t="str">
        <f>"300-6180-00"</f>
        <v>300-6180-00</v>
      </c>
      <c r="D437" s="6" t="str">
        <f>"Rent Expense - Sales"</f>
        <v>Rent Expense - Sales</v>
      </c>
      <c r="E437" s="15">
        <v>19510.3</v>
      </c>
      <c r="F437" s="15">
        <v>19510.3</v>
      </c>
      <c r="G437" s="15">
        <v>19510.3</v>
      </c>
      <c r="H437" s="15">
        <v>19510.3</v>
      </c>
      <c r="I437" s="15">
        <v>19510.3</v>
      </c>
      <c r="J437" s="15">
        <v>19510.3</v>
      </c>
      <c r="K437" s="15">
        <v>19510.3</v>
      </c>
      <c r="L437" s="16">
        <f t="shared" si="6"/>
        <v>426</v>
      </c>
    </row>
    <row r="438" spans="1:12" x14ac:dyDescent="0.2">
      <c r="A438" s="3" t="s">
        <v>35</v>
      </c>
      <c r="C438" s="6" t="str">
        <f>"300-6190-00"</f>
        <v>300-6190-00</v>
      </c>
      <c r="D438" s="6" t="str">
        <f>"Utilities Expense - Sales"</f>
        <v>Utilities Expense - Sales</v>
      </c>
      <c r="E438" s="15">
        <v>2210.5100000000002</v>
      </c>
      <c r="F438" s="15">
        <v>2210.5100000000002</v>
      </c>
      <c r="G438" s="15">
        <v>2210.5100000000002</v>
      </c>
      <c r="H438" s="15">
        <v>2210.5100000000002</v>
      </c>
      <c r="I438" s="15">
        <v>2210.5100000000002</v>
      </c>
      <c r="J438" s="15">
        <v>2210.5100000000002</v>
      </c>
      <c r="K438" s="15">
        <v>2210.5100000000002</v>
      </c>
      <c r="L438" s="16">
        <f t="shared" si="6"/>
        <v>427</v>
      </c>
    </row>
    <row r="439" spans="1:12" x14ac:dyDescent="0.2">
      <c r="A439" s="3" t="s">
        <v>35</v>
      </c>
      <c r="C439" s="6" t="str">
        <f>"300-6500-00"</f>
        <v>300-6500-00</v>
      </c>
      <c r="D439" s="6" t="str">
        <f>"Postage/Freight - Sales"</f>
        <v>Postage/Freight - Sales</v>
      </c>
      <c r="E439" s="15">
        <v>365.66</v>
      </c>
      <c r="F439" s="15">
        <v>365.66</v>
      </c>
      <c r="G439" s="15">
        <v>365.66</v>
      </c>
      <c r="H439" s="15">
        <v>365.66</v>
      </c>
      <c r="I439" s="15">
        <v>365.66</v>
      </c>
      <c r="J439" s="15">
        <v>365.66</v>
      </c>
      <c r="K439" s="15">
        <v>365.66</v>
      </c>
      <c r="L439" s="16">
        <f t="shared" si="6"/>
        <v>428</v>
      </c>
    </row>
    <row r="440" spans="1:12" x14ac:dyDescent="0.2">
      <c r="A440" s="3" t="s">
        <v>35</v>
      </c>
      <c r="C440" s="6" t="str">
        <f>"300-6510-00"</f>
        <v>300-6510-00</v>
      </c>
      <c r="D440" s="6" t="str">
        <f>"Telephone - Sales"</f>
        <v>Telephone - Sales</v>
      </c>
      <c r="E440" s="15">
        <v>6760.58</v>
      </c>
      <c r="F440" s="15">
        <v>6760.58</v>
      </c>
      <c r="G440" s="15">
        <v>6760.58</v>
      </c>
      <c r="H440" s="15">
        <v>6760.58</v>
      </c>
      <c r="I440" s="15">
        <v>6760.58</v>
      </c>
      <c r="J440" s="15">
        <v>6760.58</v>
      </c>
      <c r="K440" s="15">
        <v>6760.58</v>
      </c>
      <c r="L440" s="16">
        <f t="shared" si="6"/>
        <v>429</v>
      </c>
    </row>
    <row r="441" spans="1:12" x14ac:dyDescent="0.2">
      <c r="A441" s="3" t="s">
        <v>35</v>
      </c>
      <c r="C441" s="6" t="str">
        <f>"300-6520-00"</f>
        <v>300-6520-00</v>
      </c>
      <c r="D441" s="6" t="str">
        <f>"Travel - Sales"</f>
        <v>Travel - Sales</v>
      </c>
      <c r="E441" s="15">
        <v>16999.46</v>
      </c>
      <c r="F441" s="15">
        <v>16999.46</v>
      </c>
      <c r="G441" s="15">
        <v>16999.46</v>
      </c>
      <c r="H441" s="15">
        <v>16999.46</v>
      </c>
      <c r="I441" s="15">
        <v>16999.46</v>
      </c>
      <c r="J441" s="15">
        <v>16999.46</v>
      </c>
      <c r="K441" s="15">
        <v>16999.46</v>
      </c>
      <c r="L441" s="16">
        <f t="shared" si="6"/>
        <v>430</v>
      </c>
    </row>
    <row r="442" spans="1:12" x14ac:dyDescent="0.2">
      <c r="A442" s="3" t="s">
        <v>35</v>
      </c>
      <c r="C442" s="6" t="str">
        <f>"300-6530-00"</f>
        <v>300-6530-00</v>
      </c>
      <c r="D442" s="6" t="str">
        <f>"Meals/Entertainment - Sales"</f>
        <v>Meals/Entertainment - Sales</v>
      </c>
      <c r="E442" s="15">
        <v>2582.9899999999998</v>
      </c>
      <c r="F442" s="15">
        <v>2582.9899999999998</v>
      </c>
      <c r="G442" s="15">
        <v>2582.9899999999998</v>
      </c>
      <c r="H442" s="15">
        <v>2582.9899999999998</v>
      </c>
      <c r="I442" s="15">
        <v>2582.9899999999998</v>
      </c>
      <c r="J442" s="15">
        <v>2582.9899999999998</v>
      </c>
      <c r="K442" s="15">
        <v>2582.9899999999998</v>
      </c>
      <c r="L442" s="16">
        <f t="shared" si="6"/>
        <v>431</v>
      </c>
    </row>
    <row r="443" spans="1:12" x14ac:dyDescent="0.2">
      <c r="A443" s="3" t="s">
        <v>35</v>
      </c>
      <c r="C443" s="6" t="str">
        <f>"300-9010-00"</f>
        <v>300-9010-00</v>
      </c>
      <c r="D443" s="6" t="str">
        <f>"Square Footage-Sales"</f>
        <v>Square Footage-Sales</v>
      </c>
      <c r="E443" s="15">
        <v>350000</v>
      </c>
      <c r="F443" s="15">
        <v>350000</v>
      </c>
      <c r="G443" s="15">
        <v>350000</v>
      </c>
      <c r="H443" s="15">
        <v>350000</v>
      </c>
      <c r="I443" s="15">
        <v>350000</v>
      </c>
      <c r="J443" s="15">
        <v>350000</v>
      </c>
      <c r="K443" s="15">
        <v>350000</v>
      </c>
      <c r="L443" s="16">
        <f t="shared" si="6"/>
        <v>432</v>
      </c>
    </row>
    <row r="444" spans="1:12" x14ac:dyDescent="0.2">
      <c r="A444" s="3" t="s">
        <v>35</v>
      </c>
      <c r="C444" s="6" t="str">
        <f>"300-9020-00"</f>
        <v>300-9020-00</v>
      </c>
      <c r="D444" s="6" t="str">
        <f>"Employee Count-Sales"</f>
        <v>Employee Count-Sales</v>
      </c>
      <c r="E444" s="15">
        <v>0</v>
      </c>
      <c r="F444" s="15">
        <v>0</v>
      </c>
      <c r="G444" s="15">
        <v>0</v>
      </c>
      <c r="H444" s="15">
        <v>0</v>
      </c>
      <c r="I444" s="15">
        <v>0</v>
      </c>
      <c r="J444" s="15">
        <v>0</v>
      </c>
      <c r="K444" s="15">
        <v>0</v>
      </c>
      <c r="L444" s="16">
        <f t="shared" si="6"/>
        <v>433</v>
      </c>
    </row>
    <row r="445" spans="1:12" x14ac:dyDescent="0.2">
      <c r="A445" s="3" t="s">
        <v>35</v>
      </c>
      <c r="C445" s="6" t="str">
        <f>"300-9030-00"</f>
        <v>300-9030-00</v>
      </c>
      <c r="D445" s="6" t="str">
        <f>"Fixed Assets- Computer Cabinets"</f>
        <v>Fixed Assets- Computer Cabinets</v>
      </c>
      <c r="E445" s="15">
        <v>0</v>
      </c>
      <c r="F445" s="15">
        <v>0</v>
      </c>
      <c r="G445" s="15">
        <v>0</v>
      </c>
      <c r="H445" s="15">
        <v>0</v>
      </c>
      <c r="I445" s="15">
        <v>0</v>
      </c>
      <c r="J445" s="15">
        <v>0</v>
      </c>
      <c r="K445" s="15">
        <v>0</v>
      </c>
      <c r="L445" s="16">
        <f t="shared" si="6"/>
        <v>434</v>
      </c>
    </row>
    <row r="446" spans="1:12" x14ac:dyDescent="0.2">
      <c r="A446" s="3" t="s">
        <v>35</v>
      </c>
      <c r="C446" s="6" t="str">
        <f>"400-5100-00"</f>
        <v>400-5100-00</v>
      </c>
      <c r="D446" s="6" t="str">
        <f>"Salaries and Wages - Service/Installation US"</f>
        <v>Salaries and Wages - Service/Installation US</v>
      </c>
      <c r="E446" s="15">
        <v>0</v>
      </c>
      <c r="F446" s="15">
        <v>0</v>
      </c>
      <c r="G446" s="15">
        <v>0</v>
      </c>
      <c r="H446" s="15">
        <v>0</v>
      </c>
      <c r="I446" s="15">
        <v>0</v>
      </c>
      <c r="J446" s="15">
        <v>0</v>
      </c>
      <c r="K446" s="15">
        <v>0</v>
      </c>
      <c r="L446" s="16">
        <f t="shared" si="6"/>
        <v>435</v>
      </c>
    </row>
    <row r="447" spans="1:12" x14ac:dyDescent="0.2">
      <c r="A447" s="3" t="s">
        <v>35</v>
      </c>
      <c r="C447" s="6" t="str">
        <f>"400-5101-00"</f>
        <v>400-5101-00</v>
      </c>
      <c r="D447" s="6" t="str">
        <f>"Salaries and Wages - Service/Installation Canada"</f>
        <v>Salaries and Wages - Service/Installation Canada</v>
      </c>
      <c r="E447" s="15">
        <v>0</v>
      </c>
      <c r="F447" s="15">
        <v>0</v>
      </c>
      <c r="G447" s="15">
        <v>0</v>
      </c>
      <c r="H447" s="15">
        <v>0</v>
      </c>
      <c r="I447" s="15">
        <v>0</v>
      </c>
      <c r="J447" s="15">
        <v>0</v>
      </c>
      <c r="K447" s="15">
        <v>0</v>
      </c>
      <c r="L447" s="16">
        <f t="shared" si="6"/>
        <v>436</v>
      </c>
    </row>
    <row r="448" spans="1:12" x14ac:dyDescent="0.2">
      <c r="A448" s="3" t="s">
        <v>35</v>
      </c>
      <c r="C448" s="6" t="str">
        <f>"400-5110-00"</f>
        <v>400-5110-00</v>
      </c>
      <c r="D448" s="6" t="str">
        <f>"Overtime Pay - Service/Installation US"</f>
        <v>Overtime Pay - Service/Installation US</v>
      </c>
      <c r="E448" s="15">
        <v>0</v>
      </c>
      <c r="F448" s="15">
        <v>0</v>
      </c>
      <c r="G448" s="15">
        <v>0</v>
      </c>
      <c r="H448" s="15">
        <v>0</v>
      </c>
      <c r="I448" s="15">
        <v>0</v>
      </c>
      <c r="J448" s="15">
        <v>0</v>
      </c>
      <c r="K448" s="15">
        <v>0</v>
      </c>
      <c r="L448" s="16">
        <f t="shared" si="6"/>
        <v>437</v>
      </c>
    </row>
    <row r="449" spans="1:12" x14ac:dyDescent="0.2">
      <c r="A449" s="3" t="s">
        <v>35</v>
      </c>
      <c r="C449" s="6" t="str">
        <f>"400-5111-00"</f>
        <v>400-5111-00</v>
      </c>
      <c r="D449" s="6" t="str">
        <f>"Overtime Pay - Service/Installation Canada"</f>
        <v>Overtime Pay - Service/Installation Canada</v>
      </c>
      <c r="E449" s="15">
        <v>0</v>
      </c>
      <c r="F449" s="15">
        <v>0</v>
      </c>
      <c r="G449" s="15">
        <v>0</v>
      </c>
      <c r="H449" s="15">
        <v>0</v>
      </c>
      <c r="I449" s="15">
        <v>0</v>
      </c>
      <c r="J449" s="15">
        <v>0</v>
      </c>
      <c r="K449" s="15">
        <v>0</v>
      </c>
      <c r="L449" s="16">
        <f t="shared" si="6"/>
        <v>438</v>
      </c>
    </row>
    <row r="450" spans="1:12" x14ac:dyDescent="0.2">
      <c r="A450" s="3" t="s">
        <v>35</v>
      </c>
      <c r="C450" s="6" t="str">
        <f>"400-5120-00"</f>
        <v>400-5120-00</v>
      </c>
      <c r="D450" s="6" t="str">
        <f>"Bonuses - Services/Installation US"</f>
        <v>Bonuses - Services/Installation US</v>
      </c>
      <c r="E450" s="15">
        <v>0</v>
      </c>
      <c r="F450" s="15">
        <v>0</v>
      </c>
      <c r="G450" s="15">
        <v>0</v>
      </c>
      <c r="H450" s="15">
        <v>0</v>
      </c>
      <c r="I450" s="15">
        <v>0</v>
      </c>
      <c r="J450" s="15">
        <v>0</v>
      </c>
      <c r="K450" s="15">
        <v>0</v>
      </c>
      <c r="L450" s="16">
        <f t="shared" si="6"/>
        <v>439</v>
      </c>
    </row>
    <row r="451" spans="1:12" x14ac:dyDescent="0.2">
      <c r="A451" s="3" t="s">
        <v>35</v>
      </c>
      <c r="C451" s="6" t="str">
        <f>"400-5121-00"</f>
        <v>400-5121-00</v>
      </c>
      <c r="D451" s="6" t="str">
        <f>"Bonuses - Services/Installation Canada"</f>
        <v>Bonuses - Services/Installation Canada</v>
      </c>
      <c r="E451" s="15">
        <v>0</v>
      </c>
      <c r="F451" s="15">
        <v>0</v>
      </c>
      <c r="G451" s="15">
        <v>0</v>
      </c>
      <c r="H451" s="15">
        <v>0</v>
      </c>
      <c r="I451" s="15">
        <v>0</v>
      </c>
      <c r="J451" s="15">
        <v>0</v>
      </c>
      <c r="K451" s="15">
        <v>0</v>
      </c>
      <c r="L451" s="16">
        <f t="shared" si="6"/>
        <v>440</v>
      </c>
    </row>
    <row r="452" spans="1:12" x14ac:dyDescent="0.2">
      <c r="A452" s="3" t="s">
        <v>35</v>
      </c>
      <c r="C452" s="6" t="str">
        <f>"400-5130-00"</f>
        <v>400-5130-00</v>
      </c>
      <c r="D452" s="6" t="str">
        <f>"Commissions - Service/Installation US"</f>
        <v>Commissions - Service/Installation US</v>
      </c>
      <c r="E452" s="15">
        <v>0</v>
      </c>
      <c r="F452" s="15">
        <v>0</v>
      </c>
      <c r="G452" s="15">
        <v>0</v>
      </c>
      <c r="H452" s="15">
        <v>0</v>
      </c>
      <c r="I452" s="15">
        <v>0</v>
      </c>
      <c r="J452" s="15">
        <v>0</v>
      </c>
      <c r="K452" s="15">
        <v>0</v>
      </c>
      <c r="L452" s="16">
        <f t="shared" si="6"/>
        <v>441</v>
      </c>
    </row>
    <row r="453" spans="1:12" x14ac:dyDescent="0.2">
      <c r="A453" s="3" t="s">
        <v>35</v>
      </c>
      <c r="C453" s="6" t="str">
        <f>"400-5131-00"</f>
        <v>400-5131-00</v>
      </c>
      <c r="D453" s="6" t="str">
        <f>"Commissions - Service/Installation Canada"</f>
        <v>Commissions - Service/Installation Canada</v>
      </c>
      <c r="E453" s="15">
        <v>0</v>
      </c>
      <c r="F453" s="15">
        <v>0</v>
      </c>
      <c r="G453" s="15">
        <v>0</v>
      </c>
      <c r="H453" s="15">
        <v>0</v>
      </c>
      <c r="I453" s="15">
        <v>0</v>
      </c>
      <c r="J453" s="15">
        <v>0</v>
      </c>
      <c r="K453" s="15">
        <v>0</v>
      </c>
      <c r="L453" s="16">
        <f t="shared" si="6"/>
        <v>442</v>
      </c>
    </row>
    <row r="454" spans="1:12" x14ac:dyDescent="0.2">
      <c r="A454" s="3" t="s">
        <v>35</v>
      </c>
      <c r="C454" s="6" t="str">
        <f>"400-5140-00"</f>
        <v>400-5140-00</v>
      </c>
      <c r="D454" s="6" t="str">
        <f>"Profit Sharing - Service/Installation US"</f>
        <v>Profit Sharing - Service/Installation US</v>
      </c>
      <c r="E454" s="15">
        <v>0</v>
      </c>
      <c r="F454" s="15">
        <v>0</v>
      </c>
      <c r="G454" s="15">
        <v>0</v>
      </c>
      <c r="H454" s="15">
        <v>0</v>
      </c>
      <c r="I454" s="15">
        <v>0</v>
      </c>
      <c r="J454" s="15">
        <v>0</v>
      </c>
      <c r="K454" s="15">
        <v>0</v>
      </c>
      <c r="L454" s="16">
        <f t="shared" si="6"/>
        <v>443</v>
      </c>
    </row>
    <row r="455" spans="1:12" x14ac:dyDescent="0.2">
      <c r="A455" s="3" t="s">
        <v>35</v>
      </c>
      <c r="C455" s="6" t="str">
        <f>"400-5141-00"</f>
        <v>400-5141-00</v>
      </c>
      <c r="D455" s="6" t="str">
        <f>"Profit Sharing - Service/Installation Canada"</f>
        <v>Profit Sharing - Service/Installation Canada</v>
      </c>
      <c r="E455" s="15">
        <v>0</v>
      </c>
      <c r="F455" s="15">
        <v>0</v>
      </c>
      <c r="G455" s="15">
        <v>0</v>
      </c>
      <c r="H455" s="15">
        <v>0</v>
      </c>
      <c r="I455" s="15">
        <v>0</v>
      </c>
      <c r="J455" s="15">
        <v>0</v>
      </c>
      <c r="K455" s="15">
        <v>0</v>
      </c>
      <c r="L455" s="16">
        <f t="shared" si="6"/>
        <v>444</v>
      </c>
    </row>
    <row r="456" spans="1:12" x14ac:dyDescent="0.2">
      <c r="A456" s="3" t="s">
        <v>35</v>
      </c>
      <c r="C456" s="6" t="str">
        <f>"400-5150-00"</f>
        <v>400-5150-00</v>
      </c>
      <c r="D456" s="6" t="str">
        <f>"Employee Benefits - Service/Installation"</f>
        <v>Employee Benefits - Service/Installation</v>
      </c>
      <c r="E456" s="15">
        <v>0</v>
      </c>
      <c r="F456" s="15">
        <v>0</v>
      </c>
      <c r="G456" s="15">
        <v>0</v>
      </c>
      <c r="H456" s="15">
        <v>0</v>
      </c>
      <c r="I456" s="15">
        <v>0</v>
      </c>
      <c r="J456" s="15">
        <v>0</v>
      </c>
      <c r="K456" s="15">
        <v>0</v>
      </c>
      <c r="L456" s="16">
        <f t="shared" si="6"/>
        <v>445</v>
      </c>
    </row>
    <row r="457" spans="1:12" x14ac:dyDescent="0.2">
      <c r="A457" s="3" t="s">
        <v>35</v>
      </c>
      <c r="C457" s="6" t="str">
        <f>"400-5160-00"</f>
        <v>400-5160-00</v>
      </c>
      <c r="D457" s="6" t="str">
        <f>"Health Insurance Expense - Service/Installation"</f>
        <v>Health Insurance Expense - Service/Installation</v>
      </c>
      <c r="E457" s="15">
        <v>0</v>
      </c>
      <c r="F457" s="15">
        <v>0</v>
      </c>
      <c r="G457" s="15">
        <v>0</v>
      </c>
      <c r="H457" s="15">
        <v>0</v>
      </c>
      <c r="I457" s="15">
        <v>0</v>
      </c>
      <c r="J457" s="15">
        <v>0</v>
      </c>
      <c r="K457" s="15">
        <v>0</v>
      </c>
      <c r="L457" s="16">
        <f t="shared" si="6"/>
        <v>446</v>
      </c>
    </row>
    <row r="458" spans="1:12" x14ac:dyDescent="0.2">
      <c r="A458" s="3" t="s">
        <v>35</v>
      </c>
      <c r="C458" s="6" t="str">
        <f>"400-5170-00"</f>
        <v>400-5170-00</v>
      </c>
      <c r="D458" s="6" t="str">
        <f>"Payroll Taxes - Service/Installation"</f>
        <v>Payroll Taxes - Service/Installation</v>
      </c>
      <c r="E458" s="15">
        <v>0</v>
      </c>
      <c r="F458" s="15">
        <v>0</v>
      </c>
      <c r="G458" s="15">
        <v>0</v>
      </c>
      <c r="H458" s="15">
        <v>0</v>
      </c>
      <c r="I458" s="15">
        <v>0</v>
      </c>
      <c r="J458" s="15">
        <v>0</v>
      </c>
      <c r="K458" s="15">
        <v>0</v>
      </c>
      <c r="L458" s="16">
        <f t="shared" si="6"/>
        <v>447</v>
      </c>
    </row>
    <row r="459" spans="1:12" x14ac:dyDescent="0.2">
      <c r="A459" s="3" t="s">
        <v>35</v>
      </c>
      <c r="C459" s="6" t="str">
        <f>"400-5600-00"</f>
        <v>400-5600-00</v>
      </c>
      <c r="D459" s="6" t="str">
        <f>"Contract Services - Service/Installation"</f>
        <v>Contract Services - Service/Installation</v>
      </c>
      <c r="E459" s="15">
        <v>338550.85</v>
      </c>
      <c r="F459" s="15">
        <v>338550.85</v>
      </c>
      <c r="G459" s="15">
        <v>338550.85</v>
      </c>
      <c r="H459" s="15">
        <v>338550.85</v>
      </c>
      <c r="I459" s="15">
        <v>338550.85</v>
      </c>
      <c r="J459" s="15">
        <v>338550.85</v>
      </c>
      <c r="K459" s="15">
        <v>338550.85</v>
      </c>
      <c r="L459" s="16">
        <f t="shared" si="6"/>
        <v>448</v>
      </c>
    </row>
    <row r="460" spans="1:12" x14ac:dyDescent="0.2">
      <c r="A460" s="3" t="s">
        <v>35</v>
      </c>
      <c r="C460" s="6" t="str">
        <f>"400-6100-00"</f>
        <v>400-6100-00</v>
      </c>
      <c r="D460" s="6" t="str">
        <f>"Training - Service/installation"</f>
        <v>Training - Service/installation</v>
      </c>
      <c r="E460" s="15">
        <v>3570</v>
      </c>
      <c r="F460" s="15">
        <v>3570</v>
      </c>
      <c r="G460" s="15">
        <v>3570</v>
      </c>
      <c r="H460" s="15">
        <v>3570</v>
      </c>
      <c r="I460" s="15">
        <v>3570</v>
      </c>
      <c r="J460" s="15">
        <v>3570</v>
      </c>
      <c r="K460" s="15">
        <v>3570</v>
      </c>
      <c r="L460" s="16">
        <f t="shared" si="6"/>
        <v>449</v>
      </c>
    </row>
    <row r="461" spans="1:12" x14ac:dyDescent="0.2">
      <c r="A461" s="3" t="s">
        <v>35</v>
      </c>
      <c r="C461" s="6" t="str">
        <f>"400-6110-00"</f>
        <v>400-6110-00</v>
      </c>
      <c r="D461" s="6" t="str">
        <f>"Fleet Vehicle Expense"</f>
        <v>Fleet Vehicle Expense</v>
      </c>
      <c r="E461" s="15">
        <v>628.55999999999995</v>
      </c>
      <c r="F461" s="15">
        <v>628.55999999999995</v>
      </c>
      <c r="G461" s="15">
        <v>628.55999999999995</v>
      </c>
      <c r="H461" s="15">
        <v>628.55999999999995</v>
      </c>
      <c r="I461" s="15">
        <v>628.55999999999995</v>
      </c>
      <c r="J461" s="15">
        <v>628.55999999999995</v>
      </c>
      <c r="K461" s="15">
        <v>628.55999999999995</v>
      </c>
      <c r="L461" s="16">
        <f t="shared" ref="L461:L524" si="7">L460+1</f>
        <v>450</v>
      </c>
    </row>
    <row r="462" spans="1:12" x14ac:dyDescent="0.2">
      <c r="A462" s="3" t="s">
        <v>35</v>
      </c>
      <c r="C462" s="6" t="str">
        <f>"400-6120-00"</f>
        <v>400-6120-00</v>
      </c>
      <c r="D462" s="6" t="str">
        <f>"Supplies/Rental - Service/Installation"</f>
        <v>Supplies/Rental - Service/Installation</v>
      </c>
      <c r="E462" s="15">
        <v>1550</v>
      </c>
      <c r="F462" s="15">
        <v>1550</v>
      </c>
      <c r="G462" s="15">
        <v>1550</v>
      </c>
      <c r="H462" s="15">
        <v>1550</v>
      </c>
      <c r="I462" s="15">
        <v>1550</v>
      </c>
      <c r="J462" s="15">
        <v>1550</v>
      </c>
      <c r="K462" s="15">
        <v>1550</v>
      </c>
      <c r="L462" s="16">
        <f t="shared" si="7"/>
        <v>451</v>
      </c>
    </row>
    <row r="463" spans="1:12" x14ac:dyDescent="0.2">
      <c r="A463" s="3" t="s">
        <v>35</v>
      </c>
      <c r="C463" s="6" t="str">
        <f>"400-6130-00"</f>
        <v>400-6130-00</v>
      </c>
      <c r="D463" s="6" t="str">
        <f>"Supplies/Hardware - Service/Installation"</f>
        <v>Supplies/Hardware - Service/Installation</v>
      </c>
      <c r="E463" s="15">
        <v>0</v>
      </c>
      <c r="F463" s="15">
        <v>0</v>
      </c>
      <c r="G463" s="15">
        <v>0</v>
      </c>
      <c r="H463" s="15">
        <v>0</v>
      </c>
      <c r="I463" s="15">
        <v>0</v>
      </c>
      <c r="J463" s="15">
        <v>0</v>
      </c>
      <c r="K463" s="15">
        <v>0</v>
      </c>
      <c r="L463" s="16">
        <f t="shared" si="7"/>
        <v>452</v>
      </c>
    </row>
    <row r="464" spans="1:12" x14ac:dyDescent="0.2">
      <c r="A464" s="3" t="s">
        <v>35</v>
      </c>
      <c r="C464" s="6" t="str">
        <f>"400-6140-00"</f>
        <v>400-6140-00</v>
      </c>
      <c r="D464" s="6" t="str">
        <f>"Supplies/Software - Service/Installation"</f>
        <v>Supplies/Software - Service/Installation</v>
      </c>
      <c r="E464" s="15">
        <v>0</v>
      </c>
      <c r="F464" s="15">
        <v>0</v>
      </c>
      <c r="G464" s="15">
        <v>0</v>
      </c>
      <c r="H464" s="15">
        <v>0</v>
      </c>
      <c r="I464" s="15">
        <v>0</v>
      </c>
      <c r="J464" s="15">
        <v>0</v>
      </c>
      <c r="K464" s="15">
        <v>0</v>
      </c>
      <c r="L464" s="16">
        <f t="shared" si="7"/>
        <v>453</v>
      </c>
    </row>
    <row r="465" spans="1:12" x14ac:dyDescent="0.2">
      <c r="A465" s="3" t="s">
        <v>35</v>
      </c>
      <c r="C465" s="6" t="str">
        <f>"400-6150-00"</f>
        <v>400-6150-00</v>
      </c>
      <c r="D465" s="6" t="str">
        <f>"Supplies-Allocated - Services/Installation"</f>
        <v>Supplies-Allocated - Services/Installation</v>
      </c>
      <c r="E465" s="15">
        <v>1218.75</v>
      </c>
      <c r="F465" s="15">
        <v>1218.75</v>
      </c>
      <c r="G465" s="15">
        <v>1218.75</v>
      </c>
      <c r="H465" s="15">
        <v>1218.75</v>
      </c>
      <c r="I465" s="15">
        <v>1218.75</v>
      </c>
      <c r="J465" s="15">
        <v>1218.75</v>
      </c>
      <c r="K465" s="15">
        <v>1218.75</v>
      </c>
      <c r="L465" s="16">
        <f t="shared" si="7"/>
        <v>454</v>
      </c>
    </row>
    <row r="466" spans="1:12" x14ac:dyDescent="0.2">
      <c r="A466" s="3" t="s">
        <v>35</v>
      </c>
      <c r="C466" s="6" t="str">
        <f>"400-6160-00"</f>
        <v>400-6160-00</v>
      </c>
      <c r="D466" s="6" t="str">
        <f>"Dues &amp; Subscriptions - Service/Installation"</f>
        <v>Dues &amp; Subscriptions - Service/Installation</v>
      </c>
      <c r="E466" s="15">
        <v>950</v>
      </c>
      <c r="F466" s="15">
        <v>950</v>
      </c>
      <c r="G466" s="15">
        <v>950</v>
      </c>
      <c r="H466" s="15">
        <v>950</v>
      </c>
      <c r="I466" s="15">
        <v>950</v>
      </c>
      <c r="J466" s="15">
        <v>950</v>
      </c>
      <c r="K466" s="15">
        <v>950</v>
      </c>
      <c r="L466" s="16">
        <f t="shared" si="7"/>
        <v>455</v>
      </c>
    </row>
    <row r="467" spans="1:12" x14ac:dyDescent="0.2">
      <c r="A467" s="3" t="s">
        <v>35</v>
      </c>
      <c r="C467" s="6" t="str">
        <f>"400-6170-00"</f>
        <v>400-6170-00</v>
      </c>
      <c r="D467" s="6" t="str">
        <f>"Repairs &amp; Maintenance - Service/Installation"</f>
        <v>Repairs &amp; Maintenance - Service/Installation</v>
      </c>
      <c r="E467" s="15">
        <v>1728.75</v>
      </c>
      <c r="F467" s="15">
        <v>1728.75</v>
      </c>
      <c r="G467" s="15">
        <v>1728.75</v>
      </c>
      <c r="H467" s="15">
        <v>1728.75</v>
      </c>
      <c r="I467" s="15">
        <v>1728.75</v>
      </c>
      <c r="J467" s="15">
        <v>1728.75</v>
      </c>
      <c r="K467" s="15">
        <v>1728.75</v>
      </c>
      <c r="L467" s="16">
        <f t="shared" si="7"/>
        <v>456</v>
      </c>
    </row>
    <row r="468" spans="1:12" x14ac:dyDescent="0.2">
      <c r="A468" s="3" t="s">
        <v>35</v>
      </c>
      <c r="C468" s="6" t="str">
        <f>"400-6180-00"</f>
        <v>400-6180-00</v>
      </c>
      <c r="D468" s="6" t="str">
        <f>"Rent Expense - Service/Installation"</f>
        <v>Rent Expense - Service/Installation</v>
      </c>
      <c r="E468" s="15">
        <v>11148.74</v>
      </c>
      <c r="F468" s="15">
        <v>11148.74</v>
      </c>
      <c r="G468" s="15">
        <v>11148.74</v>
      </c>
      <c r="H468" s="15">
        <v>11148.74</v>
      </c>
      <c r="I468" s="15">
        <v>11148.74</v>
      </c>
      <c r="J468" s="15">
        <v>11148.74</v>
      </c>
      <c r="K468" s="15">
        <v>11148.74</v>
      </c>
      <c r="L468" s="16">
        <f t="shared" si="7"/>
        <v>457</v>
      </c>
    </row>
    <row r="469" spans="1:12" x14ac:dyDescent="0.2">
      <c r="A469" s="3" t="s">
        <v>35</v>
      </c>
      <c r="C469" s="6" t="str">
        <f>"400-6190-00"</f>
        <v>400-6190-00</v>
      </c>
      <c r="D469" s="6" t="str">
        <f>"Utilities Expense - Service/Installation"</f>
        <v>Utilities Expense - Service/Installation</v>
      </c>
      <c r="E469" s="15">
        <v>1263.1500000000001</v>
      </c>
      <c r="F469" s="15">
        <v>1263.1500000000001</v>
      </c>
      <c r="G469" s="15">
        <v>1263.1500000000001</v>
      </c>
      <c r="H469" s="15">
        <v>1263.1500000000001</v>
      </c>
      <c r="I469" s="15">
        <v>1263.1500000000001</v>
      </c>
      <c r="J469" s="15">
        <v>1263.1500000000001</v>
      </c>
      <c r="K469" s="15">
        <v>1263.1500000000001</v>
      </c>
      <c r="L469" s="16">
        <f t="shared" si="7"/>
        <v>458</v>
      </c>
    </row>
    <row r="470" spans="1:12" x14ac:dyDescent="0.2">
      <c r="A470" s="3" t="s">
        <v>35</v>
      </c>
      <c r="C470" s="6" t="str">
        <f>"400-6500-00"</f>
        <v>400-6500-00</v>
      </c>
      <c r="D470" s="6" t="str">
        <f>"Postage/Freight - Service/Installation"</f>
        <v>Postage/Freight - Service/Installation</v>
      </c>
      <c r="E470" s="15">
        <v>2530.9499999999998</v>
      </c>
      <c r="F470" s="15">
        <v>2530.9499999999998</v>
      </c>
      <c r="G470" s="15">
        <v>2530.9499999999998</v>
      </c>
      <c r="H470" s="15">
        <v>2530.9499999999998</v>
      </c>
      <c r="I470" s="15">
        <v>2530.9499999999998</v>
      </c>
      <c r="J470" s="15">
        <v>2530.9499999999998</v>
      </c>
      <c r="K470" s="15">
        <v>2530.9499999999998</v>
      </c>
      <c r="L470" s="16">
        <f t="shared" si="7"/>
        <v>459</v>
      </c>
    </row>
    <row r="471" spans="1:12" x14ac:dyDescent="0.2">
      <c r="A471" s="3" t="s">
        <v>35</v>
      </c>
      <c r="C471" s="6" t="str">
        <f>"400-6510-00"</f>
        <v>400-6510-00</v>
      </c>
      <c r="D471" s="6" t="str">
        <f>"Telephone - Service/Installation"</f>
        <v>Telephone - Service/Installation</v>
      </c>
      <c r="E471" s="15">
        <v>3380.29</v>
      </c>
      <c r="F471" s="15">
        <v>3380.29</v>
      </c>
      <c r="G471" s="15">
        <v>3380.29</v>
      </c>
      <c r="H471" s="15">
        <v>3380.29</v>
      </c>
      <c r="I471" s="15">
        <v>3380.29</v>
      </c>
      <c r="J471" s="15">
        <v>3380.29</v>
      </c>
      <c r="K471" s="15">
        <v>3380.29</v>
      </c>
      <c r="L471" s="16">
        <f t="shared" si="7"/>
        <v>460</v>
      </c>
    </row>
    <row r="472" spans="1:12" x14ac:dyDescent="0.2">
      <c r="A472" s="3" t="s">
        <v>35</v>
      </c>
      <c r="C472" s="6" t="str">
        <f>"400-6520-00"</f>
        <v>400-6520-00</v>
      </c>
      <c r="D472" s="6" t="str">
        <f>"Travel - Service/Installation"</f>
        <v>Travel - Service/Installation</v>
      </c>
      <c r="E472" s="15">
        <v>14942.01</v>
      </c>
      <c r="F472" s="15">
        <v>14942.01</v>
      </c>
      <c r="G472" s="15">
        <v>14942.01</v>
      </c>
      <c r="H472" s="15">
        <v>14942.01</v>
      </c>
      <c r="I472" s="15">
        <v>14942.01</v>
      </c>
      <c r="J472" s="15">
        <v>14942.01</v>
      </c>
      <c r="K472" s="15">
        <v>14942.01</v>
      </c>
      <c r="L472" s="16">
        <f t="shared" si="7"/>
        <v>461</v>
      </c>
    </row>
    <row r="473" spans="1:12" x14ac:dyDescent="0.2">
      <c r="A473" s="3" t="s">
        <v>35</v>
      </c>
      <c r="C473" s="6" t="str">
        <f>"400-6530-00"</f>
        <v>400-6530-00</v>
      </c>
      <c r="D473" s="6" t="str">
        <f>"Meals/Entertainment - Service/Installation"</f>
        <v>Meals/Entertainment - Service/Installation</v>
      </c>
      <c r="E473" s="15">
        <v>1689.62</v>
      </c>
      <c r="F473" s="15">
        <v>1689.62</v>
      </c>
      <c r="G473" s="15">
        <v>1689.62</v>
      </c>
      <c r="H473" s="15">
        <v>1689.62</v>
      </c>
      <c r="I473" s="15">
        <v>1689.62</v>
      </c>
      <c r="J473" s="15">
        <v>1689.62</v>
      </c>
      <c r="K473" s="15">
        <v>1689.62</v>
      </c>
      <c r="L473" s="16">
        <f t="shared" si="7"/>
        <v>462</v>
      </c>
    </row>
    <row r="474" spans="1:12" x14ac:dyDescent="0.2">
      <c r="A474" s="3" t="s">
        <v>35</v>
      </c>
      <c r="C474" s="6" t="str">
        <f>"400-9010-00"</f>
        <v>400-9010-00</v>
      </c>
      <c r="D474" s="6" t="str">
        <f>"Square Footage-Service"</f>
        <v>Square Footage-Service</v>
      </c>
      <c r="E474" s="15">
        <v>200000</v>
      </c>
      <c r="F474" s="15">
        <v>200000</v>
      </c>
      <c r="G474" s="15">
        <v>200000</v>
      </c>
      <c r="H474" s="15">
        <v>200000</v>
      </c>
      <c r="I474" s="15">
        <v>200000</v>
      </c>
      <c r="J474" s="15">
        <v>200000</v>
      </c>
      <c r="K474" s="15">
        <v>200000</v>
      </c>
      <c r="L474" s="16">
        <f t="shared" si="7"/>
        <v>463</v>
      </c>
    </row>
    <row r="475" spans="1:12" x14ac:dyDescent="0.2">
      <c r="A475" s="3" t="s">
        <v>35</v>
      </c>
      <c r="C475" s="6" t="str">
        <f>"400-9020-00"</f>
        <v>400-9020-00</v>
      </c>
      <c r="D475" s="6" t="str">
        <f>"Employee Count-Service/Installation"</f>
        <v>Employee Count-Service/Installation</v>
      </c>
      <c r="E475" s="15">
        <v>0</v>
      </c>
      <c r="F475" s="15">
        <v>0</v>
      </c>
      <c r="G475" s="15">
        <v>0</v>
      </c>
      <c r="H475" s="15">
        <v>0</v>
      </c>
      <c r="I475" s="15">
        <v>0</v>
      </c>
      <c r="J475" s="15">
        <v>0</v>
      </c>
      <c r="K475" s="15">
        <v>0</v>
      </c>
      <c r="L475" s="16">
        <f t="shared" si="7"/>
        <v>464</v>
      </c>
    </row>
    <row r="476" spans="1:12" x14ac:dyDescent="0.2">
      <c r="A476" s="3" t="s">
        <v>35</v>
      </c>
      <c r="C476" s="6" t="str">
        <f>"400-9030-00"</f>
        <v>400-9030-00</v>
      </c>
      <c r="D476" s="6" t="str">
        <f>"Fixed Assets-Computer Cabinets"</f>
        <v>Fixed Assets-Computer Cabinets</v>
      </c>
      <c r="E476" s="15">
        <v>0</v>
      </c>
      <c r="F476" s="15">
        <v>0</v>
      </c>
      <c r="G476" s="15">
        <v>0</v>
      </c>
      <c r="H476" s="15">
        <v>0</v>
      </c>
      <c r="I476" s="15">
        <v>0</v>
      </c>
      <c r="J476" s="15">
        <v>0</v>
      </c>
      <c r="K476" s="15">
        <v>0</v>
      </c>
      <c r="L476" s="16">
        <f t="shared" si="7"/>
        <v>465</v>
      </c>
    </row>
    <row r="477" spans="1:12" x14ac:dyDescent="0.2">
      <c r="A477" s="3" t="s">
        <v>35</v>
      </c>
      <c r="C477" s="6" t="str">
        <f>"500-5100-00"</f>
        <v>500-5100-00</v>
      </c>
      <c r="D477" s="6" t="str">
        <f>"Salaries and Wages - Consulting/Training US"</f>
        <v>Salaries and Wages - Consulting/Training US</v>
      </c>
      <c r="E477" s="15">
        <v>0</v>
      </c>
      <c r="F477" s="15">
        <v>0</v>
      </c>
      <c r="G477" s="15">
        <v>0</v>
      </c>
      <c r="H477" s="15">
        <v>0</v>
      </c>
      <c r="I477" s="15">
        <v>0</v>
      </c>
      <c r="J477" s="15">
        <v>0</v>
      </c>
      <c r="K477" s="15">
        <v>0</v>
      </c>
      <c r="L477" s="16">
        <f t="shared" si="7"/>
        <v>466</v>
      </c>
    </row>
    <row r="478" spans="1:12" x14ac:dyDescent="0.2">
      <c r="A478" s="3" t="s">
        <v>35</v>
      </c>
      <c r="C478" s="6" t="str">
        <f>"500-5101-00"</f>
        <v>500-5101-00</v>
      </c>
      <c r="D478" s="6" t="str">
        <f>"Salaries and Wages - Consulting/Training Canada"</f>
        <v>Salaries and Wages - Consulting/Training Canada</v>
      </c>
      <c r="E478" s="15">
        <v>0</v>
      </c>
      <c r="F478" s="15">
        <v>0</v>
      </c>
      <c r="G478" s="15">
        <v>0</v>
      </c>
      <c r="H478" s="15">
        <v>0</v>
      </c>
      <c r="I478" s="15">
        <v>0</v>
      </c>
      <c r="J478" s="15">
        <v>0</v>
      </c>
      <c r="K478" s="15">
        <v>0</v>
      </c>
      <c r="L478" s="16">
        <f t="shared" si="7"/>
        <v>467</v>
      </c>
    </row>
    <row r="479" spans="1:12" x14ac:dyDescent="0.2">
      <c r="A479" s="3" t="s">
        <v>35</v>
      </c>
      <c r="C479" s="6" t="str">
        <f>"500-5110-00"</f>
        <v>500-5110-00</v>
      </c>
      <c r="D479" s="6" t="str">
        <f>"Overtime Pay - Consulting/Training US"</f>
        <v>Overtime Pay - Consulting/Training US</v>
      </c>
      <c r="E479" s="15">
        <v>12509.87</v>
      </c>
      <c r="F479" s="15">
        <v>12509.87</v>
      </c>
      <c r="G479" s="15">
        <v>12509.87</v>
      </c>
      <c r="H479" s="15">
        <v>12509.87</v>
      </c>
      <c r="I479" s="15">
        <v>12509.87</v>
      </c>
      <c r="J479" s="15">
        <v>12509.87</v>
      </c>
      <c r="K479" s="15">
        <v>12509.87</v>
      </c>
      <c r="L479" s="16">
        <f t="shared" si="7"/>
        <v>468</v>
      </c>
    </row>
    <row r="480" spans="1:12" x14ac:dyDescent="0.2">
      <c r="A480" s="3" t="s">
        <v>35</v>
      </c>
      <c r="C480" s="6" t="str">
        <f>"500-5111-00"</f>
        <v>500-5111-00</v>
      </c>
      <c r="D480" s="6" t="str">
        <f>"Overtime Pay - Consulting/Training Canada"</f>
        <v>Overtime Pay - Consulting/Training Canada</v>
      </c>
      <c r="E480" s="15">
        <v>0</v>
      </c>
      <c r="F480" s="15">
        <v>0</v>
      </c>
      <c r="G480" s="15">
        <v>0</v>
      </c>
      <c r="H480" s="15">
        <v>0</v>
      </c>
      <c r="I480" s="15">
        <v>0</v>
      </c>
      <c r="J480" s="15">
        <v>0</v>
      </c>
      <c r="K480" s="15">
        <v>0</v>
      </c>
      <c r="L480" s="16">
        <f t="shared" si="7"/>
        <v>469</v>
      </c>
    </row>
    <row r="481" spans="1:12" x14ac:dyDescent="0.2">
      <c r="A481" s="3" t="s">
        <v>35</v>
      </c>
      <c r="C481" s="6" t="str">
        <f>"500-5120-00"</f>
        <v>500-5120-00</v>
      </c>
      <c r="D481" s="6" t="str">
        <f>"Bonuses - Consulting/Training US"</f>
        <v>Bonuses - Consulting/Training US</v>
      </c>
      <c r="E481" s="15">
        <v>0</v>
      </c>
      <c r="F481" s="15">
        <v>0</v>
      </c>
      <c r="G481" s="15">
        <v>0</v>
      </c>
      <c r="H481" s="15">
        <v>0</v>
      </c>
      <c r="I481" s="15">
        <v>0</v>
      </c>
      <c r="J481" s="15">
        <v>0</v>
      </c>
      <c r="K481" s="15">
        <v>0</v>
      </c>
      <c r="L481" s="16">
        <f t="shared" si="7"/>
        <v>470</v>
      </c>
    </row>
    <row r="482" spans="1:12" x14ac:dyDescent="0.2">
      <c r="A482" s="3" t="s">
        <v>35</v>
      </c>
      <c r="C482" s="6" t="str">
        <f>"500-5121-00"</f>
        <v>500-5121-00</v>
      </c>
      <c r="D482" s="6" t="str">
        <f>"Bonuses - Consulting/Training Canada"</f>
        <v>Bonuses - Consulting/Training Canada</v>
      </c>
      <c r="E482" s="15">
        <v>0</v>
      </c>
      <c r="F482" s="15">
        <v>0</v>
      </c>
      <c r="G482" s="15">
        <v>0</v>
      </c>
      <c r="H482" s="15">
        <v>0</v>
      </c>
      <c r="I482" s="15">
        <v>0</v>
      </c>
      <c r="J482" s="15">
        <v>0</v>
      </c>
      <c r="K482" s="15">
        <v>0</v>
      </c>
      <c r="L482" s="16">
        <f t="shared" si="7"/>
        <v>471</v>
      </c>
    </row>
    <row r="483" spans="1:12" x14ac:dyDescent="0.2">
      <c r="A483" s="3" t="s">
        <v>35</v>
      </c>
      <c r="C483" s="6" t="str">
        <f>"500-5130-00"</f>
        <v>500-5130-00</v>
      </c>
      <c r="D483" s="6" t="str">
        <f>"Commissions - Consulting/Training US"</f>
        <v>Commissions - Consulting/Training US</v>
      </c>
      <c r="E483" s="15">
        <v>0</v>
      </c>
      <c r="F483" s="15">
        <v>0</v>
      </c>
      <c r="G483" s="15">
        <v>0</v>
      </c>
      <c r="H483" s="15">
        <v>0</v>
      </c>
      <c r="I483" s="15">
        <v>0</v>
      </c>
      <c r="J483" s="15">
        <v>0</v>
      </c>
      <c r="K483" s="15">
        <v>0</v>
      </c>
      <c r="L483" s="16">
        <f t="shared" si="7"/>
        <v>472</v>
      </c>
    </row>
    <row r="484" spans="1:12" x14ac:dyDescent="0.2">
      <c r="A484" s="3" t="s">
        <v>35</v>
      </c>
      <c r="C484" s="6" t="str">
        <f>"500-5131-00"</f>
        <v>500-5131-00</v>
      </c>
      <c r="D484" s="6" t="str">
        <f>"Commissions - Consulting/Training Canada"</f>
        <v>Commissions - Consulting/Training Canada</v>
      </c>
      <c r="E484" s="15">
        <v>0</v>
      </c>
      <c r="F484" s="15">
        <v>0</v>
      </c>
      <c r="G484" s="15">
        <v>0</v>
      </c>
      <c r="H484" s="15">
        <v>0</v>
      </c>
      <c r="I484" s="15">
        <v>0</v>
      </c>
      <c r="J484" s="15">
        <v>0</v>
      </c>
      <c r="K484" s="15">
        <v>0</v>
      </c>
      <c r="L484" s="16">
        <f t="shared" si="7"/>
        <v>473</v>
      </c>
    </row>
    <row r="485" spans="1:12" x14ac:dyDescent="0.2">
      <c r="A485" s="3" t="s">
        <v>35</v>
      </c>
      <c r="C485" s="6" t="str">
        <f>"500-5140-00"</f>
        <v>500-5140-00</v>
      </c>
      <c r="D485" s="6" t="str">
        <f>"Profit Sharing - Consulting/Training US"</f>
        <v>Profit Sharing - Consulting/Training US</v>
      </c>
      <c r="E485" s="15">
        <v>0</v>
      </c>
      <c r="F485" s="15">
        <v>0</v>
      </c>
      <c r="G485" s="15">
        <v>0</v>
      </c>
      <c r="H485" s="15">
        <v>0</v>
      </c>
      <c r="I485" s="15">
        <v>0</v>
      </c>
      <c r="J485" s="15">
        <v>0</v>
      </c>
      <c r="K485" s="15">
        <v>0</v>
      </c>
      <c r="L485" s="16">
        <f t="shared" si="7"/>
        <v>474</v>
      </c>
    </row>
    <row r="486" spans="1:12" x14ac:dyDescent="0.2">
      <c r="A486" s="3" t="s">
        <v>35</v>
      </c>
      <c r="C486" s="6" t="str">
        <f>"500-5141-00"</f>
        <v>500-5141-00</v>
      </c>
      <c r="D486" s="6" t="str">
        <f>"Profit Sharing - Consulting/Training Canada"</f>
        <v>Profit Sharing - Consulting/Training Canada</v>
      </c>
      <c r="E486" s="15">
        <v>0</v>
      </c>
      <c r="F486" s="15">
        <v>0</v>
      </c>
      <c r="G486" s="15">
        <v>0</v>
      </c>
      <c r="H486" s="15">
        <v>0</v>
      </c>
      <c r="I486" s="15">
        <v>0</v>
      </c>
      <c r="J486" s="15">
        <v>0</v>
      </c>
      <c r="K486" s="15">
        <v>0</v>
      </c>
      <c r="L486" s="16">
        <f t="shared" si="7"/>
        <v>475</v>
      </c>
    </row>
    <row r="487" spans="1:12" x14ac:dyDescent="0.2">
      <c r="A487" s="3" t="s">
        <v>35</v>
      </c>
      <c r="C487" s="6" t="str">
        <f>"500-5150-00"</f>
        <v>500-5150-00</v>
      </c>
      <c r="D487" s="6" t="str">
        <f>"Employee Benefits - Consulting/Training"</f>
        <v>Employee Benefits - Consulting/Training</v>
      </c>
      <c r="E487" s="15">
        <v>0</v>
      </c>
      <c r="F487" s="15">
        <v>0</v>
      </c>
      <c r="G487" s="15">
        <v>0</v>
      </c>
      <c r="H487" s="15">
        <v>0</v>
      </c>
      <c r="I487" s="15">
        <v>0</v>
      </c>
      <c r="J487" s="15">
        <v>0</v>
      </c>
      <c r="K487" s="15">
        <v>0</v>
      </c>
      <c r="L487" s="16">
        <f t="shared" si="7"/>
        <v>476</v>
      </c>
    </row>
    <row r="488" spans="1:12" x14ac:dyDescent="0.2">
      <c r="A488" s="3" t="s">
        <v>35</v>
      </c>
      <c r="C488" s="6" t="str">
        <f>"500-5160-00"</f>
        <v>500-5160-00</v>
      </c>
      <c r="D488" s="6" t="str">
        <f>"Health Insurance Expense - Consulting/Training"</f>
        <v>Health Insurance Expense - Consulting/Training</v>
      </c>
      <c r="E488" s="15">
        <v>0</v>
      </c>
      <c r="F488" s="15">
        <v>0</v>
      </c>
      <c r="G488" s="15">
        <v>0</v>
      </c>
      <c r="H488" s="15">
        <v>0</v>
      </c>
      <c r="I488" s="15">
        <v>0</v>
      </c>
      <c r="J488" s="15">
        <v>0</v>
      </c>
      <c r="K488" s="15">
        <v>0</v>
      </c>
      <c r="L488" s="16">
        <f t="shared" si="7"/>
        <v>477</v>
      </c>
    </row>
    <row r="489" spans="1:12" x14ac:dyDescent="0.2">
      <c r="A489" s="3" t="s">
        <v>35</v>
      </c>
      <c r="C489" s="6" t="str">
        <f>"500-5170-00"</f>
        <v>500-5170-00</v>
      </c>
      <c r="D489" s="6" t="str">
        <f>"Payroll Taxes - Consulting/Training"</f>
        <v>Payroll Taxes - Consulting/Training</v>
      </c>
      <c r="E489" s="15">
        <v>0</v>
      </c>
      <c r="F489" s="15">
        <v>0</v>
      </c>
      <c r="G489" s="15">
        <v>0</v>
      </c>
      <c r="H489" s="15">
        <v>0</v>
      </c>
      <c r="I489" s="15">
        <v>0</v>
      </c>
      <c r="J489" s="15">
        <v>0</v>
      </c>
      <c r="K489" s="15">
        <v>0</v>
      </c>
      <c r="L489" s="16">
        <f t="shared" si="7"/>
        <v>478</v>
      </c>
    </row>
    <row r="490" spans="1:12" x14ac:dyDescent="0.2">
      <c r="A490" s="3" t="s">
        <v>35</v>
      </c>
      <c r="C490" s="6" t="str">
        <f>"500-5600-00"</f>
        <v>500-5600-00</v>
      </c>
      <c r="D490" s="6" t="str">
        <f>"Contract Services - Consulting/Training"</f>
        <v>Contract Services - Consulting/Training</v>
      </c>
      <c r="E490" s="15">
        <v>37700</v>
      </c>
      <c r="F490" s="15">
        <v>37700</v>
      </c>
      <c r="G490" s="15">
        <v>37700</v>
      </c>
      <c r="H490" s="15">
        <v>37700</v>
      </c>
      <c r="I490" s="15">
        <v>37700</v>
      </c>
      <c r="J490" s="15">
        <v>37700</v>
      </c>
      <c r="K490" s="15">
        <v>37700</v>
      </c>
      <c r="L490" s="16">
        <f t="shared" si="7"/>
        <v>479</v>
      </c>
    </row>
    <row r="491" spans="1:12" x14ac:dyDescent="0.2">
      <c r="A491" s="3" t="s">
        <v>35</v>
      </c>
      <c r="C491" s="6" t="str">
        <f>"500-6100-00"</f>
        <v>500-6100-00</v>
      </c>
      <c r="D491" s="6" t="str">
        <f>"Training - Consulting/Training"</f>
        <v>Training - Consulting/Training</v>
      </c>
      <c r="E491" s="15">
        <v>0</v>
      </c>
      <c r="F491" s="15">
        <v>0</v>
      </c>
      <c r="G491" s="15">
        <v>0</v>
      </c>
      <c r="H491" s="15">
        <v>0</v>
      </c>
      <c r="I491" s="15">
        <v>0</v>
      </c>
      <c r="J491" s="15">
        <v>0</v>
      </c>
      <c r="K491" s="15">
        <v>0</v>
      </c>
      <c r="L491" s="16">
        <f t="shared" si="7"/>
        <v>480</v>
      </c>
    </row>
    <row r="492" spans="1:12" x14ac:dyDescent="0.2">
      <c r="A492" s="3" t="s">
        <v>35</v>
      </c>
      <c r="C492" s="6" t="str">
        <f>"500-6120-00"</f>
        <v>500-6120-00</v>
      </c>
      <c r="D492" s="6" t="str">
        <f>"Supplies/Rental - Consulting/Training"</f>
        <v>Supplies/Rental - Consulting/Training</v>
      </c>
      <c r="E492" s="15">
        <v>975</v>
      </c>
      <c r="F492" s="15">
        <v>975</v>
      </c>
      <c r="G492" s="15">
        <v>975</v>
      </c>
      <c r="H492" s="15">
        <v>975</v>
      </c>
      <c r="I492" s="15">
        <v>975</v>
      </c>
      <c r="J492" s="15">
        <v>975</v>
      </c>
      <c r="K492" s="15">
        <v>975</v>
      </c>
      <c r="L492" s="16">
        <f t="shared" si="7"/>
        <v>481</v>
      </c>
    </row>
    <row r="493" spans="1:12" x14ac:dyDescent="0.2">
      <c r="A493" s="3" t="s">
        <v>35</v>
      </c>
      <c r="C493" s="6" t="str">
        <f>"500-6130-00"</f>
        <v>500-6130-00</v>
      </c>
      <c r="D493" s="6" t="str">
        <f>"Supplies/Hardware - Consulting/Training"</f>
        <v>Supplies/Hardware - Consulting/Training</v>
      </c>
      <c r="E493" s="15">
        <v>0</v>
      </c>
      <c r="F493" s="15">
        <v>0</v>
      </c>
      <c r="G493" s="15">
        <v>0</v>
      </c>
      <c r="H493" s="15">
        <v>0</v>
      </c>
      <c r="I493" s="15">
        <v>0</v>
      </c>
      <c r="J493" s="15">
        <v>0</v>
      </c>
      <c r="K493" s="15">
        <v>0</v>
      </c>
      <c r="L493" s="16">
        <f t="shared" si="7"/>
        <v>482</v>
      </c>
    </row>
    <row r="494" spans="1:12" x14ac:dyDescent="0.2">
      <c r="A494" s="3" t="s">
        <v>35</v>
      </c>
      <c r="C494" s="6" t="str">
        <f>"500-6140-00"</f>
        <v>500-6140-00</v>
      </c>
      <c r="D494" s="6" t="str">
        <f>"Supplies/Software - Consulting/Training"</f>
        <v>Supplies/Software - Consulting/Training</v>
      </c>
      <c r="E494" s="15">
        <v>0</v>
      </c>
      <c r="F494" s="15">
        <v>0</v>
      </c>
      <c r="G494" s="15">
        <v>0</v>
      </c>
      <c r="H494" s="15">
        <v>0</v>
      </c>
      <c r="I494" s="15">
        <v>0</v>
      </c>
      <c r="J494" s="15">
        <v>0</v>
      </c>
      <c r="K494" s="15">
        <v>0</v>
      </c>
      <c r="L494" s="16">
        <f t="shared" si="7"/>
        <v>483</v>
      </c>
    </row>
    <row r="495" spans="1:12" x14ac:dyDescent="0.2">
      <c r="A495" s="3" t="s">
        <v>35</v>
      </c>
      <c r="C495" s="6" t="str">
        <f>"500-6150-00"</f>
        <v>500-6150-00</v>
      </c>
      <c r="D495" s="6" t="str">
        <f>"Supplies-Allocated - Consulting/Training"</f>
        <v>Supplies-Allocated - Consulting/Training</v>
      </c>
      <c r="E495" s="15">
        <v>10949.62</v>
      </c>
      <c r="F495" s="15">
        <v>10949.62</v>
      </c>
      <c r="G495" s="15">
        <v>10949.62</v>
      </c>
      <c r="H495" s="15">
        <v>10949.62</v>
      </c>
      <c r="I495" s="15">
        <v>10949.62</v>
      </c>
      <c r="J495" s="15">
        <v>10949.62</v>
      </c>
      <c r="K495" s="15">
        <v>10949.62</v>
      </c>
      <c r="L495" s="16">
        <f t="shared" si="7"/>
        <v>484</v>
      </c>
    </row>
    <row r="496" spans="1:12" x14ac:dyDescent="0.2">
      <c r="A496" s="3" t="s">
        <v>35</v>
      </c>
      <c r="C496" s="6" t="str">
        <f>"500-6160-00"</f>
        <v>500-6160-00</v>
      </c>
      <c r="D496" s="6" t="str">
        <f>"Dues &amp; Subscriptions - Consulting/Training"</f>
        <v>Dues &amp; Subscriptions - Consulting/Training</v>
      </c>
      <c r="E496" s="15">
        <v>89.5</v>
      </c>
      <c r="F496" s="15">
        <v>89.5</v>
      </c>
      <c r="G496" s="15">
        <v>89.5</v>
      </c>
      <c r="H496" s="15">
        <v>89.5</v>
      </c>
      <c r="I496" s="15">
        <v>89.5</v>
      </c>
      <c r="J496" s="15">
        <v>89.5</v>
      </c>
      <c r="K496" s="15">
        <v>89.5</v>
      </c>
      <c r="L496" s="16">
        <f t="shared" si="7"/>
        <v>485</v>
      </c>
    </row>
    <row r="497" spans="1:12" x14ac:dyDescent="0.2">
      <c r="A497" s="3" t="s">
        <v>35</v>
      </c>
      <c r="C497" s="6" t="str">
        <f>"500-6170-00"</f>
        <v>500-6170-00</v>
      </c>
      <c r="D497" s="6" t="str">
        <f>"Repairs &amp; Maintenance - Consulting/Training"</f>
        <v>Repairs &amp; Maintenance - Consulting/Training</v>
      </c>
      <c r="E497" s="15">
        <v>1555.88</v>
      </c>
      <c r="F497" s="15">
        <v>1555.88</v>
      </c>
      <c r="G497" s="15">
        <v>1555.88</v>
      </c>
      <c r="H497" s="15">
        <v>1555.88</v>
      </c>
      <c r="I497" s="15">
        <v>1555.88</v>
      </c>
      <c r="J497" s="15">
        <v>1555.88</v>
      </c>
      <c r="K497" s="15">
        <v>1555.88</v>
      </c>
      <c r="L497" s="16">
        <f t="shared" si="7"/>
        <v>486</v>
      </c>
    </row>
    <row r="498" spans="1:12" x14ac:dyDescent="0.2">
      <c r="A498" s="3" t="s">
        <v>35</v>
      </c>
      <c r="C498" s="6" t="str">
        <f>"500-6180-00"</f>
        <v>500-6180-00</v>
      </c>
      <c r="D498" s="6" t="str">
        <f>"Rent Expense - Consulting/Training"</f>
        <v>Rent Expense - Consulting/Training</v>
      </c>
      <c r="E498" s="15">
        <v>5574.37</v>
      </c>
      <c r="F498" s="15">
        <v>5574.37</v>
      </c>
      <c r="G498" s="15">
        <v>5574.37</v>
      </c>
      <c r="H498" s="15">
        <v>5574.37</v>
      </c>
      <c r="I498" s="15">
        <v>5574.37</v>
      </c>
      <c r="J498" s="15">
        <v>5574.37</v>
      </c>
      <c r="K498" s="15">
        <v>5574.37</v>
      </c>
      <c r="L498" s="16">
        <f t="shared" si="7"/>
        <v>487</v>
      </c>
    </row>
    <row r="499" spans="1:12" x14ac:dyDescent="0.2">
      <c r="A499" s="3" t="s">
        <v>35</v>
      </c>
      <c r="C499" s="6" t="str">
        <f>"500-6190-00"</f>
        <v>500-6190-00</v>
      </c>
      <c r="D499" s="6" t="str">
        <f>"Utilities Expense - Consulting/Training"</f>
        <v>Utilities Expense - Consulting/Training</v>
      </c>
      <c r="E499" s="15">
        <v>631.58000000000004</v>
      </c>
      <c r="F499" s="15">
        <v>631.58000000000004</v>
      </c>
      <c r="G499" s="15">
        <v>631.58000000000004</v>
      </c>
      <c r="H499" s="15">
        <v>631.58000000000004</v>
      </c>
      <c r="I499" s="15">
        <v>631.58000000000004</v>
      </c>
      <c r="J499" s="15">
        <v>631.58000000000004</v>
      </c>
      <c r="K499" s="15">
        <v>631.58000000000004</v>
      </c>
      <c r="L499" s="16">
        <f t="shared" si="7"/>
        <v>488</v>
      </c>
    </row>
    <row r="500" spans="1:12" x14ac:dyDescent="0.2">
      <c r="A500" s="3" t="s">
        <v>35</v>
      </c>
      <c r="C500" s="6" t="str">
        <f>"500-6500-00"</f>
        <v>500-6500-00</v>
      </c>
      <c r="D500" s="6" t="str">
        <f>"Postage/Freight - Consulting/Training"</f>
        <v>Postage/Freight - Consulting/Training</v>
      </c>
      <c r="E500" s="15">
        <v>639.72</v>
      </c>
      <c r="F500" s="15">
        <v>639.72</v>
      </c>
      <c r="G500" s="15">
        <v>639.72</v>
      </c>
      <c r="H500" s="15">
        <v>639.72</v>
      </c>
      <c r="I500" s="15">
        <v>639.72</v>
      </c>
      <c r="J500" s="15">
        <v>639.72</v>
      </c>
      <c r="K500" s="15">
        <v>639.72</v>
      </c>
      <c r="L500" s="16">
        <f t="shared" si="7"/>
        <v>489</v>
      </c>
    </row>
    <row r="501" spans="1:12" x14ac:dyDescent="0.2">
      <c r="A501" s="3" t="s">
        <v>35</v>
      </c>
      <c r="C501" s="6" t="str">
        <f>"500-6510-00"</f>
        <v>500-6510-00</v>
      </c>
      <c r="D501" s="6" t="str">
        <f>"Telephone - Consulting/Training"</f>
        <v>Telephone - Consulting/Training</v>
      </c>
      <c r="E501" s="15">
        <v>5633.82</v>
      </c>
      <c r="F501" s="15">
        <v>5633.82</v>
      </c>
      <c r="G501" s="15">
        <v>5633.82</v>
      </c>
      <c r="H501" s="15">
        <v>5633.82</v>
      </c>
      <c r="I501" s="15">
        <v>5633.82</v>
      </c>
      <c r="J501" s="15">
        <v>5633.82</v>
      </c>
      <c r="K501" s="15">
        <v>5633.82</v>
      </c>
      <c r="L501" s="16">
        <f t="shared" si="7"/>
        <v>490</v>
      </c>
    </row>
    <row r="502" spans="1:12" x14ac:dyDescent="0.2">
      <c r="A502" s="3" t="s">
        <v>35</v>
      </c>
      <c r="C502" s="6" t="str">
        <f>"500-6520-00"</f>
        <v>500-6520-00</v>
      </c>
      <c r="D502" s="6" t="str">
        <f>"Travel - Consulting/Training"</f>
        <v>Travel - Consulting/Training</v>
      </c>
      <c r="E502" s="15">
        <v>11988.04</v>
      </c>
      <c r="F502" s="15">
        <v>11988.04</v>
      </c>
      <c r="G502" s="15">
        <v>11988.04</v>
      </c>
      <c r="H502" s="15">
        <v>11988.04</v>
      </c>
      <c r="I502" s="15">
        <v>11988.04</v>
      </c>
      <c r="J502" s="15">
        <v>11988.04</v>
      </c>
      <c r="K502" s="15">
        <v>11988.04</v>
      </c>
      <c r="L502" s="16">
        <f t="shared" si="7"/>
        <v>491</v>
      </c>
    </row>
    <row r="503" spans="1:12" x14ac:dyDescent="0.2">
      <c r="A503" s="3" t="s">
        <v>35</v>
      </c>
      <c r="C503" s="6" t="str">
        <f>"500-6530-00"</f>
        <v>500-6530-00</v>
      </c>
      <c r="D503" s="6" t="str">
        <f>"Meals/Entertainment - Consulting/Training"</f>
        <v>Meals/Entertainment - Consulting/Training</v>
      </c>
      <c r="E503" s="15">
        <v>1759.7</v>
      </c>
      <c r="F503" s="15">
        <v>1759.7</v>
      </c>
      <c r="G503" s="15">
        <v>1759.7</v>
      </c>
      <c r="H503" s="15">
        <v>1759.7</v>
      </c>
      <c r="I503" s="15">
        <v>1759.7</v>
      </c>
      <c r="J503" s="15">
        <v>1759.7</v>
      </c>
      <c r="K503" s="15">
        <v>1759.7</v>
      </c>
      <c r="L503" s="16">
        <f t="shared" si="7"/>
        <v>492</v>
      </c>
    </row>
    <row r="504" spans="1:12" x14ac:dyDescent="0.2">
      <c r="A504" s="3" t="s">
        <v>35</v>
      </c>
      <c r="C504" s="6" t="str">
        <f>"500-9010-00"</f>
        <v>500-9010-00</v>
      </c>
      <c r="D504" s="6" t="str">
        <f>"Square Footage-Consulting/Training"</f>
        <v>Square Footage-Consulting/Training</v>
      </c>
      <c r="E504" s="15">
        <v>100000</v>
      </c>
      <c r="F504" s="15">
        <v>100000</v>
      </c>
      <c r="G504" s="15">
        <v>100000</v>
      </c>
      <c r="H504" s="15">
        <v>100000</v>
      </c>
      <c r="I504" s="15">
        <v>100000</v>
      </c>
      <c r="J504" s="15">
        <v>100000</v>
      </c>
      <c r="K504" s="15">
        <v>100000</v>
      </c>
      <c r="L504" s="16">
        <f t="shared" si="7"/>
        <v>493</v>
      </c>
    </row>
    <row r="505" spans="1:12" x14ac:dyDescent="0.2">
      <c r="A505" s="3" t="s">
        <v>35</v>
      </c>
      <c r="C505" s="6" t="str">
        <f>"500-9020-00"</f>
        <v>500-9020-00</v>
      </c>
      <c r="D505" s="6" t="str">
        <f>"Employee Count-Consulting/Training"</f>
        <v>Employee Count-Consulting/Training</v>
      </c>
      <c r="E505" s="15">
        <v>0</v>
      </c>
      <c r="F505" s="15">
        <v>0</v>
      </c>
      <c r="G505" s="15">
        <v>0</v>
      </c>
      <c r="H505" s="15">
        <v>0</v>
      </c>
      <c r="I505" s="15">
        <v>0</v>
      </c>
      <c r="J505" s="15">
        <v>0</v>
      </c>
      <c r="K505" s="15">
        <v>0</v>
      </c>
      <c r="L505" s="16">
        <f t="shared" si="7"/>
        <v>494</v>
      </c>
    </row>
    <row r="506" spans="1:12" x14ac:dyDescent="0.2">
      <c r="A506" s="3" t="s">
        <v>35</v>
      </c>
      <c r="C506" s="6" t="str">
        <f>"500-9030-00"</f>
        <v>500-9030-00</v>
      </c>
      <c r="D506" s="6" t="str">
        <f>"Fixed Assets- Computer Cabinets"</f>
        <v>Fixed Assets- Computer Cabinets</v>
      </c>
      <c r="E506" s="15">
        <v>0</v>
      </c>
      <c r="F506" s="15">
        <v>0</v>
      </c>
      <c r="G506" s="15">
        <v>0</v>
      </c>
      <c r="H506" s="15">
        <v>0</v>
      </c>
      <c r="I506" s="15">
        <v>0</v>
      </c>
      <c r="J506" s="15">
        <v>0</v>
      </c>
      <c r="K506" s="15">
        <v>0</v>
      </c>
      <c r="L506" s="16">
        <f t="shared" si="7"/>
        <v>495</v>
      </c>
    </row>
    <row r="507" spans="1:12" x14ac:dyDescent="0.2">
      <c r="A507" s="3" t="s">
        <v>35</v>
      </c>
      <c r="C507" s="6" t="str">
        <f>"600-5100-00"</f>
        <v>600-5100-00</v>
      </c>
      <c r="D507" s="6" t="str">
        <f>"Salaries and Wages - Purchasing/Receiving"</f>
        <v>Salaries and Wages - Purchasing/Receiving</v>
      </c>
      <c r="E507" s="15">
        <v>0</v>
      </c>
      <c r="F507" s="15">
        <v>0</v>
      </c>
      <c r="G507" s="15">
        <v>0</v>
      </c>
      <c r="H507" s="15">
        <v>0</v>
      </c>
      <c r="I507" s="15">
        <v>0</v>
      </c>
      <c r="J507" s="15">
        <v>0</v>
      </c>
      <c r="K507" s="15">
        <v>0</v>
      </c>
      <c r="L507" s="16">
        <f t="shared" si="7"/>
        <v>496</v>
      </c>
    </row>
    <row r="508" spans="1:12" x14ac:dyDescent="0.2">
      <c r="A508" s="3" t="s">
        <v>35</v>
      </c>
      <c r="C508" s="6" t="str">
        <f>"600-5110-00"</f>
        <v>600-5110-00</v>
      </c>
      <c r="D508" s="6" t="str">
        <f>"Overtime Pay - Purchasing/Receiving"</f>
        <v>Overtime Pay - Purchasing/Receiving</v>
      </c>
      <c r="E508" s="15">
        <v>0</v>
      </c>
      <c r="F508" s="15">
        <v>0</v>
      </c>
      <c r="G508" s="15">
        <v>0</v>
      </c>
      <c r="H508" s="15">
        <v>0</v>
      </c>
      <c r="I508" s="15">
        <v>0</v>
      </c>
      <c r="J508" s="15">
        <v>0</v>
      </c>
      <c r="K508" s="15">
        <v>0</v>
      </c>
      <c r="L508" s="16">
        <f t="shared" si="7"/>
        <v>497</v>
      </c>
    </row>
    <row r="509" spans="1:12" x14ac:dyDescent="0.2">
      <c r="A509" s="3" t="s">
        <v>35</v>
      </c>
      <c r="C509" s="6" t="str">
        <f>"600-5120-00"</f>
        <v>600-5120-00</v>
      </c>
      <c r="D509" s="6" t="str">
        <f>"Bonuses - Purchasing/Receiving"</f>
        <v>Bonuses - Purchasing/Receiving</v>
      </c>
      <c r="E509" s="15">
        <v>0</v>
      </c>
      <c r="F509" s="15">
        <v>0</v>
      </c>
      <c r="G509" s="15">
        <v>0</v>
      </c>
      <c r="H509" s="15">
        <v>0</v>
      </c>
      <c r="I509" s="15">
        <v>0</v>
      </c>
      <c r="J509" s="15">
        <v>0</v>
      </c>
      <c r="K509" s="15">
        <v>0</v>
      </c>
      <c r="L509" s="16">
        <f t="shared" si="7"/>
        <v>498</v>
      </c>
    </row>
    <row r="510" spans="1:12" x14ac:dyDescent="0.2">
      <c r="A510" s="3" t="s">
        <v>35</v>
      </c>
      <c r="C510" s="6" t="str">
        <f>"600-5140-00"</f>
        <v>600-5140-00</v>
      </c>
      <c r="D510" s="6" t="str">
        <f>"Profit Sharing - Purchasing/Receiving"</f>
        <v>Profit Sharing - Purchasing/Receiving</v>
      </c>
      <c r="E510" s="15">
        <v>0</v>
      </c>
      <c r="F510" s="15">
        <v>0</v>
      </c>
      <c r="G510" s="15">
        <v>0</v>
      </c>
      <c r="H510" s="15">
        <v>0</v>
      </c>
      <c r="I510" s="15">
        <v>0</v>
      </c>
      <c r="J510" s="15">
        <v>0</v>
      </c>
      <c r="K510" s="15">
        <v>0</v>
      </c>
      <c r="L510" s="16">
        <f t="shared" si="7"/>
        <v>499</v>
      </c>
    </row>
    <row r="511" spans="1:12" x14ac:dyDescent="0.2">
      <c r="A511" s="3" t="s">
        <v>35</v>
      </c>
      <c r="C511" s="6" t="str">
        <f>"600-5150-00"</f>
        <v>600-5150-00</v>
      </c>
      <c r="D511" s="6" t="str">
        <f>"Employee Benefits - Purchasing/Receiving"</f>
        <v>Employee Benefits - Purchasing/Receiving</v>
      </c>
      <c r="E511" s="15">
        <v>0</v>
      </c>
      <c r="F511" s="15">
        <v>0</v>
      </c>
      <c r="G511" s="15">
        <v>0</v>
      </c>
      <c r="H511" s="15">
        <v>0</v>
      </c>
      <c r="I511" s="15">
        <v>0</v>
      </c>
      <c r="J511" s="15">
        <v>0</v>
      </c>
      <c r="K511" s="15">
        <v>0</v>
      </c>
      <c r="L511" s="16">
        <f t="shared" si="7"/>
        <v>500</v>
      </c>
    </row>
    <row r="512" spans="1:12" x14ac:dyDescent="0.2">
      <c r="A512" s="3" t="s">
        <v>35</v>
      </c>
      <c r="C512" s="6" t="str">
        <f>"600-5160-00"</f>
        <v>600-5160-00</v>
      </c>
      <c r="D512" s="6" t="str">
        <f>"Health Insurance Expense - Purchasing/Receiving"</f>
        <v>Health Insurance Expense - Purchasing/Receiving</v>
      </c>
      <c r="E512" s="15">
        <v>0</v>
      </c>
      <c r="F512" s="15">
        <v>0</v>
      </c>
      <c r="G512" s="15">
        <v>0</v>
      </c>
      <c r="H512" s="15">
        <v>0</v>
      </c>
      <c r="I512" s="15">
        <v>0</v>
      </c>
      <c r="J512" s="15">
        <v>0</v>
      </c>
      <c r="K512" s="15">
        <v>0</v>
      </c>
      <c r="L512" s="16">
        <f t="shared" si="7"/>
        <v>501</v>
      </c>
    </row>
    <row r="513" spans="1:12" x14ac:dyDescent="0.2">
      <c r="A513" s="3" t="s">
        <v>35</v>
      </c>
      <c r="C513" s="6" t="str">
        <f>"600-5170-00"</f>
        <v>600-5170-00</v>
      </c>
      <c r="D513" s="6" t="str">
        <f>"Payroll Taxes - Purchasing/Receiving"</f>
        <v>Payroll Taxes - Purchasing/Receiving</v>
      </c>
      <c r="E513" s="15">
        <v>0</v>
      </c>
      <c r="F513" s="15">
        <v>0</v>
      </c>
      <c r="G513" s="15">
        <v>0</v>
      </c>
      <c r="H513" s="15">
        <v>0</v>
      </c>
      <c r="I513" s="15">
        <v>0</v>
      </c>
      <c r="J513" s="15">
        <v>0</v>
      </c>
      <c r="K513" s="15">
        <v>0</v>
      </c>
      <c r="L513" s="16">
        <f t="shared" si="7"/>
        <v>502</v>
      </c>
    </row>
    <row r="514" spans="1:12" x14ac:dyDescent="0.2">
      <c r="A514" s="3" t="s">
        <v>35</v>
      </c>
      <c r="C514" s="6" t="str">
        <f>"600-6100-00"</f>
        <v>600-6100-00</v>
      </c>
      <c r="D514" s="6" t="str">
        <f>"Training - Purchasing/Receiving"</f>
        <v>Training - Purchasing/Receiving</v>
      </c>
      <c r="E514" s="15">
        <v>0</v>
      </c>
      <c r="F514" s="15">
        <v>0</v>
      </c>
      <c r="G514" s="15">
        <v>0</v>
      </c>
      <c r="H514" s="15">
        <v>0</v>
      </c>
      <c r="I514" s="15">
        <v>0</v>
      </c>
      <c r="J514" s="15">
        <v>0</v>
      </c>
      <c r="K514" s="15">
        <v>0</v>
      </c>
      <c r="L514" s="16">
        <f t="shared" si="7"/>
        <v>503</v>
      </c>
    </row>
    <row r="515" spans="1:12" x14ac:dyDescent="0.2">
      <c r="A515" s="3" t="s">
        <v>35</v>
      </c>
      <c r="C515" s="6" t="str">
        <f>"600-6120-00"</f>
        <v>600-6120-00</v>
      </c>
      <c r="D515" s="6" t="str">
        <f>"Supplies/Rental - Purchasing/Receiving"</f>
        <v>Supplies/Rental - Purchasing/Receiving</v>
      </c>
      <c r="E515" s="15">
        <v>0</v>
      </c>
      <c r="F515" s="15">
        <v>0</v>
      </c>
      <c r="G515" s="15">
        <v>0</v>
      </c>
      <c r="H515" s="15">
        <v>0</v>
      </c>
      <c r="I515" s="15">
        <v>0</v>
      </c>
      <c r="J515" s="15">
        <v>0</v>
      </c>
      <c r="K515" s="15">
        <v>0</v>
      </c>
      <c r="L515" s="16">
        <f t="shared" si="7"/>
        <v>504</v>
      </c>
    </row>
    <row r="516" spans="1:12" x14ac:dyDescent="0.2">
      <c r="A516" s="3" t="s">
        <v>35</v>
      </c>
      <c r="C516" s="6" t="str">
        <f>"600-6130-00"</f>
        <v>600-6130-00</v>
      </c>
      <c r="D516" s="6" t="str">
        <f>"Supplies/Hardware - Purchasing/Receiving"</f>
        <v>Supplies/Hardware - Purchasing/Receiving</v>
      </c>
      <c r="E516" s="15">
        <v>0</v>
      </c>
      <c r="F516" s="15">
        <v>0</v>
      </c>
      <c r="G516" s="15">
        <v>0</v>
      </c>
      <c r="H516" s="15">
        <v>0</v>
      </c>
      <c r="I516" s="15">
        <v>0</v>
      </c>
      <c r="J516" s="15">
        <v>0</v>
      </c>
      <c r="K516" s="15">
        <v>0</v>
      </c>
      <c r="L516" s="16">
        <f t="shared" si="7"/>
        <v>505</v>
      </c>
    </row>
    <row r="517" spans="1:12" x14ac:dyDescent="0.2">
      <c r="A517" s="3" t="s">
        <v>35</v>
      </c>
      <c r="C517" s="6" t="str">
        <f>"600-6140-00"</f>
        <v>600-6140-00</v>
      </c>
      <c r="D517" s="6" t="str">
        <f>"Supplies/Software - Purchases/Receiving"</f>
        <v>Supplies/Software - Purchases/Receiving</v>
      </c>
      <c r="E517" s="15">
        <v>0</v>
      </c>
      <c r="F517" s="15">
        <v>0</v>
      </c>
      <c r="G517" s="15">
        <v>0</v>
      </c>
      <c r="H517" s="15">
        <v>0</v>
      </c>
      <c r="I517" s="15">
        <v>0</v>
      </c>
      <c r="J517" s="15">
        <v>0</v>
      </c>
      <c r="K517" s="15">
        <v>0</v>
      </c>
      <c r="L517" s="16">
        <f t="shared" si="7"/>
        <v>506</v>
      </c>
    </row>
    <row r="518" spans="1:12" x14ac:dyDescent="0.2">
      <c r="A518" s="3" t="s">
        <v>35</v>
      </c>
      <c r="C518" s="6" t="str">
        <f>"600-6150-00"</f>
        <v>600-6150-00</v>
      </c>
      <c r="D518" s="6" t="str">
        <f>"Supplies-Allocated - Purchases/Receiving"</f>
        <v>Supplies-Allocated - Purchases/Receiving</v>
      </c>
      <c r="E518" s="15">
        <v>243.75</v>
      </c>
      <c r="F518" s="15">
        <v>243.75</v>
      </c>
      <c r="G518" s="15">
        <v>243.75</v>
      </c>
      <c r="H518" s="15">
        <v>243.75</v>
      </c>
      <c r="I518" s="15">
        <v>243.75</v>
      </c>
      <c r="J518" s="15">
        <v>243.75</v>
      </c>
      <c r="K518" s="15">
        <v>243.75</v>
      </c>
      <c r="L518" s="16">
        <f t="shared" si="7"/>
        <v>507</v>
      </c>
    </row>
    <row r="519" spans="1:12" x14ac:dyDescent="0.2">
      <c r="A519" s="3" t="s">
        <v>35</v>
      </c>
      <c r="C519" s="6" t="str">
        <f>"600-6160-00"</f>
        <v>600-6160-00</v>
      </c>
      <c r="D519" s="6" t="str">
        <f>"Dues &amp; Subscriptions - Purchasing/Receiving"</f>
        <v>Dues &amp; Subscriptions - Purchasing/Receiving</v>
      </c>
      <c r="E519" s="15">
        <v>55</v>
      </c>
      <c r="F519" s="15">
        <v>55</v>
      </c>
      <c r="G519" s="15">
        <v>55</v>
      </c>
      <c r="H519" s="15">
        <v>55</v>
      </c>
      <c r="I519" s="15">
        <v>55</v>
      </c>
      <c r="J519" s="15">
        <v>55</v>
      </c>
      <c r="K519" s="15">
        <v>55</v>
      </c>
      <c r="L519" s="16">
        <f t="shared" si="7"/>
        <v>508</v>
      </c>
    </row>
    <row r="520" spans="1:12" x14ac:dyDescent="0.2">
      <c r="A520" s="3" t="s">
        <v>35</v>
      </c>
      <c r="C520" s="6" t="str">
        <f>"600-6170-00"</f>
        <v>600-6170-00</v>
      </c>
      <c r="D520" s="6" t="str">
        <f>"Repairs &amp; Maintenance - Purchasing/Receiving"</f>
        <v>Repairs &amp; Maintenance - Purchasing/Receiving</v>
      </c>
      <c r="E520" s="15">
        <v>345.75</v>
      </c>
      <c r="F520" s="15">
        <v>345.75</v>
      </c>
      <c r="G520" s="15">
        <v>345.75</v>
      </c>
      <c r="H520" s="15">
        <v>345.75</v>
      </c>
      <c r="I520" s="15">
        <v>345.75</v>
      </c>
      <c r="J520" s="15">
        <v>345.75</v>
      </c>
      <c r="K520" s="15">
        <v>345.75</v>
      </c>
      <c r="L520" s="16">
        <f t="shared" si="7"/>
        <v>509</v>
      </c>
    </row>
    <row r="521" spans="1:12" x14ac:dyDescent="0.2">
      <c r="A521" s="3" t="s">
        <v>35</v>
      </c>
      <c r="C521" s="6" t="str">
        <f>"600-6180-00"</f>
        <v>600-6180-00</v>
      </c>
      <c r="D521" s="6" t="str">
        <f>"Rent Expense - Purchasing/Receiving"</f>
        <v>Rent Expense - Purchasing/Receiving</v>
      </c>
      <c r="E521" s="15">
        <v>13935.91</v>
      </c>
      <c r="F521" s="15">
        <v>13935.91</v>
      </c>
      <c r="G521" s="15">
        <v>13935.91</v>
      </c>
      <c r="H521" s="15">
        <v>13935.91</v>
      </c>
      <c r="I521" s="15">
        <v>13935.91</v>
      </c>
      <c r="J521" s="15">
        <v>13935.91</v>
      </c>
      <c r="K521" s="15">
        <v>13935.91</v>
      </c>
      <c r="L521" s="16">
        <f t="shared" si="7"/>
        <v>510</v>
      </c>
    </row>
    <row r="522" spans="1:12" x14ac:dyDescent="0.2">
      <c r="A522" s="3" t="s">
        <v>35</v>
      </c>
      <c r="C522" s="6" t="str">
        <f>"600-6190-00"</f>
        <v>600-6190-00</v>
      </c>
      <c r="D522" s="6" t="str">
        <f>"Utilities Expense - Purchasing/Receiving"</f>
        <v>Utilities Expense - Purchasing/Receiving</v>
      </c>
      <c r="E522" s="15">
        <v>1578.94</v>
      </c>
      <c r="F522" s="15">
        <v>1578.94</v>
      </c>
      <c r="G522" s="15">
        <v>1578.94</v>
      </c>
      <c r="H522" s="15">
        <v>1578.94</v>
      </c>
      <c r="I522" s="15">
        <v>1578.94</v>
      </c>
      <c r="J522" s="15">
        <v>1578.94</v>
      </c>
      <c r="K522" s="15">
        <v>1578.94</v>
      </c>
      <c r="L522" s="16">
        <f t="shared" si="7"/>
        <v>511</v>
      </c>
    </row>
    <row r="523" spans="1:12" x14ac:dyDescent="0.2">
      <c r="A523" s="3" t="s">
        <v>35</v>
      </c>
      <c r="C523" s="6" t="str">
        <f>"600-6500-00"</f>
        <v>600-6500-00</v>
      </c>
      <c r="D523" s="6" t="str">
        <f>"Postage/Freight - Purchasing/Receiving"</f>
        <v>Postage/Freight - Purchasing/Receiving</v>
      </c>
      <c r="E523" s="15">
        <v>110.81</v>
      </c>
      <c r="F523" s="15">
        <v>110.81</v>
      </c>
      <c r="G523" s="15">
        <v>110.81</v>
      </c>
      <c r="H523" s="15">
        <v>110.81</v>
      </c>
      <c r="I523" s="15">
        <v>110.81</v>
      </c>
      <c r="J523" s="15">
        <v>110.81</v>
      </c>
      <c r="K523" s="15">
        <v>110.81</v>
      </c>
      <c r="L523" s="16">
        <f t="shared" si="7"/>
        <v>512</v>
      </c>
    </row>
    <row r="524" spans="1:12" x14ac:dyDescent="0.2">
      <c r="A524" s="3" t="s">
        <v>35</v>
      </c>
      <c r="C524" s="6" t="str">
        <f>"600-6510-00"</f>
        <v>600-6510-00</v>
      </c>
      <c r="D524" s="6" t="str">
        <f>"Telephone - Purchasing/Receiving"</f>
        <v>Telephone - Purchasing/Receiving</v>
      </c>
      <c r="E524" s="15">
        <v>2253.5300000000002</v>
      </c>
      <c r="F524" s="15">
        <v>2253.5300000000002</v>
      </c>
      <c r="G524" s="15">
        <v>2253.5300000000002</v>
      </c>
      <c r="H524" s="15">
        <v>2253.5300000000002</v>
      </c>
      <c r="I524" s="15">
        <v>2253.5300000000002</v>
      </c>
      <c r="J524" s="15">
        <v>2253.5300000000002</v>
      </c>
      <c r="K524" s="15">
        <v>2253.5300000000002</v>
      </c>
      <c r="L524" s="16">
        <f t="shared" si="7"/>
        <v>513</v>
      </c>
    </row>
    <row r="525" spans="1:12" x14ac:dyDescent="0.2">
      <c r="A525" s="3" t="s">
        <v>35</v>
      </c>
      <c r="C525" s="6" t="str">
        <f>"600-6520-00"</f>
        <v>600-6520-00</v>
      </c>
      <c r="D525" s="6" t="str">
        <f>"Travel - Purchasing/Receiving"</f>
        <v>Travel - Purchasing/Receiving</v>
      </c>
      <c r="E525" s="15">
        <v>45000</v>
      </c>
      <c r="F525" s="15">
        <v>45000</v>
      </c>
      <c r="G525" s="15">
        <v>45000</v>
      </c>
      <c r="H525" s="15">
        <v>45000</v>
      </c>
      <c r="I525" s="15">
        <v>45000</v>
      </c>
      <c r="J525" s="15">
        <v>45000</v>
      </c>
      <c r="K525" s="15">
        <v>45000</v>
      </c>
      <c r="L525" s="16">
        <f t="shared" ref="L525:L530" si="8">L524+1</f>
        <v>514</v>
      </c>
    </row>
    <row r="526" spans="1:12" x14ac:dyDescent="0.2">
      <c r="A526" s="3" t="s">
        <v>35</v>
      </c>
      <c r="C526" s="6" t="str">
        <f>"600-6530-00"</f>
        <v>600-6530-00</v>
      </c>
      <c r="D526" s="6" t="str">
        <f>"Meals/Entertainment - Purchasing/Receiving"</f>
        <v>Meals/Entertainment - Purchasing/Receiving</v>
      </c>
      <c r="E526" s="15">
        <v>0</v>
      </c>
      <c r="F526" s="15">
        <v>0</v>
      </c>
      <c r="G526" s="15">
        <v>0</v>
      </c>
      <c r="H526" s="15">
        <v>0</v>
      </c>
      <c r="I526" s="15">
        <v>0</v>
      </c>
      <c r="J526" s="15">
        <v>0</v>
      </c>
      <c r="K526" s="15">
        <v>0</v>
      </c>
      <c r="L526" s="16">
        <f t="shared" si="8"/>
        <v>515</v>
      </c>
    </row>
    <row r="527" spans="1:12" x14ac:dyDescent="0.2">
      <c r="A527" s="3" t="s">
        <v>35</v>
      </c>
      <c r="C527" s="6" t="str">
        <f>"600-9010-00"</f>
        <v>600-9010-00</v>
      </c>
      <c r="D527" s="6" t="str">
        <f>"Square Footage-Purchasing/Receiving"</f>
        <v>Square Footage-Purchasing/Receiving</v>
      </c>
      <c r="E527" s="15">
        <v>250000</v>
      </c>
      <c r="F527" s="15">
        <v>250000</v>
      </c>
      <c r="G527" s="15">
        <v>250000</v>
      </c>
      <c r="H527" s="15">
        <v>250000</v>
      </c>
      <c r="I527" s="15">
        <v>250000</v>
      </c>
      <c r="J527" s="15">
        <v>250000</v>
      </c>
      <c r="K527" s="15">
        <v>250000</v>
      </c>
      <c r="L527" s="16">
        <f t="shared" si="8"/>
        <v>516</v>
      </c>
    </row>
    <row r="528" spans="1:12" x14ac:dyDescent="0.2">
      <c r="A528" s="3" t="s">
        <v>35</v>
      </c>
      <c r="C528" s="6" t="str">
        <f>"600-9020-00"</f>
        <v>600-9020-00</v>
      </c>
      <c r="D528" s="6" t="str">
        <f>"Employee Count-Purchases/Receiving"</f>
        <v>Employee Count-Purchases/Receiving</v>
      </c>
      <c r="E528" s="15">
        <v>0</v>
      </c>
      <c r="F528" s="15">
        <v>0</v>
      </c>
      <c r="G528" s="15">
        <v>0</v>
      </c>
      <c r="H528" s="15">
        <v>0</v>
      </c>
      <c r="I528" s="15">
        <v>0</v>
      </c>
      <c r="J528" s="15">
        <v>0</v>
      </c>
      <c r="K528" s="15">
        <v>0</v>
      </c>
      <c r="L528" s="16">
        <f t="shared" si="8"/>
        <v>517</v>
      </c>
    </row>
    <row r="529" spans="1:12" x14ac:dyDescent="0.2">
      <c r="A529" s="3" t="s">
        <v>35</v>
      </c>
      <c r="C529" s="6" t="str">
        <f>"600-9030-00"</f>
        <v>600-9030-00</v>
      </c>
      <c r="D529" s="6" t="str">
        <f>"Fixed Assets-Computer Cabinets"</f>
        <v>Fixed Assets-Computer Cabinets</v>
      </c>
      <c r="E529" s="15">
        <v>0</v>
      </c>
      <c r="F529" s="15">
        <v>0</v>
      </c>
      <c r="G529" s="15">
        <v>0</v>
      </c>
      <c r="H529" s="15">
        <v>0</v>
      </c>
      <c r="I529" s="15">
        <v>0</v>
      </c>
      <c r="J529" s="15">
        <v>0</v>
      </c>
      <c r="K529" s="15">
        <v>0</v>
      </c>
      <c r="L529" s="16">
        <f t="shared" si="8"/>
        <v>518</v>
      </c>
    </row>
    <row r="530" spans="1:12" x14ac:dyDescent="0.2">
      <c r="A530" s="3" t="s">
        <v>35</v>
      </c>
      <c r="C530" s="6" t="str">
        <f>"999-9999-99"</f>
        <v>999-9999-99</v>
      </c>
      <c r="D530" s="6" t="str">
        <f>"Transfer Suspense Account"</f>
        <v>Transfer Suspense Account</v>
      </c>
      <c r="E530" s="15">
        <v>0</v>
      </c>
      <c r="F530" s="15">
        <v>0</v>
      </c>
      <c r="G530" s="15">
        <v>0</v>
      </c>
      <c r="H530" s="15">
        <v>0</v>
      </c>
      <c r="I530" s="15">
        <v>0</v>
      </c>
      <c r="J530" s="15">
        <v>0</v>
      </c>
      <c r="K530" s="15">
        <v>0</v>
      </c>
      <c r="L530" s="16">
        <f t="shared" si="8"/>
        <v>519</v>
      </c>
    </row>
    <row r="531" spans="1:12" x14ac:dyDescent="0.2">
      <c r="E531" s="7"/>
      <c r="F531" s="7"/>
      <c r="G531" s="7"/>
      <c r="H531" s="7"/>
      <c r="I531" s="7"/>
      <c r="J531" s="7"/>
      <c r="K531" s="7"/>
    </row>
    <row r="532" spans="1:12" ht="15.75" thickBot="1" x14ac:dyDescent="0.3">
      <c r="D532" s="19" t="s">
        <v>0</v>
      </c>
      <c r="E532" s="20">
        <f>SUM(E12:E531)</f>
        <v>1000000</v>
      </c>
      <c r="F532" s="20">
        <f t="shared" ref="F532:K532" si="9">SUM(F12:F531)</f>
        <v>999999.99999999907</v>
      </c>
      <c r="G532" s="20">
        <f t="shared" si="9"/>
        <v>999999.99999999953</v>
      </c>
      <c r="H532" s="20">
        <f t="shared" si="9"/>
        <v>999999.99999999977</v>
      </c>
      <c r="I532" s="20">
        <f t="shared" si="9"/>
        <v>1000000</v>
      </c>
      <c r="J532" s="20">
        <f t="shared" si="9"/>
        <v>1000000.0000000007</v>
      </c>
      <c r="K532" s="20">
        <f t="shared" si="9"/>
        <v>1000000</v>
      </c>
      <c r="L532" s="19"/>
    </row>
    <row r="533" spans="1:12" ht="12.75" thickTop="1" x14ac:dyDescent="0.2"/>
  </sheetData>
  <phoneticPr fontId="3" type="noConversion"/>
  <conditionalFormatting sqref="C12:E12">
    <cfRule type="expression" dxfId="3" priority="30" stopIfTrue="1">
      <formula>MOD($L12,2)=0</formula>
    </cfRule>
  </conditionalFormatting>
  <conditionalFormatting sqref="F12:K12">
    <cfRule type="expression" dxfId="2" priority="3" stopIfTrue="1">
      <formula>MOD($L12,2)=0</formula>
    </cfRule>
  </conditionalFormatting>
  <conditionalFormatting sqref="C13:E530">
    <cfRule type="expression" dxfId="1" priority="2" stopIfTrue="1">
      <formula>MOD($L13,2)=0</formula>
    </cfRule>
  </conditionalFormatting>
  <conditionalFormatting sqref="F13:K530">
    <cfRule type="expression" dxfId="0" priority="1" stopIfTrue="1">
      <formula>MOD($L13,2)=0</formula>
    </cfRule>
  </conditionalFormatting>
  <pageMargins left="0.75" right="0.75" top="1" bottom="1" header="0.5" footer="0.5"/>
  <pageSetup scale="96"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heetViews>
  <sheetFormatPr defaultRowHeight="12.75" x14ac:dyDescent="0.2"/>
  <sheetData>
    <row r="1" spans="1:5" x14ac:dyDescent="0.2">
      <c r="A1" s="1" t="s">
        <v>1605</v>
      </c>
      <c r="C1" s="1" t="s">
        <v>9</v>
      </c>
      <c r="D1" s="1" t="s">
        <v>10</v>
      </c>
      <c r="E1" s="1" t="s">
        <v>11</v>
      </c>
    </row>
    <row r="3" spans="1:5" x14ac:dyDescent="0.2">
      <c r="C3" s="1" t="s">
        <v>46</v>
      </c>
    </row>
    <row r="4" spans="1:5" x14ac:dyDescent="0.2">
      <c r="A4" s="1" t="s">
        <v>8</v>
      </c>
      <c r="C4" s="1" t="s">
        <v>5</v>
      </c>
      <c r="D4" s="1" t="s">
        <v>47</v>
      </c>
      <c r="E4" s="1" t="s">
        <v>26</v>
      </c>
    </row>
    <row r="5" spans="1:5" x14ac:dyDescent="0.2">
      <c r="A5" s="1" t="s">
        <v>8</v>
      </c>
      <c r="C5" s="1" t="s">
        <v>12</v>
      </c>
      <c r="D5" s="1" t="s">
        <v>58</v>
      </c>
      <c r="E5" s="1" t="s">
        <v>27</v>
      </c>
    </row>
    <row r="6" spans="1:5" x14ac:dyDescent="0.2">
      <c r="A6" s="1" t="s">
        <v>8</v>
      </c>
      <c r="C6" s="1" t="s">
        <v>13</v>
      </c>
      <c r="D6" s="1" t="s">
        <v>59</v>
      </c>
      <c r="E6" s="1" t="s">
        <v>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heetViews>
  <sheetFormatPr defaultRowHeight="12.75" x14ac:dyDescent="0.2"/>
  <sheetData>
    <row r="1" spans="1:5" x14ac:dyDescent="0.2">
      <c r="A1" s="1" t="s">
        <v>1605</v>
      </c>
      <c r="C1" s="1" t="s">
        <v>9</v>
      </c>
      <c r="D1" s="1" t="s">
        <v>10</v>
      </c>
      <c r="E1" s="1" t="s">
        <v>11</v>
      </c>
    </row>
    <row r="3" spans="1:5" x14ac:dyDescent="0.2">
      <c r="C3" s="1" t="s">
        <v>46</v>
      </c>
    </row>
    <row r="4" spans="1:5" x14ac:dyDescent="0.2">
      <c r="A4" s="1" t="s">
        <v>8</v>
      </c>
      <c r="C4" s="1" t="s">
        <v>5</v>
      </c>
      <c r="D4" s="1" t="s">
        <v>47</v>
      </c>
      <c r="E4" s="1" t="s">
        <v>26</v>
      </c>
    </row>
    <row r="5" spans="1:5" x14ac:dyDescent="0.2">
      <c r="A5" s="1" t="s">
        <v>8</v>
      </c>
      <c r="C5" s="1" t="s">
        <v>12</v>
      </c>
      <c r="D5" s="1" t="s">
        <v>58</v>
      </c>
      <c r="E5" s="1" t="s">
        <v>27</v>
      </c>
    </row>
    <row r="6" spans="1:5" x14ac:dyDescent="0.2">
      <c r="A6" s="1" t="s">
        <v>8</v>
      </c>
      <c r="C6" s="1" t="s">
        <v>13</v>
      </c>
      <c r="D6" s="1" t="s">
        <v>59</v>
      </c>
      <c r="E6" s="1" t="s">
        <v>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orkbookViewId="0"/>
  </sheetViews>
  <sheetFormatPr defaultRowHeight="12.75" x14ac:dyDescent="0.2"/>
  <sheetData>
    <row r="1" spans="1:6" x14ac:dyDescent="0.2">
      <c r="A1" s="1" t="s">
        <v>1612</v>
      </c>
      <c r="D1" s="1" t="s">
        <v>16</v>
      </c>
      <c r="E1" s="1" t="s">
        <v>16</v>
      </c>
      <c r="F1" s="1" t="s">
        <v>4</v>
      </c>
    </row>
    <row r="3" spans="1:6" x14ac:dyDescent="0.2">
      <c r="C3" s="1" t="s">
        <v>1</v>
      </c>
    </row>
    <row r="5" spans="1:6" x14ac:dyDescent="0.2">
      <c r="C5" s="1" t="s">
        <v>6</v>
      </c>
      <c r="D5" s="1" t="s">
        <v>29</v>
      </c>
    </row>
    <row r="6" spans="1:6" x14ac:dyDescent="0.2">
      <c r="C6" s="1" t="s">
        <v>14</v>
      </c>
      <c r="D6" s="1" t="s">
        <v>30</v>
      </c>
    </row>
    <row r="7" spans="1:6" x14ac:dyDescent="0.2">
      <c r="C7" s="1" t="s">
        <v>15</v>
      </c>
      <c r="D7" s="1" t="s">
        <v>31</v>
      </c>
    </row>
    <row r="8" spans="1:6" x14ac:dyDescent="0.2">
      <c r="C8" s="1" t="s">
        <v>7</v>
      </c>
      <c r="D8" s="1" t="s">
        <v>32</v>
      </c>
    </row>
    <row r="9" spans="1:6" x14ac:dyDescent="0.2">
      <c r="A9" s="1" t="s">
        <v>4</v>
      </c>
      <c r="E9" s="1" t="s">
        <v>1606</v>
      </c>
    </row>
    <row r="11" spans="1:6" x14ac:dyDescent="0.2">
      <c r="C11" s="1" t="s">
        <v>2</v>
      </c>
      <c r="D11" s="1" t="s">
        <v>3</v>
      </c>
      <c r="E11" s="1" t="s">
        <v>1607</v>
      </c>
    </row>
    <row r="12" spans="1:6" x14ac:dyDescent="0.2">
      <c r="C12" s="1" t="s">
        <v>77</v>
      </c>
      <c r="D12" s="1" t="s">
        <v>1608</v>
      </c>
      <c r="E12" s="1" t="s">
        <v>1609</v>
      </c>
      <c r="F12" s="1" t="s">
        <v>1610</v>
      </c>
    </row>
    <row r="14" spans="1:6" x14ac:dyDescent="0.2">
      <c r="D14" s="1" t="s">
        <v>0</v>
      </c>
      <c r="E14" s="1" t="s">
        <v>1611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orkbookViewId="0"/>
  </sheetViews>
  <sheetFormatPr defaultRowHeight="12.75" x14ac:dyDescent="0.2"/>
  <sheetData>
    <row r="1" spans="1:6" x14ac:dyDescent="0.2">
      <c r="A1" s="1" t="s">
        <v>1612</v>
      </c>
      <c r="D1" s="1" t="s">
        <v>16</v>
      </c>
      <c r="E1" s="1" t="s">
        <v>16</v>
      </c>
      <c r="F1" s="1" t="s">
        <v>4</v>
      </c>
    </row>
    <row r="3" spans="1:6" x14ac:dyDescent="0.2">
      <c r="C3" s="1" t="s">
        <v>1</v>
      </c>
    </row>
    <row r="5" spans="1:6" x14ac:dyDescent="0.2">
      <c r="C5" s="1" t="s">
        <v>6</v>
      </c>
      <c r="D5" s="1" t="s">
        <v>29</v>
      </c>
    </row>
    <row r="6" spans="1:6" x14ac:dyDescent="0.2">
      <c r="C6" s="1" t="s">
        <v>14</v>
      </c>
      <c r="D6" s="1" t="s">
        <v>30</v>
      </c>
    </row>
    <row r="7" spans="1:6" x14ac:dyDescent="0.2">
      <c r="C7" s="1" t="s">
        <v>15</v>
      </c>
      <c r="D7" s="1" t="s">
        <v>31</v>
      </c>
    </row>
    <row r="8" spans="1:6" x14ac:dyDescent="0.2">
      <c r="C8" s="1" t="s">
        <v>7</v>
      </c>
      <c r="D8" s="1" t="s">
        <v>32</v>
      </c>
    </row>
    <row r="9" spans="1:6" x14ac:dyDescent="0.2">
      <c r="A9" s="1" t="s">
        <v>4</v>
      </c>
      <c r="E9" s="1" t="s">
        <v>1606</v>
      </c>
    </row>
    <row r="11" spans="1:6" x14ac:dyDescent="0.2">
      <c r="C11" s="1" t="s">
        <v>2</v>
      </c>
      <c r="D11" s="1" t="s">
        <v>3</v>
      </c>
      <c r="E11" s="1" t="s">
        <v>1607</v>
      </c>
    </row>
    <row r="12" spans="1:6" x14ac:dyDescent="0.2">
      <c r="C12" s="1" t="s">
        <v>77</v>
      </c>
      <c r="D12" s="1" t="s">
        <v>1608</v>
      </c>
      <c r="E12" s="1" t="s">
        <v>1609</v>
      </c>
      <c r="F12" s="1" t="s">
        <v>1610</v>
      </c>
    </row>
    <row r="14" spans="1:6" x14ac:dyDescent="0.2">
      <c r="D14" s="1" t="s">
        <v>0</v>
      </c>
      <c r="E14" s="1" t="s">
        <v>1611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heetViews>
  <sheetFormatPr defaultRowHeight="12.75" x14ac:dyDescent="0.2"/>
  <sheetData>
    <row r="1" spans="1:5" x14ac:dyDescent="0.2">
      <c r="A1" s="1" t="s">
        <v>1614</v>
      </c>
      <c r="C1" s="1" t="s">
        <v>9</v>
      </c>
      <c r="D1" s="1" t="s">
        <v>10</v>
      </c>
      <c r="E1" s="1" t="s">
        <v>11</v>
      </c>
    </row>
    <row r="3" spans="1:5" x14ac:dyDescent="0.2">
      <c r="C3" s="1" t="s">
        <v>46</v>
      </c>
    </row>
    <row r="4" spans="1:5" x14ac:dyDescent="0.2">
      <c r="A4" s="1" t="s">
        <v>8</v>
      </c>
      <c r="C4" s="1" t="s">
        <v>5</v>
      </c>
      <c r="D4" s="1" t="s">
        <v>47</v>
      </c>
      <c r="E4" s="1" t="s">
        <v>26</v>
      </c>
    </row>
    <row r="5" spans="1:5" x14ac:dyDescent="0.2">
      <c r="A5" s="1" t="s">
        <v>8</v>
      </c>
      <c r="C5" s="1" t="s">
        <v>12</v>
      </c>
      <c r="D5" s="1" t="s">
        <v>58</v>
      </c>
      <c r="E5" s="1" t="s">
        <v>27</v>
      </c>
    </row>
    <row r="6" spans="1:5" x14ac:dyDescent="0.2">
      <c r="A6" s="1" t="s">
        <v>8</v>
      </c>
      <c r="C6" s="1" t="s">
        <v>13</v>
      </c>
      <c r="D6" s="1" t="s">
        <v>59</v>
      </c>
      <c r="E6" s="1" t="s">
        <v>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2"/>
  <sheetViews>
    <sheetView workbookViewId="0"/>
  </sheetViews>
  <sheetFormatPr defaultRowHeight="12.75" x14ac:dyDescent="0.2"/>
  <sheetData>
    <row r="1" spans="1:12" x14ac:dyDescent="0.2">
      <c r="A1" s="1" t="s">
        <v>5276</v>
      </c>
      <c r="D1" s="1" t="s">
        <v>16</v>
      </c>
      <c r="E1" s="1" t="s">
        <v>16</v>
      </c>
      <c r="F1" s="1" t="s">
        <v>34</v>
      </c>
      <c r="G1" s="1" t="s">
        <v>34</v>
      </c>
      <c r="H1" s="1" t="s">
        <v>34</v>
      </c>
      <c r="I1" s="1" t="s">
        <v>34</v>
      </c>
      <c r="J1" s="1" t="s">
        <v>34</v>
      </c>
      <c r="K1" s="1" t="s">
        <v>34</v>
      </c>
      <c r="L1" s="1" t="s">
        <v>4</v>
      </c>
    </row>
    <row r="3" spans="1:12" x14ac:dyDescent="0.2">
      <c r="C3" s="1" t="s">
        <v>1</v>
      </c>
    </row>
    <row r="5" spans="1:12" x14ac:dyDescent="0.2">
      <c r="C5" s="1" t="s">
        <v>6</v>
      </c>
      <c r="D5" s="1" t="s">
        <v>29</v>
      </c>
    </row>
    <row r="6" spans="1:12" x14ac:dyDescent="0.2">
      <c r="C6" s="1" t="s">
        <v>14</v>
      </c>
      <c r="D6" s="1" t="s">
        <v>30</v>
      </c>
    </row>
    <row r="7" spans="1:12" x14ac:dyDescent="0.2">
      <c r="C7" s="1" t="s">
        <v>15</v>
      </c>
      <c r="D7" s="1" t="s">
        <v>31</v>
      </c>
    </row>
    <row r="8" spans="1:12" x14ac:dyDescent="0.2">
      <c r="C8" s="1" t="s">
        <v>7</v>
      </c>
      <c r="D8" s="1" t="s">
        <v>32</v>
      </c>
    </row>
    <row r="9" spans="1:12" x14ac:dyDescent="0.2">
      <c r="A9" s="1" t="s">
        <v>4</v>
      </c>
      <c r="E9" s="1" t="s">
        <v>1606</v>
      </c>
      <c r="F9" s="1" t="s">
        <v>60</v>
      </c>
      <c r="G9" s="1" t="s">
        <v>61</v>
      </c>
      <c r="H9" s="1" t="s">
        <v>62</v>
      </c>
      <c r="I9" s="1" t="s">
        <v>63</v>
      </c>
      <c r="J9" s="1" t="s">
        <v>64</v>
      </c>
      <c r="K9" s="1" t="s">
        <v>65</v>
      </c>
    </row>
    <row r="11" spans="1:12" x14ac:dyDescent="0.2">
      <c r="C11" s="1" t="s">
        <v>2</v>
      </c>
      <c r="D11" s="1" t="s">
        <v>3</v>
      </c>
      <c r="E11" s="1" t="s">
        <v>1607</v>
      </c>
      <c r="F11" s="1" t="s">
        <v>1616</v>
      </c>
      <c r="G11" s="1" t="s">
        <v>1617</v>
      </c>
      <c r="H11" s="1" t="s">
        <v>1618</v>
      </c>
      <c r="I11" s="1" t="s">
        <v>1619</v>
      </c>
      <c r="J11" s="1" t="s">
        <v>1620</v>
      </c>
      <c r="K11" s="1" t="s">
        <v>1621</v>
      </c>
    </row>
    <row r="12" spans="1:12" x14ac:dyDescent="0.2">
      <c r="C12" s="1" t="s">
        <v>77</v>
      </c>
      <c r="D12" s="1" t="s">
        <v>1608</v>
      </c>
      <c r="E12" s="1" t="s">
        <v>1609</v>
      </c>
      <c r="F12" s="1" t="s">
        <v>1622</v>
      </c>
      <c r="G12" s="1" t="s">
        <v>1623</v>
      </c>
      <c r="H12" s="1" t="s">
        <v>1624</v>
      </c>
      <c r="I12" s="1" t="s">
        <v>1625</v>
      </c>
      <c r="J12" s="1" t="s">
        <v>1626</v>
      </c>
      <c r="K12" s="1" t="s">
        <v>1627</v>
      </c>
      <c r="L12" s="1" t="s">
        <v>1628</v>
      </c>
    </row>
    <row r="13" spans="1:12" x14ac:dyDescent="0.2">
      <c r="A13" s="1" t="s">
        <v>35</v>
      </c>
      <c r="C13" s="1" t="s">
        <v>78</v>
      </c>
      <c r="D13" s="1" t="s">
        <v>1629</v>
      </c>
      <c r="E13" s="1" t="s">
        <v>1630</v>
      </c>
      <c r="F13" s="1" t="s">
        <v>1631</v>
      </c>
      <c r="G13" s="1" t="s">
        <v>1632</v>
      </c>
      <c r="H13" s="1" t="s">
        <v>1633</v>
      </c>
      <c r="I13" s="1" t="s">
        <v>1634</v>
      </c>
      <c r="J13" s="1" t="s">
        <v>1635</v>
      </c>
      <c r="K13" s="1" t="s">
        <v>1636</v>
      </c>
      <c r="L13" s="1" t="s">
        <v>1637</v>
      </c>
    </row>
    <row r="14" spans="1:12" x14ac:dyDescent="0.2">
      <c r="A14" s="1" t="s">
        <v>35</v>
      </c>
      <c r="C14" s="1" t="s">
        <v>79</v>
      </c>
      <c r="D14" s="1" t="s">
        <v>1638</v>
      </c>
      <c r="E14" s="1" t="s">
        <v>1639</v>
      </c>
      <c r="F14" s="1" t="s">
        <v>1640</v>
      </c>
      <c r="G14" s="1" t="s">
        <v>1641</v>
      </c>
      <c r="H14" s="1" t="s">
        <v>1642</v>
      </c>
      <c r="I14" s="1" t="s">
        <v>1643</v>
      </c>
      <c r="J14" s="1" t="s">
        <v>1644</v>
      </c>
      <c r="K14" s="1" t="s">
        <v>1645</v>
      </c>
      <c r="L14" s="1" t="s">
        <v>1646</v>
      </c>
    </row>
    <row r="15" spans="1:12" x14ac:dyDescent="0.2">
      <c r="A15" s="1" t="s">
        <v>35</v>
      </c>
      <c r="C15" s="1" t="s">
        <v>80</v>
      </c>
      <c r="D15" s="1" t="s">
        <v>1647</v>
      </c>
      <c r="E15" s="1" t="s">
        <v>1648</v>
      </c>
      <c r="F15" s="1" t="s">
        <v>1649</v>
      </c>
      <c r="G15" s="1" t="s">
        <v>1650</v>
      </c>
      <c r="H15" s="1" t="s">
        <v>1651</v>
      </c>
      <c r="I15" s="1" t="s">
        <v>1652</v>
      </c>
      <c r="J15" s="1" t="s">
        <v>1653</v>
      </c>
      <c r="K15" s="1" t="s">
        <v>1654</v>
      </c>
      <c r="L15" s="1" t="s">
        <v>1655</v>
      </c>
    </row>
    <row r="16" spans="1:12" x14ac:dyDescent="0.2">
      <c r="A16" s="1" t="s">
        <v>35</v>
      </c>
      <c r="C16" s="1" t="s">
        <v>81</v>
      </c>
      <c r="D16" s="1" t="s">
        <v>1656</v>
      </c>
      <c r="E16" s="1" t="s">
        <v>1657</v>
      </c>
      <c r="F16" s="1" t="s">
        <v>1658</v>
      </c>
      <c r="G16" s="1" t="s">
        <v>1659</v>
      </c>
      <c r="H16" s="1" t="s">
        <v>1660</v>
      </c>
      <c r="I16" s="1" t="s">
        <v>1661</v>
      </c>
      <c r="J16" s="1" t="s">
        <v>1662</v>
      </c>
      <c r="K16" s="1" t="s">
        <v>1663</v>
      </c>
      <c r="L16" s="1" t="s">
        <v>1664</v>
      </c>
    </row>
    <row r="17" spans="1:12" x14ac:dyDescent="0.2">
      <c r="A17" s="1" t="s">
        <v>35</v>
      </c>
      <c r="C17" s="1" t="s">
        <v>82</v>
      </c>
      <c r="D17" s="1" t="s">
        <v>1665</v>
      </c>
      <c r="E17" s="1" t="s">
        <v>1666</v>
      </c>
      <c r="F17" s="1" t="s">
        <v>1667</v>
      </c>
      <c r="G17" s="1" t="s">
        <v>1668</v>
      </c>
      <c r="H17" s="1" t="s">
        <v>1669</v>
      </c>
      <c r="I17" s="1" t="s">
        <v>1670</v>
      </c>
      <c r="J17" s="1" t="s">
        <v>1671</v>
      </c>
      <c r="K17" s="1" t="s">
        <v>1672</v>
      </c>
      <c r="L17" s="1" t="s">
        <v>1673</v>
      </c>
    </row>
    <row r="18" spans="1:12" x14ac:dyDescent="0.2">
      <c r="A18" s="1" t="s">
        <v>35</v>
      </c>
      <c r="C18" s="1" t="s">
        <v>83</v>
      </c>
      <c r="D18" s="1" t="s">
        <v>1674</v>
      </c>
      <c r="E18" s="1" t="s">
        <v>1675</v>
      </c>
      <c r="F18" s="1" t="s">
        <v>1676</v>
      </c>
      <c r="G18" s="1" t="s">
        <v>1677</v>
      </c>
      <c r="H18" s="1" t="s">
        <v>1678</v>
      </c>
      <c r="I18" s="1" t="s">
        <v>1679</v>
      </c>
      <c r="J18" s="1" t="s">
        <v>1680</v>
      </c>
      <c r="K18" s="1" t="s">
        <v>1681</v>
      </c>
      <c r="L18" s="1" t="s">
        <v>1682</v>
      </c>
    </row>
    <row r="19" spans="1:12" x14ac:dyDescent="0.2">
      <c r="A19" s="1" t="s">
        <v>35</v>
      </c>
      <c r="C19" s="1" t="s">
        <v>84</v>
      </c>
      <c r="D19" s="1" t="s">
        <v>1683</v>
      </c>
      <c r="E19" s="1" t="s">
        <v>1684</v>
      </c>
      <c r="F19" s="1" t="s">
        <v>1685</v>
      </c>
      <c r="G19" s="1" t="s">
        <v>1686</v>
      </c>
      <c r="H19" s="1" t="s">
        <v>1687</v>
      </c>
      <c r="I19" s="1" t="s">
        <v>1688</v>
      </c>
      <c r="J19" s="1" t="s">
        <v>1689</v>
      </c>
      <c r="K19" s="1" t="s">
        <v>1690</v>
      </c>
      <c r="L19" s="1" t="s">
        <v>1691</v>
      </c>
    </row>
    <row r="20" spans="1:12" x14ac:dyDescent="0.2">
      <c r="A20" s="1" t="s">
        <v>35</v>
      </c>
      <c r="C20" s="1" t="s">
        <v>85</v>
      </c>
      <c r="D20" s="1" t="s">
        <v>33</v>
      </c>
      <c r="E20" s="1" t="s">
        <v>1692</v>
      </c>
      <c r="F20" s="1" t="s">
        <v>1693</v>
      </c>
      <c r="G20" s="1" t="s">
        <v>1694</v>
      </c>
      <c r="H20" s="1" t="s">
        <v>1695</v>
      </c>
      <c r="I20" s="1" t="s">
        <v>1696</v>
      </c>
      <c r="J20" s="1" t="s">
        <v>1697</v>
      </c>
      <c r="K20" s="1" t="s">
        <v>1698</v>
      </c>
      <c r="L20" s="1" t="s">
        <v>66</v>
      </c>
    </row>
    <row r="21" spans="1:12" x14ac:dyDescent="0.2">
      <c r="A21" s="1" t="s">
        <v>35</v>
      </c>
      <c r="C21" s="1" t="s">
        <v>86</v>
      </c>
      <c r="D21" s="1" t="s">
        <v>36</v>
      </c>
      <c r="E21" s="1" t="s">
        <v>1699</v>
      </c>
      <c r="F21" s="1" t="s">
        <v>1700</v>
      </c>
      <c r="G21" s="1" t="s">
        <v>1701</v>
      </c>
      <c r="H21" s="1" t="s">
        <v>1702</v>
      </c>
      <c r="I21" s="1" t="s">
        <v>1703</v>
      </c>
      <c r="J21" s="1" t="s">
        <v>1704</v>
      </c>
      <c r="K21" s="1" t="s">
        <v>1705</v>
      </c>
      <c r="L21" s="1" t="s">
        <v>67</v>
      </c>
    </row>
    <row r="22" spans="1:12" x14ac:dyDescent="0.2">
      <c r="A22" s="1" t="s">
        <v>35</v>
      </c>
      <c r="C22" s="1" t="s">
        <v>87</v>
      </c>
      <c r="D22" s="1" t="s">
        <v>37</v>
      </c>
      <c r="E22" s="1" t="s">
        <v>1706</v>
      </c>
      <c r="F22" s="1" t="s">
        <v>1707</v>
      </c>
      <c r="G22" s="1" t="s">
        <v>1708</v>
      </c>
      <c r="H22" s="1" t="s">
        <v>1709</v>
      </c>
      <c r="I22" s="1" t="s">
        <v>1710</v>
      </c>
      <c r="J22" s="1" t="s">
        <v>1711</v>
      </c>
      <c r="K22" s="1" t="s">
        <v>1712</v>
      </c>
      <c r="L22" s="1" t="s">
        <v>68</v>
      </c>
    </row>
    <row r="23" spans="1:12" x14ac:dyDescent="0.2">
      <c r="A23" s="1" t="s">
        <v>35</v>
      </c>
      <c r="C23" s="1" t="s">
        <v>88</v>
      </c>
      <c r="D23" s="1" t="s">
        <v>38</v>
      </c>
      <c r="E23" s="1" t="s">
        <v>1713</v>
      </c>
      <c r="F23" s="1" t="s">
        <v>1714</v>
      </c>
      <c r="G23" s="1" t="s">
        <v>1715</v>
      </c>
      <c r="H23" s="1" t="s">
        <v>1716</v>
      </c>
      <c r="I23" s="1" t="s">
        <v>1717</v>
      </c>
      <c r="J23" s="1" t="s">
        <v>1718</v>
      </c>
      <c r="K23" s="1" t="s">
        <v>1719</v>
      </c>
      <c r="L23" s="1" t="s">
        <v>69</v>
      </c>
    </row>
    <row r="24" spans="1:12" x14ac:dyDescent="0.2">
      <c r="A24" s="1" t="s">
        <v>35</v>
      </c>
      <c r="C24" s="1" t="s">
        <v>91</v>
      </c>
      <c r="D24" s="1" t="s">
        <v>39</v>
      </c>
      <c r="E24" s="1" t="s">
        <v>1720</v>
      </c>
      <c r="F24" s="1" t="s">
        <v>1721</v>
      </c>
      <c r="G24" s="1" t="s">
        <v>1722</v>
      </c>
      <c r="H24" s="1" t="s">
        <v>1723</v>
      </c>
      <c r="I24" s="1" t="s">
        <v>1724</v>
      </c>
      <c r="J24" s="1" t="s">
        <v>1725</v>
      </c>
      <c r="K24" s="1" t="s">
        <v>1726</v>
      </c>
      <c r="L24" s="1" t="s">
        <v>70</v>
      </c>
    </row>
    <row r="25" spans="1:12" x14ac:dyDescent="0.2">
      <c r="A25" s="1" t="s">
        <v>35</v>
      </c>
      <c r="C25" s="1" t="s">
        <v>94</v>
      </c>
      <c r="D25" s="1" t="s">
        <v>40</v>
      </c>
      <c r="E25" s="1" t="s">
        <v>1727</v>
      </c>
      <c r="F25" s="1" t="s">
        <v>1728</v>
      </c>
      <c r="G25" s="1" t="s">
        <v>1729</v>
      </c>
      <c r="H25" s="1" t="s">
        <v>1730</v>
      </c>
      <c r="I25" s="1" t="s">
        <v>1731</v>
      </c>
      <c r="J25" s="1" t="s">
        <v>1732</v>
      </c>
      <c r="K25" s="1" t="s">
        <v>1733</v>
      </c>
      <c r="L25" s="1" t="s">
        <v>71</v>
      </c>
    </row>
    <row r="26" spans="1:12" x14ac:dyDescent="0.2">
      <c r="A26" s="1" t="s">
        <v>35</v>
      </c>
      <c r="C26" s="1" t="s">
        <v>97</v>
      </c>
      <c r="D26" s="1" t="s">
        <v>41</v>
      </c>
      <c r="E26" s="1" t="s">
        <v>1734</v>
      </c>
      <c r="F26" s="1" t="s">
        <v>1735</v>
      </c>
      <c r="G26" s="1" t="s">
        <v>1736</v>
      </c>
      <c r="H26" s="1" t="s">
        <v>1737</v>
      </c>
      <c r="I26" s="1" t="s">
        <v>1738</v>
      </c>
      <c r="J26" s="1" t="s">
        <v>1739</v>
      </c>
      <c r="K26" s="1" t="s">
        <v>1740</v>
      </c>
      <c r="L26" s="1" t="s">
        <v>72</v>
      </c>
    </row>
    <row r="27" spans="1:12" x14ac:dyDescent="0.2">
      <c r="A27" s="1" t="s">
        <v>35</v>
      </c>
      <c r="C27" s="1" t="s">
        <v>100</v>
      </c>
      <c r="D27" s="1" t="s">
        <v>42</v>
      </c>
      <c r="E27" s="1" t="s">
        <v>1741</v>
      </c>
      <c r="F27" s="1" t="s">
        <v>1742</v>
      </c>
      <c r="G27" s="1" t="s">
        <v>1743</v>
      </c>
      <c r="H27" s="1" t="s">
        <v>1744</v>
      </c>
      <c r="I27" s="1" t="s">
        <v>1745</v>
      </c>
      <c r="J27" s="1" t="s">
        <v>1746</v>
      </c>
      <c r="K27" s="1" t="s">
        <v>1747</v>
      </c>
      <c r="L27" s="1" t="s">
        <v>73</v>
      </c>
    </row>
    <row r="28" spans="1:12" x14ac:dyDescent="0.2">
      <c r="A28" s="1" t="s">
        <v>35</v>
      </c>
      <c r="C28" s="1" t="s">
        <v>103</v>
      </c>
      <c r="D28" s="1" t="s">
        <v>43</v>
      </c>
      <c r="E28" s="1" t="s">
        <v>1748</v>
      </c>
      <c r="F28" s="1" t="s">
        <v>1749</v>
      </c>
      <c r="G28" s="1" t="s">
        <v>1750</v>
      </c>
      <c r="H28" s="1" t="s">
        <v>1751</v>
      </c>
      <c r="I28" s="1" t="s">
        <v>1752</v>
      </c>
      <c r="J28" s="1" t="s">
        <v>1753</v>
      </c>
      <c r="K28" s="1" t="s">
        <v>1754</v>
      </c>
      <c r="L28" s="1" t="s">
        <v>74</v>
      </c>
    </row>
    <row r="29" spans="1:12" x14ac:dyDescent="0.2">
      <c r="A29" s="1" t="s">
        <v>35</v>
      </c>
      <c r="C29" s="1" t="s">
        <v>106</v>
      </c>
      <c r="D29" s="1" t="s">
        <v>44</v>
      </c>
      <c r="E29" s="1" t="s">
        <v>1755</v>
      </c>
      <c r="F29" s="1" t="s">
        <v>1756</v>
      </c>
      <c r="G29" s="1" t="s">
        <v>1757</v>
      </c>
      <c r="H29" s="1" t="s">
        <v>1758</v>
      </c>
      <c r="I29" s="1" t="s">
        <v>1759</v>
      </c>
      <c r="J29" s="1" t="s">
        <v>1760</v>
      </c>
      <c r="K29" s="1" t="s">
        <v>1761</v>
      </c>
      <c r="L29" s="1" t="s">
        <v>75</v>
      </c>
    </row>
    <row r="30" spans="1:12" x14ac:dyDescent="0.2">
      <c r="A30" s="1" t="s">
        <v>35</v>
      </c>
      <c r="C30" s="1" t="s">
        <v>109</v>
      </c>
      <c r="D30" s="1" t="s">
        <v>45</v>
      </c>
      <c r="E30" s="1" t="s">
        <v>1762</v>
      </c>
      <c r="F30" s="1" t="s">
        <v>1763</v>
      </c>
      <c r="G30" s="1" t="s">
        <v>1764</v>
      </c>
      <c r="H30" s="1" t="s">
        <v>1765</v>
      </c>
      <c r="I30" s="1" t="s">
        <v>1766</v>
      </c>
      <c r="J30" s="1" t="s">
        <v>1767</v>
      </c>
      <c r="K30" s="1" t="s">
        <v>1768</v>
      </c>
      <c r="L30" s="1" t="s">
        <v>76</v>
      </c>
    </row>
    <row r="31" spans="1:12" x14ac:dyDescent="0.2">
      <c r="A31" s="1" t="s">
        <v>35</v>
      </c>
      <c r="C31" s="1" t="s">
        <v>112</v>
      </c>
      <c r="D31" s="1" t="s">
        <v>89</v>
      </c>
      <c r="E31" s="1" t="s">
        <v>1769</v>
      </c>
      <c r="F31" s="1" t="s">
        <v>1770</v>
      </c>
      <c r="G31" s="1" t="s">
        <v>1771</v>
      </c>
      <c r="H31" s="1" t="s">
        <v>1772</v>
      </c>
      <c r="I31" s="1" t="s">
        <v>1773</v>
      </c>
      <c r="J31" s="1" t="s">
        <v>1774</v>
      </c>
      <c r="K31" s="1" t="s">
        <v>1775</v>
      </c>
      <c r="L31" s="1" t="s">
        <v>90</v>
      </c>
    </row>
    <row r="32" spans="1:12" x14ac:dyDescent="0.2">
      <c r="A32" s="1" t="s">
        <v>35</v>
      </c>
      <c r="C32" s="1" t="s">
        <v>115</v>
      </c>
      <c r="D32" s="1" t="s">
        <v>92</v>
      </c>
      <c r="E32" s="1" t="s">
        <v>1776</v>
      </c>
      <c r="F32" s="1" t="s">
        <v>1777</v>
      </c>
      <c r="G32" s="1" t="s">
        <v>1778</v>
      </c>
      <c r="H32" s="1" t="s">
        <v>1779</v>
      </c>
      <c r="I32" s="1" t="s">
        <v>1780</v>
      </c>
      <c r="J32" s="1" t="s">
        <v>1781</v>
      </c>
      <c r="K32" s="1" t="s">
        <v>1782</v>
      </c>
      <c r="L32" s="1" t="s">
        <v>93</v>
      </c>
    </row>
    <row r="33" spans="1:12" x14ac:dyDescent="0.2">
      <c r="A33" s="1" t="s">
        <v>35</v>
      </c>
      <c r="C33" s="1" t="s">
        <v>118</v>
      </c>
      <c r="D33" s="1" t="s">
        <v>95</v>
      </c>
      <c r="E33" s="1" t="s">
        <v>1783</v>
      </c>
      <c r="F33" s="1" t="s">
        <v>1784</v>
      </c>
      <c r="G33" s="1" t="s">
        <v>1785</v>
      </c>
      <c r="H33" s="1" t="s">
        <v>1786</v>
      </c>
      <c r="I33" s="1" t="s">
        <v>1787</v>
      </c>
      <c r="J33" s="1" t="s">
        <v>1788</v>
      </c>
      <c r="K33" s="1" t="s">
        <v>1789</v>
      </c>
      <c r="L33" s="1" t="s">
        <v>96</v>
      </c>
    </row>
    <row r="34" spans="1:12" x14ac:dyDescent="0.2">
      <c r="A34" s="1" t="s">
        <v>35</v>
      </c>
      <c r="C34" s="1" t="s">
        <v>121</v>
      </c>
      <c r="D34" s="1" t="s">
        <v>98</v>
      </c>
      <c r="E34" s="1" t="s">
        <v>1790</v>
      </c>
      <c r="F34" s="1" t="s">
        <v>1791</v>
      </c>
      <c r="G34" s="1" t="s">
        <v>1792</v>
      </c>
      <c r="H34" s="1" t="s">
        <v>1793</v>
      </c>
      <c r="I34" s="1" t="s">
        <v>1794</v>
      </c>
      <c r="J34" s="1" t="s">
        <v>1795</v>
      </c>
      <c r="K34" s="1" t="s">
        <v>1796</v>
      </c>
      <c r="L34" s="1" t="s">
        <v>99</v>
      </c>
    </row>
    <row r="35" spans="1:12" x14ac:dyDescent="0.2">
      <c r="A35" s="1" t="s">
        <v>35</v>
      </c>
      <c r="C35" s="1" t="s">
        <v>124</v>
      </c>
      <c r="D35" s="1" t="s">
        <v>101</v>
      </c>
      <c r="E35" s="1" t="s">
        <v>1797</v>
      </c>
      <c r="F35" s="1" t="s">
        <v>1798</v>
      </c>
      <c r="G35" s="1" t="s">
        <v>1799</v>
      </c>
      <c r="H35" s="1" t="s">
        <v>1800</v>
      </c>
      <c r="I35" s="1" t="s">
        <v>1801</v>
      </c>
      <c r="J35" s="1" t="s">
        <v>1802</v>
      </c>
      <c r="K35" s="1" t="s">
        <v>1803</v>
      </c>
      <c r="L35" s="1" t="s">
        <v>102</v>
      </c>
    </row>
    <row r="36" spans="1:12" x14ac:dyDescent="0.2">
      <c r="A36" s="1" t="s">
        <v>35</v>
      </c>
      <c r="C36" s="1" t="s">
        <v>127</v>
      </c>
      <c r="D36" s="1" t="s">
        <v>104</v>
      </c>
      <c r="E36" s="1" t="s">
        <v>1804</v>
      </c>
      <c r="F36" s="1" t="s">
        <v>1805</v>
      </c>
      <c r="G36" s="1" t="s">
        <v>1806</v>
      </c>
      <c r="H36" s="1" t="s">
        <v>1807</v>
      </c>
      <c r="I36" s="1" t="s">
        <v>1808</v>
      </c>
      <c r="J36" s="1" t="s">
        <v>1809</v>
      </c>
      <c r="K36" s="1" t="s">
        <v>1810</v>
      </c>
      <c r="L36" s="1" t="s">
        <v>105</v>
      </c>
    </row>
    <row r="37" spans="1:12" x14ac:dyDescent="0.2">
      <c r="A37" s="1" t="s">
        <v>35</v>
      </c>
      <c r="C37" s="1" t="s">
        <v>130</v>
      </c>
      <c r="D37" s="1" t="s">
        <v>107</v>
      </c>
      <c r="E37" s="1" t="s">
        <v>1811</v>
      </c>
      <c r="F37" s="1" t="s">
        <v>1812</v>
      </c>
      <c r="G37" s="1" t="s">
        <v>1813</v>
      </c>
      <c r="H37" s="1" t="s">
        <v>1814</v>
      </c>
      <c r="I37" s="1" t="s">
        <v>1815</v>
      </c>
      <c r="J37" s="1" t="s">
        <v>1816</v>
      </c>
      <c r="K37" s="1" t="s">
        <v>1817</v>
      </c>
      <c r="L37" s="1" t="s">
        <v>108</v>
      </c>
    </row>
    <row r="38" spans="1:12" x14ac:dyDescent="0.2">
      <c r="A38" s="1" t="s">
        <v>35</v>
      </c>
      <c r="C38" s="1" t="s">
        <v>133</v>
      </c>
      <c r="D38" s="1" t="s">
        <v>110</v>
      </c>
      <c r="E38" s="1" t="s">
        <v>1818</v>
      </c>
      <c r="F38" s="1" t="s">
        <v>1819</v>
      </c>
      <c r="G38" s="1" t="s">
        <v>1820</v>
      </c>
      <c r="H38" s="1" t="s">
        <v>1821</v>
      </c>
      <c r="I38" s="1" t="s">
        <v>1822</v>
      </c>
      <c r="J38" s="1" t="s">
        <v>1823</v>
      </c>
      <c r="K38" s="1" t="s">
        <v>1824</v>
      </c>
      <c r="L38" s="1" t="s">
        <v>111</v>
      </c>
    </row>
    <row r="39" spans="1:12" x14ac:dyDescent="0.2">
      <c r="A39" s="1" t="s">
        <v>35</v>
      </c>
      <c r="C39" s="1" t="s">
        <v>136</v>
      </c>
      <c r="D39" s="1" t="s">
        <v>113</v>
      </c>
      <c r="E39" s="1" t="s">
        <v>1825</v>
      </c>
      <c r="F39" s="1" t="s">
        <v>1826</v>
      </c>
      <c r="G39" s="1" t="s">
        <v>1827</v>
      </c>
      <c r="H39" s="1" t="s">
        <v>1828</v>
      </c>
      <c r="I39" s="1" t="s">
        <v>1829</v>
      </c>
      <c r="J39" s="1" t="s">
        <v>1830</v>
      </c>
      <c r="K39" s="1" t="s">
        <v>1831</v>
      </c>
      <c r="L39" s="1" t="s">
        <v>114</v>
      </c>
    </row>
    <row r="40" spans="1:12" x14ac:dyDescent="0.2">
      <c r="A40" s="1" t="s">
        <v>35</v>
      </c>
      <c r="C40" s="1" t="s">
        <v>139</v>
      </c>
      <c r="D40" s="1" t="s">
        <v>116</v>
      </c>
      <c r="E40" s="1" t="s">
        <v>1832</v>
      </c>
      <c r="F40" s="1" t="s">
        <v>1833</v>
      </c>
      <c r="G40" s="1" t="s">
        <v>1834</v>
      </c>
      <c r="H40" s="1" t="s">
        <v>1835</v>
      </c>
      <c r="I40" s="1" t="s">
        <v>1836</v>
      </c>
      <c r="J40" s="1" t="s">
        <v>1837</v>
      </c>
      <c r="K40" s="1" t="s">
        <v>1838</v>
      </c>
      <c r="L40" s="1" t="s">
        <v>117</v>
      </c>
    </row>
    <row r="41" spans="1:12" x14ac:dyDescent="0.2">
      <c r="A41" s="1" t="s">
        <v>35</v>
      </c>
      <c r="C41" s="1" t="s">
        <v>142</v>
      </c>
      <c r="D41" s="1" t="s">
        <v>119</v>
      </c>
      <c r="E41" s="1" t="s">
        <v>1839</v>
      </c>
      <c r="F41" s="1" t="s">
        <v>1840</v>
      </c>
      <c r="G41" s="1" t="s">
        <v>1841</v>
      </c>
      <c r="H41" s="1" t="s">
        <v>1842</v>
      </c>
      <c r="I41" s="1" t="s">
        <v>1843</v>
      </c>
      <c r="J41" s="1" t="s">
        <v>1844</v>
      </c>
      <c r="K41" s="1" t="s">
        <v>1845</v>
      </c>
      <c r="L41" s="1" t="s">
        <v>120</v>
      </c>
    </row>
    <row r="42" spans="1:12" x14ac:dyDescent="0.2">
      <c r="A42" s="1" t="s">
        <v>35</v>
      </c>
      <c r="C42" s="1" t="s">
        <v>145</v>
      </c>
      <c r="D42" s="1" t="s">
        <v>122</v>
      </c>
      <c r="E42" s="1" t="s">
        <v>1846</v>
      </c>
      <c r="F42" s="1" t="s">
        <v>1847</v>
      </c>
      <c r="G42" s="1" t="s">
        <v>1848</v>
      </c>
      <c r="H42" s="1" t="s">
        <v>1849</v>
      </c>
      <c r="I42" s="1" t="s">
        <v>1850</v>
      </c>
      <c r="J42" s="1" t="s">
        <v>1851</v>
      </c>
      <c r="K42" s="1" t="s">
        <v>1852</v>
      </c>
      <c r="L42" s="1" t="s">
        <v>123</v>
      </c>
    </row>
    <row r="43" spans="1:12" x14ac:dyDescent="0.2">
      <c r="A43" s="1" t="s">
        <v>35</v>
      </c>
      <c r="C43" s="1" t="s">
        <v>148</v>
      </c>
      <c r="D43" s="1" t="s">
        <v>125</v>
      </c>
      <c r="E43" s="1" t="s">
        <v>1853</v>
      </c>
      <c r="F43" s="1" t="s">
        <v>1854</v>
      </c>
      <c r="G43" s="1" t="s">
        <v>1855</v>
      </c>
      <c r="H43" s="1" t="s">
        <v>1856</v>
      </c>
      <c r="I43" s="1" t="s">
        <v>1857</v>
      </c>
      <c r="J43" s="1" t="s">
        <v>1858</v>
      </c>
      <c r="K43" s="1" t="s">
        <v>1859</v>
      </c>
      <c r="L43" s="1" t="s">
        <v>126</v>
      </c>
    </row>
    <row r="44" spans="1:12" x14ac:dyDescent="0.2">
      <c r="A44" s="1" t="s">
        <v>35</v>
      </c>
      <c r="C44" s="1" t="s">
        <v>151</v>
      </c>
      <c r="D44" s="1" t="s">
        <v>128</v>
      </c>
      <c r="E44" s="1" t="s">
        <v>1860</v>
      </c>
      <c r="F44" s="1" t="s">
        <v>1861</v>
      </c>
      <c r="G44" s="1" t="s">
        <v>1862</v>
      </c>
      <c r="H44" s="1" t="s">
        <v>1863</v>
      </c>
      <c r="I44" s="1" t="s">
        <v>1864</v>
      </c>
      <c r="J44" s="1" t="s">
        <v>1865</v>
      </c>
      <c r="K44" s="1" t="s">
        <v>1866</v>
      </c>
      <c r="L44" s="1" t="s">
        <v>129</v>
      </c>
    </row>
    <row r="45" spans="1:12" x14ac:dyDescent="0.2">
      <c r="A45" s="1" t="s">
        <v>35</v>
      </c>
      <c r="C45" s="1" t="s">
        <v>154</v>
      </c>
      <c r="D45" s="1" t="s">
        <v>131</v>
      </c>
      <c r="E45" s="1" t="s">
        <v>1867</v>
      </c>
      <c r="F45" s="1" t="s">
        <v>1868</v>
      </c>
      <c r="G45" s="1" t="s">
        <v>1869</v>
      </c>
      <c r="H45" s="1" t="s">
        <v>1870</v>
      </c>
      <c r="I45" s="1" t="s">
        <v>1871</v>
      </c>
      <c r="J45" s="1" t="s">
        <v>1872</v>
      </c>
      <c r="K45" s="1" t="s">
        <v>1873</v>
      </c>
      <c r="L45" s="1" t="s">
        <v>132</v>
      </c>
    </row>
    <row r="46" spans="1:12" x14ac:dyDescent="0.2">
      <c r="A46" s="1" t="s">
        <v>35</v>
      </c>
      <c r="C46" s="1" t="s">
        <v>48</v>
      </c>
      <c r="D46" s="1" t="s">
        <v>134</v>
      </c>
      <c r="E46" s="1" t="s">
        <v>1874</v>
      </c>
      <c r="F46" s="1" t="s">
        <v>1875</v>
      </c>
      <c r="G46" s="1" t="s">
        <v>1876</v>
      </c>
      <c r="H46" s="1" t="s">
        <v>1877</v>
      </c>
      <c r="I46" s="1" t="s">
        <v>1878</v>
      </c>
      <c r="J46" s="1" t="s">
        <v>1879</v>
      </c>
      <c r="K46" s="1" t="s">
        <v>1880</v>
      </c>
      <c r="L46" s="1" t="s">
        <v>135</v>
      </c>
    </row>
    <row r="47" spans="1:12" x14ac:dyDescent="0.2">
      <c r="A47" s="1" t="s">
        <v>35</v>
      </c>
      <c r="C47" s="1" t="s">
        <v>49</v>
      </c>
      <c r="D47" s="1" t="s">
        <v>137</v>
      </c>
      <c r="E47" s="1" t="s">
        <v>1881</v>
      </c>
      <c r="F47" s="1" t="s">
        <v>1882</v>
      </c>
      <c r="G47" s="1" t="s">
        <v>1883</v>
      </c>
      <c r="H47" s="1" t="s">
        <v>1884</v>
      </c>
      <c r="I47" s="1" t="s">
        <v>1885</v>
      </c>
      <c r="J47" s="1" t="s">
        <v>1886</v>
      </c>
      <c r="K47" s="1" t="s">
        <v>1887</v>
      </c>
      <c r="L47" s="1" t="s">
        <v>138</v>
      </c>
    </row>
    <row r="48" spans="1:12" x14ac:dyDescent="0.2">
      <c r="A48" s="1" t="s">
        <v>35</v>
      </c>
      <c r="C48" s="1" t="s">
        <v>161</v>
      </c>
      <c r="D48" s="1" t="s">
        <v>140</v>
      </c>
      <c r="E48" s="1" t="s">
        <v>1888</v>
      </c>
      <c r="F48" s="1" t="s">
        <v>1889</v>
      </c>
      <c r="G48" s="1" t="s">
        <v>1890</v>
      </c>
      <c r="H48" s="1" t="s">
        <v>1891</v>
      </c>
      <c r="I48" s="1" t="s">
        <v>1892</v>
      </c>
      <c r="J48" s="1" t="s">
        <v>1893</v>
      </c>
      <c r="K48" s="1" t="s">
        <v>1894</v>
      </c>
      <c r="L48" s="1" t="s">
        <v>141</v>
      </c>
    </row>
    <row r="49" spans="1:12" x14ac:dyDescent="0.2">
      <c r="A49" s="1" t="s">
        <v>35</v>
      </c>
      <c r="C49" s="1" t="s">
        <v>164</v>
      </c>
      <c r="D49" s="1" t="s">
        <v>143</v>
      </c>
      <c r="E49" s="1" t="s">
        <v>1895</v>
      </c>
      <c r="F49" s="1" t="s">
        <v>1896</v>
      </c>
      <c r="G49" s="1" t="s">
        <v>1897</v>
      </c>
      <c r="H49" s="1" t="s">
        <v>1898</v>
      </c>
      <c r="I49" s="1" t="s">
        <v>1899</v>
      </c>
      <c r="J49" s="1" t="s">
        <v>1900</v>
      </c>
      <c r="K49" s="1" t="s">
        <v>1901</v>
      </c>
      <c r="L49" s="1" t="s">
        <v>144</v>
      </c>
    </row>
    <row r="50" spans="1:12" x14ac:dyDescent="0.2">
      <c r="A50" s="1" t="s">
        <v>35</v>
      </c>
      <c r="C50" s="1" t="s">
        <v>167</v>
      </c>
      <c r="D50" s="1" t="s">
        <v>146</v>
      </c>
      <c r="E50" s="1" t="s">
        <v>1902</v>
      </c>
      <c r="F50" s="1" t="s">
        <v>1903</v>
      </c>
      <c r="G50" s="1" t="s">
        <v>1904</v>
      </c>
      <c r="H50" s="1" t="s">
        <v>1905</v>
      </c>
      <c r="I50" s="1" t="s">
        <v>1906</v>
      </c>
      <c r="J50" s="1" t="s">
        <v>1907</v>
      </c>
      <c r="K50" s="1" t="s">
        <v>1908</v>
      </c>
      <c r="L50" s="1" t="s">
        <v>147</v>
      </c>
    </row>
    <row r="51" spans="1:12" x14ac:dyDescent="0.2">
      <c r="A51" s="1" t="s">
        <v>35</v>
      </c>
      <c r="C51" s="1" t="s">
        <v>170</v>
      </c>
      <c r="D51" s="1" t="s">
        <v>149</v>
      </c>
      <c r="E51" s="1" t="s">
        <v>1909</v>
      </c>
      <c r="F51" s="1" t="s">
        <v>1910</v>
      </c>
      <c r="G51" s="1" t="s">
        <v>1911</v>
      </c>
      <c r="H51" s="1" t="s">
        <v>1912</v>
      </c>
      <c r="I51" s="1" t="s">
        <v>1913</v>
      </c>
      <c r="J51" s="1" t="s">
        <v>1914</v>
      </c>
      <c r="K51" s="1" t="s">
        <v>1915</v>
      </c>
      <c r="L51" s="1" t="s">
        <v>150</v>
      </c>
    </row>
    <row r="52" spans="1:12" x14ac:dyDescent="0.2">
      <c r="A52" s="1" t="s">
        <v>35</v>
      </c>
      <c r="C52" s="1" t="s">
        <v>173</v>
      </c>
      <c r="D52" s="1" t="s">
        <v>152</v>
      </c>
      <c r="E52" s="1" t="s">
        <v>1916</v>
      </c>
      <c r="F52" s="1" t="s">
        <v>1917</v>
      </c>
      <c r="G52" s="1" t="s">
        <v>1918</v>
      </c>
      <c r="H52" s="1" t="s">
        <v>1919</v>
      </c>
      <c r="I52" s="1" t="s">
        <v>1920</v>
      </c>
      <c r="J52" s="1" t="s">
        <v>1921</v>
      </c>
      <c r="K52" s="1" t="s">
        <v>1922</v>
      </c>
      <c r="L52" s="1" t="s">
        <v>153</v>
      </c>
    </row>
    <row r="53" spans="1:12" x14ac:dyDescent="0.2">
      <c r="A53" s="1" t="s">
        <v>35</v>
      </c>
      <c r="C53" s="1" t="s">
        <v>176</v>
      </c>
      <c r="D53" s="1" t="s">
        <v>155</v>
      </c>
      <c r="E53" s="1" t="s">
        <v>1923</v>
      </c>
      <c r="F53" s="1" t="s">
        <v>1924</v>
      </c>
      <c r="G53" s="1" t="s">
        <v>1925</v>
      </c>
      <c r="H53" s="1" t="s">
        <v>1926</v>
      </c>
      <c r="I53" s="1" t="s">
        <v>1927</v>
      </c>
      <c r="J53" s="1" t="s">
        <v>1928</v>
      </c>
      <c r="K53" s="1" t="s">
        <v>1929</v>
      </c>
      <c r="L53" s="1" t="s">
        <v>156</v>
      </c>
    </row>
    <row r="54" spans="1:12" x14ac:dyDescent="0.2">
      <c r="A54" s="1" t="s">
        <v>35</v>
      </c>
      <c r="C54" s="1" t="s">
        <v>179</v>
      </c>
      <c r="D54" s="1" t="s">
        <v>157</v>
      </c>
      <c r="E54" s="1" t="s">
        <v>1930</v>
      </c>
      <c r="F54" s="1" t="s">
        <v>1931</v>
      </c>
      <c r="G54" s="1" t="s">
        <v>1932</v>
      </c>
      <c r="H54" s="1" t="s">
        <v>1933</v>
      </c>
      <c r="I54" s="1" t="s">
        <v>1934</v>
      </c>
      <c r="J54" s="1" t="s">
        <v>1935</v>
      </c>
      <c r="K54" s="1" t="s">
        <v>1936</v>
      </c>
      <c r="L54" s="1" t="s">
        <v>158</v>
      </c>
    </row>
    <row r="55" spans="1:12" x14ac:dyDescent="0.2">
      <c r="A55" s="1" t="s">
        <v>35</v>
      </c>
      <c r="C55" s="1" t="s">
        <v>182</v>
      </c>
      <c r="D55" s="1" t="s">
        <v>159</v>
      </c>
      <c r="E55" s="1" t="s">
        <v>1937</v>
      </c>
      <c r="F55" s="1" t="s">
        <v>1938</v>
      </c>
      <c r="G55" s="1" t="s">
        <v>1939</v>
      </c>
      <c r="H55" s="1" t="s">
        <v>1940</v>
      </c>
      <c r="I55" s="1" t="s">
        <v>1941</v>
      </c>
      <c r="J55" s="1" t="s">
        <v>1942</v>
      </c>
      <c r="K55" s="1" t="s">
        <v>1943</v>
      </c>
      <c r="L55" s="1" t="s">
        <v>160</v>
      </c>
    </row>
    <row r="56" spans="1:12" x14ac:dyDescent="0.2">
      <c r="A56" s="1" t="s">
        <v>35</v>
      </c>
      <c r="C56" s="1" t="s">
        <v>185</v>
      </c>
      <c r="D56" s="1" t="s">
        <v>162</v>
      </c>
      <c r="E56" s="1" t="s">
        <v>1944</v>
      </c>
      <c r="F56" s="1" t="s">
        <v>1945</v>
      </c>
      <c r="G56" s="1" t="s">
        <v>1946</v>
      </c>
      <c r="H56" s="1" t="s">
        <v>1947</v>
      </c>
      <c r="I56" s="1" t="s">
        <v>1948</v>
      </c>
      <c r="J56" s="1" t="s">
        <v>1949</v>
      </c>
      <c r="K56" s="1" t="s">
        <v>1950</v>
      </c>
      <c r="L56" s="1" t="s">
        <v>163</v>
      </c>
    </row>
    <row r="57" spans="1:12" x14ac:dyDescent="0.2">
      <c r="A57" s="1" t="s">
        <v>35</v>
      </c>
      <c r="C57" s="1" t="s">
        <v>188</v>
      </c>
      <c r="D57" s="1" t="s">
        <v>165</v>
      </c>
      <c r="E57" s="1" t="s">
        <v>1951</v>
      </c>
      <c r="F57" s="1" t="s">
        <v>1952</v>
      </c>
      <c r="G57" s="1" t="s">
        <v>1953</v>
      </c>
      <c r="H57" s="1" t="s">
        <v>1954</v>
      </c>
      <c r="I57" s="1" t="s">
        <v>1955</v>
      </c>
      <c r="J57" s="1" t="s">
        <v>1956</v>
      </c>
      <c r="K57" s="1" t="s">
        <v>1957</v>
      </c>
      <c r="L57" s="1" t="s">
        <v>166</v>
      </c>
    </row>
    <row r="58" spans="1:12" x14ac:dyDescent="0.2">
      <c r="A58" s="1" t="s">
        <v>35</v>
      </c>
      <c r="C58" s="1" t="s">
        <v>191</v>
      </c>
      <c r="D58" s="1" t="s">
        <v>168</v>
      </c>
      <c r="E58" s="1" t="s">
        <v>1958</v>
      </c>
      <c r="F58" s="1" t="s">
        <v>1959</v>
      </c>
      <c r="G58" s="1" t="s">
        <v>1960</v>
      </c>
      <c r="H58" s="1" t="s">
        <v>1961</v>
      </c>
      <c r="I58" s="1" t="s">
        <v>1962</v>
      </c>
      <c r="J58" s="1" t="s">
        <v>1963</v>
      </c>
      <c r="K58" s="1" t="s">
        <v>1964</v>
      </c>
      <c r="L58" s="1" t="s">
        <v>169</v>
      </c>
    </row>
    <row r="59" spans="1:12" x14ac:dyDescent="0.2">
      <c r="A59" s="1" t="s">
        <v>35</v>
      </c>
      <c r="C59" s="1" t="s">
        <v>194</v>
      </c>
      <c r="D59" s="1" t="s">
        <v>171</v>
      </c>
      <c r="E59" s="1" t="s">
        <v>1965</v>
      </c>
      <c r="F59" s="1" t="s">
        <v>1966</v>
      </c>
      <c r="G59" s="1" t="s">
        <v>1967</v>
      </c>
      <c r="H59" s="1" t="s">
        <v>1968</v>
      </c>
      <c r="I59" s="1" t="s">
        <v>1969</v>
      </c>
      <c r="J59" s="1" t="s">
        <v>1970</v>
      </c>
      <c r="K59" s="1" t="s">
        <v>1971</v>
      </c>
      <c r="L59" s="1" t="s">
        <v>172</v>
      </c>
    </row>
    <row r="60" spans="1:12" x14ac:dyDescent="0.2">
      <c r="A60" s="1" t="s">
        <v>35</v>
      </c>
      <c r="C60" s="1" t="s">
        <v>197</v>
      </c>
      <c r="D60" s="1" t="s">
        <v>174</v>
      </c>
      <c r="E60" s="1" t="s">
        <v>1972</v>
      </c>
      <c r="F60" s="1" t="s">
        <v>1973</v>
      </c>
      <c r="G60" s="1" t="s">
        <v>1974</v>
      </c>
      <c r="H60" s="1" t="s">
        <v>1975</v>
      </c>
      <c r="I60" s="1" t="s">
        <v>1976</v>
      </c>
      <c r="J60" s="1" t="s">
        <v>1977</v>
      </c>
      <c r="K60" s="1" t="s">
        <v>1978</v>
      </c>
      <c r="L60" s="1" t="s">
        <v>175</v>
      </c>
    </row>
    <row r="61" spans="1:12" x14ac:dyDescent="0.2">
      <c r="A61" s="1" t="s">
        <v>35</v>
      </c>
      <c r="C61" s="1" t="s">
        <v>200</v>
      </c>
      <c r="D61" s="1" t="s">
        <v>177</v>
      </c>
      <c r="E61" s="1" t="s">
        <v>1979</v>
      </c>
      <c r="F61" s="1" t="s">
        <v>1980</v>
      </c>
      <c r="G61" s="1" t="s">
        <v>1981</v>
      </c>
      <c r="H61" s="1" t="s">
        <v>1982</v>
      </c>
      <c r="I61" s="1" t="s">
        <v>1983</v>
      </c>
      <c r="J61" s="1" t="s">
        <v>1984</v>
      </c>
      <c r="K61" s="1" t="s">
        <v>1985</v>
      </c>
      <c r="L61" s="1" t="s">
        <v>178</v>
      </c>
    </row>
    <row r="62" spans="1:12" x14ac:dyDescent="0.2">
      <c r="A62" s="1" t="s">
        <v>35</v>
      </c>
      <c r="C62" s="1" t="s">
        <v>203</v>
      </c>
      <c r="D62" s="1" t="s">
        <v>180</v>
      </c>
      <c r="E62" s="1" t="s">
        <v>1986</v>
      </c>
      <c r="F62" s="1" t="s">
        <v>1987</v>
      </c>
      <c r="G62" s="1" t="s">
        <v>1988</v>
      </c>
      <c r="H62" s="1" t="s">
        <v>1989</v>
      </c>
      <c r="I62" s="1" t="s">
        <v>1990</v>
      </c>
      <c r="J62" s="1" t="s">
        <v>1991</v>
      </c>
      <c r="K62" s="1" t="s">
        <v>1992</v>
      </c>
      <c r="L62" s="1" t="s">
        <v>181</v>
      </c>
    </row>
    <row r="63" spans="1:12" x14ac:dyDescent="0.2">
      <c r="A63" s="1" t="s">
        <v>35</v>
      </c>
      <c r="C63" s="1" t="s">
        <v>206</v>
      </c>
      <c r="D63" s="1" t="s">
        <v>183</v>
      </c>
      <c r="E63" s="1" t="s">
        <v>1993</v>
      </c>
      <c r="F63" s="1" t="s">
        <v>1994</v>
      </c>
      <c r="G63" s="1" t="s">
        <v>1995</v>
      </c>
      <c r="H63" s="1" t="s">
        <v>1996</v>
      </c>
      <c r="I63" s="1" t="s">
        <v>1997</v>
      </c>
      <c r="J63" s="1" t="s">
        <v>1998</v>
      </c>
      <c r="K63" s="1" t="s">
        <v>1999</v>
      </c>
      <c r="L63" s="1" t="s">
        <v>184</v>
      </c>
    </row>
    <row r="64" spans="1:12" x14ac:dyDescent="0.2">
      <c r="A64" s="1" t="s">
        <v>35</v>
      </c>
      <c r="C64" s="1" t="s">
        <v>209</v>
      </c>
      <c r="D64" s="1" t="s">
        <v>186</v>
      </c>
      <c r="E64" s="1" t="s">
        <v>2000</v>
      </c>
      <c r="F64" s="1" t="s">
        <v>2001</v>
      </c>
      <c r="G64" s="1" t="s">
        <v>2002</v>
      </c>
      <c r="H64" s="1" t="s">
        <v>2003</v>
      </c>
      <c r="I64" s="1" t="s">
        <v>2004</v>
      </c>
      <c r="J64" s="1" t="s">
        <v>2005</v>
      </c>
      <c r="K64" s="1" t="s">
        <v>2006</v>
      </c>
      <c r="L64" s="1" t="s">
        <v>187</v>
      </c>
    </row>
    <row r="65" spans="1:12" x14ac:dyDescent="0.2">
      <c r="A65" s="1" t="s">
        <v>35</v>
      </c>
      <c r="C65" s="1" t="s">
        <v>212</v>
      </c>
      <c r="D65" s="1" t="s">
        <v>189</v>
      </c>
      <c r="E65" s="1" t="s">
        <v>2007</v>
      </c>
      <c r="F65" s="1" t="s">
        <v>2008</v>
      </c>
      <c r="G65" s="1" t="s">
        <v>2009</v>
      </c>
      <c r="H65" s="1" t="s">
        <v>2010</v>
      </c>
      <c r="I65" s="1" t="s">
        <v>2011</v>
      </c>
      <c r="J65" s="1" t="s">
        <v>2012</v>
      </c>
      <c r="K65" s="1" t="s">
        <v>2013</v>
      </c>
      <c r="L65" s="1" t="s">
        <v>190</v>
      </c>
    </row>
    <row r="66" spans="1:12" x14ac:dyDescent="0.2">
      <c r="A66" s="1" t="s">
        <v>35</v>
      </c>
      <c r="C66" s="1" t="s">
        <v>215</v>
      </c>
      <c r="D66" s="1" t="s">
        <v>192</v>
      </c>
      <c r="E66" s="1" t="s">
        <v>2014</v>
      </c>
      <c r="F66" s="1" t="s">
        <v>2015</v>
      </c>
      <c r="G66" s="1" t="s">
        <v>2016</v>
      </c>
      <c r="H66" s="1" t="s">
        <v>2017</v>
      </c>
      <c r="I66" s="1" t="s">
        <v>2018</v>
      </c>
      <c r="J66" s="1" t="s">
        <v>2019</v>
      </c>
      <c r="K66" s="1" t="s">
        <v>2020</v>
      </c>
      <c r="L66" s="1" t="s">
        <v>193</v>
      </c>
    </row>
    <row r="67" spans="1:12" x14ac:dyDescent="0.2">
      <c r="A67" s="1" t="s">
        <v>35</v>
      </c>
      <c r="C67" s="1" t="s">
        <v>218</v>
      </c>
      <c r="D67" s="1" t="s">
        <v>195</v>
      </c>
      <c r="E67" s="1" t="s">
        <v>2021</v>
      </c>
      <c r="F67" s="1" t="s">
        <v>2022</v>
      </c>
      <c r="G67" s="1" t="s">
        <v>2023</v>
      </c>
      <c r="H67" s="1" t="s">
        <v>2024</v>
      </c>
      <c r="I67" s="1" t="s">
        <v>2025</v>
      </c>
      <c r="J67" s="1" t="s">
        <v>2026</v>
      </c>
      <c r="K67" s="1" t="s">
        <v>2027</v>
      </c>
      <c r="L67" s="1" t="s">
        <v>196</v>
      </c>
    </row>
    <row r="68" spans="1:12" x14ac:dyDescent="0.2">
      <c r="A68" s="1" t="s">
        <v>35</v>
      </c>
      <c r="C68" s="1" t="s">
        <v>221</v>
      </c>
      <c r="D68" s="1" t="s">
        <v>198</v>
      </c>
      <c r="E68" s="1" t="s">
        <v>2028</v>
      </c>
      <c r="F68" s="1" t="s">
        <v>2029</v>
      </c>
      <c r="G68" s="1" t="s">
        <v>2030</v>
      </c>
      <c r="H68" s="1" t="s">
        <v>2031</v>
      </c>
      <c r="I68" s="1" t="s">
        <v>2032</v>
      </c>
      <c r="J68" s="1" t="s">
        <v>2033</v>
      </c>
      <c r="K68" s="1" t="s">
        <v>2034</v>
      </c>
      <c r="L68" s="1" t="s">
        <v>199</v>
      </c>
    </row>
    <row r="69" spans="1:12" x14ac:dyDescent="0.2">
      <c r="A69" s="1" t="s">
        <v>35</v>
      </c>
      <c r="C69" s="1" t="s">
        <v>224</v>
      </c>
      <c r="D69" s="1" t="s">
        <v>201</v>
      </c>
      <c r="E69" s="1" t="s">
        <v>2035</v>
      </c>
      <c r="F69" s="1" t="s">
        <v>2036</v>
      </c>
      <c r="G69" s="1" t="s">
        <v>2037</v>
      </c>
      <c r="H69" s="1" t="s">
        <v>2038</v>
      </c>
      <c r="I69" s="1" t="s">
        <v>2039</v>
      </c>
      <c r="J69" s="1" t="s">
        <v>2040</v>
      </c>
      <c r="K69" s="1" t="s">
        <v>2041</v>
      </c>
      <c r="L69" s="1" t="s">
        <v>202</v>
      </c>
    </row>
    <row r="70" spans="1:12" x14ac:dyDescent="0.2">
      <c r="A70" s="1" t="s">
        <v>35</v>
      </c>
      <c r="C70" s="1" t="s">
        <v>227</v>
      </c>
      <c r="D70" s="1" t="s">
        <v>204</v>
      </c>
      <c r="E70" s="1" t="s">
        <v>2042</v>
      </c>
      <c r="F70" s="1" t="s">
        <v>2043</v>
      </c>
      <c r="G70" s="1" t="s">
        <v>2044</v>
      </c>
      <c r="H70" s="1" t="s">
        <v>2045</v>
      </c>
      <c r="I70" s="1" t="s">
        <v>2046</v>
      </c>
      <c r="J70" s="1" t="s">
        <v>2047</v>
      </c>
      <c r="K70" s="1" t="s">
        <v>2048</v>
      </c>
      <c r="L70" s="1" t="s">
        <v>205</v>
      </c>
    </row>
    <row r="71" spans="1:12" x14ac:dyDescent="0.2">
      <c r="A71" s="1" t="s">
        <v>35</v>
      </c>
      <c r="C71" s="1" t="s">
        <v>230</v>
      </c>
      <c r="D71" s="1" t="s">
        <v>207</v>
      </c>
      <c r="E71" s="1" t="s">
        <v>2049</v>
      </c>
      <c r="F71" s="1" t="s">
        <v>2050</v>
      </c>
      <c r="G71" s="1" t="s">
        <v>2051</v>
      </c>
      <c r="H71" s="1" t="s">
        <v>2052</v>
      </c>
      <c r="I71" s="1" t="s">
        <v>2053</v>
      </c>
      <c r="J71" s="1" t="s">
        <v>2054</v>
      </c>
      <c r="K71" s="1" t="s">
        <v>2055</v>
      </c>
      <c r="L71" s="1" t="s">
        <v>208</v>
      </c>
    </row>
    <row r="72" spans="1:12" x14ac:dyDescent="0.2">
      <c r="A72" s="1" t="s">
        <v>35</v>
      </c>
      <c r="C72" s="1" t="s">
        <v>233</v>
      </c>
      <c r="D72" s="1" t="s">
        <v>210</v>
      </c>
      <c r="E72" s="1" t="s">
        <v>2056</v>
      </c>
      <c r="F72" s="1" t="s">
        <v>2057</v>
      </c>
      <c r="G72" s="1" t="s">
        <v>2058</v>
      </c>
      <c r="H72" s="1" t="s">
        <v>2059</v>
      </c>
      <c r="I72" s="1" t="s">
        <v>2060</v>
      </c>
      <c r="J72" s="1" t="s">
        <v>2061</v>
      </c>
      <c r="K72" s="1" t="s">
        <v>2062</v>
      </c>
      <c r="L72" s="1" t="s">
        <v>211</v>
      </c>
    </row>
    <row r="73" spans="1:12" x14ac:dyDescent="0.2">
      <c r="A73" s="1" t="s">
        <v>35</v>
      </c>
      <c r="C73" s="1" t="s">
        <v>236</v>
      </c>
      <c r="D73" s="1" t="s">
        <v>213</v>
      </c>
      <c r="E73" s="1" t="s">
        <v>2063</v>
      </c>
      <c r="F73" s="1" t="s">
        <v>2064</v>
      </c>
      <c r="G73" s="1" t="s">
        <v>2065</v>
      </c>
      <c r="H73" s="1" t="s">
        <v>2066</v>
      </c>
      <c r="I73" s="1" t="s">
        <v>2067</v>
      </c>
      <c r="J73" s="1" t="s">
        <v>2068</v>
      </c>
      <c r="K73" s="1" t="s">
        <v>2069</v>
      </c>
      <c r="L73" s="1" t="s">
        <v>214</v>
      </c>
    </row>
    <row r="74" spans="1:12" x14ac:dyDescent="0.2">
      <c r="A74" s="1" t="s">
        <v>35</v>
      </c>
      <c r="C74" s="1" t="s">
        <v>239</v>
      </c>
      <c r="D74" s="1" t="s">
        <v>216</v>
      </c>
      <c r="E74" s="1" t="s">
        <v>2070</v>
      </c>
      <c r="F74" s="1" t="s">
        <v>2071</v>
      </c>
      <c r="G74" s="1" t="s">
        <v>2072</v>
      </c>
      <c r="H74" s="1" t="s">
        <v>2073</v>
      </c>
      <c r="I74" s="1" t="s">
        <v>2074</v>
      </c>
      <c r="J74" s="1" t="s">
        <v>2075</v>
      </c>
      <c r="K74" s="1" t="s">
        <v>2076</v>
      </c>
      <c r="L74" s="1" t="s">
        <v>217</v>
      </c>
    </row>
    <row r="75" spans="1:12" x14ac:dyDescent="0.2">
      <c r="A75" s="1" t="s">
        <v>35</v>
      </c>
      <c r="C75" s="1" t="s">
        <v>242</v>
      </c>
      <c r="D75" s="1" t="s">
        <v>219</v>
      </c>
      <c r="E75" s="1" t="s">
        <v>2077</v>
      </c>
      <c r="F75" s="1" t="s">
        <v>2078</v>
      </c>
      <c r="G75" s="1" t="s">
        <v>2079</v>
      </c>
      <c r="H75" s="1" t="s">
        <v>2080</v>
      </c>
      <c r="I75" s="1" t="s">
        <v>2081</v>
      </c>
      <c r="J75" s="1" t="s">
        <v>2082</v>
      </c>
      <c r="K75" s="1" t="s">
        <v>2083</v>
      </c>
      <c r="L75" s="1" t="s">
        <v>220</v>
      </c>
    </row>
    <row r="76" spans="1:12" x14ac:dyDescent="0.2">
      <c r="A76" s="1" t="s">
        <v>35</v>
      </c>
      <c r="C76" s="1" t="s">
        <v>245</v>
      </c>
      <c r="D76" s="1" t="s">
        <v>222</v>
      </c>
      <c r="E76" s="1" t="s">
        <v>2084</v>
      </c>
      <c r="F76" s="1" t="s">
        <v>2085</v>
      </c>
      <c r="G76" s="1" t="s">
        <v>2086</v>
      </c>
      <c r="H76" s="1" t="s">
        <v>2087</v>
      </c>
      <c r="I76" s="1" t="s">
        <v>2088</v>
      </c>
      <c r="J76" s="1" t="s">
        <v>2089</v>
      </c>
      <c r="K76" s="1" t="s">
        <v>2090</v>
      </c>
      <c r="L76" s="1" t="s">
        <v>223</v>
      </c>
    </row>
    <row r="77" spans="1:12" x14ac:dyDescent="0.2">
      <c r="A77" s="1" t="s">
        <v>35</v>
      </c>
      <c r="C77" s="1" t="s">
        <v>248</v>
      </c>
      <c r="D77" s="1" t="s">
        <v>225</v>
      </c>
      <c r="E77" s="1" t="s">
        <v>2091</v>
      </c>
      <c r="F77" s="1" t="s">
        <v>2092</v>
      </c>
      <c r="G77" s="1" t="s">
        <v>2093</v>
      </c>
      <c r="H77" s="1" t="s">
        <v>2094</v>
      </c>
      <c r="I77" s="1" t="s">
        <v>2095</v>
      </c>
      <c r="J77" s="1" t="s">
        <v>2096</v>
      </c>
      <c r="K77" s="1" t="s">
        <v>2097</v>
      </c>
      <c r="L77" s="1" t="s">
        <v>226</v>
      </c>
    </row>
    <row r="78" spans="1:12" x14ac:dyDescent="0.2">
      <c r="A78" s="1" t="s">
        <v>35</v>
      </c>
      <c r="C78" s="1" t="s">
        <v>251</v>
      </c>
      <c r="D78" s="1" t="s">
        <v>228</v>
      </c>
      <c r="E78" s="1" t="s">
        <v>2098</v>
      </c>
      <c r="F78" s="1" t="s">
        <v>2099</v>
      </c>
      <c r="G78" s="1" t="s">
        <v>2100</v>
      </c>
      <c r="H78" s="1" t="s">
        <v>2101</v>
      </c>
      <c r="I78" s="1" t="s">
        <v>2102</v>
      </c>
      <c r="J78" s="1" t="s">
        <v>2103</v>
      </c>
      <c r="K78" s="1" t="s">
        <v>2104</v>
      </c>
      <c r="L78" s="1" t="s">
        <v>229</v>
      </c>
    </row>
    <row r="79" spans="1:12" x14ac:dyDescent="0.2">
      <c r="A79" s="1" t="s">
        <v>35</v>
      </c>
      <c r="C79" s="1" t="s">
        <v>254</v>
      </c>
      <c r="D79" s="1" t="s">
        <v>231</v>
      </c>
      <c r="E79" s="1" t="s">
        <v>2105</v>
      </c>
      <c r="F79" s="1" t="s">
        <v>2106</v>
      </c>
      <c r="G79" s="1" t="s">
        <v>2107</v>
      </c>
      <c r="H79" s="1" t="s">
        <v>2108</v>
      </c>
      <c r="I79" s="1" t="s">
        <v>2109</v>
      </c>
      <c r="J79" s="1" t="s">
        <v>2110</v>
      </c>
      <c r="K79" s="1" t="s">
        <v>2111</v>
      </c>
      <c r="L79" s="1" t="s">
        <v>232</v>
      </c>
    </row>
    <row r="80" spans="1:12" x14ac:dyDescent="0.2">
      <c r="A80" s="1" t="s">
        <v>35</v>
      </c>
      <c r="C80" s="1" t="s">
        <v>257</v>
      </c>
      <c r="D80" s="1" t="s">
        <v>234</v>
      </c>
      <c r="E80" s="1" t="s">
        <v>2112</v>
      </c>
      <c r="F80" s="1" t="s">
        <v>2113</v>
      </c>
      <c r="G80" s="1" t="s">
        <v>2114</v>
      </c>
      <c r="H80" s="1" t="s">
        <v>2115</v>
      </c>
      <c r="I80" s="1" t="s">
        <v>2116</v>
      </c>
      <c r="J80" s="1" t="s">
        <v>2117</v>
      </c>
      <c r="K80" s="1" t="s">
        <v>2118</v>
      </c>
      <c r="L80" s="1" t="s">
        <v>235</v>
      </c>
    </row>
    <row r="81" spans="1:12" x14ac:dyDescent="0.2">
      <c r="A81" s="1" t="s">
        <v>35</v>
      </c>
      <c r="C81" s="1" t="s">
        <v>260</v>
      </c>
      <c r="D81" s="1" t="s">
        <v>237</v>
      </c>
      <c r="E81" s="1" t="s">
        <v>2119</v>
      </c>
      <c r="F81" s="1" t="s">
        <v>2120</v>
      </c>
      <c r="G81" s="1" t="s">
        <v>2121</v>
      </c>
      <c r="H81" s="1" t="s">
        <v>2122</v>
      </c>
      <c r="I81" s="1" t="s">
        <v>2123</v>
      </c>
      <c r="J81" s="1" t="s">
        <v>2124</v>
      </c>
      <c r="K81" s="1" t="s">
        <v>2125</v>
      </c>
      <c r="L81" s="1" t="s">
        <v>238</v>
      </c>
    </row>
    <row r="82" spans="1:12" x14ac:dyDescent="0.2">
      <c r="A82" s="1" t="s">
        <v>35</v>
      </c>
      <c r="C82" s="1" t="s">
        <v>263</v>
      </c>
      <c r="D82" s="1" t="s">
        <v>240</v>
      </c>
      <c r="E82" s="1" t="s">
        <v>2126</v>
      </c>
      <c r="F82" s="1" t="s">
        <v>2127</v>
      </c>
      <c r="G82" s="1" t="s">
        <v>2128</v>
      </c>
      <c r="H82" s="1" t="s">
        <v>2129</v>
      </c>
      <c r="I82" s="1" t="s">
        <v>2130</v>
      </c>
      <c r="J82" s="1" t="s">
        <v>2131</v>
      </c>
      <c r="K82" s="1" t="s">
        <v>2132</v>
      </c>
      <c r="L82" s="1" t="s">
        <v>241</v>
      </c>
    </row>
    <row r="83" spans="1:12" x14ac:dyDescent="0.2">
      <c r="A83" s="1" t="s">
        <v>35</v>
      </c>
      <c r="C83" s="1" t="s">
        <v>266</v>
      </c>
      <c r="D83" s="1" t="s">
        <v>243</v>
      </c>
      <c r="E83" s="1" t="s">
        <v>2133</v>
      </c>
      <c r="F83" s="1" t="s">
        <v>2134</v>
      </c>
      <c r="G83" s="1" t="s">
        <v>2135</v>
      </c>
      <c r="H83" s="1" t="s">
        <v>2136</v>
      </c>
      <c r="I83" s="1" t="s">
        <v>2137</v>
      </c>
      <c r="J83" s="1" t="s">
        <v>2138</v>
      </c>
      <c r="K83" s="1" t="s">
        <v>2139</v>
      </c>
      <c r="L83" s="1" t="s">
        <v>244</v>
      </c>
    </row>
    <row r="84" spans="1:12" x14ac:dyDescent="0.2">
      <c r="A84" s="1" t="s">
        <v>35</v>
      </c>
      <c r="C84" s="1" t="s">
        <v>269</v>
      </c>
      <c r="D84" s="1" t="s">
        <v>246</v>
      </c>
      <c r="E84" s="1" t="s">
        <v>2140</v>
      </c>
      <c r="F84" s="1" t="s">
        <v>2141</v>
      </c>
      <c r="G84" s="1" t="s">
        <v>2142</v>
      </c>
      <c r="H84" s="1" t="s">
        <v>2143</v>
      </c>
      <c r="I84" s="1" t="s">
        <v>2144</v>
      </c>
      <c r="J84" s="1" t="s">
        <v>2145</v>
      </c>
      <c r="K84" s="1" t="s">
        <v>2146</v>
      </c>
      <c r="L84" s="1" t="s">
        <v>247</v>
      </c>
    </row>
    <row r="85" spans="1:12" x14ac:dyDescent="0.2">
      <c r="A85" s="1" t="s">
        <v>35</v>
      </c>
      <c r="C85" s="1" t="s">
        <v>272</v>
      </c>
      <c r="D85" s="1" t="s">
        <v>249</v>
      </c>
      <c r="E85" s="1" t="s">
        <v>2147</v>
      </c>
      <c r="F85" s="1" t="s">
        <v>2148</v>
      </c>
      <c r="G85" s="1" t="s">
        <v>2149</v>
      </c>
      <c r="H85" s="1" t="s">
        <v>2150</v>
      </c>
      <c r="I85" s="1" t="s">
        <v>2151</v>
      </c>
      <c r="J85" s="1" t="s">
        <v>2152</v>
      </c>
      <c r="K85" s="1" t="s">
        <v>2153</v>
      </c>
      <c r="L85" s="1" t="s">
        <v>250</v>
      </c>
    </row>
    <row r="86" spans="1:12" x14ac:dyDescent="0.2">
      <c r="A86" s="1" t="s">
        <v>35</v>
      </c>
      <c r="C86" s="1" t="s">
        <v>275</v>
      </c>
      <c r="D86" s="1" t="s">
        <v>252</v>
      </c>
      <c r="E86" s="1" t="s">
        <v>2154</v>
      </c>
      <c r="F86" s="1" t="s">
        <v>2155</v>
      </c>
      <c r="G86" s="1" t="s">
        <v>2156</v>
      </c>
      <c r="H86" s="1" t="s">
        <v>2157</v>
      </c>
      <c r="I86" s="1" t="s">
        <v>2158</v>
      </c>
      <c r="J86" s="1" t="s">
        <v>2159</v>
      </c>
      <c r="K86" s="1" t="s">
        <v>2160</v>
      </c>
      <c r="L86" s="1" t="s">
        <v>253</v>
      </c>
    </row>
    <row r="87" spans="1:12" x14ac:dyDescent="0.2">
      <c r="A87" s="1" t="s">
        <v>35</v>
      </c>
      <c r="C87" s="1" t="s">
        <v>278</v>
      </c>
      <c r="D87" s="1" t="s">
        <v>255</v>
      </c>
      <c r="E87" s="1" t="s">
        <v>2161</v>
      </c>
      <c r="F87" s="1" t="s">
        <v>2162</v>
      </c>
      <c r="G87" s="1" t="s">
        <v>2163</v>
      </c>
      <c r="H87" s="1" t="s">
        <v>2164</v>
      </c>
      <c r="I87" s="1" t="s">
        <v>2165</v>
      </c>
      <c r="J87" s="1" t="s">
        <v>2166</v>
      </c>
      <c r="K87" s="1" t="s">
        <v>2167</v>
      </c>
      <c r="L87" s="1" t="s">
        <v>256</v>
      </c>
    </row>
    <row r="88" spans="1:12" x14ac:dyDescent="0.2">
      <c r="A88" s="1" t="s">
        <v>35</v>
      </c>
      <c r="C88" s="1" t="s">
        <v>281</v>
      </c>
      <c r="D88" s="1" t="s">
        <v>258</v>
      </c>
      <c r="E88" s="1" t="s">
        <v>2168</v>
      </c>
      <c r="F88" s="1" t="s">
        <v>2169</v>
      </c>
      <c r="G88" s="1" t="s">
        <v>2170</v>
      </c>
      <c r="H88" s="1" t="s">
        <v>2171</v>
      </c>
      <c r="I88" s="1" t="s">
        <v>2172</v>
      </c>
      <c r="J88" s="1" t="s">
        <v>2173</v>
      </c>
      <c r="K88" s="1" t="s">
        <v>2174</v>
      </c>
      <c r="L88" s="1" t="s">
        <v>259</v>
      </c>
    </row>
    <row r="89" spans="1:12" x14ac:dyDescent="0.2">
      <c r="A89" s="1" t="s">
        <v>35</v>
      </c>
      <c r="C89" s="1" t="s">
        <v>284</v>
      </c>
      <c r="D89" s="1" t="s">
        <v>261</v>
      </c>
      <c r="E89" s="1" t="s">
        <v>2175</v>
      </c>
      <c r="F89" s="1" t="s">
        <v>2176</v>
      </c>
      <c r="G89" s="1" t="s">
        <v>2177</v>
      </c>
      <c r="H89" s="1" t="s">
        <v>2178</v>
      </c>
      <c r="I89" s="1" t="s">
        <v>2179</v>
      </c>
      <c r="J89" s="1" t="s">
        <v>2180</v>
      </c>
      <c r="K89" s="1" t="s">
        <v>2181</v>
      </c>
      <c r="L89" s="1" t="s">
        <v>262</v>
      </c>
    </row>
    <row r="90" spans="1:12" x14ac:dyDescent="0.2">
      <c r="A90" s="1" t="s">
        <v>35</v>
      </c>
      <c r="C90" s="1" t="s">
        <v>287</v>
      </c>
      <c r="D90" s="1" t="s">
        <v>264</v>
      </c>
      <c r="E90" s="1" t="s">
        <v>2182</v>
      </c>
      <c r="F90" s="1" t="s">
        <v>2183</v>
      </c>
      <c r="G90" s="1" t="s">
        <v>2184</v>
      </c>
      <c r="H90" s="1" t="s">
        <v>2185</v>
      </c>
      <c r="I90" s="1" t="s">
        <v>2186</v>
      </c>
      <c r="J90" s="1" t="s">
        <v>2187</v>
      </c>
      <c r="K90" s="1" t="s">
        <v>2188</v>
      </c>
      <c r="L90" s="1" t="s">
        <v>265</v>
      </c>
    </row>
    <row r="91" spans="1:12" x14ac:dyDescent="0.2">
      <c r="A91" s="1" t="s">
        <v>35</v>
      </c>
      <c r="C91" s="1" t="s">
        <v>290</v>
      </c>
      <c r="D91" s="1" t="s">
        <v>267</v>
      </c>
      <c r="E91" s="1" t="s">
        <v>2189</v>
      </c>
      <c r="F91" s="1" t="s">
        <v>2190</v>
      </c>
      <c r="G91" s="1" t="s">
        <v>2191</v>
      </c>
      <c r="H91" s="1" t="s">
        <v>2192</v>
      </c>
      <c r="I91" s="1" t="s">
        <v>2193</v>
      </c>
      <c r="J91" s="1" t="s">
        <v>2194</v>
      </c>
      <c r="K91" s="1" t="s">
        <v>2195</v>
      </c>
      <c r="L91" s="1" t="s">
        <v>268</v>
      </c>
    </row>
    <row r="92" spans="1:12" x14ac:dyDescent="0.2">
      <c r="A92" s="1" t="s">
        <v>35</v>
      </c>
      <c r="C92" s="1" t="s">
        <v>293</v>
      </c>
      <c r="D92" s="1" t="s">
        <v>270</v>
      </c>
      <c r="E92" s="1" t="s">
        <v>2196</v>
      </c>
      <c r="F92" s="1" t="s">
        <v>2197</v>
      </c>
      <c r="G92" s="1" t="s">
        <v>2198</v>
      </c>
      <c r="H92" s="1" t="s">
        <v>2199</v>
      </c>
      <c r="I92" s="1" t="s">
        <v>2200</v>
      </c>
      <c r="J92" s="1" t="s">
        <v>2201</v>
      </c>
      <c r="K92" s="1" t="s">
        <v>2202</v>
      </c>
      <c r="L92" s="1" t="s">
        <v>271</v>
      </c>
    </row>
    <row r="93" spans="1:12" x14ac:dyDescent="0.2">
      <c r="A93" s="1" t="s">
        <v>35</v>
      </c>
      <c r="C93" s="1" t="s">
        <v>296</v>
      </c>
      <c r="D93" s="1" t="s">
        <v>273</v>
      </c>
      <c r="E93" s="1" t="s">
        <v>2203</v>
      </c>
      <c r="F93" s="1" t="s">
        <v>2204</v>
      </c>
      <c r="G93" s="1" t="s">
        <v>2205</v>
      </c>
      <c r="H93" s="1" t="s">
        <v>2206</v>
      </c>
      <c r="I93" s="1" t="s">
        <v>2207</v>
      </c>
      <c r="J93" s="1" t="s">
        <v>2208</v>
      </c>
      <c r="K93" s="1" t="s">
        <v>2209</v>
      </c>
      <c r="L93" s="1" t="s">
        <v>274</v>
      </c>
    </row>
    <row r="94" spans="1:12" x14ac:dyDescent="0.2">
      <c r="A94" s="1" t="s">
        <v>35</v>
      </c>
      <c r="C94" s="1" t="s">
        <v>299</v>
      </c>
      <c r="D94" s="1" t="s">
        <v>276</v>
      </c>
      <c r="E94" s="1" t="s">
        <v>2210</v>
      </c>
      <c r="F94" s="1" t="s">
        <v>2211</v>
      </c>
      <c r="G94" s="1" t="s">
        <v>2212</v>
      </c>
      <c r="H94" s="1" t="s">
        <v>2213</v>
      </c>
      <c r="I94" s="1" t="s">
        <v>2214</v>
      </c>
      <c r="J94" s="1" t="s">
        <v>2215</v>
      </c>
      <c r="K94" s="1" t="s">
        <v>2216</v>
      </c>
      <c r="L94" s="1" t="s">
        <v>277</v>
      </c>
    </row>
    <row r="95" spans="1:12" x14ac:dyDescent="0.2">
      <c r="A95" s="1" t="s">
        <v>35</v>
      </c>
      <c r="C95" s="1" t="s">
        <v>302</v>
      </c>
      <c r="D95" s="1" t="s">
        <v>279</v>
      </c>
      <c r="E95" s="1" t="s">
        <v>2217</v>
      </c>
      <c r="F95" s="1" t="s">
        <v>2218</v>
      </c>
      <c r="G95" s="1" t="s">
        <v>2219</v>
      </c>
      <c r="H95" s="1" t="s">
        <v>2220</v>
      </c>
      <c r="I95" s="1" t="s">
        <v>2221</v>
      </c>
      <c r="J95" s="1" t="s">
        <v>2222</v>
      </c>
      <c r="K95" s="1" t="s">
        <v>2223</v>
      </c>
      <c r="L95" s="1" t="s">
        <v>280</v>
      </c>
    </row>
    <row r="96" spans="1:12" x14ac:dyDescent="0.2">
      <c r="A96" s="1" t="s">
        <v>35</v>
      </c>
      <c r="C96" s="1" t="s">
        <v>305</v>
      </c>
      <c r="D96" s="1" t="s">
        <v>282</v>
      </c>
      <c r="E96" s="1" t="s">
        <v>2224</v>
      </c>
      <c r="F96" s="1" t="s">
        <v>2225</v>
      </c>
      <c r="G96" s="1" t="s">
        <v>2226</v>
      </c>
      <c r="H96" s="1" t="s">
        <v>2227</v>
      </c>
      <c r="I96" s="1" t="s">
        <v>2228</v>
      </c>
      <c r="J96" s="1" t="s">
        <v>2229</v>
      </c>
      <c r="K96" s="1" t="s">
        <v>2230</v>
      </c>
      <c r="L96" s="1" t="s">
        <v>283</v>
      </c>
    </row>
    <row r="97" spans="1:12" x14ac:dyDescent="0.2">
      <c r="A97" s="1" t="s">
        <v>35</v>
      </c>
      <c r="C97" s="1" t="s">
        <v>308</v>
      </c>
      <c r="D97" s="1" t="s">
        <v>285</v>
      </c>
      <c r="E97" s="1" t="s">
        <v>2231</v>
      </c>
      <c r="F97" s="1" t="s">
        <v>2232</v>
      </c>
      <c r="G97" s="1" t="s">
        <v>2233</v>
      </c>
      <c r="H97" s="1" t="s">
        <v>2234</v>
      </c>
      <c r="I97" s="1" t="s">
        <v>2235</v>
      </c>
      <c r="J97" s="1" t="s">
        <v>2236</v>
      </c>
      <c r="K97" s="1" t="s">
        <v>2237</v>
      </c>
      <c r="L97" s="1" t="s">
        <v>286</v>
      </c>
    </row>
    <row r="98" spans="1:12" x14ac:dyDescent="0.2">
      <c r="A98" s="1" t="s">
        <v>35</v>
      </c>
      <c r="C98" s="1" t="s">
        <v>311</v>
      </c>
      <c r="D98" s="1" t="s">
        <v>288</v>
      </c>
      <c r="E98" s="1" t="s">
        <v>2238</v>
      </c>
      <c r="F98" s="1" t="s">
        <v>2239</v>
      </c>
      <c r="G98" s="1" t="s">
        <v>2240</v>
      </c>
      <c r="H98" s="1" t="s">
        <v>2241</v>
      </c>
      <c r="I98" s="1" t="s">
        <v>2242</v>
      </c>
      <c r="J98" s="1" t="s">
        <v>2243</v>
      </c>
      <c r="K98" s="1" t="s">
        <v>2244</v>
      </c>
      <c r="L98" s="1" t="s">
        <v>289</v>
      </c>
    </row>
    <row r="99" spans="1:12" x14ac:dyDescent="0.2">
      <c r="A99" s="1" t="s">
        <v>35</v>
      </c>
      <c r="C99" s="1" t="s">
        <v>314</v>
      </c>
      <c r="D99" s="1" t="s">
        <v>291</v>
      </c>
      <c r="E99" s="1" t="s">
        <v>2245</v>
      </c>
      <c r="F99" s="1" t="s">
        <v>2246</v>
      </c>
      <c r="G99" s="1" t="s">
        <v>2247</v>
      </c>
      <c r="H99" s="1" t="s">
        <v>2248</v>
      </c>
      <c r="I99" s="1" t="s">
        <v>2249</v>
      </c>
      <c r="J99" s="1" t="s">
        <v>2250</v>
      </c>
      <c r="K99" s="1" t="s">
        <v>2251</v>
      </c>
      <c r="L99" s="1" t="s">
        <v>292</v>
      </c>
    </row>
    <row r="100" spans="1:12" x14ac:dyDescent="0.2">
      <c r="A100" s="1" t="s">
        <v>35</v>
      </c>
      <c r="C100" s="1" t="s">
        <v>317</v>
      </c>
      <c r="D100" s="1" t="s">
        <v>294</v>
      </c>
      <c r="E100" s="1" t="s">
        <v>2252</v>
      </c>
      <c r="F100" s="1" t="s">
        <v>2253</v>
      </c>
      <c r="G100" s="1" t="s">
        <v>2254</v>
      </c>
      <c r="H100" s="1" t="s">
        <v>2255</v>
      </c>
      <c r="I100" s="1" t="s">
        <v>2256</v>
      </c>
      <c r="J100" s="1" t="s">
        <v>2257</v>
      </c>
      <c r="K100" s="1" t="s">
        <v>2258</v>
      </c>
      <c r="L100" s="1" t="s">
        <v>295</v>
      </c>
    </row>
    <row r="101" spans="1:12" x14ac:dyDescent="0.2">
      <c r="A101" s="1" t="s">
        <v>35</v>
      </c>
      <c r="C101" s="1" t="s">
        <v>320</v>
      </c>
      <c r="D101" s="1" t="s">
        <v>297</v>
      </c>
      <c r="E101" s="1" t="s">
        <v>2259</v>
      </c>
      <c r="F101" s="1" t="s">
        <v>2260</v>
      </c>
      <c r="G101" s="1" t="s">
        <v>2261</v>
      </c>
      <c r="H101" s="1" t="s">
        <v>2262</v>
      </c>
      <c r="I101" s="1" t="s">
        <v>2263</v>
      </c>
      <c r="J101" s="1" t="s">
        <v>2264</v>
      </c>
      <c r="K101" s="1" t="s">
        <v>2265</v>
      </c>
      <c r="L101" s="1" t="s">
        <v>298</v>
      </c>
    </row>
    <row r="102" spans="1:12" x14ac:dyDescent="0.2">
      <c r="A102" s="1" t="s">
        <v>35</v>
      </c>
      <c r="C102" s="1" t="s">
        <v>323</v>
      </c>
      <c r="D102" s="1" t="s">
        <v>300</v>
      </c>
      <c r="E102" s="1" t="s">
        <v>2266</v>
      </c>
      <c r="F102" s="1" t="s">
        <v>2267</v>
      </c>
      <c r="G102" s="1" t="s">
        <v>2268</v>
      </c>
      <c r="H102" s="1" t="s">
        <v>2269</v>
      </c>
      <c r="I102" s="1" t="s">
        <v>2270</v>
      </c>
      <c r="J102" s="1" t="s">
        <v>2271</v>
      </c>
      <c r="K102" s="1" t="s">
        <v>2272</v>
      </c>
      <c r="L102" s="1" t="s">
        <v>301</v>
      </c>
    </row>
    <row r="103" spans="1:12" x14ac:dyDescent="0.2">
      <c r="A103" s="1" t="s">
        <v>35</v>
      </c>
      <c r="C103" s="1" t="s">
        <v>326</v>
      </c>
      <c r="D103" s="1" t="s">
        <v>303</v>
      </c>
      <c r="E103" s="1" t="s">
        <v>2273</v>
      </c>
      <c r="F103" s="1" t="s">
        <v>2274</v>
      </c>
      <c r="G103" s="1" t="s">
        <v>2275</v>
      </c>
      <c r="H103" s="1" t="s">
        <v>2276</v>
      </c>
      <c r="I103" s="1" t="s">
        <v>2277</v>
      </c>
      <c r="J103" s="1" t="s">
        <v>2278</v>
      </c>
      <c r="K103" s="1" t="s">
        <v>2279</v>
      </c>
      <c r="L103" s="1" t="s">
        <v>304</v>
      </c>
    </row>
    <row r="104" spans="1:12" x14ac:dyDescent="0.2">
      <c r="A104" s="1" t="s">
        <v>35</v>
      </c>
      <c r="C104" s="1" t="s">
        <v>329</v>
      </c>
      <c r="D104" s="1" t="s">
        <v>306</v>
      </c>
      <c r="E104" s="1" t="s">
        <v>2280</v>
      </c>
      <c r="F104" s="1" t="s">
        <v>2281</v>
      </c>
      <c r="G104" s="1" t="s">
        <v>2282</v>
      </c>
      <c r="H104" s="1" t="s">
        <v>2283</v>
      </c>
      <c r="I104" s="1" t="s">
        <v>2284</v>
      </c>
      <c r="J104" s="1" t="s">
        <v>2285</v>
      </c>
      <c r="K104" s="1" t="s">
        <v>2286</v>
      </c>
      <c r="L104" s="1" t="s">
        <v>307</v>
      </c>
    </row>
    <row r="105" spans="1:12" x14ac:dyDescent="0.2">
      <c r="A105" s="1" t="s">
        <v>35</v>
      </c>
      <c r="C105" s="1" t="s">
        <v>332</v>
      </c>
      <c r="D105" s="1" t="s">
        <v>309</v>
      </c>
      <c r="E105" s="1" t="s">
        <v>2287</v>
      </c>
      <c r="F105" s="1" t="s">
        <v>2288</v>
      </c>
      <c r="G105" s="1" t="s">
        <v>2289</v>
      </c>
      <c r="H105" s="1" t="s">
        <v>2290</v>
      </c>
      <c r="I105" s="1" t="s">
        <v>2291</v>
      </c>
      <c r="J105" s="1" t="s">
        <v>2292</v>
      </c>
      <c r="K105" s="1" t="s">
        <v>2293</v>
      </c>
      <c r="L105" s="1" t="s">
        <v>310</v>
      </c>
    </row>
    <row r="106" spans="1:12" x14ac:dyDescent="0.2">
      <c r="A106" s="1" t="s">
        <v>35</v>
      </c>
      <c r="C106" s="1" t="s">
        <v>335</v>
      </c>
      <c r="D106" s="1" t="s">
        <v>312</v>
      </c>
      <c r="E106" s="1" t="s">
        <v>2294</v>
      </c>
      <c r="F106" s="1" t="s">
        <v>2295</v>
      </c>
      <c r="G106" s="1" t="s">
        <v>2296</v>
      </c>
      <c r="H106" s="1" t="s">
        <v>2297</v>
      </c>
      <c r="I106" s="1" t="s">
        <v>2298</v>
      </c>
      <c r="J106" s="1" t="s">
        <v>2299</v>
      </c>
      <c r="K106" s="1" t="s">
        <v>2300</v>
      </c>
      <c r="L106" s="1" t="s">
        <v>313</v>
      </c>
    </row>
    <row r="107" spans="1:12" x14ac:dyDescent="0.2">
      <c r="A107" s="1" t="s">
        <v>35</v>
      </c>
      <c r="C107" s="1" t="s">
        <v>338</v>
      </c>
      <c r="D107" s="1" t="s">
        <v>315</v>
      </c>
      <c r="E107" s="1" t="s">
        <v>2301</v>
      </c>
      <c r="F107" s="1" t="s">
        <v>2302</v>
      </c>
      <c r="G107" s="1" t="s">
        <v>2303</v>
      </c>
      <c r="H107" s="1" t="s">
        <v>2304</v>
      </c>
      <c r="I107" s="1" t="s">
        <v>2305</v>
      </c>
      <c r="J107" s="1" t="s">
        <v>2306</v>
      </c>
      <c r="K107" s="1" t="s">
        <v>2307</v>
      </c>
      <c r="L107" s="1" t="s">
        <v>316</v>
      </c>
    </row>
    <row r="108" spans="1:12" x14ac:dyDescent="0.2">
      <c r="A108" s="1" t="s">
        <v>35</v>
      </c>
      <c r="C108" s="1" t="s">
        <v>341</v>
      </c>
      <c r="D108" s="1" t="s">
        <v>318</v>
      </c>
      <c r="E108" s="1" t="s">
        <v>2308</v>
      </c>
      <c r="F108" s="1" t="s">
        <v>2309</v>
      </c>
      <c r="G108" s="1" t="s">
        <v>2310</v>
      </c>
      <c r="H108" s="1" t="s">
        <v>2311</v>
      </c>
      <c r="I108" s="1" t="s">
        <v>2312</v>
      </c>
      <c r="J108" s="1" t="s">
        <v>2313</v>
      </c>
      <c r="K108" s="1" t="s">
        <v>2314</v>
      </c>
      <c r="L108" s="1" t="s">
        <v>319</v>
      </c>
    </row>
    <row r="109" spans="1:12" x14ac:dyDescent="0.2">
      <c r="A109" s="1" t="s">
        <v>35</v>
      </c>
      <c r="C109" s="1" t="s">
        <v>344</v>
      </c>
      <c r="D109" s="1" t="s">
        <v>321</v>
      </c>
      <c r="E109" s="1" t="s">
        <v>2315</v>
      </c>
      <c r="F109" s="1" t="s">
        <v>2316</v>
      </c>
      <c r="G109" s="1" t="s">
        <v>2317</v>
      </c>
      <c r="H109" s="1" t="s">
        <v>2318</v>
      </c>
      <c r="I109" s="1" t="s">
        <v>2319</v>
      </c>
      <c r="J109" s="1" t="s">
        <v>2320</v>
      </c>
      <c r="K109" s="1" t="s">
        <v>2321</v>
      </c>
      <c r="L109" s="1" t="s">
        <v>322</v>
      </c>
    </row>
    <row r="110" spans="1:12" x14ac:dyDescent="0.2">
      <c r="A110" s="1" t="s">
        <v>35</v>
      </c>
      <c r="C110" s="1" t="s">
        <v>347</v>
      </c>
      <c r="D110" s="1" t="s">
        <v>324</v>
      </c>
      <c r="E110" s="1" t="s">
        <v>2322</v>
      </c>
      <c r="F110" s="1" t="s">
        <v>2323</v>
      </c>
      <c r="G110" s="1" t="s">
        <v>2324</v>
      </c>
      <c r="H110" s="1" t="s">
        <v>2325</v>
      </c>
      <c r="I110" s="1" t="s">
        <v>2326</v>
      </c>
      <c r="J110" s="1" t="s">
        <v>2327</v>
      </c>
      <c r="K110" s="1" t="s">
        <v>2328</v>
      </c>
      <c r="L110" s="1" t="s">
        <v>325</v>
      </c>
    </row>
    <row r="111" spans="1:12" x14ac:dyDescent="0.2">
      <c r="A111" s="1" t="s">
        <v>35</v>
      </c>
      <c r="C111" s="1" t="s">
        <v>350</v>
      </c>
      <c r="D111" s="1" t="s">
        <v>327</v>
      </c>
      <c r="E111" s="1" t="s">
        <v>2329</v>
      </c>
      <c r="F111" s="1" t="s">
        <v>2330</v>
      </c>
      <c r="G111" s="1" t="s">
        <v>2331</v>
      </c>
      <c r="H111" s="1" t="s">
        <v>2332</v>
      </c>
      <c r="I111" s="1" t="s">
        <v>2333</v>
      </c>
      <c r="J111" s="1" t="s">
        <v>2334</v>
      </c>
      <c r="K111" s="1" t="s">
        <v>2335</v>
      </c>
      <c r="L111" s="1" t="s">
        <v>328</v>
      </c>
    </row>
    <row r="112" spans="1:12" x14ac:dyDescent="0.2">
      <c r="A112" s="1" t="s">
        <v>35</v>
      </c>
      <c r="C112" s="1" t="s">
        <v>353</v>
      </c>
      <c r="D112" s="1" t="s">
        <v>330</v>
      </c>
      <c r="E112" s="1" t="s">
        <v>2336</v>
      </c>
      <c r="F112" s="1" t="s">
        <v>2337</v>
      </c>
      <c r="G112" s="1" t="s">
        <v>2338</v>
      </c>
      <c r="H112" s="1" t="s">
        <v>2339</v>
      </c>
      <c r="I112" s="1" t="s">
        <v>2340</v>
      </c>
      <c r="J112" s="1" t="s">
        <v>2341</v>
      </c>
      <c r="K112" s="1" t="s">
        <v>2342</v>
      </c>
      <c r="L112" s="1" t="s">
        <v>331</v>
      </c>
    </row>
    <row r="113" spans="1:12" x14ac:dyDescent="0.2">
      <c r="A113" s="1" t="s">
        <v>35</v>
      </c>
      <c r="C113" s="1" t="s">
        <v>356</v>
      </c>
      <c r="D113" s="1" t="s">
        <v>333</v>
      </c>
      <c r="E113" s="1" t="s">
        <v>2343</v>
      </c>
      <c r="F113" s="1" t="s">
        <v>2344</v>
      </c>
      <c r="G113" s="1" t="s">
        <v>2345</v>
      </c>
      <c r="H113" s="1" t="s">
        <v>2346</v>
      </c>
      <c r="I113" s="1" t="s">
        <v>2347</v>
      </c>
      <c r="J113" s="1" t="s">
        <v>2348</v>
      </c>
      <c r="K113" s="1" t="s">
        <v>2349</v>
      </c>
      <c r="L113" s="1" t="s">
        <v>334</v>
      </c>
    </row>
    <row r="114" spans="1:12" x14ac:dyDescent="0.2">
      <c r="A114" s="1" t="s">
        <v>35</v>
      </c>
      <c r="C114" s="1" t="s">
        <v>50</v>
      </c>
      <c r="D114" s="1" t="s">
        <v>336</v>
      </c>
      <c r="E114" s="1" t="s">
        <v>2350</v>
      </c>
      <c r="F114" s="1" t="s">
        <v>2351</v>
      </c>
      <c r="G114" s="1" t="s">
        <v>2352</v>
      </c>
      <c r="H114" s="1" t="s">
        <v>2353</v>
      </c>
      <c r="I114" s="1" t="s">
        <v>2354</v>
      </c>
      <c r="J114" s="1" t="s">
        <v>2355</v>
      </c>
      <c r="K114" s="1" t="s">
        <v>2356</v>
      </c>
      <c r="L114" s="1" t="s">
        <v>337</v>
      </c>
    </row>
    <row r="115" spans="1:12" x14ac:dyDescent="0.2">
      <c r="A115" s="1" t="s">
        <v>35</v>
      </c>
      <c r="C115" s="1" t="s">
        <v>51</v>
      </c>
      <c r="D115" s="1" t="s">
        <v>339</v>
      </c>
      <c r="E115" s="1" t="s">
        <v>2357</v>
      </c>
      <c r="F115" s="1" t="s">
        <v>2358</v>
      </c>
      <c r="G115" s="1" t="s">
        <v>2359</v>
      </c>
      <c r="H115" s="1" t="s">
        <v>2360</v>
      </c>
      <c r="I115" s="1" t="s">
        <v>2361</v>
      </c>
      <c r="J115" s="1" t="s">
        <v>2362</v>
      </c>
      <c r="K115" s="1" t="s">
        <v>2363</v>
      </c>
      <c r="L115" s="1" t="s">
        <v>340</v>
      </c>
    </row>
    <row r="116" spans="1:12" x14ac:dyDescent="0.2">
      <c r="A116" s="1" t="s">
        <v>35</v>
      </c>
      <c r="C116" s="1" t="s">
        <v>363</v>
      </c>
      <c r="D116" s="1" t="s">
        <v>342</v>
      </c>
      <c r="E116" s="1" t="s">
        <v>2364</v>
      </c>
      <c r="F116" s="1" t="s">
        <v>2365</v>
      </c>
      <c r="G116" s="1" t="s">
        <v>2366</v>
      </c>
      <c r="H116" s="1" t="s">
        <v>2367</v>
      </c>
      <c r="I116" s="1" t="s">
        <v>2368</v>
      </c>
      <c r="J116" s="1" t="s">
        <v>2369</v>
      </c>
      <c r="K116" s="1" t="s">
        <v>2370</v>
      </c>
      <c r="L116" s="1" t="s">
        <v>343</v>
      </c>
    </row>
    <row r="117" spans="1:12" x14ac:dyDescent="0.2">
      <c r="A117" s="1" t="s">
        <v>35</v>
      </c>
      <c r="C117" s="1" t="s">
        <v>366</v>
      </c>
      <c r="D117" s="1" t="s">
        <v>345</v>
      </c>
      <c r="E117" s="1" t="s">
        <v>2371</v>
      </c>
      <c r="F117" s="1" t="s">
        <v>2372</v>
      </c>
      <c r="G117" s="1" t="s">
        <v>2373</v>
      </c>
      <c r="H117" s="1" t="s">
        <v>2374</v>
      </c>
      <c r="I117" s="1" t="s">
        <v>2375</v>
      </c>
      <c r="J117" s="1" t="s">
        <v>2376</v>
      </c>
      <c r="K117" s="1" t="s">
        <v>2377</v>
      </c>
      <c r="L117" s="1" t="s">
        <v>346</v>
      </c>
    </row>
    <row r="118" spans="1:12" x14ac:dyDescent="0.2">
      <c r="A118" s="1" t="s">
        <v>35</v>
      </c>
      <c r="C118" s="1" t="s">
        <v>369</v>
      </c>
      <c r="D118" s="1" t="s">
        <v>348</v>
      </c>
      <c r="E118" s="1" t="s">
        <v>2378</v>
      </c>
      <c r="F118" s="1" t="s">
        <v>2379</v>
      </c>
      <c r="G118" s="1" t="s">
        <v>2380</v>
      </c>
      <c r="H118" s="1" t="s">
        <v>2381</v>
      </c>
      <c r="I118" s="1" t="s">
        <v>2382</v>
      </c>
      <c r="J118" s="1" t="s">
        <v>2383</v>
      </c>
      <c r="K118" s="1" t="s">
        <v>2384</v>
      </c>
      <c r="L118" s="1" t="s">
        <v>349</v>
      </c>
    </row>
    <row r="119" spans="1:12" x14ac:dyDescent="0.2">
      <c r="A119" s="1" t="s">
        <v>35</v>
      </c>
      <c r="C119" s="1" t="s">
        <v>372</v>
      </c>
      <c r="D119" s="1" t="s">
        <v>351</v>
      </c>
      <c r="E119" s="1" t="s">
        <v>2385</v>
      </c>
      <c r="F119" s="1" t="s">
        <v>2386</v>
      </c>
      <c r="G119" s="1" t="s">
        <v>2387</v>
      </c>
      <c r="H119" s="1" t="s">
        <v>2388</v>
      </c>
      <c r="I119" s="1" t="s">
        <v>2389</v>
      </c>
      <c r="J119" s="1" t="s">
        <v>2390</v>
      </c>
      <c r="K119" s="1" t="s">
        <v>2391</v>
      </c>
      <c r="L119" s="1" t="s">
        <v>352</v>
      </c>
    </row>
    <row r="120" spans="1:12" x14ac:dyDescent="0.2">
      <c r="A120" s="1" t="s">
        <v>35</v>
      </c>
      <c r="C120" s="1" t="s">
        <v>375</v>
      </c>
      <c r="D120" s="1" t="s">
        <v>354</v>
      </c>
      <c r="E120" s="1" t="s">
        <v>2392</v>
      </c>
      <c r="F120" s="1" t="s">
        <v>2393</v>
      </c>
      <c r="G120" s="1" t="s">
        <v>2394</v>
      </c>
      <c r="H120" s="1" t="s">
        <v>2395</v>
      </c>
      <c r="I120" s="1" t="s">
        <v>2396</v>
      </c>
      <c r="J120" s="1" t="s">
        <v>2397</v>
      </c>
      <c r="K120" s="1" t="s">
        <v>2398</v>
      </c>
      <c r="L120" s="1" t="s">
        <v>355</v>
      </c>
    </row>
    <row r="121" spans="1:12" x14ac:dyDescent="0.2">
      <c r="A121" s="1" t="s">
        <v>35</v>
      </c>
      <c r="C121" s="1" t="s">
        <v>52</v>
      </c>
      <c r="D121" s="1" t="s">
        <v>357</v>
      </c>
      <c r="E121" s="1" t="s">
        <v>2399</v>
      </c>
      <c r="F121" s="1" t="s">
        <v>2400</v>
      </c>
      <c r="G121" s="1" t="s">
        <v>2401</v>
      </c>
      <c r="H121" s="1" t="s">
        <v>2402</v>
      </c>
      <c r="I121" s="1" t="s">
        <v>2403</v>
      </c>
      <c r="J121" s="1" t="s">
        <v>2404</v>
      </c>
      <c r="K121" s="1" t="s">
        <v>2405</v>
      </c>
      <c r="L121" s="1" t="s">
        <v>358</v>
      </c>
    </row>
    <row r="122" spans="1:12" x14ac:dyDescent="0.2">
      <c r="A122" s="1" t="s">
        <v>35</v>
      </c>
      <c r="C122" s="1" t="s">
        <v>380</v>
      </c>
      <c r="D122" s="1" t="s">
        <v>359</v>
      </c>
      <c r="E122" s="1" t="s">
        <v>2406</v>
      </c>
      <c r="F122" s="1" t="s">
        <v>2407</v>
      </c>
      <c r="G122" s="1" t="s">
        <v>2408</v>
      </c>
      <c r="H122" s="1" t="s">
        <v>2409</v>
      </c>
      <c r="I122" s="1" t="s">
        <v>2410</v>
      </c>
      <c r="J122" s="1" t="s">
        <v>2411</v>
      </c>
      <c r="K122" s="1" t="s">
        <v>2412</v>
      </c>
      <c r="L122" s="1" t="s">
        <v>360</v>
      </c>
    </row>
    <row r="123" spans="1:12" x14ac:dyDescent="0.2">
      <c r="A123" s="1" t="s">
        <v>35</v>
      </c>
      <c r="C123" s="1" t="s">
        <v>383</v>
      </c>
      <c r="D123" s="1" t="s">
        <v>361</v>
      </c>
      <c r="E123" s="1" t="s">
        <v>2413</v>
      </c>
      <c r="F123" s="1" t="s">
        <v>2414</v>
      </c>
      <c r="G123" s="1" t="s">
        <v>2415</v>
      </c>
      <c r="H123" s="1" t="s">
        <v>2416</v>
      </c>
      <c r="I123" s="1" t="s">
        <v>2417</v>
      </c>
      <c r="J123" s="1" t="s">
        <v>2418</v>
      </c>
      <c r="K123" s="1" t="s">
        <v>2419</v>
      </c>
      <c r="L123" s="1" t="s">
        <v>362</v>
      </c>
    </row>
    <row r="124" spans="1:12" x14ac:dyDescent="0.2">
      <c r="A124" s="1" t="s">
        <v>35</v>
      </c>
      <c r="C124" s="1" t="s">
        <v>386</v>
      </c>
      <c r="D124" s="1" t="s">
        <v>364</v>
      </c>
      <c r="E124" s="1" t="s">
        <v>2420</v>
      </c>
      <c r="F124" s="1" t="s">
        <v>2421</v>
      </c>
      <c r="G124" s="1" t="s">
        <v>2422</v>
      </c>
      <c r="H124" s="1" t="s">
        <v>2423</v>
      </c>
      <c r="I124" s="1" t="s">
        <v>2424</v>
      </c>
      <c r="J124" s="1" t="s">
        <v>2425</v>
      </c>
      <c r="K124" s="1" t="s">
        <v>2426</v>
      </c>
      <c r="L124" s="1" t="s">
        <v>365</v>
      </c>
    </row>
    <row r="125" spans="1:12" x14ac:dyDescent="0.2">
      <c r="A125" s="1" t="s">
        <v>35</v>
      </c>
      <c r="C125" s="1" t="s">
        <v>389</v>
      </c>
      <c r="D125" s="1" t="s">
        <v>367</v>
      </c>
      <c r="E125" s="1" t="s">
        <v>2427</v>
      </c>
      <c r="F125" s="1" t="s">
        <v>2428</v>
      </c>
      <c r="G125" s="1" t="s">
        <v>2429</v>
      </c>
      <c r="H125" s="1" t="s">
        <v>2430</v>
      </c>
      <c r="I125" s="1" t="s">
        <v>2431</v>
      </c>
      <c r="J125" s="1" t="s">
        <v>2432</v>
      </c>
      <c r="K125" s="1" t="s">
        <v>2433</v>
      </c>
      <c r="L125" s="1" t="s">
        <v>368</v>
      </c>
    </row>
    <row r="126" spans="1:12" x14ac:dyDescent="0.2">
      <c r="A126" s="1" t="s">
        <v>35</v>
      </c>
      <c r="C126" s="1" t="s">
        <v>392</v>
      </c>
      <c r="D126" s="1" t="s">
        <v>370</v>
      </c>
      <c r="E126" s="1" t="s">
        <v>2434</v>
      </c>
      <c r="F126" s="1" t="s">
        <v>2435</v>
      </c>
      <c r="G126" s="1" t="s">
        <v>2436</v>
      </c>
      <c r="H126" s="1" t="s">
        <v>2437</v>
      </c>
      <c r="I126" s="1" t="s">
        <v>2438</v>
      </c>
      <c r="J126" s="1" t="s">
        <v>2439</v>
      </c>
      <c r="K126" s="1" t="s">
        <v>2440</v>
      </c>
      <c r="L126" s="1" t="s">
        <v>371</v>
      </c>
    </row>
    <row r="127" spans="1:12" x14ac:dyDescent="0.2">
      <c r="A127" s="1" t="s">
        <v>35</v>
      </c>
      <c r="C127" s="1" t="s">
        <v>395</v>
      </c>
      <c r="D127" s="1" t="s">
        <v>373</v>
      </c>
      <c r="E127" s="1" t="s">
        <v>2441</v>
      </c>
      <c r="F127" s="1" t="s">
        <v>2442</v>
      </c>
      <c r="G127" s="1" t="s">
        <v>2443</v>
      </c>
      <c r="H127" s="1" t="s">
        <v>2444</v>
      </c>
      <c r="I127" s="1" t="s">
        <v>2445</v>
      </c>
      <c r="J127" s="1" t="s">
        <v>2446</v>
      </c>
      <c r="K127" s="1" t="s">
        <v>2447</v>
      </c>
      <c r="L127" s="1" t="s">
        <v>374</v>
      </c>
    </row>
    <row r="128" spans="1:12" x14ac:dyDescent="0.2">
      <c r="A128" s="1" t="s">
        <v>35</v>
      </c>
      <c r="C128" s="1" t="s">
        <v>398</v>
      </c>
      <c r="D128" s="1" t="s">
        <v>376</v>
      </c>
      <c r="E128" s="1" t="s">
        <v>2448</v>
      </c>
      <c r="F128" s="1" t="s">
        <v>2449</v>
      </c>
      <c r="G128" s="1" t="s">
        <v>2450</v>
      </c>
      <c r="H128" s="1" t="s">
        <v>2451</v>
      </c>
      <c r="I128" s="1" t="s">
        <v>2452</v>
      </c>
      <c r="J128" s="1" t="s">
        <v>2453</v>
      </c>
      <c r="K128" s="1" t="s">
        <v>2454</v>
      </c>
      <c r="L128" s="1" t="s">
        <v>377</v>
      </c>
    </row>
    <row r="129" spans="1:12" x14ac:dyDescent="0.2">
      <c r="A129" s="1" t="s">
        <v>35</v>
      </c>
      <c r="C129" s="1" t="s">
        <v>53</v>
      </c>
      <c r="D129" s="1" t="s">
        <v>378</v>
      </c>
      <c r="E129" s="1" t="s">
        <v>2455</v>
      </c>
      <c r="F129" s="1" t="s">
        <v>2456</v>
      </c>
      <c r="G129" s="1" t="s">
        <v>2457</v>
      </c>
      <c r="H129" s="1" t="s">
        <v>2458</v>
      </c>
      <c r="I129" s="1" t="s">
        <v>2459</v>
      </c>
      <c r="J129" s="1" t="s">
        <v>2460</v>
      </c>
      <c r="K129" s="1" t="s">
        <v>2461</v>
      </c>
      <c r="L129" s="1" t="s">
        <v>379</v>
      </c>
    </row>
    <row r="130" spans="1:12" x14ac:dyDescent="0.2">
      <c r="A130" s="1" t="s">
        <v>35</v>
      </c>
      <c r="C130" s="1" t="s">
        <v>403</v>
      </c>
      <c r="D130" s="1" t="s">
        <v>381</v>
      </c>
      <c r="E130" s="1" t="s">
        <v>2462</v>
      </c>
      <c r="F130" s="1" t="s">
        <v>2463</v>
      </c>
      <c r="G130" s="1" t="s">
        <v>2464</v>
      </c>
      <c r="H130" s="1" t="s">
        <v>2465</v>
      </c>
      <c r="I130" s="1" t="s">
        <v>2466</v>
      </c>
      <c r="J130" s="1" t="s">
        <v>2467</v>
      </c>
      <c r="K130" s="1" t="s">
        <v>2468</v>
      </c>
      <c r="L130" s="1" t="s">
        <v>382</v>
      </c>
    </row>
    <row r="131" spans="1:12" x14ac:dyDescent="0.2">
      <c r="A131" s="1" t="s">
        <v>35</v>
      </c>
      <c r="C131" s="1" t="s">
        <v>406</v>
      </c>
      <c r="D131" s="1" t="s">
        <v>384</v>
      </c>
      <c r="E131" s="1" t="s">
        <v>2469</v>
      </c>
      <c r="F131" s="1" t="s">
        <v>2470</v>
      </c>
      <c r="G131" s="1" t="s">
        <v>2471</v>
      </c>
      <c r="H131" s="1" t="s">
        <v>2472</v>
      </c>
      <c r="I131" s="1" t="s">
        <v>2473</v>
      </c>
      <c r="J131" s="1" t="s">
        <v>2474</v>
      </c>
      <c r="K131" s="1" t="s">
        <v>2475</v>
      </c>
      <c r="L131" s="1" t="s">
        <v>385</v>
      </c>
    </row>
    <row r="132" spans="1:12" x14ac:dyDescent="0.2">
      <c r="A132" s="1" t="s">
        <v>35</v>
      </c>
      <c r="C132" s="1" t="s">
        <v>409</v>
      </c>
      <c r="D132" s="1" t="s">
        <v>387</v>
      </c>
      <c r="E132" s="1" t="s">
        <v>2476</v>
      </c>
      <c r="F132" s="1" t="s">
        <v>2477</v>
      </c>
      <c r="G132" s="1" t="s">
        <v>2478</v>
      </c>
      <c r="H132" s="1" t="s">
        <v>2479</v>
      </c>
      <c r="I132" s="1" t="s">
        <v>2480</v>
      </c>
      <c r="J132" s="1" t="s">
        <v>2481</v>
      </c>
      <c r="K132" s="1" t="s">
        <v>2482</v>
      </c>
      <c r="L132" s="1" t="s">
        <v>388</v>
      </c>
    </row>
    <row r="133" spans="1:12" x14ac:dyDescent="0.2">
      <c r="A133" s="1" t="s">
        <v>35</v>
      </c>
      <c r="C133" s="1" t="s">
        <v>412</v>
      </c>
      <c r="D133" s="1" t="s">
        <v>390</v>
      </c>
      <c r="E133" s="1" t="s">
        <v>2483</v>
      </c>
      <c r="F133" s="1" t="s">
        <v>2484</v>
      </c>
      <c r="G133" s="1" t="s">
        <v>2485</v>
      </c>
      <c r="H133" s="1" t="s">
        <v>2486</v>
      </c>
      <c r="I133" s="1" t="s">
        <v>2487</v>
      </c>
      <c r="J133" s="1" t="s">
        <v>2488</v>
      </c>
      <c r="K133" s="1" t="s">
        <v>2489</v>
      </c>
      <c r="L133" s="1" t="s">
        <v>391</v>
      </c>
    </row>
    <row r="134" spans="1:12" x14ac:dyDescent="0.2">
      <c r="A134" s="1" t="s">
        <v>35</v>
      </c>
      <c r="C134" s="1" t="s">
        <v>415</v>
      </c>
      <c r="D134" s="1" t="s">
        <v>393</v>
      </c>
      <c r="E134" s="1" t="s">
        <v>2490</v>
      </c>
      <c r="F134" s="1" t="s">
        <v>2491</v>
      </c>
      <c r="G134" s="1" t="s">
        <v>2492</v>
      </c>
      <c r="H134" s="1" t="s">
        <v>2493</v>
      </c>
      <c r="I134" s="1" t="s">
        <v>2494</v>
      </c>
      <c r="J134" s="1" t="s">
        <v>2495</v>
      </c>
      <c r="K134" s="1" t="s">
        <v>2496</v>
      </c>
      <c r="L134" s="1" t="s">
        <v>394</v>
      </c>
    </row>
    <row r="135" spans="1:12" x14ac:dyDescent="0.2">
      <c r="A135" s="1" t="s">
        <v>35</v>
      </c>
      <c r="C135" s="1" t="s">
        <v>418</v>
      </c>
      <c r="D135" s="1" t="s">
        <v>396</v>
      </c>
      <c r="E135" s="1" t="s">
        <v>2497</v>
      </c>
      <c r="F135" s="1" t="s">
        <v>2498</v>
      </c>
      <c r="G135" s="1" t="s">
        <v>2499</v>
      </c>
      <c r="H135" s="1" t="s">
        <v>2500</v>
      </c>
      <c r="I135" s="1" t="s">
        <v>2501</v>
      </c>
      <c r="J135" s="1" t="s">
        <v>2502</v>
      </c>
      <c r="K135" s="1" t="s">
        <v>2503</v>
      </c>
      <c r="L135" s="1" t="s">
        <v>397</v>
      </c>
    </row>
    <row r="136" spans="1:12" x14ac:dyDescent="0.2">
      <c r="A136" s="1" t="s">
        <v>35</v>
      </c>
      <c r="C136" s="1" t="s">
        <v>421</v>
      </c>
      <c r="D136" s="1" t="s">
        <v>399</v>
      </c>
      <c r="E136" s="1" t="s">
        <v>2504</v>
      </c>
      <c r="F136" s="1" t="s">
        <v>2505</v>
      </c>
      <c r="G136" s="1" t="s">
        <v>2506</v>
      </c>
      <c r="H136" s="1" t="s">
        <v>2507</v>
      </c>
      <c r="I136" s="1" t="s">
        <v>2508</v>
      </c>
      <c r="J136" s="1" t="s">
        <v>2509</v>
      </c>
      <c r="K136" s="1" t="s">
        <v>2510</v>
      </c>
      <c r="L136" s="1" t="s">
        <v>400</v>
      </c>
    </row>
    <row r="137" spans="1:12" x14ac:dyDescent="0.2">
      <c r="A137" s="1" t="s">
        <v>35</v>
      </c>
      <c r="C137" s="1" t="s">
        <v>424</v>
      </c>
      <c r="D137" s="1" t="s">
        <v>401</v>
      </c>
      <c r="E137" s="1" t="s">
        <v>2511</v>
      </c>
      <c r="F137" s="1" t="s">
        <v>2512</v>
      </c>
      <c r="G137" s="1" t="s">
        <v>2513</v>
      </c>
      <c r="H137" s="1" t="s">
        <v>2514</v>
      </c>
      <c r="I137" s="1" t="s">
        <v>2515</v>
      </c>
      <c r="J137" s="1" t="s">
        <v>2516</v>
      </c>
      <c r="K137" s="1" t="s">
        <v>2517</v>
      </c>
      <c r="L137" s="1" t="s">
        <v>402</v>
      </c>
    </row>
    <row r="138" spans="1:12" x14ac:dyDescent="0.2">
      <c r="A138" s="1" t="s">
        <v>35</v>
      </c>
      <c r="C138" s="1" t="s">
        <v>427</v>
      </c>
      <c r="D138" s="1" t="s">
        <v>404</v>
      </c>
      <c r="E138" s="1" t="s">
        <v>2518</v>
      </c>
      <c r="F138" s="1" t="s">
        <v>2519</v>
      </c>
      <c r="G138" s="1" t="s">
        <v>2520</v>
      </c>
      <c r="H138" s="1" t="s">
        <v>2521</v>
      </c>
      <c r="I138" s="1" t="s">
        <v>2522</v>
      </c>
      <c r="J138" s="1" t="s">
        <v>2523</v>
      </c>
      <c r="K138" s="1" t="s">
        <v>2524</v>
      </c>
      <c r="L138" s="1" t="s">
        <v>405</v>
      </c>
    </row>
    <row r="139" spans="1:12" x14ac:dyDescent="0.2">
      <c r="A139" s="1" t="s">
        <v>35</v>
      </c>
      <c r="C139" s="1" t="s">
        <v>430</v>
      </c>
      <c r="D139" s="1" t="s">
        <v>407</v>
      </c>
      <c r="E139" s="1" t="s">
        <v>2525</v>
      </c>
      <c r="F139" s="1" t="s">
        <v>2526</v>
      </c>
      <c r="G139" s="1" t="s">
        <v>2527</v>
      </c>
      <c r="H139" s="1" t="s">
        <v>2528</v>
      </c>
      <c r="I139" s="1" t="s">
        <v>2529</v>
      </c>
      <c r="J139" s="1" t="s">
        <v>2530</v>
      </c>
      <c r="K139" s="1" t="s">
        <v>2531</v>
      </c>
      <c r="L139" s="1" t="s">
        <v>408</v>
      </c>
    </row>
    <row r="140" spans="1:12" x14ac:dyDescent="0.2">
      <c r="A140" s="1" t="s">
        <v>35</v>
      </c>
      <c r="C140" s="1" t="s">
        <v>433</v>
      </c>
      <c r="D140" s="1" t="s">
        <v>410</v>
      </c>
      <c r="E140" s="1" t="s">
        <v>2532</v>
      </c>
      <c r="F140" s="1" t="s">
        <v>2533</v>
      </c>
      <c r="G140" s="1" t="s">
        <v>2534</v>
      </c>
      <c r="H140" s="1" t="s">
        <v>2535</v>
      </c>
      <c r="I140" s="1" t="s">
        <v>2536</v>
      </c>
      <c r="J140" s="1" t="s">
        <v>2537</v>
      </c>
      <c r="K140" s="1" t="s">
        <v>2538</v>
      </c>
      <c r="L140" s="1" t="s">
        <v>411</v>
      </c>
    </row>
    <row r="141" spans="1:12" x14ac:dyDescent="0.2">
      <c r="A141" s="1" t="s">
        <v>35</v>
      </c>
      <c r="C141" s="1" t="s">
        <v>436</v>
      </c>
      <c r="D141" s="1" t="s">
        <v>413</v>
      </c>
      <c r="E141" s="1" t="s">
        <v>2539</v>
      </c>
      <c r="F141" s="1" t="s">
        <v>2540</v>
      </c>
      <c r="G141" s="1" t="s">
        <v>2541</v>
      </c>
      <c r="H141" s="1" t="s">
        <v>2542</v>
      </c>
      <c r="I141" s="1" t="s">
        <v>2543</v>
      </c>
      <c r="J141" s="1" t="s">
        <v>2544</v>
      </c>
      <c r="K141" s="1" t="s">
        <v>2545</v>
      </c>
      <c r="L141" s="1" t="s">
        <v>414</v>
      </c>
    </row>
    <row r="142" spans="1:12" x14ac:dyDescent="0.2">
      <c r="A142" s="1" t="s">
        <v>35</v>
      </c>
      <c r="C142" s="1" t="s">
        <v>439</v>
      </c>
      <c r="D142" s="1" t="s">
        <v>416</v>
      </c>
      <c r="E142" s="1" t="s">
        <v>2546</v>
      </c>
      <c r="F142" s="1" t="s">
        <v>2547</v>
      </c>
      <c r="G142" s="1" t="s">
        <v>2548</v>
      </c>
      <c r="H142" s="1" t="s">
        <v>2549</v>
      </c>
      <c r="I142" s="1" t="s">
        <v>2550</v>
      </c>
      <c r="J142" s="1" t="s">
        <v>2551</v>
      </c>
      <c r="K142" s="1" t="s">
        <v>2552</v>
      </c>
      <c r="L142" s="1" t="s">
        <v>417</v>
      </c>
    </row>
    <row r="143" spans="1:12" x14ac:dyDescent="0.2">
      <c r="A143" s="1" t="s">
        <v>35</v>
      </c>
      <c r="C143" s="1" t="s">
        <v>442</v>
      </c>
      <c r="D143" s="1" t="s">
        <v>419</v>
      </c>
      <c r="E143" s="1" t="s">
        <v>2553</v>
      </c>
      <c r="F143" s="1" t="s">
        <v>2554</v>
      </c>
      <c r="G143" s="1" t="s">
        <v>2555</v>
      </c>
      <c r="H143" s="1" t="s">
        <v>2556</v>
      </c>
      <c r="I143" s="1" t="s">
        <v>2557</v>
      </c>
      <c r="J143" s="1" t="s">
        <v>2558</v>
      </c>
      <c r="K143" s="1" t="s">
        <v>2559</v>
      </c>
      <c r="L143" s="1" t="s">
        <v>420</v>
      </c>
    </row>
    <row r="144" spans="1:12" x14ac:dyDescent="0.2">
      <c r="A144" s="1" t="s">
        <v>35</v>
      </c>
      <c r="C144" s="1" t="s">
        <v>445</v>
      </c>
      <c r="D144" s="1" t="s">
        <v>422</v>
      </c>
      <c r="E144" s="1" t="s">
        <v>2560</v>
      </c>
      <c r="F144" s="1" t="s">
        <v>2561</v>
      </c>
      <c r="G144" s="1" t="s">
        <v>2562</v>
      </c>
      <c r="H144" s="1" t="s">
        <v>2563</v>
      </c>
      <c r="I144" s="1" t="s">
        <v>2564</v>
      </c>
      <c r="J144" s="1" t="s">
        <v>2565</v>
      </c>
      <c r="K144" s="1" t="s">
        <v>2566</v>
      </c>
      <c r="L144" s="1" t="s">
        <v>423</v>
      </c>
    </row>
    <row r="145" spans="1:12" x14ac:dyDescent="0.2">
      <c r="A145" s="1" t="s">
        <v>35</v>
      </c>
      <c r="C145" s="1" t="s">
        <v>448</v>
      </c>
      <c r="D145" s="1" t="s">
        <v>425</v>
      </c>
      <c r="E145" s="1" t="s">
        <v>2567</v>
      </c>
      <c r="F145" s="1" t="s">
        <v>2568</v>
      </c>
      <c r="G145" s="1" t="s">
        <v>2569</v>
      </c>
      <c r="H145" s="1" t="s">
        <v>2570</v>
      </c>
      <c r="I145" s="1" t="s">
        <v>2571</v>
      </c>
      <c r="J145" s="1" t="s">
        <v>2572</v>
      </c>
      <c r="K145" s="1" t="s">
        <v>2573</v>
      </c>
      <c r="L145" s="1" t="s">
        <v>426</v>
      </c>
    </row>
    <row r="146" spans="1:12" x14ac:dyDescent="0.2">
      <c r="A146" s="1" t="s">
        <v>35</v>
      </c>
      <c r="C146" s="1" t="s">
        <v>451</v>
      </c>
      <c r="D146" s="1" t="s">
        <v>428</v>
      </c>
      <c r="E146" s="1" t="s">
        <v>2574</v>
      </c>
      <c r="F146" s="1" t="s">
        <v>2575</v>
      </c>
      <c r="G146" s="1" t="s">
        <v>2576</v>
      </c>
      <c r="H146" s="1" t="s">
        <v>2577</v>
      </c>
      <c r="I146" s="1" t="s">
        <v>2578</v>
      </c>
      <c r="J146" s="1" t="s">
        <v>2579</v>
      </c>
      <c r="K146" s="1" t="s">
        <v>2580</v>
      </c>
      <c r="L146" s="1" t="s">
        <v>429</v>
      </c>
    </row>
    <row r="147" spans="1:12" x14ac:dyDescent="0.2">
      <c r="A147" s="1" t="s">
        <v>35</v>
      </c>
      <c r="C147" s="1" t="s">
        <v>454</v>
      </c>
      <c r="D147" s="1" t="s">
        <v>431</v>
      </c>
      <c r="E147" s="1" t="s">
        <v>2581</v>
      </c>
      <c r="F147" s="1" t="s">
        <v>2582</v>
      </c>
      <c r="G147" s="1" t="s">
        <v>2583</v>
      </c>
      <c r="H147" s="1" t="s">
        <v>2584</v>
      </c>
      <c r="I147" s="1" t="s">
        <v>2585</v>
      </c>
      <c r="J147" s="1" t="s">
        <v>2586</v>
      </c>
      <c r="K147" s="1" t="s">
        <v>2587</v>
      </c>
      <c r="L147" s="1" t="s">
        <v>432</v>
      </c>
    </row>
    <row r="148" spans="1:12" x14ac:dyDescent="0.2">
      <c r="A148" s="1" t="s">
        <v>35</v>
      </c>
      <c r="C148" s="1" t="s">
        <v>457</v>
      </c>
      <c r="D148" s="1" t="s">
        <v>434</v>
      </c>
      <c r="E148" s="1" t="s">
        <v>2588</v>
      </c>
      <c r="F148" s="1" t="s">
        <v>2589</v>
      </c>
      <c r="G148" s="1" t="s">
        <v>2590</v>
      </c>
      <c r="H148" s="1" t="s">
        <v>2591</v>
      </c>
      <c r="I148" s="1" t="s">
        <v>2592</v>
      </c>
      <c r="J148" s="1" t="s">
        <v>2593</v>
      </c>
      <c r="K148" s="1" t="s">
        <v>2594</v>
      </c>
      <c r="L148" s="1" t="s">
        <v>435</v>
      </c>
    </row>
    <row r="149" spans="1:12" x14ac:dyDescent="0.2">
      <c r="A149" s="1" t="s">
        <v>35</v>
      </c>
      <c r="C149" s="1" t="s">
        <v>460</v>
      </c>
      <c r="D149" s="1" t="s">
        <v>437</v>
      </c>
      <c r="E149" s="1" t="s">
        <v>2595</v>
      </c>
      <c r="F149" s="1" t="s">
        <v>2596</v>
      </c>
      <c r="G149" s="1" t="s">
        <v>2597</v>
      </c>
      <c r="H149" s="1" t="s">
        <v>2598</v>
      </c>
      <c r="I149" s="1" t="s">
        <v>2599</v>
      </c>
      <c r="J149" s="1" t="s">
        <v>2600</v>
      </c>
      <c r="K149" s="1" t="s">
        <v>2601</v>
      </c>
      <c r="L149" s="1" t="s">
        <v>438</v>
      </c>
    </row>
    <row r="150" spans="1:12" x14ac:dyDescent="0.2">
      <c r="A150" s="1" t="s">
        <v>35</v>
      </c>
      <c r="C150" s="1" t="s">
        <v>463</v>
      </c>
      <c r="D150" s="1" t="s">
        <v>440</v>
      </c>
      <c r="E150" s="1" t="s">
        <v>2602</v>
      </c>
      <c r="F150" s="1" t="s">
        <v>2603</v>
      </c>
      <c r="G150" s="1" t="s">
        <v>2604</v>
      </c>
      <c r="H150" s="1" t="s">
        <v>2605</v>
      </c>
      <c r="I150" s="1" t="s">
        <v>2606</v>
      </c>
      <c r="J150" s="1" t="s">
        <v>2607</v>
      </c>
      <c r="K150" s="1" t="s">
        <v>2608</v>
      </c>
      <c r="L150" s="1" t="s">
        <v>441</v>
      </c>
    </row>
    <row r="151" spans="1:12" x14ac:dyDescent="0.2">
      <c r="A151" s="1" t="s">
        <v>35</v>
      </c>
      <c r="C151" s="1" t="s">
        <v>466</v>
      </c>
      <c r="D151" s="1" t="s">
        <v>443</v>
      </c>
      <c r="E151" s="1" t="s">
        <v>2609</v>
      </c>
      <c r="F151" s="1" t="s">
        <v>2610</v>
      </c>
      <c r="G151" s="1" t="s">
        <v>2611</v>
      </c>
      <c r="H151" s="1" t="s">
        <v>2612</v>
      </c>
      <c r="I151" s="1" t="s">
        <v>2613</v>
      </c>
      <c r="J151" s="1" t="s">
        <v>2614</v>
      </c>
      <c r="K151" s="1" t="s">
        <v>2615</v>
      </c>
      <c r="L151" s="1" t="s">
        <v>444</v>
      </c>
    </row>
    <row r="152" spans="1:12" x14ac:dyDescent="0.2">
      <c r="A152" s="1" t="s">
        <v>35</v>
      </c>
      <c r="C152" s="1" t="s">
        <v>469</v>
      </c>
      <c r="D152" s="1" t="s">
        <v>446</v>
      </c>
      <c r="E152" s="1" t="s">
        <v>2616</v>
      </c>
      <c r="F152" s="1" t="s">
        <v>2617</v>
      </c>
      <c r="G152" s="1" t="s">
        <v>2618</v>
      </c>
      <c r="H152" s="1" t="s">
        <v>2619</v>
      </c>
      <c r="I152" s="1" t="s">
        <v>2620</v>
      </c>
      <c r="J152" s="1" t="s">
        <v>2621</v>
      </c>
      <c r="K152" s="1" t="s">
        <v>2622</v>
      </c>
      <c r="L152" s="1" t="s">
        <v>447</v>
      </c>
    </row>
    <row r="153" spans="1:12" x14ac:dyDescent="0.2">
      <c r="A153" s="1" t="s">
        <v>35</v>
      </c>
      <c r="C153" s="1" t="s">
        <v>472</v>
      </c>
      <c r="D153" s="1" t="s">
        <v>449</v>
      </c>
      <c r="E153" s="1" t="s">
        <v>2623</v>
      </c>
      <c r="F153" s="1" t="s">
        <v>2624</v>
      </c>
      <c r="G153" s="1" t="s">
        <v>2625</v>
      </c>
      <c r="H153" s="1" t="s">
        <v>2626</v>
      </c>
      <c r="I153" s="1" t="s">
        <v>2627</v>
      </c>
      <c r="J153" s="1" t="s">
        <v>2628</v>
      </c>
      <c r="K153" s="1" t="s">
        <v>2629</v>
      </c>
      <c r="L153" s="1" t="s">
        <v>450</v>
      </c>
    </row>
    <row r="154" spans="1:12" x14ac:dyDescent="0.2">
      <c r="A154" s="1" t="s">
        <v>35</v>
      </c>
      <c r="C154" s="1" t="s">
        <v>475</v>
      </c>
      <c r="D154" s="1" t="s">
        <v>452</v>
      </c>
      <c r="E154" s="1" t="s">
        <v>2630</v>
      </c>
      <c r="F154" s="1" t="s">
        <v>2631</v>
      </c>
      <c r="G154" s="1" t="s">
        <v>2632</v>
      </c>
      <c r="H154" s="1" t="s">
        <v>2633</v>
      </c>
      <c r="I154" s="1" t="s">
        <v>2634</v>
      </c>
      <c r="J154" s="1" t="s">
        <v>2635</v>
      </c>
      <c r="K154" s="1" t="s">
        <v>2636</v>
      </c>
      <c r="L154" s="1" t="s">
        <v>453</v>
      </c>
    </row>
    <row r="155" spans="1:12" x14ac:dyDescent="0.2">
      <c r="A155" s="1" t="s">
        <v>35</v>
      </c>
      <c r="C155" s="1" t="s">
        <v>478</v>
      </c>
      <c r="D155" s="1" t="s">
        <v>455</v>
      </c>
      <c r="E155" s="1" t="s">
        <v>2637</v>
      </c>
      <c r="F155" s="1" t="s">
        <v>2638</v>
      </c>
      <c r="G155" s="1" t="s">
        <v>2639</v>
      </c>
      <c r="H155" s="1" t="s">
        <v>2640</v>
      </c>
      <c r="I155" s="1" t="s">
        <v>2641</v>
      </c>
      <c r="J155" s="1" t="s">
        <v>2642</v>
      </c>
      <c r="K155" s="1" t="s">
        <v>2643</v>
      </c>
      <c r="L155" s="1" t="s">
        <v>456</v>
      </c>
    </row>
    <row r="156" spans="1:12" x14ac:dyDescent="0.2">
      <c r="A156" s="1" t="s">
        <v>35</v>
      </c>
      <c r="C156" s="1" t="s">
        <v>481</v>
      </c>
      <c r="D156" s="1" t="s">
        <v>458</v>
      </c>
      <c r="E156" s="1" t="s">
        <v>2644</v>
      </c>
      <c r="F156" s="1" t="s">
        <v>2645</v>
      </c>
      <c r="G156" s="1" t="s">
        <v>2646</v>
      </c>
      <c r="H156" s="1" t="s">
        <v>2647</v>
      </c>
      <c r="I156" s="1" t="s">
        <v>2648</v>
      </c>
      <c r="J156" s="1" t="s">
        <v>2649</v>
      </c>
      <c r="K156" s="1" t="s">
        <v>2650</v>
      </c>
      <c r="L156" s="1" t="s">
        <v>459</v>
      </c>
    </row>
    <row r="157" spans="1:12" x14ac:dyDescent="0.2">
      <c r="A157" s="1" t="s">
        <v>35</v>
      </c>
      <c r="C157" s="1" t="s">
        <v>484</v>
      </c>
      <c r="D157" s="1" t="s">
        <v>461</v>
      </c>
      <c r="E157" s="1" t="s">
        <v>2651</v>
      </c>
      <c r="F157" s="1" t="s">
        <v>2652</v>
      </c>
      <c r="G157" s="1" t="s">
        <v>2653</v>
      </c>
      <c r="H157" s="1" t="s">
        <v>2654</v>
      </c>
      <c r="I157" s="1" t="s">
        <v>2655</v>
      </c>
      <c r="J157" s="1" t="s">
        <v>2656</v>
      </c>
      <c r="K157" s="1" t="s">
        <v>2657</v>
      </c>
      <c r="L157" s="1" t="s">
        <v>462</v>
      </c>
    </row>
    <row r="158" spans="1:12" x14ac:dyDescent="0.2">
      <c r="A158" s="1" t="s">
        <v>35</v>
      </c>
      <c r="C158" s="1" t="s">
        <v>487</v>
      </c>
      <c r="D158" s="1" t="s">
        <v>464</v>
      </c>
      <c r="E158" s="1" t="s">
        <v>2658</v>
      </c>
      <c r="F158" s="1" t="s">
        <v>2659</v>
      </c>
      <c r="G158" s="1" t="s">
        <v>2660</v>
      </c>
      <c r="H158" s="1" t="s">
        <v>2661</v>
      </c>
      <c r="I158" s="1" t="s">
        <v>2662</v>
      </c>
      <c r="J158" s="1" t="s">
        <v>2663</v>
      </c>
      <c r="K158" s="1" t="s">
        <v>2664</v>
      </c>
      <c r="L158" s="1" t="s">
        <v>465</v>
      </c>
    </row>
    <row r="159" spans="1:12" x14ac:dyDescent="0.2">
      <c r="A159" s="1" t="s">
        <v>35</v>
      </c>
      <c r="C159" s="1" t="s">
        <v>490</v>
      </c>
      <c r="D159" s="1" t="s">
        <v>467</v>
      </c>
      <c r="E159" s="1" t="s">
        <v>2665</v>
      </c>
      <c r="F159" s="1" t="s">
        <v>2666</v>
      </c>
      <c r="G159" s="1" t="s">
        <v>2667</v>
      </c>
      <c r="H159" s="1" t="s">
        <v>2668</v>
      </c>
      <c r="I159" s="1" t="s">
        <v>2669</v>
      </c>
      <c r="J159" s="1" t="s">
        <v>2670</v>
      </c>
      <c r="K159" s="1" t="s">
        <v>2671</v>
      </c>
      <c r="L159" s="1" t="s">
        <v>468</v>
      </c>
    </row>
    <row r="160" spans="1:12" x14ac:dyDescent="0.2">
      <c r="A160" s="1" t="s">
        <v>35</v>
      </c>
      <c r="C160" s="1" t="s">
        <v>493</v>
      </c>
      <c r="D160" s="1" t="s">
        <v>470</v>
      </c>
      <c r="E160" s="1" t="s">
        <v>2672</v>
      </c>
      <c r="F160" s="1" t="s">
        <v>2673</v>
      </c>
      <c r="G160" s="1" t="s">
        <v>2674</v>
      </c>
      <c r="H160" s="1" t="s">
        <v>2675</v>
      </c>
      <c r="I160" s="1" t="s">
        <v>2676</v>
      </c>
      <c r="J160" s="1" t="s">
        <v>2677</v>
      </c>
      <c r="K160" s="1" t="s">
        <v>2678</v>
      </c>
      <c r="L160" s="1" t="s">
        <v>471</v>
      </c>
    </row>
    <row r="161" spans="1:12" x14ac:dyDescent="0.2">
      <c r="A161" s="1" t="s">
        <v>35</v>
      </c>
      <c r="C161" s="1" t="s">
        <v>496</v>
      </c>
      <c r="D161" s="1" t="s">
        <v>473</v>
      </c>
      <c r="E161" s="1" t="s">
        <v>2679</v>
      </c>
      <c r="F161" s="1" t="s">
        <v>2680</v>
      </c>
      <c r="G161" s="1" t="s">
        <v>2681</v>
      </c>
      <c r="H161" s="1" t="s">
        <v>2682</v>
      </c>
      <c r="I161" s="1" t="s">
        <v>2683</v>
      </c>
      <c r="J161" s="1" t="s">
        <v>2684</v>
      </c>
      <c r="K161" s="1" t="s">
        <v>2685</v>
      </c>
      <c r="L161" s="1" t="s">
        <v>474</v>
      </c>
    </row>
    <row r="162" spans="1:12" x14ac:dyDescent="0.2">
      <c r="A162" s="1" t="s">
        <v>35</v>
      </c>
      <c r="C162" s="1" t="s">
        <v>499</v>
      </c>
      <c r="D162" s="1" t="s">
        <v>476</v>
      </c>
      <c r="E162" s="1" t="s">
        <v>2686</v>
      </c>
      <c r="F162" s="1" t="s">
        <v>2687</v>
      </c>
      <c r="G162" s="1" t="s">
        <v>2688</v>
      </c>
      <c r="H162" s="1" t="s">
        <v>2689</v>
      </c>
      <c r="I162" s="1" t="s">
        <v>2690</v>
      </c>
      <c r="J162" s="1" t="s">
        <v>2691</v>
      </c>
      <c r="K162" s="1" t="s">
        <v>2692</v>
      </c>
      <c r="L162" s="1" t="s">
        <v>477</v>
      </c>
    </row>
    <row r="163" spans="1:12" x14ac:dyDescent="0.2">
      <c r="A163" s="1" t="s">
        <v>35</v>
      </c>
      <c r="C163" s="1" t="s">
        <v>502</v>
      </c>
      <c r="D163" s="1" t="s">
        <v>479</v>
      </c>
      <c r="E163" s="1" t="s">
        <v>2693</v>
      </c>
      <c r="F163" s="1" t="s">
        <v>2694</v>
      </c>
      <c r="G163" s="1" t="s">
        <v>2695</v>
      </c>
      <c r="H163" s="1" t="s">
        <v>2696</v>
      </c>
      <c r="I163" s="1" t="s">
        <v>2697</v>
      </c>
      <c r="J163" s="1" t="s">
        <v>2698</v>
      </c>
      <c r="K163" s="1" t="s">
        <v>2699</v>
      </c>
      <c r="L163" s="1" t="s">
        <v>480</v>
      </c>
    </row>
    <row r="164" spans="1:12" x14ac:dyDescent="0.2">
      <c r="A164" s="1" t="s">
        <v>35</v>
      </c>
      <c r="C164" s="1" t="s">
        <v>505</v>
      </c>
      <c r="D164" s="1" t="s">
        <v>482</v>
      </c>
      <c r="E164" s="1" t="s">
        <v>2700</v>
      </c>
      <c r="F164" s="1" t="s">
        <v>2701</v>
      </c>
      <c r="G164" s="1" t="s">
        <v>2702</v>
      </c>
      <c r="H164" s="1" t="s">
        <v>2703</v>
      </c>
      <c r="I164" s="1" t="s">
        <v>2704</v>
      </c>
      <c r="J164" s="1" t="s">
        <v>2705</v>
      </c>
      <c r="K164" s="1" t="s">
        <v>2706</v>
      </c>
      <c r="L164" s="1" t="s">
        <v>483</v>
      </c>
    </row>
    <row r="165" spans="1:12" x14ac:dyDescent="0.2">
      <c r="A165" s="1" t="s">
        <v>35</v>
      </c>
      <c r="C165" s="1" t="s">
        <v>508</v>
      </c>
      <c r="D165" s="1" t="s">
        <v>485</v>
      </c>
      <c r="E165" s="1" t="s">
        <v>2707</v>
      </c>
      <c r="F165" s="1" t="s">
        <v>2708</v>
      </c>
      <c r="G165" s="1" t="s">
        <v>2709</v>
      </c>
      <c r="H165" s="1" t="s">
        <v>2710</v>
      </c>
      <c r="I165" s="1" t="s">
        <v>2711</v>
      </c>
      <c r="J165" s="1" t="s">
        <v>2712</v>
      </c>
      <c r="K165" s="1" t="s">
        <v>2713</v>
      </c>
      <c r="L165" s="1" t="s">
        <v>486</v>
      </c>
    </row>
    <row r="166" spans="1:12" x14ac:dyDescent="0.2">
      <c r="A166" s="1" t="s">
        <v>35</v>
      </c>
      <c r="C166" s="1" t="s">
        <v>511</v>
      </c>
      <c r="D166" s="1" t="s">
        <v>488</v>
      </c>
      <c r="E166" s="1" t="s">
        <v>2714</v>
      </c>
      <c r="F166" s="1" t="s">
        <v>2715</v>
      </c>
      <c r="G166" s="1" t="s">
        <v>2716</v>
      </c>
      <c r="H166" s="1" t="s">
        <v>2717</v>
      </c>
      <c r="I166" s="1" t="s">
        <v>2718</v>
      </c>
      <c r="J166" s="1" t="s">
        <v>2719</v>
      </c>
      <c r="K166" s="1" t="s">
        <v>2720</v>
      </c>
      <c r="L166" s="1" t="s">
        <v>489</v>
      </c>
    </row>
    <row r="167" spans="1:12" x14ac:dyDescent="0.2">
      <c r="A167" s="1" t="s">
        <v>35</v>
      </c>
      <c r="C167" s="1" t="s">
        <v>514</v>
      </c>
      <c r="D167" s="1" t="s">
        <v>491</v>
      </c>
      <c r="E167" s="1" t="s">
        <v>2721</v>
      </c>
      <c r="F167" s="1" t="s">
        <v>2722</v>
      </c>
      <c r="G167" s="1" t="s">
        <v>2723</v>
      </c>
      <c r="H167" s="1" t="s">
        <v>2724</v>
      </c>
      <c r="I167" s="1" t="s">
        <v>2725</v>
      </c>
      <c r="J167" s="1" t="s">
        <v>2726</v>
      </c>
      <c r="K167" s="1" t="s">
        <v>2727</v>
      </c>
      <c r="L167" s="1" t="s">
        <v>492</v>
      </c>
    </row>
    <row r="168" spans="1:12" x14ac:dyDescent="0.2">
      <c r="A168" s="1" t="s">
        <v>35</v>
      </c>
      <c r="C168" s="1" t="s">
        <v>517</v>
      </c>
      <c r="D168" s="1" t="s">
        <v>494</v>
      </c>
      <c r="E168" s="1" t="s">
        <v>2728</v>
      </c>
      <c r="F168" s="1" t="s">
        <v>2729</v>
      </c>
      <c r="G168" s="1" t="s">
        <v>2730</v>
      </c>
      <c r="H168" s="1" t="s">
        <v>2731</v>
      </c>
      <c r="I168" s="1" t="s">
        <v>2732</v>
      </c>
      <c r="J168" s="1" t="s">
        <v>2733</v>
      </c>
      <c r="K168" s="1" t="s">
        <v>2734</v>
      </c>
      <c r="L168" s="1" t="s">
        <v>495</v>
      </c>
    </row>
    <row r="169" spans="1:12" x14ac:dyDescent="0.2">
      <c r="A169" s="1" t="s">
        <v>35</v>
      </c>
      <c r="C169" s="1" t="s">
        <v>520</v>
      </c>
      <c r="D169" s="1" t="s">
        <v>497</v>
      </c>
      <c r="E169" s="1" t="s">
        <v>2735</v>
      </c>
      <c r="F169" s="1" t="s">
        <v>2736</v>
      </c>
      <c r="G169" s="1" t="s">
        <v>2737</v>
      </c>
      <c r="H169" s="1" t="s">
        <v>2738</v>
      </c>
      <c r="I169" s="1" t="s">
        <v>2739</v>
      </c>
      <c r="J169" s="1" t="s">
        <v>2740</v>
      </c>
      <c r="K169" s="1" t="s">
        <v>2741</v>
      </c>
      <c r="L169" s="1" t="s">
        <v>498</v>
      </c>
    </row>
    <row r="170" spans="1:12" x14ac:dyDescent="0.2">
      <c r="A170" s="1" t="s">
        <v>35</v>
      </c>
      <c r="C170" s="1" t="s">
        <v>523</v>
      </c>
      <c r="D170" s="1" t="s">
        <v>500</v>
      </c>
      <c r="E170" s="1" t="s">
        <v>2742</v>
      </c>
      <c r="F170" s="1" t="s">
        <v>2743</v>
      </c>
      <c r="G170" s="1" t="s">
        <v>2744</v>
      </c>
      <c r="H170" s="1" t="s">
        <v>2745</v>
      </c>
      <c r="I170" s="1" t="s">
        <v>2746</v>
      </c>
      <c r="J170" s="1" t="s">
        <v>2747</v>
      </c>
      <c r="K170" s="1" t="s">
        <v>2748</v>
      </c>
      <c r="L170" s="1" t="s">
        <v>501</v>
      </c>
    </row>
    <row r="171" spans="1:12" x14ac:dyDescent="0.2">
      <c r="A171" s="1" t="s">
        <v>35</v>
      </c>
      <c r="C171" s="1" t="s">
        <v>526</v>
      </c>
      <c r="D171" s="1" t="s">
        <v>503</v>
      </c>
      <c r="E171" s="1" t="s">
        <v>2749</v>
      </c>
      <c r="F171" s="1" t="s">
        <v>2750</v>
      </c>
      <c r="G171" s="1" t="s">
        <v>2751</v>
      </c>
      <c r="H171" s="1" t="s">
        <v>2752</v>
      </c>
      <c r="I171" s="1" t="s">
        <v>2753</v>
      </c>
      <c r="J171" s="1" t="s">
        <v>2754</v>
      </c>
      <c r="K171" s="1" t="s">
        <v>2755</v>
      </c>
      <c r="L171" s="1" t="s">
        <v>504</v>
      </c>
    </row>
    <row r="172" spans="1:12" x14ac:dyDescent="0.2">
      <c r="A172" s="1" t="s">
        <v>35</v>
      </c>
      <c r="C172" s="1" t="s">
        <v>529</v>
      </c>
      <c r="D172" s="1" t="s">
        <v>506</v>
      </c>
      <c r="E172" s="1" t="s">
        <v>2756</v>
      </c>
      <c r="F172" s="1" t="s">
        <v>2757</v>
      </c>
      <c r="G172" s="1" t="s">
        <v>2758</v>
      </c>
      <c r="H172" s="1" t="s">
        <v>2759</v>
      </c>
      <c r="I172" s="1" t="s">
        <v>2760</v>
      </c>
      <c r="J172" s="1" t="s">
        <v>2761</v>
      </c>
      <c r="K172" s="1" t="s">
        <v>2762</v>
      </c>
      <c r="L172" s="1" t="s">
        <v>507</v>
      </c>
    </row>
    <row r="173" spans="1:12" x14ac:dyDescent="0.2">
      <c r="A173" s="1" t="s">
        <v>35</v>
      </c>
      <c r="C173" s="1" t="s">
        <v>532</v>
      </c>
      <c r="D173" s="1" t="s">
        <v>509</v>
      </c>
      <c r="E173" s="1" t="s">
        <v>2763</v>
      </c>
      <c r="F173" s="1" t="s">
        <v>2764</v>
      </c>
      <c r="G173" s="1" t="s">
        <v>2765</v>
      </c>
      <c r="H173" s="1" t="s">
        <v>2766</v>
      </c>
      <c r="I173" s="1" t="s">
        <v>2767</v>
      </c>
      <c r="J173" s="1" t="s">
        <v>2768</v>
      </c>
      <c r="K173" s="1" t="s">
        <v>2769</v>
      </c>
      <c r="L173" s="1" t="s">
        <v>510</v>
      </c>
    </row>
    <row r="174" spans="1:12" x14ac:dyDescent="0.2">
      <c r="A174" s="1" t="s">
        <v>35</v>
      </c>
      <c r="C174" s="1" t="s">
        <v>535</v>
      </c>
      <c r="D174" s="1" t="s">
        <v>512</v>
      </c>
      <c r="E174" s="1" t="s">
        <v>2770</v>
      </c>
      <c r="F174" s="1" t="s">
        <v>2771</v>
      </c>
      <c r="G174" s="1" t="s">
        <v>2772</v>
      </c>
      <c r="H174" s="1" t="s">
        <v>2773</v>
      </c>
      <c r="I174" s="1" t="s">
        <v>2774</v>
      </c>
      <c r="J174" s="1" t="s">
        <v>2775</v>
      </c>
      <c r="K174" s="1" t="s">
        <v>2776</v>
      </c>
      <c r="L174" s="1" t="s">
        <v>513</v>
      </c>
    </row>
    <row r="175" spans="1:12" x14ac:dyDescent="0.2">
      <c r="A175" s="1" t="s">
        <v>35</v>
      </c>
      <c r="C175" s="1" t="s">
        <v>538</v>
      </c>
      <c r="D175" s="1" t="s">
        <v>515</v>
      </c>
      <c r="E175" s="1" t="s">
        <v>2777</v>
      </c>
      <c r="F175" s="1" t="s">
        <v>2778</v>
      </c>
      <c r="G175" s="1" t="s">
        <v>2779</v>
      </c>
      <c r="H175" s="1" t="s">
        <v>2780</v>
      </c>
      <c r="I175" s="1" t="s">
        <v>2781</v>
      </c>
      <c r="J175" s="1" t="s">
        <v>2782</v>
      </c>
      <c r="K175" s="1" t="s">
        <v>2783</v>
      </c>
      <c r="L175" s="1" t="s">
        <v>516</v>
      </c>
    </row>
    <row r="176" spans="1:12" x14ac:dyDescent="0.2">
      <c r="A176" s="1" t="s">
        <v>35</v>
      </c>
      <c r="C176" s="1" t="s">
        <v>541</v>
      </c>
      <c r="D176" s="1" t="s">
        <v>518</v>
      </c>
      <c r="E176" s="1" t="s">
        <v>2784</v>
      </c>
      <c r="F176" s="1" t="s">
        <v>2785</v>
      </c>
      <c r="G176" s="1" t="s">
        <v>2786</v>
      </c>
      <c r="H176" s="1" t="s">
        <v>2787</v>
      </c>
      <c r="I176" s="1" t="s">
        <v>2788</v>
      </c>
      <c r="J176" s="1" t="s">
        <v>2789</v>
      </c>
      <c r="K176" s="1" t="s">
        <v>2790</v>
      </c>
      <c r="L176" s="1" t="s">
        <v>519</v>
      </c>
    </row>
    <row r="177" spans="1:12" x14ac:dyDescent="0.2">
      <c r="A177" s="1" t="s">
        <v>35</v>
      </c>
      <c r="C177" s="1" t="s">
        <v>544</v>
      </c>
      <c r="D177" s="1" t="s">
        <v>521</v>
      </c>
      <c r="E177" s="1" t="s">
        <v>2791</v>
      </c>
      <c r="F177" s="1" t="s">
        <v>2792</v>
      </c>
      <c r="G177" s="1" t="s">
        <v>2793</v>
      </c>
      <c r="H177" s="1" t="s">
        <v>2794</v>
      </c>
      <c r="I177" s="1" t="s">
        <v>2795</v>
      </c>
      <c r="J177" s="1" t="s">
        <v>2796</v>
      </c>
      <c r="K177" s="1" t="s">
        <v>2797</v>
      </c>
      <c r="L177" s="1" t="s">
        <v>522</v>
      </c>
    </row>
    <row r="178" spans="1:12" x14ac:dyDescent="0.2">
      <c r="A178" s="1" t="s">
        <v>35</v>
      </c>
      <c r="C178" s="1" t="s">
        <v>547</v>
      </c>
      <c r="D178" s="1" t="s">
        <v>524</v>
      </c>
      <c r="E178" s="1" t="s">
        <v>2798</v>
      </c>
      <c r="F178" s="1" t="s">
        <v>2799</v>
      </c>
      <c r="G178" s="1" t="s">
        <v>2800</v>
      </c>
      <c r="H178" s="1" t="s">
        <v>2801</v>
      </c>
      <c r="I178" s="1" t="s">
        <v>2802</v>
      </c>
      <c r="J178" s="1" t="s">
        <v>2803</v>
      </c>
      <c r="K178" s="1" t="s">
        <v>2804</v>
      </c>
      <c r="L178" s="1" t="s">
        <v>525</v>
      </c>
    </row>
    <row r="179" spans="1:12" x14ac:dyDescent="0.2">
      <c r="A179" s="1" t="s">
        <v>35</v>
      </c>
      <c r="C179" s="1" t="s">
        <v>550</v>
      </c>
      <c r="D179" s="1" t="s">
        <v>527</v>
      </c>
      <c r="E179" s="1" t="s">
        <v>2805</v>
      </c>
      <c r="F179" s="1" t="s">
        <v>2806</v>
      </c>
      <c r="G179" s="1" t="s">
        <v>2807</v>
      </c>
      <c r="H179" s="1" t="s">
        <v>2808</v>
      </c>
      <c r="I179" s="1" t="s">
        <v>2809</v>
      </c>
      <c r="J179" s="1" t="s">
        <v>2810</v>
      </c>
      <c r="K179" s="1" t="s">
        <v>2811</v>
      </c>
      <c r="L179" s="1" t="s">
        <v>528</v>
      </c>
    </row>
    <row r="180" spans="1:12" x14ac:dyDescent="0.2">
      <c r="A180" s="1" t="s">
        <v>35</v>
      </c>
      <c r="C180" s="1" t="s">
        <v>553</v>
      </c>
      <c r="D180" s="1" t="s">
        <v>530</v>
      </c>
      <c r="E180" s="1" t="s">
        <v>2812</v>
      </c>
      <c r="F180" s="1" t="s">
        <v>2813</v>
      </c>
      <c r="G180" s="1" t="s">
        <v>2814</v>
      </c>
      <c r="H180" s="1" t="s">
        <v>2815</v>
      </c>
      <c r="I180" s="1" t="s">
        <v>2816</v>
      </c>
      <c r="J180" s="1" t="s">
        <v>2817</v>
      </c>
      <c r="K180" s="1" t="s">
        <v>2818</v>
      </c>
      <c r="L180" s="1" t="s">
        <v>531</v>
      </c>
    </row>
    <row r="181" spans="1:12" x14ac:dyDescent="0.2">
      <c r="A181" s="1" t="s">
        <v>35</v>
      </c>
      <c r="C181" s="1" t="s">
        <v>556</v>
      </c>
      <c r="D181" s="1" t="s">
        <v>533</v>
      </c>
      <c r="E181" s="1" t="s">
        <v>2819</v>
      </c>
      <c r="F181" s="1" t="s">
        <v>2820</v>
      </c>
      <c r="G181" s="1" t="s">
        <v>2821</v>
      </c>
      <c r="H181" s="1" t="s">
        <v>2822</v>
      </c>
      <c r="I181" s="1" t="s">
        <v>2823</v>
      </c>
      <c r="J181" s="1" t="s">
        <v>2824</v>
      </c>
      <c r="K181" s="1" t="s">
        <v>2825</v>
      </c>
      <c r="L181" s="1" t="s">
        <v>534</v>
      </c>
    </row>
    <row r="182" spans="1:12" x14ac:dyDescent="0.2">
      <c r="A182" s="1" t="s">
        <v>35</v>
      </c>
      <c r="C182" s="1" t="s">
        <v>559</v>
      </c>
      <c r="D182" s="1" t="s">
        <v>536</v>
      </c>
      <c r="E182" s="1" t="s">
        <v>2826</v>
      </c>
      <c r="F182" s="1" t="s">
        <v>2827</v>
      </c>
      <c r="G182" s="1" t="s">
        <v>2828</v>
      </c>
      <c r="H182" s="1" t="s">
        <v>2829</v>
      </c>
      <c r="I182" s="1" t="s">
        <v>2830</v>
      </c>
      <c r="J182" s="1" t="s">
        <v>2831</v>
      </c>
      <c r="K182" s="1" t="s">
        <v>2832</v>
      </c>
      <c r="L182" s="1" t="s">
        <v>537</v>
      </c>
    </row>
    <row r="183" spans="1:12" x14ac:dyDescent="0.2">
      <c r="A183" s="1" t="s">
        <v>35</v>
      </c>
      <c r="C183" s="1" t="s">
        <v>562</v>
      </c>
      <c r="D183" s="1" t="s">
        <v>539</v>
      </c>
      <c r="E183" s="1" t="s">
        <v>2833</v>
      </c>
      <c r="F183" s="1" t="s">
        <v>2834</v>
      </c>
      <c r="G183" s="1" t="s">
        <v>2835</v>
      </c>
      <c r="H183" s="1" t="s">
        <v>2836</v>
      </c>
      <c r="I183" s="1" t="s">
        <v>2837</v>
      </c>
      <c r="J183" s="1" t="s">
        <v>2838</v>
      </c>
      <c r="K183" s="1" t="s">
        <v>2839</v>
      </c>
      <c r="L183" s="1" t="s">
        <v>540</v>
      </c>
    </row>
    <row r="184" spans="1:12" x14ac:dyDescent="0.2">
      <c r="A184" s="1" t="s">
        <v>35</v>
      </c>
      <c r="C184" s="1" t="s">
        <v>565</v>
      </c>
      <c r="D184" s="1" t="s">
        <v>542</v>
      </c>
      <c r="E184" s="1" t="s">
        <v>2840</v>
      </c>
      <c r="F184" s="1" t="s">
        <v>2841</v>
      </c>
      <c r="G184" s="1" t="s">
        <v>2842</v>
      </c>
      <c r="H184" s="1" t="s">
        <v>2843</v>
      </c>
      <c r="I184" s="1" t="s">
        <v>2844</v>
      </c>
      <c r="J184" s="1" t="s">
        <v>2845</v>
      </c>
      <c r="K184" s="1" t="s">
        <v>2846</v>
      </c>
      <c r="L184" s="1" t="s">
        <v>543</v>
      </c>
    </row>
    <row r="185" spans="1:12" x14ac:dyDescent="0.2">
      <c r="A185" s="1" t="s">
        <v>35</v>
      </c>
      <c r="C185" s="1" t="s">
        <v>568</v>
      </c>
      <c r="D185" s="1" t="s">
        <v>545</v>
      </c>
      <c r="E185" s="1" t="s">
        <v>2847</v>
      </c>
      <c r="F185" s="1" t="s">
        <v>2848</v>
      </c>
      <c r="G185" s="1" t="s">
        <v>2849</v>
      </c>
      <c r="H185" s="1" t="s">
        <v>2850</v>
      </c>
      <c r="I185" s="1" t="s">
        <v>2851</v>
      </c>
      <c r="J185" s="1" t="s">
        <v>2852</v>
      </c>
      <c r="K185" s="1" t="s">
        <v>2853</v>
      </c>
      <c r="L185" s="1" t="s">
        <v>546</v>
      </c>
    </row>
    <row r="186" spans="1:12" x14ac:dyDescent="0.2">
      <c r="A186" s="1" t="s">
        <v>35</v>
      </c>
      <c r="C186" s="1" t="s">
        <v>571</v>
      </c>
      <c r="D186" s="1" t="s">
        <v>548</v>
      </c>
      <c r="E186" s="1" t="s">
        <v>2854</v>
      </c>
      <c r="F186" s="1" t="s">
        <v>2855</v>
      </c>
      <c r="G186" s="1" t="s">
        <v>2856</v>
      </c>
      <c r="H186" s="1" t="s">
        <v>2857</v>
      </c>
      <c r="I186" s="1" t="s">
        <v>2858</v>
      </c>
      <c r="J186" s="1" t="s">
        <v>2859</v>
      </c>
      <c r="K186" s="1" t="s">
        <v>2860</v>
      </c>
      <c r="L186" s="1" t="s">
        <v>549</v>
      </c>
    </row>
    <row r="187" spans="1:12" x14ac:dyDescent="0.2">
      <c r="A187" s="1" t="s">
        <v>35</v>
      </c>
      <c r="C187" s="1" t="s">
        <v>574</v>
      </c>
      <c r="D187" s="1" t="s">
        <v>551</v>
      </c>
      <c r="E187" s="1" t="s">
        <v>2861</v>
      </c>
      <c r="F187" s="1" t="s">
        <v>2862</v>
      </c>
      <c r="G187" s="1" t="s">
        <v>2863</v>
      </c>
      <c r="H187" s="1" t="s">
        <v>2864</v>
      </c>
      <c r="I187" s="1" t="s">
        <v>2865</v>
      </c>
      <c r="J187" s="1" t="s">
        <v>2866</v>
      </c>
      <c r="K187" s="1" t="s">
        <v>2867</v>
      </c>
      <c r="L187" s="1" t="s">
        <v>552</v>
      </c>
    </row>
    <row r="188" spans="1:12" x14ac:dyDescent="0.2">
      <c r="A188" s="1" t="s">
        <v>35</v>
      </c>
      <c r="C188" s="1" t="s">
        <v>577</v>
      </c>
      <c r="D188" s="1" t="s">
        <v>554</v>
      </c>
      <c r="E188" s="1" t="s">
        <v>2868</v>
      </c>
      <c r="F188" s="1" t="s">
        <v>2869</v>
      </c>
      <c r="G188" s="1" t="s">
        <v>2870</v>
      </c>
      <c r="H188" s="1" t="s">
        <v>2871</v>
      </c>
      <c r="I188" s="1" t="s">
        <v>2872</v>
      </c>
      <c r="J188" s="1" t="s">
        <v>2873</v>
      </c>
      <c r="K188" s="1" t="s">
        <v>2874</v>
      </c>
      <c r="L188" s="1" t="s">
        <v>555</v>
      </c>
    </row>
    <row r="189" spans="1:12" x14ac:dyDescent="0.2">
      <c r="A189" s="1" t="s">
        <v>35</v>
      </c>
      <c r="C189" s="1" t="s">
        <v>580</v>
      </c>
      <c r="D189" s="1" t="s">
        <v>557</v>
      </c>
      <c r="E189" s="1" t="s">
        <v>2875</v>
      </c>
      <c r="F189" s="1" t="s">
        <v>2876</v>
      </c>
      <c r="G189" s="1" t="s">
        <v>2877</v>
      </c>
      <c r="H189" s="1" t="s">
        <v>2878</v>
      </c>
      <c r="I189" s="1" t="s">
        <v>2879</v>
      </c>
      <c r="J189" s="1" t="s">
        <v>2880</v>
      </c>
      <c r="K189" s="1" t="s">
        <v>2881</v>
      </c>
      <c r="L189" s="1" t="s">
        <v>558</v>
      </c>
    </row>
    <row r="190" spans="1:12" x14ac:dyDescent="0.2">
      <c r="A190" s="1" t="s">
        <v>35</v>
      </c>
      <c r="C190" s="1" t="s">
        <v>583</v>
      </c>
      <c r="D190" s="1" t="s">
        <v>560</v>
      </c>
      <c r="E190" s="1" t="s">
        <v>2882</v>
      </c>
      <c r="F190" s="1" t="s">
        <v>2883</v>
      </c>
      <c r="G190" s="1" t="s">
        <v>2884</v>
      </c>
      <c r="H190" s="1" t="s">
        <v>2885</v>
      </c>
      <c r="I190" s="1" t="s">
        <v>2886</v>
      </c>
      <c r="J190" s="1" t="s">
        <v>2887</v>
      </c>
      <c r="K190" s="1" t="s">
        <v>2888</v>
      </c>
      <c r="L190" s="1" t="s">
        <v>561</v>
      </c>
    </row>
    <row r="191" spans="1:12" x14ac:dyDescent="0.2">
      <c r="A191" s="1" t="s">
        <v>35</v>
      </c>
      <c r="C191" s="1" t="s">
        <v>586</v>
      </c>
      <c r="D191" s="1" t="s">
        <v>563</v>
      </c>
      <c r="E191" s="1" t="s">
        <v>2889</v>
      </c>
      <c r="F191" s="1" t="s">
        <v>2890</v>
      </c>
      <c r="G191" s="1" t="s">
        <v>2891</v>
      </c>
      <c r="H191" s="1" t="s">
        <v>2892</v>
      </c>
      <c r="I191" s="1" t="s">
        <v>2893</v>
      </c>
      <c r="J191" s="1" t="s">
        <v>2894</v>
      </c>
      <c r="K191" s="1" t="s">
        <v>2895</v>
      </c>
      <c r="L191" s="1" t="s">
        <v>564</v>
      </c>
    </row>
    <row r="192" spans="1:12" x14ac:dyDescent="0.2">
      <c r="A192" s="1" t="s">
        <v>35</v>
      </c>
      <c r="C192" s="1" t="s">
        <v>589</v>
      </c>
      <c r="D192" s="1" t="s">
        <v>566</v>
      </c>
      <c r="E192" s="1" t="s">
        <v>2896</v>
      </c>
      <c r="F192" s="1" t="s">
        <v>2897</v>
      </c>
      <c r="G192" s="1" t="s">
        <v>2898</v>
      </c>
      <c r="H192" s="1" t="s">
        <v>2899</v>
      </c>
      <c r="I192" s="1" t="s">
        <v>2900</v>
      </c>
      <c r="J192" s="1" t="s">
        <v>2901</v>
      </c>
      <c r="K192" s="1" t="s">
        <v>2902</v>
      </c>
      <c r="L192" s="1" t="s">
        <v>567</v>
      </c>
    </row>
    <row r="193" spans="1:12" x14ac:dyDescent="0.2">
      <c r="A193" s="1" t="s">
        <v>35</v>
      </c>
      <c r="C193" s="1" t="s">
        <v>592</v>
      </c>
      <c r="D193" s="1" t="s">
        <v>569</v>
      </c>
      <c r="E193" s="1" t="s">
        <v>2903</v>
      </c>
      <c r="F193" s="1" t="s">
        <v>2904</v>
      </c>
      <c r="G193" s="1" t="s">
        <v>2905</v>
      </c>
      <c r="H193" s="1" t="s">
        <v>2906</v>
      </c>
      <c r="I193" s="1" t="s">
        <v>2907</v>
      </c>
      <c r="J193" s="1" t="s">
        <v>2908</v>
      </c>
      <c r="K193" s="1" t="s">
        <v>2909</v>
      </c>
      <c r="L193" s="1" t="s">
        <v>570</v>
      </c>
    </row>
    <row r="194" spans="1:12" x14ac:dyDescent="0.2">
      <c r="A194" s="1" t="s">
        <v>35</v>
      </c>
      <c r="C194" s="1" t="s">
        <v>595</v>
      </c>
      <c r="D194" s="1" t="s">
        <v>572</v>
      </c>
      <c r="E194" s="1" t="s">
        <v>2910</v>
      </c>
      <c r="F194" s="1" t="s">
        <v>2911</v>
      </c>
      <c r="G194" s="1" t="s">
        <v>2912</v>
      </c>
      <c r="H194" s="1" t="s">
        <v>2913</v>
      </c>
      <c r="I194" s="1" t="s">
        <v>2914</v>
      </c>
      <c r="J194" s="1" t="s">
        <v>2915</v>
      </c>
      <c r="K194" s="1" t="s">
        <v>2916</v>
      </c>
      <c r="L194" s="1" t="s">
        <v>573</v>
      </c>
    </row>
    <row r="195" spans="1:12" x14ac:dyDescent="0.2">
      <c r="A195" s="1" t="s">
        <v>35</v>
      </c>
      <c r="C195" s="1" t="s">
        <v>598</v>
      </c>
      <c r="D195" s="1" t="s">
        <v>575</v>
      </c>
      <c r="E195" s="1" t="s">
        <v>2917</v>
      </c>
      <c r="F195" s="1" t="s">
        <v>2918</v>
      </c>
      <c r="G195" s="1" t="s">
        <v>2919</v>
      </c>
      <c r="H195" s="1" t="s">
        <v>2920</v>
      </c>
      <c r="I195" s="1" t="s">
        <v>2921</v>
      </c>
      <c r="J195" s="1" t="s">
        <v>2922</v>
      </c>
      <c r="K195" s="1" t="s">
        <v>2923</v>
      </c>
      <c r="L195" s="1" t="s">
        <v>576</v>
      </c>
    </row>
    <row r="196" spans="1:12" x14ac:dyDescent="0.2">
      <c r="A196" s="1" t="s">
        <v>35</v>
      </c>
      <c r="C196" s="1" t="s">
        <v>601</v>
      </c>
      <c r="D196" s="1" t="s">
        <v>578</v>
      </c>
      <c r="E196" s="1" t="s">
        <v>2924</v>
      </c>
      <c r="F196" s="1" t="s">
        <v>2925</v>
      </c>
      <c r="G196" s="1" t="s">
        <v>2926</v>
      </c>
      <c r="H196" s="1" t="s">
        <v>2927</v>
      </c>
      <c r="I196" s="1" t="s">
        <v>2928</v>
      </c>
      <c r="J196" s="1" t="s">
        <v>2929</v>
      </c>
      <c r="K196" s="1" t="s">
        <v>2930</v>
      </c>
      <c r="L196" s="1" t="s">
        <v>579</v>
      </c>
    </row>
    <row r="197" spans="1:12" x14ac:dyDescent="0.2">
      <c r="A197" s="1" t="s">
        <v>35</v>
      </c>
      <c r="C197" s="1" t="s">
        <v>604</v>
      </c>
      <c r="D197" s="1" t="s">
        <v>581</v>
      </c>
      <c r="E197" s="1" t="s">
        <v>2931</v>
      </c>
      <c r="F197" s="1" t="s">
        <v>2932</v>
      </c>
      <c r="G197" s="1" t="s">
        <v>2933</v>
      </c>
      <c r="H197" s="1" t="s">
        <v>2934</v>
      </c>
      <c r="I197" s="1" t="s">
        <v>2935</v>
      </c>
      <c r="J197" s="1" t="s">
        <v>2936</v>
      </c>
      <c r="K197" s="1" t="s">
        <v>2937</v>
      </c>
      <c r="L197" s="1" t="s">
        <v>582</v>
      </c>
    </row>
    <row r="198" spans="1:12" x14ac:dyDescent="0.2">
      <c r="A198" s="1" t="s">
        <v>35</v>
      </c>
      <c r="C198" s="1" t="s">
        <v>607</v>
      </c>
      <c r="D198" s="1" t="s">
        <v>584</v>
      </c>
      <c r="E198" s="1" t="s">
        <v>2938</v>
      </c>
      <c r="F198" s="1" t="s">
        <v>2939</v>
      </c>
      <c r="G198" s="1" t="s">
        <v>2940</v>
      </c>
      <c r="H198" s="1" t="s">
        <v>2941</v>
      </c>
      <c r="I198" s="1" t="s">
        <v>2942</v>
      </c>
      <c r="J198" s="1" t="s">
        <v>2943</v>
      </c>
      <c r="K198" s="1" t="s">
        <v>2944</v>
      </c>
      <c r="L198" s="1" t="s">
        <v>585</v>
      </c>
    </row>
    <row r="199" spans="1:12" x14ac:dyDescent="0.2">
      <c r="A199" s="1" t="s">
        <v>35</v>
      </c>
      <c r="C199" s="1" t="s">
        <v>610</v>
      </c>
      <c r="D199" s="1" t="s">
        <v>587</v>
      </c>
      <c r="E199" s="1" t="s">
        <v>2945</v>
      </c>
      <c r="F199" s="1" t="s">
        <v>2946</v>
      </c>
      <c r="G199" s="1" t="s">
        <v>2947</v>
      </c>
      <c r="H199" s="1" t="s">
        <v>2948</v>
      </c>
      <c r="I199" s="1" t="s">
        <v>2949</v>
      </c>
      <c r="J199" s="1" t="s">
        <v>2950</v>
      </c>
      <c r="K199" s="1" t="s">
        <v>2951</v>
      </c>
      <c r="L199" s="1" t="s">
        <v>588</v>
      </c>
    </row>
    <row r="200" spans="1:12" x14ac:dyDescent="0.2">
      <c r="A200" s="1" t="s">
        <v>35</v>
      </c>
      <c r="C200" s="1" t="s">
        <v>613</v>
      </c>
      <c r="D200" s="1" t="s">
        <v>590</v>
      </c>
      <c r="E200" s="1" t="s">
        <v>2952</v>
      </c>
      <c r="F200" s="1" t="s">
        <v>2953</v>
      </c>
      <c r="G200" s="1" t="s">
        <v>2954</v>
      </c>
      <c r="H200" s="1" t="s">
        <v>2955</v>
      </c>
      <c r="I200" s="1" t="s">
        <v>2956</v>
      </c>
      <c r="J200" s="1" t="s">
        <v>2957</v>
      </c>
      <c r="K200" s="1" t="s">
        <v>2958</v>
      </c>
      <c r="L200" s="1" t="s">
        <v>591</v>
      </c>
    </row>
    <row r="201" spans="1:12" x14ac:dyDescent="0.2">
      <c r="A201" s="1" t="s">
        <v>35</v>
      </c>
      <c r="C201" s="1" t="s">
        <v>616</v>
      </c>
      <c r="D201" s="1" t="s">
        <v>593</v>
      </c>
      <c r="E201" s="1" t="s">
        <v>2959</v>
      </c>
      <c r="F201" s="1" t="s">
        <v>2960</v>
      </c>
      <c r="G201" s="1" t="s">
        <v>2961</v>
      </c>
      <c r="H201" s="1" t="s">
        <v>2962</v>
      </c>
      <c r="I201" s="1" t="s">
        <v>2963</v>
      </c>
      <c r="J201" s="1" t="s">
        <v>2964</v>
      </c>
      <c r="K201" s="1" t="s">
        <v>2965</v>
      </c>
      <c r="L201" s="1" t="s">
        <v>594</v>
      </c>
    </row>
    <row r="202" spans="1:12" x14ac:dyDescent="0.2">
      <c r="A202" s="1" t="s">
        <v>35</v>
      </c>
      <c r="C202" s="1" t="s">
        <v>619</v>
      </c>
      <c r="D202" s="1" t="s">
        <v>596</v>
      </c>
      <c r="E202" s="1" t="s">
        <v>2966</v>
      </c>
      <c r="F202" s="1" t="s">
        <v>2967</v>
      </c>
      <c r="G202" s="1" t="s">
        <v>2968</v>
      </c>
      <c r="H202" s="1" t="s">
        <v>2969</v>
      </c>
      <c r="I202" s="1" t="s">
        <v>2970</v>
      </c>
      <c r="J202" s="1" t="s">
        <v>2971</v>
      </c>
      <c r="K202" s="1" t="s">
        <v>2972</v>
      </c>
      <c r="L202" s="1" t="s">
        <v>597</v>
      </c>
    </row>
    <row r="203" spans="1:12" x14ac:dyDescent="0.2">
      <c r="A203" s="1" t="s">
        <v>35</v>
      </c>
      <c r="C203" s="1" t="s">
        <v>622</v>
      </c>
      <c r="D203" s="1" t="s">
        <v>599</v>
      </c>
      <c r="E203" s="1" t="s">
        <v>2973</v>
      </c>
      <c r="F203" s="1" t="s">
        <v>2974</v>
      </c>
      <c r="G203" s="1" t="s">
        <v>2975</v>
      </c>
      <c r="H203" s="1" t="s">
        <v>2976</v>
      </c>
      <c r="I203" s="1" t="s">
        <v>2977</v>
      </c>
      <c r="J203" s="1" t="s">
        <v>2978</v>
      </c>
      <c r="K203" s="1" t="s">
        <v>2979</v>
      </c>
      <c r="L203" s="1" t="s">
        <v>600</v>
      </c>
    </row>
    <row r="204" spans="1:12" x14ac:dyDescent="0.2">
      <c r="A204" s="1" t="s">
        <v>35</v>
      </c>
      <c r="C204" s="1" t="s">
        <v>625</v>
      </c>
      <c r="D204" s="1" t="s">
        <v>602</v>
      </c>
      <c r="E204" s="1" t="s">
        <v>2980</v>
      </c>
      <c r="F204" s="1" t="s">
        <v>2981</v>
      </c>
      <c r="G204" s="1" t="s">
        <v>2982</v>
      </c>
      <c r="H204" s="1" t="s">
        <v>2983</v>
      </c>
      <c r="I204" s="1" t="s">
        <v>2984</v>
      </c>
      <c r="J204" s="1" t="s">
        <v>2985</v>
      </c>
      <c r="K204" s="1" t="s">
        <v>2986</v>
      </c>
      <c r="L204" s="1" t="s">
        <v>603</v>
      </c>
    </row>
    <row r="205" spans="1:12" x14ac:dyDescent="0.2">
      <c r="A205" s="1" t="s">
        <v>35</v>
      </c>
      <c r="C205" s="1" t="s">
        <v>628</v>
      </c>
      <c r="D205" s="1" t="s">
        <v>605</v>
      </c>
      <c r="E205" s="1" t="s">
        <v>2987</v>
      </c>
      <c r="F205" s="1" t="s">
        <v>2988</v>
      </c>
      <c r="G205" s="1" t="s">
        <v>2989</v>
      </c>
      <c r="H205" s="1" t="s">
        <v>2990</v>
      </c>
      <c r="I205" s="1" t="s">
        <v>2991</v>
      </c>
      <c r="J205" s="1" t="s">
        <v>2992</v>
      </c>
      <c r="K205" s="1" t="s">
        <v>2993</v>
      </c>
      <c r="L205" s="1" t="s">
        <v>606</v>
      </c>
    </row>
    <row r="206" spans="1:12" x14ac:dyDescent="0.2">
      <c r="A206" s="1" t="s">
        <v>35</v>
      </c>
      <c r="C206" s="1" t="s">
        <v>631</v>
      </c>
      <c r="D206" s="1" t="s">
        <v>608</v>
      </c>
      <c r="E206" s="1" t="s">
        <v>2994</v>
      </c>
      <c r="F206" s="1" t="s">
        <v>2995</v>
      </c>
      <c r="G206" s="1" t="s">
        <v>2996</v>
      </c>
      <c r="H206" s="1" t="s">
        <v>2997</v>
      </c>
      <c r="I206" s="1" t="s">
        <v>2998</v>
      </c>
      <c r="J206" s="1" t="s">
        <v>2999</v>
      </c>
      <c r="K206" s="1" t="s">
        <v>3000</v>
      </c>
      <c r="L206" s="1" t="s">
        <v>609</v>
      </c>
    </row>
    <row r="207" spans="1:12" x14ac:dyDescent="0.2">
      <c r="A207" s="1" t="s">
        <v>35</v>
      </c>
      <c r="C207" s="1" t="s">
        <v>634</v>
      </c>
      <c r="D207" s="1" t="s">
        <v>611</v>
      </c>
      <c r="E207" s="1" t="s">
        <v>3001</v>
      </c>
      <c r="F207" s="1" t="s">
        <v>3002</v>
      </c>
      <c r="G207" s="1" t="s">
        <v>3003</v>
      </c>
      <c r="H207" s="1" t="s">
        <v>3004</v>
      </c>
      <c r="I207" s="1" t="s">
        <v>3005</v>
      </c>
      <c r="J207" s="1" t="s">
        <v>3006</v>
      </c>
      <c r="K207" s="1" t="s">
        <v>3007</v>
      </c>
      <c r="L207" s="1" t="s">
        <v>612</v>
      </c>
    </row>
    <row r="208" spans="1:12" x14ac:dyDescent="0.2">
      <c r="A208" s="1" t="s">
        <v>35</v>
      </c>
      <c r="C208" s="1" t="s">
        <v>637</v>
      </c>
      <c r="D208" s="1" t="s">
        <v>614</v>
      </c>
      <c r="E208" s="1" t="s">
        <v>3008</v>
      </c>
      <c r="F208" s="1" t="s">
        <v>3009</v>
      </c>
      <c r="G208" s="1" t="s">
        <v>3010</v>
      </c>
      <c r="H208" s="1" t="s">
        <v>3011</v>
      </c>
      <c r="I208" s="1" t="s">
        <v>3012</v>
      </c>
      <c r="J208" s="1" t="s">
        <v>3013</v>
      </c>
      <c r="K208" s="1" t="s">
        <v>3014</v>
      </c>
      <c r="L208" s="1" t="s">
        <v>615</v>
      </c>
    </row>
    <row r="209" spans="1:12" x14ac:dyDescent="0.2">
      <c r="A209" s="1" t="s">
        <v>35</v>
      </c>
      <c r="C209" s="1" t="s">
        <v>640</v>
      </c>
      <c r="D209" s="1" t="s">
        <v>617</v>
      </c>
      <c r="E209" s="1" t="s">
        <v>3015</v>
      </c>
      <c r="F209" s="1" t="s">
        <v>3016</v>
      </c>
      <c r="G209" s="1" t="s">
        <v>3017</v>
      </c>
      <c r="H209" s="1" t="s">
        <v>3018</v>
      </c>
      <c r="I209" s="1" t="s">
        <v>3019</v>
      </c>
      <c r="J209" s="1" t="s">
        <v>3020</v>
      </c>
      <c r="K209" s="1" t="s">
        <v>3021</v>
      </c>
      <c r="L209" s="1" t="s">
        <v>618</v>
      </c>
    </row>
    <row r="210" spans="1:12" x14ac:dyDescent="0.2">
      <c r="A210" s="1" t="s">
        <v>35</v>
      </c>
      <c r="C210" s="1" t="s">
        <v>643</v>
      </c>
      <c r="D210" s="1" t="s">
        <v>620</v>
      </c>
      <c r="E210" s="1" t="s">
        <v>3022</v>
      </c>
      <c r="F210" s="1" t="s">
        <v>3023</v>
      </c>
      <c r="G210" s="1" t="s">
        <v>3024</v>
      </c>
      <c r="H210" s="1" t="s">
        <v>3025</v>
      </c>
      <c r="I210" s="1" t="s">
        <v>3026</v>
      </c>
      <c r="J210" s="1" t="s">
        <v>3027</v>
      </c>
      <c r="K210" s="1" t="s">
        <v>3028</v>
      </c>
      <c r="L210" s="1" t="s">
        <v>621</v>
      </c>
    </row>
    <row r="211" spans="1:12" x14ac:dyDescent="0.2">
      <c r="A211" s="1" t="s">
        <v>35</v>
      </c>
      <c r="C211" s="1" t="s">
        <v>646</v>
      </c>
      <c r="D211" s="1" t="s">
        <v>623</v>
      </c>
      <c r="E211" s="1" t="s">
        <v>3029</v>
      </c>
      <c r="F211" s="1" t="s">
        <v>3030</v>
      </c>
      <c r="G211" s="1" t="s">
        <v>3031</v>
      </c>
      <c r="H211" s="1" t="s">
        <v>3032</v>
      </c>
      <c r="I211" s="1" t="s">
        <v>3033</v>
      </c>
      <c r="J211" s="1" t="s">
        <v>3034</v>
      </c>
      <c r="K211" s="1" t="s">
        <v>3035</v>
      </c>
      <c r="L211" s="1" t="s">
        <v>624</v>
      </c>
    </row>
    <row r="212" spans="1:12" x14ac:dyDescent="0.2">
      <c r="A212" s="1" t="s">
        <v>35</v>
      </c>
      <c r="C212" s="1" t="s">
        <v>649</v>
      </c>
      <c r="D212" s="1" t="s">
        <v>626</v>
      </c>
      <c r="E212" s="1" t="s">
        <v>3036</v>
      </c>
      <c r="F212" s="1" t="s">
        <v>3037</v>
      </c>
      <c r="G212" s="1" t="s">
        <v>3038</v>
      </c>
      <c r="H212" s="1" t="s">
        <v>3039</v>
      </c>
      <c r="I212" s="1" t="s">
        <v>3040</v>
      </c>
      <c r="J212" s="1" t="s">
        <v>3041</v>
      </c>
      <c r="K212" s="1" t="s">
        <v>3042</v>
      </c>
      <c r="L212" s="1" t="s">
        <v>627</v>
      </c>
    </row>
    <row r="213" spans="1:12" x14ac:dyDescent="0.2">
      <c r="A213" s="1" t="s">
        <v>35</v>
      </c>
      <c r="C213" s="1" t="s">
        <v>652</v>
      </c>
      <c r="D213" s="1" t="s">
        <v>629</v>
      </c>
      <c r="E213" s="1" t="s">
        <v>3043</v>
      </c>
      <c r="F213" s="1" t="s">
        <v>3044</v>
      </c>
      <c r="G213" s="1" t="s">
        <v>3045</v>
      </c>
      <c r="H213" s="1" t="s">
        <v>3046</v>
      </c>
      <c r="I213" s="1" t="s">
        <v>3047</v>
      </c>
      <c r="J213" s="1" t="s">
        <v>3048</v>
      </c>
      <c r="K213" s="1" t="s">
        <v>3049</v>
      </c>
      <c r="L213" s="1" t="s">
        <v>630</v>
      </c>
    </row>
    <row r="214" spans="1:12" x14ac:dyDescent="0.2">
      <c r="A214" s="1" t="s">
        <v>35</v>
      </c>
      <c r="C214" s="1" t="s">
        <v>655</v>
      </c>
      <c r="D214" s="1" t="s">
        <v>632</v>
      </c>
      <c r="E214" s="1" t="s">
        <v>3050</v>
      </c>
      <c r="F214" s="1" t="s">
        <v>3051</v>
      </c>
      <c r="G214" s="1" t="s">
        <v>3052</v>
      </c>
      <c r="H214" s="1" t="s">
        <v>3053</v>
      </c>
      <c r="I214" s="1" t="s">
        <v>3054</v>
      </c>
      <c r="J214" s="1" t="s">
        <v>3055</v>
      </c>
      <c r="K214" s="1" t="s">
        <v>3056</v>
      </c>
      <c r="L214" s="1" t="s">
        <v>633</v>
      </c>
    </row>
    <row r="215" spans="1:12" x14ac:dyDescent="0.2">
      <c r="A215" s="1" t="s">
        <v>35</v>
      </c>
      <c r="C215" s="1" t="s">
        <v>658</v>
      </c>
      <c r="D215" s="1" t="s">
        <v>635</v>
      </c>
      <c r="E215" s="1" t="s">
        <v>3057</v>
      </c>
      <c r="F215" s="1" t="s">
        <v>3058</v>
      </c>
      <c r="G215" s="1" t="s">
        <v>3059</v>
      </c>
      <c r="H215" s="1" t="s">
        <v>3060</v>
      </c>
      <c r="I215" s="1" t="s">
        <v>3061</v>
      </c>
      <c r="J215" s="1" t="s">
        <v>3062</v>
      </c>
      <c r="K215" s="1" t="s">
        <v>3063</v>
      </c>
      <c r="L215" s="1" t="s">
        <v>636</v>
      </c>
    </row>
    <row r="216" spans="1:12" x14ac:dyDescent="0.2">
      <c r="A216" s="1" t="s">
        <v>35</v>
      </c>
      <c r="C216" s="1" t="s">
        <v>661</v>
      </c>
      <c r="D216" s="1" t="s">
        <v>638</v>
      </c>
      <c r="E216" s="1" t="s">
        <v>3064</v>
      </c>
      <c r="F216" s="1" t="s">
        <v>3065</v>
      </c>
      <c r="G216" s="1" t="s">
        <v>3066</v>
      </c>
      <c r="H216" s="1" t="s">
        <v>3067</v>
      </c>
      <c r="I216" s="1" t="s">
        <v>3068</v>
      </c>
      <c r="J216" s="1" t="s">
        <v>3069</v>
      </c>
      <c r="K216" s="1" t="s">
        <v>3070</v>
      </c>
      <c r="L216" s="1" t="s">
        <v>639</v>
      </c>
    </row>
    <row r="217" spans="1:12" x14ac:dyDescent="0.2">
      <c r="A217" s="1" t="s">
        <v>35</v>
      </c>
      <c r="C217" s="1" t="s">
        <v>664</v>
      </c>
      <c r="D217" s="1" t="s">
        <v>641</v>
      </c>
      <c r="E217" s="1" t="s">
        <v>3071</v>
      </c>
      <c r="F217" s="1" t="s">
        <v>3072</v>
      </c>
      <c r="G217" s="1" t="s">
        <v>3073</v>
      </c>
      <c r="H217" s="1" t="s">
        <v>3074</v>
      </c>
      <c r="I217" s="1" t="s">
        <v>3075</v>
      </c>
      <c r="J217" s="1" t="s">
        <v>3076</v>
      </c>
      <c r="K217" s="1" t="s">
        <v>3077</v>
      </c>
      <c r="L217" s="1" t="s">
        <v>642</v>
      </c>
    </row>
    <row r="218" spans="1:12" x14ac:dyDescent="0.2">
      <c r="A218" s="1" t="s">
        <v>35</v>
      </c>
      <c r="C218" s="1" t="s">
        <v>667</v>
      </c>
      <c r="D218" s="1" t="s">
        <v>644</v>
      </c>
      <c r="E218" s="1" t="s">
        <v>3078</v>
      </c>
      <c r="F218" s="1" t="s">
        <v>3079</v>
      </c>
      <c r="G218" s="1" t="s">
        <v>3080</v>
      </c>
      <c r="H218" s="1" t="s">
        <v>3081</v>
      </c>
      <c r="I218" s="1" t="s">
        <v>3082</v>
      </c>
      <c r="J218" s="1" t="s">
        <v>3083</v>
      </c>
      <c r="K218" s="1" t="s">
        <v>3084</v>
      </c>
      <c r="L218" s="1" t="s">
        <v>645</v>
      </c>
    </row>
    <row r="219" spans="1:12" x14ac:dyDescent="0.2">
      <c r="A219" s="1" t="s">
        <v>35</v>
      </c>
      <c r="C219" s="1" t="s">
        <v>670</v>
      </c>
      <c r="D219" s="1" t="s">
        <v>647</v>
      </c>
      <c r="E219" s="1" t="s">
        <v>3085</v>
      </c>
      <c r="F219" s="1" t="s">
        <v>3086</v>
      </c>
      <c r="G219" s="1" t="s">
        <v>3087</v>
      </c>
      <c r="H219" s="1" t="s">
        <v>3088</v>
      </c>
      <c r="I219" s="1" t="s">
        <v>3089</v>
      </c>
      <c r="J219" s="1" t="s">
        <v>3090</v>
      </c>
      <c r="K219" s="1" t="s">
        <v>3091</v>
      </c>
      <c r="L219" s="1" t="s">
        <v>648</v>
      </c>
    </row>
    <row r="220" spans="1:12" x14ac:dyDescent="0.2">
      <c r="A220" s="1" t="s">
        <v>35</v>
      </c>
      <c r="C220" s="1" t="s">
        <v>673</v>
      </c>
      <c r="D220" s="1" t="s">
        <v>650</v>
      </c>
      <c r="E220" s="1" t="s">
        <v>3092</v>
      </c>
      <c r="F220" s="1" t="s">
        <v>3093</v>
      </c>
      <c r="G220" s="1" t="s">
        <v>3094</v>
      </c>
      <c r="H220" s="1" t="s">
        <v>3095</v>
      </c>
      <c r="I220" s="1" t="s">
        <v>3096</v>
      </c>
      <c r="J220" s="1" t="s">
        <v>3097</v>
      </c>
      <c r="K220" s="1" t="s">
        <v>3098</v>
      </c>
      <c r="L220" s="1" t="s">
        <v>651</v>
      </c>
    </row>
    <row r="221" spans="1:12" x14ac:dyDescent="0.2">
      <c r="A221" s="1" t="s">
        <v>35</v>
      </c>
      <c r="C221" s="1" t="s">
        <v>676</v>
      </c>
      <c r="D221" s="1" t="s">
        <v>653</v>
      </c>
      <c r="E221" s="1" t="s">
        <v>3099</v>
      </c>
      <c r="F221" s="1" t="s">
        <v>3100</v>
      </c>
      <c r="G221" s="1" t="s">
        <v>3101</v>
      </c>
      <c r="H221" s="1" t="s">
        <v>3102</v>
      </c>
      <c r="I221" s="1" t="s">
        <v>3103</v>
      </c>
      <c r="J221" s="1" t="s">
        <v>3104</v>
      </c>
      <c r="K221" s="1" t="s">
        <v>3105</v>
      </c>
      <c r="L221" s="1" t="s">
        <v>654</v>
      </c>
    </row>
    <row r="222" spans="1:12" x14ac:dyDescent="0.2">
      <c r="A222" s="1" t="s">
        <v>35</v>
      </c>
      <c r="C222" s="1" t="s">
        <v>679</v>
      </c>
      <c r="D222" s="1" t="s">
        <v>656</v>
      </c>
      <c r="E222" s="1" t="s">
        <v>3106</v>
      </c>
      <c r="F222" s="1" t="s">
        <v>3107</v>
      </c>
      <c r="G222" s="1" t="s">
        <v>3108</v>
      </c>
      <c r="H222" s="1" t="s">
        <v>3109</v>
      </c>
      <c r="I222" s="1" t="s">
        <v>3110</v>
      </c>
      <c r="J222" s="1" t="s">
        <v>3111</v>
      </c>
      <c r="K222" s="1" t="s">
        <v>3112</v>
      </c>
      <c r="L222" s="1" t="s">
        <v>657</v>
      </c>
    </row>
    <row r="223" spans="1:12" x14ac:dyDescent="0.2">
      <c r="A223" s="1" t="s">
        <v>35</v>
      </c>
      <c r="C223" s="1" t="s">
        <v>682</v>
      </c>
      <c r="D223" s="1" t="s">
        <v>659</v>
      </c>
      <c r="E223" s="1" t="s">
        <v>3113</v>
      </c>
      <c r="F223" s="1" t="s">
        <v>3114</v>
      </c>
      <c r="G223" s="1" t="s">
        <v>3115</v>
      </c>
      <c r="H223" s="1" t="s">
        <v>3116</v>
      </c>
      <c r="I223" s="1" t="s">
        <v>3117</v>
      </c>
      <c r="J223" s="1" t="s">
        <v>3118</v>
      </c>
      <c r="K223" s="1" t="s">
        <v>3119</v>
      </c>
      <c r="L223" s="1" t="s">
        <v>660</v>
      </c>
    </row>
    <row r="224" spans="1:12" x14ac:dyDescent="0.2">
      <c r="A224" s="1" t="s">
        <v>35</v>
      </c>
      <c r="C224" s="1" t="s">
        <v>685</v>
      </c>
      <c r="D224" s="1" t="s">
        <v>662</v>
      </c>
      <c r="E224" s="1" t="s">
        <v>3120</v>
      </c>
      <c r="F224" s="1" t="s">
        <v>3121</v>
      </c>
      <c r="G224" s="1" t="s">
        <v>3122</v>
      </c>
      <c r="H224" s="1" t="s">
        <v>3123</v>
      </c>
      <c r="I224" s="1" t="s">
        <v>3124</v>
      </c>
      <c r="J224" s="1" t="s">
        <v>3125</v>
      </c>
      <c r="K224" s="1" t="s">
        <v>3126</v>
      </c>
      <c r="L224" s="1" t="s">
        <v>663</v>
      </c>
    </row>
    <row r="225" spans="1:12" x14ac:dyDescent="0.2">
      <c r="A225" s="1" t="s">
        <v>35</v>
      </c>
      <c r="C225" s="1" t="s">
        <v>688</v>
      </c>
      <c r="D225" s="1" t="s">
        <v>665</v>
      </c>
      <c r="E225" s="1" t="s">
        <v>3127</v>
      </c>
      <c r="F225" s="1" t="s">
        <v>3128</v>
      </c>
      <c r="G225" s="1" t="s">
        <v>3129</v>
      </c>
      <c r="H225" s="1" t="s">
        <v>3130</v>
      </c>
      <c r="I225" s="1" t="s">
        <v>3131</v>
      </c>
      <c r="J225" s="1" t="s">
        <v>3132</v>
      </c>
      <c r="K225" s="1" t="s">
        <v>3133</v>
      </c>
      <c r="L225" s="1" t="s">
        <v>666</v>
      </c>
    </row>
    <row r="226" spans="1:12" x14ac:dyDescent="0.2">
      <c r="A226" s="1" t="s">
        <v>35</v>
      </c>
      <c r="C226" s="1" t="s">
        <v>691</v>
      </c>
      <c r="D226" s="1" t="s">
        <v>668</v>
      </c>
      <c r="E226" s="1" t="s">
        <v>3134</v>
      </c>
      <c r="F226" s="1" t="s">
        <v>3135</v>
      </c>
      <c r="G226" s="1" t="s">
        <v>3136</v>
      </c>
      <c r="H226" s="1" t="s">
        <v>3137</v>
      </c>
      <c r="I226" s="1" t="s">
        <v>3138</v>
      </c>
      <c r="J226" s="1" t="s">
        <v>3139</v>
      </c>
      <c r="K226" s="1" t="s">
        <v>3140</v>
      </c>
      <c r="L226" s="1" t="s">
        <v>669</v>
      </c>
    </row>
    <row r="227" spans="1:12" x14ac:dyDescent="0.2">
      <c r="A227" s="1" t="s">
        <v>35</v>
      </c>
      <c r="C227" s="1" t="s">
        <v>694</v>
      </c>
      <c r="D227" s="1" t="s">
        <v>671</v>
      </c>
      <c r="E227" s="1" t="s">
        <v>3141</v>
      </c>
      <c r="F227" s="1" t="s">
        <v>3142</v>
      </c>
      <c r="G227" s="1" t="s">
        <v>3143</v>
      </c>
      <c r="H227" s="1" t="s">
        <v>3144</v>
      </c>
      <c r="I227" s="1" t="s">
        <v>3145</v>
      </c>
      <c r="J227" s="1" t="s">
        <v>3146</v>
      </c>
      <c r="K227" s="1" t="s">
        <v>3147</v>
      </c>
      <c r="L227" s="1" t="s">
        <v>672</v>
      </c>
    </row>
    <row r="228" spans="1:12" x14ac:dyDescent="0.2">
      <c r="A228" s="1" t="s">
        <v>35</v>
      </c>
      <c r="C228" s="1" t="s">
        <v>697</v>
      </c>
      <c r="D228" s="1" t="s">
        <v>674</v>
      </c>
      <c r="E228" s="1" t="s">
        <v>3148</v>
      </c>
      <c r="F228" s="1" t="s">
        <v>3149</v>
      </c>
      <c r="G228" s="1" t="s">
        <v>3150</v>
      </c>
      <c r="H228" s="1" t="s">
        <v>3151</v>
      </c>
      <c r="I228" s="1" t="s">
        <v>3152</v>
      </c>
      <c r="J228" s="1" t="s">
        <v>3153</v>
      </c>
      <c r="K228" s="1" t="s">
        <v>3154</v>
      </c>
      <c r="L228" s="1" t="s">
        <v>675</v>
      </c>
    </row>
    <row r="229" spans="1:12" x14ac:dyDescent="0.2">
      <c r="A229" s="1" t="s">
        <v>35</v>
      </c>
      <c r="C229" s="1" t="s">
        <v>700</v>
      </c>
      <c r="D229" s="1" t="s">
        <v>677</v>
      </c>
      <c r="E229" s="1" t="s">
        <v>3155</v>
      </c>
      <c r="F229" s="1" t="s">
        <v>3156</v>
      </c>
      <c r="G229" s="1" t="s">
        <v>3157</v>
      </c>
      <c r="H229" s="1" t="s">
        <v>3158</v>
      </c>
      <c r="I229" s="1" t="s">
        <v>3159</v>
      </c>
      <c r="J229" s="1" t="s">
        <v>3160</v>
      </c>
      <c r="K229" s="1" t="s">
        <v>3161</v>
      </c>
      <c r="L229" s="1" t="s">
        <v>678</v>
      </c>
    </row>
    <row r="230" spans="1:12" x14ac:dyDescent="0.2">
      <c r="A230" s="1" t="s">
        <v>35</v>
      </c>
      <c r="C230" s="1" t="s">
        <v>703</v>
      </c>
      <c r="D230" s="1" t="s">
        <v>680</v>
      </c>
      <c r="E230" s="1" t="s">
        <v>3162</v>
      </c>
      <c r="F230" s="1" t="s">
        <v>3163</v>
      </c>
      <c r="G230" s="1" t="s">
        <v>3164</v>
      </c>
      <c r="H230" s="1" t="s">
        <v>3165</v>
      </c>
      <c r="I230" s="1" t="s">
        <v>3166</v>
      </c>
      <c r="J230" s="1" t="s">
        <v>3167</v>
      </c>
      <c r="K230" s="1" t="s">
        <v>3168</v>
      </c>
      <c r="L230" s="1" t="s">
        <v>681</v>
      </c>
    </row>
    <row r="231" spans="1:12" x14ac:dyDescent="0.2">
      <c r="A231" s="1" t="s">
        <v>35</v>
      </c>
      <c r="C231" s="1" t="s">
        <v>706</v>
      </c>
      <c r="D231" s="1" t="s">
        <v>683</v>
      </c>
      <c r="E231" s="1" t="s">
        <v>3169</v>
      </c>
      <c r="F231" s="1" t="s">
        <v>3170</v>
      </c>
      <c r="G231" s="1" t="s">
        <v>3171</v>
      </c>
      <c r="H231" s="1" t="s">
        <v>3172</v>
      </c>
      <c r="I231" s="1" t="s">
        <v>3173</v>
      </c>
      <c r="J231" s="1" t="s">
        <v>3174</v>
      </c>
      <c r="K231" s="1" t="s">
        <v>3175</v>
      </c>
      <c r="L231" s="1" t="s">
        <v>684</v>
      </c>
    </row>
    <row r="232" spans="1:12" x14ac:dyDescent="0.2">
      <c r="A232" s="1" t="s">
        <v>35</v>
      </c>
      <c r="C232" s="1" t="s">
        <v>709</v>
      </c>
      <c r="D232" s="1" t="s">
        <v>686</v>
      </c>
      <c r="E232" s="1" t="s">
        <v>3176</v>
      </c>
      <c r="F232" s="1" t="s">
        <v>3177</v>
      </c>
      <c r="G232" s="1" t="s">
        <v>3178</v>
      </c>
      <c r="H232" s="1" t="s">
        <v>3179</v>
      </c>
      <c r="I232" s="1" t="s">
        <v>3180</v>
      </c>
      <c r="J232" s="1" t="s">
        <v>3181</v>
      </c>
      <c r="K232" s="1" t="s">
        <v>3182</v>
      </c>
      <c r="L232" s="1" t="s">
        <v>687</v>
      </c>
    </row>
    <row r="233" spans="1:12" x14ac:dyDescent="0.2">
      <c r="A233" s="1" t="s">
        <v>35</v>
      </c>
      <c r="C233" s="1" t="s">
        <v>712</v>
      </c>
      <c r="D233" s="1" t="s">
        <v>689</v>
      </c>
      <c r="E233" s="1" t="s">
        <v>3183</v>
      </c>
      <c r="F233" s="1" t="s">
        <v>3184</v>
      </c>
      <c r="G233" s="1" t="s">
        <v>3185</v>
      </c>
      <c r="H233" s="1" t="s">
        <v>3186</v>
      </c>
      <c r="I233" s="1" t="s">
        <v>3187</v>
      </c>
      <c r="J233" s="1" t="s">
        <v>3188</v>
      </c>
      <c r="K233" s="1" t="s">
        <v>3189</v>
      </c>
      <c r="L233" s="1" t="s">
        <v>690</v>
      </c>
    </row>
    <row r="234" spans="1:12" x14ac:dyDescent="0.2">
      <c r="A234" s="1" t="s">
        <v>35</v>
      </c>
      <c r="C234" s="1" t="s">
        <v>715</v>
      </c>
      <c r="D234" s="1" t="s">
        <v>692</v>
      </c>
      <c r="E234" s="1" t="s">
        <v>3190</v>
      </c>
      <c r="F234" s="1" t="s">
        <v>3191</v>
      </c>
      <c r="G234" s="1" t="s">
        <v>3192</v>
      </c>
      <c r="H234" s="1" t="s">
        <v>3193</v>
      </c>
      <c r="I234" s="1" t="s">
        <v>3194</v>
      </c>
      <c r="J234" s="1" t="s">
        <v>3195</v>
      </c>
      <c r="K234" s="1" t="s">
        <v>3196</v>
      </c>
      <c r="L234" s="1" t="s">
        <v>693</v>
      </c>
    </row>
    <row r="235" spans="1:12" x14ac:dyDescent="0.2">
      <c r="A235" s="1" t="s">
        <v>35</v>
      </c>
      <c r="C235" s="1" t="s">
        <v>718</v>
      </c>
      <c r="D235" s="1" t="s">
        <v>695</v>
      </c>
      <c r="E235" s="1" t="s">
        <v>3197</v>
      </c>
      <c r="F235" s="1" t="s">
        <v>3198</v>
      </c>
      <c r="G235" s="1" t="s">
        <v>3199</v>
      </c>
      <c r="H235" s="1" t="s">
        <v>3200</v>
      </c>
      <c r="I235" s="1" t="s">
        <v>3201</v>
      </c>
      <c r="J235" s="1" t="s">
        <v>3202</v>
      </c>
      <c r="K235" s="1" t="s">
        <v>3203</v>
      </c>
      <c r="L235" s="1" t="s">
        <v>696</v>
      </c>
    </row>
    <row r="236" spans="1:12" x14ac:dyDescent="0.2">
      <c r="A236" s="1" t="s">
        <v>35</v>
      </c>
      <c r="C236" s="1" t="s">
        <v>721</v>
      </c>
      <c r="D236" s="1" t="s">
        <v>698</v>
      </c>
      <c r="E236" s="1" t="s">
        <v>3204</v>
      </c>
      <c r="F236" s="1" t="s">
        <v>3205</v>
      </c>
      <c r="G236" s="1" t="s">
        <v>3206</v>
      </c>
      <c r="H236" s="1" t="s">
        <v>3207</v>
      </c>
      <c r="I236" s="1" t="s">
        <v>3208</v>
      </c>
      <c r="J236" s="1" t="s">
        <v>3209</v>
      </c>
      <c r="K236" s="1" t="s">
        <v>3210</v>
      </c>
      <c r="L236" s="1" t="s">
        <v>699</v>
      </c>
    </row>
    <row r="237" spans="1:12" x14ac:dyDescent="0.2">
      <c r="A237" s="1" t="s">
        <v>35</v>
      </c>
      <c r="C237" s="1" t="s">
        <v>724</v>
      </c>
      <c r="D237" s="1" t="s">
        <v>701</v>
      </c>
      <c r="E237" s="1" t="s">
        <v>3211</v>
      </c>
      <c r="F237" s="1" t="s">
        <v>3212</v>
      </c>
      <c r="G237" s="1" t="s">
        <v>3213</v>
      </c>
      <c r="H237" s="1" t="s">
        <v>3214</v>
      </c>
      <c r="I237" s="1" t="s">
        <v>3215</v>
      </c>
      <c r="J237" s="1" t="s">
        <v>3216</v>
      </c>
      <c r="K237" s="1" t="s">
        <v>3217</v>
      </c>
      <c r="L237" s="1" t="s">
        <v>702</v>
      </c>
    </row>
    <row r="238" spans="1:12" x14ac:dyDescent="0.2">
      <c r="A238" s="1" t="s">
        <v>35</v>
      </c>
      <c r="C238" s="1" t="s">
        <v>727</v>
      </c>
      <c r="D238" s="1" t="s">
        <v>704</v>
      </c>
      <c r="E238" s="1" t="s">
        <v>3218</v>
      </c>
      <c r="F238" s="1" t="s">
        <v>3219</v>
      </c>
      <c r="G238" s="1" t="s">
        <v>3220</v>
      </c>
      <c r="H238" s="1" t="s">
        <v>3221</v>
      </c>
      <c r="I238" s="1" t="s">
        <v>3222</v>
      </c>
      <c r="J238" s="1" t="s">
        <v>3223</v>
      </c>
      <c r="K238" s="1" t="s">
        <v>3224</v>
      </c>
      <c r="L238" s="1" t="s">
        <v>705</v>
      </c>
    </row>
    <row r="239" spans="1:12" x14ac:dyDescent="0.2">
      <c r="A239" s="1" t="s">
        <v>35</v>
      </c>
      <c r="C239" s="1" t="s">
        <v>730</v>
      </c>
      <c r="D239" s="1" t="s">
        <v>707</v>
      </c>
      <c r="E239" s="1" t="s">
        <v>3225</v>
      </c>
      <c r="F239" s="1" t="s">
        <v>3226</v>
      </c>
      <c r="G239" s="1" t="s">
        <v>3227</v>
      </c>
      <c r="H239" s="1" t="s">
        <v>3228</v>
      </c>
      <c r="I239" s="1" t="s">
        <v>3229</v>
      </c>
      <c r="J239" s="1" t="s">
        <v>3230</v>
      </c>
      <c r="K239" s="1" t="s">
        <v>3231</v>
      </c>
      <c r="L239" s="1" t="s">
        <v>708</v>
      </c>
    </row>
    <row r="240" spans="1:12" x14ac:dyDescent="0.2">
      <c r="A240" s="1" t="s">
        <v>35</v>
      </c>
      <c r="C240" s="1" t="s">
        <v>733</v>
      </c>
      <c r="D240" s="1" t="s">
        <v>710</v>
      </c>
      <c r="E240" s="1" t="s">
        <v>3232</v>
      </c>
      <c r="F240" s="1" t="s">
        <v>3233</v>
      </c>
      <c r="G240" s="1" t="s">
        <v>3234</v>
      </c>
      <c r="H240" s="1" t="s">
        <v>3235</v>
      </c>
      <c r="I240" s="1" t="s">
        <v>3236</v>
      </c>
      <c r="J240" s="1" t="s">
        <v>3237</v>
      </c>
      <c r="K240" s="1" t="s">
        <v>3238</v>
      </c>
      <c r="L240" s="1" t="s">
        <v>711</v>
      </c>
    </row>
    <row r="241" spans="1:12" x14ac:dyDescent="0.2">
      <c r="A241" s="1" t="s">
        <v>35</v>
      </c>
      <c r="C241" s="1" t="s">
        <v>736</v>
      </c>
      <c r="D241" s="1" t="s">
        <v>713</v>
      </c>
      <c r="E241" s="1" t="s">
        <v>3239</v>
      </c>
      <c r="F241" s="1" t="s">
        <v>3240</v>
      </c>
      <c r="G241" s="1" t="s">
        <v>3241</v>
      </c>
      <c r="H241" s="1" t="s">
        <v>3242</v>
      </c>
      <c r="I241" s="1" t="s">
        <v>3243</v>
      </c>
      <c r="J241" s="1" t="s">
        <v>3244</v>
      </c>
      <c r="K241" s="1" t="s">
        <v>3245</v>
      </c>
      <c r="L241" s="1" t="s">
        <v>714</v>
      </c>
    </row>
    <row r="242" spans="1:12" x14ac:dyDescent="0.2">
      <c r="A242" s="1" t="s">
        <v>35</v>
      </c>
      <c r="C242" s="1" t="s">
        <v>739</v>
      </c>
      <c r="D242" s="1" t="s">
        <v>716</v>
      </c>
      <c r="E242" s="1" t="s">
        <v>3246</v>
      </c>
      <c r="F242" s="1" t="s">
        <v>3247</v>
      </c>
      <c r="G242" s="1" t="s">
        <v>3248</v>
      </c>
      <c r="H242" s="1" t="s">
        <v>3249</v>
      </c>
      <c r="I242" s="1" t="s">
        <v>3250</v>
      </c>
      <c r="J242" s="1" t="s">
        <v>3251</v>
      </c>
      <c r="K242" s="1" t="s">
        <v>3252</v>
      </c>
      <c r="L242" s="1" t="s">
        <v>717</v>
      </c>
    </row>
    <row r="243" spans="1:12" x14ac:dyDescent="0.2">
      <c r="A243" s="1" t="s">
        <v>35</v>
      </c>
      <c r="C243" s="1" t="s">
        <v>742</v>
      </c>
      <c r="D243" s="1" t="s">
        <v>719</v>
      </c>
      <c r="E243" s="1" t="s">
        <v>3253</v>
      </c>
      <c r="F243" s="1" t="s">
        <v>3254</v>
      </c>
      <c r="G243" s="1" t="s">
        <v>3255</v>
      </c>
      <c r="H243" s="1" t="s">
        <v>3256</v>
      </c>
      <c r="I243" s="1" t="s">
        <v>3257</v>
      </c>
      <c r="J243" s="1" t="s">
        <v>3258</v>
      </c>
      <c r="K243" s="1" t="s">
        <v>3259</v>
      </c>
      <c r="L243" s="1" t="s">
        <v>720</v>
      </c>
    </row>
    <row r="244" spans="1:12" x14ac:dyDescent="0.2">
      <c r="A244" s="1" t="s">
        <v>35</v>
      </c>
      <c r="C244" s="1" t="s">
        <v>745</v>
      </c>
      <c r="D244" s="1" t="s">
        <v>722</v>
      </c>
      <c r="E244" s="1" t="s">
        <v>3260</v>
      </c>
      <c r="F244" s="1" t="s">
        <v>3261</v>
      </c>
      <c r="G244" s="1" t="s">
        <v>3262</v>
      </c>
      <c r="H244" s="1" t="s">
        <v>3263</v>
      </c>
      <c r="I244" s="1" t="s">
        <v>3264</v>
      </c>
      <c r="J244" s="1" t="s">
        <v>3265</v>
      </c>
      <c r="K244" s="1" t="s">
        <v>3266</v>
      </c>
      <c r="L244" s="1" t="s">
        <v>723</v>
      </c>
    </row>
    <row r="245" spans="1:12" x14ac:dyDescent="0.2">
      <c r="A245" s="1" t="s">
        <v>35</v>
      </c>
      <c r="C245" s="1" t="s">
        <v>748</v>
      </c>
      <c r="D245" s="1" t="s">
        <v>725</v>
      </c>
      <c r="E245" s="1" t="s">
        <v>3267</v>
      </c>
      <c r="F245" s="1" t="s">
        <v>3268</v>
      </c>
      <c r="G245" s="1" t="s">
        <v>3269</v>
      </c>
      <c r="H245" s="1" t="s">
        <v>3270</v>
      </c>
      <c r="I245" s="1" t="s">
        <v>3271</v>
      </c>
      <c r="J245" s="1" t="s">
        <v>3272</v>
      </c>
      <c r="K245" s="1" t="s">
        <v>3273</v>
      </c>
      <c r="L245" s="1" t="s">
        <v>726</v>
      </c>
    </row>
    <row r="246" spans="1:12" x14ac:dyDescent="0.2">
      <c r="A246" s="1" t="s">
        <v>35</v>
      </c>
      <c r="C246" s="1" t="s">
        <v>751</v>
      </c>
      <c r="D246" s="1" t="s">
        <v>728</v>
      </c>
      <c r="E246" s="1" t="s">
        <v>3274</v>
      </c>
      <c r="F246" s="1" t="s">
        <v>3275</v>
      </c>
      <c r="G246" s="1" t="s">
        <v>3276</v>
      </c>
      <c r="H246" s="1" t="s">
        <v>3277</v>
      </c>
      <c r="I246" s="1" t="s">
        <v>3278</v>
      </c>
      <c r="J246" s="1" t="s">
        <v>3279</v>
      </c>
      <c r="K246" s="1" t="s">
        <v>3280</v>
      </c>
      <c r="L246" s="1" t="s">
        <v>729</v>
      </c>
    </row>
    <row r="247" spans="1:12" x14ac:dyDescent="0.2">
      <c r="A247" s="1" t="s">
        <v>35</v>
      </c>
      <c r="C247" s="1" t="s">
        <v>754</v>
      </c>
      <c r="D247" s="1" t="s">
        <v>731</v>
      </c>
      <c r="E247" s="1" t="s">
        <v>3281</v>
      </c>
      <c r="F247" s="1" t="s">
        <v>3282</v>
      </c>
      <c r="G247" s="1" t="s">
        <v>3283</v>
      </c>
      <c r="H247" s="1" t="s">
        <v>3284</v>
      </c>
      <c r="I247" s="1" t="s">
        <v>3285</v>
      </c>
      <c r="J247" s="1" t="s">
        <v>3286</v>
      </c>
      <c r="K247" s="1" t="s">
        <v>3287</v>
      </c>
      <c r="L247" s="1" t="s">
        <v>732</v>
      </c>
    </row>
    <row r="248" spans="1:12" x14ac:dyDescent="0.2">
      <c r="A248" s="1" t="s">
        <v>35</v>
      </c>
      <c r="C248" s="1" t="s">
        <v>757</v>
      </c>
      <c r="D248" s="1" t="s">
        <v>734</v>
      </c>
      <c r="E248" s="1" t="s">
        <v>3288</v>
      </c>
      <c r="F248" s="1" t="s">
        <v>3289</v>
      </c>
      <c r="G248" s="1" t="s">
        <v>3290</v>
      </c>
      <c r="H248" s="1" t="s">
        <v>3291</v>
      </c>
      <c r="I248" s="1" t="s">
        <v>3292</v>
      </c>
      <c r="J248" s="1" t="s">
        <v>3293</v>
      </c>
      <c r="K248" s="1" t="s">
        <v>3294</v>
      </c>
      <c r="L248" s="1" t="s">
        <v>735</v>
      </c>
    </row>
    <row r="249" spans="1:12" x14ac:dyDescent="0.2">
      <c r="A249" s="1" t="s">
        <v>35</v>
      </c>
      <c r="C249" s="1" t="s">
        <v>760</v>
      </c>
      <c r="D249" s="1" t="s">
        <v>737</v>
      </c>
      <c r="E249" s="1" t="s">
        <v>3295</v>
      </c>
      <c r="F249" s="1" t="s">
        <v>3296</v>
      </c>
      <c r="G249" s="1" t="s">
        <v>3297</v>
      </c>
      <c r="H249" s="1" t="s">
        <v>3298</v>
      </c>
      <c r="I249" s="1" t="s">
        <v>3299</v>
      </c>
      <c r="J249" s="1" t="s">
        <v>3300</v>
      </c>
      <c r="K249" s="1" t="s">
        <v>3301</v>
      </c>
      <c r="L249" s="1" t="s">
        <v>738</v>
      </c>
    </row>
    <row r="250" spans="1:12" x14ac:dyDescent="0.2">
      <c r="A250" s="1" t="s">
        <v>35</v>
      </c>
      <c r="C250" s="1" t="s">
        <v>763</v>
      </c>
      <c r="D250" s="1" t="s">
        <v>740</v>
      </c>
      <c r="E250" s="1" t="s">
        <v>3302</v>
      </c>
      <c r="F250" s="1" t="s">
        <v>3303</v>
      </c>
      <c r="G250" s="1" t="s">
        <v>3304</v>
      </c>
      <c r="H250" s="1" t="s">
        <v>3305</v>
      </c>
      <c r="I250" s="1" t="s">
        <v>3306</v>
      </c>
      <c r="J250" s="1" t="s">
        <v>3307</v>
      </c>
      <c r="K250" s="1" t="s">
        <v>3308</v>
      </c>
      <c r="L250" s="1" t="s">
        <v>741</v>
      </c>
    </row>
    <row r="251" spans="1:12" x14ac:dyDescent="0.2">
      <c r="A251" s="1" t="s">
        <v>35</v>
      </c>
      <c r="C251" s="1" t="s">
        <v>766</v>
      </c>
      <c r="D251" s="1" t="s">
        <v>743</v>
      </c>
      <c r="E251" s="1" t="s">
        <v>3309</v>
      </c>
      <c r="F251" s="1" t="s">
        <v>3310</v>
      </c>
      <c r="G251" s="1" t="s">
        <v>3311</v>
      </c>
      <c r="H251" s="1" t="s">
        <v>3312</v>
      </c>
      <c r="I251" s="1" t="s">
        <v>3313</v>
      </c>
      <c r="J251" s="1" t="s">
        <v>3314</v>
      </c>
      <c r="K251" s="1" t="s">
        <v>3315</v>
      </c>
      <c r="L251" s="1" t="s">
        <v>744</v>
      </c>
    </row>
    <row r="252" spans="1:12" x14ac:dyDescent="0.2">
      <c r="A252" s="1" t="s">
        <v>35</v>
      </c>
      <c r="C252" s="1" t="s">
        <v>769</v>
      </c>
      <c r="D252" s="1" t="s">
        <v>746</v>
      </c>
      <c r="E252" s="1" t="s">
        <v>3316</v>
      </c>
      <c r="F252" s="1" t="s">
        <v>3317</v>
      </c>
      <c r="G252" s="1" t="s">
        <v>3318</v>
      </c>
      <c r="H252" s="1" t="s">
        <v>3319</v>
      </c>
      <c r="I252" s="1" t="s">
        <v>3320</v>
      </c>
      <c r="J252" s="1" t="s">
        <v>3321</v>
      </c>
      <c r="K252" s="1" t="s">
        <v>3322</v>
      </c>
      <c r="L252" s="1" t="s">
        <v>747</v>
      </c>
    </row>
    <row r="253" spans="1:12" x14ac:dyDescent="0.2">
      <c r="A253" s="1" t="s">
        <v>35</v>
      </c>
      <c r="C253" s="1" t="s">
        <v>772</v>
      </c>
      <c r="D253" s="1" t="s">
        <v>749</v>
      </c>
      <c r="E253" s="1" t="s">
        <v>3323</v>
      </c>
      <c r="F253" s="1" t="s">
        <v>3324</v>
      </c>
      <c r="G253" s="1" t="s">
        <v>3325</v>
      </c>
      <c r="H253" s="1" t="s">
        <v>3326</v>
      </c>
      <c r="I253" s="1" t="s">
        <v>3327</v>
      </c>
      <c r="J253" s="1" t="s">
        <v>3328</v>
      </c>
      <c r="K253" s="1" t="s">
        <v>3329</v>
      </c>
      <c r="L253" s="1" t="s">
        <v>750</v>
      </c>
    </row>
    <row r="254" spans="1:12" x14ac:dyDescent="0.2">
      <c r="A254" s="1" t="s">
        <v>35</v>
      </c>
      <c r="C254" s="1" t="s">
        <v>775</v>
      </c>
      <c r="D254" s="1" t="s">
        <v>752</v>
      </c>
      <c r="E254" s="1" t="s">
        <v>3330</v>
      </c>
      <c r="F254" s="1" t="s">
        <v>3331</v>
      </c>
      <c r="G254" s="1" t="s">
        <v>3332</v>
      </c>
      <c r="H254" s="1" t="s">
        <v>3333</v>
      </c>
      <c r="I254" s="1" t="s">
        <v>3334</v>
      </c>
      <c r="J254" s="1" t="s">
        <v>3335</v>
      </c>
      <c r="K254" s="1" t="s">
        <v>3336</v>
      </c>
      <c r="L254" s="1" t="s">
        <v>753</v>
      </c>
    </row>
    <row r="255" spans="1:12" x14ac:dyDescent="0.2">
      <c r="A255" s="1" t="s">
        <v>35</v>
      </c>
      <c r="C255" s="1" t="s">
        <v>778</v>
      </c>
      <c r="D255" s="1" t="s">
        <v>755</v>
      </c>
      <c r="E255" s="1" t="s">
        <v>3337</v>
      </c>
      <c r="F255" s="1" t="s">
        <v>3338</v>
      </c>
      <c r="G255" s="1" t="s">
        <v>3339</v>
      </c>
      <c r="H255" s="1" t="s">
        <v>3340</v>
      </c>
      <c r="I255" s="1" t="s">
        <v>3341</v>
      </c>
      <c r="J255" s="1" t="s">
        <v>3342</v>
      </c>
      <c r="K255" s="1" t="s">
        <v>3343</v>
      </c>
      <c r="L255" s="1" t="s">
        <v>756</v>
      </c>
    </row>
    <row r="256" spans="1:12" x14ac:dyDescent="0.2">
      <c r="A256" s="1" t="s">
        <v>35</v>
      </c>
      <c r="C256" s="1" t="s">
        <v>781</v>
      </c>
      <c r="D256" s="1" t="s">
        <v>758</v>
      </c>
      <c r="E256" s="1" t="s">
        <v>3344</v>
      </c>
      <c r="F256" s="1" t="s">
        <v>3345</v>
      </c>
      <c r="G256" s="1" t="s">
        <v>3346</v>
      </c>
      <c r="H256" s="1" t="s">
        <v>3347</v>
      </c>
      <c r="I256" s="1" t="s">
        <v>3348</v>
      </c>
      <c r="J256" s="1" t="s">
        <v>3349</v>
      </c>
      <c r="K256" s="1" t="s">
        <v>3350</v>
      </c>
      <c r="L256" s="1" t="s">
        <v>759</v>
      </c>
    </row>
    <row r="257" spans="1:12" x14ac:dyDescent="0.2">
      <c r="A257" s="1" t="s">
        <v>35</v>
      </c>
      <c r="C257" s="1" t="s">
        <v>784</v>
      </c>
      <c r="D257" s="1" t="s">
        <v>761</v>
      </c>
      <c r="E257" s="1" t="s">
        <v>3351</v>
      </c>
      <c r="F257" s="1" t="s">
        <v>3352</v>
      </c>
      <c r="G257" s="1" t="s">
        <v>3353</v>
      </c>
      <c r="H257" s="1" t="s">
        <v>3354</v>
      </c>
      <c r="I257" s="1" t="s">
        <v>3355</v>
      </c>
      <c r="J257" s="1" t="s">
        <v>3356</v>
      </c>
      <c r="K257" s="1" t="s">
        <v>3357</v>
      </c>
      <c r="L257" s="1" t="s">
        <v>762</v>
      </c>
    </row>
    <row r="258" spans="1:12" x14ac:dyDescent="0.2">
      <c r="A258" s="1" t="s">
        <v>35</v>
      </c>
      <c r="C258" s="1" t="s">
        <v>787</v>
      </c>
      <c r="D258" s="1" t="s">
        <v>764</v>
      </c>
      <c r="E258" s="1" t="s">
        <v>3358</v>
      </c>
      <c r="F258" s="1" t="s">
        <v>3359</v>
      </c>
      <c r="G258" s="1" t="s">
        <v>3360</v>
      </c>
      <c r="H258" s="1" t="s">
        <v>3361</v>
      </c>
      <c r="I258" s="1" t="s">
        <v>3362</v>
      </c>
      <c r="J258" s="1" t="s">
        <v>3363</v>
      </c>
      <c r="K258" s="1" t="s">
        <v>3364</v>
      </c>
      <c r="L258" s="1" t="s">
        <v>765</v>
      </c>
    </row>
    <row r="259" spans="1:12" x14ac:dyDescent="0.2">
      <c r="A259" s="1" t="s">
        <v>35</v>
      </c>
      <c r="C259" s="1" t="s">
        <v>790</v>
      </c>
      <c r="D259" s="1" t="s">
        <v>767</v>
      </c>
      <c r="E259" s="1" t="s">
        <v>3365</v>
      </c>
      <c r="F259" s="1" t="s">
        <v>3366</v>
      </c>
      <c r="G259" s="1" t="s">
        <v>3367</v>
      </c>
      <c r="H259" s="1" t="s">
        <v>3368</v>
      </c>
      <c r="I259" s="1" t="s">
        <v>3369</v>
      </c>
      <c r="J259" s="1" t="s">
        <v>3370</v>
      </c>
      <c r="K259" s="1" t="s">
        <v>3371</v>
      </c>
      <c r="L259" s="1" t="s">
        <v>768</v>
      </c>
    </row>
    <row r="260" spans="1:12" x14ac:dyDescent="0.2">
      <c r="A260" s="1" t="s">
        <v>35</v>
      </c>
      <c r="C260" s="1" t="s">
        <v>793</v>
      </c>
      <c r="D260" s="1" t="s">
        <v>770</v>
      </c>
      <c r="E260" s="1" t="s">
        <v>3372</v>
      </c>
      <c r="F260" s="1" t="s">
        <v>3373</v>
      </c>
      <c r="G260" s="1" t="s">
        <v>3374</v>
      </c>
      <c r="H260" s="1" t="s">
        <v>3375</v>
      </c>
      <c r="I260" s="1" t="s">
        <v>3376</v>
      </c>
      <c r="J260" s="1" t="s">
        <v>3377</v>
      </c>
      <c r="K260" s="1" t="s">
        <v>3378</v>
      </c>
      <c r="L260" s="1" t="s">
        <v>771</v>
      </c>
    </row>
    <row r="261" spans="1:12" x14ac:dyDescent="0.2">
      <c r="A261" s="1" t="s">
        <v>35</v>
      </c>
      <c r="C261" s="1" t="s">
        <v>796</v>
      </c>
      <c r="D261" s="1" t="s">
        <v>773</v>
      </c>
      <c r="E261" s="1" t="s">
        <v>3379</v>
      </c>
      <c r="F261" s="1" t="s">
        <v>3380</v>
      </c>
      <c r="G261" s="1" t="s">
        <v>3381</v>
      </c>
      <c r="H261" s="1" t="s">
        <v>3382</v>
      </c>
      <c r="I261" s="1" t="s">
        <v>3383</v>
      </c>
      <c r="J261" s="1" t="s">
        <v>3384</v>
      </c>
      <c r="K261" s="1" t="s">
        <v>3385</v>
      </c>
      <c r="L261" s="1" t="s">
        <v>774</v>
      </c>
    </row>
    <row r="262" spans="1:12" x14ac:dyDescent="0.2">
      <c r="A262" s="1" t="s">
        <v>35</v>
      </c>
      <c r="C262" s="1" t="s">
        <v>799</v>
      </c>
      <c r="D262" s="1" t="s">
        <v>776</v>
      </c>
      <c r="E262" s="1" t="s">
        <v>3386</v>
      </c>
      <c r="F262" s="1" t="s">
        <v>3387</v>
      </c>
      <c r="G262" s="1" t="s">
        <v>3388</v>
      </c>
      <c r="H262" s="1" t="s">
        <v>3389</v>
      </c>
      <c r="I262" s="1" t="s">
        <v>3390</v>
      </c>
      <c r="J262" s="1" t="s">
        <v>3391</v>
      </c>
      <c r="K262" s="1" t="s">
        <v>3392</v>
      </c>
      <c r="L262" s="1" t="s">
        <v>777</v>
      </c>
    </row>
    <row r="263" spans="1:12" x14ac:dyDescent="0.2">
      <c r="A263" s="1" t="s">
        <v>35</v>
      </c>
      <c r="C263" s="1" t="s">
        <v>802</v>
      </c>
      <c r="D263" s="1" t="s">
        <v>779</v>
      </c>
      <c r="E263" s="1" t="s">
        <v>3393</v>
      </c>
      <c r="F263" s="1" t="s">
        <v>3394</v>
      </c>
      <c r="G263" s="1" t="s">
        <v>3395</v>
      </c>
      <c r="H263" s="1" t="s">
        <v>3396</v>
      </c>
      <c r="I263" s="1" t="s">
        <v>3397</v>
      </c>
      <c r="J263" s="1" t="s">
        <v>3398</v>
      </c>
      <c r="K263" s="1" t="s">
        <v>3399</v>
      </c>
      <c r="L263" s="1" t="s">
        <v>780</v>
      </c>
    </row>
    <row r="264" spans="1:12" x14ac:dyDescent="0.2">
      <c r="A264" s="1" t="s">
        <v>35</v>
      </c>
      <c r="C264" s="1" t="s">
        <v>805</v>
      </c>
      <c r="D264" s="1" t="s">
        <v>782</v>
      </c>
      <c r="E264" s="1" t="s">
        <v>3400</v>
      </c>
      <c r="F264" s="1" t="s">
        <v>3401</v>
      </c>
      <c r="G264" s="1" t="s">
        <v>3402</v>
      </c>
      <c r="H264" s="1" t="s">
        <v>3403</v>
      </c>
      <c r="I264" s="1" t="s">
        <v>3404</v>
      </c>
      <c r="J264" s="1" t="s">
        <v>3405</v>
      </c>
      <c r="K264" s="1" t="s">
        <v>3406</v>
      </c>
      <c r="L264" s="1" t="s">
        <v>783</v>
      </c>
    </row>
    <row r="265" spans="1:12" x14ac:dyDescent="0.2">
      <c r="A265" s="1" t="s">
        <v>35</v>
      </c>
      <c r="C265" s="1" t="s">
        <v>808</v>
      </c>
      <c r="D265" s="1" t="s">
        <v>785</v>
      </c>
      <c r="E265" s="1" t="s">
        <v>3407</v>
      </c>
      <c r="F265" s="1" t="s">
        <v>3408</v>
      </c>
      <c r="G265" s="1" t="s">
        <v>3409</v>
      </c>
      <c r="H265" s="1" t="s">
        <v>3410</v>
      </c>
      <c r="I265" s="1" t="s">
        <v>3411</v>
      </c>
      <c r="J265" s="1" t="s">
        <v>3412</v>
      </c>
      <c r="K265" s="1" t="s">
        <v>3413</v>
      </c>
      <c r="L265" s="1" t="s">
        <v>786</v>
      </c>
    </row>
    <row r="266" spans="1:12" x14ac:dyDescent="0.2">
      <c r="A266" s="1" t="s">
        <v>35</v>
      </c>
      <c r="C266" s="1" t="s">
        <v>811</v>
      </c>
      <c r="D266" s="1" t="s">
        <v>788</v>
      </c>
      <c r="E266" s="1" t="s">
        <v>3414</v>
      </c>
      <c r="F266" s="1" t="s">
        <v>3415</v>
      </c>
      <c r="G266" s="1" t="s">
        <v>3416</v>
      </c>
      <c r="H266" s="1" t="s">
        <v>3417</v>
      </c>
      <c r="I266" s="1" t="s">
        <v>3418</v>
      </c>
      <c r="J266" s="1" t="s">
        <v>3419</v>
      </c>
      <c r="K266" s="1" t="s">
        <v>3420</v>
      </c>
      <c r="L266" s="1" t="s">
        <v>789</v>
      </c>
    </row>
    <row r="267" spans="1:12" x14ac:dyDescent="0.2">
      <c r="A267" s="1" t="s">
        <v>35</v>
      </c>
      <c r="C267" s="1" t="s">
        <v>814</v>
      </c>
      <c r="D267" s="1" t="s">
        <v>791</v>
      </c>
      <c r="E267" s="1" t="s">
        <v>3421</v>
      </c>
      <c r="F267" s="1" t="s">
        <v>3422</v>
      </c>
      <c r="G267" s="1" t="s">
        <v>3423</v>
      </c>
      <c r="H267" s="1" t="s">
        <v>3424</v>
      </c>
      <c r="I267" s="1" t="s">
        <v>3425</v>
      </c>
      <c r="J267" s="1" t="s">
        <v>3426</v>
      </c>
      <c r="K267" s="1" t="s">
        <v>3427</v>
      </c>
      <c r="L267" s="1" t="s">
        <v>792</v>
      </c>
    </row>
    <row r="268" spans="1:12" x14ac:dyDescent="0.2">
      <c r="A268" s="1" t="s">
        <v>35</v>
      </c>
      <c r="C268" s="1" t="s">
        <v>817</v>
      </c>
      <c r="D268" s="1" t="s">
        <v>794</v>
      </c>
      <c r="E268" s="1" t="s">
        <v>3428</v>
      </c>
      <c r="F268" s="1" t="s">
        <v>3429</v>
      </c>
      <c r="G268" s="1" t="s">
        <v>3430</v>
      </c>
      <c r="H268" s="1" t="s">
        <v>3431</v>
      </c>
      <c r="I268" s="1" t="s">
        <v>3432</v>
      </c>
      <c r="J268" s="1" t="s">
        <v>3433</v>
      </c>
      <c r="K268" s="1" t="s">
        <v>3434</v>
      </c>
      <c r="L268" s="1" t="s">
        <v>795</v>
      </c>
    </row>
    <row r="269" spans="1:12" x14ac:dyDescent="0.2">
      <c r="A269" s="1" t="s">
        <v>35</v>
      </c>
      <c r="C269" s="1" t="s">
        <v>820</v>
      </c>
      <c r="D269" s="1" t="s">
        <v>797</v>
      </c>
      <c r="E269" s="1" t="s">
        <v>3435</v>
      </c>
      <c r="F269" s="1" t="s">
        <v>3436</v>
      </c>
      <c r="G269" s="1" t="s">
        <v>3437</v>
      </c>
      <c r="H269" s="1" t="s">
        <v>3438</v>
      </c>
      <c r="I269" s="1" t="s">
        <v>3439</v>
      </c>
      <c r="J269" s="1" t="s">
        <v>3440</v>
      </c>
      <c r="K269" s="1" t="s">
        <v>3441</v>
      </c>
      <c r="L269" s="1" t="s">
        <v>798</v>
      </c>
    </row>
    <row r="270" spans="1:12" x14ac:dyDescent="0.2">
      <c r="A270" s="1" t="s">
        <v>35</v>
      </c>
      <c r="C270" s="1" t="s">
        <v>823</v>
      </c>
      <c r="D270" s="1" t="s">
        <v>800</v>
      </c>
      <c r="E270" s="1" t="s">
        <v>3442</v>
      </c>
      <c r="F270" s="1" t="s">
        <v>3443</v>
      </c>
      <c r="G270" s="1" t="s">
        <v>3444</v>
      </c>
      <c r="H270" s="1" t="s">
        <v>3445</v>
      </c>
      <c r="I270" s="1" t="s">
        <v>3446</v>
      </c>
      <c r="J270" s="1" t="s">
        <v>3447</v>
      </c>
      <c r="K270" s="1" t="s">
        <v>3448</v>
      </c>
      <c r="L270" s="1" t="s">
        <v>801</v>
      </c>
    </row>
    <row r="271" spans="1:12" x14ac:dyDescent="0.2">
      <c r="A271" s="1" t="s">
        <v>35</v>
      </c>
      <c r="C271" s="1" t="s">
        <v>826</v>
      </c>
      <c r="D271" s="1" t="s">
        <v>803</v>
      </c>
      <c r="E271" s="1" t="s">
        <v>3449</v>
      </c>
      <c r="F271" s="1" t="s">
        <v>3450</v>
      </c>
      <c r="G271" s="1" t="s">
        <v>3451</v>
      </c>
      <c r="H271" s="1" t="s">
        <v>3452</v>
      </c>
      <c r="I271" s="1" t="s">
        <v>3453</v>
      </c>
      <c r="J271" s="1" t="s">
        <v>3454</v>
      </c>
      <c r="K271" s="1" t="s">
        <v>3455</v>
      </c>
      <c r="L271" s="1" t="s">
        <v>804</v>
      </c>
    </row>
    <row r="272" spans="1:12" x14ac:dyDescent="0.2">
      <c r="A272" s="1" t="s">
        <v>35</v>
      </c>
      <c r="C272" s="1" t="s">
        <v>54</v>
      </c>
      <c r="D272" s="1" t="s">
        <v>806</v>
      </c>
      <c r="E272" s="1" t="s">
        <v>3456</v>
      </c>
      <c r="F272" s="1" t="s">
        <v>3457</v>
      </c>
      <c r="G272" s="1" t="s">
        <v>3458</v>
      </c>
      <c r="H272" s="1" t="s">
        <v>3459</v>
      </c>
      <c r="I272" s="1" t="s">
        <v>3460</v>
      </c>
      <c r="J272" s="1" t="s">
        <v>3461</v>
      </c>
      <c r="K272" s="1" t="s">
        <v>3462</v>
      </c>
      <c r="L272" s="1" t="s">
        <v>807</v>
      </c>
    </row>
    <row r="273" spans="1:12" x14ac:dyDescent="0.2">
      <c r="A273" s="1" t="s">
        <v>35</v>
      </c>
      <c r="C273" s="1" t="s">
        <v>831</v>
      </c>
      <c r="D273" s="1" t="s">
        <v>809</v>
      </c>
      <c r="E273" s="1" t="s">
        <v>3463</v>
      </c>
      <c r="F273" s="1" t="s">
        <v>3464</v>
      </c>
      <c r="G273" s="1" t="s">
        <v>3465</v>
      </c>
      <c r="H273" s="1" t="s">
        <v>3466</v>
      </c>
      <c r="I273" s="1" t="s">
        <v>3467</v>
      </c>
      <c r="J273" s="1" t="s">
        <v>3468</v>
      </c>
      <c r="K273" s="1" t="s">
        <v>3469</v>
      </c>
      <c r="L273" s="1" t="s">
        <v>810</v>
      </c>
    </row>
    <row r="274" spans="1:12" x14ac:dyDescent="0.2">
      <c r="A274" s="1" t="s">
        <v>35</v>
      </c>
      <c r="C274" s="1" t="s">
        <v>834</v>
      </c>
      <c r="D274" s="1" t="s">
        <v>812</v>
      </c>
      <c r="E274" s="1" t="s">
        <v>3470</v>
      </c>
      <c r="F274" s="1" t="s">
        <v>3471</v>
      </c>
      <c r="G274" s="1" t="s">
        <v>3472</v>
      </c>
      <c r="H274" s="1" t="s">
        <v>3473</v>
      </c>
      <c r="I274" s="1" t="s">
        <v>3474</v>
      </c>
      <c r="J274" s="1" t="s">
        <v>3475</v>
      </c>
      <c r="K274" s="1" t="s">
        <v>3476</v>
      </c>
      <c r="L274" s="1" t="s">
        <v>813</v>
      </c>
    </row>
    <row r="275" spans="1:12" x14ac:dyDescent="0.2">
      <c r="A275" s="1" t="s">
        <v>35</v>
      </c>
      <c r="C275" s="1" t="s">
        <v>837</v>
      </c>
      <c r="D275" s="1" t="s">
        <v>815</v>
      </c>
      <c r="E275" s="1" t="s">
        <v>3477</v>
      </c>
      <c r="F275" s="1" t="s">
        <v>3478</v>
      </c>
      <c r="G275" s="1" t="s">
        <v>3479</v>
      </c>
      <c r="H275" s="1" t="s">
        <v>3480</v>
      </c>
      <c r="I275" s="1" t="s">
        <v>3481</v>
      </c>
      <c r="J275" s="1" t="s">
        <v>3482</v>
      </c>
      <c r="K275" s="1" t="s">
        <v>3483</v>
      </c>
      <c r="L275" s="1" t="s">
        <v>816</v>
      </c>
    </row>
    <row r="276" spans="1:12" x14ac:dyDescent="0.2">
      <c r="A276" s="1" t="s">
        <v>35</v>
      </c>
      <c r="C276" s="1" t="s">
        <v>840</v>
      </c>
      <c r="D276" s="1" t="s">
        <v>818</v>
      </c>
      <c r="E276" s="1" t="s">
        <v>3484</v>
      </c>
      <c r="F276" s="1" t="s">
        <v>3485</v>
      </c>
      <c r="G276" s="1" t="s">
        <v>3486</v>
      </c>
      <c r="H276" s="1" t="s">
        <v>3487</v>
      </c>
      <c r="I276" s="1" t="s">
        <v>3488</v>
      </c>
      <c r="J276" s="1" t="s">
        <v>3489</v>
      </c>
      <c r="K276" s="1" t="s">
        <v>3490</v>
      </c>
      <c r="L276" s="1" t="s">
        <v>819</v>
      </c>
    </row>
    <row r="277" spans="1:12" x14ac:dyDescent="0.2">
      <c r="A277" s="1" t="s">
        <v>35</v>
      </c>
      <c r="C277" s="1" t="s">
        <v>843</v>
      </c>
      <c r="D277" s="1" t="s">
        <v>821</v>
      </c>
      <c r="E277" s="1" t="s">
        <v>3491</v>
      </c>
      <c r="F277" s="1" t="s">
        <v>3492</v>
      </c>
      <c r="G277" s="1" t="s">
        <v>3493</v>
      </c>
      <c r="H277" s="1" t="s">
        <v>3494</v>
      </c>
      <c r="I277" s="1" t="s">
        <v>3495</v>
      </c>
      <c r="J277" s="1" t="s">
        <v>3496</v>
      </c>
      <c r="K277" s="1" t="s">
        <v>3497</v>
      </c>
      <c r="L277" s="1" t="s">
        <v>822</v>
      </c>
    </row>
    <row r="278" spans="1:12" x14ac:dyDescent="0.2">
      <c r="A278" s="1" t="s">
        <v>35</v>
      </c>
      <c r="C278" s="1" t="s">
        <v>846</v>
      </c>
      <c r="D278" s="1" t="s">
        <v>824</v>
      </c>
      <c r="E278" s="1" t="s">
        <v>3498</v>
      </c>
      <c r="F278" s="1" t="s">
        <v>3499</v>
      </c>
      <c r="G278" s="1" t="s">
        <v>3500</v>
      </c>
      <c r="H278" s="1" t="s">
        <v>3501</v>
      </c>
      <c r="I278" s="1" t="s">
        <v>3502</v>
      </c>
      <c r="J278" s="1" t="s">
        <v>3503</v>
      </c>
      <c r="K278" s="1" t="s">
        <v>3504</v>
      </c>
      <c r="L278" s="1" t="s">
        <v>825</v>
      </c>
    </row>
    <row r="279" spans="1:12" x14ac:dyDescent="0.2">
      <c r="A279" s="1" t="s">
        <v>35</v>
      </c>
      <c r="C279" s="1" t="s">
        <v>849</v>
      </c>
      <c r="D279" s="1" t="s">
        <v>827</v>
      </c>
      <c r="E279" s="1" t="s">
        <v>3505</v>
      </c>
      <c r="F279" s="1" t="s">
        <v>3506</v>
      </c>
      <c r="G279" s="1" t="s">
        <v>3507</v>
      </c>
      <c r="H279" s="1" t="s">
        <v>3508</v>
      </c>
      <c r="I279" s="1" t="s">
        <v>3509</v>
      </c>
      <c r="J279" s="1" t="s">
        <v>3510</v>
      </c>
      <c r="K279" s="1" t="s">
        <v>3511</v>
      </c>
      <c r="L279" s="1" t="s">
        <v>828</v>
      </c>
    </row>
    <row r="280" spans="1:12" x14ac:dyDescent="0.2">
      <c r="A280" s="1" t="s">
        <v>35</v>
      </c>
      <c r="C280" s="1" t="s">
        <v>852</v>
      </c>
      <c r="D280" s="1" t="s">
        <v>829</v>
      </c>
      <c r="E280" s="1" t="s">
        <v>3512</v>
      </c>
      <c r="F280" s="1" t="s">
        <v>3513</v>
      </c>
      <c r="G280" s="1" t="s">
        <v>3514</v>
      </c>
      <c r="H280" s="1" t="s">
        <v>3515</v>
      </c>
      <c r="I280" s="1" t="s">
        <v>3516</v>
      </c>
      <c r="J280" s="1" t="s">
        <v>3517</v>
      </c>
      <c r="K280" s="1" t="s">
        <v>3518</v>
      </c>
      <c r="L280" s="1" t="s">
        <v>830</v>
      </c>
    </row>
    <row r="281" spans="1:12" x14ac:dyDescent="0.2">
      <c r="A281" s="1" t="s">
        <v>35</v>
      </c>
      <c r="C281" s="1" t="s">
        <v>855</v>
      </c>
      <c r="D281" s="1" t="s">
        <v>832</v>
      </c>
      <c r="E281" s="1" t="s">
        <v>3519</v>
      </c>
      <c r="F281" s="1" t="s">
        <v>3520</v>
      </c>
      <c r="G281" s="1" t="s">
        <v>3521</v>
      </c>
      <c r="H281" s="1" t="s">
        <v>3522</v>
      </c>
      <c r="I281" s="1" t="s">
        <v>3523</v>
      </c>
      <c r="J281" s="1" t="s">
        <v>3524</v>
      </c>
      <c r="K281" s="1" t="s">
        <v>3525</v>
      </c>
      <c r="L281" s="1" t="s">
        <v>833</v>
      </c>
    </row>
    <row r="282" spans="1:12" x14ac:dyDescent="0.2">
      <c r="A282" s="1" t="s">
        <v>35</v>
      </c>
      <c r="C282" s="1" t="s">
        <v>858</v>
      </c>
      <c r="D282" s="1" t="s">
        <v>835</v>
      </c>
      <c r="E282" s="1" t="s">
        <v>3526</v>
      </c>
      <c r="F282" s="1" t="s">
        <v>3527</v>
      </c>
      <c r="G282" s="1" t="s">
        <v>3528</v>
      </c>
      <c r="H282" s="1" t="s">
        <v>3529</v>
      </c>
      <c r="I282" s="1" t="s">
        <v>3530</v>
      </c>
      <c r="J282" s="1" t="s">
        <v>3531</v>
      </c>
      <c r="K282" s="1" t="s">
        <v>3532</v>
      </c>
      <c r="L282" s="1" t="s">
        <v>836</v>
      </c>
    </row>
    <row r="283" spans="1:12" x14ac:dyDescent="0.2">
      <c r="A283" s="1" t="s">
        <v>35</v>
      </c>
      <c r="C283" s="1" t="s">
        <v>861</v>
      </c>
      <c r="D283" s="1" t="s">
        <v>838</v>
      </c>
      <c r="E283" s="1" t="s">
        <v>3533</v>
      </c>
      <c r="F283" s="1" t="s">
        <v>3534</v>
      </c>
      <c r="G283" s="1" t="s">
        <v>3535</v>
      </c>
      <c r="H283" s="1" t="s">
        <v>3536</v>
      </c>
      <c r="I283" s="1" t="s">
        <v>3537</v>
      </c>
      <c r="J283" s="1" t="s">
        <v>3538</v>
      </c>
      <c r="K283" s="1" t="s">
        <v>3539</v>
      </c>
      <c r="L283" s="1" t="s">
        <v>839</v>
      </c>
    </row>
    <row r="284" spans="1:12" x14ac:dyDescent="0.2">
      <c r="A284" s="1" t="s">
        <v>35</v>
      </c>
      <c r="C284" s="1" t="s">
        <v>864</v>
      </c>
      <c r="D284" s="1" t="s">
        <v>841</v>
      </c>
      <c r="E284" s="1" t="s">
        <v>3540</v>
      </c>
      <c r="F284" s="1" t="s">
        <v>3541</v>
      </c>
      <c r="G284" s="1" t="s">
        <v>3542</v>
      </c>
      <c r="H284" s="1" t="s">
        <v>3543</v>
      </c>
      <c r="I284" s="1" t="s">
        <v>3544</v>
      </c>
      <c r="J284" s="1" t="s">
        <v>3545</v>
      </c>
      <c r="K284" s="1" t="s">
        <v>3546</v>
      </c>
      <c r="L284" s="1" t="s">
        <v>842</v>
      </c>
    </row>
    <row r="285" spans="1:12" x14ac:dyDescent="0.2">
      <c r="A285" s="1" t="s">
        <v>35</v>
      </c>
      <c r="C285" s="1" t="s">
        <v>867</v>
      </c>
      <c r="D285" s="1" t="s">
        <v>844</v>
      </c>
      <c r="E285" s="1" t="s">
        <v>3547</v>
      </c>
      <c r="F285" s="1" t="s">
        <v>3548</v>
      </c>
      <c r="G285" s="1" t="s">
        <v>3549</v>
      </c>
      <c r="H285" s="1" t="s">
        <v>3550</v>
      </c>
      <c r="I285" s="1" t="s">
        <v>3551</v>
      </c>
      <c r="J285" s="1" t="s">
        <v>3552</v>
      </c>
      <c r="K285" s="1" t="s">
        <v>3553</v>
      </c>
      <c r="L285" s="1" t="s">
        <v>845</v>
      </c>
    </row>
    <row r="286" spans="1:12" x14ac:dyDescent="0.2">
      <c r="A286" s="1" t="s">
        <v>35</v>
      </c>
      <c r="C286" s="1" t="s">
        <v>870</v>
      </c>
      <c r="D286" s="1" t="s">
        <v>847</v>
      </c>
      <c r="E286" s="1" t="s">
        <v>3554</v>
      </c>
      <c r="F286" s="1" t="s">
        <v>3555</v>
      </c>
      <c r="G286" s="1" t="s">
        <v>3556</v>
      </c>
      <c r="H286" s="1" t="s">
        <v>3557</v>
      </c>
      <c r="I286" s="1" t="s">
        <v>3558</v>
      </c>
      <c r="J286" s="1" t="s">
        <v>3559</v>
      </c>
      <c r="K286" s="1" t="s">
        <v>3560</v>
      </c>
      <c r="L286" s="1" t="s">
        <v>848</v>
      </c>
    </row>
    <row r="287" spans="1:12" x14ac:dyDescent="0.2">
      <c r="A287" s="1" t="s">
        <v>35</v>
      </c>
      <c r="C287" s="1" t="s">
        <v>873</v>
      </c>
      <c r="D287" s="1" t="s">
        <v>850</v>
      </c>
      <c r="E287" s="1" t="s">
        <v>3561</v>
      </c>
      <c r="F287" s="1" t="s">
        <v>3562</v>
      </c>
      <c r="G287" s="1" t="s">
        <v>3563</v>
      </c>
      <c r="H287" s="1" t="s">
        <v>3564</v>
      </c>
      <c r="I287" s="1" t="s">
        <v>3565</v>
      </c>
      <c r="J287" s="1" t="s">
        <v>3566</v>
      </c>
      <c r="K287" s="1" t="s">
        <v>3567</v>
      </c>
      <c r="L287" s="1" t="s">
        <v>851</v>
      </c>
    </row>
    <row r="288" spans="1:12" x14ac:dyDescent="0.2">
      <c r="A288" s="1" t="s">
        <v>35</v>
      </c>
      <c r="C288" s="1" t="s">
        <v>876</v>
      </c>
      <c r="D288" s="1" t="s">
        <v>853</v>
      </c>
      <c r="E288" s="1" t="s">
        <v>3568</v>
      </c>
      <c r="F288" s="1" t="s">
        <v>3569</v>
      </c>
      <c r="G288" s="1" t="s">
        <v>3570</v>
      </c>
      <c r="H288" s="1" t="s">
        <v>3571</v>
      </c>
      <c r="I288" s="1" t="s">
        <v>3572</v>
      </c>
      <c r="J288" s="1" t="s">
        <v>3573</v>
      </c>
      <c r="K288" s="1" t="s">
        <v>3574</v>
      </c>
      <c r="L288" s="1" t="s">
        <v>854</v>
      </c>
    </row>
    <row r="289" spans="1:12" x14ac:dyDescent="0.2">
      <c r="A289" s="1" t="s">
        <v>35</v>
      </c>
      <c r="C289" s="1" t="s">
        <v>879</v>
      </c>
      <c r="D289" s="1" t="s">
        <v>856</v>
      </c>
      <c r="E289" s="1" t="s">
        <v>3575</v>
      </c>
      <c r="F289" s="1" t="s">
        <v>3576</v>
      </c>
      <c r="G289" s="1" t="s">
        <v>3577</v>
      </c>
      <c r="H289" s="1" t="s">
        <v>3578</v>
      </c>
      <c r="I289" s="1" t="s">
        <v>3579</v>
      </c>
      <c r="J289" s="1" t="s">
        <v>3580</v>
      </c>
      <c r="K289" s="1" t="s">
        <v>3581</v>
      </c>
      <c r="L289" s="1" t="s">
        <v>857</v>
      </c>
    </row>
    <row r="290" spans="1:12" x14ac:dyDescent="0.2">
      <c r="A290" s="1" t="s">
        <v>35</v>
      </c>
      <c r="C290" s="1" t="s">
        <v>882</v>
      </c>
      <c r="D290" s="1" t="s">
        <v>859</v>
      </c>
      <c r="E290" s="1" t="s">
        <v>3582</v>
      </c>
      <c r="F290" s="1" t="s">
        <v>3583</v>
      </c>
      <c r="G290" s="1" t="s">
        <v>3584</v>
      </c>
      <c r="H290" s="1" t="s">
        <v>3585</v>
      </c>
      <c r="I290" s="1" t="s">
        <v>3586</v>
      </c>
      <c r="J290" s="1" t="s">
        <v>3587</v>
      </c>
      <c r="K290" s="1" t="s">
        <v>3588</v>
      </c>
      <c r="L290" s="1" t="s">
        <v>860</v>
      </c>
    </row>
    <row r="291" spans="1:12" x14ac:dyDescent="0.2">
      <c r="A291" s="1" t="s">
        <v>35</v>
      </c>
      <c r="C291" s="1" t="s">
        <v>885</v>
      </c>
      <c r="D291" s="1" t="s">
        <v>862</v>
      </c>
      <c r="E291" s="1" t="s">
        <v>3589</v>
      </c>
      <c r="F291" s="1" t="s">
        <v>3590</v>
      </c>
      <c r="G291" s="1" t="s">
        <v>3591</v>
      </c>
      <c r="H291" s="1" t="s">
        <v>3592</v>
      </c>
      <c r="I291" s="1" t="s">
        <v>3593</v>
      </c>
      <c r="J291" s="1" t="s">
        <v>3594</v>
      </c>
      <c r="K291" s="1" t="s">
        <v>3595</v>
      </c>
      <c r="L291" s="1" t="s">
        <v>863</v>
      </c>
    </row>
    <row r="292" spans="1:12" x14ac:dyDescent="0.2">
      <c r="A292" s="1" t="s">
        <v>35</v>
      </c>
      <c r="C292" s="1" t="s">
        <v>888</v>
      </c>
      <c r="D292" s="1" t="s">
        <v>865</v>
      </c>
      <c r="E292" s="1" t="s">
        <v>3596</v>
      </c>
      <c r="F292" s="1" t="s">
        <v>3597</v>
      </c>
      <c r="G292" s="1" t="s">
        <v>3598</v>
      </c>
      <c r="H292" s="1" t="s">
        <v>3599</v>
      </c>
      <c r="I292" s="1" t="s">
        <v>3600</v>
      </c>
      <c r="J292" s="1" t="s">
        <v>3601</v>
      </c>
      <c r="K292" s="1" t="s">
        <v>3602</v>
      </c>
      <c r="L292" s="1" t="s">
        <v>866</v>
      </c>
    </row>
    <row r="293" spans="1:12" x14ac:dyDescent="0.2">
      <c r="A293" s="1" t="s">
        <v>35</v>
      </c>
      <c r="C293" s="1" t="s">
        <v>891</v>
      </c>
      <c r="D293" s="1" t="s">
        <v>868</v>
      </c>
      <c r="E293" s="1" t="s">
        <v>3603</v>
      </c>
      <c r="F293" s="1" t="s">
        <v>3604</v>
      </c>
      <c r="G293" s="1" t="s">
        <v>3605</v>
      </c>
      <c r="H293" s="1" t="s">
        <v>3606</v>
      </c>
      <c r="I293" s="1" t="s">
        <v>3607</v>
      </c>
      <c r="J293" s="1" t="s">
        <v>3608</v>
      </c>
      <c r="K293" s="1" t="s">
        <v>3609</v>
      </c>
      <c r="L293" s="1" t="s">
        <v>869</v>
      </c>
    </row>
    <row r="294" spans="1:12" x14ac:dyDescent="0.2">
      <c r="A294" s="1" t="s">
        <v>35</v>
      </c>
      <c r="C294" s="1" t="s">
        <v>894</v>
      </c>
      <c r="D294" s="1" t="s">
        <v>871</v>
      </c>
      <c r="E294" s="1" t="s">
        <v>3610</v>
      </c>
      <c r="F294" s="1" t="s">
        <v>3611</v>
      </c>
      <c r="G294" s="1" t="s">
        <v>3612</v>
      </c>
      <c r="H294" s="1" t="s">
        <v>3613</v>
      </c>
      <c r="I294" s="1" t="s">
        <v>3614</v>
      </c>
      <c r="J294" s="1" t="s">
        <v>3615</v>
      </c>
      <c r="K294" s="1" t="s">
        <v>3616</v>
      </c>
      <c r="L294" s="1" t="s">
        <v>872</v>
      </c>
    </row>
    <row r="295" spans="1:12" x14ac:dyDescent="0.2">
      <c r="A295" s="1" t="s">
        <v>35</v>
      </c>
      <c r="C295" s="1" t="s">
        <v>897</v>
      </c>
      <c r="D295" s="1" t="s">
        <v>874</v>
      </c>
      <c r="E295" s="1" t="s">
        <v>3617</v>
      </c>
      <c r="F295" s="1" t="s">
        <v>3618</v>
      </c>
      <c r="G295" s="1" t="s">
        <v>3619</v>
      </c>
      <c r="H295" s="1" t="s">
        <v>3620</v>
      </c>
      <c r="I295" s="1" t="s">
        <v>3621</v>
      </c>
      <c r="J295" s="1" t="s">
        <v>3622</v>
      </c>
      <c r="K295" s="1" t="s">
        <v>3623</v>
      </c>
      <c r="L295" s="1" t="s">
        <v>875</v>
      </c>
    </row>
    <row r="296" spans="1:12" x14ac:dyDescent="0.2">
      <c r="A296" s="1" t="s">
        <v>35</v>
      </c>
      <c r="C296" s="1" t="s">
        <v>900</v>
      </c>
      <c r="D296" s="1" t="s">
        <v>877</v>
      </c>
      <c r="E296" s="1" t="s">
        <v>3624</v>
      </c>
      <c r="F296" s="1" t="s">
        <v>3625</v>
      </c>
      <c r="G296" s="1" t="s">
        <v>3626</v>
      </c>
      <c r="H296" s="1" t="s">
        <v>3627</v>
      </c>
      <c r="I296" s="1" t="s">
        <v>3628</v>
      </c>
      <c r="J296" s="1" t="s">
        <v>3629</v>
      </c>
      <c r="K296" s="1" t="s">
        <v>3630</v>
      </c>
      <c r="L296" s="1" t="s">
        <v>878</v>
      </c>
    </row>
    <row r="297" spans="1:12" x14ac:dyDescent="0.2">
      <c r="A297" s="1" t="s">
        <v>35</v>
      </c>
      <c r="C297" s="1" t="s">
        <v>903</v>
      </c>
      <c r="D297" s="1" t="s">
        <v>880</v>
      </c>
      <c r="E297" s="1" t="s">
        <v>3631</v>
      </c>
      <c r="F297" s="1" t="s">
        <v>3632</v>
      </c>
      <c r="G297" s="1" t="s">
        <v>3633</v>
      </c>
      <c r="H297" s="1" t="s">
        <v>3634</v>
      </c>
      <c r="I297" s="1" t="s">
        <v>3635</v>
      </c>
      <c r="J297" s="1" t="s">
        <v>3636</v>
      </c>
      <c r="K297" s="1" t="s">
        <v>3637</v>
      </c>
      <c r="L297" s="1" t="s">
        <v>881</v>
      </c>
    </row>
    <row r="298" spans="1:12" x14ac:dyDescent="0.2">
      <c r="A298" s="1" t="s">
        <v>35</v>
      </c>
      <c r="C298" s="1" t="s">
        <v>906</v>
      </c>
      <c r="D298" s="1" t="s">
        <v>883</v>
      </c>
      <c r="E298" s="1" t="s">
        <v>3638</v>
      </c>
      <c r="F298" s="1" t="s">
        <v>3639</v>
      </c>
      <c r="G298" s="1" t="s">
        <v>3640</v>
      </c>
      <c r="H298" s="1" t="s">
        <v>3641</v>
      </c>
      <c r="I298" s="1" t="s">
        <v>3642</v>
      </c>
      <c r="J298" s="1" t="s">
        <v>3643</v>
      </c>
      <c r="K298" s="1" t="s">
        <v>3644</v>
      </c>
      <c r="L298" s="1" t="s">
        <v>884</v>
      </c>
    </row>
    <row r="299" spans="1:12" x14ac:dyDescent="0.2">
      <c r="A299" s="1" t="s">
        <v>35</v>
      </c>
      <c r="C299" s="1" t="s">
        <v>909</v>
      </c>
      <c r="D299" s="1" t="s">
        <v>886</v>
      </c>
      <c r="E299" s="1" t="s">
        <v>3645</v>
      </c>
      <c r="F299" s="1" t="s">
        <v>3646</v>
      </c>
      <c r="G299" s="1" t="s">
        <v>3647</v>
      </c>
      <c r="H299" s="1" t="s">
        <v>3648</v>
      </c>
      <c r="I299" s="1" t="s">
        <v>3649</v>
      </c>
      <c r="J299" s="1" t="s">
        <v>3650</v>
      </c>
      <c r="K299" s="1" t="s">
        <v>3651</v>
      </c>
      <c r="L299" s="1" t="s">
        <v>887</v>
      </c>
    </row>
    <row r="300" spans="1:12" x14ac:dyDescent="0.2">
      <c r="A300" s="1" t="s">
        <v>35</v>
      </c>
      <c r="C300" s="1" t="s">
        <v>912</v>
      </c>
      <c r="D300" s="1" t="s">
        <v>889</v>
      </c>
      <c r="E300" s="1" t="s">
        <v>3652</v>
      </c>
      <c r="F300" s="1" t="s">
        <v>3653</v>
      </c>
      <c r="G300" s="1" t="s">
        <v>3654</v>
      </c>
      <c r="H300" s="1" t="s">
        <v>3655</v>
      </c>
      <c r="I300" s="1" t="s">
        <v>3656</v>
      </c>
      <c r="J300" s="1" t="s">
        <v>3657</v>
      </c>
      <c r="K300" s="1" t="s">
        <v>3658</v>
      </c>
      <c r="L300" s="1" t="s">
        <v>890</v>
      </c>
    </row>
    <row r="301" spans="1:12" x14ac:dyDescent="0.2">
      <c r="A301" s="1" t="s">
        <v>35</v>
      </c>
      <c r="C301" s="1" t="s">
        <v>915</v>
      </c>
      <c r="D301" s="1" t="s">
        <v>892</v>
      </c>
      <c r="E301" s="1" t="s">
        <v>3659</v>
      </c>
      <c r="F301" s="1" t="s">
        <v>3660</v>
      </c>
      <c r="G301" s="1" t="s">
        <v>3661</v>
      </c>
      <c r="H301" s="1" t="s">
        <v>3662</v>
      </c>
      <c r="I301" s="1" t="s">
        <v>3663</v>
      </c>
      <c r="J301" s="1" t="s">
        <v>3664</v>
      </c>
      <c r="K301" s="1" t="s">
        <v>3665</v>
      </c>
      <c r="L301" s="1" t="s">
        <v>893</v>
      </c>
    </row>
    <row r="302" spans="1:12" x14ac:dyDescent="0.2">
      <c r="A302" s="1" t="s">
        <v>35</v>
      </c>
      <c r="C302" s="1" t="s">
        <v>918</v>
      </c>
      <c r="D302" s="1" t="s">
        <v>895</v>
      </c>
      <c r="E302" s="1" t="s">
        <v>3666</v>
      </c>
      <c r="F302" s="1" t="s">
        <v>3667</v>
      </c>
      <c r="G302" s="1" t="s">
        <v>3668</v>
      </c>
      <c r="H302" s="1" t="s">
        <v>3669</v>
      </c>
      <c r="I302" s="1" t="s">
        <v>3670</v>
      </c>
      <c r="J302" s="1" t="s">
        <v>3671</v>
      </c>
      <c r="K302" s="1" t="s">
        <v>3672</v>
      </c>
      <c r="L302" s="1" t="s">
        <v>896</v>
      </c>
    </row>
    <row r="303" spans="1:12" x14ac:dyDescent="0.2">
      <c r="A303" s="1" t="s">
        <v>35</v>
      </c>
      <c r="C303" s="1" t="s">
        <v>921</v>
      </c>
      <c r="D303" s="1" t="s">
        <v>898</v>
      </c>
      <c r="E303" s="1" t="s">
        <v>3673</v>
      </c>
      <c r="F303" s="1" t="s">
        <v>3674</v>
      </c>
      <c r="G303" s="1" t="s">
        <v>3675</v>
      </c>
      <c r="H303" s="1" t="s">
        <v>3676</v>
      </c>
      <c r="I303" s="1" t="s">
        <v>3677</v>
      </c>
      <c r="J303" s="1" t="s">
        <v>3678</v>
      </c>
      <c r="K303" s="1" t="s">
        <v>3679</v>
      </c>
      <c r="L303" s="1" t="s">
        <v>899</v>
      </c>
    </row>
    <row r="304" spans="1:12" x14ac:dyDescent="0.2">
      <c r="A304" s="1" t="s">
        <v>35</v>
      </c>
      <c r="C304" s="1" t="s">
        <v>924</v>
      </c>
      <c r="D304" s="1" t="s">
        <v>901</v>
      </c>
      <c r="E304" s="1" t="s">
        <v>3680</v>
      </c>
      <c r="F304" s="1" t="s">
        <v>3681</v>
      </c>
      <c r="G304" s="1" t="s">
        <v>3682</v>
      </c>
      <c r="H304" s="1" t="s">
        <v>3683</v>
      </c>
      <c r="I304" s="1" t="s">
        <v>3684</v>
      </c>
      <c r="J304" s="1" t="s">
        <v>3685</v>
      </c>
      <c r="K304" s="1" t="s">
        <v>3686</v>
      </c>
      <c r="L304" s="1" t="s">
        <v>902</v>
      </c>
    </row>
    <row r="305" spans="1:12" x14ac:dyDescent="0.2">
      <c r="A305" s="1" t="s">
        <v>35</v>
      </c>
      <c r="C305" s="1" t="s">
        <v>927</v>
      </c>
      <c r="D305" s="1" t="s">
        <v>904</v>
      </c>
      <c r="E305" s="1" t="s">
        <v>3687</v>
      </c>
      <c r="F305" s="1" t="s">
        <v>3688</v>
      </c>
      <c r="G305" s="1" t="s">
        <v>3689</v>
      </c>
      <c r="H305" s="1" t="s">
        <v>3690</v>
      </c>
      <c r="I305" s="1" t="s">
        <v>3691</v>
      </c>
      <c r="J305" s="1" t="s">
        <v>3692</v>
      </c>
      <c r="K305" s="1" t="s">
        <v>3693</v>
      </c>
      <c r="L305" s="1" t="s">
        <v>905</v>
      </c>
    </row>
    <row r="306" spans="1:12" x14ac:dyDescent="0.2">
      <c r="A306" s="1" t="s">
        <v>35</v>
      </c>
      <c r="C306" s="1" t="s">
        <v>930</v>
      </c>
      <c r="D306" s="1" t="s">
        <v>907</v>
      </c>
      <c r="E306" s="1" t="s">
        <v>3694</v>
      </c>
      <c r="F306" s="1" t="s">
        <v>3695</v>
      </c>
      <c r="G306" s="1" t="s">
        <v>3696</v>
      </c>
      <c r="H306" s="1" t="s">
        <v>3697</v>
      </c>
      <c r="I306" s="1" t="s">
        <v>3698</v>
      </c>
      <c r="J306" s="1" t="s">
        <v>3699</v>
      </c>
      <c r="K306" s="1" t="s">
        <v>3700</v>
      </c>
      <c r="L306" s="1" t="s">
        <v>908</v>
      </c>
    </row>
    <row r="307" spans="1:12" x14ac:dyDescent="0.2">
      <c r="A307" s="1" t="s">
        <v>35</v>
      </c>
      <c r="C307" s="1" t="s">
        <v>933</v>
      </c>
      <c r="D307" s="1" t="s">
        <v>910</v>
      </c>
      <c r="E307" s="1" t="s">
        <v>3701</v>
      </c>
      <c r="F307" s="1" t="s">
        <v>3702</v>
      </c>
      <c r="G307" s="1" t="s">
        <v>3703</v>
      </c>
      <c r="H307" s="1" t="s">
        <v>3704</v>
      </c>
      <c r="I307" s="1" t="s">
        <v>3705</v>
      </c>
      <c r="J307" s="1" t="s">
        <v>3706</v>
      </c>
      <c r="K307" s="1" t="s">
        <v>3707</v>
      </c>
      <c r="L307" s="1" t="s">
        <v>911</v>
      </c>
    </row>
    <row r="308" spans="1:12" x14ac:dyDescent="0.2">
      <c r="A308" s="1" t="s">
        <v>35</v>
      </c>
      <c r="C308" s="1" t="s">
        <v>936</v>
      </c>
      <c r="D308" s="1" t="s">
        <v>913</v>
      </c>
      <c r="E308" s="1" t="s">
        <v>3708</v>
      </c>
      <c r="F308" s="1" t="s">
        <v>3709</v>
      </c>
      <c r="G308" s="1" t="s">
        <v>3710</v>
      </c>
      <c r="H308" s="1" t="s">
        <v>3711</v>
      </c>
      <c r="I308" s="1" t="s">
        <v>3712</v>
      </c>
      <c r="J308" s="1" t="s">
        <v>3713</v>
      </c>
      <c r="K308" s="1" t="s">
        <v>3714</v>
      </c>
      <c r="L308" s="1" t="s">
        <v>914</v>
      </c>
    </row>
    <row r="309" spans="1:12" x14ac:dyDescent="0.2">
      <c r="A309" s="1" t="s">
        <v>35</v>
      </c>
      <c r="C309" s="1" t="s">
        <v>939</v>
      </c>
      <c r="D309" s="1" t="s">
        <v>916</v>
      </c>
      <c r="E309" s="1" t="s">
        <v>3715</v>
      </c>
      <c r="F309" s="1" t="s">
        <v>3716</v>
      </c>
      <c r="G309" s="1" t="s">
        <v>3717</v>
      </c>
      <c r="H309" s="1" t="s">
        <v>3718</v>
      </c>
      <c r="I309" s="1" t="s">
        <v>3719</v>
      </c>
      <c r="J309" s="1" t="s">
        <v>3720</v>
      </c>
      <c r="K309" s="1" t="s">
        <v>3721</v>
      </c>
      <c r="L309" s="1" t="s">
        <v>917</v>
      </c>
    </row>
    <row r="310" spans="1:12" x14ac:dyDescent="0.2">
      <c r="A310" s="1" t="s">
        <v>35</v>
      </c>
      <c r="C310" s="1" t="s">
        <v>942</v>
      </c>
      <c r="D310" s="1" t="s">
        <v>919</v>
      </c>
      <c r="E310" s="1" t="s">
        <v>3722</v>
      </c>
      <c r="F310" s="1" t="s">
        <v>3723</v>
      </c>
      <c r="G310" s="1" t="s">
        <v>3724</v>
      </c>
      <c r="H310" s="1" t="s">
        <v>3725</v>
      </c>
      <c r="I310" s="1" t="s">
        <v>3726</v>
      </c>
      <c r="J310" s="1" t="s">
        <v>3727</v>
      </c>
      <c r="K310" s="1" t="s">
        <v>3728</v>
      </c>
      <c r="L310" s="1" t="s">
        <v>920</v>
      </c>
    </row>
    <row r="311" spans="1:12" x14ac:dyDescent="0.2">
      <c r="A311" s="1" t="s">
        <v>35</v>
      </c>
      <c r="C311" s="1" t="s">
        <v>945</v>
      </c>
      <c r="D311" s="1" t="s">
        <v>922</v>
      </c>
      <c r="E311" s="1" t="s">
        <v>3729</v>
      </c>
      <c r="F311" s="1" t="s">
        <v>3730</v>
      </c>
      <c r="G311" s="1" t="s">
        <v>3731</v>
      </c>
      <c r="H311" s="1" t="s">
        <v>3732</v>
      </c>
      <c r="I311" s="1" t="s">
        <v>3733</v>
      </c>
      <c r="J311" s="1" t="s">
        <v>3734</v>
      </c>
      <c r="K311" s="1" t="s">
        <v>3735</v>
      </c>
      <c r="L311" s="1" t="s">
        <v>923</v>
      </c>
    </row>
    <row r="312" spans="1:12" x14ac:dyDescent="0.2">
      <c r="A312" s="1" t="s">
        <v>35</v>
      </c>
      <c r="C312" s="1" t="s">
        <v>948</v>
      </c>
      <c r="D312" s="1" t="s">
        <v>925</v>
      </c>
      <c r="E312" s="1" t="s">
        <v>3736</v>
      </c>
      <c r="F312" s="1" t="s">
        <v>3737</v>
      </c>
      <c r="G312" s="1" t="s">
        <v>3738</v>
      </c>
      <c r="H312" s="1" t="s">
        <v>3739</v>
      </c>
      <c r="I312" s="1" t="s">
        <v>3740</v>
      </c>
      <c r="J312" s="1" t="s">
        <v>3741</v>
      </c>
      <c r="K312" s="1" t="s">
        <v>3742</v>
      </c>
      <c r="L312" s="1" t="s">
        <v>926</v>
      </c>
    </row>
    <row r="313" spans="1:12" x14ac:dyDescent="0.2">
      <c r="A313" s="1" t="s">
        <v>35</v>
      </c>
      <c r="C313" s="1" t="s">
        <v>951</v>
      </c>
      <c r="D313" s="1" t="s">
        <v>928</v>
      </c>
      <c r="E313" s="1" t="s">
        <v>3743</v>
      </c>
      <c r="F313" s="1" t="s">
        <v>3744</v>
      </c>
      <c r="G313" s="1" t="s">
        <v>3745</v>
      </c>
      <c r="H313" s="1" t="s">
        <v>3746</v>
      </c>
      <c r="I313" s="1" t="s">
        <v>3747</v>
      </c>
      <c r="J313" s="1" t="s">
        <v>3748</v>
      </c>
      <c r="K313" s="1" t="s">
        <v>3749</v>
      </c>
      <c r="L313" s="1" t="s">
        <v>929</v>
      </c>
    </row>
    <row r="314" spans="1:12" x14ac:dyDescent="0.2">
      <c r="A314" s="1" t="s">
        <v>35</v>
      </c>
      <c r="C314" s="1" t="s">
        <v>954</v>
      </c>
      <c r="D314" s="1" t="s">
        <v>931</v>
      </c>
      <c r="E314" s="1" t="s">
        <v>3750</v>
      </c>
      <c r="F314" s="1" t="s">
        <v>3751</v>
      </c>
      <c r="G314" s="1" t="s">
        <v>3752</v>
      </c>
      <c r="H314" s="1" t="s">
        <v>3753</v>
      </c>
      <c r="I314" s="1" t="s">
        <v>3754</v>
      </c>
      <c r="J314" s="1" t="s">
        <v>3755</v>
      </c>
      <c r="K314" s="1" t="s">
        <v>3756</v>
      </c>
      <c r="L314" s="1" t="s">
        <v>932</v>
      </c>
    </row>
    <row r="315" spans="1:12" x14ac:dyDescent="0.2">
      <c r="A315" s="1" t="s">
        <v>35</v>
      </c>
      <c r="C315" s="1" t="s">
        <v>957</v>
      </c>
      <c r="D315" s="1" t="s">
        <v>934</v>
      </c>
      <c r="E315" s="1" t="s">
        <v>3757</v>
      </c>
      <c r="F315" s="1" t="s">
        <v>3758</v>
      </c>
      <c r="G315" s="1" t="s">
        <v>3759</v>
      </c>
      <c r="H315" s="1" t="s">
        <v>3760</v>
      </c>
      <c r="I315" s="1" t="s">
        <v>3761</v>
      </c>
      <c r="J315" s="1" t="s">
        <v>3762</v>
      </c>
      <c r="K315" s="1" t="s">
        <v>3763</v>
      </c>
      <c r="L315" s="1" t="s">
        <v>935</v>
      </c>
    </row>
    <row r="316" spans="1:12" x14ac:dyDescent="0.2">
      <c r="A316" s="1" t="s">
        <v>35</v>
      </c>
      <c r="C316" s="1" t="s">
        <v>960</v>
      </c>
      <c r="D316" s="1" t="s">
        <v>937</v>
      </c>
      <c r="E316" s="1" t="s">
        <v>3764</v>
      </c>
      <c r="F316" s="1" t="s">
        <v>3765</v>
      </c>
      <c r="G316" s="1" t="s">
        <v>3766</v>
      </c>
      <c r="H316" s="1" t="s">
        <v>3767</v>
      </c>
      <c r="I316" s="1" t="s">
        <v>3768</v>
      </c>
      <c r="J316" s="1" t="s">
        <v>3769</v>
      </c>
      <c r="K316" s="1" t="s">
        <v>3770</v>
      </c>
      <c r="L316" s="1" t="s">
        <v>938</v>
      </c>
    </row>
    <row r="317" spans="1:12" x14ac:dyDescent="0.2">
      <c r="A317" s="1" t="s">
        <v>35</v>
      </c>
      <c r="C317" s="1" t="s">
        <v>963</v>
      </c>
      <c r="D317" s="1" t="s">
        <v>940</v>
      </c>
      <c r="E317" s="1" t="s">
        <v>3771</v>
      </c>
      <c r="F317" s="1" t="s">
        <v>3772</v>
      </c>
      <c r="G317" s="1" t="s">
        <v>3773</v>
      </c>
      <c r="H317" s="1" t="s">
        <v>3774</v>
      </c>
      <c r="I317" s="1" t="s">
        <v>3775</v>
      </c>
      <c r="J317" s="1" t="s">
        <v>3776</v>
      </c>
      <c r="K317" s="1" t="s">
        <v>3777</v>
      </c>
      <c r="L317" s="1" t="s">
        <v>941</v>
      </c>
    </row>
    <row r="318" spans="1:12" x14ac:dyDescent="0.2">
      <c r="A318" s="1" t="s">
        <v>35</v>
      </c>
      <c r="C318" s="1" t="s">
        <v>966</v>
      </c>
      <c r="D318" s="1" t="s">
        <v>943</v>
      </c>
      <c r="E318" s="1" t="s">
        <v>3778</v>
      </c>
      <c r="F318" s="1" t="s">
        <v>3779</v>
      </c>
      <c r="G318" s="1" t="s">
        <v>3780</v>
      </c>
      <c r="H318" s="1" t="s">
        <v>3781</v>
      </c>
      <c r="I318" s="1" t="s">
        <v>3782</v>
      </c>
      <c r="J318" s="1" t="s">
        <v>3783</v>
      </c>
      <c r="K318" s="1" t="s">
        <v>3784</v>
      </c>
      <c r="L318" s="1" t="s">
        <v>944</v>
      </c>
    </row>
    <row r="319" spans="1:12" x14ac:dyDescent="0.2">
      <c r="A319" s="1" t="s">
        <v>35</v>
      </c>
      <c r="C319" s="1" t="s">
        <v>969</v>
      </c>
      <c r="D319" s="1" t="s">
        <v>946</v>
      </c>
      <c r="E319" s="1" t="s">
        <v>3785</v>
      </c>
      <c r="F319" s="1" t="s">
        <v>3786</v>
      </c>
      <c r="G319" s="1" t="s">
        <v>3787</v>
      </c>
      <c r="H319" s="1" t="s">
        <v>3788</v>
      </c>
      <c r="I319" s="1" t="s">
        <v>3789</v>
      </c>
      <c r="J319" s="1" t="s">
        <v>3790</v>
      </c>
      <c r="K319" s="1" t="s">
        <v>3791</v>
      </c>
      <c r="L319" s="1" t="s">
        <v>947</v>
      </c>
    </row>
    <row r="320" spans="1:12" x14ac:dyDescent="0.2">
      <c r="A320" s="1" t="s">
        <v>35</v>
      </c>
      <c r="C320" s="1" t="s">
        <v>972</v>
      </c>
      <c r="D320" s="1" t="s">
        <v>949</v>
      </c>
      <c r="E320" s="1" t="s">
        <v>3792</v>
      </c>
      <c r="F320" s="1" t="s">
        <v>3793</v>
      </c>
      <c r="G320" s="1" t="s">
        <v>3794</v>
      </c>
      <c r="H320" s="1" t="s">
        <v>3795</v>
      </c>
      <c r="I320" s="1" t="s">
        <v>3796</v>
      </c>
      <c r="J320" s="1" t="s">
        <v>3797</v>
      </c>
      <c r="K320" s="1" t="s">
        <v>3798</v>
      </c>
      <c r="L320" s="1" t="s">
        <v>950</v>
      </c>
    </row>
    <row r="321" spans="1:12" x14ac:dyDescent="0.2">
      <c r="A321" s="1" t="s">
        <v>35</v>
      </c>
      <c r="C321" s="1" t="s">
        <v>975</v>
      </c>
      <c r="D321" s="1" t="s">
        <v>952</v>
      </c>
      <c r="E321" s="1" t="s">
        <v>3799</v>
      </c>
      <c r="F321" s="1" t="s">
        <v>3800</v>
      </c>
      <c r="G321" s="1" t="s">
        <v>3801</v>
      </c>
      <c r="H321" s="1" t="s">
        <v>3802</v>
      </c>
      <c r="I321" s="1" t="s">
        <v>3803</v>
      </c>
      <c r="J321" s="1" t="s">
        <v>3804</v>
      </c>
      <c r="K321" s="1" t="s">
        <v>3805</v>
      </c>
      <c r="L321" s="1" t="s">
        <v>953</v>
      </c>
    </row>
    <row r="322" spans="1:12" x14ac:dyDescent="0.2">
      <c r="A322" s="1" t="s">
        <v>35</v>
      </c>
      <c r="C322" s="1" t="s">
        <v>978</v>
      </c>
      <c r="D322" s="1" t="s">
        <v>955</v>
      </c>
      <c r="E322" s="1" t="s">
        <v>3806</v>
      </c>
      <c r="F322" s="1" t="s">
        <v>3807</v>
      </c>
      <c r="G322" s="1" t="s">
        <v>3808</v>
      </c>
      <c r="H322" s="1" t="s">
        <v>3809</v>
      </c>
      <c r="I322" s="1" t="s">
        <v>3810</v>
      </c>
      <c r="J322" s="1" t="s">
        <v>3811</v>
      </c>
      <c r="K322" s="1" t="s">
        <v>3812</v>
      </c>
      <c r="L322" s="1" t="s">
        <v>956</v>
      </c>
    </row>
    <row r="323" spans="1:12" x14ac:dyDescent="0.2">
      <c r="A323" s="1" t="s">
        <v>35</v>
      </c>
      <c r="C323" s="1" t="s">
        <v>981</v>
      </c>
      <c r="D323" s="1" t="s">
        <v>958</v>
      </c>
      <c r="E323" s="1" t="s">
        <v>3813</v>
      </c>
      <c r="F323" s="1" t="s">
        <v>3814</v>
      </c>
      <c r="G323" s="1" t="s">
        <v>3815</v>
      </c>
      <c r="H323" s="1" t="s">
        <v>3816</v>
      </c>
      <c r="I323" s="1" t="s">
        <v>3817</v>
      </c>
      <c r="J323" s="1" t="s">
        <v>3818</v>
      </c>
      <c r="K323" s="1" t="s">
        <v>3819</v>
      </c>
      <c r="L323" s="1" t="s">
        <v>959</v>
      </c>
    </row>
    <row r="324" spans="1:12" x14ac:dyDescent="0.2">
      <c r="A324" s="1" t="s">
        <v>35</v>
      </c>
      <c r="C324" s="1" t="s">
        <v>984</v>
      </c>
      <c r="D324" s="1" t="s">
        <v>961</v>
      </c>
      <c r="E324" s="1" t="s">
        <v>3820</v>
      </c>
      <c r="F324" s="1" t="s">
        <v>3821</v>
      </c>
      <c r="G324" s="1" t="s">
        <v>3822</v>
      </c>
      <c r="H324" s="1" t="s">
        <v>3823</v>
      </c>
      <c r="I324" s="1" t="s">
        <v>3824</v>
      </c>
      <c r="J324" s="1" t="s">
        <v>3825</v>
      </c>
      <c r="K324" s="1" t="s">
        <v>3826</v>
      </c>
      <c r="L324" s="1" t="s">
        <v>962</v>
      </c>
    </row>
    <row r="325" spans="1:12" x14ac:dyDescent="0.2">
      <c r="A325" s="1" t="s">
        <v>35</v>
      </c>
      <c r="C325" s="1" t="s">
        <v>987</v>
      </c>
      <c r="D325" s="1" t="s">
        <v>964</v>
      </c>
      <c r="E325" s="1" t="s">
        <v>3827</v>
      </c>
      <c r="F325" s="1" t="s">
        <v>3828</v>
      </c>
      <c r="G325" s="1" t="s">
        <v>3829</v>
      </c>
      <c r="H325" s="1" t="s">
        <v>3830</v>
      </c>
      <c r="I325" s="1" t="s">
        <v>3831</v>
      </c>
      <c r="J325" s="1" t="s">
        <v>3832</v>
      </c>
      <c r="K325" s="1" t="s">
        <v>3833</v>
      </c>
      <c r="L325" s="1" t="s">
        <v>965</v>
      </c>
    </row>
    <row r="326" spans="1:12" x14ac:dyDescent="0.2">
      <c r="A326" s="1" t="s">
        <v>35</v>
      </c>
      <c r="C326" s="1" t="s">
        <v>990</v>
      </c>
      <c r="D326" s="1" t="s">
        <v>967</v>
      </c>
      <c r="E326" s="1" t="s">
        <v>3834</v>
      </c>
      <c r="F326" s="1" t="s">
        <v>3835</v>
      </c>
      <c r="G326" s="1" t="s">
        <v>3836</v>
      </c>
      <c r="H326" s="1" t="s">
        <v>3837</v>
      </c>
      <c r="I326" s="1" t="s">
        <v>3838</v>
      </c>
      <c r="J326" s="1" t="s">
        <v>3839</v>
      </c>
      <c r="K326" s="1" t="s">
        <v>3840</v>
      </c>
      <c r="L326" s="1" t="s">
        <v>968</v>
      </c>
    </row>
    <row r="327" spans="1:12" x14ac:dyDescent="0.2">
      <c r="A327" s="1" t="s">
        <v>35</v>
      </c>
      <c r="C327" s="1" t="s">
        <v>993</v>
      </c>
      <c r="D327" s="1" t="s">
        <v>970</v>
      </c>
      <c r="E327" s="1" t="s">
        <v>3841</v>
      </c>
      <c r="F327" s="1" t="s">
        <v>3842</v>
      </c>
      <c r="G327" s="1" t="s">
        <v>3843</v>
      </c>
      <c r="H327" s="1" t="s">
        <v>3844</v>
      </c>
      <c r="I327" s="1" t="s">
        <v>3845</v>
      </c>
      <c r="J327" s="1" t="s">
        <v>3846</v>
      </c>
      <c r="K327" s="1" t="s">
        <v>3847</v>
      </c>
      <c r="L327" s="1" t="s">
        <v>971</v>
      </c>
    </row>
    <row r="328" spans="1:12" x14ac:dyDescent="0.2">
      <c r="A328" s="1" t="s">
        <v>35</v>
      </c>
      <c r="C328" s="1" t="s">
        <v>996</v>
      </c>
      <c r="D328" s="1" t="s">
        <v>973</v>
      </c>
      <c r="E328" s="1" t="s">
        <v>3848</v>
      </c>
      <c r="F328" s="1" t="s">
        <v>3849</v>
      </c>
      <c r="G328" s="1" t="s">
        <v>3850</v>
      </c>
      <c r="H328" s="1" t="s">
        <v>3851</v>
      </c>
      <c r="I328" s="1" t="s">
        <v>3852</v>
      </c>
      <c r="J328" s="1" t="s">
        <v>3853</v>
      </c>
      <c r="K328" s="1" t="s">
        <v>3854</v>
      </c>
      <c r="L328" s="1" t="s">
        <v>974</v>
      </c>
    </row>
    <row r="329" spans="1:12" x14ac:dyDescent="0.2">
      <c r="A329" s="1" t="s">
        <v>35</v>
      </c>
      <c r="C329" s="1" t="s">
        <v>999</v>
      </c>
      <c r="D329" s="1" t="s">
        <v>976</v>
      </c>
      <c r="E329" s="1" t="s">
        <v>3855</v>
      </c>
      <c r="F329" s="1" t="s">
        <v>3856</v>
      </c>
      <c r="G329" s="1" t="s">
        <v>3857</v>
      </c>
      <c r="H329" s="1" t="s">
        <v>3858</v>
      </c>
      <c r="I329" s="1" t="s">
        <v>3859</v>
      </c>
      <c r="J329" s="1" t="s">
        <v>3860</v>
      </c>
      <c r="K329" s="1" t="s">
        <v>3861</v>
      </c>
      <c r="L329" s="1" t="s">
        <v>977</v>
      </c>
    </row>
    <row r="330" spans="1:12" x14ac:dyDescent="0.2">
      <c r="A330" s="1" t="s">
        <v>35</v>
      </c>
      <c r="C330" s="1" t="s">
        <v>1002</v>
      </c>
      <c r="D330" s="1" t="s">
        <v>979</v>
      </c>
      <c r="E330" s="1" t="s">
        <v>3862</v>
      </c>
      <c r="F330" s="1" t="s">
        <v>3863</v>
      </c>
      <c r="G330" s="1" t="s">
        <v>3864</v>
      </c>
      <c r="H330" s="1" t="s">
        <v>3865</v>
      </c>
      <c r="I330" s="1" t="s">
        <v>3866</v>
      </c>
      <c r="J330" s="1" t="s">
        <v>3867</v>
      </c>
      <c r="K330" s="1" t="s">
        <v>3868</v>
      </c>
      <c r="L330" s="1" t="s">
        <v>980</v>
      </c>
    </row>
    <row r="331" spans="1:12" x14ac:dyDescent="0.2">
      <c r="A331" s="1" t="s">
        <v>35</v>
      </c>
      <c r="C331" s="1" t="s">
        <v>1005</v>
      </c>
      <c r="D331" s="1" t="s">
        <v>982</v>
      </c>
      <c r="E331" s="1" t="s">
        <v>3869</v>
      </c>
      <c r="F331" s="1" t="s">
        <v>3870</v>
      </c>
      <c r="G331" s="1" t="s">
        <v>3871</v>
      </c>
      <c r="H331" s="1" t="s">
        <v>3872</v>
      </c>
      <c r="I331" s="1" t="s">
        <v>3873</v>
      </c>
      <c r="J331" s="1" t="s">
        <v>3874</v>
      </c>
      <c r="K331" s="1" t="s">
        <v>3875</v>
      </c>
      <c r="L331" s="1" t="s">
        <v>983</v>
      </c>
    </row>
    <row r="332" spans="1:12" x14ac:dyDescent="0.2">
      <c r="A332" s="1" t="s">
        <v>35</v>
      </c>
      <c r="C332" s="1" t="s">
        <v>1008</v>
      </c>
      <c r="D332" s="1" t="s">
        <v>985</v>
      </c>
      <c r="E332" s="1" t="s">
        <v>3876</v>
      </c>
      <c r="F332" s="1" t="s">
        <v>3877</v>
      </c>
      <c r="G332" s="1" t="s">
        <v>3878</v>
      </c>
      <c r="H332" s="1" t="s">
        <v>3879</v>
      </c>
      <c r="I332" s="1" t="s">
        <v>3880</v>
      </c>
      <c r="J332" s="1" t="s">
        <v>3881</v>
      </c>
      <c r="K332" s="1" t="s">
        <v>3882</v>
      </c>
      <c r="L332" s="1" t="s">
        <v>986</v>
      </c>
    </row>
    <row r="333" spans="1:12" x14ac:dyDescent="0.2">
      <c r="A333" s="1" t="s">
        <v>35</v>
      </c>
      <c r="C333" s="1" t="s">
        <v>1011</v>
      </c>
      <c r="D333" s="1" t="s">
        <v>988</v>
      </c>
      <c r="E333" s="1" t="s">
        <v>3883</v>
      </c>
      <c r="F333" s="1" t="s">
        <v>3884</v>
      </c>
      <c r="G333" s="1" t="s">
        <v>3885</v>
      </c>
      <c r="H333" s="1" t="s">
        <v>3886</v>
      </c>
      <c r="I333" s="1" t="s">
        <v>3887</v>
      </c>
      <c r="J333" s="1" t="s">
        <v>3888</v>
      </c>
      <c r="K333" s="1" t="s">
        <v>3889</v>
      </c>
      <c r="L333" s="1" t="s">
        <v>989</v>
      </c>
    </row>
    <row r="334" spans="1:12" x14ac:dyDescent="0.2">
      <c r="A334" s="1" t="s">
        <v>35</v>
      </c>
      <c r="C334" s="1" t="s">
        <v>1014</v>
      </c>
      <c r="D334" s="1" t="s">
        <v>991</v>
      </c>
      <c r="E334" s="1" t="s">
        <v>3890</v>
      </c>
      <c r="F334" s="1" t="s">
        <v>3891</v>
      </c>
      <c r="G334" s="1" t="s">
        <v>3892</v>
      </c>
      <c r="H334" s="1" t="s">
        <v>3893</v>
      </c>
      <c r="I334" s="1" t="s">
        <v>3894</v>
      </c>
      <c r="J334" s="1" t="s">
        <v>3895</v>
      </c>
      <c r="K334" s="1" t="s">
        <v>3896</v>
      </c>
      <c r="L334" s="1" t="s">
        <v>992</v>
      </c>
    </row>
    <row r="335" spans="1:12" x14ac:dyDescent="0.2">
      <c r="A335" s="1" t="s">
        <v>35</v>
      </c>
      <c r="C335" s="1" t="s">
        <v>1017</v>
      </c>
      <c r="D335" s="1" t="s">
        <v>994</v>
      </c>
      <c r="E335" s="1" t="s">
        <v>3897</v>
      </c>
      <c r="F335" s="1" t="s">
        <v>3898</v>
      </c>
      <c r="G335" s="1" t="s">
        <v>3899</v>
      </c>
      <c r="H335" s="1" t="s">
        <v>3900</v>
      </c>
      <c r="I335" s="1" t="s">
        <v>3901</v>
      </c>
      <c r="J335" s="1" t="s">
        <v>3902</v>
      </c>
      <c r="K335" s="1" t="s">
        <v>3903</v>
      </c>
      <c r="L335" s="1" t="s">
        <v>995</v>
      </c>
    </row>
    <row r="336" spans="1:12" x14ac:dyDescent="0.2">
      <c r="A336" s="1" t="s">
        <v>35</v>
      </c>
      <c r="C336" s="1" t="s">
        <v>1020</v>
      </c>
      <c r="D336" s="1" t="s">
        <v>997</v>
      </c>
      <c r="E336" s="1" t="s">
        <v>3904</v>
      </c>
      <c r="F336" s="1" t="s">
        <v>3905</v>
      </c>
      <c r="G336" s="1" t="s">
        <v>3906</v>
      </c>
      <c r="H336" s="1" t="s">
        <v>3907</v>
      </c>
      <c r="I336" s="1" t="s">
        <v>3908</v>
      </c>
      <c r="J336" s="1" t="s">
        <v>3909</v>
      </c>
      <c r="K336" s="1" t="s">
        <v>3910</v>
      </c>
      <c r="L336" s="1" t="s">
        <v>998</v>
      </c>
    </row>
    <row r="337" spans="1:12" x14ac:dyDescent="0.2">
      <c r="A337" s="1" t="s">
        <v>35</v>
      </c>
      <c r="C337" s="1" t="s">
        <v>1023</v>
      </c>
      <c r="D337" s="1" t="s">
        <v>1000</v>
      </c>
      <c r="E337" s="1" t="s">
        <v>3911</v>
      </c>
      <c r="F337" s="1" t="s">
        <v>3912</v>
      </c>
      <c r="G337" s="1" t="s">
        <v>3913</v>
      </c>
      <c r="H337" s="1" t="s">
        <v>3914</v>
      </c>
      <c r="I337" s="1" t="s">
        <v>3915</v>
      </c>
      <c r="J337" s="1" t="s">
        <v>3916</v>
      </c>
      <c r="K337" s="1" t="s">
        <v>3917</v>
      </c>
      <c r="L337" s="1" t="s">
        <v>1001</v>
      </c>
    </row>
    <row r="338" spans="1:12" x14ac:dyDescent="0.2">
      <c r="A338" s="1" t="s">
        <v>35</v>
      </c>
      <c r="C338" s="1" t="s">
        <v>1026</v>
      </c>
      <c r="D338" s="1" t="s">
        <v>1003</v>
      </c>
      <c r="E338" s="1" t="s">
        <v>3918</v>
      </c>
      <c r="F338" s="1" t="s">
        <v>3919</v>
      </c>
      <c r="G338" s="1" t="s">
        <v>3920</v>
      </c>
      <c r="H338" s="1" t="s">
        <v>3921</v>
      </c>
      <c r="I338" s="1" t="s">
        <v>3922</v>
      </c>
      <c r="J338" s="1" t="s">
        <v>3923</v>
      </c>
      <c r="K338" s="1" t="s">
        <v>3924</v>
      </c>
      <c r="L338" s="1" t="s">
        <v>1004</v>
      </c>
    </row>
    <row r="339" spans="1:12" x14ac:dyDescent="0.2">
      <c r="A339" s="1" t="s">
        <v>35</v>
      </c>
      <c r="C339" s="1" t="s">
        <v>1029</v>
      </c>
      <c r="D339" s="1" t="s">
        <v>1006</v>
      </c>
      <c r="E339" s="1" t="s">
        <v>3925</v>
      </c>
      <c r="F339" s="1" t="s">
        <v>3926</v>
      </c>
      <c r="G339" s="1" t="s">
        <v>3927</v>
      </c>
      <c r="H339" s="1" t="s">
        <v>3928</v>
      </c>
      <c r="I339" s="1" t="s">
        <v>3929</v>
      </c>
      <c r="J339" s="1" t="s">
        <v>3930</v>
      </c>
      <c r="K339" s="1" t="s">
        <v>3931</v>
      </c>
      <c r="L339" s="1" t="s">
        <v>1007</v>
      </c>
    </row>
    <row r="340" spans="1:12" x14ac:dyDescent="0.2">
      <c r="A340" s="1" t="s">
        <v>35</v>
      </c>
      <c r="C340" s="1" t="s">
        <v>1032</v>
      </c>
      <c r="D340" s="1" t="s">
        <v>1009</v>
      </c>
      <c r="E340" s="1" t="s">
        <v>3932</v>
      </c>
      <c r="F340" s="1" t="s">
        <v>3933</v>
      </c>
      <c r="G340" s="1" t="s">
        <v>3934</v>
      </c>
      <c r="H340" s="1" t="s">
        <v>3935</v>
      </c>
      <c r="I340" s="1" t="s">
        <v>3936</v>
      </c>
      <c r="J340" s="1" t="s">
        <v>3937</v>
      </c>
      <c r="K340" s="1" t="s">
        <v>3938</v>
      </c>
      <c r="L340" s="1" t="s">
        <v>1010</v>
      </c>
    </row>
    <row r="341" spans="1:12" x14ac:dyDescent="0.2">
      <c r="A341" s="1" t="s">
        <v>35</v>
      </c>
      <c r="C341" s="1" t="s">
        <v>1035</v>
      </c>
      <c r="D341" s="1" t="s">
        <v>1012</v>
      </c>
      <c r="E341" s="1" t="s">
        <v>3939</v>
      </c>
      <c r="F341" s="1" t="s">
        <v>3940</v>
      </c>
      <c r="G341" s="1" t="s">
        <v>3941</v>
      </c>
      <c r="H341" s="1" t="s">
        <v>3942</v>
      </c>
      <c r="I341" s="1" t="s">
        <v>3943</v>
      </c>
      <c r="J341" s="1" t="s">
        <v>3944</v>
      </c>
      <c r="K341" s="1" t="s">
        <v>3945</v>
      </c>
      <c r="L341" s="1" t="s">
        <v>1013</v>
      </c>
    </row>
    <row r="342" spans="1:12" x14ac:dyDescent="0.2">
      <c r="A342" s="1" t="s">
        <v>35</v>
      </c>
      <c r="C342" s="1" t="s">
        <v>1038</v>
      </c>
      <c r="D342" s="1" t="s">
        <v>1015</v>
      </c>
      <c r="E342" s="1" t="s">
        <v>3946</v>
      </c>
      <c r="F342" s="1" t="s">
        <v>3947</v>
      </c>
      <c r="G342" s="1" t="s">
        <v>3948</v>
      </c>
      <c r="H342" s="1" t="s">
        <v>3949</v>
      </c>
      <c r="I342" s="1" t="s">
        <v>3950</v>
      </c>
      <c r="J342" s="1" t="s">
        <v>3951</v>
      </c>
      <c r="K342" s="1" t="s">
        <v>3952</v>
      </c>
      <c r="L342" s="1" t="s">
        <v>1016</v>
      </c>
    </row>
    <row r="343" spans="1:12" x14ac:dyDescent="0.2">
      <c r="A343" s="1" t="s">
        <v>35</v>
      </c>
      <c r="C343" s="1" t="s">
        <v>1041</v>
      </c>
      <c r="D343" s="1" t="s">
        <v>1018</v>
      </c>
      <c r="E343" s="1" t="s">
        <v>3953</v>
      </c>
      <c r="F343" s="1" t="s">
        <v>3954</v>
      </c>
      <c r="G343" s="1" t="s">
        <v>3955</v>
      </c>
      <c r="H343" s="1" t="s">
        <v>3956</v>
      </c>
      <c r="I343" s="1" t="s">
        <v>3957</v>
      </c>
      <c r="J343" s="1" t="s">
        <v>3958</v>
      </c>
      <c r="K343" s="1" t="s">
        <v>3959</v>
      </c>
      <c r="L343" s="1" t="s">
        <v>1019</v>
      </c>
    </row>
    <row r="344" spans="1:12" x14ac:dyDescent="0.2">
      <c r="A344" s="1" t="s">
        <v>35</v>
      </c>
      <c r="C344" s="1" t="s">
        <v>1044</v>
      </c>
      <c r="D344" s="1" t="s">
        <v>1021</v>
      </c>
      <c r="E344" s="1" t="s">
        <v>3960</v>
      </c>
      <c r="F344" s="1" t="s">
        <v>3961</v>
      </c>
      <c r="G344" s="1" t="s">
        <v>3962</v>
      </c>
      <c r="H344" s="1" t="s">
        <v>3963</v>
      </c>
      <c r="I344" s="1" t="s">
        <v>3964</v>
      </c>
      <c r="J344" s="1" t="s">
        <v>3965</v>
      </c>
      <c r="K344" s="1" t="s">
        <v>3966</v>
      </c>
      <c r="L344" s="1" t="s">
        <v>1022</v>
      </c>
    </row>
    <row r="345" spans="1:12" x14ac:dyDescent="0.2">
      <c r="A345" s="1" t="s">
        <v>35</v>
      </c>
      <c r="C345" s="1" t="s">
        <v>1047</v>
      </c>
      <c r="D345" s="1" t="s">
        <v>1024</v>
      </c>
      <c r="E345" s="1" t="s">
        <v>3967</v>
      </c>
      <c r="F345" s="1" t="s">
        <v>3968</v>
      </c>
      <c r="G345" s="1" t="s">
        <v>3969</v>
      </c>
      <c r="H345" s="1" t="s">
        <v>3970</v>
      </c>
      <c r="I345" s="1" t="s">
        <v>3971</v>
      </c>
      <c r="J345" s="1" t="s">
        <v>3972</v>
      </c>
      <c r="K345" s="1" t="s">
        <v>3973</v>
      </c>
      <c r="L345" s="1" t="s">
        <v>1025</v>
      </c>
    </row>
    <row r="346" spans="1:12" x14ac:dyDescent="0.2">
      <c r="A346" s="1" t="s">
        <v>35</v>
      </c>
      <c r="C346" s="1" t="s">
        <v>1050</v>
      </c>
      <c r="D346" s="1" t="s">
        <v>1027</v>
      </c>
      <c r="E346" s="1" t="s">
        <v>3974</v>
      </c>
      <c r="F346" s="1" t="s">
        <v>3975</v>
      </c>
      <c r="G346" s="1" t="s">
        <v>3976</v>
      </c>
      <c r="H346" s="1" t="s">
        <v>3977</v>
      </c>
      <c r="I346" s="1" t="s">
        <v>3978</v>
      </c>
      <c r="J346" s="1" t="s">
        <v>3979</v>
      </c>
      <c r="K346" s="1" t="s">
        <v>3980</v>
      </c>
      <c r="L346" s="1" t="s">
        <v>1028</v>
      </c>
    </row>
    <row r="347" spans="1:12" x14ac:dyDescent="0.2">
      <c r="A347" s="1" t="s">
        <v>35</v>
      </c>
      <c r="C347" s="1" t="s">
        <v>1053</v>
      </c>
      <c r="D347" s="1" t="s">
        <v>1030</v>
      </c>
      <c r="E347" s="1" t="s">
        <v>3981</v>
      </c>
      <c r="F347" s="1" t="s">
        <v>3982</v>
      </c>
      <c r="G347" s="1" t="s">
        <v>3983</v>
      </c>
      <c r="H347" s="1" t="s">
        <v>3984</v>
      </c>
      <c r="I347" s="1" t="s">
        <v>3985</v>
      </c>
      <c r="J347" s="1" t="s">
        <v>3986</v>
      </c>
      <c r="K347" s="1" t="s">
        <v>3987</v>
      </c>
      <c r="L347" s="1" t="s">
        <v>1031</v>
      </c>
    </row>
    <row r="348" spans="1:12" x14ac:dyDescent="0.2">
      <c r="A348" s="1" t="s">
        <v>35</v>
      </c>
      <c r="C348" s="1" t="s">
        <v>1056</v>
      </c>
      <c r="D348" s="1" t="s">
        <v>1033</v>
      </c>
      <c r="E348" s="1" t="s">
        <v>3988</v>
      </c>
      <c r="F348" s="1" t="s">
        <v>3989</v>
      </c>
      <c r="G348" s="1" t="s">
        <v>3990</v>
      </c>
      <c r="H348" s="1" t="s">
        <v>3991</v>
      </c>
      <c r="I348" s="1" t="s">
        <v>3992</v>
      </c>
      <c r="J348" s="1" t="s">
        <v>3993</v>
      </c>
      <c r="K348" s="1" t="s">
        <v>3994</v>
      </c>
      <c r="L348" s="1" t="s">
        <v>1034</v>
      </c>
    </row>
    <row r="349" spans="1:12" x14ac:dyDescent="0.2">
      <c r="A349" s="1" t="s">
        <v>35</v>
      </c>
      <c r="C349" s="1" t="s">
        <v>1059</v>
      </c>
      <c r="D349" s="1" t="s">
        <v>1036</v>
      </c>
      <c r="E349" s="1" t="s">
        <v>3995</v>
      </c>
      <c r="F349" s="1" t="s">
        <v>3996</v>
      </c>
      <c r="G349" s="1" t="s">
        <v>3997</v>
      </c>
      <c r="H349" s="1" t="s">
        <v>3998</v>
      </c>
      <c r="I349" s="1" t="s">
        <v>3999</v>
      </c>
      <c r="J349" s="1" t="s">
        <v>4000</v>
      </c>
      <c r="K349" s="1" t="s">
        <v>4001</v>
      </c>
      <c r="L349" s="1" t="s">
        <v>1037</v>
      </c>
    </row>
    <row r="350" spans="1:12" x14ac:dyDescent="0.2">
      <c r="A350" s="1" t="s">
        <v>35</v>
      </c>
      <c r="C350" s="1" t="s">
        <v>1062</v>
      </c>
      <c r="D350" s="1" t="s">
        <v>1039</v>
      </c>
      <c r="E350" s="1" t="s">
        <v>4002</v>
      </c>
      <c r="F350" s="1" t="s">
        <v>4003</v>
      </c>
      <c r="G350" s="1" t="s">
        <v>4004</v>
      </c>
      <c r="H350" s="1" t="s">
        <v>4005</v>
      </c>
      <c r="I350" s="1" t="s">
        <v>4006</v>
      </c>
      <c r="J350" s="1" t="s">
        <v>4007</v>
      </c>
      <c r="K350" s="1" t="s">
        <v>4008</v>
      </c>
      <c r="L350" s="1" t="s">
        <v>1040</v>
      </c>
    </row>
    <row r="351" spans="1:12" x14ac:dyDescent="0.2">
      <c r="A351" s="1" t="s">
        <v>35</v>
      </c>
      <c r="C351" s="1" t="s">
        <v>1065</v>
      </c>
      <c r="D351" s="1" t="s">
        <v>1042</v>
      </c>
      <c r="E351" s="1" t="s">
        <v>4009</v>
      </c>
      <c r="F351" s="1" t="s">
        <v>4010</v>
      </c>
      <c r="G351" s="1" t="s">
        <v>4011</v>
      </c>
      <c r="H351" s="1" t="s">
        <v>4012</v>
      </c>
      <c r="I351" s="1" t="s">
        <v>4013</v>
      </c>
      <c r="J351" s="1" t="s">
        <v>4014</v>
      </c>
      <c r="K351" s="1" t="s">
        <v>4015</v>
      </c>
      <c r="L351" s="1" t="s">
        <v>1043</v>
      </c>
    </row>
    <row r="352" spans="1:12" x14ac:dyDescent="0.2">
      <c r="A352" s="1" t="s">
        <v>35</v>
      </c>
      <c r="C352" s="1" t="s">
        <v>1068</v>
      </c>
      <c r="D352" s="1" t="s">
        <v>1045</v>
      </c>
      <c r="E352" s="1" t="s">
        <v>4016</v>
      </c>
      <c r="F352" s="1" t="s">
        <v>4017</v>
      </c>
      <c r="G352" s="1" t="s">
        <v>4018</v>
      </c>
      <c r="H352" s="1" t="s">
        <v>4019</v>
      </c>
      <c r="I352" s="1" t="s">
        <v>4020</v>
      </c>
      <c r="J352" s="1" t="s">
        <v>4021</v>
      </c>
      <c r="K352" s="1" t="s">
        <v>4022</v>
      </c>
      <c r="L352" s="1" t="s">
        <v>1046</v>
      </c>
    </row>
    <row r="353" spans="1:12" x14ac:dyDescent="0.2">
      <c r="A353" s="1" t="s">
        <v>35</v>
      </c>
      <c r="C353" s="1" t="s">
        <v>1071</v>
      </c>
      <c r="D353" s="1" t="s">
        <v>1048</v>
      </c>
      <c r="E353" s="1" t="s">
        <v>4023</v>
      </c>
      <c r="F353" s="1" t="s">
        <v>4024</v>
      </c>
      <c r="G353" s="1" t="s">
        <v>4025</v>
      </c>
      <c r="H353" s="1" t="s">
        <v>4026</v>
      </c>
      <c r="I353" s="1" t="s">
        <v>4027</v>
      </c>
      <c r="J353" s="1" t="s">
        <v>4028</v>
      </c>
      <c r="K353" s="1" t="s">
        <v>4029</v>
      </c>
      <c r="L353" s="1" t="s">
        <v>1049</v>
      </c>
    </row>
    <row r="354" spans="1:12" x14ac:dyDescent="0.2">
      <c r="A354" s="1" t="s">
        <v>35</v>
      </c>
      <c r="C354" s="1" t="s">
        <v>1074</v>
      </c>
      <c r="D354" s="1" t="s">
        <v>1051</v>
      </c>
      <c r="E354" s="1" t="s">
        <v>4030</v>
      </c>
      <c r="F354" s="1" t="s">
        <v>4031</v>
      </c>
      <c r="G354" s="1" t="s">
        <v>4032</v>
      </c>
      <c r="H354" s="1" t="s">
        <v>4033</v>
      </c>
      <c r="I354" s="1" t="s">
        <v>4034</v>
      </c>
      <c r="J354" s="1" t="s">
        <v>4035</v>
      </c>
      <c r="K354" s="1" t="s">
        <v>4036</v>
      </c>
      <c r="L354" s="1" t="s">
        <v>1052</v>
      </c>
    </row>
    <row r="355" spans="1:12" x14ac:dyDescent="0.2">
      <c r="A355" s="1" t="s">
        <v>35</v>
      </c>
      <c r="C355" s="1" t="s">
        <v>1077</v>
      </c>
      <c r="D355" s="1" t="s">
        <v>1054</v>
      </c>
      <c r="E355" s="1" t="s">
        <v>4037</v>
      </c>
      <c r="F355" s="1" t="s">
        <v>4038</v>
      </c>
      <c r="G355" s="1" t="s">
        <v>4039</v>
      </c>
      <c r="H355" s="1" t="s">
        <v>4040</v>
      </c>
      <c r="I355" s="1" t="s">
        <v>4041</v>
      </c>
      <c r="J355" s="1" t="s">
        <v>4042</v>
      </c>
      <c r="K355" s="1" t="s">
        <v>4043</v>
      </c>
      <c r="L355" s="1" t="s">
        <v>1055</v>
      </c>
    </row>
    <row r="356" spans="1:12" x14ac:dyDescent="0.2">
      <c r="A356" s="1" t="s">
        <v>35</v>
      </c>
      <c r="C356" s="1" t="s">
        <v>1080</v>
      </c>
      <c r="D356" s="1" t="s">
        <v>1057</v>
      </c>
      <c r="E356" s="1" t="s">
        <v>4044</v>
      </c>
      <c r="F356" s="1" t="s">
        <v>4045</v>
      </c>
      <c r="G356" s="1" t="s">
        <v>4046</v>
      </c>
      <c r="H356" s="1" t="s">
        <v>4047</v>
      </c>
      <c r="I356" s="1" t="s">
        <v>4048</v>
      </c>
      <c r="J356" s="1" t="s">
        <v>4049</v>
      </c>
      <c r="K356" s="1" t="s">
        <v>4050</v>
      </c>
      <c r="L356" s="1" t="s">
        <v>1058</v>
      </c>
    </row>
    <row r="357" spans="1:12" x14ac:dyDescent="0.2">
      <c r="A357" s="1" t="s">
        <v>35</v>
      </c>
      <c r="C357" s="1" t="s">
        <v>1083</v>
      </c>
      <c r="D357" s="1" t="s">
        <v>1060</v>
      </c>
      <c r="E357" s="1" t="s">
        <v>4051</v>
      </c>
      <c r="F357" s="1" t="s">
        <v>4052</v>
      </c>
      <c r="G357" s="1" t="s">
        <v>4053</v>
      </c>
      <c r="H357" s="1" t="s">
        <v>4054</v>
      </c>
      <c r="I357" s="1" t="s">
        <v>4055</v>
      </c>
      <c r="J357" s="1" t="s">
        <v>4056</v>
      </c>
      <c r="K357" s="1" t="s">
        <v>4057</v>
      </c>
      <c r="L357" s="1" t="s">
        <v>1061</v>
      </c>
    </row>
    <row r="358" spans="1:12" x14ac:dyDescent="0.2">
      <c r="A358" s="1" t="s">
        <v>35</v>
      </c>
      <c r="C358" s="1" t="s">
        <v>1086</v>
      </c>
      <c r="D358" s="1" t="s">
        <v>1063</v>
      </c>
      <c r="E358" s="1" t="s">
        <v>4058</v>
      </c>
      <c r="F358" s="1" t="s">
        <v>4059</v>
      </c>
      <c r="G358" s="1" t="s">
        <v>4060</v>
      </c>
      <c r="H358" s="1" t="s">
        <v>4061</v>
      </c>
      <c r="I358" s="1" t="s">
        <v>4062</v>
      </c>
      <c r="J358" s="1" t="s">
        <v>4063</v>
      </c>
      <c r="K358" s="1" t="s">
        <v>4064</v>
      </c>
      <c r="L358" s="1" t="s">
        <v>1064</v>
      </c>
    </row>
    <row r="359" spans="1:12" x14ac:dyDescent="0.2">
      <c r="A359" s="1" t="s">
        <v>35</v>
      </c>
      <c r="C359" s="1" t="s">
        <v>1089</v>
      </c>
      <c r="D359" s="1" t="s">
        <v>1066</v>
      </c>
      <c r="E359" s="1" t="s">
        <v>4065</v>
      </c>
      <c r="F359" s="1" t="s">
        <v>4066</v>
      </c>
      <c r="G359" s="1" t="s">
        <v>4067</v>
      </c>
      <c r="H359" s="1" t="s">
        <v>4068</v>
      </c>
      <c r="I359" s="1" t="s">
        <v>4069</v>
      </c>
      <c r="J359" s="1" t="s">
        <v>4070</v>
      </c>
      <c r="K359" s="1" t="s">
        <v>4071</v>
      </c>
      <c r="L359" s="1" t="s">
        <v>1067</v>
      </c>
    </row>
    <row r="360" spans="1:12" x14ac:dyDescent="0.2">
      <c r="A360" s="1" t="s">
        <v>35</v>
      </c>
      <c r="C360" s="1" t="s">
        <v>1092</v>
      </c>
      <c r="D360" s="1" t="s">
        <v>1069</v>
      </c>
      <c r="E360" s="1" t="s">
        <v>4072</v>
      </c>
      <c r="F360" s="1" t="s">
        <v>4073</v>
      </c>
      <c r="G360" s="1" t="s">
        <v>4074</v>
      </c>
      <c r="H360" s="1" t="s">
        <v>4075</v>
      </c>
      <c r="I360" s="1" t="s">
        <v>4076</v>
      </c>
      <c r="J360" s="1" t="s">
        <v>4077</v>
      </c>
      <c r="K360" s="1" t="s">
        <v>4078</v>
      </c>
      <c r="L360" s="1" t="s">
        <v>1070</v>
      </c>
    </row>
    <row r="361" spans="1:12" x14ac:dyDescent="0.2">
      <c r="A361" s="1" t="s">
        <v>35</v>
      </c>
      <c r="C361" s="1" t="s">
        <v>1095</v>
      </c>
      <c r="D361" s="1" t="s">
        <v>1072</v>
      </c>
      <c r="E361" s="1" t="s">
        <v>4079</v>
      </c>
      <c r="F361" s="1" t="s">
        <v>4080</v>
      </c>
      <c r="G361" s="1" t="s">
        <v>4081</v>
      </c>
      <c r="H361" s="1" t="s">
        <v>4082</v>
      </c>
      <c r="I361" s="1" t="s">
        <v>4083</v>
      </c>
      <c r="J361" s="1" t="s">
        <v>4084</v>
      </c>
      <c r="K361" s="1" t="s">
        <v>4085</v>
      </c>
      <c r="L361" s="1" t="s">
        <v>1073</v>
      </c>
    </row>
    <row r="362" spans="1:12" x14ac:dyDescent="0.2">
      <c r="A362" s="1" t="s">
        <v>35</v>
      </c>
      <c r="C362" s="1" t="s">
        <v>1098</v>
      </c>
      <c r="D362" s="1" t="s">
        <v>1075</v>
      </c>
      <c r="E362" s="1" t="s">
        <v>4086</v>
      </c>
      <c r="F362" s="1" t="s">
        <v>4087</v>
      </c>
      <c r="G362" s="1" t="s">
        <v>4088</v>
      </c>
      <c r="H362" s="1" t="s">
        <v>4089</v>
      </c>
      <c r="I362" s="1" t="s">
        <v>4090</v>
      </c>
      <c r="J362" s="1" t="s">
        <v>4091</v>
      </c>
      <c r="K362" s="1" t="s">
        <v>4092</v>
      </c>
      <c r="L362" s="1" t="s">
        <v>1076</v>
      </c>
    </row>
    <row r="363" spans="1:12" x14ac:dyDescent="0.2">
      <c r="A363" s="1" t="s">
        <v>35</v>
      </c>
      <c r="C363" s="1" t="s">
        <v>1101</v>
      </c>
      <c r="D363" s="1" t="s">
        <v>1078</v>
      </c>
      <c r="E363" s="1" t="s">
        <v>4093</v>
      </c>
      <c r="F363" s="1" t="s">
        <v>4094</v>
      </c>
      <c r="G363" s="1" t="s">
        <v>4095</v>
      </c>
      <c r="H363" s="1" t="s">
        <v>4096</v>
      </c>
      <c r="I363" s="1" t="s">
        <v>4097</v>
      </c>
      <c r="J363" s="1" t="s">
        <v>4098</v>
      </c>
      <c r="K363" s="1" t="s">
        <v>4099</v>
      </c>
      <c r="L363" s="1" t="s">
        <v>1079</v>
      </c>
    </row>
    <row r="364" spans="1:12" x14ac:dyDescent="0.2">
      <c r="A364" s="1" t="s">
        <v>35</v>
      </c>
      <c r="C364" s="1" t="s">
        <v>1104</v>
      </c>
      <c r="D364" s="1" t="s">
        <v>1081</v>
      </c>
      <c r="E364" s="1" t="s">
        <v>4100</v>
      </c>
      <c r="F364" s="1" t="s">
        <v>4101</v>
      </c>
      <c r="G364" s="1" t="s">
        <v>4102</v>
      </c>
      <c r="H364" s="1" t="s">
        <v>4103</v>
      </c>
      <c r="I364" s="1" t="s">
        <v>4104</v>
      </c>
      <c r="J364" s="1" t="s">
        <v>4105</v>
      </c>
      <c r="K364" s="1" t="s">
        <v>4106</v>
      </c>
      <c r="L364" s="1" t="s">
        <v>1082</v>
      </c>
    </row>
    <row r="365" spans="1:12" x14ac:dyDescent="0.2">
      <c r="A365" s="1" t="s">
        <v>35</v>
      </c>
      <c r="C365" s="1" t="s">
        <v>1107</v>
      </c>
      <c r="D365" s="1" t="s">
        <v>1084</v>
      </c>
      <c r="E365" s="1" t="s">
        <v>4107</v>
      </c>
      <c r="F365" s="1" t="s">
        <v>4108</v>
      </c>
      <c r="G365" s="1" t="s">
        <v>4109</v>
      </c>
      <c r="H365" s="1" t="s">
        <v>4110</v>
      </c>
      <c r="I365" s="1" t="s">
        <v>4111</v>
      </c>
      <c r="J365" s="1" t="s">
        <v>4112</v>
      </c>
      <c r="K365" s="1" t="s">
        <v>4113</v>
      </c>
      <c r="L365" s="1" t="s">
        <v>1085</v>
      </c>
    </row>
    <row r="366" spans="1:12" x14ac:dyDescent="0.2">
      <c r="A366" s="1" t="s">
        <v>35</v>
      </c>
      <c r="C366" s="1" t="s">
        <v>1110</v>
      </c>
      <c r="D366" s="1" t="s">
        <v>1087</v>
      </c>
      <c r="E366" s="1" t="s">
        <v>4114</v>
      </c>
      <c r="F366" s="1" t="s">
        <v>4115</v>
      </c>
      <c r="G366" s="1" t="s">
        <v>4116</v>
      </c>
      <c r="H366" s="1" t="s">
        <v>4117</v>
      </c>
      <c r="I366" s="1" t="s">
        <v>4118</v>
      </c>
      <c r="J366" s="1" t="s">
        <v>4119</v>
      </c>
      <c r="K366" s="1" t="s">
        <v>4120</v>
      </c>
      <c r="L366" s="1" t="s">
        <v>1088</v>
      </c>
    </row>
    <row r="367" spans="1:12" x14ac:dyDescent="0.2">
      <c r="A367" s="1" t="s">
        <v>35</v>
      </c>
      <c r="C367" s="1" t="s">
        <v>1113</v>
      </c>
      <c r="D367" s="1" t="s">
        <v>1090</v>
      </c>
      <c r="E367" s="1" t="s">
        <v>4121</v>
      </c>
      <c r="F367" s="1" t="s">
        <v>4122</v>
      </c>
      <c r="G367" s="1" t="s">
        <v>4123</v>
      </c>
      <c r="H367" s="1" t="s">
        <v>4124</v>
      </c>
      <c r="I367" s="1" t="s">
        <v>4125</v>
      </c>
      <c r="J367" s="1" t="s">
        <v>4126</v>
      </c>
      <c r="K367" s="1" t="s">
        <v>4127</v>
      </c>
      <c r="L367" s="1" t="s">
        <v>1091</v>
      </c>
    </row>
    <row r="368" spans="1:12" x14ac:dyDescent="0.2">
      <c r="A368" s="1" t="s">
        <v>35</v>
      </c>
      <c r="C368" s="1" t="s">
        <v>1116</v>
      </c>
      <c r="D368" s="1" t="s">
        <v>1093</v>
      </c>
      <c r="E368" s="1" t="s">
        <v>4128</v>
      </c>
      <c r="F368" s="1" t="s">
        <v>4129</v>
      </c>
      <c r="G368" s="1" t="s">
        <v>4130</v>
      </c>
      <c r="H368" s="1" t="s">
        <v>4131</v>
      </c>
      <c r="I368" s="1" t="s">
        <v>4132</v>
      </c>
      <c r="J368" s="1" t="s">
        <v>4133</v>
      </c>
      <c r="K368" s="1" t="s">
        <v>4134</v>
      </c>
      <c r="L368" s="1" t="s">
        <v>1094</v>
      </c>
    </row>
    <row r="369" spans="1:12" x14ac:dyDescent="0.2">
      <c r="A369" s="1" t="s">
        <v>35</v>
      </c>
      <c r="C369" s="1" t="s">
        <v>1119</v>
      </c>
      <c r="D369" s="1" t="s">
        <v>1096</v>
      </c>
      <c r="E369" s="1" t="s">
        <v>4135</v>
      </c>
      <c r="F369" s="1" t="s">
        <v>4136</v>
      </c>
      <c r="G369" s="1" t="s">
        <v>4137</v>
      </c>
      <c r="H369" s="1" t="s">
        <v>4138</v>
      </c>
      <c r="I369" s="1" t="s">
        <v>4139</v>
      </c>
      <c r="J369" s="1" t="s">
        <v>4140</v>
      </c>
      <c r="K369" s="1" t="s">
        <v>4141</v>
      </c>
      <c r="L369" s="1" t="s">
        <v>1097</v>
      </c>
    </row>
    <row r="370" spans="1:12" x14ac:dyDescent="0.2">
      <c r="A370" s="1" t="s">
        <v>35</v>
      </c>
      <c r="C370" s="1" t="s">
        <v>1122</v>
      </c>
      <c r="D370" s="1" t="s">
        <v>1099</v>
      </c>
      <c r="E370" s="1" t="s">
        <v>4142</v>
      </c>
      <c r="F370" s="1" t="s">
        <v>4143</v>
      </c>
      <c r="G370" s="1" t="s">
        <v>4144</v>
      </c>
      <c r="H370" s="1" t="s">
        <v>4145</v>
      </c>
      <c r="I370" s="1" t="s">
        <v>4146</v>
      </c>
      <c r="J370" s="1" t="s">
        <v>4147</v>
      </c>
      <c r="K370" s="1" t="s">
        <v>4148</v>
      </c>
      <c r="L370" s="1" t="s">
        <v>1100</v>
      </c>
    </row>
    <row r="371" spans="1:12" x14ac:dyDescent="0.2">
      <c r="A371" s="1" t="s">
        <v>35</v>
      </c>
      <c r="C371" s="1" t="s">
        <v>1125</v>
      </c>
      <c r="D371" s="1" t="s">
        <v>1102</v>
      </c>
      <c r="E371" s="1" t="s">
        <v>4149</v>
      </c>
      <c r="F371" s="1" t="s">
        <v>4150</v>
      </c>
      <c r="G371" s="1" t="s">
        <v>4151</v>
      </c>
      <c r="H371" s="1" t="s">
        <v>4152</v>
      </c>
      <c r="I371" s="1" t="s">
        <v>4153</v>
      </c>
      <c r="J371" s="1" t="s">
        <v>4154</v>
      </c>
      <c r="K371" s="1" t="s">
        <v>4155</v>
      </c>
      <c r="L371" s="1" t="s">
        <v>1103</v>
      </c>
    </row>
    <row r="372" spans="1:12" x14ac:dyDescent="0.2">
      <c r="A372" s="1" t="s">
        <v>35</v>
      </c>
      <c r="C372" s="1" t="s">
        <v>1128</v>
      </c>
      <c r="D372" s="1" t="s">
        <v>1105</v>
      </c>
      <c r="E372" s="1" t="s">
        <v>4156</v>
      </c>
      <c r="F372" s="1" t="s">
        <v>4157</v>
      </c>
      <c r="G372" s="1" t="s">
        <v>4158</v>
      </c>
      <c r="H372" s="1" t="s">
        <v>4159</v>
      </c>
      <c r="I372" s="1" t="s">
        <v>4160</v>
      </c>
      <c r="J372" s="1" t="s">
        <v>4161</v>
      </c>
      <c r="K372" s="1" t="s">
        <v>4162</v>
      </c>
      <c r="L372" s="1" t="s">
        <v>1106</v>
      </c>
    </row>
    <row r="373" spans="1:12" x14ac:dyDescent="0.2">
      <c r="A373" s="1" t="s">
        <v>35</v>
      </c>
      <c r="C373" s="1" t="s">
        <v>1131</v>
      </c>
      <c r="D373" s="1" t="s">
        <v>1108</v>
      </c>
      <c r="E373" s="1" t="s">
        <v>4163</v>
      </c>
      <c r="F373" s="1" t="s">
        <v>4164</v>
      </c>
      <c r="G373" s="1" t="s">
        <v>4165</v>
      </c>
      <c r="H373" s="1" t="s">
        <v>4166</v>
      </c>
      <c r="I373" s="1" t="s">
        <v>4167</v>
      </c>
      <c r="J373" s="1" t="s">
        <v>4168</v>
      </c>
      <c r="K373" s="1" t="s">
        <v>4169</v>
      </c>
      <c r="L373" s="1" t="s">
        <v>1109</v>
      </c>
    </row>
    <row r="374" spans="1:12" x14ac:dyDescent="0.2">
      <c r="A374" s="1" t="s">
        <v>35</v>
      </c>
      <c r="C374" s="1" t="s">
        <v>1134</v>
      </c>
      <c r="D374" s="1" t="s">
        <v>1111</v>
      </c>
      <c r="E374" s="1" t="s">
        <v>4170</v>
      </c>
      <c r="F374" s="1" t="s">
        <v>4171</v>
      </c>
      <c r="G374" s="1" t="s">
        <v>4172</v>
      </c>
      <c r="H374" s="1" t="s">
        <v>4173</v>
      </c>
      <c r="I374" s="1" t="s">
        <v>4174</v>
      </c>
      <c r="J374" s="1" t="s">
        <v>4175</v>
      </c>
      <c r="K374" s="1" t="s">
        <v>4176</v>
      </c>
      <c r="L374" s="1" t="s">
        <v>1112</v>
      </c>
    </row>
    <row r="375" spans="1:12" x14ac:dyDescent="0.2">
      <c r="A375" s="1" t="s">
        <v>35</v>
      </c>
      <c r="C375" s="1" t="s">
        <v>1137</v>
      </c>
      <c r="D375" s="1" t="s">
        <v>1114</v>
      </c>
      <c r="E375" s="1" t="s">
        <v>4177</v>
      </c>
      <c r="F375" s="1" t="s">
        <v>4178</v>
      </c>
      <c r="G375" s="1" t="s">
        <v>4179</v>
      </c>
      <c r="H375" s="1" t="s">
        <v>4180</v>
      </c>
      <c r="I375" s="1" t="s">
        <v>4181</v>
      </c>
      <c r="J375" s="1" t="s">
        <v>4182</v>
      </c>
      <c r="K375" s="1" t="s">
        <v>4183</v>
      </c>
      <c r="L375" s="1" t="s">
        <v>1115</v>
      </c>
    </row>
    <row r="376" spans="1:12" x14ac:dyDescent="0.2">
      <c r="A376" s="1" t="s">
        <v>35</v>
      </c>
      <c r="C376" s="1" t="s">
        <v>1140</v>
      </c>
      <c r="D376" s="1" t="s">
        <v>1117</v>
      </c>
      <c r="E376" s="1" t="s">
        <v>4184</v>
      </c>
      <c r="F376" s="1" t="s">
        <v>4185</v>
      </c>
      <c r="G376" s="1" t="s">
        <v>4186</v>
      </c>
      <c r="H376" s="1" t="s">
        <v>4187</v>
      </c>
      <c r="I376" s="1" t="s">
        <v>4188</v>
      </c>
      <c r="J376" s="1" t="s">
        <v>4189</v>
      </c>
      <c r="K376" s="1" t="s">
        <v>4190</v>
      </c>
      <c r="L376" s="1" t="s">
        <v>1118</v>
      </c>
    </row>
    <row r="377" spans="1:12" x14ac:dyDescent="0.2">
      <c r="A377" s="1" t="s">
        <v>35</v>
      </c>
      <c r="C377" s="1" t="s">
        <v>1143</v>
      </c>
      <c r="D377" s="1" t="s">
        <v>1120</v>
      </c>
      <c r="E377" s="1" t="s">
        <v>4191</v>
      </c>
      <c r="F377" s="1" t="s">
        <v>4192</v>
      </c>
      <c r="G377" s="1" t="s">
        <v>4193</v>
      </c>
      <c r="H377" s="1" t="s">
        <v>4194</v>
      </c>
      <c r="I377" s="1" t="s">
        <v>4195</v>
      </c>
      <c r="J377" s="1" t="s">
        <v>4196</v>
      </c>
      <c r="K377" s="1" t="s">
        <v>4197</v>
      </c>
      <c r="L377" s="1" t="s">
        <v>1121</v>
      </c>
    </row>
    <row r="378" spans="1:12" x14ac:dyDescent="0.2">
      <c r="A378" s="1" t="s">
        <v>35</v>
      </c>
      <c r="C378" s="1" t="s">
        <v>1146</v>
      </c>
      <c r="D378" s="1" t="s">
        <v>1123</v>
      </c>
      <c r="E378" s="1" t="s">
        <v>4198</v>
      </c>
      <c r="F378" s="1" t="s">
        <v>4199</v>
      </c>
      <c r="G378" s="1" t="s">
        <v>4200</v>
      </c>
      <c r="H378" s="1" t="s">
        <v>4201</v>
      </c>
      <c r="I378" s="1" t="s">
        <v>4202</v>
      </c>
      <c r="J378" s="1" t="s">
        <v>4203</v>
      </c>
      <c r="K378" s="1" t="s">
        <v>4204</v>
      </c>
      <c r="L378" s="1" t="s">
        <v>1124</v>
      </c>
    </row>
    <row r="379" spans="1:12" x14ac:dyDescent="0.2">
      <c r="A379" s="1" t="s">
        <v>35</v>
      </c>
      <c r="C379" s="1" t="s">
        <v>55</v>
      </c>
      <c r="D379" s="1" t="s">
        <v>1126</v>
      </c>
      <c r="E379" s="1" t="s">
        <v>4205</v>
      </c>
      <c r="F379" s="1" t="s">
        <v>4206</v>
      </c>
      <c r="G379" s="1" t="s">
        <v>4207</v>
      </c>
      <c r="H379" s="1" t="s">
        <v>4208</v>
      </c>
      <c r="I379" s="1" t="s">
        <v>4209</v>
      </c>
      <c r="J379" s="1" t="s">
        <v>4210</v>
      </c>
      <c r="K379" s="1" t="s">
        <v>4211</v>
      </c>
      <c r="L379" s="1" t="s">
        <v>1127</v>
      </c>
    </row>
    <row r="380" spans="1:12" x14ac:dyDescent="0.2">
      <c r="A380" s="1" t="s">
        <v>35</v>
      </c>
      <c r="C380" s="1" t="s">
        <v>1151</v>
      </c>
      <c r="D380" s="1" t="s">
        <v>1129</v>
      </c>
      <c r="E380" s="1" t="s">
        <v>4212</v>
      </c>
      <c r="F380" s="1" t="s">
        <v>4213</v>
      </c>
      <c r="G380" s="1" t="s">
        <v>4214</v>
      </c>
      <c r="H380" s="1" t="s">
        <v>4215</v>
      </c>
      <c r="I380" s="1" t="s">
        <v>4216</v>
      </c>
      <c r="J380" s="1" t="s">
        <v>4217</v>
      </c>
      <c r="K380" s="1" t="s">
        <v>4218</v>
      </c>
      <c r="L380" s="1" t="s">
        <v>1130</v>
      </c>
    </row>
    <row r="381" spans="1:12" x14ac:dyDescent="0.2">
      <c r="A381" s="1" t="s">
        <v>35</v>
      </c>
      <c r="C381" s="1" t="s">
        <v>56</v>
      </c>
      <c r="D381" s="1" t="s">
        <v>1132</v>
      </c>
      <c r="E381" s="1" t="s">
        <v>4219</v>
      </c>
      <c r="F381" s="1" t="s">
        <v>4220</v>
      </c>
      <c r="G381" s="1" t="s">
        <v>4221</v>
      </c>
      <c r="H381" s="1" t="s">
        <v>4222</v>
      </c>
      <c r="I381" s="1" t="s">
        <v>4223</v>
      </c>
      <c r="J381" s="1" t="s">
        <v>4224</v>
      </c>
      <c r="K381" s="1" t="s">
        <v>4225</v>
      </c>
      <c r="L381" s="1" t="s">
        <v>1133</v>
      </c>
    </row>
    <row r="382" spans="1:12" x14ac:dyDescent="0.2">
      <c r="A382" s="1" t="s">
        <v>35</v>
      </c>
      <c r="C382" s="1" t="s">
        <v>1156</v>
      </c>
      <c r="D382" s="1" t="s">
        <v>1135</v>
      </c>
      <c r="E382" s="1" t="s">
        <v>4226</v>
      </c>
      <c r="F382" s="1" t="s">
        <v>4227</v>
      </c>
      <c r="G382" s="1" t="s">
        <v>4228</v>
      </c>
      <c r="H382" s="1" t="s">
        <v>4229</v>
      </c>
      <c r="I382" s="1" t="s">
        <v>4230</v>
      </c>
      <c r="J382" s="1" t="s">
        <v>4231</v>
      </c>
      <c r="K382" s="1" t="s">
        <v>4232</v>
      </c>
      <c r="L382" s="1" t="s">
        <v>1136</v>
      </c>
    </row>
    <row r="383" spans="1:12" x14ac:dyDescent="0.2">
      <c r="A383" s="1" t="s">
        <v>35</v>
      </c>
      <c r="C383" s="1" t="s">
        <v>1159</v>
      </c>
      <c r="D383" s="1" t="s">
        <v>1138</v>
      </c>
      <c r="E383" s="1" t="s">
        <v>4233</v>
      </c>
      <c r="F383" s="1" t="s">
        <v>4234</v>
      </c>
      <c r="G383" s="1" t="s">
        <v>4235</v>
      </c>
      <c r="H383" s="1" t="s">
        <v>4236</v>
      </c>
      <c r="I383" s="1" t="s">
        <v>4237</v>
      </c>
      <c r="J383" s="1" t="s">
        <v>4238</v>
      </c>
      <c r="K383" s="1" t="s">
        <v>4239</v>
      </c>
      <c r="L383" s="1" t="s">
        <v>1139</v>
      </c>
    </row>
    <row r="384" spans="1:12" x14ac:dyDescent="0.2">
      <c r="A384" s="1" t="s">
        <v>35</v>
      </c>
      <c r="C384" s="1" t="s">
        <v>1162</v>
      </c>
      <c r="D384" s="1" t="s">
        <v>1141</v>
      </c>
      <c r="E384" s="1" t="s">
        <v>4240</v>
      </c>
      <c r="F384" s="1" t="s">
        <v>4241</v>
      </c>
      <c r="G384" s="1" t="s">
        <v>4242</v>
      </c>
      <c r="H384" s="1" t="s">
        <v>4243</v>
      </c>
      <c r="I384" s="1" t="s">
        <v>4244</v>
      </c>
      <c r="J384" s="1" t="s">
        <v>4245</v>
      </c>
      <c r="K384" s="1" t="s">
        <v>4246</v>
      </c>
      <c r="L384" s="1" t="s">
        <v>1142</v>
      </c>
    </row>
    <row r="385" spans="1:12" x14ac:dyDescent="0.2">
      <c r="A385" s="1" t="s">
        <v>35</v>
      </c>
      <c r="C385" s="1" t="s">
        <v>1165</v>
      </c>
      <c r="D385" s="1" t="s">
        <v>1144</v>
      </c>
      <c r="E385" s="1" t="s">
        <v>4247</v>
      </c>
      <c r="F385" s="1" t="s">
        <v>4248</v>
      </c>
      <c r="G385" s="1" t="s">
        <v>4249</v>
      </c>
      <c r="H385" s="1" t="s">
        <v>4250</v>
      </c>
      <c r="I385" s="1" t="s">
        <v>4251</v>
      </c>
      <c r="J385" s="1" t="s">
        <v>4252</v>
      </c>
      <c r="K385" s="1" t="s">
        <v>4253</v>
      </c>
      <c r="L385" s="1" t="s">
        <v>1145</v>
      </c>
    </row>
    <row r="386" spans="1:12" x14ac:dyDescent="0.2">
      <c r="A386" s="1" t="s">
        <v>35</v>
      </c>
      <c r="C386" s="1" t="s">
        <v>1168</v>
      </c>
      <c r="D386" s="1" t="s">
        <v>1147</v>
      </c>
      <c r="E386" s="1" t="s">
        <v>4254</v>
      </c>
      <c r="F386" s="1" t="s">
        <v>4255</v>
      </c>
      <c r="G386" s="1" t="s">
        <v>4256</v>
      </c>
      <c r="H386" s="1" t="s">
        <v>4257</v>
      </c>
      <c r="I386" s="1" t="s">
        <v>4258</v>
      </c>
      <c r="J386" s="1" t="s">
        <v>4259</v>
      </c>
      <c r="K386" s="1" t="s">
        <v>4260</v>
      </c>
      <c r="L386" s="1" t="s">
        <v>1148</v>
      </c>
    </row>
    <row r="387" spans="1:12" x14ac:dyDescent="0.2">
      <c r="A387" s="1" t="s">
        <v>35</v>
      </c>
      <c r="C387" s="1" t="s">
        <v>1171</v>
      </c>
      <c r="D387" s="1" t="s">
        <v>1149</v>
      </c>
      <c r="E387" s="1" t="s">
        <v>4261</v>
      </c>
      <c r="F387" s="1" t="s">
        <v>4262</v>
      </c>
      <c r="G387" s="1" t="s">
        <v>4263</v>
      </c>
      <c r="H387" s="1" t="s">
        <v>4264</v>
      </c>
      <c r="I387" s="1" t="s">
        <v>4265</v>
      </c>
      <c r="J387" s="1" t="s">
        <v>4266</v>
      </c>
      <c r="K387" s="1" t="s">
        <v>4267</v>
      </c>
      <c r="L387" s="1" t="s">
        <v>1150</v>
      </c>
    </row>
    <row r="388" spans="1:12" x14ac:dyDescent="0.2">
      <c r="A388" s="1" t="s">
        <v>35</v>
      </c>
      <c r="C388" s="1" t="s">
        <v>1174</v>
      </c>
      <c r="D388" s="1" t="s">
        <v>1152</v>
      </c>
      <c r="E388" s="1" t="s">
        <v>4268</v>
      </c>
      <c r="F388" s="1" t="s">
        <v>4269</v>
      </c>
      <c r="G388" s="1" t="s">
        <v>4270</v>
      </c>
      <c r="H388" s="1" t="s">
        <v>4271</v>
      </c>
      <c r="I388" s="1" t="s">
        <v>4272</v>
      </c>
      <c r="J388" s="1" t="s">
        <v>4273</v>
      </c>
      <c r="K388" s="1" t="s">
        <v>4274</v>
      </c>
      <c r="L388" s="1" t="s">
        <v>1153</v>
      </c>
    </row>
    <row r="389" spans="1:12" x14ac:dyDescent="0.2">
      <c r="A389" s="1" t="s">
        <v>35</v>
      </c>
      <c r="C389" s="1" t="s">
        <v>1177</v>
      </c>
      <c r="D389" s="1" t="s">
        <v>1154</v>
      </c>
      <c r="E389" s="1" t="s">
        <v>4275</v>
      </c>
      <c r="F389" s="1" t="s">
        <v>4276</v>
      </c>
      <c r="G389" s="1" t="s">
        <v>4277</v>
      </c>
      <c r="H389" s="1" t="s">
        <v>4278</v>
      </c>
      <c r="I389" s="1" t="s">
        <v>4279</v>
      </c>
      <c r="J389" s="1" t="s">
        <v>4280</v>
      </c>
      <c r="K389" s="1" t="s">
        <v>4281</v>
      </c>
      <c r="L389" s="1" t="s">
        <v>1155</v>
      </c>
    </row>
    <row r="390" spans="1:12" x14ac:dyDescent="0.2">
      <c r="A390" s="1" t="s">
        <v>35</v>
      </c>
      <c r="C390" s="1" t="s">
        <v>1180</v>
      </c>
      <c r="D390" s="1" t="s">
        <v>1157</v>
      </c>
      <c r="E390" s="1" t="s">
        <v>4282</v>
      </c>
      <c r="F390" s="1" t="s">
        <v>4283</v>
      </c>
      <c r="G390" s="1" t="s">
        <v>4284</v>
      </c>
      <c r="H390" s="1" t="s">
        <v>4285</v>
      </c>
      <c r="I390" s="1" t="s">
        <v>4286</v>
      </c>
      <c r="J390" s="1" t="s">
        <v>4287</v>
      </c>
      <c r="K390" s="1" t="s">
        <v>4288</v>
      </c>
      <c r="L390" s="1" t="s">
        <v>1158</v>
      </c>
    </row>
    <row r="391" spans="1:12" x14ac:dyDescent="0.2">
      <c r="A391" s="1" t="s">
        <v>35</v>
      </c>
      <c r="C391" s="1" t="s">
        <v>1183</v>
      </c>
      <c r="D391" s="1" t="s">
        <v>1160</v>
      </c>
      <c r="E391" s="1" t="s">
        <v>4289</v>
      </c>
      <c r="F391" s="1" t="s">
        <v>4290</v>
      </c>
      <c r="G391" s="1" t="s">
        <v>4291</v>
      </c>
      <c r="H391" s="1" t="s">
        <v>4292</v>
      </c>
      <c r="I391" s="1" t="s">
        <v>4293</v>
      </c>
      <c r="J391" s="1" t="s">
        <v>4294</v>
      </c>
      <c r="K391" s="1" t="s">
        <v>4295</v>
      </c>
      <c r="L391" s="1" t="s">
        <v>1161</v>
      </c>
    </row>
    <row r="392" spans="1:12" x14ac:dyDescent="0.2">
      <c r="A392" s="1" t="s">
        <v>35</v>
      </c>
      <c r="C392" s="1" t="s">
        <v>1186</v>
      </c>
      <c r="D392" s="1" t="s">
        <v>1163</v>
      </c>
      <c r="E392" s="1" t="s">
        <v>4296</v>
      </c>
      <c r="F392" s="1" t="s">
        <v>4297</v>
      </c>
      <c r="G392" s="1" t="s">
        <v>4298</v>
      </c>
      <c r="H392" s="1" t="s">
        <v>4299</v>
      </c>
      <c r="I392" s="1" t="s">
        <v>4300</v>
      </c>
      <c r="J392" s="1" t="s">
        <v>4301</v>
      </c>
      <c r="K392" s="1" t="s">
        <v>4302</v>
      </c>
      <c r="L392" s="1" t="s">
        <v>1164</v>
      </c>
    </row>
    <row r="393" spans="1:12" x14ac:dyDescent="0.2">
      <c r="A393" s="1" t="s">
        <v>35</v>
      </c>
      <c r="C393" s="1" t="s">
        <v>1189</v>
      </c>
      <c r="D393" s="1" t="s">
        <v>1166</v>
      </c>
      <c r="E393" s="1" t="s">
        <v>4303</v>
      </c>
      <c r="F393" s="1" t="s">
        <v>4304</v>
      </c>
      <c r="G393" s="1" t="s">
        <v>4305</v>
      </c>
      <c r="H393" s="1" t="s">
        <v>4306</v>
      </c>
      <c r="I393" s="1" t="s">
        <v>4307</v>
      </c>
      <c r="J393" s="1" t="s">
        <v>4308</v>
      </c>
      <c r="K393" s="1" t="s">
        <v>4309</v>
      </c>
      <c r="L393" s="1" t="s">
        <v>1167</v>
      </c>
    </row>
    <row r="394" spans="1:12" x14ac:dyDescent="0.2">
      <c r="A394" s="1" t="s">
        <v>35</v>
      </c>
      <c r="C394" s="1" t="s">
        <v>1192</v>
      </c>
      <c r="D394" s="1" t="s">
        <v>1169</v>
      </c>
      <c r="E394" s="1" t="s">
        <v>4310</v>
      </c>
      <c r="F394" s="1" t="s">
        <v>4311</v>
      </c>
      <c r="G394" s="1" t="s">
        <v>4312</v>
      </c>
      <c r="H394" s="1" t="s">
        <v>4313</v>
      </c>
      <c r="I394" s="1" t="s">
        <v>4314</v>
      </c>
      <c r="J394" s="1" t="s">
        <v>4315</v>
      </c>
      <c r="K394" s="1" t="s">
        <v>4316</v>
      </c>
      <c r="L394" s="1" t="s">
        <v>1170</v>
      </c>
    </row>
    <row r="395" spans="1:12" x14ac:dyDescent="0.2">
      <c r="A395" s="1" t="s">
        <v>35</v>
      </c>
      <c r="C395" s="1" t="s">
        <v>1195</v>
      </c>
      <c r="D395" s="1" t="s">
        <v>1172</v>
      </c>
      <c r="E395" s="1" t="s">
        <v>4317</v>
      </c>
      <c r="F395" s="1" t="s">
        <v>4318</v>
      </c>
      <c r="G395" s="1" t="s">
        <v>4319</v>
      </c>
      <c r="H395" s="1" t="s">
        <v>4320</v>
      </c>
      <c r="I395" s="1" t="s">
        <v>4321</v>
      </c>
      <c r="J395" s="1" t="s">
        <v>4322</v>
      </c>
      <c r="K395" s="1" t="s">
        <v>4323</v>
      </c>
      <c r="L395" s="1" t="s">
        <v>1173</v>
      </c>
    </row>
    <row r="396" spans="1:12" x14ac:dyDescent="0.2">
      <c r="A396" s="1" t="s">
        <v>35</v>
      </c>
      <c r="C396" s="1" t="s">
        <v>1198</v>
      </c>
      <c r="D396" s="1" t="s">
        <v>1175</v>
      </c>
      <c r="E396" s="1" t="s">
        <v>4324</v>
      </c>
      <c r="F396" s="1" t="s">
        <v>4325</v>
      </c>
      <c r="G396" s="1" t="s">
        <v>4326</v>
      </c>
      <c r="H396" s="1" t="s">
        <v>4327</v>
      </c>
      <c r="I396" s="1" t="s">
        <v>4328</v>
      </c>
      <c r="J396" s="1" t="s">
        <v>4329</v>
      </c>
      <c r="K396" s="1" t="s">
        <v>4330</v>
      </c>
      <c r="L396" s="1" t="s">
        <v>1176</v>
      </c>
    </row>
    <row r="397" spans="1:12" x14ac:dyDescent="0.2">
      <c r="A397" s="1" t="s">
        <v>35</v>
      </c>
      <c r="C397" s="1" t="s">
        <v>1201</v>
      </c>
      <c r="D397" s="1" t="s">
        <v>1178</v>
      </c>
      <c r="E397" s="1" t="s">
        <v>4331</v>
      </c>
      <c r="F397" s="1" t="s">
        <v>4332</v>
      </c>
      <c r="G397" s="1" t="s">
        <v>4333</v>
      </c>
      <c r="H397" s="1" t="s">
        <v>4334</v>
      </c>
      <c r="I397" s="1" t="s">
        <v>4335</v>
      </c>
      <c r="J397" s="1" t="s">
        <v>4336</v>
      </c>
      <c r="K397" s="1" t="s">
        <v>4337</v>
      </c>
      <c r="L397" s="1" t="s">
        <v>1179</v>
      </c>
    </row>
    <row r="398" spans="1:12" x14ac:dyDescent="0.2">
      <c r="A398" s="1" t="s">
        <v>35</v>
      </c>
      <c r="C398" s="1" t="s">
        <v>1204</v>
      </c>
      <c r="D398" s="1" t="s">
        <v>1181</v>
      </c>
      <c r="E398" s="1" t="s">
        <v>4338</v>
      </c>
      <c r="F398" s="1" t="s">
        <v>4339</v>
      </c>
      <c r="G398" s="1" t="s">
        <v>4340</v>
      </c>
      <c r="H398" s="1" t="s">
        <v>4341</v>
      </c>
      <c r="I398" s="1" t="s">
        <v>4342</v>
      </c>
      <c r="J398" s="1" t="s">
        <v>4343</v>
      </c>
      <c r="K398" s="1" t="s">
        <v>4344</v>
      </c>
      <c r="L398" s="1" t="s">
        <v>1182</v>
      </c>
    </row>
    <row r="399" spans="1:12" x14ac:dyDescent="0.2">
      <c r="A399" s="1" t="s">
        <v>35</v>
      </c>
      <c r="C399" s="1" t="s">
        <v>1207</v>
      </c>
      <c r="D399" s="1" t="s">
        <v>1184</v>
      </c>
      <c r="E399" s="1" t="s">
        <v>4345</v>
      </c>
      <c r="F399" s="1" t="s">
        <v>4346</v>
      </c>
      <c r="G399" s="1" t="s">
        <v>4347</v>
      </c>
      <c r="H399" s="1" t="s">
        <v>4348</v>
      </c>
      <c r="I399" s="1" t="s">
        <v>4349</v>
      </c>
      <c r="J399" s="1" t="s">
        <v>4350</v>
      </c>
      <c r="K399" s="1" t="s">
        <v>4351</v>
      </c>
      <c r="L399" s="1" t="s">
        <v>1185</v>
      </c>
    </row>
    <row r="400" spans="1:12" x14ac:dyDescent="0.2">
      <c r="A400" s="1" t="s">
        <v>35</v>
      </c>
      <c r="C400" s="1" t="s">
        <v>1210</v>
      </c>
      <c r="D400" s="1" t="s">
        <v>1187</v>
      </c>
      <c r="E400" s="1" t="s">
        <v>4352</v>
      </c>
      <c r="F400" s="1" t="s">
        <v>4353</v>
      </c>
      <c r="G400" s="1" t="s">
        <v>4354</v>
      </c>
      <c r="H400" s="1" t="s">
        <v>4355</v>
      </c>
      <c r="I400" s="1" t="s">
        <v>4356</v>
      </c>
      <c r="J400" s="1" t="s">
        <v>4357</v>
      </c>
      <c r="K400" s="1" t="s">
        <v>4358</v>
      </c>
      <c r="L400" s="1" t="s">
        <v>1188</v>
      </c>
    </row>
    <row r="401" spans="1:12" x14ac:dyDescent="0.2">
      <c r="A401" s="1" t="s">
        <v>35</v>
      </c>
      <c r="C401" s="1" t="s">
        <v>1213</v>
      </c>
      <c r="D401" s="1" t="s">
        <v>1190</v>
      </c>
      <c r="E401" s="1" t="s">
        <v>4359</v>
      </c>
      <c r="F401" s="1" t="s">
        <v>4360</v>
      </c>
      <c r="G401" s="1" t="s">
        <v>4361</v>
      </c>
      <c r="H401" s="1" t="s">
        <v>4362</v>
      </c>
      <c r="I401" s="1" t="s">
        <v>4363</v>
      </c>
      <c r="J401" s="1" t="s">
        <v>4364</v>
      </c>
      <c r="K401" s="1" t="s">
        <v>4365</v>
      </c>
      <c r="L401" s="1" t="s">
        <v>1191</v>
      </c>
    </row>
    <row r="402" spans="1:12" x14ac:dyDescent="0.2">
      <c r="A402" s="1" t="s">
        <v>35</v>
      </c>
      <c r="C402" s="1" t="s">
        <v>1216</v>
      </c>
      <c r="D402" s="1" t="s">
        <v>1193</v>
      </c>
      <c r="E402" s="1" t="s">
        <v>4366</v>
      </c>
      <c r="F402" s="1" t="s">
        <v>4367</v>
      </c>
      <c r="G402" s="1" t="s">
        <v>4368</v>
      </c>
      <c r="H402" s="1" t="s">
        <v>4369</v>
      </c>
      <c r="I402" s="1" t="s">
        <v>4370</v>
      </c>
      <c r="J402" s="1" t="s">
        <v>4371</v>
      </c>
      <c r="K402" s="1" t="s">
        <v>4372</v>
      </c>
      <c r="L402" s="1" t="s">
        <v>1194</v>
      </c>
    </row>
    <row r="403" spans="1:12" x14ac:dyDescent="0.2">
      <c r="A403" s="1" t="s">
        <v>35</v>
      </c>
      <c r="C403" s="1" t="s">
        <v>1219</v>
      </c>
      <c r="D403" s="1" t="s">
        <v>1196</v>
      </c>
      <c r="E403" s="1" t="s">
        <v>4373</v>
      </c>
      <c r="F403" s="1" t="s">
        <v>4374</v>
      </c>
      <c r="G403" s="1" t="s">
        <v>4375</v>
      </c>
      <c r="H403" s="1" t="s">
        <v>4376</v>
      </c>
      <c r="I403" s="1" t="s">
        <v>4377</v>
      </c>
      <c r="J403" s="1" t="s">
        <v>4378</v>
      </c>
      <c r="K403" s="1" t="s">
        <v>4379</v>
      </c>
      <c r="L403" s="1" t="s">
        <v>1197</v>
      </c>
    </row>
    <row r="404" spans="1:12" x14ac:dyDescent="0.2">
      <c r="A404" s="1" t="s">
        <v>35</v>
      </c>
      <c r="C404" s="1" t="s">
        <v>1222</v>
      </c>
      <c r="D404" s="1" t="s">
        <v>1199</v>
      </c>
      <c r="E404" s="1" t="s">
        <v>4380</v>
      </c>
      <c r="F404" s="1" t="s">
        <v>4381</v>
      </c>
      <c r="G404" s="1" t="s">
        <v>4382</v>
      </c>
      <c r="H404" s="1" t="s">
        <v>4383</v>
      </c>
      <c r="I404" s="1" t="s">
        <v>4384</v>
      </c>
      <c r="J404" s="1" t="s">
        <v>4385</v>
      </c>
      <c r="K404" s="1" t="s">
        <v>4386</v>
      </c>
      <c r="L404" s="1" t="s">
        <v>1200</v>
      </c>
    </row>
    <row r="405" spans="1:12" x14ac:dyDescent="0.2">
      <c r="A405" s="1" t="s">
        <v>35</v>
      </c>
      <c r="C405" s="1" t="s">
        <v>57</v>
      </c>
      <c r="D405" s="1" t="s">
        <v>1202</v>
      </c>
      <c r="E405" s="1" t="s">
        <v>4387</v>
      </c>
      <c r="F405" s="1" t="s">
        <v>4388</v>
      </c>
      <c r="G405" s="1" t="s">
        <v>4389</v>
      </c>
      <c r="H405" s="1" t="s">
        <v>4390</v>
      </c>
      <c r="I405" s="1" t="s">
        <v>4391</v>
      </c>
      <c r="J405" s="1" t="s">
        <v>4392</v>
      </c>
      <c r="K405" s="1" t="s">
        <v>4393</v>
      </c>
      <c r="L405" s="1" t="s">
        <v>1203</v>
      </c>
    </row>
    <row r="406" spans="1:12" x14ac:dyDescent="0.2">
      <c r="A406" s="1" t="s">
        <v>35</v>
      </c>
      <c r="C406" s="1" t="s">
        <v>1227</v>
      </c>
      <c r="D406" s="1" t="s">
        <v>1205</v>
      </c>
      <c r="E406" s="1" t="s">
        <v>4394</v>
      </c>
      <c r="F406" s="1" t="s">
        <v>4395</v>
      </c>
      <c r="G406" s="1" t="s">
        <v>4396</v>
      </c>
      <c r="H406" s="1" t="s">
        <v>4397</v>
      </c>
      <c r="I406" s="1" t="s">
        <v>4398</v>
      </c>
      <c r="J406" s="1" t="s">
        <v>4399</v>
      </c>
      <c r="K406" s="1" t="s">
        <v>4400</v>
      </c>
      <c r="L406" s="1" t="s">
        <v>1206</v>
      </c>
    </row>
    <row r="407" spans="1:12" x14ac:dyDescent="0.2">
      <c r="A407" s="1" t="s">
        <v>35</v>
      </c>
      <c r="C407" s="1" t="s">
        <v>1230</v>
      </c>
      <c r="D407" s="1" t="s">
        <v>1208</v>
      </c>
      <c r="E407" s="1" t="s">
        <v>4401</v>
      </c>
      <c r="F407" s="1" t="s">
        <v>4402</v>
      </c>
      <c r="G407" s="1" t="s">
        <v>4403</v>
      </c>
      <c r="H407" s="1" t="s">
        <v>4404</v>
      </c>
      <c r="I407" s="1" t="s">
        <v>4405</v>
      </c>
      <c r="J407" s="1" t="s">
        <v>4406</v>
      </c>
      <c r="K407" s="1" t="s">
        <v>4407</v>
      </c>
      <c r="L407" s="1" t="s">
        <v>1209</v>
      </c>
    </row>
    <row r="408" spans="1:12" x14ac:dyDescent="0.2">
      <c r="A408" s="1" t="s">
        <v>35</v>
      </c>
      <c r="C408" s="1" t="s">
        <v>1233</v>
      </c>
      <c r="D408" s="1" t="s">
        <v>1211</v>
      </c>
      <c r="E408" s="1" t="s">
        <v>4408</v>
      </c>
      <c r="F408" s="1" t="s">
        <v>4409</v>
      </c>
      <c r="G408" s="1" t="s">
        <v>4410</v>
      </c>
      <c r="H408" s="1" t="s">
        <v>4411</v>
      </c>
      <c r="I408" s="1" t="s">
        <v>4412</v>
      </c>
      <c r="J408" s="1" t="s">
        <v>4413</v>
      </c>
      <c r="K408" s="1" t="s">
        <v>4414</v>
      </c>
      <c r="L408" s="1" t="s">
        <v>1212</v>
      </c>
    </row>
    <row r="409" spans="1:12" x14ac:dyDescent="0.2">
      <c r="A409" s="1" t="s">
        <v>35</v>
      </c>
      <c r="C409" s="1" t="s">
        <v>1236</v>
      </c>
      <c r="D409" s="1" t="s">
        <v>1214</v>
      </c>
      <c r="E409" s="1" t="s">
        <v>4415</v>
      </c>
      <c r="F409" s="1" t="s">
        <v>4416</v>
      </c>
      <c r="G409" s="1" t="s">
        <v>4417</v>
      </c>
      <c r="H409" s="1" t="s">
        <v>4418</v>
      </c>
      <c r="I409" s="1" t="s">
        <v>4419</v>
      </c>
      <c r="J409" s="1" t="s">
        <v>4420</v>
      </c>
      <c r="K409" s="1" t="s">
        <v>4421</v>
      </c>
      <c r="L409" s="1" t="s">
        <v>1215</v>
      </c>
    </row>
    <row r="410" spans="1:12" x14ac:dyDescent="0.2">
      <c r="A410" s="1" t="s">
        <v>35</v>
      </c>
      <c r="C410" s="1" t="s">
        <v>1239</v>
      </c>
      <c r="D410" s="1" t="s">
        <v>1217</v>
      </c>
      <c r="E410" s="1" t="s">
        <v>4422</v>
      </c>
      <c r="F410" s="1" t="s">
        <v>4423</v>
      </c>
      <c r="G410" s="1" t="s">
        <v>4424</v>
      </c>
      <c r="H410" s="1" t="s">
        <v>4425</v>
      </c>
      <c r="I410" s="1" t="s">
        <v>4426</v>
      </c>
      <c r="J410" s="1" t="s">
        <v>4427</v>
      </c>
      <c r="K410" s="1" t="s">
        <v>4428</v>
      </c>
      <c r="L410" s="1" t="s">
        <v>1218</v>
      </c>
    </row>
    <row r="411" spans="1:12" x14ac:dyDescent="0.2">
      <c r="A411" s="1" t="s">
        <v>35</v>
      </c>
      <c r="C411" s="1" t="s">
        <v>1242</v>
      </c>
      <c r="D411" s="1" t="s">
        <v>1220</v>
      </c>
      <c r="E411" s="1" t="s">
        <v>4429</v>
      </c>
      <c r="F411" s="1" t="s">
        <v>4430</v>
      </c>
      <c r="G411" s="1" t="s">
        <v>4431</v>
      </c>
      <c r="H411" s="1" t="s">
        <v>4432</v>
      </c>
      <c r="I411" s="1" t="s">
        <v>4433</v>
      </c>
      <c r="J411" s="1" t="s">
        <v>4434</v>
      </c>
      <c r="K411" s="1" t="s">
        <v>4435</v>
      </c>
      <c r="L411" s="1" t="s">
        <v>1221</v>
      </c>
    </row>
    <row r="412" spans="1:12" x14ac:dyDescent="0.2">
      <c r="A412" s="1" t="s">
        <v>35</v>
      </c>
      <c r="C412" s="1" t="s">
        <v>1245</v>
      </c>
      <c r="D412" s="1" t="s">
        <v>1223</v>
      </c>
      <c r="E412" s="1" t="s">
        <v>4436</v>
      </c>
      <c r="F412" s="1" t="s">
        <v>4437</v>
      </c>
      <c r="G412" s="1" t="s">
        <v>4438</v>
      </c>
      <c r="H412" s="1" t="s">
        <v>4439</v>
      </c>
      <c r="I412" s="1" t="s">
        <v>4440</v>
      </c>
      <c r="J412" s="1" t="s">
        <v>4441</v>
      </c>
      <c r="K412" s="1" t="s">
        <v>4442</v>
      </c>
      <c r="L412" s="1" t="s">
        <v>1224</v>
      </c>
    </row>
    <row r="413" spans="1:12" x14ac:dyDescent="0.2">
      <c r="A413" s="1" t="s">
        <v>35</v>
      </c>
      <c r="C413" s="1" t="s">
        <v>1248</v>
      </c>
      <c r="D413" s="1" t="s">
        <v>1225</v>
      </c>
      <c r="E413" s="1" t="s">
        <v>4443</v>
      </c>
      <c r="F413" s="1" t="s">
        <v>4444</v>
      </c>
      <c r="G413" s="1" t="s">
        <v>4445</v>
      </c>
      <c r="H413" s="1" t="s">
        <v>4446</v>
      </c>
      <c r="I413" s="1" t="s">
        <v>4447</v>
      </c>
      <c r="J413" s="1" t="s">
        <v>4448</v>
      </c>
      <c r="K413" s="1" t="s">
        <v>4449</v>
      </c>
      <c r="L413" s="1" t="s">
        <v>1226</v>
      </c>
    </row>
    <row r="414" spans="1:12" x14ac:dyDescent="0.2">
      <c r="A414" s="1" t="s">
        <v>35</v>
      </c>
      <c r="C414" s="1" t="s">
        <v>1251</v>
      </c>
      <c r="D414" s="1" t="s">
        <v>1228</v>
      </c>
      <c r="E414" s="1" t="s">
        <v>4450</v>
      </c>
      <c r="F414" s="1" t="s">
        <v>4451</v>
      </c>
      <c r="G414" s="1" t="s">
        <v>4452</v>
      </c>
      <c r="H414" s="1" t="s">
        <v>4453</v>
      </c>
      <c r="I414" s="1" t="s">
        <v>4454</v>
      </c>
      <c r="J414" s="1" t="s">
        <v>4455</v>
      </c>
      <c r="K414" s="1" t="s">
        <v>4456</v>
      </c>
      <c r="L414" s="1" t="s">
        <v>1229</v>
      </c>
    </row>
    <row r="415" spans="1:12" x14ac:dyDescent="0.2">
      <c r="A415" s="1" t="s">
        <v>35</v>
      </c>
      <c r="C415" s="1" t="s">
        <v>1254</v>
      </c>
      <c r="D415" s="1" t="s">
        <v>1231</v>
      </c>
      <c r="E415" s="1" t="s">
        <v>4457</v>
      </c>
      <c r="F415" s="1" t="s">
        <v>4458</v>
      </c>
      <c r="G415" s="1" t="s">
        <v>4459</v>
      </c>
      <c r="H415" s="1" t="s">
        <v>4460</v>
      </c>
      <c r="I415" s="1" t="s">
        <v>4461</v>
      </c>
      <c r="J415" s="1" t="s">
        <v>4462</v>
      </c>
      <c r="K415" s="1" t="s">
        <v>4463</v>
      </c>
      <c r="L415" s="1" t="s">
        <v>1232</v>
      </c>
    </row>
    <row r="416" spans="1:12" x14ac:dyDescent="0.2">
      <c r="A416" s="1" t="s">
        <v>35</v>
      </c>
      <c r="C416" s="1" t="s">
        <v>1257</v>
      </c>
      <c r="D416" s="1" t="s">
        <v>1234</v>
      </c>
      <c r="E416" s="1" t="s">
        <v>4464</v>
      </c>
      <c r="F416" s="1" t="s">
        <v>4465</v>
      </c>
      <c r="G416" s="1" t="s">
        <v>4466</v>
      </c>
      <c r="H416" s="1" t="s">
        <v>4467</v>
      </c>
      <c r="I416" s="1" t="s">
        <v>4468</v>
      </c>
      <c r="J416" s="1" t="s">
        <v>4469</v>
      </c>
      <c r="K416" s="1" t="s">
        <v>4470</v>
      </c>
      <c r="L416" s="1" t="s">
        <v>1235</v>
      </c>
    </row>
    <row r="417" spans="1:12" x14ac:dyDescent="0.2">
      <c r="A417" s="1" t="s">
        <v>35</v>
      </c>
      <c r="C417" s="1" t="s">
        <v>1260</v>
      </c>
      <c r="D417" s="1" t="s">
        <v>1237</v>
      </c>
      <c r="E417" s="1" t="s">
        <v>4471</v>
      </c>
      <c r="F417" s="1" t="s">
        <v>4472</v>
      </c>
      <c r="G417" s="1" t="s">
        <v>4473</v>
      </c>
      <c r="H417" s="1" t="s">
        <v>4474</v>
      </c>
      <c r="I417" s="1" t="s">
        <v>4475</v>
      </c>
      <c r="J417" s="1" t="s">
        <v>4476</v>
      </c>
      <c r="K417" s="1" t="s">
        <v>4477</v>
      </c>
      <c r="L417" s="1" t="s">
        <v>1238</v>
      </c>
    </row>
    <row r="418" spans="1:12" x14ac:dyDescent="0.2">
      <c r="A418" s="1" t="s">
        <v>35</v>
      </c>
      <c r="C418" s="1" t="s">
        <v>1263</v>
      </c>
      <c r="D418" s="1" t="s">
        <v>1240</v>
      </c>
      <c r="E418" s="1" t="s">
        <v>4478</v>
      </c>
      <c r="F418" s="1" t="s">
        <v>4479</v>
      </c>
      <c r="G418" s="1" t="s">
        <v>4480</v>
      </c>
      <c r="H418" s="1" t="s">
        <v>4481</v>
      </c>
      <c r="I418" s="1" t="s">
        <v>4482</v>
      </c>
      <c r="J418" s="1" t="s">
        <v>4483</v>
      </c>
      <c r="K418" s="1" t="s">
        <v>4484</v>
      </c>
      <c r="L418" s="1" t="s">
        <v>1241</v>
      </c>
    </row>
    <row r="419" spans="1:12" x14ac:dyDescent="0.2">
      <c r="A419" s="1" t="s">
        <v>35</v>
      </c>
      <c r="C419" s="1" t="s">
        <v>1266</v>
      </c>
      <c r="D419" s="1" t="s">
        <v>1243</v>
      </c>
      <c r="E419" s="1" t="s">
        <v>4485</v>
      </c>
      <c r="F419" s="1" t="s">
        <v>4486</v>
      </c>
      <c r="G419" s="1" t="s">
        <v>4487</v>
      </c>
      <c r="H419" s="1" t="s">
        <v>4488</v>
      </c>
      <c r="I419" s="1" t="s">
        <v>4489</v>
      </c>
      <c r="J419" s="1" t="s">
        <v>4490</v>
      </c>
      <c r="K419" s="1" t="s">
        <v>4491</v>
      </c>
      <c r="L419" s="1" t="s">
        <v>1244</v>
      </c>
    </row>
    <row r="420" spans="1:12" x14ac:dyDescent="0.2">
      <c r="A420" s="1" t="s">
        <v>35</v>
      </c>
      <c r="C420" s="1" t="s">
        <v>1269</v>
      </c>
      <c r="D420" s="1" t="s">
        <v>1246</v>
      </c>
      <c r="E420" s="1" t="s">
        <v>4492</v>
      </c>
      <c r="F420" s="1" t="s">
        <v>4493</v>
      </c>
      <c r="G420" s="1" t="s">
        <v>4494</v>
      </c>
      <c r="H420" s="1" t="s">
        <v>4495</v>
      </c>
      <c r="I420" s="1" t="s">
        <v>4496</v>
      </c>
      <c r="J420" s="1" t="s">
        <v>4497</v>
      </c>
      <c r="K420" s="1" t="s">
        <v>4498</v>
      </c>
      <c r="L420" s="1" t="s">
        <v>1247</v>
      </c>
    </row>
    <row r="421" spans="1:12" x14ac:dyDescent="0.2">
      <c r="A421" s="1" t="s">
        <v>35</v>
      </c>
      <c r="C421" s="1" t="s">
        <v>1272</v>
      </c>
      <c r="D421" s="1" t="s">
        <v>1249</v>
      </c>
      <c r="E421" s="1" t="s">
        <v>4499</v>
      </c>
      <c r="F421" s="1" t="s">
        <v>4500</v>
      </c>
      <c r="G421" s="1" t="s">
        <v>4501</v>
      </c>
      <c r="H421" s="1" t="s">
        <v>4502</v>
      </c>
      <c r="I421" s="1" t="s">
        <v>4503</v>
      </c>
      <c r="J421" s="1" t="s">
        <v>4504</v>
      </c>
      <c r="K421" s="1" t="s">
        <v>4505</v>
      </c>
      <c r="L421" s="1" t="s">
        <v>1250</v>
      </c>
    </row>
    <row r="422" spans="1:12" x14ac:dyDescent="0.2">
      <c r="A422" s="1" t="s">
        <v>35</v>
      </c>
      <c r="C422" s="1" t="s">
        <v>1275</v>
      </c>
      <c r="D422" s="1" t="s">
        <v>1252</v>
      </c>
      <c r="E422" s="1" t="s">
        <v>4506</v>
      </c>
      <c r="F422" s="1" t="s">
        <v>4507</v>
      </c>
      <c r="G422" s="1" t="s">
        <v>4508</v>
      </c>
      <c r="H422" s="1" t="s">
        <v>4509</v>
      </c>
      <c r="I422" s="1" t="s">
        <v>4510</v>
      </c>
      <c r="J422" s="1" t="s">
        <v>4511</v>
      </c>
      <c r="K422" s="1" t="s">
        <v>4512</v>
      </c>
      <c r="L422" s="1" t="s">
        <v>1253</v>
      </c>
    </row>
    <row r="423" spans="1:12" x14ac:dyDescent="0.2">
      <c r="A423" s="1" t="s">
        <v>35</v>
      </c>
      <c r="C423" s="1" t="s">
        <v>1278</v>
      </c>
      <c r="D423" s="1" t="s">
        <v>1255</v>
      </c>
      <c r="E423" s="1" t="s">
        <v>4513</v>
      </c>
      <c r="F423" s="1" t="s">
        <v>4514</v>
      </c>
      <c r="G423" s="1" t="s">
        <v>4515</v>
      </c>
      <c r="H423" s="1" t="s">
        <v>4516</v>
      </c>
      <c r="I423" s="1" t="s">
        <v>4517</v>
      </c>
      <c r="J423" s="1" t="s">
        <v>4518</v>
      </c>
      <c r="K423" s="1" t="s">
        <v>4519</v>
      </c>
      <c r="L423" s="1" t="s">
        <v>1256</v>
      </c>
    </row>
    <row r="424" spans="1:12" x14ac:dyDescent="0.2">
      <c r="A424" s="1" t="s">
        <v>35</v>
      </c>
      <c r="C424" s="1" t="s">
        <v>1281</v>
      </c>
      <c r="D424" s="1" t="s">
        <v>1258</v>
      </c>
      <c r="E424" s="1" t="s">
        <v>4520</v>
      </c>
      <c r="F424" s="1" t="s">
        <v>4521</v>
      </c>
      <c r="G424" s="1" t="s">
        <v>4522</v>
      </c>
      <c r="H424" s="1" t="s">
        <v>4523</v>
      </c>
      <c r="I424" s="1" t="s">
        <v>4524</v>
      </c>
      <c r="J424" s="1" t="s">
        <v>4525</v>
      </c>
      <c r="K424" s="1" t="s">
        <v>4526</v>
      </c>
      <c r="L424" s="1" t="s">
        <v>1259</v>
      </c>
    </row>
    <row r="425" spans="1:12" x14ac:dyDescent="0.2">
      <c r="A425" s="1" t="s">
        <v>35</v>
      </c>
      <c r="C425" s="1" t="s">
        <v>1284</v>
      </c>
      <c r="D425" s="1" t="s">
        <v>1261</v>
      </c>
      <c r="E425" s="1" t="s">
        <v>4527</v>
      </c>
      <c r="F425" s="1" t="s">
        <v>4528</v>
      </c>
      <c r="G425" s="1" t="s">
        <v>4529</v>
      </c>
      <c r="H425" s="1" t="s">
        <v>4530</v>
      </c>
      <c r="I425" s="1" t="s">
        <v>4531</v>
      </c>
      <c r="J425" s="1" t="s">
        <v>4532</v>
      </c>
      <c r="K425" s="1" t="s">
        <v>4533</v>
      </c>
      <c r="L425" s="1" t="s">
        <v>1262</v>
      </c>
    </row>
    <row r="426" spans="1:12" x14ac:dyDescent="0.2">
      <c r="A426" s="1" t="s">
        <v>35</v>
      </c>
      <c r="C426" s="1" t="s">
        <v>1287</v>
      </c>
      <c r="D426" s="1" t="s">
        <v>1264</v>
      </c>
      <c r="E426" s="1" t="s">
        <v>4534</v>
      </c>
      <c r="F426" s="1" t="s">
        <v>4535</v>
      </c>
      <c r="G426" s="1" t="s">
        <v>4536</v>
      </c>
      <c r="H426" s="1" t="s">
        <v>4537</v>
      </c>
      <c r="I426" s="1" t="s">
        <v>4538</v>
      </c>
      <c r="J426" s="1" t="s">
        <v>4539</v>
      </c>
      <c r="K426" s="1" t="s">
        <v>4540</v>
      </c>
      <c r="L426" s="1" t="s">
        <v>1265</v>
      </c>
    </row>
    <row r="427" spans="1:12" x14ac:dyDescent="0.2">
      <c r="A427" s="1" t="s">
        <v>35</v>
      </c>
      <c r="C427" s="1" t="s">
        <v>1290</v>
      </c>
      <c r="D427" s="1" t="s">
        <v>1267</v>
      </c>
      <c r="E427" s="1" t="s">
        <v>4541</v>
      </c>
      <c r="F427" s="1" t="s">
        <v>4542</v>
      </c>
      <c r="G427" s="1" t="s">
        <v>4543</v>
      </c>
      <c r="H427" s="1" t="s">
        <v>4544</v>
      </c>
      <c r="I427" s="1" t="s">
        <v>4545</v>
      </c>
      <c r="J427" s="1" t="s">
        <v>4546</v>
      </c>
      <c r="K427" s="1" t="s">
        <v>4547</v>
      </c>
      <c r="L427" s="1" t="s">
        <v>1268</v>
      </c>
    </row>
    <row r="428" spans="1:12" x14ac:dyDescent="0.2">
      <c r="A428" s="1" t="s">
        <v>35</v>
      </c>
      <c r="C428" s="1" t="s">
        <v>1293</v>
      </c>
      <c r="D428" s="1" t="s">
        <v>1270</v>
      </c>
      <c r="E428" s="1" t="s">
        <v>4548</v>
      </c>
      <c r="F428" s="1" t="s">
        <v>4549</v>
      </c>
      <c r="G428" s="1" t="s">
        <v>4550</v>
      </c>
      <c r="H428" s="1" t="s">
        <v>4551</v>
      </c>
      <c r="I428" s="1" t="s">
        <v>4552</v>
      </c>
      <c r="J428" s="1" t="s">
        <v>4553</v>
      </c>
      <c r="K428" s="1" t="s">
        <v>4554</v>
      </c>
      <c r="L428" s="1" t="s">
        <v>1271</v>
      </c>
    </row>
    <row r="429" spans="1:12" x14ac:dyDescent="0.2">
      <c r="A429" s="1" t="s">
        <v>35</v>
      </c>
      <c r="C429" s="1" t="s">
        <v>1296</v>
      </c>
      <c r="D429" s="1" t="s">
        <v>1273</v>
      </c>
      <c r="E429" s="1" t="s">
        <v>4555</v>
      </c>
      <c r="F429" s="1" t="s">
        <v>4556</v>
      </c>
      <c r="G429" s="1" t="s">
        <v>4557</v>
      </c>
      <c r="H429" s="1" t="s">
        <v>4558</v>
      </c>
      <c r="I429" s="1" t="s">
        <v>4559</v>
      </c>
      <c r="J429" s="1" t="s">
        <v>4560</v>
      </c>
      <c r="K429" s="1" t="s">
        <v>4561</v>
      </c>
      <c r="L429" s="1" t="s">
        <v>1274</v>
      </c>
    </row>
    <row r="430" spans="1:12" x14ac:dyDescent="0.2">
      <c r="A430" s="1" t="s">
        <v>35</v>
      </c>
      <c r="C430" s="1" t="s">
        <v>1299</v>
      </c>
      <c r="D430" s="1" t="s">
        <v>1276</v>
      </c>
      <c r="E430" s="1" t="s">
        <v>4562</v>
      </c>
      <c r="F430" s="1" t="s">
        <v>4563</v>
      </c>
      <c r="G430" s="1" t="s">
        <v>4564</v>
      </c>
      <c r="H430" s="1" t="s">
        <v>4565</v>
      </c>
      <c r="I430" s="1" t="s">
        <v>4566</v>
      </c>
      <c r="J430" s="1" t="s">
        <v>4567</v>
      </c>
      <c r="K430" s="1" t="s">
        <v>4568</v>
      </c>
      <c r="L430" s="1" t="s">
        <v>1277</v>
      </c>
    </row>
    <row r="431" spans="1:12" x14ac:dyDescent="0.2">
      <c r="A431" s="1" t="s">
        <v>35</v>
      </c>
      <c r="C431" s="1" t="s">
        <v>1302</v>
      </c>
      <c r="D431" s="1" t="s">
        <v>1279</v>
      </c>
      <c r="E431" s="1" t="s">
        <v>4569</v>
      </c>
      <c r="F431" s="1" t="s">
        <v>4570</v>
      </c>
      <c r="G431" s="1" t="s">
        <v>4571</v>
      </c>
      <c r="H431" s="1" t="s">
        <v>4572</v>
      </c>
      <c r="I431" s="1" t="s">
        <v>4573</v>
      </c>
      <c r="J431" s="1" t="s">
        <v>4574</v>
      </c>
      <c r="K431" s="1" t="s">
        <v>4575</v>
      </c>
      <c r="L431" s="1" t="s">
        <v>1280</v>
      </c>
    </row>
    <row r="432" spans="1:12" x14ac:dyDescent="0.2">
      <c r="A432" s="1" t="s">
        <v>35</v>
      </c>
      <c r="C432" s="1" t="s">
        <v>1305</v>
      </c>
      <c r="D432" s="1" t="s">
        <v>1282</v>
      </c>
      <c r="E432" s="1" t="s">
        <v>4576</v>
      </c>
      <c r="F432" s="1" t="s">
        <v>4577</v>
      </c>
      <c r="G432" s="1" t="s">
        <v>4578</v>
      </c>
      <c r="H432" s="1" t="s">
        <v>4579</v>
      </c>
      <c r="I432" s="1" t="s">
        <v>4580</v>
      </c>
      <c r="J432" s="1" t="s">
        <v>4581</v>
      </c>
      <c r="K432" s="1" t="s">
        <v>4582</v>
      </c>
      <c r="L432" s="1" t="s">
        <v>1283</v>
      </c>
    </row>
    <row r="433" spans="1:12" x14ac:dyDescent="0.2">
      <c r="A433" s="1" t="s">
        <v>35</v>
      </c>
      <c r="C433" s="1" t="s">
        <v>1308</v>
      </c>
      <c r="D433" s="1" t="s">
        <v>1285</v>
      </c>
      <c r="E433" s="1" t="s">
        <v>4583</v>
      </c>
      <c r="F433" s="1" t="s">
        <v>4584</v>
      </c>
      <c r="G433" s="1" t="s">
        <v>4585</v>
      </c>
      <c r="H433" s="1" t="s">
        <v>4586</v>
      </c>
      <c r="I433" s="1" t="s">
        <v>4587</v>
      </c>
      <c r="J433" s="1" t="s">
        <v>4588</v>
      </c>
      <c r="K433" s="1" t="s">
        <v>4589</v>
      </c>
      <c r="L433" s="1" t="s">
        <v>1286</v>
      </c>
    </row>
    <row r="434" spans="1:12" x14ac:dyDescent="0.2">
      <c r="A434" s="1" t="s">
        <v>35</v>
      </c>
      <c r="C434" s="1" t="s">
        <v>1311</v>
      </c>
      <c r="D434" s="1" t="s">
        <v>1288</v>
      </c>
      <c r="E434" s="1" t="s">
        <v>4590</v>
      </c>
      <c r="F434" s="1" t="s">
        <v>4591</v>
      </c>
      <c r="G434" s="1" t="s">
        <v>4592</v>
      </c>
      <c r="H434" s="1" t="s">
        <v>4593</v>
      </c>
      <c r="I434" s="1" t="s">
        <v>4594</v>
      </c>
      <c r="J434" s="1" t="s">
        <v>4595</v>
      </c>
      <c r="K434" s="1" t="s">
        <v>4596</v>
      </c>
      <c r="L434" s="1" t="s">
        <v>1289</v>
      </c>
    </row>
    <row r="435" spans="1:12" x14ac:dyDescent="0.2">
      <c r="A435" s="1" t="s">
        <v>35</v>
      </c>
      <c r="C435" s="1" t="s">
        <v>1314</v>
      </c>
      <c r="D435" s="1" t="s">
        <v>1291</v>
      </c>
      <c r="E435" s="1" t="s">
        <v>4597</v>
      </c>
      <c r="F435" s="1" t="s">
        <v>4598</v>
      </c>
      <c r="G435" s="1" t="s">
        <v>4599</v>
      </c>
      <c r="H435" s="1" t="s">
        <v>4600</v>
      </c>
      <c r="I435" s="1" t="s">
        <v>4601</v>
      </c>
      <c r="J435" s="1" t="s">
        <v>4602</v>
      </c>
      <c r="K435" s="1" t="s">
        <v>4603</v>
      </c>
      <c r="L435" s="1" t="s">
        <v>1292</v>
      </c>
    </row>
    <row r="436" spans="1:12" x14ac:dyDescent="0.2">
      <c r="A436" s="1" t="s">
        <v>35</v>
      </c>
      <c r="C436" s="1" t="s">
        <v>1317</v>
      </c>
      <c r="D436" s="1" t="s">
        <v>1294</v>
      </c>
      <c r="E436" s="1" t="s">
        <v>4604</v>
      </c>
      <c r="F436" s="1" t="s">
        <v>4605</v>
      </c>
      <c r="G436" s="1" t="s">
        <v>4606</v>
      </c>
      <c r="H436" s="1" t="s">
        <v>4607</v>
      </c>
      <c r="I436" s="1" t="s">
        <v>4608</v>
      </c>
      <c r="J436" s="1" t="s">
        <v>4609</v>
      </c>
      <c r="K436" s="1" t="s">
        <v>4610</v>
      </c>
      <c r="L436" s="1" t="s">
        <v>1295</v>
      </c>
    </row>
    <row r="437" spans="1:12" x14ac:dyDescent="0.2">
      <c r="A437" s="1" t="s">
        <v>35</v>
      </c>
      <c r="C437" s="1" t="s">
        <v>1320</v>
      </c>
      <c r="D437" s="1" t="s">
        <v>1297</v>
      </c>
      <c r="E437" s="1" t="s">
        <v>4611</v>
      </c>
      <c r="F437" s="1" t="s">
        <v>4612</v>
      </c>
      <c r="G437" s="1" t="s">
        <v>4613</v>
      </c>
      <c r="H437" s="1" t="s">
        <v>4614</v>
      </c>
      <c r="I437" s="1" t="s">
        <v>4615</v>
      </c>
      <c r="J437" s="1" t="s">
        <v>4616</v>
      </c>
      <c r="K437" s="1" t="s">
        <v>4617</v>
      </c>
      <c r="L437" s="1" t="s">
        <v>1298</v>
      </c>
    </row>
    <row r="438" spans="1:12" x14ac:dyDescent="0.2">
      <c r="A438" s="1" t="s">
        <v>35</v>
      </c>
      <c r="C438" s="1" t="s">
        <v>1323</v>
      </c>
      <c r="D438" s="1" t="s">
        <v>1300</v>
      </c>
      <c r="E438" s="1" t="s">
        <v>4618</v>
      </c>
      <c r="F438" s="1" t="s">
        <v>4619</v>
      </c>
      <c r="G438" s="1" t="s">
        <v>4620</v>
      </c>
      <c r="H438" s="1" t="s">
        <v>4621</v>
      </c>
      <c r="I438" s="1" t="s">
        <v>4622</v>
      </c>
      <c r="J438" s="1" t="s">
        <v>4623</v>
      </c>
      <c r="K438" s="1" t="s">
        <v>4624</v>
      </c>
      <c r="L438" s="1" t="s">
        <v>1301</v>
      </c>
    </row>
    <row r="439" spans="1:12" x14ac:dyDescent="0.2">
      <c r="A439" s="1" t="s">
        <v>35</v>
      </c>
      <c r="C439" s="1" t="s">
        <v>1326</v>
      </c>
      <c r="D439" s="1" t="s">
        <v>1303</v>
      </c>
      <c r="E439" s="1" t="s">
        <v>4625</v>
      </c>
      <c r="F439" s="1" t="s">
        <v>4626</v>
      </c>
      <c r="G439" s="1" t="s">
        <v>4627</v>
      </c>
      <c r="H439" s="1" t="s">
        <v>4628</v>
      </c>
      <c r="I439" s="1" t="s">
        <v>4629</v>
      </c>
      <c r="J439" s="1" t="s">
        <v>4630</v>
      </c>
      <c r="K439" s="1" t="s">
        <v>4631</v>
      </c>
      <c r="L439" s="1" t="s">
        <v>1304</v>
      </c>
    </row>
    <row r="440" spans="1:12" x14ac:dyDescent="0.2">
      <c r="A440" s="1" t="s">
        <v>35</v>
      </c>
      <c r="C440" s="1" t="s">
        <v>1329</v>
      </c>
      <c r="D440" s="1" t="s">
        <v>1306</v>
      </c>
      <c r="E440" s="1" t="s">
        <v>4632</v>
      </c>
      <c r="F440" s="1" t="s">
        <v>4633</v>
      </c>
      <c r="G440" s="1" t="s">
        <v>4634</v>
      </c>
      <c r="H440" s="1" t="s">
        <v>4635</v>
      </c>
      <c r="I440" s="1" t="s">
        <v>4636</v>
      </c>
      <c r="J440" s="1" t="s">
        <v>4637</v>
      </c>
      <c r="K440" s="1" t="s">
        <v>4638</v>
      </c>
      <c r="L440" s="1" t="s">
        <v>1307</v>
      </c>
    </row>
    <row r="441" spans="1:12" x14ac:dyDescent="0.2">
      <c r="A441" s="1" t="s">
        <v>35</v>
      </c>
      <c r="C441" s="1" t="s">
        <v>1332</v>
      </c>
      <c r="D441" s="1" t="s">
        <v>1309</v>
      </c>
      <c r="E441" s="1" t="s">
        <v>4639</v>
      </c>
      <c r="F441" s="1" t="s">
        <v>4640</v>
      </c>
      <c r="G441" s="1" t="s">
        <v>4641</v>
      </c>
      <c r="H441" s="1" t="s">
        <v>4642</v>
      </c>
      <c r="I441" s="1" t="s">
        <v>4643</v>
      </c>
      <c r="J441" s="1" t="s">
        <v>4644</v>
      </c>
      <c r="K441" s="1" t="s">
        <v>4645</v>
      </c>
      <c r="L441" s="1" t="s">
        <v>1310</v>
      </c>
    </row>
    <row r="442" spans="1:12" x14ac:dyDescent="0.2">
      <c r="A442" s="1" t="s">
        <v>35</v>
      </c>
      <c r="C442" s="1" t="s">
        <v>1335</v>
      </c>
      <c r="D442" s="1" t="s">
        <v>1312</v>
      </c>
      <c r="E442" s="1" t="s">
        <v>4646</v>
      </c>
      <c r="F442" s="1" t="s">
        <v>4647</v>
      </c>
      <c r="G442" s="1" t="s">
        <v>4648</v>
      </c>
      <c r="H442" s="1" t="s">
        <v>4649</v>
      </c>
      <c r="I442" s="1" t="s">
        <v>4650</v>
      </c>
      <c r="J442" s="1" t="s">
        <v>4651</v>
      </c>
      <c r="K442" s="1" t="s">
        <v>4652</v>
      </c>
      <c r="L442" s="1" t="s">
        <v>1313</v>
      </c>
    </row>
    <row r="443" spans="1:12" x14ac:dyDescent="0.2">
      <c r="A443" s="1" t="s">
        <v>35</v>
      </c>
      <c r="C443" s="1" t="s">
        <v>1338</v>
      </c>
      <c r="D443" s="1" t="s">
        <v>1315</v>
      </c>
      <c r="E443" s="1" t="s">
        <v>4653</v>
      </c>
      <c r="F443" s="1" t="s">
        <v>4654</v>
      </c>
      <c r="G443" s="1" t="s">
        <v>4655</v>
      </c>
      <c r="H443" s="1" t="s">
        <v>4656</v>
      </c>
      <c r="I443" s="1" t="s">
        <v>4657</v>
      </c>
      <c r="J443" s="1" t="s">
        <v>4658</v>
      </c>
      <c r="K443" s="1" t="s">
        <v>4659</v>
      </c>
      <c r="L443" s="1" t="s">
        <v>1316</v>
      </c>
    </row>
    <row r="444" spans="1:12" x14ac:dyDescent="0.2">
      <c r="A444" s="1" t="s">
        <v>35</v>
      </c>
      <c r="C444" s="1" t="s">
        <v>1341</v>
      </c>
      <c r="D444" s="1" t="s">
        <v>1318</v>
      </c>
      <c r="E444" s="1" t="s">
        <v>4660</v>
      </c>
      <c r="F444" s="1" t="s">
        <v>4661</v>
      </c>
      <c r="G444" s="1" t="s">
        <v>4662</v>
      </c>
      <c r="H444" s="1" t="s">
        <v>4663</v>
      </c>
      <c r="I444" s="1" t="s">
        <v>4664</v>
      </c>
      <c r="J444" s="1" t="s">
        <v>4665</v>
      </c>
      <c r="K444" s="1" t="s">
        <v>4666</v>
      </c>
      <c r="L444" s="1" t="s">
        <v>1319</v>
      </c>
    </row>
    <row r="445" spans="1:12" x14ac:dyDescent="0.2">
      <c r="A445" s="1" t="s">
        <v>35</v>
      </c>
      <c r="C445" s="1" t="s">
        <v>1344</v>
      </c>
      <c r="D445" s="1" t="s">
        <v>1321</v>
      </c>
      <c r="E445" s="1" t="s">
        <v>4667</v>
      </c>
      <c r="F445" s="1" t="s">
        <v>4668</v>
      </c>
      <c r="G445" s="1" t="s">
        <v>4669</v>
      </c>
      <c r="H445" s="1" t="s">
        <v>4670</v>
      </c>
      <c r="I445" s="1" t="s">
        <v>4671</v>
      </c>
      <c r="J445" s="1" t="s">
        <v>4672</v>
      </c>
      <c r="K445" s="1" t="s">
        <v>4673</v>
      </c>
      <c r="L445" s="1" t="s">
        <v>1322</v>
      </c>
    </row>
    <row r="446" spans="1:12" x14ac:dyDescent="0.2">
      <c r="A446" s="1" t="s">
        <v>35</v>
      </c>
      <c r="C446" s="1" t="s">
        <v>1347</v>
      </c>
      <c r="D446" s="1" t="s">
        <v>1324</v>
      </c>
      <c r="E446" s="1" t="s">
        <v>4674</v>
      </c>
      <c r="F446" s="1" t="s">
        <v>4675</v>
      </c>
      <c r="G446" s="1" t="s">
        <v>4676</v>
      </c>
      <c r="H446" s="1" t="s">
        <v>4677</v>
      </c>
      <c r="I446" s="1" t="s">
        <v>4678</v>
      </c>
      <c r="J446" s="1" t="s">
        <v>4679</v>
      </c>
      <c r="K446" s="1" t="s">
        <v>4680</v>
      </c>
      <c r="L446" s="1" t="s">
        <v>1325</v>
      </c>
    </row>
    <row r="447" spans="1:12" x14ac:dyDescent="0.2">
      <c r="A447" s="1" t="s">
        <v>35</v>
      </c>
      <c r="C447" s="1" t="s">
        <v>1350</v>
      </c>
      <c r="D447" s="1" t="s">
        <v>1327</v>
      </c>
      <c r="E447" s="1" t="s">
        <v>4681</v>
      </c>
      <c r="F447" s="1" t="s">
        <v>4682</v>
      </c>
      <c r="G447" s="1" t="s">
        <v>4683</v>
      </c>
      <c r="H447" s="1" t="s">
        <v>4684</v>
      </c>
      <c r="I447" s="1" t="s">
        <v>4685</v>
      </c>
      <c r="J447" s="1" t="s">
        <v>4686</v>
      </c>
      <c r="K447" s="1" t="s">
        <v>4687</v>
      </c>
      <c r="L447" s="1" t="s">
        <v>1328</v>
      </c>
    </row>
    <row r="448" spans="1:12" x14ac:dyDescent="0.2">
      <c r="A448" s="1" t="s">
        <v>35</v>
      </c>
      <c r="C448" s="1" t="s">
        <v>1353</v>
      </c>
      <c r="D448" s="1" t="s">
        <v>1330</v>
      </c>
      <c r="E448" s="1" t="s">
        <v>4688</v>
      </c>
      <c r="F448" s="1" t="s">
        <v>4689</v>
      </c>
      <c r="G448" s="1" t="s">
        <v>4690</v>
      </c>
      <c r="H448" s="1" t="s">
        <v>4691</v>
      </c>
      <c r="I448" s="1" t="s">
        <v>4692</v>
      </c>
      <c r="J448" s="1" t="s">
        <v>4693</v>
      </c>
      <c r="K448" s="1" t="s">
        <v>4694</v>
      </c>
      <c r="L448" s="1" t="s">
        <v>1331</v>
      </c>
    </row>
    <row r="449" spans="1:12" x14ac:dyDescent="0.2">
      <c r="A449" s="1" t="s">
        <v>35</v>
      </c>
      <c r="C449" s="1" t="s">
        <v>1356</v>
      </c>
      <c r="D449" s="1" t="s">
        <v>1333</v>
      </c>
      <c r="E449" s="1" t="s">
        <v>4695</v>
      </c>
      <c r="F449" s="1" t="s">
        <v>4696</v>
      </c>
      <c r="G449" s="1" t="s">
        <v>4697</v>
      </c>
      <c r="H449" s="1" t="s">
        <v>4698</v>
      </c>
      <c r="I449" s="1" t="s">
        <v>4699</v>
      </c>
      <c r="J449" s="1" t="s">
        <v>4700</v>
      </c>
      <c r="K449" s="1" t="s">
        <v>4701</v>
      </c>
      <c r="L449" s="1" t="s">
        <v>1334</v>
      </c>
    </row>
    <row r="450" spans="1:12" x14ac:dyDescent="0.2">
      <c r="A450" s="1" t="s">
        <v>35</v>
      </c>
      <c r="C450" s="1" t="s">
        <v>1359</v>
      </c>
      <c r="D450" s="1" t="s">
        <v>1336</v>
      </c>
      <c r="E450" s="1" t="s">
        <v>4702</v>
      </c>
      <c r="F450" s="1" t="s">
        <v>4703</v>
      </c>
      <c r="G450" s="1" t="s">
        <v>4704</v>
      </c>
      <c r="H450" s="1" t="s">
        <v>4705</v>
      </c>
      <c r="I450" s="1" t="s">
        <v>4706</v>
      </c>
      <c r="J450" s="1" t="s">
        <v>4707</v>
      </c>
      <c r="K450" s="1" t="s">
        <v>4708</v>
      </c>
      <c r="L450" s="1" t="s">
        <v>1337</v>
      </c>
    </row>
    <row r="451" spans="1:12" x14ac:dyDescent="0.2">
      <c r="A451" s="1" t="s">
        <v>35</v>
      </c>
      <c r="C451" s="1" t="s">
        <v>1362</v>
      </c>
      <c r="D451" s="1" t="s">
        <v>1339</v>
      </c>
      <c r="E451" s="1" t="s">
        <v>4709</v>
      </c>
      <c r="F451" s="1" t="s">
        <v>4710</v>
      </c>
      <c r="G451" s="1" t="s">
        <v>4711</v>
      </c>
      <c r="H451" s="1" t="s">
        <v>4712</v>
      </c>
      <c r="I451" s="1" t="s">
        <v>4713</v>
      </c>
      <c r="J451" s="1" t="s">
        <v>4714</v>
      </c>
      <c r="K451" s="1" t="s">
        <v>4715</v>
      </c>
      <c r="L451" s="1" t="s">
        <v>1340</v>
      </c>
    </row>
    <row r="452" spans="1:12" x14ac:dyDescent="0.2">
      <c r="A452" s="1" t="s">
        <v>35</v>
      </c>
      <c r="C452" s="1" t="s">
        <v>1365</v>
      </c>
      <c r="D452" s="1" t="s">
        <v>1342</v>
      </c>
      <c r="E452" s="1" t="s">
        <v>4716</v>
      </c>
      <c r="F452" s="1" t="s">
        <v>4717</v>
      </c>
      <c r="G452" s="1" t="s">
        <v>4718</v>
      </c>
      <c r="H452" s="1" t="s">
        <v>4719</v>
      </c>
      <c r="I452" s="1" t="s">
        <v>4720</v>
      </c>
      <c r="J452" s="1" t="s">
        <v>4721</v>
      </c>
      <c r="K452" s="1" t="s">
        <v>4722</v>
      </c>
      <c r="L452" s="1" t="s">
        <v>1343</v>
      </c>
    </row>
    <row r="453" spans="1:12" x14ac:dyDescent="0.2">
      <c r="A453" s="1" t="s">
        <v>35</v>
      </c>
      <c r="C453" s="1" t="s">
        <v>1368</v>
      </c>
      <c r="D453" s="1" t="s">
        <v>1345</v>
      </c>
      <c r="E453" s="1" t="s">
        <v>4723</v>
      </c>
      <c r="F453" s="1" t="s">
        <v>4724</v>
      </c>
      <c r="G453" s="1" t="s">
        <v>4725</v>
      </c>
      <c r="H453" s="1" t="s">
        <v>4726</v>
      </c>
      <c r="I453" s="1" t="s">
        <v>4727</v>
      </c>
      <c r="J453" s="1" t="s">
        <v>4728</v>
      </c>
      <c r="K453" s="1" t="s">
        <v>4729</v>
      </c>
      <c r="L453" s="1" t="s">
        <v>1346</v>
      </c>
    </row>
    <row r="454" spans="1:12" x14ac:dyDescent="0.2">
      <c r="A454" s="1" t="s">
        <v>35</v>
      </c>
      <c r="C454" s="1" t="s">
        <v>1371</v>
      </c>
      <c r="D454" s="1" t="s">
        <v>1348</v>
      </c>
      <c r="E454" s="1" t="s">
        <v>4730</v>
      </c>
      <c r="F454" s="1" t="s">
        <v>4731</v>
      </c>
      <c r="G454" s="1" t="s">
        <v>4732</v>
      </c>
      <c r="H454" s="1" t="s">
        <v>4733</v>
      </c>
      <c r="I454" s="1" t="s">
        <v>4734</v>
      </c>
      <c r="J454" s="1" t="s">
        <v>4735</v>
      </c>
      <c r="K454" s="1" t="s">
        <v>4736</v>
      </c>
      <c r="L454" s="1" t="s">
        <v>1349</v>
      </c>
    </row>
    <row r="455" spans="1:12" x14ac:dyDescent="0.2">
      <c r="A455" s="1" t="s">
        <v>35</v>
      </c>
      <c r="C455" s="1" t="s">
        <v>1374</v>
      </c>
      <c r="D455" s="1" t="s">
        <v>1351</v>
      </c>
      <c r="E455" s="1" t="s">
        <v>4737</v>
      </c>
      <c r="F455" s="1" t="s">
        <v>4738</v>
      </c>
      <c r="G455" s="1" t="s">
        <v>4739</v>
      </c>
      <c r="H455" s="1" t="s">
        <v>4740</v>
      </c>
      <c r="I455" s="1" t="s">
        <v>4741</v>
      </c>
      <c r="J455" s="1" t="s">
        <v>4742</v>
      </c>
      <c r="K455" s="1" t="s">
        <v>4743</v>
      </c>
      <c r="L455" s="1" t="s">
        <v>1352</v>
      </c>
    </row>
    <row r="456" spans="1:12" x14ac:dyDescent="0.2">
      <c r="A456" s="1" t="s">
        <v>35</v>
      </c>
      <c r="C456" s="1" t="s">
        <v>1377</v>
      </c>
      <c r="D456" s="1" t="s">
        <v>1354</v>
      </c>
      <c r="E456" s="1" t="s">
        <v>4744</v>
      </c>
      <c r="F456" s="1" t="s">
        <v>4745</v>
      </c>
      <c r="G456" s="1" t="s">
        <v>4746</v>
      </c>
      <c r="H456" s="1" t="s">
        <v>4747</v>
      </c>
      <c r="I456" s="1" t="s">
        <v>4748</v>
      </c>
      <c r="J456" s="1" t="s">
        <v>4749</v>
      </c>
      <c r="K456" s="1" t="s">
        <v>4750</v>
      </c>
      <c r="L456" s="1" t="s">
        <v>1355</v>
      </c>
    </row>
    <row r="457" spans="1:12" x14ac:dyDescent="0.2">
      <c r="A457" s="1" t="s">
        <v>35</v>
      </c>
      <c r="C457" s="1" t="s">
        <v>1380</v>
      </c>
      <c r="D457" s="1" t="s">
        <v>1357</v>
      </c>
      <c r="E457" s="1" t="s">
        <v>4751</v>
      </c>
      <c r="F457" s="1" t="s">
        <v>4752</v>
      </c>
      <c r="G457" s="1" t="s">
        <v>4753</v>
      </c>
      <c r="H457" s="1" t="s">
        <v>4754</v>
      </c>
      <c r="I457" s="1" t="s">
        <v>4755</v>
      </c>
      <c r="J457" s="1" t="s">
        <v>4756</v>
      </c>
      <c r="K457" s="1" t="s">
        <v>4757</v>
      </c>
      <c r="L457" s="1" t="s">
        <v>1358</v>
      </c>
    </row>
    <row r="458" spans="1:12" x14ac:dyDescent="0.2">
      <c r="A458" s="1" t="s">
        <v>35</v>
      </c>
      <c r="C458" s="1" t="s">
        <v>1383</v>
      </c>
      <c r="D458" s="1" t="s">
        <v>1360</v>
      </c>
      <c r="E458" s="1" t="s">
        <v>4758</v>
      </c>
      <c r="F458" s="1" t="s">
        <v>4759</v>
      </c>
      <c r="G458" s="1" t="s">
        <v>4760</v>
      </c>
      <c r="H458" s="1" t="s">
        <v>4761</v>
      </c>
      <c r="I458" s="1" t="s">
        <v>4762</v>
      </c>
      <c r="J458" s="1" t="s">
        <v>4763</v>
      </c>
      <c r="K458" s="1" t="s">
        <v>4764</v>
      </c>
      <c r="L458" s="1" t="s">
        <v>1361</v>
      </c>
    </row>
    <row r="459" spans="1:12" x14ac:dyDescent="0.2">
      <c r="A459" s="1" t="s">
        <v>35</v>
      </c>
      <c r="C459" s="1" t="s">
        <v>1386</v>
      </c>
      <c r="D459" s="1" t="s">
        <v>1363</v>
      </c>
      <c r="E459" s="1" t="s">
        <v>4765</v>
      </c>
      <c r="F459" s="1" t="s">
        <v>4766</v>
      </c>
      <c r="G459" s="1" t="s">
        <v>4767</v>
      </c>
      <c r="H459" s="1" t="s">
        <v>4768</v>
      </c>
      <c r="I459" s="1" t="s">
        <v>4769</v>
      </c>
      <c r="J459" s="1" t="s">
        <v>4770</v>
      </c>
      <c r="K459" s="1" t="s">
        <v>4771</v>
      </c>
      <c r="L459" s="1" t="s">
        <v>1364</v>
      </c>
    </row>
    <row r="460" spans="1:12" x14ac:dyDescent="0.2">
      <c r="A460" s="1" t="s">
        <v>35</v>
      </c>
      <c r="C460" s="1" t="s">
        <v>1389</v>
      </c>
      <c r="D460" s="1" t="s">
        <v>1366</v>
      </c>
      <c r="E460" s="1" t="s">
        <v>4772</v>
      </c>
      <c r="F460" s="1" t="s">
        <v>4773</v>
      </c>
      <c r="G460" s="1" t="s">
        <v>4774</v>
      </c>
      <c r="H460" s="1" t="s">
        <v>4775</v>
      </c>
      <c r="I460" s="1" t="s">
        <v>4776</v>
      </c>
      <c r="J460" s="1" t="s">
        <v>4777</v>
      </c>
      <c r="K460" s="1" t="s">
        <v>4778</v>
      </c>
      <c r="L460" s="1" t="s">
        <v>1367</v>
      </c>
    </row>
    <row r="461" spans="1:12" x14ac:dyDescent="0.2">
      <c r="A461" s="1" t="s">
        <v>35</v>
      </c>
      <c r="C461" s="1" t="s">
        <v>1392</v>
      </c>
      <c r="D461" s="1" t="s">
        <v>1369</v>
      </c>
      <c r="E461" s="1" t="s">
        <v>4779</v>
      </c>
      <c r="F461" s="1" t="s">
        <v>4780</v>
      </c>
      <c r="G461" s="1" t="s">
        <v>4781</v>
      </c>
      <c r="H461" s="1" t="s">
        <v>4782</v>
      </c>
      <c r="I461" s="1" t="s">
        <v>4783</v>
      </c>
      <c r="J461" s="1" t="s">
        <v>4784</v>
      </c>
      <c r="K461" s="1" t="s">
        <v>4785</v>
      </c>
      <c r="L461" s="1" t="s">
        <v>1370</v>
      </c>
    </row>
    <row r="462" spans="1:12" x14ac:dyDescent="0.2">
      <c r="A462" s="1" t="s">
        <v>35</v>
      </c>
      <c r="C462" s="1" t="s">
        <v>1395</v>
      </c>
      <c r="D462" s="1" t="s">
        <v>1372</v>
      </c>
      <c r="E462" s="1" t="s">
        <v>4786</v>
      </c>
      <c r="F462" s="1" t="s">
        <v>4787</v>
      </c>
      <c r="G462" s="1" t="s">
        <v>4788</v>
      </c>
      <c r="H462" s="1" t="s">
        <v>4789</v>
      </c>
      <c r="I462" s="1" t="s">
        <v>4790</v>
      </c>
      <c r="J462" s="1" t="s">
        <v>4791</v>
      </c>
      <c r="K462" s="1" t="s">
        <v>4792</v>
      </c>
      <c r="L462" s="1" t="s">
        <v>1373</v>
      </c>
    </row>
    <row r="463" spans="1:12" x14ac:dyDescent="0.2">
      <c r="A463" s="1" t="s">
        <v>35</v>
      </c>
      <c r="C463" s="1" t="s">
        <v>1398</v>
      </c>
      <c r="D463" s="1" t="s">
        <v>1375</v>
      </c>
      <c r="E463" s="1" t="s">
        <v>4793</v>
      </c>
      <c r="F463" s="1" t="s">
        <v>4794</v>
      </c>
      <c r="G463" s="1" t="s">
        <v>4795</v>
      </c>
      <c r="H463" s="1" t="s">
        <v>4796</v>
      </c>
      <c r="I463" s="1" t="s">
        <v>4797</v>
      </c>
      <c r="J463" s="1" t="s">
        <v>4798</v>
      </c>
      <c r="K463" s="1" t="s">
        <v>4799</v>
      </c>
      <c r="L463" s="1" t="s">
        <v>1376</v>
      </c>
    </row>
    <row r="464" spans="1:12" x14ac:dyDescent="0.2">
      <c r="A464" s="1" t="s">
        <v>35</v>
      </c>
      <c r="C464" s="1" t="s">
        <v>1401</v>
      </c>
      <c r="D464" s="1" t="s">
        <v>1378</v>
      </c>
      <c r="E464" s="1" t="s">
        <v>4800</v>
      </c>
      <c r="F464" s="1" t="s">
        <v>4801</v>
      </c>
      <c r="G464" s="1" t="s">
        <v>4802</v>
      </c>
      <c r="H464" s="1" t="s">
        <v>4803</v>
      </c>
      <c r="I464" s="1" t="s">
        <v>4804</v>
      </c>
      <c r="J464" s="1" t="s">
        <v>4805</v>
      </c>
      <c r="K464" s="1" t="s">
        <v>4806</v>
      </c>
      <c r="L464" s="1" t="s">
        <v>1379</v>
      </c>
    </row>
    <row r="465" spans="1:12" x14ac:dyDescent="0.2">
      <c r="A465" s="1" t="s">
        <v>35</v>
      </c>
      <c r="C465" s="1" t="s">
        <v>1404</v>
      </c>
      <c r="D465" s="1" t="s">
        <v>1381</v>
      </c>
      <c r="E465" s="1" t="s">
        <v>4807</v>
      </c>
      <c r="F465" s="1" t="s">
        <v>4808</v>
      </c>
      <c r="G465" s="1" t="s">
        <v>4809</v>
      </c>
      <c r="H465" s="1" t="s">
        <v>4810</v>
      </c>
      <c r="I465" s="1" t="s">
        <v>4811</v>
      </c>
      <c r="J465" s="1" t="s">
        <v>4812</v>
      </c>
      <c r="K465" s="1" t="s">
        <v>4813</v>
      </c>
      <c r="L465" s="1" t="s">
        <v>1382</v>
      </c>
    </row>
    <row r="466" spans="1:12" x14ac:dyDescent="0.2">
      <c r="A466" s="1" t="s">
        <v>35</v>
      </c>
      <c r="C466" s="1" t="s">
        <v>1407</v>
      </c>
      <c r="D466" s="1" t="s">
        <v>1384</v>
      </c>
      <c r="E466" s="1" t="s">
        <v>4814</v>
      </c>
      <c r="F466" s="1" t="s">
        <v>4815</v>
      </c>
      <c r="G466" s="1" t="s">
        <v>4816</v>
      </c>
      <c r="H466" s="1" t="s">
        <v>4817</v>
      </c>
      <c r="I466" s="1" t="s">
        <v>4818</v>
      </c>
      <c r="J466" s="1" t="s">
        <v>4819</v>
      </c>
      <c r="K466" s="1" t="s">
        <v>4820</v>
      </c>
      <c r="L466" s="1" t="s">
        <v>1385</v>
      </c>
    </row>
    <row r="467" spans="1:12" x14ac:dyDescent="0.2">
      <c r="A467" s="1" t="s">
        <v>35</v>
      </c>
      <c r="C467" s="1" t="s">
        <v>1410</v>
      </c>
      <c r="D467" s="1" t="s">
        <v>1387</v>
      </c>
      <c r="E467" s="1" t="s">
        <v>4821</v>
      </c>
      <c r="F467" s="1" t="s">
        <v>4822</v>
      </c>
      <c r="G467" s="1" t="s">
        <v>4823</v>
      </c>
      <c r="H467" s="1" t="s">
        <v>4824</v>
      </c>
      <c r="I467" s="1" t="s">
        <v>4825</v>
      </c>
      <c r="J467" s="1" t="s">
        <v>4826</v>
      </c>
      <c r="K467" s="1" t="s">
        <v>4827</v>
      </c>
      <c r="L467" s="1" t="s">
        <v>1388</v>
      </c>
    </row>
    <row r="468" spans="1:12" x14ac:dyDescent="0.2">
      <c r="A468" s="1" t="s">
        <v>35</v>
      </c>
      <c r="C468" s="1" t="s">
        <v>1413</v>
      </c>
      <c r="D468" s="1" t="s">
        <v>1390</v>
      </c>
      <c r="E468" s="1" t="s">
        <v>4828</v>
      </c>
      <c r="F468" s="1" t="s">
        <v>4829</v>
      </c>
      <c r="G468" s="1" t="s">
        <v>4830</v>
      </c>
      <c r="H468" s="1" t="s">
        <v>4831</v>
      </c>
      <c r="I468" s="1" t="s">
        <v>4832</v>
      </c>
      <c r="J468" s="1" t="s">
        <v>4833</v>
      </c>
      <c r="K468" s="1" t="s">
        <v>4834</v>
      </c>
      <c r="L468" s="1" t="s">
        <v>1391</v>
      </c>
    </row>
    <row r="469" spans="1:12" x14ac:dyDescent="0.2">
      <c r="A469" s="1" t="s">
        <v>35</v>
      </c>
      <c r="C469" s="1" t="s">
        <v>1416</v>
      </c>
      <c r="D469" s="1" t="s">
        <v>1393</v>
      </c>
      <c r="E469" s="1" t="s">
        <v>4835</v>
      </c>
      <c r="F469" s="1" t="s">
        <v>4836</v>
      </c>
      <c r="G469" s="1" t="s">
        <v>4837</v>
      </c>
      <c r="H469" s="1" t="s">
        <v>4838</v>
      </c>
      <c r="I469" s="1" t="s">
        <v>4839</v>
      </c>
      <c r="J469" s="1" t="s">
        <v>4840</v>
      </c>
      <c r="K469" s="1" t="s">
        <v>4841</v>
      </c>
      <c r="L469" s="1" t="s">
        <v>1394</v>
      </c>
    </row>
    <row r="470" spans="1:12" x14ac:dyDescent="0.2">
      <c r="A470" s="1" t="s">
        <v>35</v>
      </c>
      <c r="C470" s="1" t="s">
        <v>1419</v>
      </c>
      <c r="D470" s="1" t="s">
        <v>1396</v>
      </c>
      <c r="E470" s="1" t="s">
        <v>4842</v>
      </c>
      <c r="F470" s="1" t="s">
        <v>4843</v>
      </c>
      <c r="G470" s="1" t="s">
        <v>4844</v>
      </c>
      <c r="H470" s="1" t="s">
        <v>4845</v>
      </c>
      <c r="I470" s="1" t="s">
        <v>4846</v>
      </c>
      <c r="J470" s="1" t="s">
        <v>4847</v>
      </c>
      <c r="K470" s="1" t="s">
        <v>4848</v>
      </c>
      <c r="L470" s="1" t="s">
        <v>1397</v>
      </c>
    </row>
    <row r="471" spans="1:12" x14ac:dyDescent="0.2">
      <c r="A471" s="1" t="s">
        <v>35</v>
      </c>
      <c r="C471" s="1" t="s">
        <v>1422</v>
      </c>
      <c r="D471" s="1" t="s">
        <v>1399</v>
      </c>
      <c r="E471" s="1" t="s">
        <v>4849</v>
      </c>
      <c r="F471" s="1" t="s">
        <v>4850</v>
      </c>
      <c r="G471" s="1" t="s">
        <v>4851</v>
      </c>
      <c r="H471" s="1" t="s">
        <v>4852</v>
      </c>
      <c r="I471" s="1" t="s">
        <v>4853</v>
      </c>
      <c r="J471" s="1" t="s">
        <v>4854</v>
      </c>
      <c r="K471" s="1" t="s">
        <v>4855</v>
      </c>
      <c r="L471" s="1" t="s">
        <v>1400</v>
      </c>
    </row>
    <row r="472" spans="1:12" x14ac:dyDescent="0.2">
      <c r="A472" s="1" t="s">
        <v>35</v>
      </c>
      <c r="C472" s="1" t="s">
        <v>1425</v>
      </c>
      <c r="D472" s="1" t="s">
        <v>1402</v>
      </c>
      <c r="E472" s="1" t="s">
        <v>4856</v>
      </c>
      <c r="F472" s="1" t="s">
        <v>4857</v>
      </c>
      <c r="G472" s="1" t="s">
        <v>4858</v>
      </c>
      <c r="H472" s="1" t="s">
        <v>4859</v>
      </c>
      <c r="I472" s="1" t="s">
        <v>4860</v>
      </c>
      <c r="J472" s="1" t="s">
        <v>4861</v>
      </c>
      <c r="K472" s="1" t="s">
        <v>4862</v>
      </c>
      <c r="L472" s="1" t="s">
        <v>1403</v>
      </c>
    </row>
    <row r="473" spans="1:12" x14ac:dyDescent="0.2">
      <c r="A473" s="1" t="s">
        <v>35</v>
      </c>
      <c r="C473" s="1" t="s">
        <v>1428</v>
      </c>
      <c r="D473" s="1" t="s">
        <v>1405</v>
      </c>
      <c r="E473" s="1" t="s">
        <v>4863</v>
      </c>
      <c r="F473" s="1" t="s">
        <v>4864</v>
      </c>
      <c r="G473" s="1" t="s">
        <v>4865</v>
      </c>
      <c r="H473" s="1" t="s">
        <v>4866</v>
      </c>
      <c r="I473" s="1" t="s">
        <v>4867</v>
      </c>
      <c r="J473" s="1" t="s">
        <v>4868</v>
      </c>
      <c r="K473" s="1" t="s">
        <v>4869</v>
      </c>
      <c r="L473" s="1" t="s">
        <v>1406</v>
      </c>
    </row>
    <row r="474" spans="1:12" x14ac:dyDescent="0.2">
      <c r="A474" s="1" t="s">
        <v>35</v>
      </c>
      <c r="C474" s="1" t="s">
        <v>1431</v>
      </c>
      <c r="D474" s="1" t="s">
        <v>1408</v>
      </c>
      <c r="E474" s="1" t="s">
        <v>4870</v>
      </c>
      <c r="F474" s="1" t="s">
        <v>4871</v>
      </c>
      <c r="G474" s="1" t="s">
        <v>4872</v>
      </c>
      <c r="H474" s="1" t="s">
        <v>4873</v>
      </c>
      <c r="I474" s="1" t="s">
        <v>4874</v>
      </c>
      <c r="J474" s="1" t="s">
        <v>4875</v>
      </c>
      <c r="K474" s="1" t="s">
        <v>4876</v>
      </c>
      <c r="L474" s="1" t="s">
        <v>1409</v>
      </c>
    </row>
    <row r="475" spans="1:12" x14ac:dyDescent="0.2">
      <c r="A475" s="1" t="s">
        <v>35</v>
      </c>
      <c r="C475" s="1" t="s">
        <v>1434</v>
      </c>
      <c r="D475" s="1" t="s">
        <v>1411</v>
      </c>
      <c r="E475" s="1" t="s">
        <v>4877</v>
      </c>
      <c r="F475" s="1" t="s">
        <v>4878</v>
      </c>
      <c r="G475" s="1" t="s">
        <v>4879</v>
      </c>
      <c r="H475" s="1" t="s">
        <v>4880</v>
      </c>
      <c r="I475" s="1" t="s">
        <v>4881</v>
      </c>
      <c r="J475" s="1" t="s">
        <v>4882</v>
      </c>
      <c r="K475" s="1" t="s">
        <v>4883</v>
      </c>
      <c r="L475" s="1" t="s">
        <v>1412</v>
      </c>
    </row>
    <row r="476" spans="1:12" x14ac:dyDescent="0.2">
      <c r="A476" s="1" t="s">
        <v>35</v>
      </c>
      <c r="C476" s="1" t="s">
        <v>1437</v>
      </c>
      <c r="D476" s="1" t="s">
        <v>1414</v>
      </c>
      <c r="E476" s="1" t="s">
        <v>4884</v>
      </c>
      <c r="F476" s="1" t="s">
        <v>4885</v>
      </c>
      <c r="G476" s="1" t="s">
        <v>4886</v>
      </c>
      <c r="H476" s="1" t="s">
        <v>4887</v>
      </c>
      <c r="I476" s="1" t="s">
        <v>4888</v>
      </c>
      <c r="J476" s="1" t="s">
        <v>4889</v>
      </c>
      <c r="K476" s="1" t="s">
        <v>4890</v>
      </c>
      <c r="L476" s="1" t="s">
        <v>1415</v>
      </c>
    </row>
    <row r="477" spans="1:12" x14ac:dyDescent="0.2">
      <c r="A477" s="1" t="s">
        <v>35</v>
      </c>
      <c r="C477" s="1" t="s">
        <v>1440</v>
      </c>
      <c r="D477" s="1" t="s">
        <v>1417</v>
      </c>
      <c r="E477" s="1" t="s">
        <v>4891</v>
      </c>
      <c r="F477" s="1" t="s">
        <v>4892</v>
      </c>
      <c r="G477" s="1" t="s">
        <v>4893</v>
      </c>
      <c r="H477" s="1" t="s">
        <v>4894</v>
      </c>
      <c r="I477" s="1" t="s">
        <v>4895</v>
      </c>
      <c r="J477" s="1" t="s">
        <v>4896</v>
      </c>
      <c r="K477" s="1" t="s">
        <v>4897</v>
      </c>
      <c r="L477" s="1" t="s">
        <v>1418</v>
      </c>
    </row>
    <row r="478" spans="1:12" x14ac:dyDescent="0.2">
      <c r="A478" s="1" t="s">
        <v>35</v>
      </c>
      <c r="C478" s="1" t="s">
        <v>1443</v>
      </c>
      <c r="D478" s="1" t="s">
        <v>1420</v>
      </c>
      <c r="E478" s="1" t="s">
        <v>4898</v>
      </c>
      <c r="F478" s="1" t="s">
        <v>4899</v>
      </c>
      <c r="G478" s="1" t="s">
        <v>4900</v>
      </c>
      <c r="H478" s="1" t="s">
        <v>4901</v>
      </c>
      <c r="I478" s="1" t="s">
        <v>4902</v>
      </c>
      <c r="J478" s="1" t="s">
        <v>4903</v>
      </c>
      <c r="K478" s="1" t="s">
        <v>4904</v>
      </c>
      <c r="L478" s="1" t="s">
        <v>1421</v>
      </c>
    </row>
    <row r="479" spans="1:12" x14ac:dyDescent="0.2">
      <c r="A479" s="1" t="s">
        <v>35</v>
      </c>
      <c r="C479" s="1" t="s">
        <v>1446</v>
      </c>
      <c r="D479" s="1" t="s">
        <v>1423</v>
      </c>
      <c r="E479" s="1" t="s">
        <v>4905</v>
      </c>
      <c r="F479" s="1" t="s">
        <v>4906</v>
      </c>
      <c r="G479" s="1" t="s">
        <v>4907</v>
      </c>
      <c r="H479" s="1" t="s">
        <v>4908</v>
      </c>
      <c r="I479" s="1" t="s">
        <v>4909</v>
      </c>
      <c r="J479" s="1" t="s">
        <v>4910</v>
      </c>
      <c r="K479" s="1" t="s">
        <v>4911</v>
      </c>
      <c r="L479" s="1" t="s">
        <v>1424</v>
      </c>
    </row>
    <row r="480" spans="1:12" x14ac:dyDescent="0.2">
      <c r="A480" s="1" t="s">
        <v>35</v>
      </c>
      <c r="C480" s="1" t="s">
        <v>1449</v>
      </c>
      <c r="D480" s="1" t="s">
        <v>1426</v>
      </c>
      <c r="E480" s="1" t="s">
        <v>4912</v>
      </c>
      <c r="F480" s="1" t="s">
        <v>4913</v>
      </c>
      <c r="G480" s="1" t="s">
        <v>4914</v>
      </c>
      <c r="H480" s="1" t="s">
        <v>4915</v>
      </c>
      <c r="I480" s="1" t="s">
        <v>4916</v>
      </c>
      <c r="J480" s="1" t="s">
        <v>4917</v>
      </c>
      <c r="K480" s="1" t="s">
        <v>4918</v>
      </c>
      <c r="L480" s="1" t="s">
        <v>1427</v>
      </c>
    </row>
    <row r="481" spans="1:12" x14ac:dyDescent="0.2">
      <c r="A481" s="1" t="s">
        <v>35</v>
      </c>
      <c r="C481" s="1" t="s">
        <v>1452</v>
      </c>
      <c r="D481" s="1" t="s">
        <v>1429</v>
      </c>
      <c r="E481" s="1" t="s">
        <v>4919</v>
      </c>
      <c r="F481" s="1" t="s">
        <v>4920</v>
      </c>
      <c r="G481" s="1" t="s">
        <v>4921</v>
      </c>
      <c r="H481" s="1" t="s">
        <v>4922</v>
      </c>
      <c r="I481" s="1" t="s">
        <v>4923</v>
      </c>
      <c r="J481" s="1" t="s">
        <v>4924</v>
      </c>
      <c r="K481" s="1" t="s">
        <v>4925</v>
      </c>
      <c r="L481" s="1" t="s">
        <v>1430</v>
      </c>
    </row>
    <row r="482" spans="1:12" x14ac:dyDescent="0.2">
      <c r="A482" s="1" t="s">
        <v>35</v>
      </c>
      <c r="C482" s="1" t="s">
        <v>1455</v>
      </c>
      <c r="D482" s="1" t="s">
        <v>1432</v>
      </c>
      <c r="E482" s="1" t="s">
        <v>4926</v>
      </c>
      <c r="F482" s="1" t="s">
        <v>4927</v>
      </c>
      <c r="G482" s="1" t="s">
        <v>4928</v>
      </c>
      <c r="H482" s="1" t="s">
        <v>4929</v>
      </c>
      <c r="I482" s="1" t="s">
        <v>4930</v>
      </c>
      <c r="J482" s="1" t="s">
        <v>4931</v>
      </c>
      <c r="K482" s="1" t="s">
        <v>4932</v>
      </c>
      <c r="L482" s="1" t="s">
        <v>1433</v>
      </c>
    </row>
    <row r="483" spans="1:12" x14ac:dyDescent="0.2">
      <c r="A483" s="1" t="s">
        <v>35</v>
      </c>
      <c r="C483" s="1" t="s">
        <v>1458</v>
      </c>
      <c r="D483" s="1" t="s">
        <v>1435</v>
      </c>
      <c r="E483" s="1" t="s">
        <v>4933</v>
      </c>
      <c r="F483" s="1" t="s">
        <v>4934</v>
      </c>
      <c r="G483" s="1" t="s">
        <v>4935</v>
      </c>
      <c r="H483" s="1" t="s">
        <v>4936</v>
      </c>
      <c r="I483" s="1" t="s">
        <v>4937</v>
      </c>
      <c r="J483" s="1" t="s">
        <v>4938</v>
      </c>
      <c r="K483" s="1" t="s">
        <v>4939</v>
      </c>
      <c r="L483" s="1" t="s">
        <v>1436</v>
      </c>
    </row>
    <row r="484" spans="1:12" x14ac:dyDescent="0.2">
      <c r="A484" s="1" t="s">
        <v>35</v>
      </c>
      <c r="C484" s="1" t="s">
        <v>1461</v>
      </c>
      <c r="D484" s="1" t="s">
        <v>1438</v>
      </c>
      <c r="E484" s="1" t="s">
        <v>4940</v>
      </c>
      <c r="F484" s="1" t="s">
        <v>4941</v>
      </c>
      <c r="G484" s="1" t="s">
        <v>4942</v>
      </c>
      <c r="H484" s="1" t="s">
        <v>4943</v>
      </c>
      <c r="I484" s="1" t="s">
        <v>4944</v>
      </c>
      <c r="J484" s="1" t="s">
        <v>4945</v>
      </c>
      <c r="K484" s="1" t="s">
        <v>4946</v>
      </c>
      <c r="L484" s="1" t="s">
        <v>1439</v>
      </c>
    </row>
    <row r="485" spans="1:12" x14ac:dyDescent="0.2">
      <c r="A485" s="1" t="s">
        <v>35</v>
      </c>
      <c r="C485" s="1" t="s">
        <v>1464</v>
      </c>
      <c r="D485" s="1" t="s">
        <v>1441</v>
      </c>
      <c r="E485" s="1" t="s">
        <v>4947</v>
      </c>
      <c r="F485" s="1" t="s">
        <v>4948</v>
      </c>
      <c r="G485" s="1" t="s">
        <v>4949</v>
      </c>
      <c r="H485" s="1" t="s">
        <v>4950</v>
      </c>
      <c r="I485" s="1" t="s">
        <v>4951</v>
      </c>
      <c r="J485" s="1" t="s">
        <v>4952</v>
      </c>
      <c r="K485" s="1" t="s">
        <v>4953</v>
      </c>
      <c r="L485" s="1" t="s">
        <v>1442</v>
      </c>
    </row>
    <row r="486" spans="1:12" x14ac:dyDescent="0.2">
      <c r="A486" s="1" t="s">
        <v>35</v>
      </c>
      <c r="C486" s="1" t="s">
        <v>1467</v>
      </c>
      <c r="D486" s="1" t="s">
        <v>1444</v>
      </c>
      <c r="E486" s="1" t="s">
        <v>4954</v>
      </c>
      <c r="F486" s="1" t="s">
        <v>4955</v>
      </c>
      <c r="G486" s="1" t="s">
        <v>4956</v>
      </c>
      <c r="H486" s="1" t="s">
        <v>4957</v>
      </c>
      <c r="I486" s="1" t="s">
        <v>4958</v>
      </c>
      <c r="J486" s="1" t="s">
        <v>4959</v>
      </c>
      <c r="K486" s="1" t="s">
        <v>4960</v>
      </c>
      <c r="L486" s="1" t="s">
        <v>1445</v>
      </c>
    </row>
    <row r="487" spans="1:12" x14ac:dyDescent="0.2">
      <c r="A487" s="1" t="s">
        <v>35</v>
      </c>
      <c r="C487" s="1" t="s">
        <v>1470</v>
      </c>
      <c r="D487" s="1" t="s">
        <v>1447</v>
      </c>
      <c r="E487" s="1" t="s">
        <v>4961</v>
      </c>
      <c r="F487" s="1" t="s">
        <v>4962</v>
      </c>
      <c r="G487" s="1" t="s">
        <v>4963</v>
      </c>
      <c r="H487" s="1" t="s">
        <v>4964</v>
      </c>
      <c r="I487" s="1" t="s">
        <v>4965</v>
      </c>
      <c r="J487" s="1" t="s">
        <v>4966</v>
      </c>
      <c r="K487" s="1" t="s">
        <v>4967</v>
      </c>
      <c r="L487" s="1" t="s">
        <v>1448</v>
      </c>
    </row>
    <row r="488" spans="1:12" x14ac:dyDescent="0.2">
      <c r="A488" s="1" t="s">
        <v>35</v>
      </c>
      <c r="C488" s="1" t="s">
        <v>1473</v>
      </c>
      <c r="D488" s="1" t="s">
        <v>1450</v>
      </c>
      <c r="E488" s="1" t="s">
        <v>4968</v>
      </c>
      <c r="F488" s="1" t="s">
        <v>4969</v>
      </c>
      <c r="G488" s="1" t="s">
        <v>4970</v>
      </c>
      <c r="H488" s="1" t="s">
        <v>4971</v>
      </c>
      <c r="I488" s="1" t="s">
        <v>4972</v>
      </c>
      <c r="J488" s="1" t="s">
        <v>4973</v>
      </c>
      <c r="K488" s="1" t="s">
        <v>4974</v>
      </c>
      <c r="L488" s="1" t="s">
        <v>1451</v>
      </c>
    </row>
    <row r="489" spans="1:12" x14ac:dyDescent="0.2">
      <c r="A489" s="1" t="s">
        <v>35</v>
      </c>
      <c r="C489" s="1" t="s">
        <v>1476</v>
      </c>
      <c r="D489" s="1" t="s">
        <v>1453</v>
      </c>
      <c r="E489" s="1" t="s">
        <v>4975</v>
      </c>
      <c r="F489" s="1" t="s">
        <v>4976</v>
      </c>
      <c r="G489" s="1" t="s">
        <v>4977</v>
      </c>
      <c r="H489" s="1" t="s">
        <v>4978</v>
      </c>
      <c r="I489" s="1" t="s">
        <v>4979</v>
      </c>
      <c r="J489" s="1" t="s">
        <v>4980</v>
      </c>
      <c r="K489" s="1" t="s">
        <v>4981</v>
      </c>
      <c r="L489" s="1" t="s">
        <v>1454</v>
      </c>
    </row>
    <row r="490" spans="1:12" x14ac:dyDescent="0.2">
      <c r="A490" s="1" t="s">
        <v>35</v>
      </c>
      <c r="C490" s="1" t="s">
        <v>1479</v>
      </c>
      <c r="D490" s="1" t="s">
        <v>1456</v>
      </c>
      <c r="E490" s="1" t="s">
        <v>4982</v>
      </c>
      <c r="F490" s="1" t="s">
        <v>4983</v>
      </c>
      <c r="G490" s="1" t="s">
        <v>4984</v>
      </c>
      <c r="H490" s="1" t="s">
        <v>4985</v>
      </c>
      <c r="I490" s="1" t="s">
        <v>4986</v>
      </c>
      <c r="J490" s="1" t="s">
        <v>4987</v>
      </c>
      <c r="K490" s="1" t="s">
        <v>4988</v>
      </c>
      <c r="L490" s="1" t="s">
        <v>1457</v>
      </c>
    </row>
    <row r="491" spans="1:12" x14ac:dyDescent="0.2">
      <c r="A491" s="1" t="s">
        <v>35</v>
      </c>
      <c r="C491" s="1" t="s">
        <v>1482</v>
      </c>
      <c r="D491" s="1" t="s">
        <v>1459</v>
      </c>
      <c r="E491" s="1" t="s">
        <v>4989</v>
      </c>
      <c r="F491" s="1" t="s">
        <v>4990</v>
      </c>
      <c r="G491" s="1" t="s">
        <v>4991</v>
      </c>
      <c r="H491" s="1" t="s">
        <v>4992</v>
      </c>
      <c r="I491" s="1" t="s">
        <v>4993</v>
      </c>
      <c r="J491" s="1" t="s">
        <v>4994</v>
      </c>
      <c r="K491" s="1" t="s">
        <v>4995</v>
      </c>
      <c r="L491" s="1" t="s">
        <v>1460</v>
      </c>
    </row>
    <row r="492" spans="1:12" x14ac:dyDescent="0.2">
      <c r="A492" s="1" t="s">
        <v>35</v>
      </c>
      <c r="C492" s="1" t="s">
        <v>1485</v>
      </c>
      <c r="D492" s="1" t="s">
        <v>1462</v>
      </c>
      <c r="E492" s="1" t="s">
        <v>4996</v>
      </c>
      <c r="F492" s="1" t="s">
        <v>4997</v>
      </c>
      <c r="G492" s="1" t="s">
        <v>4998</v>
      </c>
      <c r="H492" s="1" t="s">
        <v>4999</v>
      </c>
      <c r="I492" s="1" t="s">
        <v>5000</v>
      </c>
      <c r="J492" s="1" t="s">
        <v>5001</v>
      </c>
      <c r="K492" s="1" t="s">
        <v>5002</v>
      </c>
      <c r="L492" s="1" t="s">
        <v>1463</v>
      </c>
    </row>
    <row r="493" spans="1:12" x14ac:dyDescent="0.2">
      <c r="A493" s="1" t="s">
        <v>35</v>
      </c>
      <c r="C493" s="1" t="s">
        <v>1488</v>
      </c>
      <c r="D493" s="1" t="s">
        <v>1465</v>
      </c>
      <c r="E493" s="1" t="s">
        <v>5003</v>
      </c>
      <c r="F493" s="1" t="s">
        <v>5004</v>
      </c>
      <c r="G493" s="1" t="s">
        <v>5005</v>
      </c>
      <c r="H493" s="1" t="s">
        <v>5006</v>
      </c>
      <c r="I493" s="1" t="s">
        <v>5007</v>
      </c>
      <c r="J493" s="1" t="s">
        <v>5008</v>
      </c>
      <c r="K493" s="1" t="s">
        <v>5009</v>
      </c>
      <c r="L493" s="1" t="s">
        <v>1466</v>
      </c>
    </row>
    <row r="494" spans="1:12" x14ac:dyDescent="0.2">
      <c r="A494" s="1" t="s">
        <v>35</v>
      </c>
      <c r="C494" s="1" t="s">
        <v>1491</v>
      </c>
      <c r="D494" s="1" t="s">
        <v>1468</v>
      </c>
      <c r="E494" s="1" t="s">
        <v>5010</v>
      </c>
      <c r="F494" s="1" t="s">
        <v>5011</v>
      </c>
      <c r="G494" s="1" t="s">
        <v>5012</v>
      </c>
      <c r="H494" s="1" t="s">
        <v>5013</v>
      </c>
      <c r="I494" s="1" t="s">
        <v>5014</v>
      </c>
      <c r="J494" s="1" t="s">
        <v>5015</v>
      </c>
      <c r="K494" s="1" t="s">
        <v>5016</v>
      </c>
      <c r="L494" s="1" t="s">
        <v>1469</v>
      </c>
    </row>
    <row r="495" spans="1:12" x14ac:dyDescent="0.2">
      <c r="A495" s="1" t="s">
        <v>35</v>
      </c>
      <c r="C495" s="1" t="s">
        <v>1494</v>
      </c>
      <c r="D495" s="1" t="s">
        <v>1471</v>
      </c>
      <c r="E495" s="1" t="s">
        <v>5017</v>
      </c>
      <c r="F495" s="1" t="s">
        <v>5018</v>
      </c>
      <c r="G495" s="1" t="s">
        <v>5019</v>
      </c>
      <c r="H495" s="1" t="s">
        <v>5020</v>
      </c>
      <c r="I495" s="1" t="s">
        <v>5021</v>
      </c>
      <c r="J495" s="1" t="s">
        <v>5022</v>
      </c>
      <c r="K495" s="1" t="s">
        <v>5023</v>
      </c>
      <c r="L495" s="1" t="s">
        <v>1472</v>
      </c>
    </row>
    <row r="496" spans="1:12" x14ac:dyDescent="0.2">
      <c r="A496" s="1" t="s">
        <v>35</v>
      </c>
      <c r="C496" s="1" t="s">
        <v>1497</v>
      </c>
      <c r="D496" s="1" t="s">
        <v>1474</v>
      </c>
      <c r="E496" s="1" t="s">
        <v>5024</v>
      </c>
      <c r="F496" s="1" t="s">
        <v>5025</v>
      </c>
      <c r="G496" s="1" t="s">
        <v>5026</v>
      </c>
      <c r="H496" s="1" t="s">
        <v>5027</v>
      </c>
      <c r="I496" s="1" t="s">
        <v>5028</v>
      </c>
      <c r="J496" s="1" t="s">
        <v>5029</v>
      </c>
      <c r="K496" s="1" t="s">
        <v>5030</v>
      </c>
      <c r="L496" s="1" t="s">
        <v>1475</v>
      </c>
    </row>
    <row r="497" spans="1:12" x14ac:dyDescent="0.2">
      <c r="A497" s="1" t="s">
        <v>35</v>
      </c>
      <c r="C497" s="1" t="s">
        <v>1500</v>
      </c>
      <c r="D497" s="1" t="s">
        <v>1477</v>
      </c>
      <c r="E497" s="1" t="s">
        <v>5031</v>
      </c>
      <c r="F497" s="1" t="s">
        <v>5032</v>
      </c>
      <c r="G497" s="1" t="s">
        <v>5033</v>
      </c>
      <c r="H497" s="1" t="s">
        <v>5034</v>
      </c>
      <c r="I497" s="1" t="s">
        <v>5035</v>
      </c>
      <c r="J497" s="1" t="s">
        <v>5036</v>
      </c>
      <c r="K497" s="1" t="s">
        <v>5037</v>
      </c>
      <c r="L497" s="1" t="s">
        <v>1478</v>
      </c>
    </row>
    <row r="498" spans="1:12" x14ac:dyDescent="0.2">
      <c r="A498" s="1" t="s">
        <v>35</v>
      </c>
      <c r="C498" s="1" t="s">
        <v>1503</v>
      </c>
      <c r="D498" s="1" t="s">
        <v>1480</v>
      </c>
      <c r="E498" s="1" t="s">
        <v>5038</v>
      </c>
      <c r="F498" s="1" t="s">
        <v>5039</v>
      </c>
      <c r="G498" s="1" t="s">
        <v>5040</v>
      </c>
      <c r="H498" s="1" t="s">
        <v>5041</v>
      </c>
      <c r="I498" s="1" t="s">
        <v>5042</v>
      </c>
      <c r="J498" s="1" t="s">
        <v>5043</v>
      </c>
      <c r="K498" s="1" t="s">
        <v>5044</v>
      </c>
      <c r="L498" s="1" t="s">
        <v>1481</v>
      </c>
    </row>
    <row r="499" spans="1:12" x14ac:dyDescent="0.2">
      <c r="A499" s="1" t="s">
        <v>35</v>
      </c>
      <c r="C499" s="1" t="s">
        <v>1506</v>
      </c>
      <c r="D499" s="1" t="s">
        <v>1483</v>
      </c>
      <c r="E499" s="1" t="s">
        <v>5045</v>
      </c>
      <c r="F499" s="1" t="s">
        <v>5046</v>
      </c>
      <c r="G499" s="1" t="s">
        <v>5047</v>
      </c>
      <c r="H499" s="1" t="s">
        <v>5048</v>
      </c>
      <c r="I499" s="1" t="s">
        <v>5049</v>
      </c>
      <c r="J499" s="1" t="s">
        <v>5050</v>
      </c>
      <c r="K499" s="1" t="s">
        <v>5051</v>
      </c>
      <c r="L499" s="1" t="s">
        <v>1484</v>
      </c>
    </row>
    <row r="500" spans="1:12" x14ac:dyDescent="0.2">
      <c r="A500" s="1" t="s">
        <v>35</v>
      </c>
      <c r="C500" s="1" t="s">
        <v>1509</v>
      </c>
      <c r="D500" s="1" t="s">
        <v>1486</v>
      </c>
      <c r="E500" s="1" t="s">
        <v>5052</v>
      </c>
      <c r="F500" s="1" t="s">
        <v>5053</v>
      </c>
      <c r="G500" s="1" t="s">
        <v>5054</v>
      </c>
      <c r="H500" s="1" t="s">
        <v>5055</v>
      </c>
      <c r="I500" s="1" t="s">
        <v>5056</v>
      </c>
      <c r="J500" s="1" t="s">
        <v>5057</v>
      </c>
      <c r="K500" s="1" t="s">
        <v>5058</v>
      </c>
      <c r="L500" s="1" t="s">
        <v>1487</v>
      </c>
    </row>
    <row r="501" spans="1:12" x14ac:dyDescent="0.2">
      <c r="A501" s="1" t="s">
        <v>35</v>
      </c>
      <c r="C501" s="1" t="s">
        <v>1512</v>
      </c>
      <c r="D501" s="1" t="s">
        <v>1489</v>
      </c>
      <c r="E501" s="1" t="s">
        <v>5059</v>
      </c>
      <c r="F501" s="1" t="s">
        <v>5060</v>
      </c>
      <c r="G501" s="1" t="s">
        <v>5061</v>
      </c>
      <c r="H501" s="1" t="s">
        <v>5062</v>
      </c>
      <c r="I501" s="1" t="s">
        <v>5063</v>
      </c>
      <c r="J501" s="1" t="s">
        <v>5064</v>
      </c>
      <c r="K501" s="1" t="s">
        <v>5065</v>
      </c>
      <c r="L501" s="1" t="s">
        <v>1490</v>
      </c>
    </row>
    <row r="502" spans="1:12" x14ac:dyDescent="0.2">
      <c r="A502" s="1" t="s">
        <v>35</v>
      </c>
      <c r="C502" s="1" t="s">
        <v>1515</v>
      </c>
      <c r="D502" s="1" t="s">
        <v>1492</v>
      </c>
      <c r="E502" s="1" t="s">
        <v>5066</v>
      </c>
      <c r="F502" s="1" t="s">
        <v>5067</v>
      </c>
      <c r="G502" s="1" t="s">
        <v>5068</v>
      </c>
      <c r="H502" s="1" t="s">
        <v>5069</v>
      </c>
      <c r="I502" s="1" t="s">
        <v>5070</v>
      </c>
      <c r="J502" s="1" t="s">
        <v>5071</v>
      </c>
      <c r="K502" s="1" t="s">
        <v>5072</v>
      </c>
      <c r="L502" s="1" t="s">
        <v>1493</v>
      </c>
    </row>
    <row r="503" spans="1:12" x14ac:dyDescent="0.2">
      <c r="A503" s="1" t="s">
        <v>35</v>
      </c>
      <c r="C503" s="1" t="s">
        <v>1518</v>
      </c>
      <c r="D503" s="1" t="s">
        <v>1495</v>
      </c>
      <c r="E503" s="1" t="s">
        <v>5073</v>
      </c>
      <c r="F503" s="1" t="s">
        <v>5074</v>
      </c>
      <c r="G503" s="1" t="s">
        <v>5075</v>
      </c>
      <c r="H503" s="1" t="s">
        <v>5076</v>
      </c>
      <c r="I503" s="1" t="s">
        <v>5077</v>
      </c>
      <c r="J503" s="1" t="s">
        <v>5078</v>
      </c>
      <c r="K503" s="1" t="s">
        <v>5079</v>
      </c>
      <c r="L503" s="1" t="s">
        <v>1496</v>
      </c>
    </row>
    <row r="504" spans="1:12" x14ac:dyDescent="0.2">
      <c r="A504" s="1" t="s">
        <v>35</v>
      </c>
      <c r="C504" s="1" t="s">
        <v>1521</v>
      </c>
      <c r="D504" s="1" t="s">
        <v>1498</v>
      </c>
      <c r="E504" s="1" t="s">
        <v>5080</v>
      </c>
      <c r="F504" s="1" t="s">
        <v>5081</v>
      </c>
      <c r="G504" s="1" t="s">
        <v>5082</v>
      </c>
      <c r="H504" s="1" t="s">
        <v>5083</v>
      </c>
      <c r="I504" s="1" t="s">
        <v>5084</v>
      </c>
      <c r="J504" s="1" t="s">
        <v>5085</v>
      </c>
      <c r="K504" s="1" t="s">
        <v>5086</v>
      </c>
      <c r="L504" s="1" t="s">
        <v>1499</v>
      </c>
    </row>
    <row r="505" spans="1:12" x14ac:dyDescent="0.2">
      <c r="A505" s="1" t="s">
        <v>35</v>
      </c>
      <c r="C505" s="1" t="s">
        <v>1524</v>
      </c>
      <c r="D505" s="1" t="s">
        <v>1501</v>
      </c>
      <c r="E505" s="1" t="s">
        <v>5087</v>
      </c>
      <c r="F505" s="1" t="s">
        <v>5088</v>
      </c>
      <c r="G505" s="1" t="s">
        <v>5089</v>
      </c>
      <c r="H505" s="1" t="s">
        <v>5090</v>
      </c>
      <c r="I505" s="1" t="s">
        <v>5091</v>
      </c>
      <c r="J505" s="1" t="s">
        <v>5092</v>
      </c>
      <c r="K505" s="1" t="s">
        <v>5093</v>
      </c>
      <c r="L505" s="1" t="s">
        <v>1502</v>
      </c>
    </row>
    <row r="506" spans="1:12" x14ac:dyDescent="0.2">
      <c r="A506" s="1" t="s">
        <v>35</v>
      </c>
      <c r="C506" s="1" t="s">
        <v>1527</v>
      </c>
      <c r="D506" s="1" t="s">
        <v>1504</v>
      </c>
      <c r="E506" s="1" t="s">
        <v>5094</v>
      </c>
      <c r="F506" s="1" t="s">
        <v>5095</v>
      </c>
      <c r="G506" s="1" t="s">
        <v>5096</v>
      </c>
      <c r="H506" s="1" t="s">
        <v>5097</v>
      </c>
      <c r="I506" s="1" t="s">
        <v>5098</v>
      </c>
      <c r="J506" s="1" t="s">
        <v>5099</v>
      </c>
      <c r="K506" s="1" t="s">
        <v>5100</v>
      </c>
      <c r="L506" s="1" t="s">
        <v>1505</v>
      </c>
    </row>
    <row r="507" spans="1:12" x14ac:dyDescent="0.2">
      <c r="A507" s="1" t="s">
        <v>35</v>
      </c>
      <c r="C507" s="1" t="s">
        <v>1530</v>
      </c>
      <c r="D507" s="1" t="s">
        <v>1507</v>
      </c>
      <c r="E507" s="1" t="s">
        <v>5101</v>
      </c>
      <c r="F507" s="1" t="s">
        <v>5102</v>
      </c>
      <c r="G507" s="1" t="s">
        <v>5103</v>
      </c>
      <c r="H507" s="1" t="s">
        <v>5104</v>
      </c>
      <c r="I507" s="1" t="s">
        <v>5105</v>
      </c>
      <c r="J507" s="1" t="s">
        <v>5106</v>
      </c>
      <c r="K507" s="1" t="s">
        <v>5107</v>
      </c>
      <c r="L507" s="1" t="s">
        <v>1508</v>
      </c>
    </row>
    <row r="508" spans="1:12" x14ac:dyDescent="0.2">
      <c r="A508" s="1" t="s">
        <v>35</v>
      </c>
      <c r="C508" s="1" t="s">
        <v>1533</v>
      </c>
      <c r="D508" s="1" t="s">
        <v>1510</v>
      </c>
      <c r="E508" s="1" t="s">
        <v>5108</v>
      </c>
      <c r="F508" s="1" t="s">
        <v>5109</v>
      </c>
      <c r="G508" s="1" t="s">
        <v>5110</v>
      </c>
      <c r="H508" s="1" t="s">
        <v>5111</v>
      </c>
      <c r="I508" s="1" t="s">
        <v>5112</v>
      </c>
      <c r="J508" s="1" t="s">
        <v>5113</v>
      </c>
      <c r="K508" s="1" t="s">
        <v>5114</v>
      </c>
      <c r="L508" s="1" t="s">
        <v>1511</v>
      </c>
    </row>
    <row r="509" spans="1:12" x14ac:dyDescent="0.2">
      <c r="A509" s="1" t="s">
        <v>35</v>
      </c>
      <c r="C509" s="1" t="s">
        <v>1536</v>
      </c>
      <c r="D509" s="1" t="s">
        <v>1513</v>
      </c>
      <c r="E509" s="1" t="s">
        <v>5115</v>
      </c>
      <c r="F509" s="1" t="s">
        <v>5116</v>
      </c>
      <c r="G509" s="1" t="s">
        <v>5117</v>
      </c>
      <c r="H509" s="1" t="s">
        <v>5118</v>
      </c>
      <c r="I509" s="1" t="s">
        <v>5119</v>
      </c>
      <c r="J509" s="1" t="s">
        <v>5120</v>
      </c>
      <c r="K509" s="1" t="s">
        <v>5121</v>
      </c>
      <c r="L509" s="1" t="s">
        <v>1514</v>
      </c>
    </row>
    <row r="510" spans="1:12" x14ac:dyDescent="0.2">
      <c r="A510" s="1" t="s">
        <v>35</v>
      </c>
      <c r="C510" s="1" t="s">
        <v>1539</v>
      </c>
      <c r="D510" s="1" t="s">
        <v>1516</v>
      </c>
      <c r="E510" s="1" t="s">
        <v>5122</v>
      </c>
      <c r="F510" s="1" t="s">
        <v>5123</v>
      </c>
      <c r="G510" s="1" t="s">
        <v>5124</v>
      </c>
      <c r="H510" s="1" t="s">
        <v>5125</v>
      </c>
      <c r="I510" s="1" t="s">
        <v>5126</v>
      </c>
      <c r="J510" s="1" t="s">
        <v>5127</v>
      </c>
      <c r="K510" s="1" t="s">
        <v>5128</v>
      </c>
      <c r="L510" s="1" t="s">
        <v>1517</v>
      </c>
    </row>
    <row r="511" spans="1:12" x14ac:dyDescent="0.2">
      <c r="A511" s="1" t="s">
        <v>35</v>
      </c>
      <c r="C511" s="1" t="s">
        <v>1542</v>
      </c>
      <c r="D511" s="1" t="s">
        <v>1519</v>
      </c>
      <c r="E511" s="1" t="s">
        <v>5129</v>
      </c>
      <c r="F511" s="1" t="s">
        <v>5130</v>
      </c>
      <c r="G511" s="1" t="s">
        <v>5131</v>
      </c>
      <c r="H511" s="1" t="s">
        <v>5132</v>
      </c>
      <c r="I511" s="1" t="s">
        <v>5133</v>
      </c>
      <c r="J511" s="1" t="s">
        <v>5134</v>
      </c>
      <c r="K511" s="1" t="s">
        <v>5135</v>
      </c>
      <c r="L511" s="1" t="s">
        <v>1520</v>
      </c>
    </row>
    <row r="512" spans="1:12" x14ac:dyDescent="0.2">
      <c r="A512" s="1" t="s">
        <v>35</v>
      </c>
      <c r="C512" s="1" t="s">
        <v>1545</v>
      </c>
      <c r="D512" s="1" t="s">
        <v>1522</v>
      </c>
      <c r="E512" s="1" t="s">
        <v>5136</v>
      </c>
      <c r="F512" s="1" t="s">
        <v>5137</v>
      </c>
      <c r="G512" s="1" t="s">
        <v>5138</v>
      </c>
      <c r="H512" s="1" t="s">
        <v>5139</v>
      </c>
      <c r="I512" s="1" t="s">
        <v>5140</v>
      </c>
      <c r="J512" s="1" t="s">
        <v>5141</v>
      </c>
      <c r="K512" s="1" t="s">
        <v>5142</v>
      </c>
      <c r="L512" s="1" t="s">
        <v>1523</v>
      </c>
    </row>
    <row r="513" spans="1:12" x14ac:dyDescent="0.2">
      <c r="A513" s="1" t="s">
        <v>35</v>
      </c>
      <c r="C513" s="1" t="s">
        <v>1548</v>
      </c>
      <c r="D513" s="1" t="s">
        <v>1525</v>
      </c>
      <c r="E513" s="1" t="s">
        <v>5143</v>
      </c>
      <c r="F513" s="1" t="s">
        <v>5144</v>
      </c>
      <c r="G513" s="1" t="s">
        <v>5145</v>
      </c>
      <c r="H513" s="1" t="s">
        <v>5146</v>
      </c>
      <c r="I513" s="1" t="s">
        <v>5147</v>
      </c>
      <c r="J513" s="1" t="s">
        <v>5148</v>
      </c>
      <c r="K513" s="1" t="s">
        <v>5149</v>
      </c>
      <c r="L513" s="1" t="s">
        <v>1526</v>
      </c>
    </row>
    <row r="514" spans="1:12" x14ac:dyDescent="0.2">
      <c r="A514" s="1" t="s">
        <v>35</v>
      </c>
      <c r="C514" s="1" t="s">
        <v>1551</v>
      </c>
      <c r="D514" s="1" t="s">
        <v>1528</v>
      </c>
      <c r="E514" s="1" t="s">
        <v>5150</v>
      </c>
      <c r="F514" s="1" t="s">
        <v>5151</v>
      </c>
      <c r="G514" s="1" t="s">
        <v>5152</v>
      </c>
      <c r="H514" s="1" t="s">
        <v>5153</v>
      </c>
      <c r="I514" s="1" t="s">
        <v>5154</v>
      </c>
      <c r="J514" s="1" t="s">
        <v>5155</v>
      </c>
      <c r="K514" s="1" t="s">
        <v>5156</v>
      </c>
      <c r="L514" s="1" t="s">
        <v>1529</v>
      </c>
    </row>
    <row r="515" spans="1:12" x14ac:dyDescent="0.2">
      <c r="A515" s="1" t="s">
        <v>35</v>
      </c>
      <c r="C515" s="1" t="s">
        <v>1554</v>
      </c>
      <c r="D515" s="1" t="s">
        <v>1531</v>
      </c>
      <c r="E515" s="1" t="s">
        <v>5157</v>
      </c>
      <c r="F515" s="1" t="s">
        <v>5158</v>
      </c>
      <c r="G515" s="1" t="s">
        <v>5159</v>
      </c>
      <c r="H515" s="1" t="s">
        <v>5160</v>
      </c>
      <c r="I515" s="1" t="s">
        <v>5161</v>
      </c>
      <c r="J515" s="1" t="s">
        <v>5162</v>
      </c>
      <c r="K515" s="1" t="s">
        <v>5163</v>
      </c>
      <c r="L515" s="1" t="s">
        <v>1532</v>
      </c>
    </row>
    <row r="516" spans="1:12" x14ac:dyDescent="0.2">
      <c r="A516" s="1" t="s">
        <v>35</v>
      </c>
      <c r="C516" s="1" t="s">
        <v>1557</v>
      </c>
      <c r="D516" s="1" t="s">
        <v>1534</v>
      </c>
      <c r="E516" s="1" t="s">
        <v>5164</v>
      </c>
      <c r="F516" s="1" t="s">
        <v>5165</v>
      </c>
      <c r="G516" s="1" t="s">
        <v>5166</v>
      </c>
      <c r="H516" s="1" t="s">
        <v>5167</v>
      </c>
      <c r="I516" s="1" t="s">
        <v>5168</v>
      </c>
      <c r="J516" s="1" t="s">
        <v>5169</v>
      </c>
      <c r="K516" s="1" t="s">
        <v>5170</v>
      </c>
      <c r="L516" s="1" t="s">
        <v>1535</v>
      </c>
    </row>
    <row r="517" spans="1:12" x14ac:dyDescent="0.2">
      <c r="A517" s="1" t="s">
        <v>35</v>
      </c>
      <c r="C517" s="1" t="s">
        <v>1560</v>
      </c>
      <c r="D517" s="1" t="s">
        <v>1537</v>
      </c>
      <c r="E517" s="1" t="s">
        <v>5171</v>
      </c>
      <c r="F517" s="1" t="s">
        <v>5172</v>
      </c>
      <c r="G517" s="1" t="s">
        <v>5173</v>
      </c>
      <c r="H517" s="1" t="s">
        <v>5174</v>
      </c>
      <c r="I517" s="1" t="s">
        <v>5175</v>
      </c>
      <c r="J517" s="1" t="s">
        <v>5176</v>
      </c>
      <c r="K517" s="1" t="s">
        <v>5177</v>
      </c>
      <c r="L517" s="1" t="s">
        <v>1538</v>
      </c>
    </row>
    <row r="518" spans="1:12" x14ac:dyDescent="0.2">
      <c r="A518" s="1" t="s">
        <v>35</v>
      </c>
      <c r="C518" s="1" t="s">
        <v>1563</v>
      </c>
      <c r="D518" s="1" t="s">
        <v>1540</v>
      </c>
      <c r="E518" s="1" t="s">
        <v>5178</v>
      </c>
      <c r="F518" s="1" t="s">
        <v>5179</v>
      </c>
      <c r="G518" s="1" t="s">
        <v>5180</v>
      </c>
      <c r="H518" s="1" t="s">
        <v>5181</v>
      </c>
      <c r="I518" s="1" t="s">
        <v>5182</v>
      </c>
      <c r="J518" s="1" t="s">
        <v>5183</v>
      </c>
      <c r="K518" s="1" t="s">
        <v>5184</v>
      </c>
      <c r="L518" s="1" t="s">
        <v>1541</v>
      </c>
    </row>
    <row r="519" spans="1:12" x14ac:dyDescent="0.2">
      <c r="A519" s="1" t="s">
        <v>35</v>
      </c>
      <c r="C519" s="1" t="s">
        <v>1566</v>
      </c>
      <c r="D519" s="1" t="s">
        <v>1543</v>
      </c>
      <c r="E519" s="1" t="s">
        <v>5185</v>
      </c>
      <c r="F519" s="1" t="s">
        <v>5186</v>
      </c>
      <c r="G519" s="1" t="s">
        <v>5187</v>
      </c>
      <c r="H519" s="1" t="s">
        <v>5188</v>
      </c>
      <c r="I519" s="1" t="s">
        <v>5189</v>
      </c>
      <c r="J519" s="1" t="s">
        <v>5190</v>
      </c>
      <c r="K519" s="1" t="s">
        <v>5191</v>
      </c>
      <c r="L519" s="1" t="s">
        <v>1544</v>
      </c>
    </row>
    <row r="520" spans="1:12" x14ac:dyDescent="0.2">
      <c r="A520" s="1" t="s">
        <v>35</v>
      </c>
      <c r="C520" s="1" t="s">
        <v>1569</v>
      </c>
      <c r="D520" s="1" t="s">
        <v>1546</v>
      </c>
      <c r="E520" s="1" t="s">
        <v>5192</v>
      </c>
      <c r="F520" s="1" t="s">
        <v>5193</v>
      </c>
      <c r="G520" s="1" t="s">
        <v>5194</v>
      </c>
      <c r="H520" s="1" t="s">
        <v>5195</v>
      </c>
      <c r="I520" s="1" t="s">
        <v>5196</v>
      </c>
      <c r="J520" s="1" t="s">
        <v>5197</v>
      </c>
      <c r="K520" s="1" t="s">
        <v>5198</v>
      </c>
      <c r="L520" s="1" t="s">
        <v>1547</v>
      </c>
    </row>
    <row r="521" spans="1:12" x14ac:dyDescent="0.2">
      <c r="A521" s="1" t="s">
        <v>35</v>
      </c>
      <c r="C521" s="1" t="s">
        <v>1572</v>
      </c>
      <c r="D521" s="1" t="s">
        <v>1549</v>
      </c>
      <c r="E521" s="1" t="s">
        <v>5199</v>
      </c>
      <c r="F521" s="1" t="s">
        <v>5200</v>
      </c>
      <c r="G521" s="1" t="s">
        <v>5201</v>
      </c>
      <c r="H521" s="1" t="s">
        <v>5202</v>
      </c>
      <c r="I521" s="1" t="s">
        <v>5203</v>
      </c>
      <c r="J521" s="1" t="s">
        <v>5204</v>
      </c>
      <c r="K521" s="1" t="s">
        <v>5205</v>
      </c>
      <c r="L521" s="1" t="s">
        <v>1550</v>
      </c>
    </row>
    <row r="522" spans="1:12" x14ac:dyDescent="0.2">
      <c r="A522" s="1" t="s">
        <v>35</v>
      </c>
      <c r="C522" s="1" t="s">
        <v>1575</v>
      </c>
      <c r="D522" s="1" t="s">
        <v>1552</v>
      </c>
      <c r="E522" s="1" t="s">
        <v>5206</v>
      </c>
      <c r="F522" s="1" t="s">
        <v>5207</v>
      </c>
      <c r="G522" s="1" t="s">
        <v>5208</v>
      </c>
      <c r="H522" s="1" t="s">
        <v>5209</v>
      </c>
      <c r="I522" s="1" t="s">
        <v>5210</v>
      </c>
      <c r="J522" s="1" t="s">
        <v>5211</v>
      </c>
      <c r="K522" s="1" t="s">
        <v>5212</v>
      </c>
      <c r="L522" s="1" t="s">
        <v>1553</v>
      </c>
    </row>
    <row r="523" spans="1:12" x14ac:dyDescent="0.2">
      <c r="A523" s="1" t="s">
        <v>35</v>
      </c>
      <c r="C523" s="1" t="s">
        <v>1578</v>
      </c>
      <c r="D523" s="1" t="s">
        <v>1555</v>
      </c>
      <c r="E523" s="1" t="s">
        <v>5213</v>
      </c>
      <c r="F523" s="1" t="s">
        <v>5214</v>
      </c>
      <c r="G523" s="1" t="s">
        <v>5215</v>
      </c>
      <c r="H523" s="1" t="s">
        <v>5216</v>
      </c>
      <c r="I523" s="1" t="s">
        <v>5217</v>
      </c>
      <c r="J523" s="1" t="s">
        <v>5218</v>
      </c>
      <c r="K523" s="1" t="s">
        <v>5219</v>
      </c>
      <c r="L523" s="1" t="s">
        <v>1556</v>
      </c>
    </row>
    <row r="524" spans="1:12" x14ac:dyDescent="0.2">
      <c r="A524" s="1" t="s">
        <v>35</v>
      </c>
      <c r="C524" s="1" t="s">
        <v>1579</v>
      </c>
      <c r="D524" s="1" t="s">
        <v>1558</v>
      </c>
      <c r="E524" s="1" t="s">
        <v>5220</v>
      </c>
      <c r="F524" s="1" t="s">
        <v>5221</v>
      </c>
      <c r="G524" s="1" t="s">
        <v>5222</v>
      </c>
      <c r="H524" s="1" t="s">
        <v>5223</v>
      </c>
      <c r="I524" s="1" t="s">
        <v>5224</v>
      </c>
      <c r="J524" s="1" t="s">
        <v>5225</v>
      </c>
      <c r="K524" s="1" t="s">
        <v>5226</v>
      </c>
      <c r="L524" s="1" t="s">
        <v>1559</v>
      </c>
    </row>
    <row r="525" spans="1:12" x14ac:dyDescent="0.2">
      <c r="A525" s="1" t="s">
        <v>35</v>
      </c>
      <c r="C525" s="1" t="s">
        <v>1580</v>
      </c>
      <c r="D525" s="1" t="s">
        <v>1561</v>
      </c>
      <c r="E525" s="1" t="s">
        <v>5227</v>
      </c>
      <c r="F525" s="1" t="s">
        <v>5228</v>
      </c>
      <c r="G525" s="1" t="s">
        <v>5229</v>
      </c>
      <c r="H525" s="1" t="s">
        <v>5230</v>
      </c>
      <c r="I525" s="1" t="s">
        <v>5231</v>
      </c>
      <c r="J525" s="1" t="s">
        <v>5232</v>
      </c>
      <c r="K525" s="1" t="s">
        <v>5233</v>
      </c>
      <c r="L525" s="1" t="s">
        <v>1562</v>
      </c>
    </row>
    <row r="526" spans="1:12" x14ac:dyDescent="0.2">
      <c r="A526" s="1" t="s">
        <v>35</v>
      </c>
      <c r="C526" s="1" t="s">
        <v>1581</v>
      </c>
      <c r="D526" s="1" t="s">
        <v>1564</v>
      </c>
      <c r="E526" s="1" t="s">
        <v>5234</v>
      </c>
      <c r="F526" s="1" t="s">
        <v>5235</v>
      </c>
      <c r="G526" s="1" t="s">
        <v>5236</v>
      </c>
      <c r="H526" s="1" t="s">
        <v>5237</v>
      </c>
      <c r="I526" s="1" t="s">
        <v>5238</v>
      </c>
      <c r="J526" s="1" t="s">
        <v>5239</v>
      </c>
      <c r="K526" s="1" t="s">
        <v>5240</v>
      </c>
      <c r="L526" s="1" t="s">
        <v>1565</v>
      </c>
    </row>
    <row r="527" spans="1:12" x14ac:dyDescent="0.2">
      <c r="A527" s="1" t="s">
        <v>35</v>
      </c>
      <c r="C527" s="1" t="s">
        <v>1582</v>
      </c>
      <c r="D527" s="1" t="s">
        <v>1567</v>
      </c>
      <c r="E527" s="1" t="s">
        <v>5241</v>
      </c>
      <c r="F527" s="1" t="s">
        <v>5242</v>
      </c>
      <c r="G527" s="1" t="s">
        <v>5243</v>
      </c>
      <c r="H527" s="1" t="s">
        <v>5244</v>
      </c>
      <c r="I527" s="1" t="s">
        <v>5245</v>
      </c>
      <c r="J527" s="1" t="s">
        <v>5246</v>
      </c>
      <c r="K527" s="1" t="s">
        <v>5247</v>
      </c>
      <c r="L527" s="1" t="s">
        <v>1568</v>
      </c>
    </row>
    <row r="528" spans="1:12" x14ac:dyDescent="0.2">
      <c r="A528" s="1" t="s">
        <v>35</v>
      </c>
      <c r="C528" s="1" t="s">
        <v>1583</v>
      </c>
      <c r="D528" s="1" t="s">
        <v>1570</v>
      </c>
      <c r="E528" s="1" t="s">
        <v>5248</v>
      </c>
      <c r="F528" s="1" t="s">
        <v>5249</v>
      </c>
      <c r="G528" s="1" t="s">
        <v>5250</v>
      </c>
      <c r="H528" s="1" t="s">
        <v>5251</v>
      </c>
      <c r="I528" s="1" t="s">
        <v>5252</v>
      </c>
      <c r="J528" s="1" t="s">
        <v>5253</v>
      </c>
      <c r="K528" s="1" t="s">
        <v>5254</v>
      </c>
      <c r="L528" s="1" t="s">
        <v>1571</v>
      </c>
    </row>
    <row r="529" spans="1:12" x14ac:dyDescent="0.2">
      <c r="A529" s="1" t="s">
        <v>35</v>
      </c>
      <c r="C529" s="1" t="s">
        <v>1584</v>
      </c>
      <c r="D529" s="1" t="s">
        <v>1573</v>
      </c>
      <c r="E529" s="1" t="s">
        <v>5255</v>
      </c>
      <c r="F529" s="1" t="s">
        <v>5256</v>
      </c>
      <c r="G529" s="1" t="s">
        <v>5257</v>
      </c>
      <c r="H529" s="1" t="s">
        <v>5258</v>
      </c>
      <c r="I529" s="1" t="s">
        <v>5259</v>
      </c>
      <c r="J529" s="1" t="s">
        <v>5260</v>
      </c>
      <c r="K529" s="1" t="s">
        <v>5261</v>
      </c>
      <c r="L529" s="1" t="s">
        <v>1574</v>
      </c>
    </row>
    <row r="530" spans="1:12" x14ac:dyDescent="0.2">
      <c r="A530" s="1" t="s">
        <v>35</v>
      </c>
      <c r="C530" s="1" t="s">
        <v>1585</v>
      </c>
      <c r="D530" s="1" t="s">
        <v>1576</v>
      </c>
      <c r="E530" s="1" t="s">
        <v>5262</v>
      </c>
      <c r="F530" s="1" t="s">
        <v>5263</v>
      </c>
      <c r="G530" s="1" t="s">
        <v>5264</v>
      </c>
      <c r="H530" s="1" t="s">
        <v>5265</v>
      </c>
      <c r="I530" s="1" t="s">
        <v>5266</v>
      </c>
      <c r="J530" s="1" t="s">
        <v>5267</v>
      </c>
      <c r="K530" s="1" t="s">
        <v>5268</v>
      </c>
      <c r="L530" s="1" t="s">
        <v>1577</v>
      </c>
    </row>
    <row r="532" spans="1:12" x14ac:dyDescent="0.2">
      <c r="D532" s="1" t="s">
        <v>0</v>
      </c>
      <c r="E532" s="1" t="s">
        <v>5269</v>
      </c>
      <c r="F532" s="1" t="s">
        <v>5270</v>
      </c>
      <c r="G532" s="1" t="s">
        <v>5271</v>
      </c>
      <c r="H532" s="1" t="s">
        <v>5272</v>
      </c>
      <c r="I532" s="1" t="s">
        <v>5273</v>
      </c>
      <c r="J532" s="1" t="s">
        <v>5274</v>
      </c>
      <c r="K532" s="1" t="s">
        <v>5275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Read Me</vt:lpstr>
      <vt:lpstr>Options</vt:lpstr>
      <vt:lpstr>Trial Balance</vt:lpstr>
      <vt:lpstr>EndPeriod</vt:lpstr>
      <vt:lpstr>StartPeriod</vt:lpstr>
      <vt:lpstr>Year</vt:lpstr>
    </vt:vector>
  </TitlesOfParts>
  <Company>eSoftware Professionals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Trial Balance</dc:title>
  <dc:subject>Jet Reports</dc:subject>
  <dc:creator>Jim Hollcraft</dc:creator>
  <dc:description>Trial Balance for a specified date range.</dc:description>
  <cp:lastModifiedBy>Kim R. Duey</cp:lastModifiedBy>
  <cp:lastPrinted>2012-12-07T23:49:33Z</cp:lastPrinted>
  <dcterms:created xsi:type="dcterms:W3CDTF">2004-03-13T22:38:26Z</dcterms:created>
  <dcterms:modified xsi:type="dcterms:W3CDTF">2018-09-25T20:34:50Z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rill Button Active">
    <vt:bool>true</vt:bool>
  </property>
  <property fmtid="{D5CDD505-2E9C-101B-9397-08002B2CF9AE}" pid="3" name="Jet Reports Design Mode Active">
    <vt:bool>false</vt:bool>
  </property>
  <property fmtid="{D5CDD505-2E9C-101B-9397-08002B2CF9AE}" pid="4" name="Jet Reports Last Version Refresh">
    <vt:lpwstr>Version 7.0.1  Released 3/12/2007 3:30:53 PM</vt:lpwstr>
  </property>
  <property fmtid="{D5CDD505-2E9C-101B-9397-08002B2CF9AE}" pid="5" name="NeedsREVERT">
    <vt:lpwstr>FALSE</vt:lpwstr>
  </property>
  <property fmtid="{D5CDD505-2E9C-101B-9397-08002B2CF9AE}" pid="6" name="OriginalName">
    <vt:lpwstr>GL Trial Balance Work.xls</vt:lpwstr>
  </property>
  <property fmtid="{D5CDD505-2E9C-101B-9397-08002B2CF9AE}" pid="7" name="Jet Reports Function Literals">
    <vt:lpwstr>,	;	,	{	}	[@[{0}]]	1033</vt:lpwstr>
  </property>
</Properties>
</file>