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435"/>
  </bookViews>
  <sheets>
    <sheet name="Read Me" sheetId="699" r:id="rId1"/>
    <sheet name="Options" sheetId="1" state="hidden" r:id="rId2"/>
    <sheet name="Scorecard" sheetId="140" r:id="rId3"/>
    <sheet name="Overview" sheetId="189" r:id="rId4"/>
    <sheet name="P&amp;L" sheetId="2" r:id="rId5"/>
    <sheet name="Balance Sheet" sheetId="39" r:id="rId6"/>
    <sheet name="Account Ranges" sheetId="139" state="hidden" r:id="rId7"/>
    <sheet name="Sheet2" sheetId="700" state="veryHidden" r:id="rId8"/>
    <sheet name="Sheet3" sheetId="701" state="veryHidden" r:id="rId9"/>
    <sheet name="Sheet4" sheetId="702" state="veryHidden" r:id="rId10"/>
    <sheet name="Sheet5" sheetId="703" state="veryHidden" r:id="rId11"/>
    <sheet name="Sheet6" sheetId="704" state="veryHidden" r:id="rId12"/>
    <sheet name="Sheet7" sheetId="705" state="veryHidden" r:id="rId13"/>
    <sheet name="Sheet8" sheetId="706" state="veryHidden" r:id="rId14"/>
    <sheet name="Sheet9" sheetId="707" state="veryHidden" r:id="rId15"/>
    <sheet name="Sheet10" sheetId="708" state="veryHidden" r:id="rId16"/>
    <sheet name="Sheet11" sheetId="709" state="veryHidden" r:id="rId17"/>
    <sheet name="Sheet12" sheetId="710" state="veryHidden" r:id="rId18"/>
    <sheet name="Sheet13" sheetId="711" state="veryHidden" r:id="rId19"/>
  </sheets>
  <definedNames>
    <definedName name="Accounts_Payable">'Account Ranges'!$F$23</definedName>
    <definedName name="Accounts_Receivable">'Account Ranges'!$F$21</definedName>
    <definedName name="Annualized_Revenue">'Account Ranges'!$J$25</definedName>
    <definedName name="Budget_Name">Options!$D$4</definedName>
    <definedName name="Budgeted_Gross_Profit">'Account Ranges'!$H$33</definedName>
    <definedName name="Budgeted_Net_Income">'Account Ranges'!$H$19</definedName>
    <definedName name="Budgeted_Revenue">'Account Ranges'!$H$25</definedName>
    <definedName name="COGS">'Account Ranges'!$G$26</definedName>
    <definedName name="COGS_Annualized">'Account Ranges'!$J$26</definedName>
    <definedName name="Current_Assets">'Account Ranges'!$F$11</definedName>
    <definedName name="Current_Liabilities">'Account Ranges'!$F$14</definedName>
    <definedName name="DateFilter">Options!$G$4</definedName>
    <definedName name="Days_in_Period">Options!$G$5</definedName>
    <definedName name="Depreciation">'Account Ranges'!$G$32</definedName>
    <definedName name="Depreciation_Annualized">'Account Ranges'!$J$32</definedName>
    <definedName name="EAT">'Account Ranges'!$G$31</definedName>
    <definedName name="EAT_Annualized">'Account Ranges'!$J$31</definedName>
    <definedName name="EBT">'Account Ranges'!$G$30</definedName>
    <definedName name="EBT_Annualized">'Account Ranges'!$J$30</definedName>
    <definedName name="End_Date">Options!$D$6</definedName>
    <definedName name="Equity">'Account Ranges'!$F$17</definedName>
    <definedName name="Fixed_Assets">'Account Ranges'!$F$12</definedName>
    <definedName name="Fixed_Assets_Average">'Account Ranges'!$I$12</definedName>
    <definedName name="Gross_Profit">'Account Ranges'!$G$33</definedName>
    <definedName name="Interest_Expense">'Account Ranges'!$G$29</definedName>
    <definedName name="Inventory">'Account Ranges'!$F$20</definedName>
    <definedName name="Inventory_Average">'Account Ranges'!$I$20</definedName>
    <definedName name="Long_Term_Liabilities">'Account Ranges'!$F$15</definedName>
    <definedName name="Net_Income_for_Period">'Account Ranges'!$G$19</definedName>
    <definedName name="Operating_Expenses">'Account Ranges'!$G$27</definedName>
    <definedName name="Operating_Income">'Account Ranges'!$G$28</definedName>
    <definedName name="Revenue">'Account Ranges'!$G$25</definedName>
    <definedName name="Short_Term_Loans">'Account Ranges'!$F$22</definedName>
    <definedName name="Start_Date">Options!$D$5</definedName>
    <definedName name="Total_Assets">'Account Ranges'!$F$13</definedName>
    <definedName name="Total_Assets_Average">'Account Ranges'!$I$13</definedName>
    <definedName name="Total_Liabilities">'Account Ranges'!$F$16</definedName>
    <definedName name="Total_Liabilities_and_Equity">'Account Ranges'!$F$18</definedName>
    <definedName name="Working_Capital">Scorecard!$I$17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 l="1"/>
  <c r="G4" i="1"/>
  <c r="E14" i="39"/>
  <c r="F14" i="39"/>
  <c r="G14" i="39"/>
  <c r="H14" i="39"/>
  <c r="I14" i="39"/>
  <c r="E15" i="39"/>
  <c r="F15" i="39"/>
  <c r="G15" i="39"/>
  <c r="H15" i="39"/>
  <c r="I15" i="39"/>
  <c r="E16" i="39"/>
  <c r="F16" i="39"/>
  <c r="G16" i="39"/>
  <c r="H16" i="39"/>
  <c r="I16" i="39"/>
  <c r="E17" i="39"/>
  <c r="F17" i="39"/>
  <c r="G17" i="39"/>
  <c r="H17" i="39"/>
  <c r="I17" i="39"/>
  <c r="E18" i="39"/>
  <c r="F18" i="39"/>
  <c r="G18" i="39"/>
  <c r="H18" i="39"/>
  <c r="I18" i="39"/>
  <c r="E19" i="39"/>
  <c r="F19" i="39"/>
  <c r="G19" i="39"/>
  <c r="H19" i="39"/>
  <c r="I19" i="39"/>
  <c r="E20" i="39"/>
  <c r="F20" i="39"/>
  <c r="G20" i="39"/>
  <c r="H20" i="39"/>
  <c r="I20" i="39"/>
  <c r="E21" i="39"/>
  <c r="F21" i="39"/>
  <c r="G21" i="39"/>
  <c r="H21" i="39"/>
  <c r="I21" i="39"/>
  <c r="E22" i="39"/>
  <c r="F22" i="39"/>
  <c r="G22" i="39"/>
  <c r="H22" i="39"/>
  <c r="I22" i="39"/>
  <c r="E23" i="39"/>
  <c r="F23" i="39"/>
  <c r="G23" i="39"/>
  <c r="H23" i="39"/>
  <c r="I23" i="39"/>
  <c r="E24" i="39"/>
  <c r="F24" i="39"/>
  <c r="G24" i="39"/>
  <c r="H24" i="39"/>
  <c r="I24" i="39"/>
  <c r="E25" i="39"/>
  <c r="F25" i="39"/>
  <c r="G25" i="39"/>
  <c r="H25" i="39"/>
  <c r="I25" i="39"/>
  <c r="E27" i="39"/>
  <c r="J27" i="39"/>
  <c r="E28" i="39"/>
  <c r="F28" i="39"/>
  <c r="G28" i="39"/>
  <c r="H28" i="39"/>
  <c r="I28" i="39"/>
  <c r="E30" i="39"/>
  <c r="J30" i="39"/>
  <c r="E31" i="39"/>
  <c r="F31" i="39"/>
  <c r="G31" i="39"/>
  <c r="H31" i="39"/>
  <c r="I31" i="39"/>
  <c r="E32" i="39"/>
  <c r="F32" i="39"/>
  <c r="G32" i="39"/>
  <c r="H32" i="39"/>
  <c r="I32" i="39"/>
  <c r="E33" i="39"/>
  <c r="F33" i="39"/>
  <c r="G33" i="39"/>
  <c r="H33" i="39"/>
  <c r="I33" i="39"/>
  <c r="E34" i="39"/>
  <c r="F34" i="39"/>
  <c r="G34" i="39"/>
  <c r="H34" i="39"/>
  <c r="I34" i="39"/>
  <c r="E35" i="39"/>
  <c r="F35" i="39"/>
  <c r="G35" i="39"/>
  <c r="H35" i="39"/>
  <c r="I35" i="39"/>
  <c r="E36" i="39"/>
  <c r="F36" i="39"/>
  <c r="G36" i="39"/>
  <c r="H36" i="39"/>
  <c r="I36" i="39"/>
  <c r="E37" i="39"/>
  <c r="F37" i="39"/>
  <c r="G37" i="39"/>
  <c r="H37" i="39"/>
  <c r="I37" i="39"/>
  <c r="E38" i="39"/>
  <c r="F38" i="39"/>
  <c r="G38" i="39"/>
  <c r="H38" i="39"/>
  <c r="I38" i="39"/>
  <c r="E39" i="39"/>
  <c r="F39" i="39"/>
  <c r="G39" i="39"/>
  <c r="H39" i="39"/>
  <c r="I39" i="39"/>
  <c r="E40" i="39"/>
  <c r="F40" i="39"/>
  <c r="G40" i="39"/>
  <c r="H40" i="39"/>
  <c r="I40" i="39"/>
  <c r="E41" i="39"/>
  <c r="F41" i="39"/>
  <c r="G41" i="39"/>
  <c r="H41" i="39"/>
  <c r="I41" i="39"/>
  <c r="E42" i="39"/>
  <c r="F42" i="39"/>
  <c r="G42" i="39"/>
  <c r="H42" i="39"/>
  <c r="I42" i="39"/>
  <c r="E43" i="39"/>
  <c r="F43" i="39"/>
  <c r="G43" i="39"/>
  <c r="H43" i="39"/>
  <c r="I43" i="39"/>
  <c r="E44" i="39"/>
  <c r="F44" i="39"/>
  <c r="G44" i="39"/>
  <c r="H44" i="39"/>
  <c r="I44" i="39"/>
  <c r="E45" i="39"/>
  <c r="F45" i="39"/>
  <c r="G45" i="39"/>
  <c r="H45" i="39"/>
  <c r="I45" i="39"/>
  <c r="E46" i="39"/>
  <c r="F46" i="39"/>
  <c r="G46" i="39"/>
  <c r="H46" i="39"/>
  <c r="I46" i="39"/>
  <c r="E47" i="39"/>
  <c r="F47" i="39"/>
  <c r="G47" i="39"/>
  <c r="H47" i="39"/>
  <c r="I47" i="39"/>
  <c r="E48" i="39"/>
  <c r="F48" i="39"/>
  <c r="G48" i="39"/>
  <c r="H48" i="39"/>
  <c r="I48" i="39"/>
  <c r="E49" i="39"/>
  <c r="F49" i="39"/>
  <c r="G49" i="39"/>
  <c r="H49" i="39"/>
  <c r="I49" i="39"/>
  <c r="E50" i="39"/>
  <c r="F50" i="39"/>
  <c r="G50" i="39"/>
  <c r="H50" i="39"/>
  <c r="I50" i="39"/>
  <c r="E52" i="39"/>
  <c r="J52" i="39"/>
  <c r="E53" i="39"/>
  <c r="F53" i="39"/>
  <c r="G53" i="39"/>
  <c r="H53" i="39"/>
  <c r="I53" i="39"/>
  <c r="E55" i="39"/>
  <c r="J55" i="39"/>
  <c r="E56" i="39"/>
  <c r="F56" i="39"/>
  <c r="G56" i="39"/>
  <c r="H56" i="39"/>
  <c r="I56" i="39"/>
  <c r="E57" i="39"/>
  <c r="F57" i="39"/>
  <c r="G57" i="39"/>
  <c r="H57" i="39"/>
  <c r="I57" i="39"/>
  <c r="E58" i="39"/>
  <c r="F58" i="39"/>
  <c r="G58" i="39"/>
  <c r="H58" i="39"/>
  <c r="I58" i="39"/>
  <c r="E59" i="39"/>
  <c r="F59" i="39"/>
  <c r="G59" i="39"/>
  <c r="H59" i="39"/>
  <c r="I59" i="39"/>
  <c r="E60" i="39"/>
  <c r="F60" i="39"/>
  <c r="G60" i="39"/>
  <c r="H60" i="39"/>
  <c r="I60" i="39"/>
  <c r="E61" i="39"/>
  <c r="F61" i="39"/>
  <c r="G61" i="39"/>
  <c r="H61" i="39"/>
  <c r="I61" i="39"/>
  <c r="E62" i="39"/>
  <c r="F62" i="39"/>
  <c r="G62" i="39"/>
  <c r="H62" i="39"/>
  <c r="I62" i="39"/>
  <c r="E63" i="39"/>
  <c r="F63" i="39"/>
  <c r="G63" i="39"/>
  <c r="H63" i="39"/>
  <c r="I63" i="39"/>
  <c r="E64" i="39"/>
  <c r="F64" i="39"/>
  <c r="G64" i="39"/>
  <c r="H64" i="39"/>
  <c r="I64" i="39"/>
  <c r="E65" i="39"/>
  <c r="F65" i="39"/>
  <c r="G65" i="39"/>
  <c r="H65" i="39"/>
  <c r="I65" i="39"/>
  <c r="E66" i="39"/>
  <c r="F66" i="39"/>
  <c r="G66" i="39"/>
  <c r="H66" i="39"/>
  <c r="I66" i="39"/>
  <c r="E67" i="39"/>
  <c r="F67" i="39"/>
  <c r="G67" i="39"/>
  <c r="H67" i="39"/>
  <c r="I67" i="39"/>
  <c r="E68" i="39"/>
  <c r="F68" i="39"/>
  <c r="G68" i="39"/>
  <c r="H68" i="39"/>
  <c r="I68" i="39"/>
  <c r="E69" i="39"/>
  <c r="F69" i="39"/>
  <c r="G69" i="39"/>
  <c r="H69" i="39"/>
  <c r="I69" i="39"/>
  <c r="E70" i="39"/>
  <c r="F70" i="39"/>
  <c r="G70" i="39"/>
  <c r="H70" i="39"/>
  <c r="I70" i="39"/>
  <c r="E71" i="39"/>
  <c r="F71" i="39"/>
  <c r="G71" i="39"/>
  <c r="H71" i="39"/>
  <c r="I71" i="39"/>
  <c r="E72" i="39"/>
  <c r="F72" i="39"/>
  <c r="G72" i="39"/>
  <c r="H72" i="39"/>
  <c r="I72" i="39"/>
  <c r="E73" i="39"/>
  <c r="F73" i="39"/>
  <c r="G73" i="39"/>
  <c r="H73" i="39"/>
  <c r="I73" i="39"/>
  <c r="E74" i="39"/>
  <c r="F74" i="39"/>
  <c r="G74" i="39"/>
  <c r="H74" i="39"/>
  <c r="I74" i="39"/>
  <c r="E75" i="39"/>
  <c r="F75" i="39"/>
  <c r="G75" i="39"/>
  <c r="H75" i="39"/>
  <c r="I75" i="39"/>
  <c r="E76" i="39"/>
  <c r="F76" i="39"/>
  <c r="G76" i="39"/>
  <c r="H76" i="39"/>
  <c r="I76" i="39"/>
  <c r="E77" i="39"/>
  <c r="F77" i="39"/>
  <c r="G77" i="39"/>
  <c r="H77" i="39"/>
  <c r="I77" i="39"/>
  <c r="E78" i="39"/>
  <c r="F78" i="39"/>
  <c r="G78" i="39"/>
  <c r="H78" i="39"/>
  <c r="I78" i="39"/>
  <c r="E79" i="39"/>
  <c r="F79" i="39"/>
  <c r="G79" i="39"/>
  <c r="H79" i="39"/>
  <c r="I79" i="39"/>
  <c r="E80" i="39"/>
  <c r="F80" i="39"/>
  <c r="G80" i="39"/>
  <c r="H80" i="39"/>
  <c r="I80" i="39"/>
  <c r="E81" i="39"/>
  <c r="F81" i="39"/>
  <c r="G81" i="39"/>
  <c r="H81" i="39"/>
  <c r="I81" i="39"/>
  <c r="E82" i="39"/>
  <c r="F82" i="39"/>
  <c r="G82" i="39"/>
  <c r="H82" i="39"/>
  <c r="I82" i="39"/>
  <c r="E83" i="39"/>
  <c r="F83" i="39"/>
  <c r="G83" i="39"/>
  <c r="H83" i="39"/>
  <c r="I83" i="39"/>
  <c r="E85" i="39"/>
  <c r="J85" i="39"/>
  <c r="E86" i="39"/>
  <c r="F86" i="39"/>
  <c r="G86" i="39"/>
  <c r="H86" i="39"/>
  <c r="I86" i="39"/>
  <c r="E87" i="39"/>
  <c r="F87" i="39"/>
  <c r="G87" i="39"/>
  <c r="H87" i="39"/>
  <c r="I87" i="39"/>
  <c r="E88" i="39"/>
  <c r="F88" i="39"/>
  <c r="G88" i="39"/>
  <c r="H88" i="39"/>
  <c r="I88" i="39"/>
  <c r="E89" i="39"/>
  <c r="F89" i="39"/>
  <c r="G89" i="39"/>
  <c r="H89" i="39"/>
  <c r="I89" i="39"/>
  <c r="E90" i="39"/>
  <c r="F90" i="39"/>
  <c r="G90" i="39"/>
  <c r="H90" i="39"/>
  <c r="I90" i="39"/>
  <c r="E91" i="39"/>
  <c r="F91" i="39"/>
  <c r="G91" i="39"/>
  <c r="H91" i="39"/>
  <c r="I91" i="39"/>
  <c r="E92" i="39"/>
  <c r="F92" i="39"/>
  <c r="G92" i="39"/>
  <c r="H92" i="39"/>
  <c r="I92" i="39"/>
  <c r="E93" i="39"/>
  <c r="F93" i="39"/>
  <c r="G93" i="39"/>
  <c r="H93" i="39"/>
  <c r="I93" i="39"/>
  <c r="E94" i="39"/>
  <c r="F94" i="39"/>
  <c r="G94" i="39"/>
  <c r="H94" i="39"/>
  <c r="I94" i="39"/>
  <c r="E95" i="39"/>
  <c r="F95" i="39"/>
  <c r="G95" i="39"/>
  <c r="H95" i="39"/>
  <c r="I95" i="39"/>
  <c r="E96" i="39"/>
  <c r="F96" i="39"/>
  <c r="G96" i="39"/>
  <c r="H96" i="39"/>
  <c r="I96" i="39"/>
  <c r="E97" i="39"/>
  <c r="F97" i="39"/>
  <c r="G97" i="39"/>
  <c r="H97" i="39"/>
  <c r="I97" i="39"/>
  <c r="E98" i="39"/>
  <c r="F98" i="39"/>
  <c r="G98" i="39"/>
  <c r="H98" i="39"/>
  <c r="I98" i="39"/>
  <c r="E99" i="39"/>
  <c r="F99" i="39"/>
  <c r="G99" i="39"/>
  <c r="H99" i="39"/>
  <c r="I99" i="39"/>
  <c r="E100" i="39"/>
  <c r="F100" i="39"/>
  <c r="G100" i="39"/>
  <c r="H100" i="39"/>
  <c r="I100" i="39"/>
  <c r="E101" i="39"/>
  <c r="F101" i="39"/>
  <c r="G101" i="39"/>
  <c r="H101" i="39"/>
  <c r="I101" i="39"/>
  <c r="E102" i="39"/>
  <c r="F102" i="39"/>
  <c r="G102" i="39"/>
  <c r="H102" i="39"/>
  <c r="I102" i="39"/>
  <c r="E103" i="39"/>
  <c r="F103" i="39"/>
  <c r="G103" i="39"/>
  <c r="H103" i="39"/>
  <c r="I103" i="39"/>
  <c r="E105" i="39"/>
  <c r="J105" i="39"/>
  <c r="E106" i="39"/>
  <c r="F106" i="39"/>
  <c r="G106" i="39"/>
  <c r="H106" i="39"/>
  <c r="I106" i="39"/>
  <c r="E107" i="39"/>
  <c r="F107" i="39"/>
  <c r="G107" i="39"/>
  <c r="H107" i="39"/>
  <c r="I107" i="39"/>
  <c r="E112" i="39"/>
  <c r="J112" i="39"/>
  <c r="J135" i="39" s="1"/>
  <c r="E113" i="39"/>
  <c r="F113" i="39"/>
  <c r="G113" i="39"/>
  <c r="H113" i="39"/>
  <c r="I113" i="39"/>
  <c r="E114" i="39"/>
  <c r="F114" i="39"/>
  <c r="G114" i="39"/>
  <c r="H114" i="39"/>
  <c r="I114" i="39"/>
  <c r="E115" i="39"/>
  <c r="F115" i="39"/>
  <c r="G115" i="39"/>
  <c r="H115" i="39"/>
  <c r="I115" i="39"/>
  <c r="E116" i="39"/>
  <c r="F116" i="39"/>
  <c r="G116" i="39"/>
  <c r="H116" i="39"/>
  <c r="I116" i="39"/>
  <c r="E117" i="39"/>
  <c r="F117" i="39"/>
  <c r="G117" i="39"/>
  <c r="H117" i="39"/>
  <c r="I117" i="39"/>
  <c r="E118" i="39"/>
  <c r="F118" i="39"/>
  <c r="G118" i="39"/>
  <c r="H118" i="39"/>
  <c r="I118" i="39"/>
  <c r="E119" i="39"/>
  <c r="F119" i="39"/>
  <c r="G119" i="39"/>
  <c r="H119" i="39"/>
  <c r="I119" i="39"/>
  <c r="E121" i="39"/>
  <c r="J121" i="39"/>
  <c r="E122" i="39"/>
  <c r="F122" i="39"/>
  <c r="G122" i="39"/>
  <c r="H122" i="39"/>
  <c r="I122" i="39"/>
  <c r="E123" i="39"/>
  <c r="F123" i="39"/>
  <c r="G123" i="39"/>
  <c r="H123" i="39"/>
  <c r="I123" i="39"/>
  <c r="E124" i="39"/>
  <c r="F124" i="39"/>
  <c r="G124" i="39"/>
  <c r="H124" i="39"/>
  <c r="I124" i="39"/>
  <c r="E125" i="39"/>
  <c r="F125" i="39"/>
  <c r="G125" i="39"/>
  <c r="H125" i="39"/>
  <c r="I125" i="39"/>
  <c r="E127" i="39"/>
  <c r="J127" i="39"/>
  <c r="E128" i="39"/>
  <c r="F128" i="39"/>
  <c r="G128" i="39"/>
  <c r="H128" i="39"/>
  <c r="I128" i="39"/>
  <c r="E129" i="39"/>
  <c r="F129" i="39"/>
  <c r="G129" i="39"/>
  <c r="H129" i="39"/>
  <c r="I129" i="39"/>
  <c r="E131" i="39"/>
  <c r="J131" i="39"/>
  <c r="E132" i="39"/>
  <c r="F132" i="39"/>
  <c r="G132" i="39"/>
  <c r="H132" i="39"/>
  <c r="I132" i="39"/>
  <c r="E133" i="39"/>
  <c r="F133" i="39"/>
  <c r="G133" i="39"/>
  <c r="H133" i="39"/>
  <c r="I133" i="39"/>
  <c r="E143" i="39"/>
  <c r="J143" i="39"/>
  <c r="E144" i="39"/>
  <c r="F144" i="39"/>
  <c r="G144" i="39"/>
  <c r="H144" i="39"/>
  <c r="I144" i="39"/>
  <c r="E145" i="39"/>
  <c r="F145" i="39"/>
  <c r="G145" i="39"/>
  <c r="H145" i="39"/>
  <c r="I145" i="39"/>
  <c r="E146" i="39"/>
  <c r="F146" i="39"/>
  <c r="G146" i="39"/>
  <c r="H146" i="39"/>
  <c r="I146" i="39"/>
  <c r="E147" i="39"/>
  <c r="F147" i="39"/>
  <c r="G147" i="39"/>
  <c r="H147" i="39"/>
  <c r="I147" i="39"/>
  <c r="E148" i="39"/>
  <c r="F148" i="39"/>
  <c r="G148" i="39"/>
  <c r="H148" i="39"/>
  <c r="I148" i="39"/>
  <c r="E149" i="39"/>
  <c r="F149" i="39"/>
  <c r="G149" i="39"/>
  <c r="H149" i="39"/>
  <c r="I149" i="39"/>
  <c r="E150" i="39"/>
  <c r="F150" i="39"/>
  <c r="G150" i="39"/>
  <c r="H150" i="39"/>
  <c r="I150" i="39"/>
  <c r="E151" i="39"/>
  <c r="F151" i="39"/>
  <c r="G151" i="39"/>
  <c r="H151" i="39"/>
  <c r="I151" i="39"/>
  <c r="E152" i="39"/>
  <c r="F152" i="39"/>
  <c r="G152" i="39"/>
  <c r="H152" i="39"/>
  <c r="I152" i="39"/>
  <c r="E153" i="39"/>
  <c r="F153" i="39"/>
  <c r="G153" i="39"/>
  <c r="H153" i="39"/>
  <c r="I153" i="39"/>
  <c r="E154" i="39"/>
  <c r="F154" i="39"/>
  <c r="G154" i="39"/>
  <c r="H154" i="39"/>
  <c r="I154" i="39"/>
  <c r="E155" i="39"/>
  <c r="F155" i="39"/>
  <c r="G155" i="39"/>
  <c r="H155" i="39"/>
  <c r="I155" i="39"/>
  <c r="E156" i="39"/>
  <c r="F156" i="39"/>
  <c r="G156" i="39"/>
  <c r="H156" i="39"/>
  <c r="I156" i="39"/>
  <c r="E157" i="39"/>
  <c r="F157" i="39"/>
  <c r="G157" i="39"/>
  <c r="H157" i="39"/>
  <c r="I157" i="39"/>
  <c r="E158" i="39"/>
  <c r="F158" i="39"/>
  <c r="G158" i="39"/>
  <c r="H158" i="39"/>
  <c r="I158" i="39"/>
  <c r="E159" i="39"/>
  <c r="F159" i="39"/>
  <c r="G159" i="39"/>
  <c r="H159" i="39"/>
  <c r="I159" i="39"/>
  <c r="E160" i="39"/>
  <c r="F160" i="39"/>
  <c r="G160" i="39"/>
  <c r="H160" i="39"/>
  <c r="I160" i="39"/>
  <c r="E161" i="39"/>
  <c r="F161" i="39"/>
  <c r="G161" i="39"/>
  <c r="H161" i="39"/>
  <c r="I161" i="39"/>
  <c r="E162" i="39"/>
  <c r="F162" i="39"/>
  <c r="G162" i="39"/>
  <c r="H162" i="39"/>
  <c r="I162" i="39"/>
  <c r="E163" i="39"/>
  <c r="F163" i="39"/>
  <c r="G163" i="39"/>
  <c r="H163" i="39"/>
  <c r="I163" i="39"/>
  <c r="E164" i="39"/>
  <c r="F164" i="39"/>
  <c r="G164" i="39"/>
  <c r="H164" i="39"/>
  <c r="I164" i="39"/>
  <c r="E165" i="39"/>
  <c r="F165" i="39"/>
  <c r="G165" i="39"/>
  <c r="H165" i="39"/>
  <c r="I165" i="39"/>
  <c r="E166" i="39"/>
  <c r="F166" i="39"/>
  <c r="G166" i="39"/>
  <c r="H166" i="39"/>
  <c r="I166" i="39"/>
  <c r="E167" i="39"/>
  <c r="F167" i="39"/>
  <c r="G167" i="39"/>
  <c r="H167" i="39"/>
  <c r="I167" i="39"/>
  <c r="E168" i="39"/>
  <c r="F168" i="39"/>
  <c r="G168" i="39"/>
  <c r="H168" i="39"/>
  <c r="I168" i="39"/>
  <c r="E169" i="39"/>
  <c r="F169" i="39"/>
  <c r="G169" i="39"/>
  <c r="H169" i="39"/>
  <c r="I169" i="39"/>
  <c r="E170" i="39"/>
  <c r="F170" i="39"/>
  <c r="G170" i="39"/>
  <c r="H170" i="39"/>
  <c r="I170" i="39"/>
  <c r="E171" i="39"/>
  <c r="F171" i="39"/>
  <c r="G171" i="39"/>
  <c r="H171" i="39"/>
  <c r="I171" i="39"/>
  <c r="E172" i="39"/>
  <c r="F172" i="39"/>
  <c r="G172" i="39"/>
  <c r="H172" i="39"/>
  <c r="I172" i="39"/>
  <c r="E173" i="39"/>
  <c r="F173" i="39"/>
  <c r="G173" i="39"/>
  <c r="H173" i="39"/>
  <c r="I173" i="39"/>
  <c r="E174" i="39"/>
  <c r="F174" i="39"/>
  <c r="G174" i="39"/>
  <c r="H174" i="39"/>
  <c r="I174" i="39"/>
  <c r="E175" i="39"/>
  <c r="F175" i="39"/>
  <c r="G175" i="39"/>
  <c r="H175" i="39"/>
  <c r="I175" i="39"/>
  <c r="E176" i="39"/>
  <c r="F176" i="39"/>
  <c r="G176" i="39"/>
  <c r="H176" i="39"/>
  <c r="I176" i="39"/>
  <c r="E177" i="39"/>
  <c r="F177" i="39"/>
  <c r="G177" i="39"/>
  <c r="H177" i="39"/>
  <c r="I177" i="39"/>
  <c r="E178" i="39"/>
  <c r="F178" i="39"/>
  <c r="G178" i="39"/>
  <c r="H178" i="39"/>
  <c r="I178" i="39"/>
  <c r="E180" i="39"/>
  <c r="J180" i="39"/>
  <c r="E181" i="39"/>
  <c r="F181" i="39"/>
  <c r="G181" i="39"/>
  <c r="H181" i="39"/>
  <c r="I181" i="39"/>
  <c r="E182" i="39"/>
  <c r="F182" i="39"/>
  <c r="G182" i="39"/>
  <c r="H182" i="39"/>
  <c r="I182" i="39"/>
  <c r="E183" i="39"/>
  <c r="F183" i="39"/>
  <c r="G183" i="39"/>
  <c r="H183" i="39"/>
  <c r="I183" i="39"/>
  <c r="E185" i="39"/>
  <c r="J185" i="39"/>
  <c r="E186" i="39"/>
  <c r="F186" i="39"/>
  <c r="G186" i="39"/>
  <c r="H186" i="39"/>
  <c r="I186" i="39"/>
  <c r="E187" i="39"/>
  <c r="F187" i="39"/>
  <c r="G187" i="39"/>
  <c r="H187" i="39"/>
  <c r="I187" i="39"/>
  <c r="E188" i="39"/>
  <c r="F188" i="39"/>
  <c r="G188" i="39"/>
  <c r="H188" i="39"/>
  <c r="I188" i="39"/>
  <c r="E189" i="39"/>
  <c r="F189" i="39"/>
  <c r="G189" i="39"/>
  <c r="H189" i="39"/>
  <c r="I189" i="39"/>
  <c r="E190" i="39"/>
  <c r="F190" i="39"/>
  <c r="G190" i="39"/>
  <c r="H190" i="39"/>
  <c r="I190" i="39"/>
  <c r="E191" i="39"/>
  <c r="F191" i="39"/>
  <c r="G191" i="39"/>
  <c r="H191" i="39"/>
  <c r="I191" i="39"/>
  <c r="E192" i="39"/>
  <c r="F192" i="39"/>
  <c r="G192" i="39"/>
  <c r="H192" i="39"/>
  <c r="I192" i="39"/>
  <c r="E193" i="39"/>
  <c r="F193" i="39"/>
  <c r="G193" i="39"/>
  <c r="H193" i="39"/>
  <c r="I193" i="39"/>
  <c r="E194" i="39"/>
  <c r="F194" i="39"/>
  <c r="G194" i="39"/>
  <c r="H194" i="39"/>
  <c r="I194" i="39"/>
  <c r="E195" i="39"/>
  <c r="F195" i="39"/>
  <c r="G195" i="39"/>
  <c r="H195" i="39"/>
  <c r="I195" i="39"/>
  <c r="E196" i="39"/>
  <c r="F196" i="39"/>
  <c r="G196" i="39"/>
  <c r="H196" i="39"/>
  <c r="I196" i="39"/>
  <c r="E197" i="39"/>
  <c r="F197" i="39"/>
  <c r="G197" i="39"/>
  <c r="H197" i="39"/>
  <c r="I197" i="39"/>
  <c r="E198" i="39"/>
  <c r="F198" i="39"/>
  <c r="G198" i="39"/>
  <c r="H198" i="39"/>
  <c r="I198" i="39"/>
  <c r="E199" i="39"/>
  <c r="F199" i="39"/>
  <c r="G199" i="39"/>
  <c r="H199" i="39"/>
  <c r="I199" i="39"/>
  <c r="E200" i="39"/>
  <c r="F200" i="39"/>
  <c r="G200" i="39"/>
  <c r="H200" i="39"/>
  <c r="I200" i="39"/>
  <c r="E201" i="39"/>
  <c r="F201" i="39"/>
  <c r="G201" i="39"/>
  <c r="H201" i="39"/>
  <c r="I201" i="39"/>
  <c r="E202" i="39"/>
  <c r="F202" i="39"/>
  <c r="G202" i="39"/>
  <c r="H202" i="39"/>
  <c r="I202" i="39"/>
  <c r="E203" i="39"/>
  <c r="F203" i="39"/>
  <c r="G203" i="39"/>
  <c r="H203" i="39"/>
  <c r="I203" i="39"/>
  <c r="E204" i="39"/>
  <c r="F204" i="39"/>
  <c r="G204" i="39"/>
  <c r="H204" i="39"/>
  <c r="I204" i="39"/>
  <c r="E205" i="39"/>
  <c r="F205" i="39"/>
  <c r="G205" i="39"/>
  <c r="H205" i="39"/>
  <c r="I205" i="39"/>
  <c r="E206" i="39"/>
  <c r="F206" i="39"/>
  <c r="G206" i="39"/>
  <c r="H206" i="39"/>
  <c r="I206" i="39"/>
  <c r="E207" i="39"/>
  <c r="F207" i="39"/>
  <c r="G207" i="39"/>
  <c r="H207" i="39"/>
  <c r="I207" i="39"/>
  <c r="E208" i="39"/>
  <c r="F208" i="39"/>
  <c r="G208" i="39"/>
  <c r="H208" i="39"/>
  <c r="I208" i="39"/>
  <c r="E209" i="39"/>
  <c r="F209" i="39"/>
  <c r="G209" i="39"/>
  <c r="H209" i="39"/>
  <c r="I209" i="39"/>
  <c r="E210" i="39"/>
  <c r="F210" i="39"/>
  <c r="G210" i="39"/>
  <c r="H210" i="39"/>
  <c r="I210" i="39"/>
  <c r="E211" i="39"/>
  <c r="F211" i="39"/>
  <c r="G211" i="39"/>
  <c r="H211" i="39"/>
  <c r="I211" i="39"/>
  <c r="E212" i="39"/>
  <c r="F212" i="39"/>
  <c r="G212" i="39"/>
  <c r="H212" i="39"/>
  <c r="I212" i="39"/>
  <c r="E213" i="39"/>
  <c r="F213" i="39"/>
  <c r="G213" i="39"/>
  <c r="H213" i="39"/>
  <c r="I213" i="39"/>
  <c r="E214" i="39"/>
  <c r="F214" i="39"/>
  <c r="G214" i="39"/>
  <c r="H214" i="39"/>
  <c r="I214" i="39"/>
  <c r="E215" i="39"/>
  <c r="F215" i="39"/>
  <c r="G215" i="39"/>
  <c r="H215" i="39"/>
  <c r="I215" i="39"/>
  <c r="E216" i="39"/>
  <c r="F216" i="39"/>
  <c r="G216" i="39"/>
  <c r="H216" i="39"/>
  <c r="I216" i="39"/>
  <c r="E217" i="39"/>
  <c r="F217" i="39"/>
  <c r="G217" i="39"/>
  <c r="H217" i="39"/>
  <c r="I217" i="39"/>
  <c r="E218" i="39"/>
  <c r="F218" i="39"/>
  <c r="G218" i="39"/>
  <c r="H218" i="39"/>
  <c r="I218" i="39"/>
  <c r="E219" i="39"/>
  <c r="F219" i="39"/>
  <c r="G219" i="39"/>
  <c r="H219" i="39"/>
  <c r="I219" i="39"/>
  <c r="E220" i="39"/>
  <c r="F220" i="39"/>
  <c r="G220" i="39"/>
  <c r="H220" i="39"/>
  <c r="I220" i="39"/>
  <c r="E221" i="39"/>
  <c r="F221" i="39"/>
  <c r="G221" i="39"/>
  <c r="H221" i="39"/>
  <c r="I221" i="39"/>
  <c r="E222" i="39"/>
  <c r="F222" i="39"/>
  <c r="G222" i="39"/>
  <c r="H222" i="39"/>
  <c r="I222" i="39"/>
  <c r="E223" i="39"/>
  <c r="F223" i="39"/>
  <c r="G223" i="39"/>
  <c r="H223" i="39"/>
  <c r="I223" i="39"/>
  <c r="E224" i="39"/>
  <c r="F224" i="39"/>
  <c r="G224" i="39"/>
  <c r="H224" i="39"/>
  <c r="I224" i="39"/>
  <c r="E225" i="39"/>
  <c r="F225" i="39"/>
  <c r="G225" i="39"/>
  <c r="H225" i="39"/>
  <c r="I225" i="39"/>
  <c r="E226" i="39"/>
  <c r="F226" i="39"/>
  <c r="G226" i="39"/>
  <c r="H226" i="39"/>
  <c r="I226" i="39"/>
  <c r="E227" i="39"/>
  <c r="F227" i="39"/>
  <c r="G227" i="39"/>
  <c r="H227" i="39"/>
  <c r="I227" i="39"/>
  <c r="E228" i="39"/>
  <c r="F228" i="39"/>
  <c r="G228" i="39"/>
  <c r="H228" i="39"/>
  <c r="I228" i="39"/>
  <c r="E230" i="39"/>
  <c r="J230" i="39"/>
  <c r="E231" i="39"/>
  <c r="F231" i="39"/>
  <c r="G231" i="39"/>
  <c r="H231" i="39"/>
  <c r="I231" i="39"/>
  <c r="E233" i="39"/>
  <c r="J233" i="39"/>
  <c r="E234" i="39"/>
  <c r="F234" i="39"/>
  <c r="G234" i="39"/>
  <c r="H234" i="39"/>
  <c r="I234" i="39"/>
  <c r="E236" i="39"/>
  <c r="J236" i="39"/>
  <c r="E237" i="39"/>
  <c r="F237" i="39"/>
  <c r="G237" i="39"/>
  <c r="H237" i="39"/>
  <c r="I237" i="39"/>
  <c r="E238" i="39"/>
  <c r="F238" i="39"/>
  <c r="G238" i="39"/>
  <c r="H238" i="39"/>
  <c r="I238" i="39"/>
  <c r="E239" i="39"/>
  <c r="F239" i="39"/>
  <c r="G239" i="39"/>
  <c r="H239" i="39"/>
  <c r="I239" i="39"/>
  <c r="E240" i="39"/>
  <c r="F240" i="39"/>
  <c r="G240" i="39"/>
  <c r="H240" i="39"/>
  <c r="I240" i="39"/>
  <c r="E241" i="39"/>
  <c r="F241" i="39"/>
  <c r="G241" i="39"/>
  <c r="H241" i="39"/>
  <c r="I241" i="39"/>
  <c r="J244" i="39"/>
  <c r="E247" i="39"/>
  <c r="J247" i="39"/>
  <c r="E248" i="39"/>
  <c r="F248" i="39"/>
  <c r="G248" i="39"/>
  <c r="H248" i="39"/>
  <c r="I248" i="39"/>
  <c r="E249" i="39"/>
  <c r="F249" i="39"/>
  <c r="G249" i="39"/>
  <c r="H249" i="39"/>
  <c r="I249" i="39"/>
  <c r="E250" i="39"/>
  <c r="F250" i="39"/>
  <c r="G250" i="39"/>
  <c r="H250" i="39"/>
  <c r="I250" i="39"/>
  <c r="E251" i="39"/>
  <c r="F251" i="39"/>
  <c r="G251" i="39"/>
  <c r="H251" i="39"/>
  <c r="I251" i="39"/>
  <c r="J253" i="39"/>
  <c r="J256" i="39"/>
  <c r="E259" i="39"/>
  <c r="J259" i="39"/>
  <c r="E260" i="39"/>
  <c r="F260" i="39"/>
  <c r="G260" i="39"/>
  <c r="H260" i="39"/>
  <c r="I260" i="39"/>
  <c r="E262" i="39"/>
  <c r="J262" i="39"/>
  <c r="E263" i="39"/>
  <c r="F263" i="39"/>
  <c r="G263" i="39"/>
  <c r="H263" i="39"/>
  <c r="I263" i="39"/>
  <c r="E265" i="39"/>
  <c r="J265" i="39"/>
  <c r="E266" i="39"/>
  <c r="F266" i="39"/>
  <c r="G266" i="39"/>
  <c r="H266" i="39"/>
  <c r="I266" i="39"/>
  <c r="E267" i="39"/>
  <c r="F267" i="39"/>
  <c r="G267" i="39"/>
  <c r="H267" i="39"/>
  <c r="I267" i="39"/>
  <c r="E11" i="2"/>
  <c r="F11" i="2"/>
  <c r="E12" i="2"/>
  <c r="F12" i="2"/>
  <c r="E13" i="2"/>
  <c r="F13" i="2"/>
  <c r="E14" i="2"/>
  <c r="F14" i="2"/>
  <c r="E15" i="2"/>
  <c r="F15" i="2"/>
  <c r="E16" i="2"/>
  <c r="F16" i="2"/>
  <c r="E17" i="2"/>
  <c r="F17" i="2"/>
  <c r="E18" i="2"/>
  <c r="F18" i="2"/>
  <c r="E19" i="2"/>
  <c r="F19" i="2"/>
  <c r="E20" i="2"/>
  <c r="F20" i="2"/>
  <c r="E21" i="2"/>
  <c r="F21" i="2"/>
  <c r="E22" i="2"/>
  <c r="F22" i="2"/>
  <c r="E23" i="2"/>
  <c r="F23" i="2"/>
  <c r="E24" i="2"/>
  <c r="F24" i="2"/>
  <c r="E25" i="2"/>
  <c r="F25" i="2"/>
  <c r="E26" i="2"/>
  <c r="F26" i="2"/>
  <c r="E27" i="2"/>
  <c r="F27" i="2"/>
  <c r="E28" i="2"/>
  <c r="F28" i="2"/>
  <c r="E29" i="2"/>
  <c r="F29" i="2"/>
  <c r="E30" i="2"/>
  <c r="F30" i="2"/>
  <c r="E31" i="2"/>
  <c r="F31" i="2"/>
  <c r="E32" i="2"/>
  <c r="F32" i="2"/>
  <c r="E33" i="2"/>
  <c r="F33" i="2"/>
  <c r="E34" i="2"/>
  <c r="F34" i="2"/>
  <c r="E35" i="2"/>
  <c r="F35" i="2"/>
  <c r="E36" i="2"/>
  <c r="F36" i="2"/>
  <c r="E37" i="2"/>
  <c r="F37" i="2"/>
  <c r="E38" i="2"/>
  <c r="F38" i="2"/>
  <c r="E39" i="2"/>
  <c r="F39" i="2"/>
  <c r="E40" i="2"/>
  <c r="F40" i="2"/>
  <c r="E41" i="2"/>
  <c r="F41" i="2"/>
  <c r="E42" i="2"/>
  <c r="F42" i="2"/>
  <c r="E43" i="2"/>
  <c r="F43" i="2"/>
  <c r="E44" i="2"/>
  <c r="F44" i="2"/>
  <c r="E45" i="2"/>
  <c r="F45" i="2"/>
  <c r="E46" i="2"/>
  <c r="F46" i="2"/>
  <c r="E47" i="2"/>
  <c r="F47" i="2"/>
  <c r="E48" i="2"/>
  <c r="F48" i="2"/>
  <c r="E49" i="2"/>
  <c r="F49" i="2"/>
  <c r="E50" i="2"/>
  <c r="F50" i="2"/>
  <c r="E51" i="2"/>
  <c r="F51" i="2"/>
  <c r="E52" i="2"/>
  <c r="F52" i="2"/>
  <c r="E53" i="2"/>
  <c r="F53" i="2"/>
  <c r="E54" i="2"/>
  <c r="F54" i="2"/>
  <c r="D56" i="2"/>
  <c r="G56" i="2"/>
  <c r="H56" i="2"/>
  <c r="E57" i="2"/>
  <c r="F57" i="2"/>
  <c r="E58" i="2"/>
  <c r="F58" i="2"/>
  <c r="E59" i="2"/>
  <c r="F59" i="2"/>
  <c r="E60" i="2"/>
  <c r="F60" i="2"/>
  <c r="E61" i="2"/>
  <c r="F61" i="2"/>
  <c r="E62" i="2"/>
  <c r="F62" i="2"/>
  <c r="E63" i="2"/>
  <c r="F63" i="2"/>
  <c r="E64" i="2"/>
  <c r="F64" i="2"/>
  <c r="E65" i="2"/>
  <c r="F65" i="2"/>
  <c r="D69" i="2"/>
  <c r="G69" i="2"/>
  <c r="H69" i="2"/>
  <c r="E70" i="2"/>
  <c r="F70" i="2"/>
  <c r="E71" i="2"/>
  <c r="F71" i="2"/>
  <c r="E72" i="2"/>
  <c r="F72" i="2"/>
  <c r="E73" i="2"/>
  <c r="F73" i="2"/>
  <c r="E74" i="2"/>
  <c r="F74" i="2"/>
  <c r="E75" i="2"/>
  <c r="F75" i="2"/>
  <c r="E76" i="2"/>
  <c r="F76" i="2"/>
  <c r="E77" i="2"/>
  <c r="F77" i="2"/>
  <c r="E78" i="2"/>
  <c r="F78" i="2"/>
  <c r="E79" i="2"/>
  <c r="F79" i="2"/>
  <c r="E80" i="2"/>
  <c r="F80" i="2"/>
  <c r="E81" i="2"/>
  <c r="F81" i="2"/>
  <c r="E82" i="2"/>
  <c r="F82" i="2"/>
  <c r="E83" i="2"/>
  <c r="F83" i="2"/>
  <c r="E84" i="2"/>
  <c r="F84" i="2"/>
  <c r="E85" i="2"/>
  <c r="F85" i="2"/>
  <c r="E86" i="2"/>
  <c r="F86" i="2"/>
  <c r="D93" i="2"/>
  <c r="G93" i="2"/>
  <c r="H93" i="2"/>
  <c r="E94" i="2"/>
  <c r="F94" i="2"/>
  <c r="D96" i="2"/>
  <c r="G96" i="2"/>
  <c r="H96" i="2"/>
  <c r="E97" i="2"/>
  <c r="F97" i="2"/>
  <c r="E98" i="2"/>
  <c r="F98" i="2"/>
  <c r="E99" i="2"/>
  <c r="F99" i="2"/>
  <c r="E100" i="2"/>
  <c r="F100" i="2"/>
  <c r="E101" i="2"/>
  <c r="F101" i="2"/>
  <c r="E102" i="2"/>
  <c r="F102" i="2"/>
  <c r="E103" i="2"/>
  <c r="F103" i="2"/>
  <c r="E104" i="2"/>
  <c r="F104" i="2"/>
  <c r="E105" i="2"/>
  <c r="F105" i="2"/>
  <c r="E106" i="2"/>
  <c r="F106" i="2"/>
  <c r="E107" i="2"/>
  <c r="F107" i="2"/>
  <c r="E108" i="2"/>
  <c r="F108" i="2"/>
  <c r="E109" i="2"/>
  <c r="F109" i="2"/>
  <c r="E110" i="2"/>
  <c r="F110" i="2"/>
  <c r="E111" i="2"/>
  <c r="F111" i="2"/>
  <c r="E112" i="2"/>
  <c r="F112" i="2"/>
  <c r="E113" i="2"/>
  <c r="F113" i="2"/>
  <c r="E114" i="2"/>
  <c r="F114" i="2"/>
  <c r="E115" i="2"/>
  <c r="F115" i="2"/>
  <c r="E116" i="2"/>
  <c r="F116" i="2"/>
  <c r="E117" i="2"/>
  <c r="F117" i="2"/>
  <c r="E118" i="2"/>
  <c r="F118" i="2"/>
  <c r="E119" i="2"/>
  <c r="F119" i="2"/>
  <c r="E120" i="2"/>
  <c r="F120" i="2"/>
  <c r="E121" i="2"/>
  <c r="F121" i="2"/>
  <c r="E122" i="2"/>
  <c r="F122" i="2"/>
  <c r="E123" i="2"/>
  <c r="F123" i="2"/>
  <c r="E124" i="2"/>
  <c r="F124" i="2"/>
  <c r="E125" i="2"/>
  <c r="F125" i="2"/>
  <c r="E126" i="2"/>
  <c r="F126" i="2"/>
  <c r="E127" i="2"/>
  <c r="F127" i="2"/>
  <c r="E128" i="2"/>
  <c r="F128" i="2"/>
  <c r="E129" i="2"/>
  <c r="F129" i="2"/>
  <c r="E130" i="2"/>
  <c r="F130" i="2"/>
  <c r="E131" i="2"/>
  <c r="F131" i="2"/>
  <c r="E132" i="2"/>
  <c r="F132" i="2"/>
  <c r="E133" i="2"/>
  <c r="F133" i="2"/>
  <c r="E134" i="2"/>
  <c r="F134" i="2"/>
  <c r="E135" i="2"/>
  <c r="F135" i="2"/>
  <c r="E136" i="2"/>
  <c r="F136" i="2"/>
  <c r="E137" i="2"/>
  <c r="F137" i="2"/>
  <c r="E138" i="2"/>
  <c r="F138" i="2"/>
  <c r="E139" i="2"/>
  <c r="F139" i="2"/>
  <c r="E140" i="2"/>
  <c r="F140" i="2"/>
  <c r="E141" i="2"/>
  <c r="F141" i="2"/>
  <c r="E142" i="2"/>
  <c r="F142" i="2"/>
  <c r="E143" i="2"/>
  <c r="F143" i="2"/>
  <c r="E144" i="2"/>
  <c r="F144" i="2"/>
  <c r="E145" i="2"/>
  <c r="F145" i="2"/>
  <c r="E146" i="2"/>
  <c r="F146" i="2"/>
  <c r="E147" i="2"/>
  <c r="F147" i="2"/>
  <c r="E148" i="2"/>
  <c r="F148" i="2"/>
  <c r="E149" i="2"/>
  <c r="F149" i="2"/>
  <c r="E150" i="2"/>
  <c r="F150" i="2"/>
  <c r="E151" i="2"/>
  <c r="F151" i="2"/>
  <c r="E152" i="2"/>
  <c r="F152" i="2"/>
  <c r="E153" i="2"/>
  <c r="F153" i="2"/>
  <c r="E154" i="2"/>
  <c r="F154" i="2"/>
  <c r="E155" i="2"/>
  <c r="F155" i="2"/>
  <c r="E156" i="2"/>
  <c r="F156" i="2"/>
  <c r="E157" i="2"/>
  <c r="F157" i="2"/>
  <c r="E158" i="2"/>
  <c r="F158" i="2"/>
  <c r="E159" i="2"/>
  <c r="F159" i="2"/>
  <c r="E160" i="2"/>
  <c r="F160" i="2"/>
  <c r="E161" i="2"/>
  <c r="F161" i="2"/>
  <c r="E162" i="2"/>
  <c r="F162" i="2"/>
  <c r="E163" i="2"/>
  <c r="F163" i="2"/>
  <c r="E164" i="2"/>
  <c r="F164" i="2"/>
  <c r="E165" i="2"/>
  <c r="F165" i="2"/>
  <c r="E166" i="2"/>
  <c r="F166" i="2"/>
  <c r="E167" i="2"/>
  <c r="F167" i="2"/>
  <c r="E168" i="2"/>
  <c r="F168" i="2"/>
  <c r="E169" i="2"/>
  <c r="F169" i="2"/>
  <c r="E170" i="2"/>
  <c r="F170" i="2"/>
  <c r="E171" i="2"/>
  <c r="F171" i="2"/>
  <c r="E172" i="2"/>
  <c r="F172" i="2"/>
  <c r="E173" i="2"/>
  <c r="F173" i="2"/>
  <c r="E174" i="2"/>
  <c r="F174" i="2"/>
  <c r="E175" i="2"/>
  <c r="F175" i="2"/>
  <c r="E176" i="2"/>
  <c r="F176" i="2"/>
  <c r="E177" i="2"/>
  <c r="F177" i="2"/>
  <c r="E178" i="2"/>
  <c r="F178" i="2"/>
  <c r="E179" i="2"/>
  <c r="F179" i="2"/>
  <c r="E180" i="2"/>
  <c r="F180" i="2"/>
  <c r="E181" i="2"/>
  <c r="F181" i="2"/>
  <c r="E182" i="2"/>
  <c r="F182" i="2"/>
  <c r="E183" i="2"/>
  <c r="F183" i="2"/>
  <c r="E184" i="2"/>
  <c r="F184" i="2"/>
  <c r="E185" i="2"/>
  <c r="F185" i="2"/>
  <c r="E186" i="2"/>
  <c r="F186" i="2"/>
  <c r="E187" i="2"/>
  <c r="F187" i="2"/>
  <c r="E188" i="2"/>
  <c r="F188" i="2"/>
  <c r="E189" i="2"/>
  <c r="F189" i="2"/>
  <c r="E190" i="2"/>
  <c r="F190" i="2"/>
  <c r="E191" i="2"/>
  <c r="F191" i="2"/>
  <c r="E192" i="2"/>
  <c r="F192" i="2"/>
  <c r="E193" i="2"/>
  <c r="F193" i="2"/>
  <c r="D195" i="2"/>
  <c r="G195" i="2"/>
  <c r="H195" i="2"/>
  <c r="E196" i="2"/>
  <c r="F196" i="2"/>
  <c r="E197" i="2"/>
  <c r="F197" i="2"/>
  <c r="E198" i="2"/>
  <c r="F198" i="2"/>
  <c r="E199" i="2"/>
  <c r="F199" i="2"/>
  <c r="E200" i="2"/>
  <c r="F200" i="2"/>
  <c r="E201" i="2"/>
  <c r="F201" i="2"/>
  <c r="E202" i="2"/>
  <c r="F202" i="2"/>
  <c r="E203" i="2"/>
  <c r="F203" i="2"/>
  <c r="E204" i="2"/>
  <c r="F204" i="2"/>
  <c r="E205" i="2"/>
  <c r="F205" i="2"/>
  <c r="E206" i="2"/>
  <c r="F206" i="2"/>
  <c r="E207" i="2"/>
  <c r="F207" i="2"/>
  <c r="E208" i="2"/>
  <c r="F208" i="2"/>
  <c r="E209" i="2"/>
  <c r="F209" i="2"/>
  <c r="E210" i="2"/>
  <c r="F210" i="2"/>
  <c r="E211" i="2"/>
  <c r="F211" i="2"/>
  <c r="E212" i="2"/>
  <c r="F212" i="2"/>
  <c r="E213" i="2"/>
  <c r="F213" i="2"/>
  <c r="E214" i="2"/>
  <c r="F214" i="2"/>
  <c r="E215" i="2"/>
  <c r="F215" i="2"/>
  <c r="E216" i="2"/>
  <c r="F216" i="2"/>
  <c r="E217" i="2"/>
  <c r="F217" i="2"/>
  <c r="E218" i="2"/>
  <c r="F218" i="2"/>
  <c r="E219" i="2"/>
  <c r="F219" i="2"/>
  <c r="E220" i="2"/>
  <c r="F220" i="2"/>
  <c r="E221" i="2"/>
  <c r="F221" i="2"/>
  <c r="E222" i="2"/>
  <c r="F222" i="2"/>
  <c r="E223" i="2"/>
  <c r="F223" i="2"/>
  <c r="E224" i="2"/>
  <c r="F224" i="2"/>
  <c r="E225" i="2"/>
  <c r="F225" i="2"/>
  <c r="E226" i="2"/>
  <c r="F226" i="2"/>
  <c r="E227" i="2"/>
  <c r="F227" i="2"/>
  <c r="E228" i="2"/>
  <c r="F228" i="2"/>
  <c r="E229" i="2"/>
  <c r="F229" i="2"/>
  <c r="E230" i="2"/>
  <c r="F230" i="2"/>
  <c r="E231" i="2"/>
  <c r="F231" i="2"/>
  <c r="E232" i="2"/>
  <c r="F232" i="2"/>
  <c r="E233" i="2"/>
  <c r="F233" i="2"/>
  <c r="D235" i="2"/>
  <c r="G235" i="2"/>
  <c r="G264" i="2" s="1"/>
  <c r="H235" i="2"/>
  <c r="E236" i="2"/>
  <c r="F236" i="2"/>
  <c r="E237" i="2"/>
  <c r="F237" i="2"/>
  <c r="E238" i="2"/>
  <c r="F238" i="2"/>
  <c r="E239" i="2"/>
  <c r="F239" i="2"/>
  <c r="E240" i="2"/>
  <c r="F240" i="2"/>
  <c r="E241" i="2"/>
  <c r="F241" i="2"/>
  <c r="E242" i="2"/>
  <c r="F242" i="2"/>
  <c r="E243" i="2"/>
  <c r="F243" i="2"/>
  <c r="E244" i="2"/>
  <c r="F244" i="2"/>
  <c r="E245" i="2"/>
  <c r="F245" i="2"/>
  <c r="E246" i="2"/>
  <c r="F246" i="2"/>
  <c r="E247" i="2"/>
  <c r="F247" i="2"/>
  <c r="E248" i="2"/>
  <c r="F248" i="2"/>
  <c r="E249" i="2"/>
  <c r="F249" i="2"/>
  <c r="E250" i="2"/>
  <c r="F250" i="2"/>
  <c r="E251" i="2"/>
  <c r="F251" i="2"/>
  <c r="E252" i="2"/>
  <c r="F252" i="2"/>
  <c r="E253" i="2"/>
  <c r="F253" i="2"/>
  <c r="D255" i="2"/>
  <c r="G255" i="2"/>
  <c r="H255" i="2"/>
  <c r="H264" i="2" s="1"/>
  <c r="E256" i="2"/>
  <c r="F256" i="2"/>
  <c r="E257" i="2"/>
  <c r="F257" i="2"/>
  <c r="E258" i="2"/>
  <c r="F258" i="2"/>
  <c r="E259" i="2"/>
  <c r="F259" i="2"/>
  <c r="D261" i="2"/>
  <c r="G261" i="2"/>
  <c r="H261" i="2"/>
  <c r="E262" i="2"/>
  <c r="F262" i="2"/>
  <c r="D269" i="2"/>
  <c r="G269" i="2"/>
  <c r="H269" i="2"/>
  <c r="E270" i="2"/>
  <c r="F270" i="2"/>
  <c r="E271" i="2"/>
  <c r="F271" i="2"/>
  <c r="E272" i="2"/>
  <c r="F272" i="2"/>
  <c r="E273" i="2"/>
  <c r="F273" i="2"/>
  <c r="E274" i="2"/>
  <c r="F274" i="2"/>
  <c r="E275" i="2"/>
  <c r="F275" i="2"/>
  <c r="E276" i="2"/>
  <c r="F276" i="2"/>
  <c r="E277" i="2"/>
  <c r="F277" i="2"/>
  <c r="E278" i="2"/>
  <c r="F278" i="2"/>
  <c r="E279" i="2"/>
  <c r="F279" i="2"/>
  <c r="E280" i="2"/>
  <c r="F280" i="2"/>
  <c r="E281" i="2"/>
  <c r="F281" i="2"/>
  <c r="E282" i="2"/>
  <c r="F282" i="2"/>
  <c r="E283" i="2"/>
  <c r="F283" i="2"/>
  <c r="E284" i="2"/>
  <c r="F284" i="2"/>
  <c r="E285" i="2"/>
  <c r="F285" i="2"/>
  <c r="E286" i="2"/>
  <c r="F286" i="2"/>
  <c r="E287" i="2"/>
  <c r="F287" i="2"/>
  <c r="E288" i="2"/>
  <c r="F288" i="2"/>
  <c r="E289" i="2"/>
  <c r="F289" i="2"/>
  <c r="E290" i="2"/>
  <c r="F290" i="2"/>
  <c r="E291" i="2"/>
  <c r="F291" i="2"/>
  <c r="E292" i="2"/>
  <c r="F292" i="2"/>
  <c r="E293" i="2"/>
  <c r="F293" i="2"/>
  <c r="E294" i="2"/>
  <c r="F294" i="2"/>
  <c r="E295" i="2"/>
  <c r="F295" i="2"/>
  <c r="E296" i="2"/>
  <c r="F296" i="2"/>
  <c r="E297" i="2"/>
  <c r="F297" i="2"/>
  <c r="E298" i="2"/>
  <c r="F298" i="2"/>
  <c r="E299" i="2"/>
  <c r="F299" i="2"/>
  <c r="E300" i="2"/>
  <c r="F300" i="2"/>
  <c r="E301" i="2"/>
  <c r="F301" i="2"/>
  <c r="E302" i="2"/>
  <c r="F302" i="2"/>
  <c r="E303" i="2"/>
  <c r="F303" i="2"/>
  <c r="D305" i="2"/>
  <c r="G305" i="2"/>
  <c r="H305" i="2"/>
  <c r="E306" i="2"/>
  <c r="F306" i="2"/>
  <c r="E307" i="2"/>
  <c r="F307" i="2"/>
  <c r="E308" i="2"/>
  <c r="F308" i="2"/>
  <c r="E309" i="2"/>
  <c r="F309" i="2"/>
  <c r="E310" i="2"/>
  <c r="F310" i="2"/>
  <c r="E311" i="2"/>
  <c r="F311" i="2"/>
  <c r="E312" i="2"/>
  <c r="F312" i="2"/>
  <c r="E313" i="2"/>
  <c r="F313" i="2"/>
  <c r="E314" i="2"/>
  <c r="F314" i="2"/>
  <c r="E315" i="2"/>
  <c r="F315" i="2"/>
  <c r="E316" i="2"/>
  <c r="F316" i="2"/>
  <c r="E317" i="2"/>
  <c r="F317" i="2"/>
  <c r="E318" i="2"/>
  <c r="F318" i="2"/>
  <c r="E319" i="2"/>
  <c r="F319" i="2"/>
  <c r="E320" i="2"/>
  <c r="F320" i="2"/>
  <c r="E321" i="2"/>
  <c r="F321" i="2"/>
  <c r="E322" i="2"/>
  <c r="F322" i="2"/>
  <c r="E323" i="2"/>
  <c r="F323" i="2"/>
  <c r="E324" i="2"/>
  <c r="F324" i="2"/>
  <c r="G326" i="2"/>
  <c r="H326" i="2"/>
  <c r="D331" i="2"/>
  <c r="G331" i="2"/>
  <c r="H331" i="2"/>
  <c r="E332" i="2"/>
  <c r="F332" i="2"/>
  <c r="E333" i="2"/>
  <c r="F333" i="2"/>
  <c r="E334" i="2"/>
  <c r="F334" i="2"/>
  <c r="E335" i="2"/>
  <c r="F335" i="2"/>
  <c r="E336" i="2"/>
  <c r="F336" i="2"/>
  <c r="E337" i="2"/>
  <c r="F337" i="2"/>
  <c r="E338" i="2"/>
  <c r="F338" i="2"/>
  <c r="E339" i="2"/>
  <c r="F339" i="2"/>
  <c r="E340" i="2"/>
  <c r="F340" i="2"/>
  <c r="E341" i="2"/>
  <c r="F341" i="2"/>
  <c r="E342" i="2"/>
  <c r="F342" i="2"/>
  <c r="E343" i="2"/>
  <c r="F343" i="2"/>
  <c r="E344" i="2"/>
  <c r="F344" i="2"/>
  <c r="E345" i="2"/>
  <c r="F345" i="2"/>
  <c r="E346" i="2"/>
  <c r="F346" i="2"/>
  <c r="E347" i="2"/>
  <c r="F347" i="2"/>
  <c r="E348" i="2"/>
  <c r="F348" i="2"/>
  <c r="E349" i="2"/>
  <c r="F349" i="2"/>
  <c r="E350" i="2"/>
  <c r="F350" i="2"/>
  <c r="E351" i="2"/>
  <c r="F351" i="2"/>
  <c r="E352" i="2"/>
  <c r="F352" i="2"/>
  <c r="E353" i="2"/>
  <c r="F353" i="2"/>
  <c r="J352" i="2"/>
  <c r="I351" i="2"/>
  <c r="J350" i="2"/>
  <c r="J349" i="2"/>
  <c r="J348" i="2"/>
  <c r="J347" i="2"/>
  <c r="I346" i="2"/>
  <c r="J346" i="2"/>
  <c r="J345" i="2"/>
  <c r="J344" i="2"/>
  <c r="I344" i="2"/>
  <c r="I343" i="2"/>
  <c r="J342" i="2"/>
  <c r="J341" i="2"/>
  <c r="I341" i="2"/>
  <c r="J340" i="2"/>
  <c r="J339" i="2"/>
  <c r="I338" i="2"/>
  <c r="J338" i="2"/>
  <c r="J337" i="2"/>
  <c r="J336" i="2"/>
  <c r="I336" i="2"/>
  <c r="I335" i="2"/>
  <c r="J334" i="2"/>
  <c r="J333" i="2"/>
  <c r="I333" i="2"/>
  <c r="J324" i="2"/>
  <c r="J322" i="2"/>
  <c r="J321" i="2"/>
  <c r="I321" i="2"/>
  <c r="J320" i="2"/>
  <c r="J319" i="2"/>
  <c r="J318" i="2"/>
  <c r="J317" i="2"/>
  <c r="I317" i="2"/>
  <c r="J316" i="2"/>
  <c r="I316" i="2"/>
  <c r="I315" i="2"/>
  <c r="J314" i="2"/>
  <c r="J313" i="2"/>
  <c r="I313" i="2"/>
  <c r="J312" i="2"/>
  <c r="J311" i="2"/>
  <c r="J309" i="2"/>
  <c r="I309" i="2"/>
  <c r="I308" i="2"/>
  <c r="I307" i="2"/>
  <c r="J303" i="2"/>
  <c r="I301" i="2"/>
  <c r="J301" i="2"/>
  <c r="J300" i="2"/>
  <c r="J298" i="2"/>
  <c r="I296" i="2"/>
  <c r="J295" i="2"/>
  <c r="J294" i="2"/>
  <c r="J293" i="2"/>
  <c r="I293" i="2"/>
  <c r="J292" i="2"/>
  <c r="J291" i="2"/>
  <c r="I291" i="2"/>
  <c r="J290" i="2"/>
  <c r="I289" i="2"/>
  <c r="J287" i="2"/>
  <c r="J286" i="2"/>
  <c r="J285" i="2"/>
  <c r="I285" i="2"/>
  <c r="J284" i="2"/>
  <c r="J283" i="2"/>
  <c r="I283" i="2"/>
  <c r="J282" i="2"/>
  <c r="J280" i="2"/>
  <c r="J279" i="2"/>
  <c r="J278" i="2"/>
  <c r="J277" i="2"/>
  <c r="J276" i="2"/>
  <c r="J275" i="2"/>
  <c r="I271" i="2"/>
  <c r="J271" i="2"/>
  <c r="J257" i="2"/>
  <c r="J253" i="2"/>
  <c r="J251" i="2"/>
  <c r="J250" i="2"/>
  <c r="J248" i="2"/>
  <c r="J246" i="2"/>
  <c r="J245" i="2"/>
  <c r="J243" i="2"/>
  <c r="J242" i="2"/>
  <c r="J240" i="2"/>
  <c r="J237" i="2"/>
  <c r="J232" i="2"/>
  <c r="J230" i="2"/>
  <c r="J229" i="2"/>
  <c r="J228" i="2"/>
  <c r="J227" i="2"/>
  <c r="J226" i="2"/>
  <c r="J225" i="2"/>
  <c r="J224" i="2"/>
  <c r="J223" i="2"/>
  <c r="J221" i="2"/>
  <c r="J220" i="2"/>
  <c r="J219" i="2"/>
  <c r="J217" i="2"/>
  <c r="J216" i="2"/>
  <c r="J215" i="2"/>
  <c r="J214" i="2"/>
  <c r="J213" i="2"/>
  <c r="J212" i="2"/>
  <c r="J211" i="2"/>
  <c r="J210" i="2"/>
  <c r="J209" i="2"/>
  <c r="J207" i="2"/>
  <c r="J206" i="2"/>
  <c r="J205" i="2"/>
  <c r="I204" i="2"/>
  <c r="J204" i="2"/>
  <c r="J201" i="2"/>
  <c r="J200" i="2"/>
  <c r="J199" i="2"/>
  <c r="J198" i="2"/>
  <c r="J197" i="2"/>
  <c r="J193" i="2"/>
  <c r="J184" i="2"/>
  <c r="J183" i="2"/>
  <c r="J182" i="2"/>
  <c r="J171" i="2"/>
  <c r="J167" i="2"/>
  <c r="J159" i="2"/>
  <c r="J151" i="2"/>
  <c r="J143" i="2"/>
  <c r="I138" i="2"/>
  <c r="J135" i="2"/>
  <c r="J131" i="2"/>
  <c r="J119" i="2"/>
  <c r="J113" i="2"/>
  <c r="J111" i="2"/>
  <c r="J98" i="2"/>
  <c r="J81" i="2"/>
  <c r="J80" i="2"/>
  <c r="J79" i="2"/>
  <c r="J78" i="2"/>
  <c r="J77" i="2"/>
  <c r="J76" i="2"/>
  <c r="J74" i="2"/>
  <c r="J72" i="2"/>
  <c r="J64" i="2"/>
  <c r="J61" i="2"/>
  <c r="J59" i="2"/>
  <c r="J58" i="2"/>
  <c r="J54" i="2"/>
  <c r="J53" i="2"/>
  <c r="J52" i="2"/>
  <c r="J51" i="2"/>
  <c r="J49" i="2"/>
  <c r="J48" i="2"/>
  <c r="J47" i="2"/>
  <c r="J46" i="2"/>
  <c r="J45" i="2"/>
  <c r="J44" i="2"/>
  <c r="J43" i="2"/>
  <c r="J39" i="2"/>
  <c r="J38" i="2"/>
  <c r="J37" i="2"/>
  <c r="J36" i="2"/>
  <c r="J31" i="2"/>
  <c r="J30" i="2"/>
  <c r="J29" i="2"/>
  <c r="J27" i="2"/>
  <c r="J15" i="2"/>
  <c r="F11" i="139"/>
  <c r="F12" i="139"/>
  <c r="G12" i="139"/>
  <c r="I12" i="139" s="1"/>
  <c r="F13" i="139"/>
  <c r="I13" i="139" s="1"/>
  <c r="G13" i="139"/>
  <c r="F14" i="139"/>
  <c r="F15" i="139"/>
  <c r="I14" i="140" s="1"/>
  <c r="F16" i="139"/>
  <c r="F17" i="139"/>
  <c r="F18" i="139"/>
  <c r="G19" i="139"/>
  <c r="H19" i="139"/>
  <c r="F20" i="139"/>
  <c r="G20" i="139"/>
  <c r="F21" i="139"/>
  <c r="F22" i="139"/>
  <c r="F23" i="139"/>
  <c r="G25" i="139"/>
  <c r="H25" i="139"/>
  <c r="E9" i="140" s="1"/>
  <c r="G26" i="139"/>
  <c r="G27" i="139"/>
  <c r="G28" i="139"/>
  <c r="G29" i="139"/>
  <c r="D18" i="140" s="1"/>
  <c r="G30" i="139"/>
  <c r="G31" i="139"/>
  <c r="G32" i="139"/>
  <c r="G33" i="139"/>
  <c r="D8" i="140" s="1"/>
  <c r="F8" i="140" s="1"/>
  <c r="H33" i="139"/>
  <c r="E8" i="140" s="1"/>
  <c r="E13" i="39"/>
  <c r="D10" i="2"/>
  <c r="I20" i="139"/>
  <c r="N4" i="39"/>
  <c r="J5" i="2"/>
  <c r="E29" i="189"/>
  <c r="H26" i="189"/>
  <c r="E24" i="189"/>
  <c r="E14" i="189"/>
  <c r="H11" i="189"/>
  <c r="E9" i="189"/>
  <c r="I27" i="140"/>
  <c r="D20" i="140"/>
  <c r="D19" i="140"/>
  <c r="I17" i="140"/>
  <c r="I16" i="140"/>
  <c r="D14" i="140"/>
  <c r="I13" i="140"/>
  <c r="D13" i="140"/>
  <c r="I12" i="140"/>
  <c r="I11" i="140"/>
  <c r="D9" i="140"/>
  <c r="I8" i="140"/>
  <c r="I7" i="140"/>
  <c r="E7" i="140"/>
  <c r="F7" i="140" s="1"/>
  <c r="D7" i="140"/>
  <c r="D6" i="1"/>
  <c r="G5" i="1" s="1"/>
  <c r="D5" i="1"/>
  <c r="D21" i="140" l="1"/>
  <c r="J353" i="2"/>
  <c r="I353" i="2"/>
  <c r="I284" i="2"/>
  <c r="J308" i="2"/>
  <c r="J335" i="2"/>
  <c r="I340" i="2"/>
  <c r="J343" i="2"/>
  <c r="I348" i="2"/>
  <c r="J351" i="2"/>
  <c r="I282" i="2"/>
  <c r="I290" i="2"/>
  <c r="I297" i="2"/>
  <c r="I337" i="2"/>
  <c r="I345" i="2"/>
  <c r="I288" i="2"/>
  <c r="I323" i="2"/>
  <c r="I334" i="2"/>
  <c r="I342" i="2"/>
  <c r="I350" i="2"/>
  <c r="I339" i="2"/>
  <c r="I347" i="2"/>
  <c r="I238" i="2"/>
  <c r="I274" i="2"/>
  <c r="I279" i="2"/>
  <c r="I318" i="2"/>
  <c r="I352" i="2"/>
  <c r="I349" i="2"/>
  <c r="J310" i="2"/>
  <c r="I23" i="2"/>
  <c r="I62" i="2"/>
  <c r="I73" i="2"/>
  <c r="I109" i="2"/>
  <c r="J133" i="2"/>
  <c r="I141" i="2"/>
  <c r="I149" i="2"/>
  <c r="J165" i="2"/>
  <c r="J181" i="2"/>
  <c r="J189" i="2"/>
  <c r="J192" i="2"/>
  <c r="J258" i="2"/>
  <c r="J272" i="2"/>
  <c r="J274" i="2"/>
  <c r="I281" i="2"/>
  <c r="J296" i="2"/>
  <c r="J307" i="2"/>
  <c r="I312" i="2"/>
  <c r="J315" i="2"/>
  <c r="I320" i="2"/>
  <c r="J323" i="2"/>
  <c r="I277" i="2"/>
  <c r="I314" i="2"/>
  <c r="I322" i="2"/>
  <c r="I126" i="2"/>
  <c r="I134" i="2"/>
  <c r="I150" i="2"/>
  <c r="I158" i="2"/>
  <c r="J190" i="2"/>
  <c r="I273" i="2"/>
  <c r="I275" i="2"/>
  <c r="J288" i="2"/>
  <c r="I311" i="2"/>
  <c r="I319" i="2"/>
  <c r="I185" i="2"/>
  <c r="J297" i="2"/>
  <c r="I324" i="2"/>
  <c r="I199" i="2"/>
  <c r="I310" i="2"/>
  <c r="I246" i="2"/>
  <c r="I276" i="2"/>
  <c r="I298" i="2"/>
  <c r="J299" i="2"/>
  <c r="I299" i="2"/>
  <c r="J273" i="2"/>
  <c r="I278" i="2"/>
  <c r="J281" i="2"/>
  <c r="I286" i="2"/>
  <c r="J289" i="2"/>
  <c r="I294" i="2"/>
  <c r="J106" i="2"/>
  <c r="I202" i="2"/>
  <c r="I247" i="2"/>
  <c r="I272" i="2"/>
  <c r="I280" i="2"/>
  <c r="I104" i="2"/>
  <c r="J112" i="2"/>
  <c r="J120" i="2"/>
  <c r="I144" i="2"/>
  <c r="I160" i="2"/>
  <c r="I176" i="2"/>
  <c r="I243" i="2"/>
  <c r="J259" i="2"/>
  <c r="J71" i="2"/>
  <c r="I99" i="2"/>
  <c r="I107" i="2"/>
  <c r="J123" i="2"/>
  <c r="I203" i="2"/>
  <c r="I218" i="2"/>
  <c r="J238" i="2"/>
  <c r="I241" i="2"/>
  <c r="I287" i="2"/>
  <c r="I295" i="2"/>
  <c r="I303" i="2"/>
  <c r="I292" i="2"/>
  <c r="I300" i="2"/>
  <c r="J22" i="2"/>
  <c r="J124" i="2"/>
  <c r="J132" i="2"/>
  <c r="J148" i="2"/>
  <c r="J156" i="2"/>
  <c r="I172" i="2"/>
  <c r="I180" i="2"/>
  <c r="J188" i="2"/>
  <c r="J191" i="2"/>
  <c r="I249" i="2"/>
  <c r="I177" i="2"/>
  <c r="I215" i="2"/>
  <c r="I251" i="2"/>
  <c r="I122" i="2"/>
  <c r="J249" i="2"/>
  <c r="I257" i="2"/>
  <c r="I110" i="2"/>
  <c r="I112" i="2"/>
  <c r="I115" i="2"/>
  <c r="J146" i="2"/>
  <c r="J154" i="2"/>
  <c r="J162" i="2"/>
  <c r="J178" i="2"/>
  <c r="I231" i="2"/>
  <c r="I259" i="2"/>
  <c r="I133" i="2"/>
  <c r="I75" i="2"/>
  <c r="I108" i="2"/>
  <c r="J116" i="2"/>
  <c r="J139" i="2"/>
  <c r="J147" i="2"/>
  <c r="J179" i="2"/>
  <c r="J202" i="2"/>
  <c r="I239" i="2"/>
  <c r="J241" i="2"/>
  <c r="I174" i="2"/>
  <c r="J187" i="2"/>
  <c r="J244" i="2"/>
  <c r="I258" i="2"/>
  <c r="I207" i="2"/>
  <c r="I209" i="2"/>
  <c r="J239" i="2"/>
  <c r="I244" i="2"/>
  <c r="J247" i="2"/>
  <c r="J73" i="2"/>
  <c r="I116" i="2"/>
  <c r="J100" i="2"/>
  <c r="J105" i="2"/>
  <c r="I120" i="2"/>
  <c r="J125" i="2"/>
  <c r="J128" i="2"/>
  <c r="I169" i="2"/>
  <c r="J177" i="2"/>
  <c r="I240" i="2"/>
  <c r="I248" i="2"/>
  <c r="I245" i="2"/>
  <c r="I253" i="2"/>
  <c r="I198" i="2"/>
  <c r="J222" i="2"/>
  <c r="I220" i="2"/>
  <c r="J101" i="2"/>
  <c r="J144" i="2"/>
  <c r="I170" i="2"/>
  <c r="J149" i="2"/>
  <c r="I173" i="2"/>
  <c r="I242" i="2"/>
  <c r="I250" i="2"/>
  <c r="J136" i="2"/>
  <c r="J129" i="2"/>
  <c r="J185" i="2"/>
  <c r="I237" i="2"/>
  <c r="J109" i="2"/>
  <c r="I157" i="2"/>
  <c r="I214" i="2"/>
  <c r="J218" i="2"/>
  <c r="J82" i="2"/>
  <c r="J102" i="2"/>
  <c r="J117" i="2"/>
  <c r="J130" i="2"/>
  <c r="J152" i="2"/>
  <c r="J155" i="2"/>
  <c r="J163" i="2"/>
  <c r="J168" i="2"/>
  <c r="I181" i="2"/>
  <c r="J186" i="2"/>
  <c r="I206" i="2"/>
  <c r="J208" i="2"/>
  <c r="I210" i="2"/>
  <c r="I212" i="2"/>
  <c r="I223" i="2"/>
  <c r="I226" i="2"/>
  <c r="I228" i="2"/>
  <c r="J233" i="2"/>
  <c r="I233" i="2"/>
  <c r="J35" i="2"/>
  <c r="I60" i="2"/>
  <c r="J63" i="2"/>
  <c r="J84" i="2"/>
  <c r="J108" i="2"/>
  <c r="J114" i="2"/>
  <c r="I118" i="2"/>
  <c r="J127" i="2"/>
  <c r="J138" i="2"/>
  <c r="I152" i="2"/>
  <c r="I154" i="2"/>
  <c r="J161" i="2"/>
  <c r="J164" i="2"/>
  <c r="I166" i="2"/>
  <c r="J175" i="2"/>
  <c r="I190" i="2"/>
  <c r="J231" i="2"/>
  <c r="I217" i="2"/>
  <c r="I225" i="2"/>
  <c r="I222" i="2"/>
  <c r="I230" i="2"/>
  <c r="I201" i="2"/>
  <c r="J99" i="2"/>
  <c r="I132" i="2"/>
  <c r="J157" i="2"/>
  <c r="J169" i="2"/>
  <c r="J173" i="2"/>
  <c r="I211" i="2"/>
  <c r="I219" i="2"/>
  <c r="I227" i="2"/>
  <c r="J20" i="2"/>
  <c r="J104" i="2"/>
  <c r="J141" i="2"/>
  <c r="I182" i="2"/>
  <c r="I189" i="2"/>
  <c r="I200" i="2"/>
  <c r="J203" i="2"/>
  <c r="I208" i="2"/>
  <c r="I216" i="2"/>
  <c r="I224" i="2"/>
  <c r="I232" i="2"/>
  <c r="I136" i="2"/>
  <c r="I186" i="2"/>
  <c r="I61" i="2"/>
  <c r="I77" i="2"/>
  <c r="J12" i="2"/>
  <c r="J121" i="2"/>
  <c r="I130" i="2"/>
  <c r="I113" i="2"/>
  <c r="J115" i="2"/>
  <c r="I117" i="2"/>
  <c r="I128" i="2"/>
  <c r="I146" i="2"/>
  <c r="J153" i="2"/>
  <c r="J160" i="2"/>
  <c r="I165" i="2"/>
  <c r="J176" i="2"/>
  <c r="I178" i="2"/>
  <c r="I197" i="2"/>
  <c r="I205" i="2"/>
  <c r="I213" i="2"/>
  <c r="I221" i="2"/>
  <c r="I229" i="2"/>
  <c r="I125" i="2"/>
  <c r="J145" i="2"/>
  <c r="I162" i="2"/>
  <c r="J180" i="2"/>
  <c r="I103" i="2"/>
  <c r="J107" i="2"/>
  <c r="J122" i="2"/>
  <c r="I124" i="2"/>
  <c r="J137" i="2"/>
  <c r="J140" i="2"/>
  <c r="I142" i="2"/>
  <c r="I168" i="2"/>
  <c r="J170" i="2"/>
  <c r="J172" i="2"/>
  <c r="J103" i="2"/>
  <c r="I105" i="2"/>
  <c r="I102" i="2"/>
  <c r="J16" i="2"/>
  <c r="I21" i="2"/>
  <c r="I29" i="2"/>
  <c r="I40" i="2"/>
  <c r="J60" i="2"/>
  <c r="I83" i="2"/>
  <c r="J110" i="2"/>
  <c r="J118" i="2"/>
  <c r="I123" i="2"/>
  <c r="J126" i="2"/>
  <c r="I131" i="2"/>
  <c r="J134" i="2"/>
  <c r="I139" i="2"/>
  <c r="J142" i="2"/>
  <c r="I147" i="2"/>
  <c r="J150" i="2"/>
  <c r="I155" i="2"/>
  <c r="J158" i="2"/>
  <c r="I163" i="2"/>
  <c r="J166" i="2"/>
  <c r="I171" i="2"/>
  <c r="J174" i="2"/>
  <c r="I179" i="2"/>
  <c r="I187" i="2"/>
  <c r="I184" i="2"/>
  <c r="I192" i="2"/>
  <c r="I101" i="2"/>
  <c r="I81" i="2"/>
  <c r="I98" i="2"/>
  <c r="I106" i="2"/>
  <c r="I114" i="2"/>
  <c r="J28" i="2"/>
  <c r="I74" i="2"/>
  <c r="I111" i="2"/>
  <c r="I119" i="2"/>
  <c r="I127" i="2"/>
  <c r="I135" i="2"/>
  <c r="I143" i="2"/>
  <c r="I151" i="2"/>
  <c r="I159" i="2"/>
  <c r="I167" i="2"/>
  <c r="I175" i="2"/>
  <c r="I183" i="2"/>
  <c r="I191" i="2"/>
  <c r="I100" i="2"/>
  <c r="I140" i="2"/>
  <c r="I148" i="2"/>
  <c r="I156" i="2"/>
  <c r="I164" i="2"/>
  <c r="I188" i="2"/>
  <c r="I121" i="2"/>
  <c r="I129" i="2"/>
  <c r="I137" i="2"/>
  <c r="I145" i="2"/>
  <c r="I153" i="2"/>
  <c r="I161" i="2"/>
  <c r="I193" i="2"/>
  <c r="I78" i="2"/>
  <c r="I82" i="2"/>
  <c r="J85" i="2"/>
  <c r="I85" i="2"/>
  <c r="J13" i="2"/>
  <c r="I20" i="2"/>
  <c r="J25" i="2"/>
  <c r="J33" i="2"/>
  <c r="J40" i="2"/>
  <c r="I72" i="2"/>
  <c r="J75" i="2"/>
  <c r="I80" i="2"/>
  <c r="J83" i="2"/>
  <c r="I28" i="2"/>
  <c r="I36" i="2"/>
  <c r="I26" i="2"/>
  <c r="I34" i="2"/>
  <c r="I41" i="2"/>
  <c r="I71" i="2"/>
  <c r="I79" i="2"/>
  <c r="I16" i="2"/>
  <c r="I76" i="2"/>
  <c r="I84" i="2"/>
  <c r="I19" i="2"/>
  <c r="J24" i="2"/>
  <c r="I32" i="2"/>
  <c r="I50" i="2"/>
  <c r="I12" i="2"/>
  <c r="J19" i="2"/>
  <c r="J32" i="2"/>
  <c r="I59" i="2"/>
  <c r="J62" i="2"/>
  <c r="I64" i="2"/>
  <c r="I17" i="2"/>
  <c r="I18" i="2"/>
  <c r="I24" i="2"/>
  <c r="I42" i="2"/>
  <c r="I44" i="2"/>
  <c r="I49" i="2"/>
  <c r="I52" i="2"/>
  <c r="I58" i="2"/>
  <c r="I13" i="2"/>
  <c r="I37" i="2"/>
  <c r="J14" i="2"/>
  <c r="I33" i="2"/>
  <c r="I63" i="2"/>
  <c r="I15" i="2"/>
  <c r="J21" i="2"/>
  <c r="J23" i="2"/>
  <c r="I25" i="2"/>
  <c r="J41" i="2"/>
  <c r="I45" i="2"/>
  <c r="J18" i="2"/>
  <c r="J26" i="2"/>
  <c r="I31" i="2"/>
  <c r="J34" i="2"/>
  <c r="I39" i="2"/>
  <c r="J42" i="2"/>
  <c r="I47" i="2"/>
  <c r="J50" i="2"/>
  <c r="I14" i="2"/>
  <c r="J17" i="2"/>
  <c r="I22" i="2"/>
  <c r="I30" i="2"/>
  <c r="I38" i="2"/>
  <c r="I46" i="2"/>
  <c r="I54" i="2"/>
  <c r="I27" i="2"/>
  <c r="I35" i="2"/>
  <c r="I43" i="2"/>
  <c r="I51" i="2"/>
  <c r="I48" i="2"/>
  <c r="I53" i="2"/>
  <c r="J332" i="2"/>
  <c r="J94" i="2"/>
  <c r="I70" i="2"/>
  <c r="J236" i="2"/>
  <c r="M11" i="39"/>
  <c r="J11" i="2"/>
  <c r="J97" i="2"/>
  <c r="J13" i="39"/>
  <c r="I11" i="2"/>
  <c r="I97" i="2"/>
  <c r="J262" i="2"/>
  <c r="I94" i="2"/>
  <c r="I332" i="2"/>
  <c r="F9" i="140"/>
  <c r="I9" i="140"/>
  <c r="J4" i="2"/>
  <c r="I4" i="140"/>
  <c r="J32" i="139"/>
  <c r="J31" i="139"/>
  <c r="L19" i="189" s="1"/>
  <c r="J30" i="139"/>
  <c r="J26" i="139"/>
  <c r="J25" i="139"/>
  <c r="D26" i="140" s="1"/>
  <c r="N3" i="39"/>
  <c r="D4" i="1"/>
  <c r="H21" i="189" l="1"/>
  <c r="J109" i="39"/>
  <c r="L10" i="39" s="1"/>
  <c r="J137" i="39"/>
  <c r="J302" i="2"/>
  <c r="I302" i="2"/>
  <c r="J252" i="2"/>
  <c r="I252" i="2"/>
  <c r="J86" i="2"/>
  <c r="I86" i="2"/>
  <c r="J70" i="2"/>
  <c r="J65" i="2"/>
  <c r="I65" i="2"/>
  <c r="I262" i="2"/>
  <c r="I256" i="2"/>
  <c r="J256" i="2"/>
  <c r="I236" i="2"/>
  <c r="I196" i="2"/>
  <c r="J196" i="2"/>
  <c r="I270" i="2"/>
  <c r="J270" i="2"/>
  <c r="M10" i="39"/>
  <c r="I57" i="2"/>
  <c r="J57" i="2"/>
  <c r="I306" i="2"/>
  <c r="J306" i="2"/>
  <c r="I22" i="140"/>
  <c r="I23" i="140"/>
  <c r="H355" i="2"/>
  <c r="H6" i="2"/>
  <c r="G10" i="2"/>
  <c r="J271" i="39"/>
  <c r="N11" i="39" s="1"/>
  <c r="H10" i="2"/>
  <c r="D27" i="140"/>
  <c r="E19" i="189"/>
  <c r="D25" i="140"/>
  <c r="H16" i="189"/>
  <c r="J23" i="189" s="1"/>
  <c r="I21" i="140"/>
  <c r="H67" i="2" l="1"/>
  <c r="G67" i="2"/>
  <c r="J10" i="2"/>
  <c r="I10" i="2"/>
  <c r="J305" i="2"/>
  <c r="I305" i="2"/>
  <c r="J235" i="2"/>
  <c r="I235" i="2"/>
  <c r="J93" i="2"/>
  <c r="I93" i="2"/>
  <c r="J255" i="2"/>
  <c r="I255" i="2"/>
  <c r="J56" i="2"/>
  <c r="I56" i="2"/>
  <c r="L11" i="39"/>
  <c r="J273" i="39"/>
  <c r="J195" i="2"/>
  <c r="I195" i="2"/>
  <c r="J69" i="2"/>
  <c r="I69" i="2"/>
  <c r="J331" i="2"/>
  <c r="G355" i="2"/>
  <c r="I331" i="2"/>
  <c r="G88" i="2" l="1"/>
  <c r="G265" i="2" s="1"/>
  <c r="G327" i="2" s="1"/>
  <c r="H88" i="2"/>
  <c r="H265" i="2" s="1"/>
  <c r="H327" i="2" s="1"/>
  <c r="B275" i="39"/>
  <c r="I96" i="2"/>
  <c r="J96" i="2"/>
  <c r="J264" i="2"/>
  <c r="J261" i="2"/>
  <c r="I261" i="2"/>
  <c r="J326" i="2"/>
  <c r="J269" i="2"/>
  <c r="I269" i="2"/>
  <c r="J355" i="2"/>
  <c r="I355" i="2"/>
  <c r="J67" i="2"/>
  <c r="I67" i="2"/>
  <c r="H89" i="2" l="1"/>
  <c r="J88" i="2"/>
  <c r="I88" i="2"/>
  <c r="G89" i="2"/>
  <c r="I264" i="2"/>
  <c r="I326" i="2"/>
  <c r="J265" i="2"/>
  <c r="I265" i="2"/>
  <c r="I327" i="2" l="1"/>
  <c r="J327" i="2"/>
</calcChain>
</file>

<file path=xl/sharedStrings.xml><?xml version="1.0" encoding="utf-8"?>
<sst xmlns="http://schemas.openxmlformats.org/spreadsheetml/2006/main" count="5720" uniqueCount="3570">
  <si>
    <t>Title</t>
  </si>
  <si>
    <t>Value</t>
  </si>
  <si>
    <t>Lookup</t>
  </si>
  <si>
    <t>Filter</t>
  </si>
  <si>
    <t>Option</t>
  </si>
  <si>
    <t>Budget Name</t>
  </si>
  <si>
    <t>Datefilter</t>
  </si>
  <si>
    <t>Start Date</t>
  </si>
  <si>
    <t>Number of days in Period</t>
  </si>
  <si>
    <t>End Date</t>
  </si>
  <si>
    <t>Cells highlighted in this color are named ranges and used in other calculations.  Select CTRL + F3 for details.
Additional named ranges can be found in the"Options" and  "Scorecard" worksheets</t>
  </si>
  <si>
    <t>hide</t>
  </si>
  <si>
    <t>FIT</t>
  </si>
  <si>
    <t>PROFIT AND LOSS</t>
  </si>
  <si>
    <t xml:space="preserve">Budget Name: </t>
  </si>
  <si>
    <t>Current Period</t>
  </si>
  <si>
    <t>Budget</t>
  </si>
  <si>
    <t>REVENUE</t>
  </si>
  <si>
    <t>TOTAL REVENUE</t>
  </si>
  <si>
    <t>Auto+Hide+Values</t>
  </si>
  <si>
    <t>Sales</t>
  </si>
  <si>
    <t>GROSS PROFIT</t>
  </si>
  <si>
    <t>GROSS PROFIT PERCENTAGE</t>
  </si>
  <si>
    <t>OPERATING EXPENSES</t>
  </si>
  <si>
    <t>TOTAL OPERATING EXPENSES</t>
  </si>
  <si>
    <t>NET INCOME FROM OPERATIONS</t>
  </si>
  <si>
    <t>INCOME TAXES</t>
  </si>
  <si>
    <t>NET INCOME</t>
  </si>
  <si>
    <t>Interest Expense</t>
  </si>
  <si>
    <t>Cost of Goods Sold</t>
  </si>
  <si>
    <t>BALANCE SHEET</t>
  </si>
  <si>
    <t>Data For Balance Sheet Chart</t>
  </si>
  <si>
    <t>Current_Assets</t>
  </si>
  <si>
    <t>Fixed_Assets</t>
  </si>
  <si>
    <t>Current_Liabilities</t>
  </si>
  <si>
    <t>Long_Term_Liabilities</t>
  </si>
  <si>
    <t>Total_Equity</t>
  </si>
  <si>
    <t>ASSETS</t>
  </si>
  <si>
    <t>Current Assets</t>
  </si>
  <si>
    <t>LIABILITIES AND EQUITY</t>
  </si>
  <si>
    <t>fit</t>
  </si>
  <si>
    <t>Report Date</t>
  </si>
  <si>
    <t>Date Period</t>
  </si>
  <si>
    <t>Min Width ----------</t>
  </si>
  <si>
    <t>TOTAL CURRENT ASSETS</t>
  </si>
  <si>
    <t>CURRENT ASSETS</t>
  </si>
  <si>
    <t>FIXED ASSETS</t>
  </si>
  <si>
    <t>TOTAL FIXED ASSETS</t>
  </si>
  <si>
    <t>TOTAL ASSETS</t>
  </si>
  <si>
    <t>LIABILITIES</t>
  </si>
  <si>
    <t>CURRENT LIABILITIES</t>
  </si>
  <si>
    <t>TOTAL CURRENT LIABILITIES</t>
  </si>
  <si>
    <t>LONG TERM LIABILITIES</t>
  </si>
  <si>
    <t>TOTAL LONG TERM LIABILITIES</t>
  </si>
  <si>
    <t>TOTAL LIABILITIES</t>
  </si>
  <si>
    <t>EQUITY</t>
  </si>
  <si>
    <t>TOTAL EQUITY</t>
  </si>
  <si>
    <t>TOTAL LIABILITIES + EQUITY</t>
  </si>
  <si>
    <t>Accounts Payable</t>
  </si>
  <si>
    <t>Inventory</t>
  </si>
  <si>
    <t>Net Profit / Loss</t>
  </si>
  <si>
    <t>31..47</t>
  </si>
  <si>
    <t>Fixed Assets</t>
  </si>
  <si>
    <t>Current Liabilities</t>
  </si>
  <si>
    <t>Long Term Liabilities</t>
  </si>
  <si>
    <t>Hide</t>
  </si>
  <si>
    <t>Category Range</t>
  </si>
  <si>
    <t>Item</t>
  </si>
  <si>
    <t>Ending Balance</t>
  </si>
  <si>
    <t>Net Change</t>
  </si>
  <si>
    <t>Average Balance</t>
  </si>
  <si>
    <t>Annualized Estimate</t>
  </si>
  <si>
    <t>1..7</t>
  </si>
  <si>
    <t>9..12</t>
  </si>
  <si>
    <t>13..21</t>
  </si>
  <si>
    <t>Equity</t>
  </si>
  <si>
    <t>Accounts Receiveable</t>
  </si>
  <si>
    <t>14|21</t>
  </si>
  <si>
    <t>Short Term Loans</t>
  </si>
  <si>
    <t>31..32</t>
  </si>
  <si>
    <t>Revenue</t>
  </si>
  <si>
    <t>Depreciation</t>
  </si>
  <si>
    <t>Total Assets</t>
  </si>
  <si>
    <t>Total Liabilities</t>
  </si>
  <si>
    <t>Total Liabilities + Equity</t>
  </si>
  <si>
    <t>Gross Profit</t>
  </si>
  <si>
    <t>Net Income</t>
  </si>
  <si>
    <t>Operating Expenses</t>
  </si>
  <si>
    <t>OTHER INCOME AND EXPENSES</t>
  </si>
  <si>
    <t>OTHER INCOME AND  EXPENSES</t>
  </si>
  <si>
    <t>34..37|40|47</t>
  </si>
  <si>
    <t>1..7|9..12</t>
  </si>
  <si>
    <t>Reverse Sign</t>
  </si>
  <si>
    <t>KEY PERFORMANCE METRICS</t>
  </si>
  <si>
    <t>Profitability Indicators</t>
  </si>
  <si>
    <t>Target</t>
  </si>
  <si>
    <t>Balance Sheet</t>
  </si>
  <si>
    <t xml:space="preserve">   Total Assets</t>
  </si>
  <si>
    <t>Liquidity Indicators</t>
  </si>
  <si>
    <t>Current Ratio</t>
  </si>
  <si>
    <t>Quick Ratio</t>
  </si>
  <si>
    <t xml:space="preserve">   Total Liabilities</t>
  </si>
  <si>
    <t>Capital Employed</t>
  </si>
  <si>
    <t>Solvency Indicators</t>
  </si>
  <si>
    <t>Working Capital</t>
  </si>
  <si>
    <t>Interest cover</t>
  </si>
  <si>
    <t>Debt Ratio</t>
  </si>
  <si>
    <t>Debt to Equity</t>
  </si>
  <si>
    <t>Activity</t>
  </si>
  <si>
    <t>Capitalization Ratio</t>
  </si>
  <si>
    <t>Days Sales Outstanding (DSO)</t>
  </si>
  <si>
    <t>Accounts Payable Days</t>
  </si>
  <si>
    <t>Inventory Days</t>
  </si>
  <si>
    <t>Operating Performance Ratios</t>
  </si>
  <si>
    <t>Working Capital Turnover</t>
  </si>
  <si>
    <t>Fixed Asset Turnover</t>
  </si>
  <si>
    <t>Tax Management</t>
  </si>
  <si>
    <t>Total Asset Turnover</t>
  </si>
  <si>
    <t>Effective Tax Rate</t>
  </si>
  <si>
    <t>Targets shown are calculated from the firm's General Ledger Budgets.  Additional targets can be entered and tracked in this report.</t>
  </si>
  <si>
    <t>13..22</t>
  </si>
  <si>
    <t>31..33</t>
  </si>
  <si>
    <t>Revenue for Period</t>
  </si>
  <si>
    <t>Gross Profit Percentage</t>
  </si>
  <si>
    <t>1/1/2014..12/31/2014</t>
  </si>
  <si>
    <t>Measurement</t>
  </si>
  <si>
    <t>Meta Measurements</t>
  </si>
  <si>
    <t>Owners' Investment</t>
  </si>
  <si>
    <t>Funding Management</t>
  </si>
  <si>
    <t xml:space="preserve">Debt-to-Equity Ratio </t>
  </si>
  <si>
    <t>Asset Management</t>
  </si>
  <si>
    <t>Asset Turnover Ratio</t>
  </si>
  <si>
    <t>Return on Equity
(ROE)</t>
  </si>
  <si>
    <t>Value Added Management</t>
  </si>
  <si>
    <t>Profit Margin (before Tax)</t>
  </si>
  <si>
    <t>Return on Assets (ROA)</t>
  </si>
  <si>
    <t>Earnings before Tax (EBT)</t>
  </si>
  <si>
    <t>Earnings After Tax (EAT)</t>
  </si>
  <si>
    <t xml:space="preserve">This chart shows how an Owners' Investments are used to generate After Tax Earnings. </t>
  </si>
  <si>
    <t>NET INCOME BEFORE TAXES (EBT)</t>
  </si>
  <si>
    <t>Net Income Before Taxes (EBT)</t>
  </si>
  <si>
    <t>31..37|40|42|43|47</t>
  </si>
  <si>
    <t>Net Income After Taxes (EAT)</t>
  </si>
  <si>
    <t>31..37|39|40|42|43|47</t>
  </si>
  <si>
    <t>Operating Income</t>
  </si>
  <si>
    <t>31..37|40|47</t>
  </si>
  <si>
    <t xml:space="preserve">This is a helper sheet. </t>
  </si>
  <si>
    <t>Cells highlighted in this color are named ranges and used in other calculations.  Select CTRL + F3 for details.</t>
  </si>
  <si>
    <t>You may need to review/revise the Category Ranges to match your Chart of Accounts</t>
  </si>
  <si>
    <t>The Categories listed in this column are used to calcuate the fields in columns I through M</t>
  </si>
  <si>
    <t>The Name Ranges are used to calculate values on the "Scorecard" and "Overview" worksheets</t>
  </si>
  <si>
    <t>Actual</t>
  </si>
  <si>
    <t>13..27|31..47</t>
  </si>
  <si>
    <t>23..27|31..47</t>
  </si>
  <si>
    <t>Variance</t>
  </si>
  <si>
    <t>Variance %</t>
  </si>
  <si>
    <t>Check the highlighted cells in this column to ensure these are the correct account categories for your chart of accounts.  Revise as needed</t>
  </si>
  <si>
    <t>hide+?</t>
  </si>
  <si>
    <t>Warning - your Assets &amp; Liabilities don’t balance.</t>
  </si>
  <si>
    <t>Designer's note - Cell B104 will hide this row if the accounts are in balance</t>
  </si>
  <si>
    <t xml:space="preserve">Report Readme </t>
  </si>
  <si>
    <t>About the report</t>
  </si>
  <si>
    <t>Modifying your report</t>
  </si>
  <si>
    <t>Version of Jet</t>
  </si>
  <si>
    <t>Services</t>
  </si>
  <si>
    <t>Training</t>
  </si>
  <si>
    <t>DISCLAIMER</t>
  </si>
  <si>
    <t>Copyrights</t>
  </si>
  <si>
    <t>="BUDGET3"</t>
  </si>
  <si>
    <t>=NL("Lookup","GL00200","BUDGETID")</t>
  </si>
  <si>
    <t>=NP("DateFilter",D5,D6)</t>
  </si>
  <si>
    <t>="1/1/2014"</t>
  </si>
  <si>
    <t>=End_Date-Start_Date+1</t>
  </si>
  <si>
    <t>="1/31/2014"</t>
  </si>
  <si>
    <t>=DateFilter</t>
  </si>
  <si>
    <t>=TODAY()</t>
  </si>
  <si>
    <t>=Budget_Name</t>
  </si>
  <si>
    <t>31</t>
  </si>
  <si>
    <t>=NL("First","GL00102","ACCATDSC","ACCATNUM",B10)</t>
  </si>
  <si>
    <t>=SUBTOTAL(9,G11:G12)</t>
  </si>
  <si>
    <t>=SUBTOTAL(9,H11:H12)</t>
  </si>
  <si>
    <t>=G10-H10</t>
  </si>
  <si>
    <t>=IF(G10=0,"-",IF(H10=0,"∞",(G10-H10)/H10))</t>
  </si>
  <si>
    <t>=GL("Rows","Accounts",,,,B10)</t>
  </si>
  <si>
    <t>=GL("Cell","AccountName",E11)</t>
  </si>
  <si>
    <t>=-GL("Cell","Balance",E11,Start_Date,End_Date)</t>
  </si>
  <si>
    <t>=-GL("Cell","Budget",E11,Start_Date,End_Date,,,,,,,,,,,,Budget_Name)</t>
  </si>
  <si>
    <t>=G11-H11</t>
  </si>
  <si>
    <t>=IF(G11=0,"-",IF(H11=0,"∞",(G11-H11)/H11))</t>
  </si>
  <si>
    <t>32</t>
  </si>
  <si>
    <t>=NL("First","GL00102","ACCATDSC","ACCATNUM",B13)</t>
  </si>
  <si>
    <t>=SUBTOTAL(9,G14:G15)</t>
  </si>
  <si>
    <t>=SUBTOTAL(9,H14:H15)</t>
  </si>
  <si>
    <t>=G13-H13</t>
  </si>
  <si>
    <t>=IF(G13=0,"-",IF(H13=0,"∞",(G13-H13)/H13))</t>
  </si>
  <si>
    <t>=GL("Rows","Accounts",,,,B13)</t>
  </si>
  <si>
    <t>=GL("Cell","AccountName",E14)</t>
  </si>
  <si>
    <t>=-GL("Cell","Balance",E14,Start_Date,End_Date)</t>
  </si>
  <si>
    <t>=-GL("Cell","Budget",E14,Start_Date,End_Date,,,,,,,,,,,,Budget_Name)</t>
  </si>
  <si>
    <t>=G14-H14</t>
  </si>
  <si>
    <t>=IF(G14=0,"-",IF(H14=0,"∞",(G14-H14)/H14))</t>
  </si>
  <si>
    <t>=SUBTOTAL(9,G10:G15)</t>
  </si>
  <si>
    <t>=SUBTOTAL(9,H10:H15)</t>
  </si>
  <si>
    <t>=G16-H16</t>
  </si>
  <si>
    <t>=IF(G16=0,"-",IF(H16=0,"∞",(G16-H16)/H16))</t>
  </si>
  <si>
    <t>33</t>
  </si>
  <si>
    <t>=NL("First","GL00102","ACCATDSC","ACCATNUM",B18)</t>
  </si>
  <si>
    <t>=SUBTOTAL(9,G19:G20)</t>
  </si>
  <si>
    <t>=SUBTOTAL(9,H19:H20)</t>
  </si>
  <si>
    <t>=G18-H18</t>
  </si>
  <si>
    <t>=IF(G18=0,"-",IF(H18=0,"∞",(G18-H18)/H18))</t>
  </si>
  <si>
    <t>=GL("Rows","Accounts",,,,B18)</t>
  </si>
  <si>
    <t>=GL("Cell","AccountName",E19)</t>
  </si>
  <si>
    <t>=-GL("Cell","Balance",E19,Start_Date,End_Date)</t>
  </si>
  <si>
    <t>=-GL("Cell","Budget",E19,Start_Date,End_Date,,,,,,,,,,,,Budget_Name)</t>
  </si>
  <si>
    <t>=G19-H19</t>
  </si>
  <si>
    <t>=IF(G19=0,"-",IF(H19=0,"∞",(G19-H19)/H19))</t>
  </si>
  <si>
    <t>=SUBTOTAL(9,G10:G20)</t>
  </si>
  <si>
    <t>=SUBTOTAL(9,H10:H20)</t>
  </si>
  <si>
    <t>=G21-H21</t>
  </si>
  <si>
    <t>=IF(G21=0,"-",IF(H21=0,"∞",(G21-H21)/H21))</t>
  </si>
  <si>
    <t>=IFERROR(G16/(G16-G21),"")</t>
  </si>
  <si>
    <t>=IFERROR(H16/(H16-H21),"")</t>
  </si>
  <si>
    <t>34</t>
  </si>
  <si>
    <t>=NL("First","GL00102","ACCATDSC","ACCATNUM",B26)</t>
  </si>
  <si>
    <t>=SUBTOTAL(9,G27:G28)</t>
  </si>
  <si>
    <t>=SUBTOTAL(9,H27:H28)</t>
  </si>
  <si>
    <t>=G26-H26</t>
  </si>
  <si>
    <t>=IF(G26=0,"-",IF(H26=0,"∞",(G26-H26)/H26))</t>
  </si>
  <si>
    <t>=GL("Rows","Accounts",,,,B26)</t>
  </si>
  <si>
    <t>=GL("Cell","AccountName",E27)</t>
  </si>
  <si>
    <t>=-GL("Cell","Balance",E27,Start_Date,End_Date)</t>
  </si>
  <si>
    <t>=-GL("Cell","Budget",E27,Start_Date,End_Date,,,,,,,,,,,,Budget_Name)</t>
  </si>
  <si>
    <t>=G27-H27</t>
  </si>
  <si>
    <t>=IF(G27=0,"-",IF(H27=0,"∞",(G27-H27)/H27))</t>
  </si>
  <si>
    <t>35</t>
  </si>
  <si>
    <t>=NL("First","GL00102","ACCATDSC","ACCATNUM",B29)</t>
  </si>
  <si>
    <t>=SUBTOTAL(9,G30:G31)</t>
  </si>
  <si>
    <t>=SUBTOTAL(9,H30:H31)</t>
  </si>
  <si>
    <t>=G29-H29</t>
  </si>
  <si>
    <t>=IF(G29=0,"-",IF(H29=0,"∞",(G29-H29)/H29))</t>
  </si>
  <si>
    <t>=GL("Rows","Accounts",,,,B29)</t>
  </si>
  <si>
    <t>=GL("Cell","AccountName",E30)</t>
  </si>
  <si>
    <t>=-GL("Cell","Balance",E30,Start_Date,End_Date)</t>
  </si>
  <si>
    <t>=-GL("Cell","Budget",E30,Start_Date,End_Date,,,,,,,,,,,,Budget_Name)</t>
  </si>
  <si>
    <t>=G30-H30</t>
  </si>
  <si>
    <t>=IF(G30=0,"-",IF(H30=0,"∞",(G30-H30)/H30))</t>
  </si>
  <si>
    <t>36</t>
  </si>
  <si>
    <t>=NL("First","GL00102","ACCATDSC","ACCATNUM",B32)</t>
  </si>
  <si>
    <t>=SUBTOTAL(9,G33:G34)</t>
  </si>
  <si>
    <t>=SUBTOTAL(9,H33:H34)</t>
  </si>
  <si>
    <t>=G32-H32</t>
  </si>
  <si>
    <t>=IF(G32=0,"-",IF(H32=0,"∞",(G32-H32)/H32))</t>
  </si>
  <si>
    <t>=GL("Rows","Accounts",,,,B32)</t>
  </si>
  <si>
    <t>=GL("Cell","AccountName",E33)</t>
  </si>
  <si>
    <t>=-GL("Cell","Balance",E33,Start_Date,End_Date)</t>
  </si>
  <si>
    <t>=-GL("Cell","Budget",E33,Start_Date,End_Date,,,,,,,,,,,,Budget_Name)</t>
  </si>
  <si>
    <t>=G33-H33</t>
  </si>
  <si>
    <t>=IF(G33=0,"-",IF(H33=0,"∞",(G33-H33)/H33))</t>
  </si>
  <si>
    <t>37</t>
  </si>
  <si>
    <t>=NL("First","GL00102","ACCATDSC","ACCATNUM",B35)</t>
  </si>
  <si>
    <t>=SUBTOTAL(9,G36:G37)</t>
  </si>
  <si>
    <t>=SUBTOTAL(9,H36:H37)</t>
  </si>
  <si>
    <t>=G35-H35</t>
  </si>
  <si>
    <t>=IF(G35=0,"-",IF(H35=0,"∞",(G35-H35)/H35))</t>
  </si>
  <si>
    <t>=GL("Rows","Accounts",,,,B35)</t>
  </si>
  <si>
    <t>=GL("Cell","AccountName",E36)</t>
  </si>
  <si>
    <t>=-GL("Cell","Balance",E36,Start_Date,End_Date)</t>
  </si>
  <si>
    <t>=-GL("Cell","Budget",E36,Start_Date,End_Date,,,,,,,,,,,,Budget_Name)</t>
  </si>
  <si>
    <t>=G36-H36</t>
  </si>
  <si>
    <t>=IF(G36=0,"-",IF(H36=0,"∞",(G36-H36)/H36))</t>
  </si>
  <si>
    <t>40</t>
  </si>
  <si>
    <t>=NL("First","GL00102","ACCATDSC","ACCATNUM",B38)</t>
  </si>
  <si>
    <t>=SUBTOTAL(9,G39:G40)</t>
  </si>
  <si>
    <t>=SUBTOTAL(9,H39:H40)</t>
  </si>
  <si>
    <t>=G38-H38</t>
  </si>
  <si>
    <t>=IF(G38=0,"-",IF(H38=0,"∞",(G38-H38)/H38))</t>
  </si>
  <si>
    <t>=GL("Rows","Accounts",,,,B38)</t>
  </si>
  <si>
    <t>=GL("Cell","AccountName",E39)</t>
  </si>
  <si>
    <t>=-GL("Cell","Balance",E39,Start_Date,End_Date)</t>
  </si>
  <si>
    <t>=-GL("Cell","Budget",E39,Start_Date,End_Date,,,,,,,,,,,,Budget_Name)</t>
  </si>
  <si>
    <t>=G39-H39</t>
  </si>
  <si>
    <t>=IF(G39=0,"-",IF(H39=0,"∞",(G39-H39)/H39))</t>
  </si>
  <si>
    <t>47</t>
  </si>
  <si>
    <t>=NL("First","GL00102","ACCATDSC","ACCATNUM",B41)</t>
  </si>
  <si>
    <t>=SUBTOTAL(9,G42:G43)</t>
  </si>
  <si>
    <t>=SUBTOTAL(9,H42:H43)</t>
  </si>
  <si>
    <t>=G41-H41</t>
  </si>
  <si>
    <t>=IF(G41=0,"-",IF(H41=0,"∞",(G41-H41)/H41))</t>
  </si>
  <si>
    <t>=GL("Rows","Accounts",,,,B41)</t>
  </si>
  <si>
    <t>=GL("Cell","AccountName",E42)</t>
  </si>
  <si>
    <t>=-GL("Cell","Balance",E42,Start_Date,End_Date)</t>
  </si>
  <si>
    <t>=-GL("Cell","Budget",E42,Start_Date,End_Date,,,,,,,,,,,,Budget_Name)</t>
  </si>
  <si>
    <t>=G42-H42</t>
  </si>
  <si>
    <t>=IF(G42=0,"-",IF(H42=0,"∞",(G42-H42)/H42))</t>
  </si>
  <si>
    <t>=SUBTOTAL(9,G26:G43)</t>
  </si>
  <si>
    <t>=SUBTOTAL(9,H26:H43)</t>
  </si>
  <si>
    <t>=G44-H44</t>
  </si>
  <si>
    <t>=IF(G44=0,"-",IF(H44=0,"∞",(G44-H44)/H44))</t>
  </si>
  <si>
    <t>=G21+G44</t>
  </si>
  <si>
    <t>=H21+H44</t>
  </si>
  <si>
    <t>=G45-H45</t>
  </si>
  <si>
    <t>=IF(G45=0,"-",IF(H45=0,"∞",(G45-H45)/H45))</t>
  </si>
  <si>
    <t>43</t>
  </si>
  <si>
    <t>=NL("First","GL00102","ACCATDSC","ACCATNUM",B49)</t>
  </si>
  <si>
    <t>=SUBTOTAL(9,G50:G51)</t>
  </si>
  <si>
    <t>=SUBTOTAL(9,H50:H51)</t>
  </si>
  <si>
    <t>=G49-H49</t>
  </si>
  <si>
    <t>=IF(G49=0,"-",IF(H49=0,"∞",(G49-H49)/H49))</t>
  </si>
  <si>
    <t>=GL("Rows","Accounts",,,,B49)</t>
  </si>
  <si>
    <t>=GL("Cell","AccountName",E50)</t>
  </si>
  <si>
    <t>=-GL("Cell","Balance",E50,Start_Date,End_Date)</t>
  </si>
  <si>
    <t>=-GL("Cell","Budget",E50,Start_Date,End_Date,,,,,,,,,,,,Budget_Name)</t>
  </si>
  <si>
    <t>=G50-H50</t>
  </si>
  <si>
    <t>=IF(G50=0,"-",IF(H50=0,"∞",(G50-H50)/H50))</t>
  </si>
  <si>
    <t>42</t>
  </si>
  <si>
    <t>=NL("First","GL00102","ACCATDSC","ACCATNUM",B52)</t>
  </si>
  <si>
    <t>=SUBTOTAL(9,G53:G54)</t>
  </si>
  <si>
    <t>=SUBTOTAL(9,H53:H54)</t>
  </si>
  <si>
    <t>=G52-H52</t>
  </si>
  <si>
    <t>=IF(G52=0,"-",IF(H52=0,"∞",(G52-H52)/H52))</t>
  </si>
  <si>
    <t>=GL("Rows","Accounts",,,,B52)</t>
  </si>
  <si>
    <t>=GL("Cell","AccountName",E53)</t>
  </si>
  <si>
    <t>=-GL("Cell","Balance",E53,Start_Date,End_Date)</t>
  </si>
  <si>
    <t>=-GL("Cell","Budget",E53,Start_Date,End_Date,,,,,,,,,,,,Budget_Name)</t>
  </si>
  <si>
    <t>=G53-H53</t>
  </si>
  <si>
    <t>=IF(G53=0,"-",IF(H53=0,"∞",(G53-H53)/H53))</t>
  </si>
  <si>
    <t>=SUBTOTAL(9,G49:G54)</t>
  </si>
  <si>
    <t>=SUBTOTAL(9,H49:H54)</t>
  </si>
  <si>
    <t>=G55-H55</t>
  </si>
  <si>
    <t>=IF(G55=0,"-",IF(H55=0,"∞",(G55-H55)/H55))</t>
  </si>
  <si>
    <t>=G45+G55</t>
  </si>
  <si>
    <t>=H45+H55</t>
  </si>
  <si>
    <t>=G56-H56</t>
  </si>
  <si>
    <t>=IF(G56=0,"-",IF(H56=0,"∞",(G56-H56)/H56))</t>
  </si>
  <si>
    <t>39</t>
  </si>
  <si>
    <t>=NL("First","GL00102","ACCATDSC","ACCATNUM",B60)</t>
  </si>
  <si>
    <t>=SUBTOTAL(9,G61:G62)</t>
  </si>
  <si>
    <t>=SUBTOTAL(9,H61:H62)</t>
  </si>
  <si>
    <t>=G60-H60</t>
  </si>
  <si>
    <t>=IF(G60=0,"-",IF(H60=0,"∞",(G60-H60)/H60))</t>
  </si>
  <si>
    <t>=GL("Rows","Accounts",,,,B60)</t>
  </si>
  <si>
    <t>=GL("Cell","AccountName",E61)</t>
  </si>
  <si>
    <t>=-GL("Cell","Balance",E61,Start_Date,End_Date)</t>
  </si>
  <si>
    <t>=-GL("Cell","Budget",E61,Start_Date,End_Date,,,,,,,,,,,,Budget_Name)</t>
  </si>
  <si>
    <t>=G61-H61</t>
  </si>
  <si>
    <t>=IF(G61=0,"-",IF(H61=0,"∞",(G61-H61)/H61))</t>
  </si>
  <si>
    <t>=SUBTOTAL(9,G60:G62)</t>
  </si>
  <si>
    <t>=SUBTOTAL(9,H60:H62)</t>
  </si>
  <si>
    <t>=G63-H63</t>
  </si>
  <si>
    <t>=IF(G63=0,"-",IF(H63=0,"∞",(G63-H63)/H63))</t>
  </si>
  <si>
    <t>=End_Date</t>
  </si>
  <si>
    <t>=$J$34</t>
  </si>
  <si>
    <t>=$J$49</t>
  </si>
  <si>
    <t>=$J$76</t>
  </si>
  <si>
    <t>=$J$82</t>
  </si>
  <si>
    <t>=$J$99</t>
  </si>
  <si>
    <t>1</t>
  </si>
  <si>
    <t>=NL("First","GL00102","ACCATDSC","ACCATNUM",C13)</t>
  </si>
  <si>
    <t>=SUBTOTAL(9,J14:J15)</t>
  </si>
  <si>
    <t>=GL("Rows","Accounts",,,,C13)</t>
  </si>
  <si>
    <t>=NL("First","GL00105","ACTNUMBR_1","ACTNUMST",E14)</t>
  </si>
  <si>
    <t>=NL("First","GL00105","ACTNUMBR_2","ACTNUMST",E14)</t>
  </si>
  <si>
    <t>=NL("First","GL00105","ACTNUMBR_3","ACTNUMST",E14)</t>
  </si>
  <si>
    <t>=NL("First","GL00100","ACTDESCR","ACTNUMBR_1",F14,"ACTNUMBR_2",G14,"ACTNUMBR_3",H14)</t>
  </si>
  <si>
    <t>=GL("Cell","Balance",E14,,End_Date)</t>
  </si>
  <si>
    <t>2</t>
  </si>
  <si>
    <t>=NL("First","GL00102","ACCATDSC","ACCATNUM",C16)</t>
  </si>
  <si>
    <t>=SUBTOTAL(9,J17:J18)</t>
  </si>
  <si>
    <t>=GL("Rows","Accounts",,,,C16)</t>
  </si>
  <si>
    <t>=NL("First","GL00105","ACTNUMBR_1","ACTNUMST",E17)</t>
  </si>
  <si>
    <t>=NL("First","GL00105","ACTNUMBR_2","ACTNUMST",E17)</t>
  </si>
  <si>
    <t>=NL("First","GL00105","ACTNUMBR_3","ACTNUMST",E17)</t>
  </si>
  <si>
    <t>=NL("First","GL00100","ACTDESCR","ACTNUMBR_1",F17,"ACTNUMBR_2",G17,"ACTNUMBR_3",H17)</t>
  </si>
  <si>
    <t>=GL("Cell","Balance",E17,,End_Date)</t>
  </si>
  <si>
    <t>3</t>
  </si>
  <si>
    <t>=NL("First","GL00102","ACCATDSC","ACCATNUM",C19)</t>
  </si>
  <si>
    <t>=SUBTOTAL(9,J20:J21)</t>
  </si>
  <si>
    <t>=GL("Rows","Accounts",,,,C19)</t>
  </si>
  <si>
    <t>=NL("First","GL00105","ACTNUMBR_1","ACTNUMST",E20)</t>
  </si>
  <si>
    <t>=NL("First","GL00105","ACTNUMBR_2","ACTNUMST",E20)</t>
  </si>
  <si>
    <t>=NL("First","GL00105","ACTNUMBR_3","ACTNUMST",E20)</t>
  </si>
  <si>
    <t>=NL("First","GL00100","ACTDESCR","ACTNUMBR_1",F20,"ACTNUMBR_2",G20,"ACTNUMBR_3",H20)</t>
  </si>
  <si>
    <t>=GL("Cell","Balance",E20,,End_Date)</t>
  </si>
  <si>
    <t>4</t>
  </si>
  <si>
    <t>=NL("First","GL00102","ACCATDSC","ACCATNUM",C22)</t>
  </si>
  <si>
    <t>=SUBTOTAL(9,J23:J24)</t>
  </si>
  <si>
    <t>=GL("Rows","Accounts",,,,C22)</t>
  </si>
  <si>
    <t>=NL("First","GL00105","ACTNUMBR_1","ACTNUMST",E23)</t>
  </si>
  <si>
    <t>=NL("First","GL00105","ACTNUMBR_2","ACTNUMST",E23)</t>
  </si>
  <si>
    <t>=NL("First","GL00105","ACTNUMBR_3","ACTNUMST",E23)</t>
  </si>
  <si>
    <t>=NL("First","GL00100","ACTDESCR","ACTNUMBR_1",F23,"ACTNUMBR_2",G23,"ACTNUMBR_3",H23)</t>
  </si>
  <si>
    <t>=GL("Cell","Balance",E23,,End_Date)</t>
  </si>
  <si>
    <t>5</t>
  </si>
  <si>
    <t>=NL("First","GL00102","ACCATDSC","ACCATNUM",C25)</t>
  </si>
  <si>
    <t>=SUBTOTAL(9,J26:J27)</t>
  </si>
  <si>
    <t>=GL("Rows","Accounts",,,,C25)</t>
  </si>
  <si>
    <t>=NL("First","GL00105","ACTNUMBR_1","ACTNUMST",E26)</t>
  </si>
  <si>
    <t>=NL("First","GL00105","ACTNUMBR_2","ACTNUMST",E26)</t>
  </si>
  <si>
    <t>=NL("First","GL00105","ACTNUMBR_3","ACTNUMST",E26)</t>
  </si>
  <si>
    <t>=NL("First","GL00100","ACTDESCR","ACTNUMBR_1",F26,"ACTNUMBR_2",G26,"ACTNUMBR_3",H26)</t>
  </si>
  <si>
    <t>=GL("Cell","Balance",E26,,End_Date)</t>
  </si>
  <si>
    <t>6</t>
  </si>
  <si>
    <t>=NL("First","GL00102","ACCATDSC","ACCATNUM",C28)</t>
  </si>
  <si>
    <t>=SUBTOTAL(9,J29:J30)</t>
  </si>
  <si>
    <t>=GL("Rows","Accounts",,,,C28)</t>
  </si>
  <si>
    <t>=NL("First","GL00105","ACTNUMBR_1","ACTNUMST",E29)</t>
  </si>
  <si>
    <t>=NL("First","GL00105","ACTNUMBR_2","ACTNUMST",E29)</t>
  </si>
  <si>
    <t>=NL("First","GL00105","ACTNUMBR_3","ACTNUMST",E29)</t>
  </si>
  <si>
    <t>=NL("First","GL00100","ACTDESCR","ACTNUMBR_1",F29,"ACTNUMBR_2",G29,"ACTNUMBR_3",H29)</t>
  </si>
  <si>
    <t>=GL("Cell","Balance",E29,,End_Date)</t>
  </si>
  <si>
    <t>7</t>
  </si>
  <si>
    <t>=NL("First","GL00102","ACCATDSC","ACCATNUM",C31)</t>
  </si>
  <si>
    <t>=SUBTOTAL(9,J32:J33)</t>
  </si>
  <si>
    <t>=GL("Rows","Accounts",,,,C31)</t>
  </si>
  <si>
    <t>=NL("First","GL00105","ACTNUMBR_1","ACTNUMST",E32)</t>
  </si>
  <si>
    <t>=NL("First","GL00105","ACTNUMBR_2","ACTNUMST",E32)</t>
  </si>
  <si>
    <t>=NL("First","GL00105","ACTNUMBR_3","ACTNUMST",E32)</t>
  </si>
  <si>
    <t>=NL("First","GL00100","ACTDESCR","ACTNUMBR_1",F32,"ACTNUMBR_2",G32,"ACTNUMBR_3",H32)</t>
  </si>
  <si>
    <t>=GL("Cell","Balance",E32,,End_Date)</t>
  </si>
  <si>
    <t>=SUBTOTAL(9,J13:J33)</t>
  </si>
  <si>
    <t>9</t>
  </si>
  <si>
    <t>=NL("First","GL00102","ACCATDSC","ACCATNUM",C37)</t>
  </si>
  <si>
    <t>=SUBTOTAL(9,J38:J39)</t>
  </si>
  <si>
    <t>=GL("Rows","Accounts",,,,C37)</t>
  </si>
  <si>
    <t>=NL("First","GL00105","ACTNUMBR_1","ACTNUMST",E38)</t>
  </si>
  <si>
    <t>=NL("First","GL00105","ACTNUMBR_2","ACTNUMST",E38)</t>
  </si>
  <si>
    <t>=NL("First","GL00105","ACTNUMBR_3","ACTNUMST",E38)</t>
  </si>
  <si>
    <t>=NL("First","GL00100","ACTDESCR","ACTNUMBR_1",F38,"ACTNUMBR_2",G38,"ACTNUMBR_3",H38)</t>
  </si>
  <si>
    <t>=GL("Cell","Balance",E38,,End_Date)</t>
  </si>
  <si>
    <t>10</t>
  </si>
  <si>
    <t>=NL("First","GL00102","ACCATDSC","ACCATNUM",C40)</t>
  </si>
  <si>
    <t>=SUBTOTAL(9,J41:J42)</t>
  </si>
  <si>
    <t>=GL("Rows","Accounts",,,,C40)</t>
  </si>
  <si>
    <t>=NL("First","GL00105","ACTNUMBR_1","ACTNUMST",E41)</t>
  </si>
  <si>
    <t>=NL("First","GL00105","ACTNUMBR_2","ACTNUMST",E41)</t>
  </si>
  <si>
    <t>=NL("First","GL00105","ACTNUMBR_3","ACTNUMST",E41)</t>
  </si>
  <si>
    <t>=NL("First","GL00100","ACTDESCR","ACTNUMBR_1",F41,"ACTNUMBR_2",G41,"ACTNUMBR_3",H41)</t>
  </si>
  <si>
    <t>=GL("Cell","Balance",E41,,End_Date)</t>
  </si>
  <si>
    <t>11</t>
  </si>
  <si>
    <t>=NL("First","GL00102","ACCATDSC","ACCATNUM",C43)</t>
  </si>
  <si>
    <t>=SUBTOTAL(9,J44:J45)</t>
  </si>
  <si>
    <t>=GL("Rows","Accounts",,,,C43)</t>
  </si>
  <si>
    <t>=NL("First","GL00105","ACTNUMBR_1","ACTNUMST",E44)</t>
  </si>
  <si>
    <t>=NL("First","GL00105","ACTNUMBR_2","ACTNUMST",E44)</t>
  </si>
  <si>
    <t>=NL("First","GL00105","ACTNUMBR_3","ACTNUMST",E44)</t>
  </si>
  <si>
    <t>=NL("First","GL00100","ACTDESCR","ACTNUMBR_1",F44,"ACTNUMBR_2",G44,"ACTNUMBR_3",H44)</t>
  </si>
  <si>
    <t>=GL("Cell","Balance",E44,,End_Date)</t>
  </si>
  <si>
    <t>12</t>
  </si>
  <si>
    <t>=NL("First","GL00102","ACCATDSC","ACCATNUM",C46)</t>
  </si>
  <si>
    <t>=SUBTOTAL(9,J47:J48)</t>
  </si>
  <si>
    <t>=GL("Rows","Accounts",,,,C46)</t>
  </si>
  <si>
    <t>=NL("First","GL00105","ACTNUMBR_1","ACTNUMST",E47)</t>
  </si>
  <si>
    <t>=NL("First","GL00105","ACTNUMBR_2","ACTNUMST",E47)</t>
  </si>
  <si>
    <t>=NL("First","GL00105","ACTNUMBR_3","ACTNUMST",E47)</t>
  </si>
  <si>
    <t>=NL("First","GL00100","ACTDESCR","ACTNUMBR_1",F47,"ACTNUMBR_2",G47,"ACTNUMBR_3",H47)</t>
  </si>
  <si>
    <t>=GL("Cell","Balance",E47,,End_Date)</t>
  </si>
  <si>
    <t>=SUBTOTAL(9,J37:J48)</t>
  </si>
  <si>
    <t>=SUBTOTAL(9,J13:J50)</t>
  </si>
  <si>
    <t>13</t>
  </si>
  <si>
    <t>=NL("First","GL00102","ACCATDSC","ACCATNUM",C57)</t>
  </si>
  <si>
    <t>=SUBTOTAL(9,J58:J59)</t>
  </si>
  <si>
    <t>=GL("Rows","Accounts",,,,C57)</t>
  </si>
  <si>
    <t>=NL("First","GL00105","ACTNUMBR_1","ACTNUMST",E58)</t>
  </si>
  <si>
    <t>=NL("First","GL00105","ACTNUMBR_2","ACTNUMST",E58)</t>
  </si>
  <si>
    <t>=NL("First","GL00105","ACTNUMBR_3","ACTNUMST",E58)</t>
  </si>
  <si>
    <t>=NL("First","GL00100","ACTDESCR","ACTNUMBR_1",F58,"ACTNUMBR_2",G58,"ACTNUMBR_3",H58)</t>
  </si>
  <si>
    <t>=-GL("Cell","Balance",E58,,End_Date)</t>
  </si>
  <si>
    <t>14</t>
  </si>
  <si>
    <t>=NL("First","GL00102","ACCATDSC","ACCATNUM",C60)</t>
  </si>
  <si>
    <t>=SUBTOTAL(9,J61:J62)</t>
  </si>
  <si>
    <t>=GL("Rows","Accounts",,,,C60)</t>
  </si>
  <si>
    <t>=NL("First","GL00105","ACTNUMBR_1","ACTNUMST",E61)</t>
  </si>
  <si>
    <t>=NL("First","GL00105","ACTNUMBR_2","ACTNUMST",E61)</t>
  </si>
  <si>
    <t>=NL("First","GL00105","ACTNUMBR_3","ACTNUMST",E61)</t>
  </si>
  <si>
    <t>=NL("First","GL00100","ACTDESCR","ACTNUMBR_1",F61,"ACTNUMBR_2",G61,"ACTNUMBR_3",H61)</t>
  </si>
  <si>
    <t>=-GL("Cell","Balance",E61,,End_Date)</t>
  </si>
  <si>
    <t>16</t>
  </si>
  <si>
    <t>=NL("First","GL00102","ACCATDSC","ACCATNUM",C63)</t>
  </si>
  <si>
    <t>=SUBTOTAL(9,J64:J65)</t>
  </si>
  <si>
    <t>=GL("Rows","Accounts",,,,C63)</t>
  </si>
  <si>
    <t>=NL("First","GL00105","ACTNUMBR_1","ACTNUMST",E64)</t>
  </si>
  <si>
    <t>=NL("First","GL00105","ACTNUMBR_2","ACTNUMST",E64)</t>
  </si>
  <si>
    <t>=NL("First","GL00105","ACTNUMBR_3","ACTNUMST",E64)</t>
  </si>
  <si>
    <t>=NL("First","GL00100","ACTDESCR","ACTNUMBR_1",F64,"ACTNUMBR_2",G64,"ACTNUMBR_3",H64)</t>
  </si>
  <si>
    <t>=-GL("Cell","Balance",E64,,End_Date)</t>
  </si>
  <si>
    <t>17</t>
  </si>
  <si>
    <t>=NL("First","GL00102","ACCATDSC","ACCATNUM",C66)</t>
  </si>
  <si>
    <t>=SUBTOTAL(9,J67:J68)</t>
  </si>
  <si>
    <t>=GL("Rows","Accounts",,,,C66)</t>
  </si>
  <si>
    <t>=NL("First","GL00105","ACTNUMBR_1","ACTNUMST",E67)</t>
  </si>
  <si>
    <t>=NL("First","GL00105","ACTNUMBR_2","ACTNUMST",E67)</t>
  </si>
  <si>
    <t>=NL("First","GL00105","ACTNUMBR_3","ACTNUMST",E67)</t>
  </si>
  <si>
    <t>=NL("First","GL00100","ACTDESCR","ACTNUMBR_1",F67,"ACTNUMBR_2",G67,"ACTNUMBR_3",H67)</t>
  </si>
  <si>
    <t>=-GL("Cell","Balance",E67,,End_Date)</t>
  </si>
  <si>
    <t>18</t>
  </si>
  <si>
    <t>=NL("First","GL00102","ACCATDSC","ACCATNUM",C69)</t>
  </si>
  <si>
    <t>=SUBTOTAL(9,J70:J71)</t>
  </si>
  <si>
    <t>=GL("Rows","Accounts",,,,C69)</t>
  </si>
  <si>
    <t>=NL("First","GL00105","ACTNUMBR_1","ACTNUMST",E70)</t>
  </si>
  <si>
    <t>=NL("First","GL00105","ACTNUMBR_2","ACTNUMST",E70)</t>
  </si>
  <si>
    <t>=NL("First","GL00105","ACTNUMBR_3","ACTNUMST",E70)</t>
  </si>
  <si>
    <t>=NL("First","GL00100","ACTDESCR","ACTNUMBR_1",F70,"ACTNUMBR_2",G70,"ACTNUMBR_3",H70)</t>
  </si>
  <si>
    <t>=-GL("Cell","Balance",E70,,End_Date)</t>
  </si>
  <si>
    <t>21</t>
  </si>
  <si>
    <t>=NL("First","GL00102","ACCATDSC","ACCATNUM",C72)</t>
  </si>
  <si>
    <t>=SUBTOTAL(9,J73:J74)</t>
  </si>
  <si>
    <t>=GL("Rows","Accounts",,,,C72)</t>
  </si>
  <si>
    <t>=NL("First","GL00105","ACTNUMBR_1","ACTNUMST",E73)</t>
  </si>
  <si>
    <t>=NL("First","GL00105","ACTNUMBR_2","ACTNUMST",E73)</t>
  </si>
  <si>
    <t>=NL("First","GL00105","ACTNUMBR_3","ACTNUMST",E73)</t>
  </si>
  <si>
    <t>=NL("First","GL00100","ACTDESCR","ACTNUMBR_1",F73,"ACTNUMBR_2",G73,"ACTNUMBR_3",H73)</t>
  </si>
  <si>
    <t>=-GL("Cell","Balance",E73,,End_Date)</t>
  </si>
  <si>
    <t>=SUBTOTAL(9,J57:J75)</t>
  </si>
  <si>
    <t>22</t>
  </si>
  <si>
    <t>=NL("First","GL00102","ACCATDSC","ACCATNUM",C79)</t>
  </si>
  <si>
    <t>=SUBTOTAL(9,J80:J81)</t>
  </si>
  <si>
    <t>=GL("Rows","Accounts",,,,C79)</t>
  </si>
  <si>
    <t>=NL("First","GL00105","ACTNUMBR_1","ACTNUMST",E80)</t>
  </si>
  <si>
    <t>=NL("First","GL00105","ACTNUMBR_2","ACTNUMST",E80)</t>
  </si>
  <si>
    <t>=NL("First","GL00105","ACTNUMBR_3","ACTNUMST",E80)</t>
  </si>
  <si>
    <t>=NL("First","GL00100","ACTDESCR","ACTNUMBR_1",F80,"ACTNUMBR_2",G80,"ACTNUMBR_3",H80)</t>
  </si>
  <si>
    <t>=-GL("Cell","Balance",E80,,End_Date)</t>
  </si>
  <si>
    <t>=SUBTOTAL(9,J79:J81)</t>
  </si>
  <si>
    <t>=J76+J82</t>
  </si>
  <si>
    <t>23</t>
  </si>
  <si>
    <t>=NL("First","GL00102","ACCATDSC","ACCATNUM",C88)</t>
  </si>
  <si>
    <t>=SUBTOTAL(9,J89:J90)</t>
  </si>
  <si>
    <t>=GL("Rows","Accounts",,,,C88)</t>
  </si>
  <si>
    <t>=NL("First","GL00105","ACTNUMBR_1","ACTNUMST",E89)</t>
  </si>
  <si>
    <t>=NL("First","GL00105","ACTNUMBR_2","ACTNUMST",E89)</t>
  </si>
  <si>
    <t>=NL("First","GL00105","ACTNUMBR_3","ACTNUMST",E89)</t>
  </si>
  <si>
    <t>=NL("First","GL00100","ACTDESCR","ACTNUMBR_1",F89,"ACTNUMBR_2",G89,"ACTNUMBR_3",H89)</t>
  </si>
  <si>
    <t>=-GL("Cell","Balance",E89,,End_Date)</t>
  </si>
  <si>
    <t>25</t>
  </si>
  <si>
    <t>=NL("First","GL00102","ACCATDSC","ACCATNUM",C91)</t>
  </si>
  <si>
    <t>=SUBTOTAL(9,J92:J93)</t>
  </si>
  <si>
    <t>=GL("Rows","Accounts",,,,C91)</t>
  </si>
  <si>
    <t>=NL("First","GL00105","ACTNUMBR_1","ACTNUMST",E92)</t>
  </si>
  <si>
    <t>=NL("First","GL00105","ACTNUMBR_2","ACTNUMST",E92)</t>
  </si>
  <si>
    <t>=NL("First","GL00105","ACTNUMBR_3","ACTNUMST",E92)</t>
  </si>
  <si>
    <t>=NL("First","GL00100","ACTDESCR","ACTNUMBR_1",F92,"ACTNUMBR_2",G92,"ACTNUMBR_3",H92)</t>
  </si>
  <si>
    <t>=-GL("Cell","Balance",E92,,End_Date)</t>
  </si>
  <si>
    <t>27</t>
  </si>
  <si>
    <t>=NL("First","GL00102","ACCATDSC","ACCATNUM",C94)</t>
  </si>
  <si>
    <t>=SUBTOTAL(9,J95:J98)</t>
  </si>
  <si>
    <t>=GL("Rows","Accounts",,,,C94)</t>
  </si>
  <si>
    <t>=NL("First","GL00105","ACTNUMBR_1","ACTNUMST",E95)</t>
  </si>
  <si>
    <t>=NL("First","GL00105","ACTNUMBR_2","ACTNUMST",E95)</t>
  </si>
  <si>
    <t>=NL("First","GL00105","ACTNUMBR_3","ACTNUMST",E95)</t>
  </si>
  <si>
    <t>=NL("First","GL00100","ACTDESCR","ACTNUMBR_1",F95,"ACTNUMBR_2",G95,"ACTNUMBR_3",H95)</t>
  </si>
  <si>
    <t>=-GL("Cell","Balance",E95,,End_Date)</t>
  </si>
  <si>
    <t>=-GL("Cell","Balance",,,End_Date,C97)</t>
  </si>
  <si>
    <t>=SUBTOTAL(9,J88:J98)</t>
  </si>
  <si>
    <t>=J85+J99</t>
  </si>
  <si>
    <t>=IF(J51=J101,"Hide","Show")</t>
  </si>
  <si>
    <t>=GL("Cell","Balance",,,End_Date,$C12)*$D12</t>
  </si>
  <si>
    <t>=GL("Cell","Balance",,,End_Date,$C13)*$D13</t>
  </si>
  <si>
    <t>=GL("Cell","Balance",,Start_Date,End_Date,$C13)*$D13</t>
  </si>
  <si>
    <t>=F13-(G13/2)</t>
  </si>
  <si>
    <t>=GL("Cell","Balance",,,End_Date,$C14)*$D14</t>
  </si>
  <si>
    <t>-1</t>
  </si>
  <si>
    <t>=GL("Cell","Balance",,,End_Date,$C15)*$D15</t>
  </si>
  <si>
    <t>=GL("Cell","Balance",,,End_Date,$C16)*$D16</t>
  </si>
  <si>
    <t>=GL("Cell","Balance",,,End_Date,$C17)*$D17</t>
  </si>
  <si>
    <t>=GL("Cell","Balance",,,End_Date,$C18)*$D18</t>
  </si>
  <si>
    <t>=GL("Cell","Balance",,Start_Date,End_Date,$C20)*$D20</t>
  </si>
  <si>
    <t>=GL("Cell","Balance",,,End_Date,$C21)*$D21</t>
  </si>
  <si>
    <t>=GL("Cell","Balance",,,End_Date,$C22)*$D22</t>
  </si>
  <si>
    <t>=GL("Cell","Balance",,,End_Date,$C23)*$D23</t>
  </si>
  <si>
    <t>=GL("Cell","Balance",,Start_Date,End_Date,$C26)*$D26</t>
  </si>
  <si>
    <t>=IF(Days_in_Period=365,G26,(365/(Days_in_Period)*G26))</t>
  </si>
  <si>
    <t>=GL("Cell","Balance",,Start_Date,End_Date,$C27)*$D27</t>
  </si>
  <si>
    <t>=GL("Cell","Balance",,Start_Date,End_Date,$C28)*$D28</t>
  </si>
  <si>
    <t>=GL("Cell","Balance",,Start_Date,End_Date,$C29)*$D29</t>
  </si>
  <si>
    <t>=GL("Cell","Balance",,Start_Date,End_Date,$C30)*$D30</t>
  </si>
  <si>
    <t>=GL("Cell","Balance",,Start_Date,End_Date,$C31)*$D31</t>
  </si>
  <si>
    <t>=IF(Days_in_Period=365,G31,(365/(Days_in_Period)*G31))</t>
  </si>
  <si>
    <t>=GL("Cell","Balance",,Start_Date,End_Date,$C32)*$D32</t>
  </si>
  <si>
    <t>=IF(Days_in_Period=365,G32,(365/(Days_in_Period)*G32))</t>
  </si>
  <si>
    <t>=GL("Cell","Balance",,Start_Date,End_Date,$C33)*$D33</t>
  </si>
  <si>
    <t>Auto</t>
  </si>
  <si>
    <t>=SUBTOTAL(9,G11:G55)</t>
  </si>
  <si>
    <t>=SUBTOTAL(9,H11:H55)</t>
  </si>
  <si>
    <t>="000-4110-01"</t>
  </si>
  <si>
    <t>=GL("Cell","AccountName",E12)</t>
  </si>
  <si>
    <t>=-GL("Cell","Balance",E12,Start_Date,End_Date)</t>
  </si>
  <si>
    <t>=-GL("Cell","Budget",E12,Start_Date,End_Date,,,,,,,,,,,,Budget_Name)</t>
  </si>
  <si>
    <t>=G12-H12</t>
  </si>
  <si>
    <t>=IF(G12=0,"-",IF(H12=0,"∞",(G12-H12)/H12))</t>
  </si>
  <si>
    <t>="000-4110-02"</t>
  </si>
  <si>
    <t>=GL("Cell","AccountName",E13)</t>
  </si>
  <si>
    <t>=-GL("Cell","Balance",E13,Start_Date,End_Date)</t>
  </si>
  <si>
    <t>=-GL("Cell","Budget",E13,Start_Date,End_Date,,,,,,,,,,,,Budget_Name)</t>
  </si>
  <si>
    <t>="000-4111-01"</t>
  </si>
  <si>
    <t>="000-4111-02"</t>
  </si>
  <si>
    <t>=GL("Cell","AccountName",E15)</t>
  </si>
  <si>
    <t>=-GL("Cell","Balance",E15,Start_Date,End_Date)</t>
  </si>
  <si>
    <t>=-GL("Cell","Budget",E15,Start_Date,End_Date,,,,,,,,,,,,Budget_Name)</t>
  </si>
  <si>
    <t>=G15-H15</t>
  </si>
  <si>
    <t>=IF(G15=0,"-",IF(H15=0,"∞",(G15-H15)/H15))</t>
  </si>
  <si>
    <t>="000-4112-01"</t>
  </si>
  <si>
    <t>=GL("Cell","AccountName",E16)</t>
  </si>
  <si>
    <t>=-GL("Cell","Balance",E16,Start_Date,End_Date)</t>
  </si>
  <si>
    <t>=-GL("Cell","Budget",E16,Start_Date,End_Date,,,,,,,,,,,,Budget_Name)</t>
  </si>
  <si>
    <t>="000-4112-02"</t>
  </si>
  <si>
    <t>=GL("Cell","AccountName",E17)</t>
  </si>
  <si>
    <t>=-GL("Cell","Balance",E17,Start_Date,End_Date)</t>
  </si>
  <si>
    <t>=-GL("Cell","Budget",E17,Start_Date,End_Date,,,,,,,,,,,,Budget_Name)</t>
  </si>
  <si>
    <t>=G17-H17</t>
  </si>
  <si>
    <t>=IF(G17=0,"-",IF(H17=0,"∞",(G17-H17)/H17))</t>
  </si>
  <si>
    <t>="000-4114-01"</t>
  </si>
  <si>
    <t>=GL("Cell","AccountName",E18)</t>
  </si>
  <si>
    <t>=-GL("Cell","Balance",E18,Start_Date,End_Date)</t>
  </si>
  <si>
    <t>=-GL("Cell","Budget",E18,Start_Date,End_Date,,,,,,,,,,,,Budget_Name)</t>
  </si>
  <si>
    <t>="000-4114-02"</t>
  </si>
  <si>
    <t>="000-4115-01"</t>
  </si>
  <si>
    <t>=GL("Cell","AccountName",E20)</t>
  </si>
  <si>
    <t>=-GL("Cell","Balance",E20,Start_Date,End_Date)</t>
  </si>
  <si>
    <t>=-GL("Cell","Budget",E20,Start_Date,End_Date,,,,,,,,,,,,Budget_Name)</t>
  </si>
  <si>
    <t>=G20-H20</t>
  </si>
  <si>
    <t>=IF(G20=0,"-",IF(H20=0,"∞",(G20-H20)/H20))</t>
  </si>
  <si>
    <t>="000-4115-02"</t>
  </si>
  <si>
    <t>=GL("Cell","AccountName",E21)</t>
  </si>
  <si>
    <t>=-GL("Cell","Balance",E21,Start_Date,End_Date)</t>
  </si>
  <si>
    <t>=-GL("Cell","Budget",E21,Start_Date,End_Date,,,,,,,,,,,,Budget_Name)</t>
  </si>
  <si>
    <t>="000-4116-01"</t>
  </si>
  <si>
    <t>=GL("Cell","AccountName",E22)</t>
  </si>
  <si>
    <t>=-GL("Cell","Balance",E22,Start_Date,End_Date)</t>
  </si>
  <si>
    <t>=-GL("Cell","Budget",E22,Start_Date,End_Date,,,,,,,,,,,,Budget_Name)</t>
  </si>
  <si>
    <t>=G22-H22</t>
  </si>
  <si>
    <t>=IF(G22=0,"-",IF(H22=0,"∞",(G22-H22)/H22))</t>
  </si>
  <si>
    <t>="000-4116-02"</t>
  </si>
  <si>
    <t>=GL("Cell","AccountName",E23)</t>
  </si>
  <si>
    <t>=-GL("Cell","Balance",E23,Start_Date,End_Date)</t>
  </si>
  <si>
    <t>=-GL("Cell","Budget",E23,Start_Date,End_Date,,,,,,,,,,,,Budget_Name)</t>
  </si>
  <si>
    <t>=G23-H23</t>
  </si>
  <si>
    <t>=IF(G23=0,"-",IF(H23=0,"∞",(G23-H23)/H23))</t>
  </si>
  <si>
    <t>="000-4117-01"</t>
  </si>
  <si>
    <t>=GL("Cell","AccountName",E24)</t>
  </si>
  <si>
    <t>=-GL("Cell","Balance",E24,Start_Date,End_Date)</t>
  </si>
  <si>
    <t>=-GL("Cell","Budget",E24,Start_Date,End_Date,,,,,,,,,,,,Budget_Name)</t>
  </si>
  <si>
    <t>=G24-H24</t>
  </si>
  <si>
    <t>=IF(G24=0,"-",IF(H24=0,"∞",(G24-H24)/H24))</t>
  </si>
  <si>
    <t>="000-4117-02"</t>
  </si>
  <si>
    <t>=GL("Cell","AccountName",E25)</t>
  </si>
  <si>
    <t>=-GL("Cell","Balance",E25,Start_Date,End_Date)</t>
  </si>
  <si>
    <t>=-GL("Cell","Budget",E25,Start_Date,End_Date,,,,,,,,,,,,Budget_Name)</t>
  </si>
  <si>
    <t>=G25-H25</t>
  </si>
  <si>
    <t>=IF(G25=0,"-",IF(H25=0,"∞",(G25-H25)/H25))</t>
  </si>
  <si>
    <t>="000-4120-00"</t>
  </si>
  <si>
    <t>=GL("Cell","AccountName",E26)</t>
  </si>
  <si>
    <t>=-GL("Cell","Balance",E26,Start_Date,End_Date)</t>
  </si>
  <si>
    <t>=-GL("Cell","Budget",E26,Start_Date,End_Date,,,,,,,,,,,,Budget_Name)</t>
  </si>
  <si>
    <t>="000-4121-00"</t>
  </si>
  <si>
    <t>="000-4122-00"</t>
  </si>
  <si>
    <t>=GL("Cell","AccountName",E28)</t>
  </si>
  <si>
    <t>=-GL("Cell","Balance",E28,Start_Date,End_Date)</t>
  </si>
  <si>
    <t>=-GL("Cell","Budget",E28,Start_Date,End_Date,,,,,,,,,,,,Budget_Name)</t>
  </si>
  <si>
    <t>=G28-H28</t>
  </si>
  <si>
    <t>=IF(G28=0,"-",IF(H28=0,"∞",(G28-H28)/H28))</t>
  </si>
  <si>
    <t>="000-4124-00"</t>
  </si>
  <si>
    <t>=GL("Cell","AccountName",E29)</t>
  </si>
  <si>
    <t>=-GL("Cell","Balance",E29,Start_Date,End_Date)</t>
  </si>
  <si>
    <t>=-GL("Cell","Budget",E29,Start_Date,End_Date,,,,,,,,,,,,Budget_Name)</t>
  </si>
  <si>
    <t>="000-4125-00"</t>
  </si>
  <si>
    <t>="000-4126-00"</t>
  </si>
  <si>
    <t>=GL("Cell","AccountName",E31)</t>
  </si>
  <si>
    <t>=-GL("Cell","Balance",E31,Start_Date,End_Date)</t>
  </si>
  <si>
    <t>=-GL("Cell","Budget",E31,Start_Date,End_Date,,,,,,,,,,,,Budget_Name)</t>
  </si>
  <si>
    <t>=G31-H31</t>
  </si>
  <si>
    <t>=IF(G31=0,"-",IF(H31=0,"∞",(G31-H31)/H31))</t>
  </si>
  <si>
    <t>="000-4127-00"</t>
  </si>
  <si>
    <t>=GL("Cell","AccountName",E32)</t>
  </si>
  <si>
    <t>=-GL("Cell","Balance",E32,Start_Date,End_Date)</t>
  </si>
  <si>
    <t>=-GL("Cell","Budget",E32,Start_Date,End_Date,,,,,,,,,,,,Budget_Name)</t>
  </si>
  <si>
    <t>="000-4130-00"</t>
  </si>
  <si>
    <t>="000-4131-00"</t>
  </si>
  <si>
    <t>=GL("Cell","AccountName",E34)</t>
  </si>
  <si>
    <t>=-GL("Cell","Balance",E34,Start_Date,End_Date)</t>
  </si>
  <si>
    <t>=-GL("Cell","Budget",E34,Start_Date,End_Date,,,,,,,,,,,,Budget_Name)</t>
  </si>
  <si>
    <t>=G34-H34</t>
  </si>
  <si>
    <t>=IF(G34=0,"-",IF(H34=0,"∞",(G34-H34)/H34))</t>
  </si>
  <si>
    <t>="000-4132-00"</t>
  </si>
  <si>
    <t>=GL("Cell","AccountName",E35)</t>
  </si>
  <si>
    <t>=-GL("Cell","Balance",E35,Start_Date,End_Date)</t>
  </si>
  <si>
    <t>=-GL("Cell","Budget",E35,Start_Date,End_Date,,,,,,,,,,,,Budget_Name)</t>
  </si>
  <si>
    <t>="000-4134-00"</t>
  </si>
  <si>
    <t>="000-4135-00"</t>
  </si>
  <si>
    <t>=GL("Cell","AccountName",E37)</t>
  </si>
  <si>
    <t>=-GL("Cell","Balance",E37,Start_Date,End_Date)</t>
  </si>
  <si>
    <t>=-GL("Cell","Budget",E37,Start_Date,End_Date,,,,,,,,,,,,Budget_Name)</t>
  </si>
  <si>
    <t>=G37-H37</t>
  </si>
  <si>
    <t>=IF(G37=0,"-",IF(H37=0,"∞",(G37-H37)/H37))</t>
  </si>
  <si>
    <t>="000-4136-00"</t>
  </si>
  <si>
    <t>=GL("Cell","AccountName",E38)</t>
  </si>
  <si>
    <t>=-GL("Cell","Balance",E38,Start_Date,End_Date)</t>
  </si>
  <si>
    <t>=-GL("Cell","Budget",E38,Start_Date,End_Date,,,,,,,,,,,,Budget_Name)</t>
  </si>
  <si>
    <t>="000-4137-00"</t>
  </si>
  <si>
    <t>="000-4140-00"</t>
  </si>
  <si>
    <t>=GL("Cell","AccountName",E40)</t>
  </si>
  <si>
    <t>=-GL("Cell","Balance",E40,Start_Date,End_Date)</t>
  </si>
  <si>
    <t>=-GL("Cell","Budget",E40,Start_Date,End_Date,,,,,,,,,,,,Budget_Name)</t>
  </si>
  <si>
    <t>=G40-H40</t>
  </si>
  <si>
    <t>=IF(G40=0,"-",IF(H40=0,"∞",(G40-H40)/H40))</t>
  </si>
  <si>
    <t>="000-4141-00"</t>
  </si>
  <si>
    <t>=GL("Cell","AccountName",E41)</t>
  </si>
  <si>
    <t>=-GL("Cell","Balance",E41,Start_Date,End_Date)</t>
  </si>
  <si>
    <t>=-GL("Cell","Budget",E41,Start_Date,End_Date,,,,,,,,,,,,Budget_Name)</t>
  </si>
  <si>
    <t>="000-4142-00"</t>
  </si>
  <si>
    <t>="000-4176-00"</t>
  </si>
  <si>
    <t>=GL("Cell","AccountName",E43)</t>
  </si>
  <si>
    <t>=-GL("Cell","Balance",E43,Start_Date,End_Date)</t>
  </si>
  <si>
    <t>=-GL("Cell","Budget",E43,Start_Date,End_Date,,,,,,,,,,,,Budget_Name)</t>
  </si>
  <si>
    <t>=G43-H43</t>
  </si>
  <si>
    <t>=IF(G43=0,"-",IF(H43=0,"∞",(G43-H43)/H43))</t>
  </si>
  <si>
    <t>="000-4177-00"</t>
  </si>
  <si>
    <t>=GL("Cell","AccountName",E44)</t>
  </si>
  <si>
    <t>=-GL("Cell","Balance",E44,Start_Date,End_Date)</t>
  </si>
  <si>
    <t>=-GL("Cell","Budget",E44,Start_Date,End_Date,,,,,,,,,,,,Budget_Name)</t>
  </si>
  <si>
    <t>="000-4178-00"</t>
  </si>
  <si>
    <t>=GL("Cell","AccountName",E45)</t>
  </si>
  <si>
    <t>=-GL("Cell","Balance",E45,Start_Date,End_Date)</t>
  </si>
  <si>
    <t>=-GL("Cell","Budget",E45,Start_Date,End_Date,,,,,,,,,,,,Budget_Name)</t>
  </si>
  <si>
    <t>="000-4179-00"</t>
  </si>
  <si>
    <t>=GL("Cell","AccountName",E46)</t>
  </si>
  <si>
    <t>=-GL("Cell","Balance",E46,Start_Date,End_Date)</t>
  </si>
  <si>
    <t>=-GL("Cell","Budget",E46,Start_Date,End_Date,,,,,,,,,,,,Budget_Name)</t>
  </si>
  <si>
    <t>=G46-H46</t>
  </si>
  <si>
    <t>=IF(G46=0,"-",IF(H46=0,"∞",(G46-H46)/H46))</t>
  </si>
  <si>
    <t>="000-4186-00"</t>
  </si>
  <si>
    <t>=GL("Cell","AccountName",E47)</t>
  </si>
  <si>
    <t>=-GL("Cell","Balance",E47,Start_Date,End_Date)</t>
  </si>
  <si>
    <t>=-GL("Cell","Budget",E47,Start_Date,End_Date,,,,,,,,,,,,Budget_Name)</t>
  </si>
  <si>
    <t>=G47-H47</t>
  </si>
  <si>
    <t>=IF(G47=0,"-",IF(H47=0,"∞",(G47-H47)/H47))</t>
  </si>
  <si>
    <t>="000-4187-00"</t>
  </si>
  <si>
    <t>=GL("Cell","AccountName",E48)</t>
  </si>
  <si>
    <t>=-GL("Cell","Balance",E48,Start_Date,End_Date)</t>
  </si>
  <si>
    <t>=-GL("Cell","Budget",E48,Start_Date,End_Date,,,,,,,,,,,,Budget_Name)</t>
  </si>
  <si>
    <t>=G48-H48</t>
  </si>
  <si>
    <t>=IF(G48=0,"-",IF(H48=0,"∞",(G48-H48)/H48))</t>
  </si>
  <si>
    <t>="000-4188-00"</t>
  </si>
  <si>
    <t>=GL("Cell","AccountName",E49)</t>
  </si>
  <si>
    <t>=-GL("Cell","Balance",E49,Start_Date,End_Date)</t>
  </si>
  <si>
    <t>=-GL("Cell","Budget",E49,Start_Date,End_Date,,,,,,,,,,,,Budget_Name)</t>
  </si>
  <si>
    <t>="000-4189-00"</t>
  </si>
  <si>
    <t>="000-4200-00"</t>
  </si>
  <si>
    <t>=GL("Cell","AccountName",E51)</t>
  </si>
  <si>
    <t>=-GL("Cell","Balance",E51,Start_Date,End_Date)</t>
  </si>
  <si>
    <t>=-GL("Cell","Budget",E51,Start_Date,End_Date,,,,,,,,,,,,Budget_Name)</t>
  </si>
  <si>
    <t>=G51-H51</t>
  </si>
  <si>
    <t>=IF(G51=0,"-",IF(H51=0,"∞",(G51-H51)/H51))</t>
  </si>
  <si>
    <t>="000-4210-01"</t>
  </si>
  <si>
    <t>=GL("Cell","AccountName",E52)</t>
  </si>
  <si>
    <t>=-GL("Cell","Balance",E52,Start_Date,End_Date)</t>
  </si>
  <si>
    <t>=-GL("Cell","Budget",E52,Start_Date,End_Date,,,,,,,,,,,,Budget_Name)</t>
  </si>
  <si>
    <t>="000-4280-01"</t>
  </si>
  <si>
    <t>="000-4500-01"</t>
  </si>
  <si>
    <t>=GL("Cell","AccountName",E54)</t>
  </si>
  <si>
    <t>=-GL("Cell","Balance",E54,Start_Date,End_Date)</t>
  </si>
  <si>
    <t>=-GL("Cell","Budget",E54,Start_Date,End_Date,,,,,,,,,,,,Budget_Name)</t>
  </si>
  <si>
    <t>=G54-H54</t>
  </si>
  <si>
    <t>=IF(G54=0,"-",IF(H54=0,"∞",(G54-H54)/H54))</t>
  </si>
  <si>
    <t>=NL("First","GL00102","ACCATDSC","ACCATNUM",B56)</t>
  </si>
  <si>
    <t>=SUBTOTAL(9,G57:G66)</t>
  </si>
  <si>
    <t>=SUBTOTAL(9,H57:H66)</t>
  </si>
  <si>
    <t>=GL("Rows","Accounts",,,,B56)</t>
  </si>
  <si>
    <t>=GL("Cell","AccountName",E57)</t>
  </si>
  <si>
    <t>=-GL("Cell","Balance",E57,Start_Date,End_Date)</t>
  </si>
  <si>
    <t>=-GL("Cell","Budget",E57,Start_Date,End_Date,,,,,,,,,,,,Budget_Name)</t>
  </si>
  <si>
    <t>=G57-H57</t>
  </si>
  <si>
    <t>=IF(G57=0,"-",IF(H57=0,"∞",(G57-H57)/H57))</t>
  </si>
  <si>
    <t>="000-4181-00"</t>
  </si>
  <si>
    <t>=GL("Cell","AccountName",E58)</t>
  </si>
  <si>
    <t>=-GL("Cell","Balance",E58,Start_Date,End_Date)</t>
  </si>
  <si>
    <t>=-GL("Cell","Budget",E58,Start_Date,End_Date,,,,,,,,,,,,Budget_Name)</t>
  </si>
  <si>
    <t>=G58-H58</t>
  </si>
  <si>
    <t>=IF(G58=0,"-",IF(H58=0,"∞",(G58-H58)/H58))</t>
  </si>
  <si>
    <t>="000-4182-00"</t>
  </si>
  <si>
    <t>=GL("Cell","AccountName",E59)</t>
  </si>
  <si>
    <t>=-GL("Cell","Balance",E59,Start_Date,End_Date)</t>
  </si>
  <si>
    <t>=-GL("Cell","Budget",E59,Start_Date,End_Date,,,,,,,,,,,,Budget_Name)</t>
  </si>
  <si>
    <t>=G59-H59</t>
  </si>
  <si>
    <t>=IF(G59=0,"-",IF(H59=0,"∞",(G59-H59)/H59))</t>
  </si>
  <si>
    <t>="000-4183-00"</t>
  </si>
  <si>
    <t>=GL("Cell","AccountName",E60)</t>
  </si>
  <si>
    <t>=-GL("Cell","Balance",E60,Start_Date,End_Date)</t>
  </si>
  <si>
    <t>=-GL("Cell","Budget",E60,Start_Date,End_Date,,,,,,,,,,,,Budget_Name)</t>
  </si>
  <si>
    <t>="000-4184-00"</t>
  </si>
  <si>
    <t>="000-4185-00"</t>
  </si>
  <si>
    <t>=GL("Cell","AccountName",E62)</t>
  </si>
  <si>
    <t>=-GL("Cell","Balance",E62,Start_Date,End_Date)</t>
  </si>
  <si>
    <t>=-GL("Cell","Budget",E62,Start_Date,End_Date,,,,,,,,,,,,Budget_Name)</t>
  </si>
  <si>
    <t>=G62-H62</t>
  </si>
  <si>
    <t>=IF(G62=0,"-",IF(H62=0,"∞",(G62-H62)/H62))</t>
  </si>
  <si>
    <t>="000-4190-00"</t>
  </si>
  <si>
    <t>=GL("Cell","AccountName",E63)</t>
  </si>
  <si>
    <t>=-GL("Cell","Balance",E63,Start_Date,End_Date)</t>
  </si>
  <si>
    <t>=-GL("Cell","Budget",E63,Start_Date,End_Date,,,,,,,,,,,,Budget_Name)</t>
  </si>
  <si>
    <t>="000-4191-00"</t>
  </si>
  <si>
    <t>=GL("Cell","AccountName",E64)</t>
  </si>
  <si>
    <t>=-GL("Cell","Balance",E64,Start_Date,End_Date)</t>
  </si>
  <si>
    <t>=-GL("Cell","Budget",E64,Start_Date,End_Date,,,,,,,,,,,,Budget_Name)</t>
  </si>
  <si>
    <t>=G64-H64</t>
  </si>
  <si>
    <t>=IF(G64=0,"-",IF(H64=0,"∞",(G64-H64)/H64))</t>
  </si>
  <si>
    <t>="000-4192-00"</t>
  </si>
  <si>
    <t>=GL("Cell","AccountName",E65)</t>
  </si>
  <si>
    <t>=-GL("Cell","Balance",E65,Start_Date,End_Date)</t>
  </si>
  <si>
    <t>=-GL("Cell","Budget",E65,Start_Date,End_Date,,,,,,,,,,,,Budget_Name)</t>
  </si>
  <si>
    <t>=G65-H65</t>
  </si>
  <si>
    <t>=IF(G65=0,"-",IF(H65=0,"∞",(G65-H65)/H65))</t>
  </si>
  <si>
    <t>=SUBTOTAL(9,G10:G66)</t>
  </si>
  <si>
    <t>=SUBTOTAL(9,H10:H66)</t>
  </si>
  <si>
    <t>=G67-H67</t>
  </si>
  <si>
    <t>=IF(G67=0,"-",IF(H67=0,"∞",(G67-H67)/H67))</t>
  </si>
  <si>
    <t>=NL("First","GL00102","ACCATDSC","ACCATNUM",B69)</t>
  </si>
  <si>
    <t>=SUBTOTAL(9,G70:G87)</t>
  </si>
  <si>
    <t>=SUBTOTAL(9,H70:H87)</t>
  </si>
  <si>
    <t>=G69-H69</t>
  </si>
  <si>
    <t>=IF(G69=0,"-",IF(H69=0,"∞",(G69-H69)/H69))</t>
  </si>
  <si>
    <t>=GL("Rows","Accounts",,,,B69)</t>
  </si>
  <si>
    <t>=GL("Cell","AccountName",E70)</t>
  </si>
  <si>
    <t>=-GL("Cell","Balance",E70,Start_Date,End_Date)</t>
  </si>
  <si>
    <t>=-GL("Cell","Budget",E70,Start_Date,End_Date,,,,,,,,,,,,Budget_Name)</t>
  </si>
  <si>
    <t>=G70-H70</t>
  </si>
  <si>
    <t>=IF(G70=0,"-",IF(H70=0,"∞",(G70-H70)/H70))</t>
  </si>
  <si>
    <t>="000-4510-02"</t>
  </si>
  <si>
    <t>=GL("Cell","AccountName",E71)</t>
  </si>
  <si>
    <t>=-GL("Cell","Balance",E71,Start_Date,End_Date)</t>
  </si>
  <si>
    <t>=-GL("Cell","Budget",E71,Start_Date,End_Date,,,,,,,,,,,,Budget_Name)</t>
  </si>
  <si>
    <t>=G71-H71</t>
  </si>
  <si>
    <t>=IF(G71=0,"-",IF(H71=0,"∞",(G71-H71)/H71))</t>
  </si>
  <si>
    <t>="000-4520-01"</t>
  </si>
  <si>
    <t>=GL("Cell","AccountName",E72)</t>
  </si>
  <si>
    <t>=-GL("Cell","Balance",E72,Start_Date,End_Date)</t>
  </si>
  <si>
    <t>=-GL("Cell","Budget",E72,Start_Date,End_Date,,,,,,,,,,,,Budget_Name)</t>
  </si>
  <si>
    <t>=G72-H72</t>
  </si>
  <si>
    <t>=IF(G72=0,"-",IF(H72=0,"∞",(G72-H72)/H72))</t>
  </si>
  <si>
    <t>="000-4520-02"</t>
  </si>
  <si>
    <t>=GL("Cell","AccountName",E73)</t>
  </si>
  <si>
    <t>=-GL("Cell","Balance",E73,Start_Date,End_Date)</t>
  </si>
  <si>
    <t>=-GL("Cell","Budget",E73,Start_Date,End_Date,,,,,,,,,,,,Budget_Name)</t>
  </si>
  <si>
    <t>=G73-H73</t>
  </si>
  <si>
    <t>=IF(G73=0,"-",IF(H73=0,"∞",(G73-H73)/H73))</t>
  </si>
  <si>
    <t>="000-4520-03"</t>
  </si>
  <si>
    <t>=GL("Cell","AccountName",E74)</t>
  </si>
  <si>
    <t>=-GL("Cell","Balance",E74,Start_Date,End_Date)</t>
  </si>
  <si>
    <t>=-GL("Cell","Budget",E74,Start_Date,End_Date,,,,,,,,,,,,Budget_Name)</t>
  </si>
  <si>
    <t>=G74-H74</t>
  </si>
  <si>
    <t>=IF(G74=0,"-",IF(H74=0,"∞",(G74-H74)/H74))</t>
  </si>
  <si>
    <t>="000-4520-04"</t>
  </si>
  <si>
    <t>=GL("Cell","AccountName",E75)</t>
  </si>
  <si>
    <t>=-GL("Cell","Balance",E75,Start_Date,End_Date)</t>
  </si>
  <si>
    <t>=-GL("Cell","Budget",E75,Start_Date,End_Date,,,,,,,,,,,,Budget_Name)</t>
  </si>
  <si>
    <t>=G75-H75</t>
  </si>
  <si>
    <t>=IF(G75=0,"-",IF(H75=0,"∞",(G75-H75)/H75))</t>
  </si>
  <si>
    <t>="000-4520-05"</t>
  </si>
  <si>
    <t>=GL("Cell","AccountName",E76)</t>
  </si>
  <si>
    <t>=-GL("Cell","Balance",E76,Start_Date,End_Date)</t>
  </si>
  <si>
    <t>=-GL("Cell","Budget",E76,Start_Date,End_Date,,,,,,,,,,,,Budget_Name)</t>
  </si>
  <si>
    <t>=G76-H76</t>
  </si>
  <si>
    <t>=IF(G76=0,"-",IF(H76=0,"∞",(G76-H76)/H76))</t>
  </si>
  <si>
    <t>="000-4520-06"</t>
  </si>
  <si>
    <t>=GL("Cell","AccountName",E77)</t>
  </si>
  <si>
    <t>=-GL("Cell","Balance",E77,Start_Date,End_Date)</t>
  </si>
  <si>
    <t>=-GL("Cell","Budget",E77,Start_Date,End_Date,,,,,,,,,,,,Budget_Name)</t>
  </si>
  <si>
    <t>=G77-H77</t>
  </si>
  <si>
    <t>=IF(G77=0,"-",IF(H77=0,"∞",(G77-H77)/H77))</t>
  </si>
  <si>
    <t>="000-4520-07"</t>
  </si>
  <si>
    <t>=GL("Cell","AccountName",E78)</t>
  </si>
  <si>
    <t>=-GL("Cell","Balance",E78,Start_Date,End_Date)</t>
  </si>
  <si>
    <t>=-GL("Cell","Budget",E78,Start_Date,End_Date,,,,,,,,,,,,Budget_Name)</t>
  </si>
  <si>
    <t>=G78-H78</t>
  </si>
  <si>
    <t>=IF(G78=0,"-",IF(H78=0,"∞",(G78-H78)/H78))</t>
  </si>
  <si>
    <t>="000-4520-08"</t>
  </si>
  <si>
    <t>=GL("Cell","AccountName",E79)</t>
  </si>
  <si>
    <t>=-GL("Cell","Balance",E79,Start_Date,End_Date)</t>
  </si>
  <si>
    <t>=-GL("Cell","Budget",E79,Start_Date,End_Date,,,,,,,,,,,,Budget_Name)</t>
  </si>
  <si>
    <t>=G79-H79</t>
  </si>
  <si>
    <t>=IF(G79=0,"-",IF(H79=0,"∞",(G79-H79)/H79))</t>
  </si>
  <si>
    <t>="000-4520-09"</t>
  </si>
  <si>
    <t>=GL("Cell","AccountName",E80)</t>
  </si>
  <si>
    <t>=-GL("Cell","Balance",E80,Start_Date,End_Date)</t>
  </si>
  <si>
    <t>=-GL("Cell","Budget",E80,Start_Date,End_Date,,,,,,,,,,,,Budget_Name)</t>
  </si>
  <si>
    <t>=G80-H80</t>
  </si>
  <si>
    <t>=IF(G80=0,"-",IF(H80=0,"∞",(G80-H80)/H80))</t>
  </si>
  <si>
    <t>="000-4530-01"</t>
  </si>
  <si>
    <t>=GL("Cell","AccountName",E81)</t>
  </si>
  <si>
    <t>=-GL("Cell","Balance",E81,Start_Date,End_Date)</t>
  </si>
  <si>
    <t>=-GL("Cell","Budget",E81,Start_Date,End_Date,,,,,,,,,,,,Budget_Name)</t>
  </si>
  <si>
    <t>=G81-H81</t>
  </si>
  <si>
    <t>=IF(G81=0,"-",IF(H81=0,"∞",(G81-H81)/H81))</t>
  </si>
  <si>
    <t>="000-4600-00"</t>
  </si>
  <si>
    <t>=GL("Cell","AccountName",E82)</t>
  </si>
  <si>
    <t>=-GL("Cell","Balance",E82,Start_Date,End_Date)</t>
  </si>
  <si>
    <t>=-GL("Cell","Budget",E82,Start_Date,End_Date,,,,,,,,,,,,Budget_Name)</t>
  </si>
  <si>
    <t>=G82-H82</t>
  </si>
  <si>
    <t>=IF(G82=0,"-",IF(H82=0,"∞",(G82-H82)/H82))</t>
  </si>
  <si>
    <t>="000-4601-00"</t>
  </si>
  <si>
    <t>=GL("Cell","AccountName",E83)</t>
  </si>
  <si>
    <t>=-GL("Cell","Balance",E83,Start_Date,End_Date)</t>
  </si>
  <si>
    <t>=-GL("Cell","Budget",E83,Start_Date,End_Date,,,,,,,,,,,,Budget_Name)</t>
  </si>
  <si>
    <t>=G83-H83</t>
  </si>
  <si>
    <t>=IF(G83=0,"-",IF(H83=0,"∞",(G83-H83)/H83))</t>
  </si>
  <si>
    <t>="000-4700-00"</t>
  </si>
  <si>
    <t>=GL("Cell","AccountName",E84)</t>
  </si>
  <si>
    <t>=-GL("Cell","Balance",E84,Start_Date,End_Date)</t>
  </si>
  <si>
    <t>=-GL("Cell","Budget",E84,Start_Date,End_Date,,,,,,,,,,,,Budget_Name)</t>
  </si>
  <si>
    <t>=G84-H84</t>
  </si>
  <si>
    <t>=IF(G84=0,"-",IF(H84=0,"∞",(G84-H84)/H84))</t>
  </si>
  <si>
    <t>="000-4710-00"</t>
  </si>
  <si>
    <t>=GL("Cell","AccountName",E85)</t>
  </si>
  <si>
    <t>=-GL("Cell","Balance",E85,Start_Date,End_Date)</t>
  </si>
  <si>
    <t>=-GL("Cell","Budget",E85,Start_Date,End_Date,,,,,,,,,,,,Budget_Name)</t>
  </si>
  <si>
    <t>=G85-H85</t>
  </si>
  <si>
    <t>=IF(G85=0,"-",IF(H85=0,"∞",(G85-H85)/H85))</t>
  </si>
  <si>
    <t>="000-4720-00"</t>
  </si>
  <si>
    <t>=GL("Cell","AccountName",E86)</t>
  </si>
  <si>
    <t>=-GL("Cell","Balance",E86,Start_Date,End_Date)</t>
  </si>
  <si>
    <t>=-GL("Cell","Budget",E86,Start_Date,End_Date,,,,,,,,,,,,Budget_Name)</t>
  </si>
  <si>
    <t>=G86-H86</t>
  </si>
  <si>
    <t>=IF(G86=0,"-",IF(H86=0,"∞",(G86-H86)/H86))</t>
  </si>
  <si>
    <t>=SUBTOTAL(9,G10:G87)</t>
  </si>
  <si>
    <t>=SUBTOTAL(9,H10:H87)</t>
  </si>
  <si>
    <t>=G88-H88</t>
  </si>
  <si>
    <t>=IF(G88=0,"-",IF(H88=0,"∞",(G88-H88)/H88))</t>
  </si>
  <si>
    <t>=IFERROR(G67/(G67-G88),"")</t>
  </si>
  <si>
    <t>=IFERROR(H67/(H67-H88),"")</t>
  </si>
  <si>
    <t>=NL("First","GL00102","ACCATDSC","ACCATNUM",B93)</t>
  </si>
  <si>
    <t>=SUBTOTAL(9,G94:G95)</t>
  </si>
  <si>
    <t>=SUBTOTAL(9,H94:H95)</t>
  </si>
  <si>
    <t>=G93-H93</t>
  </si>
  <si>
    <t>=IF(G93=0,"-",IF(H93=0,"∞",(G93-H93)/H93))</t>
  </si>
  <si>
    <t>=GL("Rows","Accounts",,,,B93)</t>
  </si>
  <si>
    <t>=GL("Cell","AccountName",E94)</t>
  </si>
  <si>
    <t>=-GL("Cell","Balance",E94,Start_Date,End_Date)</t>
  </si>
  <si>
    <t>=-GL("Cell","Budget",E94,Start_Date,End_Date,,,,,,,,,,,,Budget_Name)</t>
  </si>
  <si>
    <t>=G94-H94</t>
  </si>
  <si>
    <t>=IF(G94=0,"-",IF(H94=0,"∞",(G94-H94)/H94))</t>
  </si>
  <si>
    <t>=NL("First","GL00102","ACCATDSC","ACCATNUM",B96)</t>
  </si>
  <si>
    <t>=SUBTOTAL(9,G97:G194)</t>
  </si>
  <si>
    <t>=SUBTOTAL(9,H97:H194)</t>
  </si>
  <si>
    <t>=G96-H96</t>
  </si>
  <si>
    <t>=IF(G96=0,"-",IF(H96=0,"∞",(G96-H96)/H96))</t>
  </si>
  <si>
    <t>=GL("Rows","Accounts",,,,B96)</t>
  </si>
  <si>
    <t>=GL("Cell","AccountName",E97)</t>
  </si>
  <si>
    <t>=-GL("Cell","Balance",E97,Start_Date,End_Date)</t>
  </si>
  <si>
    <t>=-GL("Cell","Budget",E97,Start_Date,End_Date,,,,,,,,,,,,Budget_Name)</t>
  </si>
  <si>
    <t>=G97-H97</t>
  </si>
  <si>
    <t>=IF(G97=0,"-",IF(H97=0,"∞",(G97-H97)/H97))</t>
  </si>
  <si>
    <t>="000-6170-05"</t>
  </si>
  <si>
    <t>=GL("Cell","AccountName",E98)</t>
  </si>
  <si>
    <t>=-GL("Cell","Balance",E98,Start_Date,End_Date)</t>
  </si>
  <si>
    <t>=-GL("Cell","Budget",E98,Start_Date,End_Date,,,,,,,,,,,,Budget_Name)</t>
  </si>
  <si>
    <t>=G98-H98</t>
  </si>
  <si>
    <t>=IF(G98=0,"-",IF(H98=0,"∞",(G98-H98)/H98))</t>
  </si>
  <si>
    <t>="000-6400-00"</t>
  </si>
  <si>
    <t>=GL("Cell","AccountName",E99)</t>
  </si>
  <si>
    <t>=-GL("Cell","Balance",E99,Start_Date,End_Date)</t>
  </si>
  <si>
    <t>=-GL("Cell","Budget",E99,Start_Date,End_Date,,,,,,,,,,,,Budget_Name)</t>
  </si>
  <si>
    <t>=G99-H99</t>
  </si>
  <si>
    <t>=IF(G99=0,"-",IF(H99=0,"∞",(G99-H99)/H99))</t>
  </si>
  <si>
    <t>="000-6410-00"</t>
  </si>
  <si>
    <t>=GL("Cell","AccountName",E100)</t>
  </si>
  <si>
    <t>=-GL("Cell","Balance",E100,Start_Date,End_Date)</t>
  </si>
  <si>
    <t>=-GL("Cell","Budget",E100,Start_Date,End_Date,,,,,,,,,,,,Budget_Name)</t>
  </si>
  <si>
    <t>=G100-H100</t>
  </si>
  <si>
    <t>=IF(G100=0,"-",IF(H100=0,"∞",(G100-H100)/H100))</t>
  </si>
  <si>
    <t>="000-6420-00"</t>
  </si>
  <si>
    <t>=GL("Cell","AccountName",E101)</t>
  </si>
  <si>
    <t>=-GL("Cell","Balance",E101,Start_Date,End_Date)</t>
  </si>
  <si>
    <t>=-GL("Cell","Budget",E101,Start_Date,End_Date,,,,,,,,,,,,Budget_Name)</t>
  </si>
  <si>
    <t>=G101-H101</t>
  </si>
  <si>
    <t>=IF(G101=0,"-",IF(H101=0,"∞",(G101-H101)/H101))</t>
  </si>
  <si>
    <t>="000-6430-00"</t>
  </si>
  <si>
    <t>=GL("Cell","AccountName",E102)</t>
  </si>
  <si>
    <t>=-GL("Cell","Balance",E102,Start_Date,End_Date)</t>
  </si>
  <si>
    <t>=-GL("Cell","Budget",E102,Start_Date,End_Date,,,,,,,,,,,,Budget_Name)</t>
  </si>
  <si>
    <t>=G102-H102</t>
  </si>
  <si>
    <t>=IF(G102=0,"-",IF(H102=0,"∞",(G102-H102)/H102))</t>
  </si>
  <si>
    <t>="000-6500-04"</t>
  </si>
  <si>
    <t>=GL("Cell","AccountName",E103)</t>
  </si>
  <si>
    <t>=-GL("Cell","Balance",E103,Start_Date,End_Date)</t>
  </si>
  <si>
    <t>=-GL("Cell","Budget",E103,Start_Date,End_Date,,,,,,,,,,,,Budget_Name)</t>
  </si>
  <si>
    <t>=G103-H103</t>
  </si>
  <si>
    <t>=IF(G103=0,"-",IF(H103=0,"∞",(G103-H103)/H103))</t>
  </si>
  <si>
    <t>="000-6500-05"</t>
  </si>
  <si>
    <t>=GL("Cell","AccountName",E104)</t>
  </si>
  <si>
    <t>=-GL("Cell","Balance",E104,Start_Date,End_Date)</t>
  </si>
  <si>
    <t>=-GL("Cell","Budget",E104,Start_Date,End_Date,,,,,,,,,,,,Budget_Name)</t>
  </si>
  <si>
    <t>=G104-H104</t>
  </si>
  <si>
    <t>=IF(G104=0,"-",IF(H104=0,"∞",(G104-H104)/H104))</t>
  </si>
  <si>
    <t>="000-6600-00"</t>
  </si>
  <si>
    <t>=GL("Cell","AccountName",E105)</t>
  </si>
  <si>
    <t>=-GL("Cell","Balance",E105,Start_Date,End_Date)</t>
  </si>
  <si>
    <t>=-GL("Cell","Budget",E105,Start_Date,End_Date,,,,,,,,,,,,Budget_Name)</t>
  </si>
  <si>
    <t>=G105-H105</t>
  </si>
  <si>
    <t>=IF(G105=0,"-",IF(H105=0,"∞",(G105-H105)/H105))</t>
  </si>
  <si>
    <t>="000-6610-00"</t>
  </si>
  <si>
    <t>=GL("Cell","AccountName",E106)</t>
  </si>
  <si>
    <t>=-GL("Cell","Balance",E106,Start_Date,End_Date)</t>
  </si>
  <si>
    <t>=-GL("Cell","Budget",E106,Start_Date,End_Date,,,,,,,,,,,,Budget_Name)</t>
  </si>
  <si>
    <t>=G106-H106</t>
  </si>
  <si>
    <t>=IF(G106=0,"-",IF(H106=0,"∞",(G106-H106)/H106))</t>
  </si>
  <si>
    <t>="000-6620-00"</t>
  </si>
  <si>
    <t>=GL("Cell","AccountName",E107)</t>
  </si>
  <si>
    <t>=-GL("Cell","Balance",E107,Start_Date,End_Date)</t>
  </si>
  <si>
    <t>=-GL("Cell","Budget",E107,Start_Date,End_Date,,,,,,,,,,,,Budget_Name)</t>
  </si>
  <si>
    <t>=G107-H107</t>
  </si>
  <si>
    <t>=IF(G107=0,"-",IF(H107=0,"∞",(G107-H107)/H107))</t>
  </si>
  <si>
    <t>="000-6700-00"</t>
  </si>
  <si>
    <t>=GL("Cell","AccountName",E108)</t>
  </si>
  <si>
    <t>=-GL("Cell","Balance",E108,Start_Date,End_Date)</t>
  </si>
  <si>
    <t>=-GL("Cell","Budget",E108,Start_Date,End_Date,,,,,,,,,,,,Budget_Name)</t>
  </si>
  <si>
    <t>=G108-H108</t>
  </si>
  <si>
    <t>=IF(G108=0,"-",IF(H108=0,"∞",(G108-H108)/H108))</t>
  </si>
  <si>
    <t>="000-6701-00"</t>
  </si>
  <si>
    <t>=GL("Cell","AccountName",E109)</t>
  </si>
  <si>
    <t>=-GL("Cell","Balance",E109,Start_Date,End_Date)</t>
  </si>
  <si>
    <t>=-GL("Cell","Budget",E109,Start_Date,End_Date,,,,,,,,,,,,Budget_Name)</t>
  </si>
  <si>
    <t>=G109-H109</t>
  </si>
  <si>
    <t>=IF(G109=0,"-",IF(H109=0,"∞",(G109-H109)/H109))</t>
  </si>
  <si>
    <t>="000-6710-00"</t>
  </si>
  <si>
    <t>=GL("Cell","AccountName",E110)</t>
  </si>
  <si>
    <t>=-GL("Cell","Balance",E110,Start_Date,End_Date)</t>
  </si>
  <si>
    <t>=-GL("Cell","Budget",E110,Start_Date,End_Date,,,,,,,,,,,,Budget_Name)</t>
  </si>
  <si>
    <t>=G110-H110</t>
  </si>
  <si>
    <t>=IF(G110=0,"-",IF(H110=0,"∞",(G110-H110)/H110))</t>
  </si>
  <si>
    <t>="000-6720-00"</t>
  </si>
  <si>
    <t>=GL("Cell","AccountName",E111)</t>
  </si>
  <si>
    <t>=-GL("Cell","Balance",E111,Start_Date,End_Date)</t>
  </si>
  <si>
    <t>=-GL("Cell","Budget",E111,Start_Date,End_Date,,,,,,,,,,,,Budget_Name)</t>
  </si>
  <si>
    <t>=G111-H111</t>
  </si>
  <si>
    <t>=IF(G111=0,"-",IF(H111=0,"∞",(G111-H111)/H111))</t>
  </si>
  <si>
    <t>="000-6730-00"</t>
  </si>
  <si>
    <t>=GL("Cell","AccountName",E112)</t>
  </si>
  <si>
    <t>=-GL("Cell","Balance",E112,Start_Date,End_Date)</t>
  </si>
  <si>
    <t>=-GL("Cell","Budget",E112,Start_Date,End_Date,,,,,,,,,,,,Budget_Name)</t>
  </si>
  <si>
    <t>=G112-H112</t>
  </si>
  <si>
    <t>=IF(G112=0,"-",IF(H112=0,"∞",(G112-H112)/H112))</t>
  </si>
  <si>
    <t>="000-6740-00"</t>
  </si>
  <si>
    <t>=GL("Cell","AccountName",E113)</t>
  </si>
  <si>
    <t>=-GL("Cell","Balance",E113,Start_Date,End_Date)</t>
  </si>
  <si>
    <t>=-GL("Cell","Budget",E113,Start_Date,End_Date,,,,,,,,,,,,Budget_Name)</t>
  </si>
  <si>
    <t>=G113-H113</t>
  </si>
  <si>
    <t>=IF(G113=0,"-",IF(H113=0,"∞",(G113-H113)/H113))</t>
  </si>
  <si>
    <t>="000-6750-00"</t>
  </si>
  <si>
    <t>=GL("Cell","AccountName",E114)</t>
  </si>
  <si>
    <t>=-GL("Cell","Balance",E114,Start_Date,End_Date)</t>
  </si>
  <si>
    <t>=-GL("Cell","Budget",E114,Start_Date,End_Date,,,,,,,,,,,,Budget_Name)</t>
  </si>
  <si>
    <t>=G114-H114</t>
  </si>
  <si>
    <t>=IF(G114=0,"-",IF(H114=0,"∞",(G114-H114)/H114))</t>
  </si>
  <si>
    <t>="000-6760-00"</t>
  </si>
  <si>
    <t>=GL("Cell","AccountName",E115)</t>
  </si>
  <si>
    <t>=-GL("Cell","Balance",E115,Start_Date,End_Date)</t>
  </si>
  <si>
    <t>=-GL("Cell","Budget",E115,Start_Date,End_Date,,,,,,,,,,,,Budget_Name)</t>
  </si>
  <si>
    <t>=G115-H115</t>
  </si>
  <si>
    <t>=IF(G115=0,"-",IF(H115=0,"∞",(G115-H115)/H115))</t>
  </si>
  <si>
    <t>="000-6770-00"</t>
  </si>
  <si>
    <t>=GL("Cell","AccountName",E116)</t>
  </si>
  <si>
    <t>=-GL("Cell","Balance",E116,Start_Date,End_Date)</t>
  </si>
  <si>
    <t>=-GL("Cell","Budget",E116,Start_Date,End_Date,,,,,,,,,,,,Budget_Name)</t>
  </si>
  <si>
    <t>=G116-H116</t>
  </si>
  <si>
    <t>=IF(G116=0,"-",IF(H116=0,"∞",(G116-H116)/H116))</t>
  </si>
  <si>
    <t>="000-6790-00"</t>
  </si>
  <si>
    <t>=GL("Cell","AccountName",E117)</t>
  </si>
  <si>
    <t>=-GL("Cell","Balance",E117,Start_Date,End_Date)</t>
  </si>
  <si>
    <t>=-GL("Cell","Budget",E117,Start_Date,End_Date,,,,,,,,,,,,Budget_Name)</t>
  </si>
  <si>
    <t>=G117-H117</t>
  </si>
  <si>
    <t>=IF(G117=0,"-",IF(H117=0,"∞",(G117-H117)/H117))</t>
  </si>
  <si>
    <t>="100-6110-00"</t>
  </si>
  <si>
    <t>=GL("Cell","AccountName",E118)</t>
  </si>
  <si>
    <t>=-GL("Cell","Balance",E118,Start_Date,End_Date)</t>
  </si>
  <si>
    <t>=-GL("Cell","Budget",E118,Start_Date,End_Date,,,,,,,,,,,,Budget_Name)</t>
  </si>
  <si>
    <t>=G118-H118</t>
  </si>
  <si>
    <t>=IF(G118=0,"-",IF(H118=0,"∞",(G118-H118)/H118))</t>
  </si>
  <si>
    <t>="100-6120-00"</t>
  </si>
  <si>
    <t>=GL("Cell","AccountName",E119)</t>
  </si>
  <si>
    <t>=-GL("Cell","Balance",E119,Start_Date,End_Date)</t>
  </si>
  <si>
    <t>=-GL("Cell","Budget",E119,Start_Date,End_Date,,,,,,,,,,,,Budget_Name)</t>
  </si>
  <si>
    <t>=G119-H119</t>
  </si>
  <si>
    <t>=IF(G119=0,"-",IF(H119=0,"∞",(G119-H119)/H119))</t>
  </si>
  <si>
    <t>="100-6130-00"</t>
  </si>
  <si>
    <t>=GL("Cell","AccountName",E120)</t>
  </si>
  <si>
    <t>=-GL("Cell","Balance",E120,Start_Date,End_Date)</t>
  </si>
  <si>
    <t>=-GL("Cell","Budget",E120,Start_Date,End_Date,,,,,,,,,,,,Budget_Name)</t>
  </si>
  <si>
    <t>=G120-H120</t>
  </si>
  <si>
    <t>=IF(G120=0,"-",IF(H120=0,"∞",(G120-H120)/H120))</t>
  </si>
  <si>
    <t>="100-6140-00"</t>
  </si>
  <si>
    <t>=GL("Cell","AccountName",E121)</t>
  </si>
  <si>
    <t>=-GL("Cell","Balance",E121,Start_Date,End_Date)</t>
  </si>
  <si>
    <t>=-GL("Cell","Budget",E121,Start_Date,End_Date,,,,,,,,,,,,Budget_Name)</t>
  </si>
  <si>
    <t>=G121-H121</t>
  </si>
  <si>
    <t>=IF(G121=0,"-",IF(H121=0,"∞",(G121-H121)/H121))</t>
  </si>
  <si>
    <t>="100-6150-00"</t>
  </si>
  <si>
    <t>=GL("Cell","AccountName",E122)</t>
  </si>
  <si>
    <t>=-GL("Cell","Balance",E122,Start_Date,End_Date)</t>
  </si>
  <si>
    <t>=-GL("Cell","Budget",E122,Start_Date,End_Date,,,,,,,,,,,,Budget_Name)</t>
  </si>
  <si>
    <t>=G122-H122</t>
  </si>
  <si>
    <t>=IF(G122=0,"-",IF(H122=0,"∞",(G122-H122)/H122))</t>
  </si>
  <si>
    <t>="100-6160-00"</t>
  </si>
  <si>
    <t>=GL("Cell","AccountName",E123)</t>
  </si>
  <si>
    <t>=-GL("Cell","Balance",E123,Start_Date,End_Date)</t>
  </si>
  <si>
    <t>=-GL("Cell","Budget",E123,Start_Date,End_Date,,,,,,,,,,,,Budget_Name)</t>
  </si>
  <si>
    <t>=G123-H123</t>
  </si>
  <si>
    <t>=IF(G123=0,"-",IF(H123=0,"∞",(G123-H123)/H123))</t>
  </si>
  <si>
    <t>="100-6170-00"</t>
  </si>
  <si>
    <t>=GL("Cell","AccountName",E124)</t>
  </si>
  <si>
    <t>=-GL("Cell","Balance",E124,Start_Date,End_Date)</t>
  </si>
  <si>
    <t>=-GL("Cell","Budget",E124,Start_Date,End_Date,,,,,,,,,,,,Budget_Name)</t>
  </si>
  <si>
    <t>=G124-H124</t>
  </si>
  <si>
    <t>=IF(G124=0,"-",IF(H124=0,"∞",(G124-H124)/H124))</t>
  </si>
  <si>
    <t>="100-6180-00"</t>
  </si>
  <si>
    <t>=GL("Cell","AccountName",E125)</t>
  </si>
  <si>
    <t>=-GL("Cell","Balance",E125,Start_Date,End_Date)</t>
  </si>
  <si>
    <t>=-GL("Cell","Budget",E125,Start_Date,End_Date,,,,,,,,,,,,Budget_Name)</t>
  </si>
  <si>
    <t>=G125-H125</t>
  </si>
  <si>
    <t>=IF(G125=0,"-",IF(H125=0,"∞",(G125-H125)/H125))</t>
  </si>
  <si>
    <t>="100-6190-00"</t>
  </si>
  <si>
    <t>=GL("Cell","AccountName",E126)</t>
  </si>
  <si>
    <t>=-GL("Cell","Balance",E126,Start_Date,End_Date)</t>
  </si>
  <si>
    <t>=-GL("Cell","Budget",E126,Start_Date,End_Date,,,,,,,,,,,,Budget_Name)</t>
  </si>
  <si>
    <t>=G126-H126</t>
  </si>
  <si>
    <t>=IF(G126=0,"-",IF(H126=0,"∞",(G126-H126)/H126))</t>
  </si>
  <si>
    <t>="100-6500-00"</t>
  </si>
  <si>
    <t>=GL("Cell","AccountName",E127)</t>
  </si>
  <si>
    <t>=-GL("Cell","Balance",E127,Start_Date,End_Date)</t>
  </si>
  <si>
    <t>=-GL("Cell","Budget",E127,Start_Date,End_Date,,,,,,,,,,,,Budget_Name)</t>
  </si>
  <si>
    <t>=G127-H127</t>
  </si>
  <si>
    <t>=IF(G127=0,"-",IF(H127=0,"∞",(G127-H127)/H127))</t>
  </si>
  <si>
    <t>="100-6510-00"</t>
  </si>
  <si>
    <t>=GL("Cell","AccountName",E128)</t>
  </si>
  <si>
    <t>=-GL("Cell","Balance",E128,Start_Date,End_Date)</t>
  </si>
  <si>
    <t>=-GL("Cell","Budget",E128,Start_Date,End_Date,,,,,,,,,,,,Budget_Name)</t>
  </si>
  <si>
    <t>=G128-H128</t>
  </si>
  <si>
    <t>=IF(G128=0,"-",IF(H128=0,"∞",(G128-H128)/H128))</t>
  </si>
  <si>
    <t>="100-6520-00"</t>
  </si>
  <si>
    <t>=GL("Cell","AccountName",E129)</t>
  </si>
  <si>
    <t>=-GL("Cell","Balance",E129,Start_Date,End_Date)</t>
  </si>
  <si>
    <t>=-GL("Cell","Budget",E129,Start_Date,End_Date,,,,,,,,,,,,Budget_Name)</t>
  </si>
  <si>
    <t>=G129-H129</t>
  </si>
  <si>
    <t>=IF(G129=0,"-",IF(H129=0,"∞",(G129-H129)/H129))</t>
  </si>
  <si>
    <t>="100-6530-00"</t>
  </si>
  <si>
    <t>=GL("Cell","AccountName",E130)</t>
  </si>
  <si>
    <t>=-GL("Cell","Balance",E130,Start_Date,End_Date)</t>
  </si>
  <si>
    <t>=-GL("Cell","Budget",E130,Start_Date,End_Date,,,,,,,,,,,,Budget_Name)</t>
  </si>
  <si>
    <t>=G130-H130</t>
  </si>
  <si>
    <t>=IF(G130=0,"-",IF(H130=0,"∞",(G130-H130)/H130))</t>
  </si>
  <si>
    <t>="200-6120-00"</t>
  </si>
  <si>
    <t>=GL("Cell","AccountName",E131)</t>
  </si>
  <si>
    <t>=-GL("Cell","Balance",E131,Start_Date,End_Date)</t>
  </si>
  <si>
    <t>=-GL("Cell","Budget",E131,Start_Date,End_Date,,,,,,,,,,,,Budget_Name)</t>
  </si>
  <si>
    <t>=G131-H131</t>
  </si>
  <si>
    <t>=IF(G131=0,"-",IF(H131=0,"∞",(G131-H131)/H131))</t>
  </si>
  <si>
    <t>="200-6130-00"</t>
  </si>
  <si>
    <t>=GL("Cell","AccountName",E132)</t>
  </si>
  <si>
    <t>=-GL("Cell","Balance",E132,Start_Date,End_Date)</t>
  </si>
  <si>
    <t>=-GL("Cell","Budget",E132,Start_Date,End_Date,,,,,,,,,,,,Budget_Name)</t>
  </si>
  <si>
    <t>=G132-H132</t>
  </si>
  <si>
    <t>=IF(G132=0,"-",IF(H132=0,"∞",(G132-H132)/H132))</t>
  </si>
  <si>
    <t>="200-6140-00"</t>
  </si>
  <si>
    <t>=GL("Cell","AccountName",E133)</t>
  </si>
  <si>
    <t>=-GL("Cell","Balance",E133,Start_Date,End_Date)</t>
  </si>
  <si>
    <t>=-GL("Cell","Budget",E133,Start_Date,End_Date,,,,,,,,,,,,Budget_Name)</t>
  </si>
  <si>
    <t>=G133-H133</t>
  </si>
  <si>
    <t>=IF(G133=0,"-",IF(H133=0,"∞",(G133-H133)/H133))</t>
  </si>
  <si>
    <t>="200-6150-00"</t>
  </si>
  <si>
    <t>=GL("Cell","AccountName",E134)</t>
  </si>
  <si>
    <t>=-GL("Cell","Balance",E134,Start_Date,End_Date)</t>
  </si>
  <si>
    <t>=-GL("Cell","Budget",E134,Start_Date,End_Date,,,,,,,,,,,,Budget_Name)</t>
  </si>
  <si>
    <t>=G134-H134</t>
  </si>
  <si>
    <t>=IF(G134=0,"-",IF(H134=0,"∞",(G134-H134)/H134))</t>
  </si>
  <si>
    <t>="200-6160-00"</t>
  </si>
  <si>
    <t>=GL("Cell","AccountName",E135)</t>
  </si>
  <si>
    <t>=-GL("Cell","Balance",E135,Start_Date,End_Date)</t>
  </si>
  <si>
    <t>=-GL("Cell","Budget",E135,Start_Date,End_Date,,,,,,,,,,,,Budget_Name)</t>
  </si>
  <si>
    <t>=G135-H135</t>
  </si>
  <si>
    <t>=IF(G135=0,"-",IF(H135=0,"∞",(G135-H135)/H135))</t>
  </si>
  <si>
    <t>="200-6170-00"</t>
  </si>
  <si>
    <t>=GL("Cell","AccountName",E136)</t>
  </si>
  <si>
    <t>=-GL("Cell","Balance",E136,Start_Date,End_Date)</t>
  </si>
  <si>
    <t>=-GL("Cell","Budget",E136,Start_Date,End_Date,,,,,,,,,,,,Budget_Name)</t>
  </si>
  <si>
    <t>=G136-H136</t>
  </si>
  <si>
    <t>=IF(G136=0,"-",IF(H136=0,"∞",(G136-H136)/H136))</t>
  </si>
  <si>
    <t>="200-6180-00"</t>
  </si>
  <si>
    <t>=GL("Cell","AccountName",E137)</t>
  </si>
  <si>
    <t>=-GL("Cell","Balance",E137,Start_Date,End_Date)</t>
  </si>
  <si>
    <t>=-GL("Cell","Budget",E137,Start_Date,End_Date,,,,,,,,,,,,Budget_Name)</t>
  </si>
  <si>
    <t>=G137-H137</t>
  </si>
  <si>
    <t>=IF(G137=0,"-",IF(H137=0,"∞",(G137-H137)/H137))</t>
  </si>
  <si>
    <t>="200-6190-00"</t>
  </si>
  <si>
    <t>=GL("Cell","AccountName",E138)</t>
  </si>
  <si>
    <t>=-GL("Cell","Balance",E138,Start_Date,End_Date)</t>
  </si>
  <si>
    <t>=-GL("Cell","Budget",E138,Start_Date,End_Date,,,,,,,,,,,,Budget_Name)</t>
  </si>
  <si>
    <t>=G138-H138</t>
  </si>
  <si>
    <t>=IF(G138=0,"-",IF(H138=0,"∞",(G138-H138)/H138))</t>
  </si>
  <si>
    <t>="200-6500-00"</t>
  </si>
  <si>
    <t>=GL("Cell","AccountName",E139)</t>
  </si>
  <si>
    <t>=-GL("Cell","Balance",E139,Start_Date,End_Date)</t>
  </si>
  <si>
    <t>=-GL("Cell","Budget",E139,Start_Date,End_Date,,,,,,,,,,,,Budget_Name)</t>
  </si>
  <si>
    <t>=G139-H139</t>
  </si>
  <si>
    <t>=IF(G139=0,"-",IF(H139=0,"∞",(G139-H139)/H139))</t>
  </si>
  <si>
    <t>="200-6510-00"</t>
  </si>
  <si>
    <t>=GL("Cell","AccountName",E140)</t>
  </si>
  <si>
    <t>=-GL("Cell","Balance",E140,Start_Date,End_Date)</t>
  </si>
  <si>
    <t>=-GL("Cell","Budget",E140,Start_Date,End_Date,,,,,,,,,,,,Budget_Name)</t>
  </si>
  <si>
    <t>=G140-H140</t>
  </si>
  <si>
    <t>=IF(G140=0,"-",IF(H140=0,"∞",(G140-H140)/H140))</t>
  </si>
  <si>
    <t>="200-6520-00"</t>
  </si>
  <si>
    <t>=GL("Cell","AccountName",E141)</t>
  </si>
  <si>
    <t>=-GL("Cell","Balance",E141,Start_Date,End_Date)</t>
  </si>
  <si>
    <t>=-GL("Cell","Budget",E141,Start_Date,End_Date,,,,,,,,,,,,Budget_Name)</t>
  </si>
  <si>
    <t>=G141-H141</t>
  </si>
  <si>
    <t>=IF(G141=0,"-",IF(H141=0,"∞",(G141-H141)/H141))</t>
  </si>
  <si>
    <t>="200-6530-00"</t>
  </si>
  <si>
    <t>=GL("Cell","AccountName",E142)</t>
  </si>
  <si>
    <t>=-GL("Cell","Balance",E142,Start_Date,End_Date)</t>
  </si>
  <si>
    <t>=-GL("Cell","Budget",E142,Start_Date,End_Date,,,,,,,,,,,,Budget_Name)</t>
  </si>
  <si>
    <t>=G142-H142</t>
  </si>
  <si>
    <t>=IF(G142=0,"-",IF(H142=0,"∞",(G142-H142)/H142))</t>
  </si>
  <si>
    <t>="300-6120-00"</t>
  </si>
  <si>
    <t>=GL("Cell","AccountName",E143)</t>
  </si>
  <si>
    <t>=-GL("Cell","Balance",E143,Start_Date,End_Date)</t>
  </si>
  <si>
    <t>=-GL("Cell","Budget",E143,Start_Date,End_Date,,,,,,,,,,,,Budget_Name)</t>
  </si>
  <si>
    <t>=G143-H143</t>
  </si>
  <si>
    <t>=IF(G143=0,"-",IF(H143=0,"∞",(G143-H143)/H143))</t>
  </si>
  <si>
    <t>="300-6130-00"</t>
  </si>
  <si>
    <t>=GL("Cell","AccountName",E144)</t>
  </si>
  <si>
    <t>=-GL("Cell","Balance",E144,Start_Date,End_Date)</t>
  </si>
  <si>
    <t>=-GL("Cell","Budget",E144,Start_Date,End_Date,,,,,,,,,,,,Budget_Name)</t>
  </si>
  <si>
    <t>=G144-H144</t>
  </si>
  <si>
    <t>=IF(G144=0,"-",IF(H144=0,"∞",(G144-H144)/H144))</t>
  </si>
  <si>
    <t>="300-6140-00"</t>
  </si>
  <si>
    <t>=GL("Cell","AccountName",E145)</t>
  </si>
  <si>
    <t>=-GL("Cell","Balance",E145,Start_Date,End_Date)</t>
  </si>
  <si>
    <t>=-GL("Cell","Budget",E145,Start_Date,End_Date,,,,,,,,,,,,Budget_Name)</t>
  </si>
  <si>
    <t>=G145-H145</t>
  </si>
  <si>
    <t>=IF(G145=0,"-",IF(H145=0,"∞",(G145-H145)/H145))</t>
  </si>
  <si>
    <t>="300-6150-00"</t>
  </si>
  <si>
    <t>=GL("Cell","AccountName",E146)</t>
  </si>
  <si>
    <t>=-GL("Cell","Balance",E146,Start_Date,End_Date)</t>
  </si>
  <si>
    <t>=-GL("Cell","Budget",E146,Start_Date,End_Date,,,,,,,,,,,,Budget_Name)</t>
  </si>
  <si>
    <t>=G146-H146</t>
  </si>
  <si>
    <t>=IF(G146=0,"-",IF(H146=0,"∞",(G146-H146)/H146))</t>
  </si>
  <si>
    <t>="300-6160-00"</t>
  </si>
  <si>
    <t>=GL("Cell","AccountName",E147)</t>
  </si>
  <si>
    <t>=-GL("Cell","Balance",E147,Start_Date,End_Date)</t>
  </si>
  <si>
    <t>=-GL("Cell","Budget",E147,Start_Date,End_Date,,,,,,,,,,,,Budget_Name)</t>
  </si>
  <si>
    <t>=G147-H147</t>
  </si>
  <si>
    <t>=IF(G147=0,"-",IF(H147=0,"∞",(G147-H147)/H147))</t>
  </si>
  <si>
    <t>="300-6170-00"</t>
  </si>
  <si>
    <t>=GL("Cell","AccountName",E148)</t>
  </si>
  <si>
    <t>=-GL("Cell","Balance",E148,Start_Date,End_Date)</t>
  </si>
  <si>
    <t>=-GL("Cell","Budget",E148,Start_Date,End_Date,,,,,,,,,,,,Budget_Name)</t>
  </si>
  <si>
    <t>=G148-H148</t>
  </si>
  <si>
    <t>=IF(G148=0,"-",IF(H148=0,"∞",(G148-H148)/H148))</t>
  </si>
  <si>
    <t>="300-6180-00"</t>
  </si>
  <si>
    <t>=GL("Cell","AccountName",E149)</t>
  </si>
  <si>
    <t>=-GL("Cell","Balance",E149,Start_Date,End_Date)</t>
  </si>
  <si>
    <t>=-GL("Cell","Budget",E149,Start_Date,End_Date,,,,,,,,,,,,Budget_Name)</t>
  </si>
  <si>
    <t>=G149-H149</t>
  </si>
  <si>
    <t>=IF(G149=0,"-",IF(H149=0,"∞",(G149-H149)/H149))</t>
  </si>
  <si>
    <t>="300-6190-00"</t>
  </si>
  <si>
    <t>=GL("Cell","AccountName",E150)</t>
  </si>
  <si>
    <t>=-GL("Cell","Balance",E150,Start_Date,End_Date)</t>
  </si>
  <si>
    <t>=-GL("Cell","Budget",E150,Start_Date,End_Date,,,,,,,,,,,,Budget_Name)</t>
  </si>
  <si>
    <t>=G150-H150</t>
  </si>
  <si>
    <t>=IF(G150=0,"-",IF(H150=0,"∞",(G150-H150)/H150))</t>
  </si>
  <si>
    <t>="300-6500-00"</t>
  </si>
  <si>
    <t>=GL("Cell","AccountName",E151)</t>
  </si>
  <si>
    <t>=-GL("Cell","Balance",E151,Start_Date,End_Date)</t>
  </si>
  <si>
    <t>=-GL("Cell","Budget",E151,Start_Date,End_Date,,,,,,,,,,,,Budget_Name)</t>
  </si>
  <si>
    <t>=G151-H151</t>
  </si>
  <si>
    <t>=IF(G151=0,"-",IF(H151=0,"∞",(G151-H151)/H151))</t>
  </si>
  <si>
    <t>="300-6510-00"</t>
  </si>
  <si>
    <t>=GL("Cell","AccountName",E152)</t>
  </si>
  <si>
    <t>=-GL("Cell","Balance",E152,Start_Date,End_Date)</t>
  </si>
  <si>
    <t>=-GL("Cell","Budget",E152,Start_Date,End_Date,,,,,,,,,,,,Budget_Name)</t>
  </si>
  <si>
    <t>=G152-H152</t>
  </si>
  <si>
    <t>=IF(G152=0,"-",IF(H152=0,"∞",(G152-H152)/H152))</t>
  </si>
  <si>
    <t>="300-6520-00"</t>
  </si>
  <si>
    <t>=GL("Cell","AccountName",E153)</t>
  </si>
  <si>
    <t>=-GL("Cell","Balance",E153,Start_Date,End_Date)</t>
  </si>
  <si>
    <t>=-GL("Cell","Budget",E153,Start_Date,End_Date,,,,,,,,,,,,Budget_Name)</t>
  </si>
  <si>
    <t>=G153-H153</t>
  </si>
  <si>
    <t>=IF(G153=0,"-",IF(H153=0,"∞",(G153-H153)/H153))</t>
  </si>
  <si>
    <t>="300-6530-00"</t>
  </si>
  <si>
    <t>=GL("Cell","AccountName",E154)</t>
  </si>
  <si>
    <t>=-GL("Cell","Balance",E154,Start_Date,End_Date)</t>
  </si>
  <si>
    <t>=-GL("Cell","Budget",E154,Start_Date,End_Date,,,,,,,,,,,,Budget_Name)</t>
  </si>
  <si>
    <t>=G154-H154</t>
  </si>
  <si>
    <t>=IF(G154=0,"-",IF(H154=0,"∞",(G154-H154)/H154))</t>
  </si>
  <si>
    <t>="400-5600-00"</t>
  </si>
  <si>
    <t>=GL("Cell","AccountName",E155)</t>
  </si>
  <si>
    <t>=-GL("Cell","Balance",E155,Start_Date,End_Date)</t>
  </si>
  <si>
    <t>=-GL("Cell","Budget",E155,Start_Date,End_Date,,,,,,,,,,,,Budget_Name)</t>
  </si>
  <si>
    <t>=G155-H155</t>
  </si>
  <si>
    <t>=IF(G155=0,"-",IF(H155=0,"∞",(G155-H155)/H155))</t>
  </si>
  <si>
    <t>="400-6110-00"</t>
  </si>
  <si>
    <t>=GL("Cell","AccountName",E156)</t>
  </si>
  <si>
    <t>=-GL("Cell","Balance",E156,Start_Date,End_Date)</t>
  </si>
  <si>
    <t>=-GL("Cell","Budget",E156,Start_Date,End_Date,,,,,,,,,,,,Budget_Name)</t>
  </si>
  <si>
    <t>=G156-H156</t>
  </si>
  <si>
    <t>=IF(G156=0,"-",IF(H156=0,"∞",(G156-H156)/H156))</t>
  </si>
  <si>
    <t>="400-6120-00"</t>
  </si>
  <si>
    <t>=GL("Cell","AccountName",E157)</t>
  </si>
  <si>
    <t>=-GL("Cell","Balance",E157,Start_Date,End_Date)</t>
  </si>
  <si>
    <t>=-GL("Cell","Budget",E157,Start_Date,End_Date,,,,,,,,,,,,Budget_Name)</t>
  </si>
  <si>
    <t>=G157-H157</t>
  </si>
  <si>
    <t>=IF(G157=0,"-",IF(H157=0,"∞",(G157-H157)/H157))</t>
  </si>
  <si>
    <t>="400-6130-00"</t>
  </si>
  <si>
    <t>=GL("Cell","AccountName",E158)</t>
  </si>
  <si>
    <t>=-GL("Cell","Balance",E158,Start_Date,End_Date)</t>
  </si>
  <si>
    <t>=-GL("Cell","Budget",E158,Start_Date,End_Date,,,,,,,,,,,,Budget_Name)</t>
  </si>
  <si>
    <t>=G158-H158</t>
  </si>
  <si>
    <t>=IF(G158=0,"-",IF(H158=0,"∞",(G158-H158)/H158))</t>
  </si>
  <si>
    <t>="400-6140-00"</t>
  </si>
  <si>
    <t>=GL("Cell","AccountName",E159)</t>
  </si>
  <si>
    <t>=-GL("Cell","Balance",E159,Start_Date,End_Date)</t>
  </si>
  <si>
    <t>=-GL("Cell","Budget",E159,Start_Date,End_Date,,,,,,,,,,,,Budget_Name)</t>
  </si>
  <si>
    <t>=G159-H159</t>
  </si>
  <si>
    <t>=IF(G159=0,"-",IF(H159=0,"∞",(G159-H159)/H159))</t>
  </si>
  <si>
    <t>="400-6150-00"</t>
  </si>
  <si>
    <t>=GL("Cell","AccountName",E160)</t>
  </si>
  <si>
    <t>=-GL("Cell","Balance",E160,Start_Date,End_Date)</t>
  </si>
  <si>
    <t>=-GL("Cell","Budget",E160,Start_Date,End_Date,,,,,,,,,,,,Budget_Name)</t>
  </si>
  <si>
    <t>=G160-H160</t>
  </si>
  <si>
    <t>=IF(G160=0,"-",IF(H160=0,"∞",(G160-H160)/H160))</t>
  </si>
  <si>
    <t>="400-6160-00"</t>
  </si>
  <si>
    <t>=GL("Cell","AccountName",E161)</t>
  </si>
  <si>
    <t>=-GL("Cell","Balance",E161,Start_Date,End_Date)</t>
  </si>
  <si>
    <t>=-GL("Cell","Budget",E161,Start_Date,End_Date,,,,,,,,,,,,Budget_Name)</t>
  </si>
  <si>
    <t>=G161-H161</t>
  </si>
  <si>
    <t>=IF(G161=0,"-",IF(H161=0,"∞",(G161-H161)/H161))</t>
  </si>
  <si>
    <t>="400-6170-00"</t>
  </si>
  <si>
    <t>=GL("Cell","AccountName",E162)</t>
  </si>
  <si>
    <t>=-GL("Cell","Balance",E162,Start_Date,End_Date)</t>
  </si>
  <si>
    <t>=-GL("Cell","Budget",E162,Start_Date,End_Date,,,,,,,,,,,,Budget_Name)</t>
  </si>
  <si>
    <t>=G162-H162</t>
  </si>
  <si>
    <t>=IF(G162=0,"-",IF(H162=0,"∞",(G162-H162)/H162))</t>
  </si>
  <si>
    <t>="400-6180-00"</t>
  </si>
  <si>
    <t>=GL("Cell","AccountName",E163)</t>
  </si>
  <si>
    <t>=-GL("Cell","Balance",E163,Start_Date,End_Date)</t>
  </si>
  <si>
    <t>=-GL("Cell","Budget",E163,Start_Date,End_Date,,,,,,,,,,,,Budget_Name)</t>
  </si>
  <si>
    <t>=G163-H163</t>
  </si>
  <si>
    <t>=IF(G163=0,"-",IF(H163=0,"∞",(G163-H163)/H163))</t>
  </si>
  <si>
    <t>="400-6190-00"</t>
  </si>
  <si>
    <t>=GL("Cell","AccountName",E164)</t>
  </si>
  <si>
    <t>=-GL("Cell","Balance",E164,Start_Date,End_Date)</t>
  </si>
  <si>
    <t>=-GL("Cell","Budget",E164,Start_Date,End_Date,,,,,,,,,,,,Budget_Name)</t>
  </si>
  <si>
    <t>=G164-H164</t>
  </si>
  <si>
    <t>=IF(G164=0,"-",IF(H164=0,"∞",(G164-H164)/H164))</t>
  </si>
  <si>
    <t>="400-6500-00"</t>
  </si>
  <si>
    <t>=GL("Cell","AccountName",E165)</t>
  </si>
  <si>
    <t>=-GL("Cell","Balance",E165,Start_Date,End_Date)</t>
  </si>
  <si>
    <t>=-GL("Cell","Budget",E165,Start_Date,End_Date,,,,,,,,,,,,Budget_Name)</t>
  </si>
  <si>
    <t>=G165-H165</t>
  </si>
  <si>
    <t>=IF(G165=0,"-",IF(H165=0,"∞",(G165-H165)/H165))</t>
  </si>
  <si>
    <t>="400-6510-00"</t>
  </si>
  <si>
    <t>=GL("Cell","AccountName",E166)</t>
  </si>
  <si>
    <t>=-GL("Cell","Balance",E166,Start_Date,End_Date)</t>
  </si>
  <si>
    <t>=-GL("Cell","Budget",E166,Start_Date,End_Date,,,,,,,,,,,,Budget_Name)</t>
  </si>
  <si>
    <t>=G166-H166</t>
  </si>
  <si>
    <t>=IF(G166=0,"-",IF(H166=0,"∞",(G166-H166)/H166))</t>
  </si>
  <si>
    <t>="400-6520-00"</t>
  </si>
  <si>
    <t>=GL("Cell","AccountName",E167)</t>
  </si>
  <si>
    <t>=-GL("Cell","Balance",E167,Start_Date,End_Date)</t>
  </si>
  <si>
    <t>=-GL("Cell","Budget",E167,Start_Date,End_Date,,,,,,,,,,,,Budget_Name)</t>
  </si>
  <si>
    <t>=G167-H167</t>
  </si>
  <si>
    <t>=IF(G167=0,"-",IF(H167=0,"∞",(G167-H167)/H167))</t>
  </si>
  <si>
    <t>="400-6530-00"</t>
  </si>
  <si>
    <t>=GL("Cell","AccountName",E168)</t>
  </si>
  <si>
    <t>=-GL("Cell","Balance",E168,Start_Date,End_Date)</t>
  </si>
  <si>
    <t>=-GL("Cell","Budget",E168,Start_Date,End_Date,,,,,,,,,,,,Budget_Name)</t>
  </si>
  <si>
    <t>=G168-H168</t>
  </si>
  <si>
    <t>=IF(G168=0,"-",IF(H168=0,"∞",(G168-H168)/H168))</t>
  </si>
  <si>
    <t>="500-5600-00"</t>
  </si>
  <si>
    <t>=GL("Cell","AccountName",E169)</t>
  </si>
  <si>
    <t>=-GL("Cell","Balance",E169,Start_Date,End_Date)</t>
  </si>
  <si>
    <t>=-GL("Cell","Budget",E169,Start_Date,End_Date,,,,,,,,,,,,Budget_Name)</t>
  </si>
  <si>
    <t>=G169-H169</t>
  </si>
  <si>
    <t>=IF(G169=0,"-",IF(H169=0,"∞",(G169-H169)/H169))</t>
  </si>
  <si>
    <t>="500-6120-00"</t>
  </si>
  <si>
    <t>=GL("Cell","AccountName",E170)</t>
  </si>
  <si>
    <t>=-GL("Cell","Balance",E170,Start_Date,End_Date)</t>
  </si>
  <si>
    <t>=-GL("Cell","Budget",E170,Start_Date,End_Date,,,,,,,,,,,,Budget_Name)</t>
  </si>
  <si>
    <t>=G170-H170</t>
  </si>
  <si>
    <t>=IF(G170=0,"-",IF(H170=0,"∞",(G170-H170)/H170))</t>
  </si>
  <si>
    <t>="500-6130-00"</t>
  </si>
  <si>
    <t>=GL("Cell","AccountName",E171)</t>
  </si>
  <si>
    <t>=-GL("Cell","Balance",E171,Start_Date,End_Date)</t>
  </si>
  <si>
    <t>=-GL("Cell","Budget",E171,Start_Date,End_Date,,,,,,,,,,,,Budget_Name)</t>
  </si>
  <si>
    <t>=G171-H171</t>
  </si>
  <si>
    <t>=IF(G171=0,"-",IF(H171=0,"∞",(G171-H171)/H171))</t>
  </si>
  <si>
    <t>="500-6140-00"</t>
  </si>
  <si>
    <t>=GL("Cell","AccountName",E172)</t>
  </si>
  <si>
    <t>=-GL("Cell","Balance",E172,Start_Date,End_Date)</t>
  </si>
  <si>
    <t>=-GL("Cell","Budget",E172,Start_Date,End_Date,,,,,,,,,,,,Budget_Name)</t>
  </si>
  <si>
    <t>=G172-H172</t>
  </si>
  <si>
    <t>=IF(G172=0,"-",IF(H172=0,"∞",(G172-H172)/H172))</t>
  </si>
  <si>
    <t>="500-6150-00"</t>
  </si>
  <si>
    <t>=GL("Cell","AccountName",E173)</t>
  </si>
  <si>
    <t>=-GL("Cell","Balance",E173,Start_Date,End_Date)</t>
  </si>
  <si>
    <t>=-GL("Cell","Budget",E173,Start_Date,End_Date,,,,,,,,,,,,Budget_Name)</t>
  </si>
  <si>
    <t>=G173-H173</t>
  </si>
  <si>
    <t>=IF(G173=0,"-",IF(H173=0,"∞",(G173-H173)/H173))</t>
  </si>
  <si>
    <t>="500-6160-00"</t>
  </si>
  <si>
    <t>=GL("Cell","AccountName",E174)</t>
  </si>
  <si>
    <t>=-GL("Cell","Balance",E174,Start_Date,End_Date)</t>
  </si>
  <si>
    <t>=-GL("Cell","Budget",E174,Start_Date,End_Date,,,,,,,,,,,,Budget_Name)</t>
  </si>
  <si>
    <t>=G174-H174</t>
  </si>
  <si>
    <t>=IF(G174=0,"-",IF(H174=0,"∞",(G174-H174)/H174))</t>
  </si>
  <si>
    <t>="500-6170-00"</t>
  </si>
  <si>
    <t>=GL("Cell","AccountName",E175)</t>
  </si>
  <si>
    <t>=-GL("Cell","Balance",E175,Start_Date,End_Date)</t>
  </si>
  <si>
    <t>=-GL("Cell","Budget",E175,Start_Date,End_Date,,,,,,,,,,,,Budget_Name)</t>
  </si>
  <si>
    <t>=G175-H175</t>
  </si>
  <si>
    <t>=IF(G175=0,"-",IF(H175=0,"∞",(G175-H175)/H175))</t>
  </si>
  <si>
    <t>="500-6180-00"</t>
  </si>
  <si>
    <t>=GL("Cell","AccountName",E176)</t>
  </si>
  <si>
    <t>=-GL("Cell","Balance",E176,Start_Date,End_Date)</t>
  </si>
  <si>
    <t>=-GL("Cell","Budget",E176,Start_Date,End_Date,,,,,,,,,,,,Budget_Name)</t>
  </si>
  <si>
    <t>=G176-H176</t>
  </si>
  <si>
    <t>=IF(G176=0,"-",IF(H176=0,"∞",(G176-H176)/H176))</t>
  </si>
  <si>
    <t>="500-6190-00"</t>
  </si>
  <si>
    <t>=GL("Cell","AccountName",E177)</t>
  </si>
  <si>
    <t>=-GL("Cell","Balance",E177,Start_Date,End_Date)</t>
  </si>
  <si>
    <t>=-GL("Cell","Budget",E177,Start_Date,End_Date,,,,,,,,,,,,Budget_Name)</t>
  </si>
  <si>
    <t>=G177-H177</t>
  </si>
  <si>
    <t>=IF(G177=0,"-",IF(H177=0,"∞",(G177-H177)/H177))</t>
  </si>
  <si>
    <t>="500-6500-00"</t>
  </si>
  <si>
    <t>=GL("Cell","AccountName",E178)</t>
  </si>
  <si>
    <t>=-GL("Cell","Balance",E178,Start_Date,End_Date)</t>
  </si>
  <si>
    <t>=-GL("Cell","Budget",E178,Start_Date,End_Date,,,,,,,,,,,,Budget_Name)</t>
  </si>
  <si>
    <t>=G178-H178</t>
  </si>
  <si>
    <t>=IF(G178=0,"-",IF(H178=0,"∞",(G178-H178)/H178))</t>
  </si>
  <si>
    <t>="500-6510-00"</t>
  </si>
  <si>
    <t>=GL("Cell","AccountName",E179)</t>
  </si>
  <si>
    <t>=-GL("Cell","Balance",E179,Start_Date,End_Date)</t>
  </si>
  <si>
    <t>=-GL("Cell","Budget",E179,Start_Date,End_Date,,,,,,,,,,,,Budget_Name)</t>
  </si>
  <si>
    <t>=G179-H179</t>
  </si>
  <si>
    <t>=IF(G179=0,"-",IF(H179=0,"∞",(G179-H179)/H179))</t>
  </si>
  <si>
    <t>="500-6520-00"</t>
  </si>
  <si>
    <t>=GL("Cell","AccountName",E180)</t>
  </si>
  <si>
    <t>=-GL("Cell","Balance",E180,Start_Date,End_Date)</t>
  </si>
  <si>
    <t>=-GL("Cell","Budget",E180,Start_Date,End_Date,,,,,,,,,,,,Budget_Name)</t>
  </si>
  <si>
    <t>=G180-H180</t>
  </si>
  <si>
    <t>=IF(G180=0,"-",IF(H180=0,"∞",(G180-H180)/H180))</t>
  </si>
  <si>
    <t>="500-6530-00"</t>
  </si>
  <si>
    <t>=GL("Cell","AccountName",E181)</t>
  </si>
  <si>
    <t>=-GL("Cell","Balance",E181,Start_Date,End_Date)</t>
  </si>
  <si>
    <t>=-GL("Cell","Budget",E181,Start_Date,End_Date,,,,,,,,,,,,Budget_Name)</t>
  </si>
  <si>
    <t>=G181-H181</t>
  </si>
  <si>
    <t>=IF(G181=0,"-",IF(H181=0,"∞",(G181-H181)/H181))</t>
  </si>
  <si>
    <t>="600-6120-00"</t>
  </si>
  <si>
    <t>=GL("Cell","AccountName",E182)</t>
  </si>
  <si>
    <t>=-GL("Cell","Balance",E182,Start_Date,End_Date)</t>
  </si>
  <si>
    <t>=-GL("Cell","Budget",E182,Start_Date,End_Date,,,,,,,,,,,,Budget_Name)</t>
  </si>
  <si>
    <t>=G182-H182</t>
  </si>
  <si>
    <t>=IF(G182=0,"-",IF(H182=0,"∞",(G182-H182)/H182))</t>
  </si>
  <si>
    <t>="600-6130-00"</t>
  </si>
  <si>
    <t>=GL("Cell","AccountName",E183)</t>
  </si>
  <si>
    <t>=-GL("Cell","Balance",E183,Start_Date,End_Date)</t>
  </si>
  <si>
    <t>=-GL("Cell","Budget",E183,Start_Date,End_Date,,,,,,,,,,,,Budget_Name)</t>
  </si>
  <si>
    <t>=G183-H183</t>
  </si>
  <si>
    <t>=IF(G183=0,"-",IF(H183=0,"∞",(G183-H183)/H183))</t>
  </si>
  <si>
    <t>="600-6140-00"</t>
  </si>
  <si>
    <t>=GL("Cell","AccountName",E184)</t>
  </si>
  <si>
    <t>=-GL("Cell","Balance",E184,Start_Date,End_Date)</t>
  </si>
  <si>
    <t>=-GL("Cell","Budget",E184,Start_Date,End_Date,,,,,,,,,,,,Budget_Name)</t>
  </si>
  <si>
    <t>=G184-H184</t>
  </si>
  <si>
    <t>=IF(G184=0,"-",IF(H184=0,"∞",(G184-H184)/H184))</t>
  </si>
  <si>
    <t>="600-6150-00"</t>
  </si>
  <si>
    <t>=GL("Cell","AccountName",E185)</t>
  </si>
  <si>
    <t>=-GL("Cell","Balance",E185,Start_Date,End_Date)</t>
  </si>
  <si>
    <t>=-GL("Cell","Budget",E185,Start_Date,End_Date,,,,,,,,,,,,Budget_Name)</t>
  </si>
  <si>
    <t>=G185-H185</t>
  </si>
  <si>
    <t>=IF(G185=0,"-",IF(H185=0,"∞",(G185-H185)/H185))</t>
  </si>
  <si>
    <t>="600-6160-00"</t>
  </si>
  <si>
    <t>=GL("Cell","AccountName",E186)</t>
  </si>
  <si>
    <t>=-GL("Cell","Balance",E186,Start_Date,End_Date)</t>
  </si>
  <si>
    <t>=-GL("Cell","Budget",E186,Start_Date,End_Date,,,,,,,,,,,,Budget_Name)</t>
  </si>
  <si>
    <t>=G186-H186</t>
  </si>
  <si>
    <t>=IF(G186=0,"-",IF(H186=0,"∞",(G186-H186)/H186))</t>
  </si>
  <si>
    <t>="600-6170-00"</t>
  </si>
  <si>
    <t>=GL("Cell","AccountName",E187)</t>
  </si>
  <si>
    <t>=-GL("Cell","Balance",E187,Start_Date,End_Date)</t>
  </si>
  <si>
    <t>=-GL("Cell","Budget",E187,Start_Date,End_Date,,,,,,,,,,,,Budget_Name)</t>
  </si>
  <si>
    <t>=G187-H187</t>
  </si>
  <si>
    <t>=IF(G187=0,"-",IF(H187=0,"∞",(G187-H187)/H187))</t>
  </si>
  <si>
    <t>="600-6180-00"</t>
  </si>
  <si>
    <t>=GL("Cell","AccountName",E188)</t>
  </si>
  <si>
    <t>=-GL("Cell","Balance",E188,Start_Date,End_Date)</t>
  </si>
  <si>
    <t>=-GL("Cell","Budget",E188,Start_Date,End_Date,,,,,,,,,,,,Budget_Name)</t>
  </si>
  <si>
    <t>=G188-H188</t>
  </si>
  <si>
    <t>=IF(G188=0,"-",IF(H188=0,"∞",(G188-H188)/H188))</t>
  </si>
  <si>
    <t>="600-6190-00"</t>
  </si>
  <si>
    <t>=GL("Cell","AccountName",E189)</t>
  </si>
  <si>
    <t>=-GL("Cell","Balance",E189,Start_Date,End_Date)</t>
  </si>
  <si>
    <t>=-GL("Cell","Budget",E189,Start_Date,End_Date,,,,,,,,,,,,Budget_Name)</t>
  </si>
  <si>
    <t>=G189-H189</t>
  </si>
  <si>
    <t>=IF(G189=0,"-",IF(H189=0,"∞",(G189-H189)/H189))</t>
  </si>
  <si>
    <t>="600-6500-00"</t>
  </si>
  <si>
    <t>=GL("Cell","AccountName",E190)</t>
  </si>
  <si>
    <t>=-GL("Cell","Balance",E190,Start_Date,End_Date)</t>
  </si>
  <si>
    <t>=-GL("Cell","Budget",E190,Start_Date,End_Date,,,,,,,,,,,,Budget_Name)</t>
  </si>
  <si>
    <t>=G190-H190</t>
  </si>
  <si>
    <t>=IF(G190=0,"-",IF(H190=0,"∞",(G190-H190)/H190))</t>
  </si>
  <si>
    <t>="600-6510-00"</t>
  </si>
  <si>
    <t>=GL("Cell","AccountName",E191)</t>
  </si>
  <si>
    <t>=-GL("Cell","Balance",E191,Start_Date,End_Date)</t>
  </si>
  <si>
    <t>=-GL("Cell","Budget",E191,Start_Date,End_Date,,,,,,,,,,,,Budget_Name)</t>
  </si>
  <si>
    <t>=G191-H191</t>
  </si>
  <si>
    <t>=IF(G191=0,"-",IF(H191=0,"∞",(G191-H191)/H191))</t>
  </si>
  <si>
    <t>="600-6520-00"</t>
  </si>
  <si>
    <t>=GL("Cell","AccountName",E192)</t>
  </si>
  <si>
    <t>=-GL("Cell","Balance",E192,Start_Date,End_Date)</t>
  </si>
  <si>
    <t>=-GL("Cell","Budget",E192,Start_Date,End_Date,,,,,,,,,,,,Budget_Name)</t>
  </si>
  <si>
    <t>=G192-H192</t>
  </si>
  <si>
    <t>=IF(G192=0,"-",IF(H192=0,"∞",(G192-H192)/H192))</t>
  </si>
  <si>
    <t>="600-6530-00"</t>
  </si>
  <si>
    <t>=GL("Cell","AccountName",E193)</t>
  </si>
  <si>
    <t>=-GL("Cell","Balance",E193,Start_Date,End_Date)</t>
  </si>
  <si>
    <t>=-GL("Cell","Budget",E193,Start_Date,End_Date,,,,,,,,,,,,Budget_Name)</t>
  </si>
  <si>
    <t>=G193-H193</t>
  </si>
  <si>
    <t>=IF(G193=0,"-",IF(H193=0,"∞",(G193-H193)/H193))</t>
  </si>
  <si>
    <t>=NL("First","GL00102","ACCATDSC","ACCATNUM",B195)</t>
  </si>
  <si>
    <t>=SUBTOTAL(9,G196:G234)</t>
  </si>
  <si>
    <t>=SUBTOTAL(9,H196:H234)</t>
  </si>
  <si>
    <t>=G195-H195</t>
  </si>
  <si>
    <t>=IF(G195=0,"-",IF(H195=0,"∞",(G195-H195)/H195))</t>
  </si>
  <si>
    <t>=GL("Rows","Accounts",,,,B195)</t>
  </si>
  <si>
    <t>=GL("Cell","AccountName",E196)</t>
  </si>
  <si>
    <t>=-GL("Cell","Balance",E196,Start_Date,End_Date)</t>
  </si>
  <si>
    <t>=-GL("Cell","Budget",E196,Start_Date,End_Date,,,,,,,,,,,,Budget_Name)</t>
  </si>
  <si>
    <t>=G196-H196</t>
  </si>
  <si>
    <t>=IF(G196=0,"-",IF(H196=0,"∞",(G196-H196)/H196))</t>
  </si>
  <si>
    <t>="100-5100-00"</t>
  </si>
  <si>
    <t>=GL("Cell","AccountName",E197)</t>
  </si>
  <si>
    <t>=-GL("Cell","Balance",E197,Start_Date,End_Date)</t>
  </si>
  <si>
    <t>=-GL("Cell","Budget",E197,Start_Date,End_Date,,,,,,,,,,,,Budget_Name)</t>
  </si>
  <si>
    <t>=G197-H197</t>
  </si>
  <si>
    <t>=IF(G197=0,"-",IF(H197=0,"∞",(G197-H197)/H197))</t>
  </si>
  <si>
    <t>="100-5110-00"</t>
  </si>
  <si>
    <t>=GL("Cell","AccountName",E198)</t>
  </si>
  <si>
    <t>=-GL("Cell","Balance",E198,Start_Date,End_Date)</t>
  </si>
  <si>
    <t>=-GL("Cell","Budget",E198,Start_Date,End_Date,,,,,,,,,,,,Budget_Name)</t>
  </si>
  <si>
    <t>=G198-H198</t>
  </si>
  <si>
    <t>=IF(G198=0,"-",IF(H198=0,"∞",(G198-H198)/H198))</t>
  </si>
  <si>
    <t>="100-5120-00"</t>
  </si>
  <si>
    <t>=GL("Cell","AccountName",E199)</t>
  </si>
  <si>
    <t>=-GL("Cell","Balance",E199,Start_Date,End_Date)</t>
  </si>
  <si>
    <t>=-GL("Cell","Budget",E199,Start_Date,End_Date,,,,,,,,,,,,Budget_Name)</t>
  </si>
  <si>
    <t>=G199-H199</t>
  </si>
  <si>
    <t>=IF(G199=0,"-",IF(H199=0,"∞",(G199-H199)/H199))</t>
  </si>
  <si>
    <t>="100-5140-00"</t>
  </si>
  <si>
    <t>=GL("Cell","AccountName",E200)</t>
  </si>
  <si>
    <t>=-GL("Cell","Balance",E200,Start_Date,End_Date)</t>
  </si>
  <si>
    <t>=-GL("Cell","Budget",E200,Start_Date,End_Date,,,,,,,,,,,,Budget_Name)</t>
  </si>
  <si>
    <t>=G200-H200</t>
  </si>
  <si>
    <t>=IF(G200=0,"-",IF(H200=0,"∞",(G200-H200)/H200))</t>
  </si>
  <si>
    <t>="200-5100-00"</t>
  </si>
  <si>
    <t>=GL("Cell","AccountName",E201)</t>
  </si>
  <si>
    <t>=-GL("Cell","Balance",E201,Start_Date,End_Date)</t>
  </si>
  <si>
    <t>=-GL("Cell","Budget",E201,Start_Date,End_Date,,,,,,,,,,,,Budget_Name)</t>
  </si>
  <si>
    <t>=G201-H201</t>
  </si>
  <si>
    <t>=IF(G201=0,"-",IF(H201=0,"∞",(G201-H201)/H201))</t>
  </si>
  <si>
    <t>="200-5110-00"</t>
  </si>
  <si>
    <t>=GL("Cell","AccountName",E202)</t>
  </si>
  <si>
    <t>=-GL("Cell","Balance",E202,Start_Date,End_Date)</t>
  </si>
  <si>
    <t>=-GL("Cell","Budget",E202,Start_Date,End_Date,,,,,,,,,,,,Budget_Name)</t>
  </si>
  <si>
    <t>=G202-H202</t>
  </si>
  <si>
    <t>=IF(G202=0,"-",IF(H202=0,"∞",(G202-H202)/H202))</t>
  </si>
  <si>
    <t>="200-5120-00"</t>
  </si>
  <si>
    <t>=GL("Cell","AccountName",E203)</t>
  </si>
  <si>
    <t>=-GL("Cell","Balance",E203,Start_Date,End_Date)</t>
  </si>
  <si>
    <t>=-GL("Cell","Budget",E203,Start_Date,End_Date,,,,,,,,,,,,Budget_Name)</t>
  </si>
  <si>
    <t>=G203-H203</t>
  </si>
  <si>
    <t>=IF(G203=0,"-",IF(H203=0,"∞",(G203-H203)/H203))</t>
  </si>
  <si>
    <t>="200-5140-00"</t>
  </si>
  <si>
    <t>=GL("Cell","AccountName",E204)</t>
  </si>
  <si>
    <t>=-GL("Cell","Balance",E204,Start_Date,End_Date)</t>
  </si>
  <si>
    <t>=-GL("Cell","Budget",E204,Start_Date,End_Date,,,,,,,,,,,,Budget_Name)</t>
  </si>
  <si>
    <t>=G204-H204</t>
  </si>
  <si>
    <t>=IF(G204=0,"-",IF(H204=0,"∞",(G204-H204)/H204))</t>
  </si>
  <si>
    <t>="300-5100-00"</t>
  </si>
  <si>
    <t>=GL("Cell","AccountName",E205)</t>
  </si>
  <si>
    <t>=-GL("Cell","Balance",E205,Start_Date,End_Date)</t>
  </si>
  <si>
    <t>=-GL("Cell","Budget",E205,Start_Date,End_Date,,,,,,,,,,,,Budget_Name)</t>
  </si>
  <si>
    <t>=G205-H205</t>
  </si>
  <si>
    <t>=IF(G205=0,"-",IF(H205=0,"∞",(G205-H205)/H205))</t>
  </si>
  <si>
    <t>="300-5110-00"</t>
  </si>
  <si>
    <t>=GL("Cell","AccountName",E206)</t>
  </si>
  <si>
    <t>=-GL("Cell","Balance",E206,Start_Date,End_Date)</t>
  </si>
  <si>
    <t>=-GL("Cell","Budget",E206,Start_Date,End_Date,,,,,,,,,,,,Budget_Name)</t>
  </si>
  <si>
    <t>=G206-H206</t>
  </si>
  <si>
    <t>=IF(G206=0,"-",IF(H206=0,"∞",(G206-H206)/H206))</t>
  </si>
  <si>
    <t>="300-5120-00"</t>
  </si>
  <si>
    <t>=GL("Cell","AccountName",E207)</t>
  </si>
  <si>
    <t>=-GL("Cell","Balance",E207,Start_Date,End_Date)</t>
  </si>
  <si>
    <t>=-GL("Cell","Budget",E207,Start_Date,End_Date,,,,,,,,,,,,Budget_Name)</t>
  </si>
  <si>
    <t>=G207-H207</t>
  </si>
  <si>
    <t>=IF(G207=0,"-",IF(H207=0,"∞",(G207-H207)/H207))</t>
  </si>
  <si>
    <t>="300-5130-00"</t>
  </si>
  <si>
    <t>=GL("Cell","AccountName",E208)</t>
  </si>
  <si>
    <t>=-GL("Cell","Balance",E208,Start_Date,End_Date)</t>
  </si>
  <si>
    <t>=-GL("Cell","Budget",E208,Start_Date,End_Date,,,,,,,,,,,,Budget_Name)</t>
  </si>
  <si>
    <t>=G208-H208</t>
  </si>
  <si>
    <t>=IF(G208=0,"-",IF(H208=0,"∞",(G208-H208)/H208))</t>
  </si>
  <si>
    <t>="300-5140-00"</t>
  </si>
  <si>
    <t>=GL("Cell","AccountName",E209)</t>
  </si>
  <si>
    <t>=-GL("Cell","Balance",E209,Start_Date,End_Date)</t>
  </si>
  <si>
    <t>=-GL("Cell","Budget",E209,Start_Date,End_Date,,,,,,,,,,,,Budget_Name)</t>
  </si>
  <si>
    <t>=G209-H209</t>
  </si>
  <si>
    <t>=IF(G209=0,"-",IF(H209=0,"∞",(G209-H209)/H209))</t>
  </si>
  <si>
    <t>="400-5100-00"</t>
  </si>
  <si>
    <t>=GL("Cell","AccountName",E210)</t>
  </si>
  <si>
    <t>=-GL("Cell","Balance",E210,Start_Date,End_Date)</t>
  </si>
  <si>
    <t>=-GL("Cell","Budget",E210,Start_Date,End_Date,,,,,,,,,,,,Budget_Name)</t>
  </si>
  <si>
    <t>=G210-H210</t>
  </si>
  <si>
    <t>=IF(G210=0,"-",IF(H210=0,"∞",(G210-H210)/H210))</t>
  </si>
  <si>
    <t>="400-5101-00"</t>
  </si>
  <si>
    <t>=GL("Cell","AccountName",E211)</t>
  </si>
  <si>
    <t>=-GL("Cell","Balance",E211,Start_Date,End_Date)</t>
  </si>
  <si>
    <t>=-GL("Cell","Budget",E211,Start_Date,End_Date,,,,,,,,,,,,Budget_Name)</t>
  </si>
  <si>
    <t>=G211-H211</t>
  </si>
  <si>
    <t>=IF(G211=0,"-",IF(H211=0,"∞",(G211-H211)/H211))</t>
  </si>
  <si>
    <t>="400-5110-00"</t>
  </si>
  <si>
    <t>=GL("Cell","AccountName",E212)</t>
  </si>
  <si>
    <t>=-GL("Cell","Balance",E212,Start_Date,End_Date)</t>
  </si>
  <si>
    <t>=-GL("Cell","Budget",E212,Start_Date,End_Date,,,,,,,,,,,,Budget_Name)</t>
  </si>
  <si>
    <t>=G212-H212</t>
  </si>
  <si>
    <t>=IF(G212=0,"-",IF(H212=0,"∞",(G212-H212)/H212))</t>
  </si>
  <si>
    <t>="400-5111-00"</t>
  </si>
  <si>
    <t>=GL("Cell","AccountName",E213)</t>
  </si>
  <si>
    <t>=-GL("Cell","Balance",E213,Start_Date,End_Date)</t>
  </si>
  <si>
    <t>=-GL("Cell","Budget",E213,Start_Date,End_Date,,,,,,,,,,,,Budget_Name)</t>
  </si>
  <si>
    <t>=G213-H213</t>
  </si>
  <si>
    <t>=IF(G213=0,"-",IF(H213=0,"∞",(G213-H213)/H213))</t>
  </si>
  <si>
    <t>="400-5120-00"</t>
  </si>
  <si>
    <t>=GL("Cell","AccountName",E214)</t>
  </si>
  <si>
    <t>=-GL("Cell","Balance",E214,Start_Date,End_Date)</t>
  </si>
  <si>
    <t>=-GL("Cell","Budget",E214,Start_Date,End_Date,,,,,,,,,,,,Budget_Name)</t>
  </si>
  <si>
    <t>=G214-H214</t>
  </si>
  <si>
    <t>=IF(G214=0,"-",IF(H214=0,"∞",(G214-H214)/H214))</t>
  </si>
  <si>
    <t>="400-5121-00"</t>
  </si>
  <si>
    <t>=GL("Cell","AccountName",E215)</t>
  </si>
  <si>
    <t>=-GL("Cell","Balance",E215,Start_Date,End_Date)</t>
  </si>
  <si>
    <t>=-GL("Cell","Budget",E215,Start_Date,End_Date,,,,,,,,,,,,Budget_Name)</t>
  </si>
  <si>
    <t>=G215-H215</t>
  </si>
  <si>
    <t>=IF(G215=0,"-",IF(H215=0,"∞",(G215-H215)/H215))</t>
  </si>
  <si>
    <t>="400-5130-00"</t>
  </si>
  <si>
    <t>=GL("Cell","AccountName",E216)</t>
  </si>
  <si>
    <t>=-GL("Cell","Balance",E216,Start_Date,End_Date)</t>
  </si>
  <si>
    <t>=-GL("Cell","Budget",E216,Start_Date,End_Date,,,,,,,,,,,,Budget_Name)</t>
  </si>
  <si>
    <t>=G216-H216</t>
  </si>
  <si>
    <t>=IF(G216=0,"-",IF(H216=0,"∞",(G216-H216)/H216))</t>
  </si>
  <si>
    <t>="400-5131-00"</t>
  </si>
  <si>
    <t>=GL("Cell","AccountName",E217)</t>
  </si>
  <si>
    <t>=-GL("Cell","Balance",E217,Start_Date,End_Date)</t>
  </si>
  <si>
    <t>=-GL("Cell","Budget",E217,Start_Date,End_Date,,,,,,,,,,,,Budget_Name)</t>
  </si>
  <si>
    <t>=G217-H217</t>
  </si>
  <si>
    <t>=IF(G217=0,"-",IF(H217=0,"∞",(G217-H217)/H217))</t>
  </si>
  <si>
    <t>="400-5140-00"</t>
  </si>
  <si>
    <t>=GL("Cell","AccountName",E218)</t>
  </si>
  <si>
    <t>=-GL("Cell","Balance",E218,Start_Date,End_Date)</t>
  </si>
  <si>
    <t>=-GL("Cell","Budget",E218,Start_Date,End_Date,,,,,,,,,,,,Budget_Name)</t>
  </si>
  <si>
    <t>=G218-H218</t>
  </si>
  <si>
    <t>=IF(G218=0,"-",IF(H218=0,"∞",(G218-H218)/H218))</t>
  </si>
  <si>
    <t>="400-5141-00"</t>
  </si>
  <si>
    <t>=GL("Cell","AccountName",E219)</t>
  </si>
  <si>
    <t>=-GL("Cell","Balance",E219,Start_Date,End_Date)</t>
  </si>
  <si>
    <t>=-GL("Cell","Budget",E219,Start_Date,End_Date,,,,,,,,,,,,Budget_Name)</t>
  </si>
  <si>
    <t>=G219-H219</t>
  </si>
  <si>
    <t>=IF(G219=0,"-",IF(H219=0,"∞",(G219-H219)/H219))</t>
  </si>
  <si>
    <t>="500-5100-00"</t>
  </si>
  <si>
    <t>=GL("Cell","AccountName",E220)</t>
  </si>
  <si>
    <t>=-GL("Cell","Balance",E220,Start_Date,End_Date)</t>
  </si>
  <si>
    <t>=-GL("Cell","Budget",E220,Start_Date,End_Date,,,,,,,,,,,,Budget_Name)</t>
  </si>
  <si>
    <t>=G220-H220</t>
  </si>
  <si>
    <t>=IF(G220=0,"-",IF(H220=0,"∞",(G220-H220)/H220))</t>
  </si>
  <si>
    <t>="500-5101-00"</t>
  </si>
  <si>
    <t>=GL("Cell","AccountName",E221)</t>
  </si>
  <si>
    <t>=-GL("Cell","Balance",E221,Start_Date,End_Date)</t>
  </si>
  <si>
    <t>=-GL("Cell","Budget",E221,Start_Date,End_Date,,,,,,,,,,,,Budget_Name)</t>
  </si>
  <si>
    <t>=G221-H221</t>
  </si>
  <si>
    <t>=IF(G221=0,"-",IF(H221=0,"∞",(G221-H221)/H221))</t>
  </si>
  <si>
    <t>="500-5110-00"</t>
  </si>
  <si>
    <t>=GL("Cell","AccountName",E222)</t>
  </si>
  <si>
    <t>=-GL("Cell","Balance",E222,Start_Date,End_Date)</t>
  </si>
  <si>
    <t>=-GL("Cell","Budget",E222,Start_Date,End_Date,,,,,,,,,,,,Budget_Name)</t>
  </si>
  <si>
    <t>=G222-H222</t>
  </si>
  <si>
    <t>=IF(G222=0,"-",IF(H222=0,"∞",(G222-H222)/H222))</t>
  </si>
  <si>
    <t>="500-5111-00"</t>
  </si>
  <si>
    <t>=GL("Cell","AccountName",E223)</t>
  </si>
  <si>
    <t>=-GL("Cell","Balance",E223,Start_Date,End_Date)</t>
  </si>
  <si>
    <t>=-GL("Cell","Budget",E223,Start_Date,End_Date,,,,,,,,,,,,Budget_Name)</t>
  </si>
  <si>
    <t>=G223-H223</t>
  </si>
  <si>
    <t>=IF(G223=0,"-",IF(H223=0,"∞",(G223-H223)/H223))</t>
  </si>
  <si>
    <t>="500-5120-00"</t>
  </si>
  <si>
    <t>=GL("Cell","AccountName",E224)</t>
  </si>
  <si>
    <t>=-GL("Cell","Balance",E224,Start_Date,End_Date)</t>
  </si>
  <si>
    <t>=-GL("Cell","Budget",E224,Start_Date,End_Date,,,,,,,,,,,,Budget_Name)</t>
  </si>
  <si>
    <t>=G224-H224</t>
  </si>
  <si>
    <t>=IF(G224=0,"-",IF(H224=0,"∞",(G224-H224)/H224))</t>
  </si>
  <si>
    <t>="500-5121-00"</t>
  </si>
  <si>
    <t>=GL("Cell","AccountName",E225)</t>
  </si>
  <si>
    <t>=-GL("Cell","Balance",E225,Start_Date,End_Date)</t>
  </si>
  <si>
    <t>=-GL("Cell","Budget",E225,Start_Date,End_Date,,,,,,,,,,,,Budget_Name)</t>
  </si>
  <si>
    <t>=G225-H225</t>
  </si>
  <si>
    <t>=IF(G225=0,"-",IF(H225=0,"∞",(G225-H225)/H225))</t>
  </si>
  <si>
    <t>="500-5130-00"</t>
  </si>
  <si>
    <t>=GL("Cell","AccountName",E226)</t>
  </si>
  <si>
    <t>=-GL("Cell","Balance",E226,Start_Date,End_Date)</t>
  </si>
  <si>
    <t>=-GL("Cell","Budget",E226,Start_Date,End_Date,,,,,,,,,,,,Budget_Name)</t>
  </si>
  <si>
    <t>=G226-H226</t>
  </si>
  <si>
    <t>=IF(G226=0,"-",IF(H226=0,"∞",(G226-H226)/H226))</t>
  </si>
  <si>
    <t>="500-5131-00"</t>
  </si>
  <si>
    <t>=GL("Cell","AccountName",E227)</t>
  </si>
  <si>
    <t>=-GL("Cell","Balance",E227,Start_Date,End_Date)</t>
  </si>
  <si>
    <t>=-GL("Cell","Budget",E227,Start_Date,End_Date,,,,,,,,,,,,Budget_Name)</t>
  </si>
  <si>
    <t>=G227-H227</t>
  </si>
  <si>
    <t>=IF(G227=0,"-",IF(H227=0,"∞",(G227-H227)/H227))</t>
  </si>
  <si>
    <t>="500-5140-00"</t>
  </si>
  <si>
    <t>=GL("Cell","AccountName",E228)</t>
  </si>
  <si>
    <t>=-GL("Cell","Balance",E228,Start_Date,End_Date)</t>
  </si>
  <si>
    <t>=-GL("Cell","Budget",E228,Start_Date,End_Date,,,,,,,,,,,,Budget_Name)</t>
  </si>
  <si>
    <t>=G228-H228</t>
  </si>
  <si>
    <t>=IF(G228=0,"-",IF(H228=0,"∞",(G228-H228)/H228))</t>
  </si>
  <si>
    <t>="500-5141-00"</t>
  </si>
  <si>
    <t>=GL("Cell","AccountName",E229)</t>
  </si>
  <si>
    <t>=-GL("Cell","Balance",E229,Start_Date,End_Date)</t>
  </si>
  <si>
    <t>=-GL("Cell","Budget",E229,Start_Date,End_Date,,,,,,,,,,,,Budget_Name)</t>
  </si>
  <si>
    <t>=G229-H229</t>
  </si>
  <si>
    <t>=IF(G229=0,"-",IF(H229=0,"∞",(G229-H229)/H229))</t>
  </si>
  <si>
    <t>="600-5100-00"</t>
  </si>
  <si>
    <t>=GL("Cell","AccountName",E230)</t>
  </si>
  <si>
    <t>=-GL("Cell","Balance",E230,Start_Date,End_Date)</t>
  </si>
  <si>
    <t>=-GL("Cell","Budget",E230,Start_Date,End_Date,,,,,,,,,,,,Budget_Name)</t>
  </si>
  <si>
    <t>=G230-H230</t>
  </si>
  <si>
    <t>=IF(G230=0,"-",IF(H230=0,"∞",(G230-H230)/H230))</t>
  </si>
  <si>
    <t>="600-5110-00"</t>
  </si>
  <si>
    <t>=GL("Cell","AccountName",E231)</t>
  </si>
  <si>
    <t>=-GL("Cell","Balance",E231,Start_Date,End_Date)</t>
  </si>
  <si>
    <t>=-GL("Cell","Budget",E231,Start_Date,End_Date,,,,,,,,,,,,Budget_Name)</t>
  </si>
  <si>
    <t>=G231-H231</t>
  </si>
  <si>
    <t>=IF(G231=0,"-",IF(H231=0,"∞",(G231-H231)/H231))</t>
  </si>
  <si>
    <t>="600-5120-00"</t>
  </si>
  <si>
    <t>=GL("Cell","AccountName",E232)</t>
  </si>
  <si>
    <t>=-GL("Cell","Balance",E232,Start_Date,End_Date)</t>
  </si>
  <si>
    <t>=-GL("Cell","Budget",E232,Start_Date,End_Date,,,,,,,,,,,,Budget_Name)</t>
  </si>
  <si>
    <t>=G232-H232</t>
  </si>
  <si>
    <t>=IF(G232=0,"-",IF(H232=0,"∞",(G232-H232)/H232))</t>
  </si>
  <si>
    <t>="600-5140-00"</t>
  </si>
  <si>
    <t>=GL("Cell","AccountName",E233)</t>
  </si>
  <si>
    <t>=-GL("Cell","Balance",E233,Start_Date,End_Date)</t>
  </si>
  <si>
    <t>=-GL("Cell","Budget",E233,Start_Date,End_Date,,,,,,,,,,,,Budget_Name)</t>
  </si>
  <si>
    <t>=G233-H233</t>
  </si>
  <si>
    <t>=IF(G233=0,"-",IF(H233=0,"∞",(G233-H233)/H233))</t>
  </si>
  <si>
    <t>=NL("First","GL00102","ACCATDSC","ACCATNUM",B235)</t>
  </si>
  <si>
    <t>=SUBTOTAL(9,G236:G254)</t>
  </si>
  <si>
    <t>=SUBTOTAL(9,H236:H254)</t>
  </si>
  <si>
    <t>=G235-H235</t>
  </si>
  <si>
    <t>=IF(G235=0,"-",IF(H235=0,"∞",(G235-H235)/H235))</t>
  </si>
  <si>
    <t>=GL("Rows","Accounts",,,,B235)</t>
  </si>
  <si>
    <t>=GL("Cell","AccountName",E236)</t>
  </si>
  <si>
    <t>=-GL("Cell","Balance",E236,Start_Date,End_Date)</t>
  </si>
  <si>
    <t>=-GL("Cell","Budget",E236,Start_Date,End_Date,,,,,,,,,,,,Budget_Name)</t>
  </si>
  <si>
    <t>=G236-H236</t>
  </si>
  <si>
    <t>=IF(G236=0,"-",IF(H236=0,"∞",(G236-H236)/H236))</t>
  </si>
  <si>
    <t>="100-5160-00"</t>
  </si>
  <si>
    <t>=GL("Cell","AccountName",E237)</t>
  </si>
  <si>
    <t>=-GL("Cell","Balance",E237,Start_Date,End_Date)</t>
  </si>
  <si>
    <t>=-GL("Cell","Budget",E237,Start_Date,End_Date,,,,,,,,,,,,Budget_Name)</t>
  </si>
  <si>
    <t>=G237-H237</t>
  </si>
  <si>
    <t>=IF(G237=0,"-",IF(H237=0,"∞",(G237-H237)/H237))</t>
  </si>
  <si>
    <t>="100-6100-00"</t>
  </si>
  <si>
    <t>=GL("Cell","AccountName",E238)</t>
  </si>
  <si>
    <t>=-GL("Cell","Balance",E238,Start_Date,End_Date)</t>
  </si>
  <si>
    <t>=-GL("Cell","Budget",E238,Start_Date,End_Date,,,,,,,,,,,,Budget_Name)</t>
  </si>
  <si>
    <t>=G238-H238</t>
  </si>
  <si>
    <t>=IF(G238=0,"-",IF(H238=0,"∞",(G238-H238)/H238))</t>
  </si>
  <si>
    <t>="200-5150-00"</t>
  </si>
  <si>
    <t>=GL("Cell","AccountName",E239)</t>
  </si>
  <si>
    <t>=-GL("Cell","Balance",E239,Start_Date,End_Date)</t>
  </si>
  <si>
    <t>=-GL("Cell","Budget",E239,Start_Date,End_Date,,,,,,,,,,,,Budget_Name)</t>
  </si>
  <si>
    <t>=G239-H239</t>
  </si>
  <si>
    <t>=IF(G239=0,"-",IF(H239=0,"∞",(G239-H239)/H239))</t>
  </si>
  <si>
    <t>="200-5160-00"</t>
  </si>
  <si>
    <t>=GL("Cell","AccountName",E240)</t>
  </si>
  <si>
    <t>=-GL("Cell","Balance",E240,Start_Date,End_Date)</t>
  </si>
  <si>
    <t>=-GL("Cell","Budget",E240,Start_Date,End_Date,,,,,,,,,,,,Budget_Name)</t>
  </si>
  <si>
    <t>=G240-H240</t>
  </si>
  <si>
    <t>=IF(G240=0,"-",IF(H240=0,"∞",(G240-H240)/H240))</t>
  </si>
  <si>
    <t>="200-6100-00"</t>
  </si>
  <si>
    <t>=GL("Cell","AccountName",E241)</t>
  </si>
  <si>
    <t>=-GL("Cell","Balance",E241,Start_Date,End_Date)</t>
  </si>
  <si>
    <t>=-GL("Cell","Budget",E241,Start_Date,End_Date,,,,,,,,,,,,Budget_Name)</t>
  </si>
  <si>
    <t>=G241-H241</t>
  </si>
  <si>
    <t>=IF(G241=0,"-",IF(H241=0,"∞",(G241-H241)/H241))</t>
  </si>
  <si>
    <t>="300-5150-00"</t>
  </si>
  <si>
    <t>=GL("Cell","AccountName",E242)</t>
  </si>
  <si>
    <t>=-GL("Cell","Balance",E242,Start_Date,End_Date)</t>
  </si>
  <si>
    <t>=-GL("Cell","Budget",E242,Start_Date,End_Date,,,,,,,,,,,,Budget_Name)</t>
  </si>
  <si>
    <t>=G242-H242</t>
  </si>
  <si>
    <t>=IF(G242=0,"-",IF(H242=0,"∞",(G242-H242)/H242))</t>
  </si>
  <si>
    <t>="300-5160-00"</t>
  </si>
  <si>
    <t>=GL("Cell","AccountName",E243)</t>
  </si>
  <si>
    <t>=-GL("Cell","Balance",E243,Start_Date,End_Date)</t>
  </si>
  <si>
    <t>=-GL("Cell","Budget",E243,Start_Date,End_Date,,,,,,,,,,,,Budget_Name)</t>
  </si>
  <si>
    <t>=G243-H243</t>
  </si>
  <si>
    <t>=IF(G243=0,"-",IF(H243=0,"∞",(G243-H243)/H243))</t>
  </si>
  <si>
    <t>="300-6100-00"</t>
  </si>
  <si>
    <t>=GL("Cell","AccountName",E244)</t>
  </si>
  <si>
    <t>=-GL("Cell","Balance",E244,Start_Date,End_Date)</t>
  </si>
  <si>
    <t>=-GL("Cell","Budget",E244,Start_Date,End_Date,,,,,,,,,,,,Budget_Name)</t>
  </si>
  <si>
    <t>=G244-H244</t>
  </si>
  <si>
    <t>=IF(G244=0,"-",IF(H244=0,"∞",(G244-H244)/H244))</t>
  </si>
  <si>
    <t>="400-5150-00"</t>
  </si>
  <si>
    <t>=GL("Cell","AccountName",E245)</t>
  </si>
  <si>
    <t>=-GL("Cell","Balance",E245,Start_Date,End_Date)</t>
  </si>
  <si>
    <t>=-GL("Cell","Budget",E245,Start_Date,End_Date,,,,,,,,,,,,Budget_Name)</t>
  </si>
  <si>
    <t>=G245-H245</t>
  </si>
  <si>
    <t>=IF(G245=0,"-",IF(H245=0,"∞",(G245-H245)/H245))</t>
  </si>
  <si>
    <t>="400-5160-00"</t>
  </si>
  <si>
    <t>=GL("Cell","AccountName",E246)</t>
  </si>
  <si>
    <t>=-GL("Cell","Balance",E246,Start_Date,End_Date)</t>
  </si>
  <si>
    <t>=-GL("Cell","Budget",E246,Start_Date,End_Date,,,,,,,,,,,,Budget_Name)</t>
  </si>
  <si>
    <t>=G246-H246</t>
  </si>
  <si>
    <t>=IF(G246=0,"-",IF(H246=0,"∞",(G246-H246)/H246))</t>
  </si>
  <si>
    <t>="400-6100-00"</t>
  </si>
  <si>
    <t>=GL("Cell","AccountName",E247)</t>
  </si>
  <si>
    <t>=-GL("Cell","Balance",E247,Start_Date,End_Date)</t>
  </si>
  <si>
    <t>=-GL("Cell","Budget",E247,Start_Date,End_Date,,,,,,,,,,,,Budget_Name)</t>
  </si>
  <si>
    <t>=G247-H247</t>
  </si>
  <si>
    <t>=IF(G247=0,"-",IF(H247=0,"∞",(G247-H247)/H247))</t>
  </si>
  <si>
    <t>="500-5150-00"</t>
  </si>
  <si>
    <t>=GL("Cell","AccountName",E248)</t>
  </si>
  <si>
    <t>=-GL("Cell","Balance",E248,Start_Date,End_Date)</t>
  </si>
  <si>
    <t>=-GL("Cell","Budget",E248,Start_Date,End_Date,,,,,,,,,,,,Budget_Name)</t>
  </si>
  <si>
    <t>=G248-H248</t>
  </si>
  <si>
    <t>=IF(G248=0,"-",IF(H248=0,"∞",(G248-H248)/H248))</t>
  </si>
  <si>
    <t>="500-5160-00"</t>
  </si>
  <si>
    <t>=GL("Cell","AccountName",E249)</t>
  </si>
  <si>
    <t>=-GL("Cell","Balance",E249,Start_Date,End_Date)</t>
  </si>
  <si>
    <t>=-GL("Cell","Budget",E249,Start_Date,End_Date,,,,,,,,,,,,Budget_Name)</t>
  </si>
  <si>
    <t>=G249-H249</t>
  </si>
  <si>
    <t>=IF(G249=0,"-",IF(H249=0,"∞",(G249-H249)/H249))</t>
  </si>
  <si>
    <t>="500-6100-00"</t>
  </si>
  <si>
    <t>=GL("Cell","AccountName",E250)</t>
  </si>
  <si>
    <t>=-GL("Cell","Balance",E250,Start_Date,End_Date)</t>
  </si>
  <si>
    <t>=-GL("Cell","Budget",E250,Start_Date,End_Date,,,,,,,,,,,,Budget_Name)</t>
  </si>
  <si>
    <t>=G250-H250</t>
  </si>
  <si>
    <t>=IF(G250=0,"-",IF(H250=0,"∞",(G250-H250)/H250))</t>
  </si>
  <si>
    <t>="600-5150-00"</t>
  </si>
  <si>
    <t>=GL("Cell","AccountName",E251)</t>
  </si>
  <si>
    <t>=-GL("Cell","Balance",E251,Start_Date,End_Date)</t>
  </si>
  <si>
    <t>=-GL("Cell","Budget",E251,Start_Date,End_Date,,,,,,,,,,,,Budget_Name)</t>
  </si>
  <si>
    <t>=G251-H251</t>
  </si>
  <si>
    <t>=IF(G251=0,"-",IF(H251=0,"∞",(G251-H251)/H251))</t>
  </si>
  <si>
    <t>="600-5160-00"</t>
  </si>
  <si>
    <t>=GL("Cell","AccountName",E252)</t>
  </si>
  <si>
    <t>=-GL("Cell","Balance",E252,Start_Date,End_Date)</t>
  </si>
  <si>
    <t>=-GL("Cell","Budget",E252,Start_Date,End_Date,,,,,,,,,,,,Budget_Name)</t>
  </si>
  <si>
    <t>=G252-H252</t>
  </si>
  <si>
    <t>=IF(G252=0,"-",IF(H252=0,"∞",(G252-H252)/H252))</t>
  </si>
  <si>
    <t>="600-6100-00"</t>
  </si>
  <si>
    <t>=GL("Cell","AccountName",E253)</t>
  </si>
  <si>
    <t>=-GL("Cell","Balance",E253,Start_Date,End_Date)</t>
  </si>
  <si>
    <t>=-GL("Cell","Budget",E253,Start_Date,End_Date,,,,,,,,,,,,Budget_Name)</t>
  </si>
  <si>
    <t>=G253-H253</t>
  </si>
  <si>
    <t>=IF(G253=0,"-",IF(H253=0,"∞",(G253-H253)/H253))</t>
  </si>
  <si>
    <t>=NL("First","GL00102","ACCATDSC","ACCATNUM",B255)</t>
  </si>
  <si>
    <t>=SUBTOTAL(9,G256:G260)</t>
  </si>
  <si>
    <t>=SUBTOTAL(9,H256:H260)</t>
  </si>
  <si>
    <t>=G255-H255</t>
  </si>
  <si>
    <t>=IF(G255=0,"-",IF(H255=0,"∞",(G255-H255)/H255))</t>
  </si>
  <si>
    <t>=GL("Rows","Accounts",,,,B255)</t>
  </si>
  <si>
    <t>=GL("Cell","AccountName",E256)</t>
  </si>
  <si>
    <t>=-GL("Cell","Balance",E256,Start_Date,End_Date)</t>
  </si>
  <si>
    <t>=-GL("Cell","Budget",E256,Start_Date,End_Date,,,,,,,,,,,,Budget_Name)</t>
  </si>
  <si>
    <t>=G256-H256</t>
  </si>
  <si>
    <t>=IF(G256=0,"-",IF(H256=0,"∞",(G256-H256)/H256))</t>
  </si>
  <si>
    <t>="000-6210-00"</t>
  </si>
  <si>
    <t>=GL("Cell","AccountName",E257)</t>
  </si>
  <si>
    <t>=-GL("Cell","Balance",E257,Start_Date,End_Date)</t>
  </si>
  <si>
    <t>=-GL("Cell","Budget",E257,Start_Date,End_Date,,,,,,,,,,,,Budget_Name)</t>
  </si>
  <si>
    <t>=G257-H257</t>
  </si>
  <si>
    <t>=IF(G257=0,"-",IF(H257=0,"∞",(G257-H257)/H257))</t>
  </si>
  <si>
    <t>="000-6220-00"</t>
  </si>
  <si>
    <t>=GL("Cell","AccountName",E258)</t>
  </si>
  <si>
    <t>=-GL("Cell","Balance",E258,Start_Date,End_Date)</t>
  </si>
  <si>
    <t>=-GL("Cell","Budget",E258,Start_Date,End_Date,,,,,,,,,,,,Budget_Name)</t>
  </si>
  <si>
    <t>=G258-H258</t>
  </si>
  <si>
    <t>=IF(G258=0,"-",IF(H258=0,"∞",(G258-H258)/H258))</t>
  </si>
  <si>
    <t>="000-6230-00"</t>
  </si>
  <si>
    <t>=GL("Cell","AccountName",E259)</t>
  </si>
  <si>
    <t>=-GL("Cell","Balance",E259,Start_Date,End_Date)</t>
  </si>
  <si>
    <t>=-GL("Cell","Budget",E259,Start_Date,End_Date,,,,,,,,,,,,Budget_Name)</t>
  </si>
  <si>
    <t>=G259-H259</t>
  </si>
  <si>
    <t>=IF(G259=0,"-",IF(H259=0,"∞",(G259-H259)/H259))</t>
  </si>
  <si>
    <t>=NL("First","GL00102","ACCATDSC","ACCATNUM",B261)</t>
  </si>
  <si>
    <t>=SUBTOTAL(9,G262:G263)</t>
  </si>
  <si>
    <t>=SUBTOTAL(9,H262:H263)</t>
  </si>
  <si>
    <t>=G261-H261</t>
  </si>
  <si>
    <t>=IF(G261=0,"-",IF(H261=0,"∞",(G261-H261)/H261))</t>
  </si>
  <si>
    <t>=GL("Rows","Accounts",,,,B261)</t>
  </si>
  <si>
    <t>=GL("Cell","AccountName",E262)</t>
  </si>
  <si>
    <t>=-GL("Cell","Balance",E262,Start_Date,End_Date)</t>
  </si>
  <si>
    <t>=-GL("Cell","Budget",E262,Start_Date,End_Date,,,,,,,,,,,,Budget_Name)</t>
  </si>
  <si>
    <t>=G262-H262</t>
  </si>
  <si>
    <t>=IF(G262=0,"-",IF(H262=0,"∞",(G262-H262)/H262))</t>
  </si>
  <si>
    <t>=SUBTOTAL(9,G93:G263)</t>
  </si>
  <si>
    <t>=SUBTOTAL(9,H93:H263)</t>
  </si>
  <si>
    <t>=G264-H264</t>
  </si>
  <si>
    <t>=IF(G264=0,"-",IF(H264=0,"∞",(G264-H264)/H264))</t>
  </si>
  <si>
    <t>=G88+G264</t>
  </si>
  <si>
    <t>=H88+H264</t>
  </si>
  <si>
    <t>=G265-H265</t>
  </si>
  <si>
    <t>=IF(G265=0,"-",IF(H265=0,"∞",(G265-H265)/H265))</t>
  </si>
  <si>
    <t>=NL("First","GL00102","ACCATDSC","ACCATNUM",B269)</t>
  </si>
  <si>
    <t>=SUBTOTAL(9,G270:G304)</t>
  </si>
  <si>
    <t>=SUBTOTAL(9,H270:H304)</t>
  </si>
  <si>
    <t>=G269-H269</t>
  </si>
  <si>
    <t>=IF(G269=0,"-",IF(H269=0,"∞",(G269-H269)/H269))</t>
  </si>
  <si>
    <t>=GL("Rows","Accounts",,,,B269)</t>
  </si>
  <si>
    <t>=GL("Cell","AccountName",E270)</t>
  </si>
  <si>
    <t>=-GL("Cell","Balance",E270,Start_Date,End_Date)</t>
  </si>
  <si>
    <t>=-GL("Cell","Budget",E270,Start_Date,End_Date,,,,,,,,,,,,Budget_Name)</t>
  </si>
  <si>
    <t>=G270-H270</t>
  </si>
  <si>
    <t>=IF(G270=0,"-",IF(H270=0,"∞",(G270-H270)/H270))</t>
  </si>
  <si>
    <t>="000-7020-00"</t>
  </si>
  <si>
    <t>=GL("Cell","AccountName",E271)</t>
  </si>
  <si>
    <t>=-GL("Cell","Balance",E271,Start_Date,End_Date)</t>
  </si>
  <si>
    <t>=-GL("Cell","Budget",E271,Start_Date,End_Date,,,,,,,,,,,,Budget_Name)</t>
  </si>
  <si>
    <t>=G271-H271</t>
  </si>
  <si>
    <t>=IF(G271=0,"-",IF(H271=0,"∞",(G271-H271)/H271))</t>
  </si>
  <si>
    <t>="000-7040-00"</t>
  </si>
  <si>
    <t>=GL("Cell","AccountName",E272)</t>
  </si>
  <si>
    <t>=-GL("Cell","Balance",E272,Start_Date,End_Date)</t>
  </si>
  <si>
    <t>=-GL("Cell","Budget",E272,Start_Date,End_Date,,,,,,,,,,,,Budget_Name)</t>
  </si>
  <si>
    <t>=G272-H272</t>
  </si>
  <si>
    <t>=IF(G272=0,"-",IF(H272=0,"∞",(G272-H272)/H272))</t>
  </si>
  <si>
    <t>="000-7041-00"</t>
  </si>
  <si>
    <t>=GL("Cell","AccountName",E273)</t>
  </si>
  <si>
    <t>=-GL("Cell","Balance",E273,Start_Date,End_Date)</t>
  </si>
  <si>
    <t>=-GL("Cell","Budget",E273,Start_Date,End_Date,,,,,,,,,,,,Budget_Name)</t>
  </si>
  <si>
    <t>=G273-H273</t>
  </si>
  <si>
    <t>=IF(G273=0,"-",IF(H273=0,"∞",(G273-H273)/H273))</t>
  </si>
  <si>
    <t>="000-7100-00"</t>
  </si>
  <si>
    <t>=GL("Cell","AccountName",E274)</t>
  </si>
  <si>
    <t>=-GL("Cell","Balance",E274,Start_Date,End_Date)</t>
  </si>
  <si>
    <t>=-GL("Cell","Budget",E274,Start_Date,End_Date,,,,,,,,,,,,Budget_Name)</t>
  </si>
  <si>
    <t>=G274-H274</t>
  </si>
  <si>
    <t>=IF(G274=0,"-",IF(H274=0,"∞",(G274-H274)/H274))</t>
  </si>
  <si>
    <t>="000-7101-00"</t>
  </si>
  <si>
    <t>=GL("Cell","AccountName",E275)</t>
  </si>
  <si>
    <t>=-GL("Cell","Balance",E275,Start_Date,End_Date)</t>
  </si>
  <si>
    <t>=-GL("Cell","Budget",E275,Start_Date,End_Date,,,,,,,,,,,,Budget_Name)</t>
  </si>
  <si>
    <t>=G275-H275</t>
  </si>
  <si>
    <t>=IF(G275=0,"-",IF(H275=0,"∞",(G275-H275)/H275))</t>
  </si>
  <si>
    <t>="000-7102-00"</t>
  </si>
  <si>
    <t>=GL("Cell","AccountName",E276)</t>
  </si>
  <si>
    <t>=-GL("Cell","Balance",E276,Start_Date,End_Date)</t>
  </si>
  <si>
    <t>=-GL("Cell","Budget",E276,Start_Date,End_Date,,,,,,,,,,,,Budget_Name)</t>
  </si>
  <si>
    <t>=G276-H276</t>
  </si>
  <si>
    <t>=IF(G276=0,"-",IF(H276=0,"∞",(G276-H276)/H276))</t>
  </si>
  <si>
    <t>="000-7103-00"</t>
  </si>
  <si>
    <t>=GL("Cell","AccountName",E277)</t>
  </si>
  <si>
    <t>=-GL("Cell","Balance",E277,Start_Date,End_Date)</t>
  </si>
  <si>
    <t>=-GL("Cell","Budget",E277,Start_Date,End_Date,,,,,,,,,,,,Budget_Name)</t>
  </si>
  <si>
    <t>=G277-H277</t>
  </si>
  <si>
    <t>=IF(G277=0,"-",IF(H277=0,"∞",(G277-H277)/H277))</t>
  </si>
  <si>
    <t>="000-7200-00"</t>
  </si>
  <si>
    <t>=GL("Cell","AccountName",E278)</t>
  </si>
  <si>
    <t>=-GL("Cell","Balance",E278,Start_Date,End_Date)</t>
  </si>
  <si>
    <t>=-GL("Cell","Budget",E278,Start_Date,End_Date,,,,,,,,,,,,Budget_Name)</t>
  </si>
  <si>
    <t>=G278-H278</t>
  </si>
  <si>
    <t>=IF(G278=0,"-",IF(H278=0,"∞",(G278-H278)/H278))</t>
  </si>
  <si>
    <t>="000-7201-00"</t>
  </si>
  <si>
    <t>=GL("Cell","AccountName",E279)</t>
  </si>
  <si>
    <t>=-GL("Cell","Balance",E279,Start_Date,End_Date)</t>
  </si>
  <si>
    <t>=-GL("Cell","Budget",E279,Start_Date,End_Date,,,,,,,,,,,,Budget_Name)</t>
  </si>
  <si>
    <t>=G279-H279</t>
  </si>
  <si>
    <t>=IF(G279=0,"-",IF(H279=0,"∞",(G279-H279)/H279))</t>
  </si>
  <si>
    <t>="000-7202-00"</t>
  </si>
  <si>
    <t>=GL("Cell","AccountName",E280)</t>
  </si>
  <si>
    <t>=-GL("Cell","Balance",E280,Start_Date,End_Date)</t>
  </si>
  <si>
    <t>=-GL("Cell","Budget",E280,Start_Date,End_Date,,,,,,,,,,,,Budget_Name)</t>
  </si>
  <si>
    <t>=G280-H280</t>
  </si>
  <si>
    <t>=IF(G280=0,"-",IF(H280=0,"∞",(G280-H280)/H280))</t>
  </si>
  <si>
    <t>="000-7203-00"</t>
  </si>
  <si>
    <t>=GL("Cell","AccountName",E281)</t>
  </si>
  <si>
    <t>=-GL("Cell","Balance",E281,Start_Date,End_Date)</t>
  </si>
  <si>
    <t>=-GL("Cell","Budget",E281,Start_Date,End_Date,,,,,,,,,,,,Budget_Name)</t>
  </si>
  <si>
    <t>=G281-H281</t>
  </si>
  <si>
    <t>=IF(G281=0,"-",IF(H281=0,"∞",(G281-H281)/H281))</t>
  </si>
  <si>
    <t>="000-7204-00"</t>
  </si>
  <si>
    <t>=GL("Cell","AccountName",E282)</t>
  </si>
  <si>
    <t>=-GL("Cell","Balance",E282,Start_Date,End_Date)</t>
  </si>
  <si>
    <t>=-GL("Cell","Budget",E282,Start_Date,End_Date,,,,,,,,,,,,Budget_Name)</t>
  </si>
  <si>
    <t>=G282-H282</t>
  </si>
  <si>
    <t>=IF(G282=0,"-",IF(H282=0,"∞",(G282-H282)/H282))</t>
  </si>
  <si>
    <t>="000-7205-00"</t>
  </si>
  <si>
    <t>=GL("Cell","AccountName",E283)</t>
  </si>
  <si>
    <t>=-GL("Cell","Balance",E283,Start_Date,End_Date)</t>
  </si>
  <si>
    <t>=-GL("Cell","Budget",E283,Start_Date,End_Date,,,,,,,,,,,,Budget_Name)</t>
  </si>
  <si>
    <t>=G283-H283</t>
  </si>
  <si>
    <t>=IF(G283=0,"-",IF(H283=0,"∞",(G283-H283)/H283))</t>
  </si>
  <si>
    <t>="000-7206-00"</t>
  </si>
  <si>
    <t>=GL("Cell","AccountName",E284)</t>
  </si>
  <si>
    <t>=-GL("Cell","Balance",E284,Start_Date,End_Date)</t>
  </si>
  <si>
    <t>=-GL("Cell","Budget",E284,Start_Date,End_Date,,,,,,,,,,,,Budget_Name)</t>
  </si>
  <si>
    <t>=G284-H284</t>
  </si>
  <si>
    <t>=IF(G284=0,"-",IF(H284=0,"∞",(G284-H284)/H284))</t>
  </si>
  <si>
    <t>="000-7207-00"</t>
  </si>
  <si>
    <t>=GL("Cell","AccountName",E285)</t>
  </si>
  <si>
    <t>=-GL("Cell","Balance",E285,Start_Date,End_Date)</t>
  </si>
  <si>
    <t>=-GL("Cell","Budget",E285,Start_Date,End_Date,,,,,,,,,,,,Budget_Name)</t>
  </si>
  <si>
    <t>=G285-H285</t>
  </si>
  <si>
    <t>=IF(G285=0,"-",IF(H285=0,"∞",(G285-H285)/H285))</t>
  </si>
  <si>
    <t>="000-7300-00"</t>
  </si>
  <si>
    <t>=GL("Cell","AccountName",E286)</t>
  </si>
  <si>
    <t>=-GL("Cell","Balance",E286,Start_Date,End_Date)</t>
  </si>
  <si>
    <t>=-GL("Cell","Budget",E286,Start_Date,End_Date,,,,,,,,,,,,Budget_Name)</t>
  </si>
  <si>
    <t>=G286-H286</t>
  </si>
  <si>
    <t>=IF(G286=0,"-",IF(H286=0,"∞",(G286-H286)/H286))</t>
  </si>
  <si>
    <t>="000-7301-00"</t>
  </si>
  <si>
    <t>=GL("Cell","AccountName",E287)</t>
  </si>
  <si>
    <t>=-GL("Cell","Balance",E287,Start_Date,End_Date)</t>
  </si>
  <si>
    <t>=-GL("Cell","Budget",E287,Start_Date,End_Date,,,,,,,,,,,,Budget_Name)</t>
  </si>
  <si>
    <t>=G287-H287</t>
  </si>
  <si>
    <t>=IF(G287=0,"-",IF(H287=0,"∞",(G287-H287)/H287))</t>
  </si>
  <si>
    <t>="000-7302-00"</t>
  </si>
  <si>
    <t>=GL("Cell","AccountName",E288)</t>
  </si>
  <si>
    <t>=-GL("Cell","Balance",E288,Start_Date,End_Date)</t>
  </si>
  <si>
    <t>=-GL("Cell","Budget",E288,Start_Date,End_Date,,,,,,,,,,,,Budget_Name)</t>
  </si>
  <si>
    <t>=G288-H288</t>
  </si>
  <si>
    <t>=IF(G288=0,"-",IF(H288=0,"∞",(G288-H288)/H288))</t>
  </si>
  <si>
    <t>="000-7303-00"</t>
  </si>
  <si>
    <t>=GL("Cell","AccountName",E289)</t>
  </si>
  <si>
    <t>=-GL("Cell","Balance",E289,Start_Date,End_Date)</t>
  </si>
  <si>
    <t>=-GL("Cell","Budget",E289,Start_Date,End_Date,,,,,,,,,,,,Budget_Name)</t>
  </si>
  <si>
    <t>=G289-H289</t>
  </si>
  <si>
    <t>=IF(G289=0,"-",IF(H289=0,"∞",(G289-H289)/H289))</t>
  </si>
  <si>
    <t>="000-7304-00"</t>
  </si>
  <si>
    <t>=GL("Cell","AccountName",E290)</t>
  </si>
  <si>
    <t>=-GL("Cell","Balance",E290,Start_Date,End_Date)</t>
  </si>
  <si>
    <t>=-GL("Cell","Budget",E290,Start_Date,End_Date,,,,,,,,,,,,Budget_Name)</t>
  </si>
  <si>
    <t>=G290-H290</t>
  </si>
  <si>
    <t>=IF(G290=0,"-",IF(H290=0,"∞",(G290-H290)/H290))</t>
  </si>
  <si>
    <t>="000-7305-00"</t>
  </si>
  <si>
    <t>=GL("Cell","AccountName",E291)</t>
  </si>
  <si>
    <t>=-GL("Cell","Balance",E291,Start_Date,End_Date)</t>
  </si>
  <si>
    <t>=-GL("Cell","Budget",E291,Start_Date,End_Date,,,,,,,,,,,,Budget_Name)</t>
  </si>
  <si>
    <t>=G291-H291</t>
  </si>
  <si>
    <t>=IF(G291=0,"-",IF(H291=0,"∞",(G291-H291)/H291))</t>
  </si>
  <si>
    <t>="000-7306-00"</t>
  </si>
  <si>
    <t>=GL("Cell","AccountName",E292)</t>
  </si>
  <si>
    <t>=-GL("Cell","Balance",E292,Start_Date,End_Date)</t>
  </si>
  <si>
    <t>=-GL("Cell","Budget",E292,Start_Date,End_Date,,,,,,,,,,,,Budget_Name)</t>
  </si>
  <si>
    <t>=G292-H292</t>
  </si>
  <si>
    <t>=IF(G292=0,"-",IF(H292=0,"∞",(G292-H292)/H292))</t>
  </si>
  <si>
    <t>="000-7307-00"</t>
  </si>
  <si>
    <t>=GL("Cell","AccountName",E293)</t>
  </si>
  <si>
    <t>=-GL("Cell","Balance",E293,Start_Date,End_Date)</t>
  </si>
  <si>
    <t>=-GL("Cell","Budget",E293,Start_Date,End_Date,,,,,,,,,,,,Budget_Name)</t>
  </si>
  <si>
    <t>=G293-H293</t>
  </si>
  <si>
    <t>=IF(G293=0,"-",IF(H293=0,"∞",(G293-H293)/H293))</t>
  </si>
  <si>
    <t>="000-7400-00"</t>
  </si>
  <si>
    <t>=GL("Cell","AccountName",E294)</t>
  </si>
  <si>
    <t>=-GL("Cell","Balance",E294,Start_Date,End_Date)</t>
  </si>
  <si>
    <t>=-GL("Cell","Budget",E294,Start_Date,End_Date,,,,,,,,,,,,Budget_Name)</t>
  </si>
  <si>
    <t>=G294-H294</t>
  </si>
  <si>
    <t>=IF(G294=0,"-",IF(H294=0,"∞",(G294-H294)/H294))</t>
  </si>
  <si>
    <t>="000-7401-00"</t>
  </si>
  <si>
    <t>=GL("Cell","AccountName",E295)</t>
  </si>
  <si>
    <t>=-GL("Cell","Balance",E295,Start_Date,End_Date)</t>
  </si>
  <si>
    <t>=-GL("Cell","Budget",E295,Start_Date,End_Date,,,,,,,,,,,,Budget_Name)</t>
  </si>
  <si>
    <t>=G295-H295</t>
  </si>
  <si>
    <t>=IF(G295=0,"-",IF(H295=0,"∞",(G295-H295)/H295))</t>
  </si>
  <si>
    <t>="000-7402-00"</t>
  </si>
  <si>
    <t>=GL("Cell","AccountName",E296)</t>
  </si>
  <si>
    <t>=-GL("Cell","Balance",E296,Start_Date,End_Date)</t>
  </si>
  <si>
    <t>=-GL("Cell","Budget",E296,Start_Date,End_Date,,,,,,,,,,,,Budget_Name)</t>
  </si>
  <si>
    <t>=G296-H296</t>
  </si>
  <si>
    <t>=IF(G296=0,"-",IF(H296=0,"∞",(G296-H296)/H296))</t>
  </si>
  <si>
    <t>="000-7403-00"</t>
  </si>
  <si>
    <t>=GL("Cell","AccountName",E297)</t>
  </si>
  <si>
    <t>=-GL("Cell","Balance",E297,Start_Date,End_Date)</t>
  </si>
  <si>
    <t>=-GL("Cell","Budget",E297,Start_Date,End_Date,,,,,,,,,,,,Budget_Name)</t>
  </si>
  <si>
    <t>=G297-H297</t>
  </si>
  <si>
    <t>=IF(G297=0,"-",IF(H297=0,"∞",(G297-H297)/H297))</t>
  </si>
  <si>
    <t>="000-7404-00"</t>
  </si>
  <si>
    <t>=GL("Cell","AccountName",E298)</t>
  </si>
  <si>
    <t>=-GL("Cell","Balance",E298,Start_Date,End_Date)</t>
  </si>
  <si>
    <t>=-GL("Cell","Budget",E298,Start_Date,End_Date,,,,,,,,,,,,Budget_Name)</t>
  </si>
  <si>
    <t>=G298-H298</t>
  </si>
  <si>
    <t>=IF(G298=0,"-",IF(H298=0,"∞",(G298-H298)/H298))</t>
  </si>
  <si>
    <t>="000-7405-00"</t>
  </si>
  <si>
    <t>=GL("Cell","AccountName",E299)</t>
  </si>
  <si>
    <t>=-GL("Cell","Balance",E299,Start_Date,End_Date)</t>
  </si>
  <si>
    <t>=-GL("Cell","Budget",E299,Start_Date,End_Date,,,,,,,,,,,,Budget_Name)</t>
  </si>
  <si>
    <t>=G299-H299</t>
  </si>
  <si>
    <t>=IF(G299=0,"-",IF(H299=0,"∞",(G299-H299)/H299))</t>
  </si>
  <si>
    <t>="000-7406-00"</t>
  </si>
  <si>
    <t>=GL("Cell","AccountName",E300)</t>
  </si>
  <si>
    <t>=-GL("Cell","Balance",E300,Start_Date,End_Date)</t>
  </si>
  <si>
    <t>=-GL("Cell","Budget",E300,Start_Date,End_Date,,,,,,,,,,,,Budget_Name)</t>
  </si>
  <si>
    <t>=G300-H300</t>
  </si>
  <si>
    <t>=IF(G300=0,"-",IF(H300=0,"∞",(G300-H300)/H300))</t>
  </si>
  <si>
    <t>="000-7407-00"</t>
  </si>
  <si>
    <t>=GL("Cell","AccountName",E301)</t>
  </si>
  <si>
    <t>=-GL("Cell","Balance",E301,Start_Date,End_Date)</t>
  </si>
  <si>
    <t>=-GL("Cell","Budget",E301,Start_Date,End_Date,,,,,,,,,,,,Budget_Name)</t>
  </si>
  <si>
    <t>=G301-H301</t>
  </si>
  <si>
    <t>=IF(G301=0,"-",IF(H301=0,"∞",(G301-H301)/H301))</t>
  </si>
  <si>
    <t>="000-8030-00"</t>
  </si>
  <si>
    <t>=GL("Cell","AccountName",E302)</t>
  </si>
  <si>
    <t>=-GL("Cell","Balance",E302,Start_Date,End_Date)</t>
  </si>
  <si>
    <t>=-GL("Cell","Budget",E302,Start_Date,End_Date,,,,,,,,,,,,Budget_Name)</t>
  </si>
  <si>
    <t>=G302-H302</t>
  </si>
  <si>
    <t>=IF(G302=0,"-",IF(H302=0,"∞",(G302-H302)/H302))</t>
  </si>
  <si>
    <t>="000-8610-00"</t>
  </si>
  <si>
    <t>=GL("Cell","AccountName",E303)</t>
  </si>
  <si>
    <t>=-GL("Cell","Balance",E303,Start_Date,End_Date)</t>
  </si>
  <si>
    <t>=-GL("Cell","Budget",E303,Start_Date,End_Date,,,,,,,,,,,,Budget_Name)</t>
  </si>
  <si>
    <t>=G303-H303</t>
  </si>
  <si>
    <t>=IF(G303=0,"-",IF(H303=0,"∞",(G303-H303)/H303))</t>
  </si>
  <si>
    <t>=NL("First","GL00102","ACCATDSC","ACCATNUM",B305)</t>
  </si>
  <si>
    <t>=SUBTOTAL(9,G306:G325)</t>
  </si>
  <si>
    <t>=SUBTOTAL(9,H306:H325)</t>
  </si>
  <si>
    <t>=G305-H305</t>
  </si>
  <si>
    <t>=IF(G305=0,"-",IF(H305=0,"∞",(G305-H305)/H305))</t>
  </si>
  <si>
    <t>=GL("Rows","Accounts",,,,B305)</t>
  </si>
  <si>
    <t>=GL("Cell","AccountName",E306)</t>
  </si>
  <si>
    <t>=-GL("Cell","Balance",E306,Start_Date,End_Date)</t>
  </si>
  <si>
    <t>=-GL("Cell","Budget",E306,Start_Date,End_Date,,,,,,,,,,,,Budget_Name)</t>
  </si>
  <si>
    <t>=G306-H306</t>
  </si>
  <si>
    <t>=IF(G306=0,"-",IF(H306=0,"∞",(G306-H306)/H306))</t>
  </si>
  <si>
    <t>="000-4740-00"</t>
  </si>
  <si>
    <t>=GL("Cell","AccountName",E307)</t>
  </si>
  <si>
    <t>=-GL("Cell","Balance",E307,Start_Date,End_Date)</t>
  </si>
  <si>
    <t>=-GL("Cell","Budget",E307,Start_Date,End_Date,,,,,,,,,,,,Budget_Name)</t>
  </si>
  <si>
    <t>=G307-H307</t>
  </si>
  <si>
    <t>=IF(G307=0,"-",IF(H307=0,"∞",(G307-H307)/H307))</t>
  </si>
  <si>
    <t>="000-5615-00"</t>
  </si>
  <si>
    <t>=GL("Cell","AccountName",E308)</t>
  </si>
  <si>
    <t>=-GL("Cell","Balance",E308,Start_Date,End_Date)</t>
  </si>
  <si>
    <t>=-GL("Cell","Budget",E308,Start_Date,End_Date,,,,,,,,,,,,Budget_Name)</t>
  </si>
  <si>
    <t>=G308-H308</t>
  </si>
  <si>
    <t>=IF(G308=0,"-",IF(H308=0,"∞",(G308-H308)/H308))</t>
  </si>
  <si>
    <t>="000-5700-00"</t>
  </si>
  <si>
    <t>=GL("Cell","AccountName",E309)</t>
  </si>
  <si>
    <t>=-GL("Cell","Balance",E309,Start_Date,End_Date)</t>
  </si>
  <si>
    <t>=-GL("Cell","Budget",E309,Start_Date,End_Date,,,,,,,,,,,,Budget_Name)</t>
  </si>
  <si>
    <t>=G309-H309</t>
  </si>
  <si>
    <t>=IF(G309=0,"-",IF(H309=0,"∞",(G309-H309)/H309))</t>
  </si>
  <si>
    <t>="000-6780-00"</t>
  </si>
  <si>
    <t>=GL("Cell","AccountName",E310)</t>
  </si>
  <si>
    <t>=-GL("Cell","Balance",E310,Start_Date,End_Date)</t>
  </si>
  <si>
    <t>=-GL("Cell","Budget",E310,Start_Date,End_Date,,,,,,,,,,,,Budget_Name)</t>
  </si>
  <si>
    <t>=G310-H310</t>
  </si>
  <si>
    <t>=IF(G310=0,"-",IF(H310=0,"∞",(G310-H310)/H310))</t>
  </si>
  <si>
    <t>="000-8010-00"</t>
  </si>
  <si>
    <t>=GL("Cell","AccountName",E311)</t>
  </si>
  <si>
    <t>=-GL("Cell","Balance",E311,Start_Date,End_Date)</t>
  </si>
  <si>
    <t>=-GL("Cell","Budget",E311,Start_Date,End_Date,,,,,,,,,,,,Budget_Name)</t>
  </si>
  <si>
    <t>=G311-H311</t>
  </si>
  <si>
    <t>=IF(G311=0,"-",IF(H311=0,"∞",(G311-H311)/H311))</t>
  </si>
  <si>
    <t>="000-8020-00"</t>
  </si>
  <si>
    <t>=GL("Cell","AccountName",E312)</t>
  </si>
  <si>
    <t>=-GL("Cell","Balance",E312,Start_Date,End_Date)</t>
  </si>
  <si>
    <t>=-GL("Cell","Budget",E312,Start_Date,End_Date,,,,,,,,,,,,Budget_Name)</t>
  </si>
  <si>
    <t>=G312-H312</t>
  </si>
  <si>
    <t>=IF(G312=0,"-",IF(H312=0,"∞",(G312-H312)/H312))</t>
  </si>
  <si>
    <t>="000-8200-00"</t>
  </si>
  <si>
    <t>=GL("Cell","AccountName",E313)</t>
  </si>
  <si>
    <t>=-GL("Cell","Balance",E313,Start_Date,End_Date)</t>
  </si>
  <si>
    <t>=-GL("Cell","Budget",E313,Start_Date,End_Date,,,,,,,,,,,,Budget_Name)</t>
  </si>
  <si>
    <t>=G313-H313</t>
  </si>
  <si>
    <t>=IF(G313=0,"-",IF(H313=0,"∞",(G313-H313)/H313))</t>
  </si>
  <si>
    <t>="000-8201-00"</t>
  </si>
  <si>
    <t>=GL("Cell","AccountName",E314)</t>
  </si>
  <si>
    <t>=-GL("Cell","Balance",E314,Start_Date,End_Date)</t>
  </si>
  <si>
    <t>=-GL("Cell","Budget",E314,Start_Date,End_Date,,,,,,,,,,,,Budget_Name)</t>
  </si>
  <si>
    <t>=G314-H314</t>
  </si>
  <si>
    <t>=IF(G314=0,"-",IF(H314=0,"∞",(G314-H314)/H314))</t>
  </si>
  <si>
    <t>="000-8202-00"</t>
  </si>
  <si>
    <t>=GL("Cell","AccountName",E315)</t>
  </si>
  <si>
    <t>=-GL("Cell","Balance",E315,Start_Date,End_Date)</t>
  </si>
  <si>
    <t>=-GL("Cell","Budget",E315,Start_Date,End_Date,,,,,,,,,,,,Budget_Name)</t>
  </si>
  <si>
    <t>=G315-H315</t>
  </si>
  <si>
    <t>=IF(G315=0,"-",IF(H315=0,"∞",(G315-H315)/H315))</t>
  </si>
  <si>
    <t>="000-8203-00"</t>
  </si>
  <si>
    <t>=GL("Cell","AccountName",E316)</t>
  </si>
  <si>
    <t>=-GL("Cell","Balance",E316,Start_Date,End_Date)</t>
  </si>
  <si>
    <t>=-GL("Cell","Budget",E316,Start_Date,End_Date,,,,,,,,,,,,Budget_Name)</t>
  </si>
  <si>
    <t>=G316-H316</t>
  </si>
  <si>
    <t>=IF(G316=0,"-",IF(H316=0,"∞",(G316-H316)/H316))</t>
  </si>
  <si>
    <t>="000-8300-00"</t>
  </si>
  <si>
    <t>=GL("Cell","AccountName",E317)</t>
  </si>
  <si>
    <t>=-GL("Cell","Balance",E317,Start_Date,End_Date)</t>
  </si>
  <si>
    <t>=-GL("Cell","Budget",E317,Start_Date,End_Date,,,,,,,,,,,,Budget_Name)</t>
  </si>
  <si>
    <t>=G317-H317</t>
  </si>
  <si>
    <t>=IF(G317=0,"-",IF(H317=0,"∞",(G317-H317)/H317))</t>
  </si>
  <si>
    <t>="000-8301-00"</t>
  </si>
  <si>
    <t>=GL("Cell","AccountName",E318)</t>
  </si>
  <si>
    <t>=-GL("Cell","Balance",E318,Start_Date,End_Date)</t>
  </si>
  <si>
    <t>=-GL("Cell","Budget",E318,Start_Date,End_Date,,,,,,,,,,,,Budget_Name)</t>
  </si>
  <si>
    <t>=G318-H318</t>
  </si>
  <si>
    <t>=IF(G318=0,"-",IF(H318=0,"∞",(G318-H318)/H318))</t>
  </si>
  <si>
    <t>="000-8302-00"</t>
  </si>
  <si>
    <t>=GL("Cell","AccountName",E319)</t>
  </si>
  <si>
    <t>=-GL("Cell","Balance",E319,Start_Date,End_Date)</t>
  </si>
  <si>
    <t>=-GL("Cell","Budget",E319,Start_Date,End_Date,,,,,,,,,,,,Budget_Name)</t>
  </si>
  <si>
    <t>=G319-H319</t>
  </si>
  <si>
    <t>=IF(G319=0,"-",IF(H319=0,"∞",(G319-H319)/H319))</t>
  </si>
  <si>
    <t>="000-8303-00"</t>
  </si>
  <si>
    <t>=GL("Cell","AccountName",E320)</t>
  </si>
  <si>
    <t>=-GL("Cell","Balance",E320,Start_Date,End_Date)</t>
  </si>
  <si>
    <t>=-GL("Cell","Budget",E320,Start_Date,End_Date,,,,,,,,,,,,Budget_Name)</t>
  </si>
  <si>
    <t>=G320-H320</t>
  </si>
  <si>
    <t>=IF(G320=0,"-",IF(H320=0,"∞",(G320-H320)/H320))</t>
  </si>
  <si>
    <t>="000-8304-00"</t>
  </si>
  <si>
    <t>=GL("Cell","AccountName",E321)</t>
  </si>
  <si>
    <t>=-GL("Cell","Balance",E321,Start_Date,End_Date)</t>
  </si>
  <si>
    <t>=-GL("Cell","Budget",E321,Start_Date,End_Date,,,,,,,,,,,,Budget_Name)</t>
  </si>
  <si>
    <t>=G321-H321</t>
  </si>
  <si>
    <t>=IF(G321=0,"-",IF(H321=0,"∞",(G321-H321)/H321))</t>
  </si>
  <si>
    <t>="000-8305-00"</t>
  </si>
  <si>
    <t>=GL("Cell","AccountName",E322)</t>
  </si>
  <si>
    <t>=-GL("Cell","Balance",E322,Start_Date,End_Date)</t>
  </si>
  <si>
    <t>=-GL("Cell","Budget",E322,Start_Date,End_Date,,,,,,,,,,,,Budget_Name)</t>
  </si>
  <si>
    <t>=G322-H322</t>
  </si>
  <si>
    <t>=IF(G322=0,"-",IF(H322=0,"∞",(G322-H322)/H322))</t>
  </si>
  <si>
    <t>="000-8306-00"</t>
  </si>
  <si>
    <t>=GL("Cell","AccountName",E323)</t>
  </si>
  <si>
    <t>=-GL("Cell","Balance",E323,Start_Date,End_Date)</t>
  </si>
  <si>
    <t>=-GL("Cell","Budget",E323,Start_Date,End_Date,,,,,,,,,,,,Budget_Name)</t>
  </si>
  <si>
    <t>=G323-H323</t>
  </si>
  <si>
    <t>=IF(G323=0,"-",IF(H323=0,"∞",(G323-H323)/H323))</t>
  </si>
  <si>
    <t>="000-8307-00"</t>
  </si>
  <si>
    <t>=GL("Cell","AccountName",E324)</t>
  </si>
  <si>
    <t>=-GL("Cell","Balance",E324,Start_Date,End_Date)</t>
  </si>
  <si>
    <t>=-GL("Cell","Budget",E324,Start_Date,End_Date,,,,,,,,,,,,Budget_Name)</t>
  </si>
  <si>
    <t>=G324-H324</t>
  </si>
  <si>
    <t>=IF(G324=0,"-",IF(H324=0,"∞",(G324-H324)/H324))</t>
  </si>
  <si>
    <t>=SUBTOTAL(9,G269:G325)</t>
  </si>
  <si>
    <t>=SUBTOTAL(9,H269:H325)</t>
  </si>
  <si>
    <t>=G326-H326</t>
  </si>
  <si>
    <t>=IF(G326=0,"-",IF(H326=0,"∞",(G326-H326)/H326))</t>
  </si>
  <si>
    <t>=G265+G326</t>
  </si>
  <si>
    <t>=H265+H326</t>
  </si>
  <si>
    <t>=G327-H327</t>
  </si>
  <si>
    <t>=IF(G327=0,"-",IF(H327=0,"∞",(G327-H327)/H327))</t>
  </si>
  <si>
    <t>=NL("First","GL00102","ACCATDSC","ACCATNUM",B331)</t>
  </si>
  <si>
    <t>=SUBTOTAL(9,G332:G354)</t>
  </si>
  <si>
    <t>=SUBTOTAL(9,H332:H354)</t>
  </si>
  <si>
    <t>=G331-H331</t>
  </si>
  <si>
    <t>=IF(G331=0,"-",IF(H331=0,"∞",(G331-H331)/H331))</t>
  </si>
  <si>
    <t>=GL("Rows","Accounts",,,,B331)</t>
  </si>
  <si>
    <t>=GL("Cell","AccountName",E332)</t>
  </si>
  <si>
    <t>=-GL("Cell","Balance",E332,Start_Date,End_Date)</t>
  </si>
  <si>
    <t>=-GL("Cell","Budget",E332,Start_Date,End_Date,,,,,,,,,,,,Budget_Name)</t>
  </si>
  <si>
    <t>=G332-H332</t>
  </si>
  <si>
    <t>=IF(G332=0,"-",IF(H332=0,"∞",(G332-H332)/H332))</t>
  </si>
  <si>
    <t>="000-5210-00"</t>
  </si>
  <si>
    <t>=GL("Cell","AccountName",E333)</t>
  </si>
  <si>
    <t>=-GL("Cell","Balance",E333,Start_Date,End_Date)</t>
  </si>
  <si>
    <t>=-GL("Cell","Budget",E333,Start_Date,End_Date,,,,,,,,,,,,Budget_Name)</t>
  </si>
  <si>
    <t>=G333-H333</t>
  </si>
  <si>
    <t>=IF(G333=0,"-",IF(H333=0,"∞",(G333-H333)/H333))</t>
  </si>
  <si>
    <t>="000-5220-00"</t>
  </si>
  <si>
    <t>=GL("Cell","AccountName",E334)</t>
  </si>
  <si>
    <t>=-GL("Cell","Balance",E334,Start_Date,End_Date)</t>
  </si>
  <si>
    <t>=-GL("Cell","Budget",E334,Start_Date,End_Date,,,,,,,,,,,,Budget_Name)</t>
  </si>
  <si>
    <t>=G334-H334</t>
  </si>
  <si>
    <t>=IF(G334=0,"-",IF(H334=0,"∞",(G334-H334)/H334))</t>
  </si>
  <si>
    <t>="000-5300-00"</t>
  </si>
  <si>
    <t>=GL("Cell","AccountName",E335)</t>
  </si>
  <si>
    <t>=-GL("Cell","Balance",E335,Start_Date,End_Date)</t>
  </si>
  <si>
    <t>=-GL("Cell","Budget",E335,Start_Date,End_Date,,,,,,,,,,,,Budget_Name)</t>
  </si>
  <si>
    <t>=G335-H335</t>
  </si>
  <si>
    <t>=IF(G335=0,"-",IF(H335=0,"∞",(G335-H335)/H335))</t>
  </si>
  <si>
    <t>="000-5400-00"</t>
  </si>
  <si>
    <t>=GL("Cell","AccountName",E336)</t>
  </si>
  <si>
    <t>=-GL("Cell","Balance",E336,Start_Date,End_Date)</t>
  </si>
  <si>
    <t>=-GL("Cell","Budget",E336,Start_Date,End_Date,,,,,,,,,,,,Budget_Name)</t>
  </si>
  <si>
    <t>=G336-H336</t>
  </si>
  <si>
    <t>=IF(G336=0,"-",IF(H336=0,"∞",(G336-H336)/H336))</t>
  </si>
  <si>
    <t>="000-5500-00"</t>
  </si>
  <si>
    <t>=GL("Cell","AccountName",E337)</t>
  </si>
  <si>
    <t>=-GL("Cell","Balance",E337,Start_Date,End_Date)</t>
  </si>
  <si>
    <t>=-GL("Cell","Budget",E337,Start_Date,End_Date,,,,,,,,,,,,Budget_Name)</t>
  </si>
  <si>
    <t>=G337-H337</t>
  </si>
  <si>
    <t>=IF(G337=0,"-",IF(H337=0,"∞",(G337-H337)/H337))</t>
  </si>
  <si>
    <t>="000-6630-00"</t>
  </si>
  <si>
    <t>=GL("Cell","AccountName",E338)</t>
  </si>
  <si>
    <t>=-GL("Cell","Balance",E338,Start_Date,End_Date)</t>
  </si>
  <si>
    <t>=-GL("Cell","Budget",E338,Start_Date,End_Date,,,,,,,,,,,,Budget_Name)</t>
  </si>
  <si>
    <t>=G338-H338</t>
  </si>
  <si>
    <t>=IF(G338=0,"-",IF(H338=0,"∞",(G338-H338)/H338))</t>
  </si>
  <si>
    <t>="000-6635-00"</t>
  </si>
  <si>
    <t>=GL("Cell","AccountName",E339)</t>
  </si>
  <si>
    <t>=-GL("Cell","Balance",E339,Start_Date,End_Date)</t>
  </si>
  <si>
    <t>=-GL("Cell","Budget",E339,Start_Date,End_Date,,,,,,,,,,,,Budget_Name)</t>
  </si>
  <si>
    <t>=G339-H339</t>
  </si>
  <si>
    <t>=IF(G339=0,"-",IF(H339=0,"∞",(G339-H339)/H339))</t>
  </si>
  <si>
    <t>="000-6640-00"</t>
  </si>
  <si>
    <t>=GL("Cell","AccountName",E340)</t>
  </si>
  <si>
    <t>=-GL("Cell","Balance",E340,Start_Date,End_Date)</t>
  </si>
  <si>
    <t>=-GL("Cell","Budget",E340,Start_Date,End_Date,,,,,,,,,,,,Budget_Name)</t>
  </si>
  <si>
    <t>=G340-H340</t>
  </si>
  <si>
    <t>=IF(G340=0,"-",IF(H340=0,"∞",(G340-H340)/H340))</t>
  </si>
  <si>
    <t>="000-6650-00"</t>
  </si>
  <si>
    <t>=GL("Cell","AccountName",E341)</t>
  </si>
  <si>
    <t>=-GL("Cell","Balance",E341,Start_Date,End_Date)</t>
  </si>
  <si>
    <t>=-GL("Cell","Budget",E341,Start_Date,End_Date,,,,,,,,,,,,Budget_Name)</t>
  </si>
  <si>
    <t>=G341-H341</t>
  </si>
  <si>
    <t>=IF(G341=0,"-",IF(H341=0,"∞",(G341-H341)/H341))</t>
  </si>
  <si>
    <t>="000-6651-00"</t>
  </si>
  <si>
    <t>=GL("Cell","AccountName",E342)</t>
  </si>
  <si>
    <t>=-GL("Cell","Balance",E342,Start_Date,End_Date)</t>
  </si>
  <si>
    <t>=-GL("Cell","Budget",E342,Start_Date,End_Date,,,,,,,,,,,,Budget_Name)</t>
  </si>
  <si>
    <t>=G342-H342</t>
  </si>
  <si>
    <t>=IF(G342=0,"-",IF(H342=0,"∞",(G342-H342)/H342))</t>
  </si>
  <si>
    <t>="000-6652-00"</t>
  </si>
  <si>
    <t>=GL("Cell","AccountName",E343)</t>
  </si>
  <si>
    <t>=-GL("Cell","Balance",E343,Start_Date,End_Date)</t>
  </si>
  <si>
    <t>=-GL("Cell","Budget",E343,Start_Date,End_Date,,,,,,,,,,,,Budget_Name)</t>
  </si>
  <si>
    <t>=G343-H343</t>
  </si>
  <si>
    <t>=IF(G343=0,"-",IF(H343=0,"∞",(G343-H343)/H343))</t>
  </si>
  <si>
    <t>="000-6660-00"</t>
  </si>
  <si>
    <t>=GL("Cell","AccountName",E344)</t>
  </si>
  <si>
    <t>=-GL("Cell","Balance",E344,Start_Date,End_Date)</t>
  </si>
  <si>
    <t>=-GL("Cell","Budget",E344,Start_Date,End_Date,,,,,,,,,,,,Budget_Name)</t>
  </si>
  <si>
    <t>=G344-H344</t>
  </si>
  <si>
    <t>=IF(G344=0,"-",IF(H344=0,"∞",(G344-H344)/H344))</t>
  </si>
  <si>
    <t>="000-6661-00"</t>
  </si>
  <si>
    <t>=GL("Cell","AccountName",E345)</t>
  </si>
  <si>
    <t>=-GL("Cell","Balance",E345,Start_Date,End_Date)</t>
  </si>
  <si>
    <t>=-GL("Cell","Budget",E345,Start_Date,End_Date,,,,,,,,,,,,Budget_Name)</t>
  </si>
  <si>
    <t>=G345-H345</t>
  </si>
  <si>
    <t>=IF(G345=0,"-",IF(H345=0,"∞",(G345-H345)/H345))</t>
  </si>
  <si>
    <t>="000-8100-00"</t>
  </si>
  <si>
    <t>=GL("Cell","AccountName",E346)</t>
  </si>
  <si>
    <t>=-GL("Cell","Balance",E346,Start_Date,End_Date)</t>
  </si>
  <si>
    <t>=-GL("Cell","Budget",E346,Start_Date,End_Date,,,,,,,,,,,,Budget_Name)</t>
  </si>
  <si>
    <t>=G346-H346</t>
  </si>
  <si>
    <t>=IF(G346=0,"-",IF(H346=0,"∞",(G346-H346)/H346))</t>
  </si>
  <si>
    <t>="000-8110-00"</t>
  </si>
  <si>
    <t>=GL("Cell","AccountName",E347)</t>
  </si>
  <si>
    <t>=-GL("Cell","Balance",E347,Start_Date,End_Date)</t>
  </si>
  <si>
    <t>=-GL("Cell","Budget",E347,Start_Date,End_Date,,,,,,,,,,,,Budget_Name)</t>
  </si>
  <si>
    <t>=G347-H347</t>
  </si>
  <si>
    <t>=IF(G347=0,"-",IF(H347=0,"∞",(G347-H347)/H347))</t>
  </si>
  <si>
    <t>="100-5170-00"</t>
  </si>
  <si>
    <t>=GL("Cell","AccountName",E348)</t>
  </si>
  <si>
    <t>=-GL("Cell","Balance",E348,Start_Date,End_Date)</t>
  </si>
  <si>
    <t>=-GL("Cell","Budget",E348,Start_Date,End_Date,,,,,,,,,,,,Budget_Name)</t>
  </si>
  <si>
    <t>=G348-H348</t>
  </si>
  <si>
    <t>=IF(G348=0,"-",IF(H348=0,"∞",(G348-H348)/H348))</t>
  </si>
  <si>
    <t>="200-5170-00"</t>
  </si>
  <si>
    <t>=GL("Cell","AccountName",E349)</t>
  </si>
  <si>
    <t>=-GL("Cell","Balance",E349,Start_Date,End_Date)</t>
  </si>
  <si>
    <t>=-GL("Cell","Budget",E349,Start_Date,End_Date,,,,,,,,,,,,Budget_Name)</t>
  </si>
  <si>
    <t>=G349-H349</t>
  </si>
  <si>
    <t>=IF(G349=0,"-",IF(H349=0,"∞",(G349-H349)/H349))</t>
  </si>
  <si>
    <t>="300-5170-00"</t>
  </si>
  <si>
    <t>=GL("Cell","AccountName",E350)</t>
  </si>
  <si>
    <t>=-GL("Cell","Balance",E350,Start_Date,End_Date)</t>
  </si>
  <si>
    <t>=-GL("Cell","Budget",E350,Start_Date,End_Date,,,,,,,,,,,,Budget_Name)</t>
  </si>
  <si>
    <t>=G350-H350</t>
  </si>
  <si>
    <t>=IF(G350=0,"-",IF(H350=0,"∞",(G350-H350)/H350))</t>
  </si>
  <si>
    <t>="400-5170-00"</t>
  </si>
  <si>
    <t>=GL("Cell","AccountName",E351)</t>
  </si>
  <si>
    <t>=-GL("Cell","Balance",E351,Start_Date,End_Date)</t>
  </si>
  <si>
    <t>=-GL("Cell","Budget",E351,Start_Date,End_Date,,,,,,,,,,,,Budget_Name)</t>
  </si>
  <si>
    <t>=G351-H351</t>
  </si>
  <si>
    <t>=IF(G351=0,"-",IF(H351=0,"∞",(G351-H351)/H351))</t>
  </si>
  <si>
    <t>="500-5170-00"</t>
  </si>
  <si>
    <t>=GL("Cell","AccountName",E352)</t>
  </si>
  <si>
    <t>=-GL("Cell","Balance",E352,Start_Date,End_Date)</t>
  </si>
  <si>
    <t>=-GL("Cell","Budget",E352,Start_Date,End_Date,,,,,,,,,,,,Budget_Name)</t>
  </si>
  <si>
    <t>=G352-H352</t>
  </si>
  <si>
    <t>=IF(G352=0,"-",IF(H352=0,"∞",(G352-H352)/H352))</t>
  </si>
  <si>
    <t>="600-5170-00"</t>
  </si>
  <si>
    <t>=GL("Cell","AccountName",E353)</t>
  </si>
  <si>
    <t>=-GL("Cell","Balance",E353,Start_Date,End_Date)</t>
  </si>
  <si>
    <t>=-GL("Cell","Budget",E353,Start_Date,End_Date,,,,,,,,,,,,Budget_Name)</t>
  </si>
  <si>
    <t>=G353-H353</t>
  </si>
  <si>
    <t>=IF(G353=0,"-",IF(H353=0,"∞",(G353-H353)/H353))</t>
  </si>
  <si>
    <t>=SUBTOTAL(9,G331:G354)</t>
  </si>
  <si>
    <t>=SUBTOTAL(9,H331:H354)</t>
  </si>
  <si>
    <t>=G355-H355</t>
  </si>
  <si>
    <t>=IF(G355=0,"-",IF(H355=0,"∞",(G355-H355)/H355))</t>
  </si>
  <si>
    <t>=$J$109</t>
  </si>
  <si>
    <t>=$J$135</t>
  </si>
  <si>
    <t>=$J$244</t>
  </si>
  <si>
    <t>=$J$253</t>
  </si>
  <si>
    <t>=$J$271</t>
  </si>
  <si>
    <t>=SUBTOTAL(9,J14:J26)</t>
  </si>
  <si>
    <t>="000-1101-00"</t>
  </si>
  <si>
    <t>=NL("First","GL00105","ACTNUMBR_1","ACTNUMST",E15)</t>
  </si>
  <si>
    <t>=NL("First","GL00105","ACTNUMBR_2","ACTNUMST",E15)</t>
  </si>
  <si>
    <t>=NL("First","GL00105","ACTNUMBR_3","ACTNUMST",E15)</t>
  </si>
  <si>
    <t>=NL("First","GL00100","ACTDESCR","ACTNUMBR_1",F15,"ACTNUMBR_2",G15,"ACTNUMBR_3",H15)</t>
  </si>
  <si>
    <t>=GL("Cell","Balance",E15,,End_Date)</t>
  </si>
  <si>
    <t>="000-1102-00"</t>
  </si>
  <si>
    <t>=NL("First","GL00105","ACTNUMBR_1","ACTNUMST",E16)</t>
  </si>
  <si>
    <t>=NL("First","GL00105","ACTNUMBR_2","ACTNUMST",E16)</t>
  </si>
  <si>
    <t>=NL("First","GL00105","ACTNUMBR_3","ACTNUMST",E16)</t>
  </si>
  <si>
    <t>=NL("First","GL00100","ACTDESCR","ACTNUMBR_1",F16,"ACTNUMBR_2",G16,"ACTNUMBR_3",H16)</t>
  </si>
  <si>
    <t>=GL("Cell","Balance",E16,,End_Date)</t>
  </si>
  <si>
    <t>="000-1103-00"</t>
  </si>
  <si>
    <t>="000-1104-00"</t>
  </si>
  <si>
    <t>=NL("First","GL00105","ACTNUMBR_1","ACTNUMST",E18)</t>
  </si>
  <si>
    <t>=NL("First","GL00105","ACTNUMBR_2","ACTNUMST",E18)</t>
  </si>
  <si>
    <t>=NL("First","GL00105","ACTNUMBR_3","ACTNUMST",E18)</t>
  </si>
  <si>
    <t>=NL("First","GL00100","ACTDESCR","ACTNUMBR_1",F18,"ACTNUMBR_2",G18,"ACTNUMBR_3",H18)</t>
  </si>
  <si>
    <t>=GL("Cell","Balance",E18,,End_Date)</t>
  </si>
  <si>
    <t>="000-1105-00"</t>
  </si>
  <si>
    <t>=NL("First","GL00105","ACTNUMBR_1","ACTNUMST",E19)</t>
  </si>
  <si>
    <t>=NL("First","GL00105","ACTNUMBR_2","ACTNUMST",E19)</t>
  </si>
  <si>
    <t>=NL("First","GL00105","ACTNUMBR_3","ACTNUMST",E19)</t>
  </si>
  <si>
    <t>=NL("First","GL00100","ACTDESCR","ACTNUMBR_1",F19,"ACTNUMBR_2",G19,"ACTNUMBR_3",H19)</t>
  </si>
  <si>
    <t>=GL("Cell","Balance",E19,,End_Date)</t>
  </si>
  <si>
    <t>="000-1106-00"</t>
  </si>
  <si>
    <t>="000-1107-00"</t>
  </si>
  <si>
    <t>=NL("First","GL00105","ACTNUMBR_1","ACTNUMST",E21)</t>
  </si>
  <si>
    <t>=NL("First","GL00105","ACTNUMBR_2","ACTNUMST",E21)</t>
  </si>
  <si>
    <t>=NL("First","GL00105","ACTNUMBR_3","ACTNUMST",E21)</t>
  </si>
  <si>
    <t>=NL("First","GL00100","ACTDESCR","ACTNUMBR_1",F21,"ACTNUMBR_2",G21,"ACTNUMBR_3",H21)</t>
  </si>
  <si>
    <t>=GL("Cell","Balance",E21,,End_Date)</t>
  </si>
  <si>
    <t>="000-1110-00"</t>
  </si>
  <si>
    <t>=NL("First","GL00105","ACTNUMBR_1","ACTNUMST",E22)</t>
  </si>
  <si>
    <t>=NL("First","GL00105","ACTNUMBR_2","ACTNUMST",E22)</t>
  </si>
  <si>
    <t>=NL("First","GL00105","ACTNUMBR_3","ACTNUMST",E22)</t>
  </si>
  <si>
    <t>=NL("First","GL00100","ACTDESCR","ACTNUMBR_1",F22,"ACTNUMBR_2",G22,"ACTNUMBR_3",H22)</t>
  </si>
  <si>
    <t>=GL("Cell","Balance",E22,,End_Date)</t>
  </si>
  <si>
    <t>="000-1120-00"</t>
  </si>
  <si>
    <t>="000-1130-00"</t>
  </si>
  <si>
    <t>=NL("First","GL00105","ACTNUMBR_1","ACTNUMST",E24)</t>
  </si>
  <si>
    <t>=NL("First","GL00105","ACTNUMBR_2","ACTNUMST",E24)</t>
  </si>
  <si>
    <t>=NL("First","GL00105","ACTNUMBR_3","ACTNUMST",E24)</t>
  </si>
  <si>
    <t>=NL("First","GL00100","ACTDESCR","ACTNUMBR_1",F24,"ACTNUMBR_2",G24,"ACTNUMBR_3",H24)</t>
  </si>
  <si>
    <t>=GL("Cell","Balance",E24,,End_Date)</t>
  </si>
  <si>
    <t>="000-1190-00"</t>
  </si>
  <si>
    <t>=NL("First","GL00105","ACTNUMBR_1","ACTNUMST",E25)</t>
  </si>
  <si>
    <t>=NL("First","GL00105","ACTNUMBR_2","ACTNUMST",E25)</t>
  </si>
  <si>
    <t>=NL("First","GL00105","ACTNUMBR_3","ACTNUMST",E25)</t>
  </si>
  <si>
    <t>=NL("First","GL00100","ACTDESCR","ACTNUMBR_1",F25,"ACTNUMBR_2",G25,"ACTNUMBR_3",H25)</t>
  </si>
  <si>
    <t>=GL("Cell","Balance",E25,,End_Date)</t>
  </si>
  <si>
    <t>=NL("First","GL00102","ACCATDSC","ACCATNUM",C27)</t>
  </si>
  <si>
    <t>=SUBTOTAL(9,J28:J29)</t>
  </si>
  <si>
    <t>=GL("Rows","Accounts",,,,C27)</t>
  </si>
  <si>
    <t>=NL("First","GL00105","ACTNUMBR_1","ACTNUMST",E28)</t>
  </si>
  <si>
    <t>=NL("First","GL00105","ACTNUMBR_2","ACTNUMST",E28)</t>
  </si>
  <si>
    <t>=NL("First","GL00105","ACTNUMBR_3","ACTNUMST",E28)</t>
  </si>
  <si>
    <t>=NL("First","GL00100","ACTDESCR","ACTNUMBR_1",F28,"ACTNUMBR_2",G28,"ACTNUMBR_3",H28)</t>
  </si>
  <si>
    <t>=GL("Cell","Balance",E28,,End_Date)</t>
  </si>
  <si>
    <t>=NL("First","GL00102","ACCATDSC","ACCATNUM",C30)</t>
  </si>
  <si>
    <t>=SUBTOTAL(9,J31:J51)</t>
  </si>
  <si>
    <t>=GL("Rows","Accounts",,,,C30)</t>
  </si>
  <si>
    <t>=NL("First","GL00105","ACTNUMBR_1","ACTNUMST",E31)</t>
  </si>
  <si>
    <t>=NL("First","GL00105","ACTNUMBR_2","ACTNUMST",E31)</t>
  </si>
  <si>
    <t>=NL("First","GL00105","ACTNUMBR_3","ACTNUMST",E31)</t>
  </si>
  <si>
    <t>=NL("First","GL00100","ACTDESCR","ACTNUMBR_1",F31,"ACTNUMBR_2",G31,"ACTNUMBR_3",H31)</t>
  </si>
  <si>
    <t>=GL("Cell","Balance",E31,,End_Date)</t>
  </si>
  <si>
    <t>="000-1205-00"</t>
  </si>
  <si>
    <t>="000-1210-00"</t>
  </si>
  <si>
    <t>=NL("First","GL00105","ACTNUMBR_1","ACTNUMST",E33)</t>
  </si>
  <si>
    <t>=NL("First","GL00105","ACTNUMBR_2","ACTNUMST",E33)</t>
  </si>
  <si>
    <t>=NL("First","GL00105","ACTNUMBR_3","ACTNUMST",E33)</t>
  </si>
  <si>
    <t>=NL("First","GL00100","ACTDESCR","ACTNUMBR_1",F33,"ACTNUMBR_2",G33,"ACTNUMBR_3",H33)</t>
  </si>
  <si>
    <t>=GL("Cell","Balance",E33,,End_Date)</t>
  </si>
  <si>
    <t>="000-1220-00"</t>
  </si>
  <si>
    <t>=NL("First","GL00105","ACTNUMBR_1","ACTNUMST",E34)</t>
  </si>
  <si>
    <t>=NL("First","GL00105","ACTNUMBR_2","ACTNUMST",E34)</t>
  </si>
  <si>
    <t>=NL("First","GL00105","ACTNUMBR_3","ACTNUMST",E34)</t>
  </si>
  <si>
    <t>=NL("First","GL00100","ACTDESCR","ACTNUMBR_1",F34,"ACTNUMBR_2",G34,"ACTNUMBR_3",H34)</t>
  </si>
  <si>
    <t>=GL("Cell","Balance",E34,,End_Date)</t>
  </si>
  <si>
    <t>="000-1220-01"</t>
  </si>
  <si>
    <t>=NL("First","GL00105","ACTNUMBR_1","ACTNUMST",E35)</t>
  </si>
  <si>
    <t>=NL("First","GL00105","ACTNUMBR_2","ACTNUMST",E35)</t>
  </si>
  <si>
    <t>=NL("First","GL00105","ACTNUMBR_3","ACTNUMST",E35)</t>
  </si>
  <si>
    <t>=NL("First","GL00100","ACTDESCR","ACTNUMBR_1",F35,"ACTNUMBR_2",G35,"ACTNUMBR_3",H35)</t>
  </si>
  <si>
    <t>=GL("Cell","Balance",E35,,End_Date)</t>
  </si>
  <si>
    <t>="000-1220-02"</t>
  </si>
  <si>
    <t>=NL("First","GL00105","ACTNUMBR_1","ACTNUMST",E36)</t>
  </si>
  <si>
    <t>=NL("First","GL00105","ACTNUMBR_2","ACTNUMST",E36)</t>
  </si>
  <si>
    <t>=NL("First","GL00105","ACTNUMBR_3","ACTNUMST",E36)</t>
  </si>
  <si>
    <t>=NL("First","GL00100","ACTDESCR","ACTNUMBR_1",F36,"ACTNUMBR_2",G36,"ACTNUMBR_3",H36)</t>
  </si>
  <si>
    <t>=GL("Cell","Balance",E36,,End_Date)</t>
  </si>
  <si>
    <t>="000-1220-03"</t>
  </si>
  <si>
    <t>=NL("First","GL00105","ACTNUMBR_1","ACTNUMST",E37)</t>
  </si>
  <si>
    <t>=NL("First","GL00105","ACTNUMBR_2","ACTNUMST",E37)</t>
  </si>
  <si>
    <t>=NL("First","GL00105","ACTNUMBR_3","ACTNUMST",E37)</t>
  </si>
  <si>
    <t>=NL("First","GL00100","ACTDESCR","ACTNUMBR_1",F37,"ACTNUMBR_2",G37,"ACTNUMBR_3",H37)</t>
  </si>
  <si>
    <t>=GL("Cell","Balance",E37,,End_Date)</t>
  </si>
  <si>
    <t>="000-1220-04"</t>
  </si>
  <si>
    <t>="000-1230-00"</t>
  </si>
  <si>
    <t>=NL("First","GL00105","ACTNUMBR_1","ACTNUMST",E39)</t>
  </si>
  <si>
    <t>=NL("First","GL00105","ACTNUMBR_2","ACTNUMST",E39)</t>
  </si>
  <si>
    <t>=NL("First","GL00105","ACTNUMBR_3","ACTNUMST",E39)</t>
  </si>
  <si>
    <t>=NL("First","GL00100","ACTDESCR","ACTNUMBR_1",F39,"ACTNUMBR_2",G39,"ACTNUMBR_3",H39)</t>
  </si>
  <si>
    <t>=GL("Cell","Balance",E39,,End_Date)</t>
  </si>
  <si>
    <t>="000-1250-00"</t>
  </si>
  <si>
    <t>=NL("First","GL00105","ACTNUMBR_1","ACTNUMST",E40)</t>
  </si>
  <si>
    <t>=NL("First","GL00105","ACTNUMBR_2","ACTNUMST",E40)</t>
  </si>
  <si>
    <t>=NL("First","GL00105","ACTNUMBR_3","ACTNUMST",E40)</t>
  </si>
  <si>
    <t>=NL("First","GL00100","ACTDESCR","ACTNUMBR_1",F40,"ACTNUMBR_2",G40,"ACTNUMBR_3",H40)</t>
  </si>
  <si>
    <t>=GL("Cell","Balance",E40,,End_Date)</t>
  </si>
  <si>
    <t>="000-1260-00"</t>
  </si>
  <si>
    <t>="000-1270-00"</t>
  </si>
  <si>
    <t>=NL("First","GL00105","ACTNUMBR_1","ACTNUMST",E42)</t>
  </si>
  <si>
    <t>=NL("First","GL00105","ACTNUMBR_2","ACTNUMST",E42)</t>
  </si>
  <si>
    <t>=NL("First","GL00105","ACTNUMBR_3","ACTNUMST",E42)</t>
  </si>
  <si>
    <t>=NL("First","GL00100","ACTDESCR","ACTNUMBR_1",F42,"ACTNUMBR_2",G42,"ACTNUMBR_3",H42)</t>
  </si>
  <si>
    <t>=GL("Cell","Balance",E42,,End_Date)</t>
  </si>
  <si>
    <t>="000-1271-00"</t>
  </si>
  <si>
    <t>=NL("First","GL00105","ACTNUMBR_1","ACTNUMST",E43)</t>
  </si>
  <si>
    <t>=NL("First","GL00105","ACTNUMBR_2","ACTNUMST",E43)</t>
  </si>
  <si>
    <t>=NL("First","GL00105","ACTNUMBR_3","ACTNUMST",E43)</t>
  </si>
  <si>
    <t>=NL("First","GL00100","ACTDESCR","ACTNUMBR_1",F43,"ACTNUMBR_2",G43,"ACTNUMBR_3",H43)</t>
  </si>
  <si>
    <t>=GL("Cell","Balance",E43,,End_Date)</t>
  </si>
  <si>
    <t>="000-1272-00"</t>
  </si>
  <si>
    <t>="000-1273-00"</t>
  </si>
  <si>
    <t>=NL("First","GL00105","ACTNUMBR_1","ACTNUMST",E45)</t>
  </si>
  <si>
    <t>=NL("First","GL00105","ACTNUMBR_2","ACTNUMST",E45)</t>
  </si>
  <si>
    <t>=NL("First","GL00105","ACTNUMBR_3","ACTNUMST",E45)</t>
  </si>
  <si>
    <t>=NL("First","GL00100","ACTDESCR","ACTNUMBR_1",F45,"ACTNUMBR_2",G45,"ACTNUMBR_3",H45)</t>
  </si>
  <si>
    <t>=GL("Cell","Balance",E45,,End_Date)</t>
  </si>
  <si>
    <t>="000-1274-00"</t>
  </si>
  <si>
    <t>=NL("First","GL00105","ACTNUMBR_1","ACTNUMST",E46)</t>
  </si>
  <si>
    <t>=NL("First","GL00105","ACTNUMBR_2","ACTNUMST",E46)</t>
  </si>
  <si>
    <t>=NL("First","GL00105","ACTNUMBR_3","ACTNUMST",E46)</t>
  </si>
  <si>
    <t>=NL("First","GL00100","ACTDESCR","ACTNUMBR_1",F46,"ACTNUMBR_2",G46,"ACTNUMBR_3",H46)</t>
  </si>
  <si>
    <t>=GL("Cell","Balance",E46,,End_Date)</t>
  </si>
  <si>
    <t>="000-1275-00"</t>
  </si>
  <si>
    <t>="000-1276-00"</t>
  </si>
  <si>
    <t>=NL("First","GL00105","ACTNUMBR_1","ACTNUMST",E48)</t>
  </si>
  <si>
    <t>=NL("First","GL00105","ACTNUMBR_2","ACTNUMST",E48)</t>
  </si>
  <si>
    <t>=NL("First","GL00105","ACTNUMBR_3","ACTNUMST",E48)</t>
  </si>
  <si>
    <t>=NL("First","GL00100","ACTDESCR","ACTNUMBR_1",F48,"ACTNUMBR_2",G48,"ACTNUMBR_3",H48)</t>
  </si>
  <si>
    <t>=GL("Cell","Balance",E48,,End_Date)</t>
  </si>
  <si>
    <t>="000-1277-00"</t>
  </si>
  <si>
    <t>=NL("First","GL00105","ACTNUMBR_1","ACTNUMST",E49)</t>
  </si>
  <si>
    <t>=NL("First","GL00105","ACTNUMBR_2","ACTNUMST",E49)</t>
  </si>
  <si>
    <t>=NL("First","GL00105","ACTNUMBR_3","ACTNUMST",E49)</t>
  </si>
  <si>
    <t>=NL("First","GL00100","ACTDESCR","ACTNUMBR_1",F49,"ACTNUMBR_2",G49,"ACTNUMBR_3",H49)</t>
  </si>
  <si>
    <t>=GL("Cell","Balance",E49,,End_Date)</t>
  </si>
  <si>
    <t>="000-1280-00"</t>
  </si>
  <si>
    <t>=NL("First","GL00105","ACTNUMBR_1","ACTNUMST",E50)</t>
  </si>
  <si>
    <t>=NL("First","GL00105","ACTNUMBR_2","ACTNUMST",E50)</t>
  </si>
  <si>
    <t>=NL("First","GL00105","ACTNUMBR_3","ACTNUMST",E50)</t>
  </si>
  <si>
    <t>=NL("First","GL00100","ACTDESCR","ACTNUMBR_1",F50,"ACTNUMBR_2",G50,"ACTNUMBR_3",H50)</t>
  </si>
  <si>
    <t>=GL("Cell","Balance",E50,,End_Date)</t>
  </si>
  <si>
    <t>=NL("First","GL00102","ACCATDSC","ACCATNUM",C52)</t>
  </si>
  <si>
    <t>=SUBTOTAL(9,J53:J54)</t>
  </si>
  <si>
    <t>=GL("Rows","Accounts",,,,C52)</t>
  </si>
  <si>
    <t>=NL("First","GL00105","ACTNUMBR_1","ACTNUMST",E53)</t>
  </si>
  <si>
    <t>=NL("First","GL00105","ACTNUMBR_2","ACTNUMST",E53)</t>
  </si>
  <si>
    <t>=NL("First","GL00105","ACTNUMBR_3","ACTNUMST",E53)</t>
  </si>
  <si>
    <t>=NL("First","GL00100","ACTDESCR","ACTNUMBR_1",F53,"ACTNUMBR_2",G53,"ACTNUMBR_3",H53)</t>
  </si>
  <si>
    <t>=GL("Cell","Balance",E53,,End_Date)</t>
  </si>
  <si>
    <t>=NL("First","GL00102","ACCATDSC","ACCATNUM",C55)</t>
  </si>
  <si>
    <t>=SUBTOTAL(9,J56:J84)</t>
  </si>
  <si>
    <t>=GL("Rows","Accounts",,,,C55)</t>
  </si>
  <si>
    <t>=NL("First","GL00105","ACTNUMBR_1","ACTNUMST",E56)</t>
  </si>
  <si>
    <t>=NL("First","GL00105","ACTNUMBR_2","ACTNUMST",E56)</t>
  </si>
  <si>
    <t>=NL("First","GL00105","ACTNUMBR_3","ACTNUMST",E56)</t>
  </si>
  <si>
    <t>=NL("First","GL00100","ACTDESCR","ACTNUMBR_1",F56,"ACTNUMBR_2",G56,"ACTNUMBR_3",H56)</t>
  </si>
  <si>
    <t>=GL("Cell","Balance",E56,,End_Date)</t>
  </si>
  <si>
    <t>="000-1300-02"</t>
  </si>
  <si>
    <t>=NL("First","GL00105","ACTNUMBR_1","ACTNUMST",E57)</t>
  </si>
  <si>
    <t>=NL("First","GL00105","ACTNUMBR_2","ACTNUMST",E57)</t>
  </si>
  <si>
    <t>=NL("First","GL00105","ACTNUMBR_3","ACTNUMST",E57)</t>
  </si>
  <si>
    <t>=NL("First","GL00100","ACTDESCR","ACTNUMBR_1",F57,"ACTNUMBR_2",G57,"ACTNUMBR_3",H57)</t>
  </si>
  <si>
    <t>=GL("Cell","Balance",E57,,End_Date)</t>
  </si>
  <si>
    <t>="000-1310-01"</t>
  </si>
  <si>
    <t>=GL("Cell","Balance",E58,,End_Date)</t>
  </si>
  <si>
    <t>="000-1312-00"</t>
  </si>
  <si>
    <t>=NL("First","GL00105","ACTNUMBR_1","ACTNUMST",E59)</t>
  </si>
  <si>
    <t>=NL("First","GL00105","ACTNUMBR_2","ACTNUMST",E59)</t>
  </si>
  <si>
    <t>=NL("First","GL00105","ACTNUMBR_3","ACTNUMST",E59)</t>
  </si>
  <si>
    <t>=NL("First","GL00100","ACTDESCR","ACTNUMBR_1",F59,"ACTNUMBR_2",G59,"ACTNUMBR_3",H59)</t>
  </si>
  <si>
    <t>=GL("Cell","Balance",E59,,End_Date)</t>
  </si>
  <si>
    <t>="000-1320-01"</t>
  </si>
  <si>
    <t>=NL("First","GL00105","ACTNUMBR_1","ACTNUMST",E60)</t>
  </si>
  <si>
    <t>=NL("First","GL00105","ACTNUMBR_2","ACTNUMST",E60)</t>
  </si>
  <si>
    <t>=NL("First","GL00105","ACTNUMBR_3","ACTNUMST",E60)</t>
  </si>
  <si>
    <t>=NL("First","GL00100","ACTDESCR","ACTNUMBR_1",F60,"ACTNUMBR_2",G60,"ACTNUMBR_3",H60)</t>
  </si>
  <si>
    <t>=GL("Cell","Balance",E60,,End_Date)</t>
  </si>
  <si>
    <t>="000-1330-01"</t>
  </si>
  <si>
    <t>=GL("Cell","Balance",E61,,End_Date)</t>
  </si>
  <si>
    <t>="000-1330-02"</t>
  </si>
  <si>
    <t>=NL("First","GL00105","ACTNUMBR_1","ACTNUMST",E62)</t>
  </si>
  <si>
    <t>=NL("First","GL00105","ACTNUMBR_2","ACTNUMST",E62)</t>
  </si>
  <si>
    <t>=NL("First","GL00105","ACTNUMBR_3","ACTNUMST",E62)</t>
  </si>
  <si>
    <t>=NL("First","GL00100","ACTDESCR","ACTNUMBR_1",F62,"ACTNUMBR_2",G62,"ACTNUMBR_3",H62)</t>
  </si>
  <si>
    <t>=GL("Cell","Balance",E62,,End_Date)</t>
  </si>
  <si>
    <t>="000-1330-03"</t>
  </si>
  <si>
    <t>=NL("First","GL00105","ACTNUMBR_1","ACTNUMST",E63)</t>
  </si>
  <si>
    <t>=NL("First","GL00105","ACTNUMBR_2","ACTNUMST",E63)</t>
  </si>
  <si>
    <t>=NL("First","GL00105","ACTNUMBR_3","ACTNUMST",E63)</t>
  </si>
  <si>
    <t>=NL("First","GL00100","ACTDESCR","ACTNUMBR_1",F63,"ACTNUMBR_2",G63,"ACTNUMBR_3",H63)</t>
  </si>
  <si>
    <t>=GL("Cell","Balance",E63,,End_Date)</t>
  </si>
  <si>
    <t>="000-1350-02"</t>
  </si>
  <si>
    <t>=GL("Cell","Balance",E64,,End_Date)</t>
  </si>
  <si>
    <t>="000-1350-03"</t>
  </si>
  <si>
    <t>=NL("First","GL00105","ACTNUMBR_1","ACTNUMST",E65)</t>
  </si>
  <si>
    <t>=NL("First","GL00105","ACTNUMBR_2","ACTNUMST",E65)</t>
  </si>
  <si>
    <t>=NL("First","GL00105","ACTNUMBR_3","ACTNUMST",E65)</t>
  </si>
  <si>
    <t>=NL("First","GL00100","ACTDESCR","ACTNUMBR_1",F65,"ACTNUMBR_2",G65,"ACTNUMBR_3",H65)</t>
  </si>
  <si>
    <t>=GL("Cell","Balance",E65,,End_Date)</t>
  </si>
  <si>
    <t>="000-1350-04"</t>
  </si>
  <si>
    <t>=NL("First","GL00105","ACTNUMBR_1","ACTNUMST",E66)</t>
  </si>
  <si>
    <t>=NL("First","GL00105","ACTNUMBR_2","ACTNUMST",E66)</t>
  </si>
  <si>
    <t>=NL("First","GL00105","ACTNUMBR_3","ACTNUMST",E66)</t>
  </si>
  <si>
    <t>=NL("First","GL00100","ACTDESCR","ACTNUMBR_1",F66,"ACTNUMBR_2",G66,"ACTNUMBR_3",H66)</t>
  </si>
  <si>
    <t>=GL("Cell","Balance",E66,,End_Date)</t>
  </si>
  <si>
    <t>="000-1350-05"</t>
  </si>
  <si>
    <t>=GL("Cell","Balance",E67,,End_Date)</t>
  </si>
  <si>
    <t>="000-1350-06"</t>
  </si>
  <si>
    <t>=NL("First","GL00105","ACTNUMBR_1","ACTNUMST",E68)</t>
  </si>
  <si>
    <t>=NL("First","GL00105","ACTNUMBR_2","ACTNUMST",E68)</t>
  </si>
  <si>
    <t>=NL("First","GL00105","ACTNUMBR_3","ACTNUMST",E68)</t>
  </si>
  <si>
    <t>=NL("First","GL00100","ACTDESCR","ACTNUMBR_1",F68,"ACTNUMBR_2",G68,"ACTNUMBR_3",H68)</t>
  </si>
  <si>
    <t>=GL("Cell","Balance",E68,,End_Date)</t>
  </si>
  <si>
    <t>="000-1350-07"</t>
  </si>
  <si>
    <t>=NL("First","GL00105","ACTNUMBR_1","ACTNUMST",E69)</t>
  </si>
  <si>
    <t>=NL("First","GL00105","ACTNUMBR_2","ACTNUMST",E69)</t>
  </si>
  <si>
    <t>=NL("First","GL00105","ACTNUMBR_3","ACTNUMST",E69)</t>
  </si>
  <si>
    <t>=NL("First","GL00100","ACTDESCR","ACTNUMBR_1",F69,"ACTNUMBR_2",G69,"ACTNUMBR_3",H69)</t>
  </si>
  <si>
    <t>=GL("Cell","Balance",E69,,End_Date)</t>
  </si>
  <si>
    <t>="000-1350-08"</t>
  </si>
  <si>
    <t>=GL("Cell","Balance",E70,,End_Date)</t>
  </si>
  <si>
    <t>="000-1350-09"</t>
  </si>
  <si>
    <t>=NL("First","GL00105","ACTNUMBR_1","ACTNUMST",E71)</t>
  </si>
  <si>
    <t>=NL("First","GL00105","ACTNUMBR_2","ACTNUMST",E71)</t>
  </si>
  <si>
    <t>=NL("First","GL00105","ACTNUMBR_3","ACTNUMST",E71)</t>
  </si>
  <si>
    <t>=NL("First","GL00100","ACTDESCR","ACTNUMBR_1",F71,"ACTNUMBR_2",G71,"ACTNUMBR_3",H71)</t>
  </si>
  <si>
    <t>=GL("Cell","Balance",E71,,End_Date)</t>
  </si>
  <si>
    <t>="000-1390-00"</t>
  </si>
  <si>
    <t>=NL("First","GL00105","ACTNUMBR_1","ACTNUMST",E72)</t>
  </si>
  <si>
    <t>=NL("First","GL00105","ACTNUMBR_2","ACTNUMST",E72)</t>
  </si>
  <si>
    <t>=NL("First","GL00105","ACTNUMBR_3","ACTNUMST",E72)</t>
  </si>
  <si>
    <t>=NL("First","GL00100","ACTDESCR","ACTNUMBR_1",F72,"ACTNUMBR_2",G72,"ACTNUMBR_3",H72)</t>
  </si>
  <si>
    <t>=GL("Cell","Balance",E72,,End_Date)</t>
  </si>
  <si>
    <t>="000-2735-00"</t>
  </si>
  <si>
    <t>=GL("Cell","Balance",E73,,End_Date)</t>
  </si>
  <si>
    <t>="000-4750-01"</t>
  </si>
  <si>
    <t>=NL("First","GL00105","ACTNUMBR_1","ACTNUMST",E74)</t>
  </si>
  <si>
    <t>=NL("First","GL00105","ACTNUMBR_2","ACTNUMST",E74)</t>
  </si>
  <si>
    <t>=NL("First","GL00105","ACTNUMBR_3","ACTNUMST",E74)</t>
  </si>
  <si>
    <t>=NL("First","GL00100","ACTDESCR","ACTNUMBR_1",F74,"ACTNUMBR_2",G74,"ACTNUMBR_3",H74)</t>
  </si>
  <si>
    <t>=GL("Cell","Balance",E74,,End_Date)</t>
  </si>
  <si>
    <t>="000-4750-02"</t>
  </si>
  <si>
    <t>=NL("First","GL00105","ACTNUMBR_1","ACTNUMST",E75)</t>
  </si>
  <si>
    <t>=NL("First","GL00105","ACTNUMBR_2","ACTNUMST",E75)</t>
  </si>
  <si>
    <t>=NL("First","GL00105","ACTNUMBR_3","ACTNUMST",E75)</t>
  </si>
  <si>
    <t>=NL("First","GL00100","ACTDESCR","ACTNUMBR_1",F75,"ACTNUMBR_2",G75,"ACTNUMBR_3",H75)</t>
  </si>
  <si>
    <t>=GL("Cell","Balance",E75,,End_Date)</t>
  </si>
  <si>
    <t>="000-4750-03"</t>
  </si>
  <si>
    <t>=NL("First","GL00105","ACTNUMBR_1","ACTNUMST",E76)</t>
  </si>
  <si>
    <t>=NL("First","GL00105","ACTNUMBR_2","ACTNUMST",E76)</t>
  </si>
  <si>
    <t>=NL("First","GL00105","ACTNUMBR_3","ACTNUMST",E76)</t>
  </si>
  <si>
    <t>=NL("First","GL00100","ACTDESCR","ACTNUMBR_1",F76,"ACTNUMBR_2",G76,"ACTNUMBR_3",H76)</t>
  </si>
  <si>
    <t>=GL("Cell","Balance",E76,,End_Date)</t>
  </si>
  <si>
    <t>="000-4750-04"</t>
  </si>
  <si>
    <t>=NL("First","GL00105","ACTNUMBR_1","ACTNUMST",E77)</t>
  </si>
  <si>
    <t>=NL("First","GL00105","ACTNUMBR_2","ACTNUMST",E77)</t>
  </si>
  <si>
    <t>=NL("First","GL00105","ACTNUMBR_3","ACTNUMST",E77)</t>
  </si>
  <si>
    <t>=NL("First","GL00100","ACTDESCR","ACTNUMBR_1",F77,"ACTNUMBR_2",G77,"ACTNUMBR_3",H77)</t>
  </si>
  <si>
    <t>=GL("Cell","Balance",E77,,End_Date)</t>
  </si>
  <si>
    <t>="000-4750-05"</t>
  </si>
  <si>
    <t>=NL("First","GL00105","ACTNUMBR_1","ACTNUMST",E78)</t>
  </si>
  <si>
    <t>=NL("First","GL00105","ACTNUMBR_2","ACTNUMST",E78)</t>
  </si>
  <si>
    <t>=NL("First","GL00105","ACTNUMBR_3","ACTNUMST",E78)</t>
  </si>
  <si>
    <t>=NL("First","GL00100","ACTDESCR","ACTNUMBR_1",F78,"ACTNUMBR_2",G78,"ACTNUMBR_3",H78)</t>
  </si>
  <si>
    <t>=GL("Cell","Balance",E78,,End_Date)</t>
  </si>
  <si>
    <t>="000-4750-06"</t>
  </si>
  <si>
    <t>=NL("First","GL00105","ACTNUMBR_1","ACTNUMST",E79)</t>
  </si>
  <si>
    <t>=NL("First","GL00105","ACTNUMBR_2","ACTNUMST",E79)</t>
  </si>
  <si>
    <t>=NL("First","GL00105","ACTNUMBR_3","ACTNUMST",E79)</t>
  </si>
  <si>
    <t>=NL("First","GL00100","ACTDESCR","ACTNUMBR_1",F79,"ACTNUMBR_2",G79,"ACTNUMBR_3",H79)</t>
  </si>
  <si>
    <t>=GL("Cell","Balance",E79,,End_Date)</t>
  </si>
  <si>
    <t>="000-4750-07"</t>
  </si>
  <si>
    <t>=GL("Cell","Balance",E80,,End_Date)</t>
  </si>
  <si>
    <t>="000-4750-08"</t>
  </si>
  <si>
    <t>=NL("First","GL00105","ACTNUMBR_1","ACTNUMST",E81)</t>
  </si>
  <si>
    <t>=NL("First","GL00105","ACTNUMBR_2","ACTNUMST",E81)</t>
  </si>
  <si>
    <t>=NL("First","GL00105","ACTNUMBR_3","ACTNUMST",E81)</t>
  </si>
  <si>
    <t>=NL("First","GL00100","ACTDESCR","ACTNUMBR_1",F81,"ACTNUMBR_2",G81,"ACTNUMBR_3",H81)</t>
  </si>
  <si>
    <t>=GL("Cell","Balance",E81,,End_Date)</t>
  </si>
  <si>
    <t>="000-4750-09"</t>
  </si>
  <si>
    <t>=NL("First","GL00105","ACTNUMBR_1","ACTNUMST",E82)</t>
  </si>
  <si>
    <t>=NL("First","GL00105","ACTNUMBR_2","ACTNUMST",E82)</t>
  </si>
  <si>
    <t>=NL("First","GL00105","ACTNUMBR_3","ACTNUMST",E82)</t>
  </si>
  <si>
    <t>=NL("First","GL00100","ACTDESCR","ACTNUMBR_1",F82,"ACTNUMBR_2",G82,"ACTNUMBR_3",H82)</t>
  </si>
  <si>
    <t>=GL("Cell","Balance",E82,,End_Date)</t>
  </si>
  <si>
    <t>="000-7410-00"</t>
  </si>
  <si>
    <t>=NL("First","GL00105","ACTNUMBR_1","ACTNUMST",E83)</t>
  </si>
  <si>
    <t>=NL("First","GL00105","ACTNUMBR_2","ACTNUMST",E83)</t>
  </si>
  <si>
    <t>=NL("First","GL00105","ACTNUMBR_3","ACTNUMST",E83)</t>
  </si>
  <si>
    <t>=NL("First","GL00100","ACTDESCR","ACTNUMBR_1",F83,"ACTNUMBR_2",G83,"ACTNUMBR_3",H83)</t>
  </si>
  <si>
    <t>=GL("Cell","Balance",E83,,End_Date)</t>
  </si>
  <si>
    <t>=NL("First","GL00102","ACCATDSC","ACCATNUM",C85)</t>
  </si>
  <si>
    <t>=SUBTOTAL(9,J86:J104)</t>
  </si>
  <si>
    <t>=GL("Rows","Accounts",,,,C85)</t>
  </si>
  <si>
    <t>=NL("First","GL00105","ACTNUMBR_1","ACTNUMST",E86)</t>
  </si>
  <si>
    <t>=NL("First","GL00105","ACTNUMBR_2","ACTNUMST",E86)</t>
  </si>
  <si>
    <t>=NL("First","GL00105","ACTNUMBR_3","ACTNUMST",E86)</t>
  </si>
  <si>
    <t>=NL("First","GL00100","ACTDESCR","ACTNUMBR_1",F86,"ACTNUMBR_2",G86,"ACTNUMBR_3",H86)</t>
  </si>
  <si>
    <t>=GL("Cell","Balance",E86,,End_Date)</t>
  </si>
  <si>
    <t>="000-1360-01"</t>
  </si>
  <si>
    <t>=NL("First","GL00105","ACTNUMBR_1","ACTNUMST",E87)</t>
  </si>
  <si>
    <t>=NL("First","GL00105","ACTNUMBR_2","ACTNUMST",E87)</t>
  </si>
  <si>
    <t>=NL("First","GL00105","ACTNUMBR_3","ACTNUMST",E87)</t>
  </si>
  <si>
    <t>=NL("First","GL00100","ACTDESCR","ACTNUMBR_1",F87,"ACTNUMBR_2",G87,"ACTNUMBR_3",H87)</t>
  </si>
  <si>
    <t>=GL("Cell","Balance",E87,,End_Date)</t>
  </si>
  <si>
    <t>="000-1360-02"</t>
  </si>
  <si>
    <t>=NL("First","GL00105","ACTNUMBR_1","ACTNUMST",E88)</t>
  </si>
  <si>
    <t>=NL("First","GL00105","ACTNUMBR_2","ACTNUMST",E88)</t>
  </si>
  <si>
    <t>=NL("First","GL00105","ACTNUMBR_3","ACTNUMST",E88)</t>
  </si>
  <si>
    <t>=NL("First","GL00100","ACTDESCR","ACTNUMBR_1",F88,"ACTNUMBR_2",G88,"ACTNUMBR_3",H88)</t>
  </si>
  <si>
    <t>=GL("Cell","Balance",E88,,End_Date)</t>
  </si>
  <si>
    <t>="000-1360-03"</t>
  </si>
  <si>
    <t>=GL("Cell","Balance",E89,,End_Date)</t>
  </si>
  <si>
    <t>="000-1360-04"</t>
  </si>
  <si>
    <t>=NL("First","GL00105","ACTNUMBR_1","ACTNUMST",E90)</t>
  </si>
  <si>
    <t>=NL("First","GL00105","ACTNUMBR_2","ACTNUMST",E90)</t>
  </si>
  <si>
    <t>=NL("First","GL00105","ACTNUMBR_3","ACTNUMST",E90)</t>
  </si>
  <si>
    <t>=NL("First","GL00100","ACTDESCR","ACTNUMBR_1",F90,"ACTNUMBR_2",G90,"ACTNUMBR_3",H90)</t>
  </si>
  <si>
    <t>=GL("Cell","Balance",E90,,End_Date)</t>
  </si>
  <si>
    <t>="000-1360-05"</t>
  </si>
  <si>
    <t>=NL("First","GL00105","ACTNUMBR_1","ACTNUMST",E91)</t>
  </si>
  <si>
    <t>=NL("First","GL00105","ACTNUMBR_2","ACTNUMST",E91)</t>
  </si>
  <si>
    <t>=NL("First","GL00105","ACTNUMBR_3","ACTNUMST",E91)</t>
  </si>
  <si>
    <t>=NL("First","GL00100","ACTDESCR","ACTNUMBR_1",F91,"ACTNUMBR_2",G91,"ACTNUMBR_3",H91)</t>
  </si>
  <si>
    <t>=GL("Cell","Balance",E91,,End_Date)</t>
  </si>
  <si>
    <t>="000-1360-06"</t>
  </si>
  <si>
    <t>=GL("Cell","Balance",E92,,End_Date)</t>
  </si>
  <si>
    <t>="000-1360-07"</t>
  </si>
  <si>
    <t>=NL("First","GL00105","ACTNUMBR_1","ACTNUMST",E93)</t>
  </si>
  <si>
    <t>=NL("First","GL00105","ACTNUMBR_2","ACTNUMST",E93)</t>
  </si>
  <si>
    <t>=NL("First","GL00105","ACTNUMBR_3","ACTNUMST",E93)</t>
  </si>
  <si>
    <t>=NL("First","GL00100","ACTDESCR","ACTNUMBR_1",F93,"ACTNUMBR_2",G93,"ACTNUMBR_3",H93)</t>
  </si>
  <si>
    <t>=GL("Cell","Balance",E93,,End_Date)</t>
  </si>
  <si>
    <t>="000-1360-08"</t>
  </si>
  <si>
    <t>=NL("First","GL00105","ACTNUMBR_1","ACTNUMST",E94)</t>
  </si>
  <si>
    <t>=NL("First","GL00105","ACTNUMBR_2","ACTNUMST",E94)</t>
  </si>
  <si>
    <t>=NL("First","GL00105","ACTNUMBR_3","ACTNUMST",E94)</t>
  </si>
  <si>
    <t>=NL("First","GL00100","ACTDESCR","ACTNUMBR_1",F94,"ACTNUMBR_2",G94,"ACTNUMBR_3",H94)</t>
  </si>
  <si>
    <t>=GL("Cell","Balance",E94,,End_Date)</t>
  </si>
  <si>
    <t>="000-1360-09"</t>
  </si>
  <si>
    <t>=GL("Cell","Balance",E95,,End_Date)</t>
  </si>
  <si>
    <t>="000-1370-01"</t>
  </si>
  <si>
    <t>=NL("First","GL00105","ACTNUMBR_1","ACTNUMST",E96)</t>
  </si>
  <si>
    <t>=NL("First","GL00105","ACTNUMBR_2","ACTNUMST",E96)</t>
  </si>
  <si>
    <t>=NL("First","GL00105","ACTNUMBR_3","ACTNUMST",E96)</t>
  </si>
  <si>
    <t>=NL("First","GL00100","ACTDESCR","ACTNUMBR_1",F96,"ACTNUMBR_2",G96,"ACTNUMBR_3",H96)</t>
  </si>
  <si>
    <t>=GL("Cell","Balance",E96,,End_Date)</t>
  </si>
  <si>
    <t>="000-1370-02"</t>
  </si>
  <si>
    <t>=NL("First","GL00105","ACTNUMBR_1","ACTNUMST",E97)</t>
  </si>
  <si>
    <t>=NL("First","GL00105","ACTNUMBR_2","ACTNUMST",E97)</t>
  </si>
  <si>
    <t>=NL("First","GL00105","ACTNUMBR_3","ACTNUMST",E97)</t>
  </si>
  <si>
    <t>=NL("First","GL00100","ACTDESCR","ACTNUMBR_1",F97,"ACTNUMBR_2",G97,"ACTNUMBR_3",H97)</t>
  </si>
  <si>
    <t>=GL("Cell","Balance",E97,,End_Date)</t>
  </si>
  <si>
    <t>="000-1380-04"</t>
  </si>
  <si>
    <t>=NL("First","GL00105","ACTNUMBR_1","ACTNUMST",E98)</t>
  </si>
  <si>
    <t>=NL("First","GL00105","ACTNUMBR_2","ACTNUMST",E98)</t>
  </si>
  <si>
    <t>=NL("First","GL00105","ACTNUMBR_3","ACTNUMST",E98)</t>
  </si>
  <si>
    <t>=NL("First","GL00100","ACTDESCR","ACTNUMBR_1",F98,"ACTNUMBR_2",G98,"ACTNUMBR_3",H98)</t>
  </si>
  <si>
    <t>=GL("Cell","Balance",E98,,End_Date)</t>
  </si>
  <si>
    <t>="000-1380-05"</t>
  </si>
  <si>
    <t>=NL("First","GL00105","ACTNUMBR_1","ACTNUMST",E99)</t>
  </si>
  <si>
    <t>=NL("First","GL00105","ACTNUMBR_2","ACTNUMST",E99)</t>
  </si>
  <si>
    <t>=NL("First","GL00105","ACTNUMBR_3","ACTNUMST",E99)</t>
  </si>
  <si>
    <t>=NL("First","GL00100","ACTDESCR","ACTNUMBR_1",F99,"ACTNUMBR_2",G99,"ACTNUMBR_3",H99)</t>
  </si>
  <si>
    <t>=GL("Cell","Balance",E99,,End_Date)</t>
  </si>
  <si>
    <t>="000-1380-06"</t>
  </si>
  <si>
    <t>=NL("First","GL00105","ACTNUMBR_1","ACTNUMST",E100)</t>
  </si>
  <si>
    <t>=NL("First","GL00105","ACTNUMBR_2","ACTNUMST",E100)</t>
  </si>
  <si>
    <t>=NL("First","GL00105","ACTNUMBR_3","ACTNUMST",E100)</t>
  </si>
  <si>
    <t>=NL("First","GL00100","ACTDESCR","ACTNUMBR_1",F100,"ACTNUMBR_2",G100,"ACTNUMBR_3",H100)</t>
  </si>
  <si>
    <t>=GL("Cell","Balance",E100,,End_Date)</t>
  </si>
  <si>
    <t>="000-1380-07"</t>
  </si>
  <si>
    <t>=NL("First","GL00105","ACTNUMBR_1","ACTNUMST",E101)</t>
  </si>
  <si>
    <t>=NL("First","GL00105","ACTNUMBR_2","ACTNUMST",E101)</t>
  </si>
  <si>
    <t>=NL("First","GL00105","ACTNUMBR_3","ACTNUMST",E101)</t>
  </si>
  <si>
    <t>=NL("First","GL00100","ACTDESCR","ACTNUMBR_1",F101,"ACTNUMBR_2",G101,"ACTNUMBR_3",H101)</t>
  </si>
  <si>
    <t>=GL("Cell","Balance",E101,,End_Date)</t>
  </si>
  <si>
    <t>="000-1380-08"</t>
  </si>
  <si>
    <t>=NL("First","GL00105","ACTNUMBR_1","ACTNUMST",E102)</t>
  </si>
  <si>
    <t>=NL("First","GL00105","ACTNUMBR_2","ACTNUMST",E102)</t>
  </si>
  <si>
    <t>=NL("First","GL00105","ACTNUMBR_3","ACTNUMST",E102)</t>
  </si>
  <si>
    <t>=NL("First","GL00100","ACTDESCR","ACTNUMBR_1",F102,"ACTNUMBR_2",G102,"ACTNUMBR_3",H102)</t>
  </si>
  <si>
    <t>=GL("Cell","Balance",E102,,End_Date)</t>
  </si>
  <si>
    <t>="000-1380-09"</t>
  </si>
  <si>
    <t>=NL("First","GL00105","ACTNUMBR_1","ACTNUMST",E103)</t>
  </si>
  <si>
    <t>=NL("First","GL00105","ACTNUMBR_2","ACTNUMST",E103)</t>
  </si>
  <si>
    <t>=NL("First","GL00105","ACTNUMBR_3","ACTNUMST",E103)</t>
  </si>
  <si>
    <t>=NL("First","GL00100","ACTDESCR","ACTNUMBR_1",F103,"ACTNUMBR_2",G103,"ACTNUMBR_3",H103)</t>
  </si>
  <si>
    <t>=GL("Cell","Balance",E103,,End_Date)</t>
  </si>
  <si>
    <t>=NL("First","GL00102","ACCATDSC","ACCATNUM",C105)</t>
  </si>
  <si>
    <t>=SUBTOTAL(9,J106:J108)</t>
  </si>
  <si>
    <t>=GL("Rows","Accounts",,,,C105)</t>
  </si>
  <si>
    <t>=NL("First","GL00105","ACTNUMBR_1","ACTNUMST",E106)</t>
  </si>
  <si>
    <t>=NL("First","GL00105","ACTNUMBR_2","ACTNUMST",E106)</t>
  </si>
  <si>
    <t>=NL("First","GL00105","ACTNUMBR_3","ACTNUMST",E106)</t>
  </si>
  <si>
    <t>=NL("First","GL00100","ACTDESCR","ACTNUMBR_1",F106,"ACTNUMBR_2",G106,"ACTNUMBR_3",H106)</t>
  </si>
  <si>
    <t>=GL("Cell","Balance",E106,,End_Date)</t>
  </si>
  <si>
    <t>="000-1410-00"</t>
  </si>
  <si>
    <t>=NL("First","GL00105","ACTNUMBR_1","ACTNUMST",E107)</t>
  </si>
  <si>
    <t>=NL("First","GL00105","ACTNUMBR_2","ACTNUMST",E107)</t>
  </si>
  <si>
    <t>=NL("First","GL00105","ACTNUMBR_3","ACTNUMST",E107)</t>
  </si>
  <si>
    <t>=NL("First","GL00100","ACTDESCR","ACTNUMBR_1",F107,"ACTNUMBR_2",G107,"ACTNUMBR_3",H107)</t>
  </si>
  <si>
    <t>=GL("Cell","Balance",E107,,End_Date)</t>
  </si>
  <si>
    <t>=SUBTOTAL(9,J13:J108)</t>
  </si>
  <si>
    <t>=NL("First","GL00102","ACCATDSC","ACCATNUM",C112)</t>
  </si>
  <si>
    <t>=SUBTOTAL(9,J113:J120)</t>
  </si>
  <si>
    <t>=GL("Rows","Accounts",,,,C112)</t>
  </si>
  <si>
    <t>=NL("First","GL00105","ACTNUMBR_1","ACTNUMST",E113)</t>
  </si>
  <si>
    <t>=NL("First","GL00105","ACTNUMBR_2","ACTNUMST",E113)</t>
  </si>
  <si>
    <t>=NL("First","GL00105","ACTNUMBR_3","ACTNUMST",E113)</t>
  </si>
  <si>
    <t>=NL("First","GL00100","ACTDESCR","ACTNUMBR_1",F113,"ACTNUMBR_2",G113,"ACTNUMBR_3",H113)</t>
  </si>
  <si>
    <t>=GL("Cell","Balance",E113,,End_Date)</t>
  </si>
  <si>
    <t>="000-1510-00"</t>
  </si>
  <si>
    <t>=NL("First","GL00105","ACTNUMBR_1","ACTNUMST",E114)</t>
  </si>
  <si>
    <t>=NL("First","GL00105","ACTNUMBR_2","ACTNUMST",E114)</t>
  </si>
  <si>
    <t>=NL("First","GL00105","ACTNUMBR_3","ACTNUMST",E114)</t>
  </si>
  <si>
    <t>=NL("First","GL00100","ACTDESCR","ACTNUMBR_1",F114,"ACTNUMBR_2",G114,"ACTNUMBR_3",H114)</t>
  </si>
  <si>
    <t>=GL("Cell","Balance",E114,,End_Date)</t>
  </si>
  <si>
    <t>="000-1520-00"</t>
  </si>
  <si>
    <t>=NL("First","GL00105","ACTNUMBR_1","ACTNUMST",E115)</t>
  </si>
  <si>
    <t>=NL("First","GL00105","ACTNUMBR_2","ACTNUMST",E115)</t>
  </si>
  <si>
    <t>=NL("First","GL00105","ACTNUMBR_3","ACTNUMST",E115)</t>
  </si>
  <si>
    <t>=NL("First","GL00100","ACTDESCR","ACTNUMBR_1",F115,"ACTNUMBR_2",G115,"ACTNUMBR_3",H115)</t>
  </si>
  <si>
    <t>=GL("Cell","Balance",E115,,End_Date)</t>
  </si>
  <si>
    <t>="000-1530-00"</t>
  </si>
  <si>
    <t>=NL("First","GL00105","ACTNUMBR_1","ACTNUMST",E116)</t>
  </si>
  <si>
    <t>=NL("First","GL00105","ACTNUMBR_2","ACTNUMST",E116)</t>
  </si>
  <si>
    <t>=NL("First","GL00105","ACTNUMBR_3","ACTNUMST",E116)</t>
  </si>
  <si>
    <t>=NL("First","GL00100","ACTDESCR","ACTNUMBR_1",F116,"ACTNUMBR_2",G116,"ACTNUMBR_3",H116)</t>
  </si>
  <si>
    <t>=GL("Cell","Balance",E116,,End_Date)</t>
  </si>
  <si>
    <t>="000-1590-00"</t>
  </si>
  <si>
    <t>=NL("First","GL00105","ACTNUMBR_1","ACTNUMST",E117)</t>
  </si>
  <si>
    <t>=NL("First","GL00105","ACTNUMBR_2","ACTNUMST",E117)</t>
  </si>
  <si>
    <t>=NL("First","GL00105","ACTNUMBR_3","ACTNUMST",E117)</t>
  </si>
  <si>
    <t>=NL("First","GL00100","ACTDESCR","ACTNUMBR_1",F117,"ACTNUMBR_2",G117,"ACTNUMBR_3",H117)</t>
  </si>
  <si>
    <t>=GL("Cell","Balance",E117,,End_Date)</t>
  </si>
  <si>
    <t>="000-1700-00"</t>
  </si>
  <si>
    <t>=NL("First","GL00105","ACTNUMBR_1","ACTNUMST",E118)</t>
  </si>
  <si>
    <t>=NL("First","GL00105","ACTNUMBR_2","ACTNUMST",E118)</t>
  </si>
  <si>
    <t>=NL("First","GL00105","ACTNUMBR_3","ACTNUMST",E118)</t>
  </si>
  <si>
    <t>=NL("First","GL00100","ACTDESCR","ACTNUMBR_1",F118,"ACTNUMBR_2",G118,"ACTNUMBR_3",H118)</t>
  </si>
  <si>
    <t>=GL("Cell","Balance",E118,,End_Date)</t>
  </si>
  <si>
    <t>="000-1710-00"</t>
  </si>
  <si>
    <t>=NL("First","GL00105","ACTNUMBR_1","ACTNUMST",E119)</t>
  </si>
  <si>
    <t>=NL("First","GL00105","ACTNUMBR_2","ACTNUMST",E119)</t>
  </si>
  <si>
    <t>=NL("First","GL00105","ACTNUMBR_3","ACTNUMST",E119)</t>
  </si>
  <si>
    <t>=NL("First","GL00100","ACTDESCR","ACTNUMBR_1",F119,"ACTNUMBR_2",G119,"ACTNUMBR_3",H119)</t>
  </si>
  <si>
    <t>=GL("Cell","Balance",E119,,End_Date)</t>
  </si>
  <si>
    <t>=NL("First","GL00102","ACCATDSC","ACCATNUM",C121)</t>
  </si>
  <si>
    <t>=SUBTOTAL(9,J122:J126)</t>
  </si>
  <si>
    <t>=GL("Rows","Accounts",,,,C121)</t>
  </si>
  <si>
    <t>=NL("First","GL00105","ACTNUMBR_1","ACTNUMST",E122)</t>
  </si>
  <si>
    <t>=NL("First","GL00105","ACTNUMBR_2","ACTNUMST",E122)</t>
  </si>
  <si>
    <t>=NL("First","GL00105","ACTNUMBR_3","ACTNUMST",E122)</t>
  </si>
  <si>
    <t>=NL("First","GL00100","ACTDESCR","ACTNUMBR_1",F122,"ACTNUMBR_2",G122,"ACTNUMBR_3",H122)</t>
  </si>
  <si>
    <t>=GL("Cell","Balance",E122,,End_Date)</t>
  </si>
  <si>
    <t>="000-1515-00"</t>
  </si>
  <si>
    <t>=NL("First","GL00105","ACTNUMBR_1","ACTNUMST",E123)</t>
  </si>
  <si>
    <t>=NL("First","GL00105","ACTNUMBR_2","ACTNUMST",E123)</t>
  </si>
  <si>
    <t>=NL("First","GL00105","ACTNUMBR_3","ACTNUMST",E123)</t>
  </si>
  <si>
    <t>=NL("First","GL00100","ACTDESCR","ACTNUMBR_1",F123,"ACTNUMBR_2",G123,"ACTNUMBR_3",H123)</t>
  </si>
  <si>
    <t>=GL("Cell","Balance",E123,,End_Date)</t>
  </si>
  <si>
    <t>="000-1525-00"</t>
  </si>
  <si>
    <t>=NL("First","GL00105","ACTNUMBR_1","ACTNUMST",E124)</t>
  </si>
  <si>
    <t>=NL("First","GL00105","ACTNUMBR_2","ACTNUMST",E124)</t>
  </si>
  <si>
    <t>=NL("First","GL00105","ACTNUMBR_3","ACTNUMST",E124)</t>
  </si>
  <si>
    <t>=NL("First","GL00100","ACTDESCR","ACTNUMBR_1",F124,"ACTNUMBR_2",G124,"ACTNUMBR_3",H124)</t>
  </si>
  <si>
    <t>=GL("Cell","Balance",E124,,End_Date)</t>
  </si>
  <si>
    <t>="000-1535-00"</t>
  </si>
  <si>
    <t>=NL("First","GL00105","ACTNUMBR_1","ACTNUMST",E125)</t>
  </si>
  <si>
    <t>=NL("First","GL00105","ACTNUMBR_2","ACTNUMST",E125)</t>
  </si>
  <si>
    <t>=NL("First","GL00105","ACTNUMBR_3","ACTNUMST",E125)</t>
  </si>
  <si>
    <t>=NL("First","GL00100","ACTDESCR","ACTNUMBR_1",F125,"ACTNUMBR_2",G125,"ACTNUMBR_3",H125)</t>
  </si>
  <si>
    <t>=GL("Cell","Balance",E125,,End_Date)</t>
  </si>
  <si>
    <t>=NL("First","GL00102","ACCATDSC","ACCATNUM",C127)</t>
  </si>
  <si>
    <t>=SUBTOTAL(9,J128:J130)</t>
  </si>
  <si>
    <t>=GL("Rows","Accounts",,,,C127)</t>
  </si>
  <si>
    <t>=NL("First","GL00105","ACTNUMBR_1","ACTNUMST",E128)</t>
  </si>
  <si>
    <t>=NL("First","GL00105","ACTNUMBR_2","ACTNUMST",E128)</t>
  </si>
  <si>
    <t>=NL("First","GL00105","ACTNUMBR_3","ACTNUMST",E128)</t>
  </si>
  <si>
    <t>=NL("First","GL00100","ACTDESCR","ACTNUMBR_1",F128,"ACTNUMBR_2",G128,"ACTNUMBR_3",H128)</t>
  </si>
  <si>
    <t>=GL("Cell","Balance",E128,,End_Date)</t>
  </si>
  <si>
    <t>="000-1610-00"</t>
  </si>
  <si>
    <t>=NL("First","GL00105","ACTNUMBR_1","ACTNUMST",E129)</t>
  </si>
  <si>
    <t>=NL("First","GL00105","ACTNUMBR_2","ACTNUMST",E129)</t>
  </si>
  <si>
    <t>=NL("First","GL00105","ACTNUMBR_3","ACTNUMST",E129)</t>
  </si>
  <si>
    <t>=NL("First","GL00100","ACTDESCR","ACTNUMBR_1",F129,"ACTNUMBR_2",G129,"ACTNUMBR_3",H129)</t>
  </si>
  <si>
    <t>=GL("Cell","Balance",E129,,End_Date)</t>
  </si>
  <si>
    <t>=NL("First","GL00102","ACCATDSC","ACCATNUM",C131)</t>
  </si>
  <si>
    <t>=SUBTOTAL(9,J132:J134)</t>
  </si>
  <si>
    <t>=GL("Rows","Accounts",,,,C131)</t>
  </si>
  <si>
    <t>=NL("First","GL00105","ACTNUMBR_1","ACTNUMST",E132)</t>
  </si>
  <si>
    <t>=NL("First","GL00105","ACTNUMBR_2","ACTNUMST",E132)</t>
  </si>
  <si>
    <t>=NL("First","GL00105","ACTNUMBR_3","ACTNUMST",E132)</t>
  </si>
  <si>
    <t>=NL("First","GL00100","ACTDESCR","ACTNUMBR_1",F132,"ACTNUMBR_2",G132,"ACTNUMBR_3",H132)</t>
  </si>
  <si>
    <t>=GL("Cell","Balance",E132,,End_Date)</t>
  </si>
  <si>
    <t>="000-8510-00"</t>
  </si>
  <si>
    <t>=NL("First","GL00105","ACTNUMBR_1","ACTNUMST",E133)</t>
  </si>
  <si>
    <t>=NL("First","GL00105","ACTNUMBR_2","ACTNUMST",E133)</t>
  </si>
  <si>
    <t>=NL("First","GL00105","ACTNUMBR_3","ACTNUMST",E133)</t>
  </si>
  <si>
    <t>=NL("First","GL00100","ACTDESCR","ACTNUMBR_1",F133,"ACTNUMBR_2",G133,"ACTNUMBR_3",H133)</t>
  </si>
  <si>
    <t>=GL("Cell","Balance",E133,,End_Date)</t>
  </si>
  <si>
    <t>=SUBTOTAL(9,J112:J134)</t>
  </si>
  <si>
    <t>=SUBTOTAL(9,J13:J136)</t>
  </si>
  <si>
    <t>=NL("First","GL00102","ACCATDSC","ACCATNUM",C143)</t>
  </si>
  <si>
    <t>=SUBTOTAL(9,J144:J179)</t>
  </si>
  <si>
    <t>=GL("Rows","Accounts",,,,C143)</t>
  </si>
  <si>
    <t>=NL("First","GL00105","ACTNUMBR_1","ACTNUMST",E144)</t>
  </si>
  <si>
    <t>=NL("First","GL00105","ACTNUMBR_2","ACTNUMST",E144)</t>
  </si>
  <si>
    <t>=NL("First","GL00105","ACTNUMBR_3","ACTNUMST",E144)</t>
  </si>
  <si>
    <t>=NL("First","GL00100","ACTDESCR","ACTNUMBR_1",F144,"ACTNUMBR_2",G144,"ACTNUMBR_3",H144)</t>
  </si>
  <si>
    <t>=-GL("Cell","Balance",E144,,End_Date)</t>
  </si>
  <si>
    <t>="000-2101-00"</t>
  </si>
  <si>
    <t>=NL("First","GL00105","ACTNUMBR_1","ACTNUMST",E145)</t>
  </si>
  <si>
    <t>=NL("First","GL00105","ACTNUMBR_2","ACTNUMST",E145)</t>
  </si>
  <si>
    <t>=NL("First","GL00105","ACTNUMBR_3","ACTNUMST",E145)</t>
  </si>
  <si>
    <t>=NL("First","GL00100","ACTDESCR","ACTNUMBR_1",F145,"ACTNUMBR_2",G145,"ACTNUMBR_3",H145)</t>
  </si>
  <si>
    <t>=-GL("Cell","Balance",E145,,End_Date)</t>
  </si>
  <si>
    <t>="000-2101-01"</t>
  </si>
  <si>
    <t>=NL("First","GL00105","ACTNUMBR_1","ACTNUMST",E146)</t>
  </si>
  <si>
    <t>=NL("First","GL00105","ACTNUMBR_2","ACTNUMST",E146)</t>
  </si>
  <si>
    <t>=NL("First","GL00105","ACTNUMBR_3","ACTNUMST",E146)</t>
  </si>
  <si>
    <t>=NL("First","GL00100","ACTDESCR","ACTNUMBR_1",F146,"ACTNUMBR_2",G146,"ACTNUMBR_3",H146)</t>
  </si>
  <si>
    <t>=-GL("Cell","Balance",E146,,End_Date)</t>
  </si>
  <si>
    <t>="000-2101-02"</t>
  </si>
  <si>
    <t>=NL("First","GL00105","ACTNUMBR_1","ACTNUMST",E147)</t>
  </si>
  <si>
    <t>=NL("First","GL00105","ACTNUMBR_2","ACTNUMST",E147)</t>
  </si>
  <si>
    <t>=NL("First","GL00105","ACTNUMBR_3","ACTNUMST",E147)</t>
  </si>
  <si>
    <t>=NL("First","GL00100","ACTDESCR","ACTNUMBR_1",F147,"ACTNUMBR_2",G147,"ACTNUMBR_3",H147)</t>
  </si>
  <si>
    <t>=-GL("Cell","Balance",E147,,End_Date)</t>
  </si>
  <si>
    <t>="000-2101-03"</t>
  </si>
  <si>
    <t>=NL("First","GL00105","ACTNUMBR_1","ACTNUMST",E148)</t>
  </si>
  <si>
    <t>=NL("First","GL00105","ACTNUMBR_2","ACTNUMST",E148)</t>
  </si>
  <si>
    <t>=NL("First","GL00105","ACTNUMBR_3","ACTNUMST",E148)</t>
  </si>
  <si>
    <t>=NL("First","GL00100","ACTDESCR","ACTNUMBR_1",F148,"ACTNUMBR_2",G148,"ACTNUMBR_3",H148)</t>
  </si>
  <si>
    <t>=-GL("Cell","Balance",E148,,End_Date)</t>
  </si>
  <si>
    <t>="000-2101-04"</t>
  </si>
  <si>
    <t>=NL("First","GL00105","ACTNUMBR_1","ACTNUMST",E149)</t>
  </si>
  <si>
    <t>=NL("First","GL00105","ACTNUMBR_2","ACTNUMST",E149)</t>
  </si>
  <si>
    <t>=NL("First","GL00105","ACTNUMBR_3","ACTNUMST",E149)</t>
  </si>
  <si>
    <t>=NL("First","GL00100","ACTDESCR","ACTNUMBR_1",F149,"ACTNUMBR_2",G149,"ACTNUMBR_3",H149)</t>
  </si>
  <si>
    <t>=-GL("Cell","Balance",E149,,End_Date)</t>
  </si>
  <si>
    <t>="000-2101-05"</t>
  </si>
  <si>
    <t>=NL("First","GL00105","ACTNUMBR_1","ACTNUMST",E150)</t>
  </si>
  <si>
    <t>=NL("First","GL00105","ACTNUMBR_2","ACTNUMST",E150)</t>
  </si>
  <si>
    <t>=NL("First","GL00105","ACTNUMBR_3","ACTNUMST",E150)</t>
  </si>
  <si>
    <t>=NL("First","GL00100","ACTDESCR","ACTNUMBR_1",F150,"ACTNUMBR_2",G150,"ACTNUMBR_3",H150)</t>
  </si>
  <si>
    <t>=-GL("Cell","Balance",E150,,End_Date)</t>
  </si>
  <si>
    <t>="000-2101-06"</t>
  </si>
  <si>
    <t>=NL("First","GL00105","ACTNUMBR_1","ACTNUMST",E151)</t>
  </si>
  <si>
    <t>=NL("First","GL00105","ACTNUMBR_2","ACTNUMST",E151)</t>
  </si>
  <si>
    <t>=NL("First","GL00105","ACTNUMBR_3","ACTNUMST",E151)</t>
  </si>
  <si>
    <t>=NL("First","GL00100","ACTDESCR","ACTNUMBR_1",F151,"ACTNUMBR_2",G151,"ACTNUMBR_3",H151)</t>
  </si>
  <si>
    <t>=-GL("Cell","Balance",E151,,End_Date)</t>
  </si>
  <si>
    <t>="000-2101-07"</t>
  </si>
  <si>
    <t>=NL("First","GL00105","ACTNUMBR_1","ACTNUMST",E152)</t>
  </si>
  <si>
    <t>=NL("First","GL00105","ACTNUMBR_2","ACTNUMST",E152)</t>
  </si>
  <si>
    <t>=NL("First","GL00105","ACTNUMBR_3","ACTNUMST",E152)</t>
  </si>
  <si>
    <t>=NL("First","GL00100","ACTDESCR","ACTNUMBR_1",F152,"ACTNUMBR_2",G152,"ACTNUMBR_3",H152)</t>
  </si>
  <si>
    <t>=-GL("Cell","Balance",E152,,End_Date)</t>
  </si>
  <si>
    <t>="000-2105-00"</t>
  </si>
  <si>
    <t>=NL("First","GL00105","ACTNUMBR_1","ACTNUMST",E153)</t>
  </si>
  <si>
    <t>=NL("First","GL00105","ACTNUMBR_2","ACTNUMST",E153)</t>
  </si>
  <si>
    <t>=NL("First","GL00105","ACTNUMBR_3","ACTNUMST",E153)</t>
  </si>
  <si>
    <t>=NL("First","GL00100","ACTDESCR","ACTNUMBR_1",F153,"ACTNUMBR_2",G153,"ACTNUMBR_3",H153)</t>
  </si>
  <si>
    <t>=-GL("Cell","Balance",E153,,End_Date)</t>
  </si>
  <si>
    <t>="000-2110-00"</t>
  </si>
  <si>
    <t>=NL("First","GL00105","ACTNUMBR_1","ACTNUMST",E154)</t>
  </si>
  <si>
    <t>=NL("First","GL00105","ACTNUMBR_2","ACTNUMST",E154)</t>
  </si>
  <si>
    <t>=NL("First","GL00105","ACTNUMBR_3","ACTNUMST",E154)</t>
  </si>
  <si>
    <t>=NL("First","GL00100","ACTDESCR","ACTNUMBR_1",F154,"ACTNUMBR_2",G154,"ACTNUMBR_3",H154)</t>
  </si>
  <si>
    <t>=-GL("Cell","Balance",E154,,End_Date)</t>
  </si>
  <si>
    <t>="000-2111-00"</t>
  </si>
  <si>
    <t>=NL("First","GL00105","ACTNUMBR_1","ACTNUMST",E155)</t>
  </si>
  <si>
    <t>=NL("First","GL00105","ACTNUMBR_2","ACTNUMST",E155)</t>
  </si>
  <si>
    <t>=NL("First","GL00105","ACTNUMBR_3","ACTNUMST",E155)</t>
  </si>
  <si>
    <t>=NL("First","GL00100","ACTDESCR","ACTNUMBR_1",F155,"ACTNUMBR_2",G155,"ACTNUMBR_3",H155)</t>
  </si>
  <si>
    <t>=-GL("Cell","Balance",E155,,End_Date)</t>
  </si>
  <si>
    <t>="000-2115-00"</t>
  </si>
  <si>
    <t>=NL("First","GL00105","ACTNUMBR_1","ACTNUMST",E156)</t>
  </si>
  <si>
    <t>=NL("First","GL00105","ACTNUMBR_2","ACTNUMST",E156)</t>
  </si>
  <si>
    <t>=NL("First","GL00105","ACTNUMBR_3","ACTNUMST",E156)</t>
  </si>
  <si>
    <t>=NL("First","GL00100","ACTDESCR","ACTNUMBR_1",F156,"ACTNUMBR_2",G156,"ACTNUMBR_3",H156)</t>
  </si>
  <si>
    <t>=-GL("Cell","Balance",E156,,End_Date)</t>
  </si>
  <si>
    <t>="000-2120-00"</t>
  </si>
  <si>
    <t>=NL("First","GL00105","ACTNUMBR_1","ACTNUMST",E157)</t>
  </si>
  <si>
    <t>=NL("First","GL00105","ACTNUMBR_2","ACTNUMST",E157)</t>
  </si>
  <si>
    <t>=NL("First","GL00105","ACTNUMBR_3","ACTNUMST",E157)</t>
  </si>
  <si>
    <t>=NL("First","GL00100","ACTDESCR","ACTNUMBR_1",F157,"ACTNUMBR_2",G157,"ACTNUMBR_3",H157)</t>
  </si>
  <si>
    <t>=-GL("Cell","Balance",E157,,End_Date)</t>
  </si>
  <si>
    <t>="000-2130-00"</t>
  </si>
  <si>
    <t>=NL("First","GL00105","ACTNUMBR_1","ACTNUMST",E158)</t>
  </si>
  <si>
    <t>=NL("First","GL00105","ACTNUMBR_2","ACTNUMST",E158)</t>
  </si>
  <si>
    <t>=NL("First","GL00105","ACTNUMBR_3","ACTNUMST",E158)</t>
  </si>
  <si>
    <t>=NL("First","GL00100","ACTDESCR","ACTNUMBR_1",F158,"ACTNUMBR_2",G158,"ACTNUMBR_3",H158)</t>
  </si>
  <si>
    <t>=-GL("Cell","Balance",E158,,End_Date)</t>
  </si>
  <si>
    <t>="000-2140-00"</t>
  </si>
  <si>
    <t>=NL("First","GL00105","ACTNUMBR_1","ACTNUMST",E159)</t>
  </si>
  <si>
    <t>=NL("First","GL00105","ACTNUMBR_2","ACTNUMST",E159)</t>
  </si>
  <si>
    <t>=NL("First","GL00105","ACTNUMBR_3","ACTNUMST",E159)</t>
  </si>
  <si>
    <t>=NL("First","GL00100","ACTDESCR","ACTNUMBR_1",F159,"ACTNUMBR_2",G159,"ACTNUMBR_3",H159)</t>
  </si>
  <si>
    <t>=-GL("Cell","Balance",E159,,End_Date)</t>
  </si>
  <si>
    <t>="000-2150-00"</t>
  </si>
  <si>
    <t>=NL("First","GL00105","ACTNUMBR_1","ACTNUMST",E160)</t>
  </si>
  <si>
    <t>=NL("First","GL00105","ACTNUMBR_2","ACTNUMST",E160)</t>
  </si>
  <si>
    <t>=NL("First","GL00105","ACTNUMBR_3","ACTNUMST",E160)</t>
  </si>
  <si>
    <t>=NL("First","GL00100","ACTDESCR","ACTNUMBR_1",F160,"ACTNUMBR_2",G160,"ACTNUMBR_3",H160)</t>
  </si>
  <si>
    <t>=-GL("Cell","Balance",E160,,End_Date)</t>
  </si>
  <si>
    <t>="000-2200-00"</t>
  </si>
  <si>
    <t>=NL("First","GL00105","ACTNUMBR_1","ACTNUMST",E161)</t>
  </si>
  <si>
    <t>=NL("First","GL00105","ACTNUMBR_2","ACTNUMST",E161)</t>
  </si>
  <si>
    <t>=NL("First","GL00105","ACTNUMBR_3","ACTNUMST",E161)</t>
  </si>
  <si>
    <t>=NL("First","GL00100","ACTDESCR","ACTNUMBR_1",F161,"ACTNUMBR_2",G161,"ACTNUMBR_3",H161)</t>
  </si>
  <si>
    <t>=-GL("Cell","Balance",E161,,End_Date)</t>
  </si>
  <si>
    <t>="000-2210-00"</t>
  </si>
  <si>
    <t>=NL("First","GL00105","ACTNUMBR_1","ACTNUMST",E162)</t>
  </si>
  <si>
    <t>=NL("First","GL00105","ACTNUMBR_2","ACTNUMST",E162)</t>
  </si>
  <si>
    <t>=NL("First","GL00105","ACTNUMBR_3","ACTNUMST",E162)</t>
  </si>
  <si>
    <t>=NL("First","GL00100","ACTDESCR","ACTNUMBR_1",F162,"ACTNUMBR_2",G162,"ACTNUMBR_3",H162)</t>
  </si>
  <si>
    <t>=-GL("Cell","Balance",E162,,End_Date)</t>
  </si>
  <si>
    <t>="000-2220-00"</t>
  </si>
  <si>
    <t>=NL("First","GL00105","ACTNUMBR_1","ACTNUMST",E163)</t>
  </si>
  <si>
    <t>=NL("First","GL00105","ACTNUMBR_2","ACTNUMST",E163)</t>
  </si>
  <si>
    <t>=NL("First","GL00105","ACTNUMBR_3","ACTNUMST",E163)</t>
  </si>
  <si>
    <t>=NL("First","GL00100","ACTDESCR","ACTNUMBR_1",F163,"ACTNUMBR_2",G163,"ACTNUMBR_3",H163)</t>
  </si>
  <si>
    <t>=-GL("Cell","Balance",E163,,End_Date)</t>
  </si>
  <si>
    <t>="000-2230-00"</t>
  </si>
  <si>
    <t>=NL("First","GL00105","ACTNUMBR_1","ACTNUMST",E164)</t>
  </si>
  <si>
    <t>=NL("First","GL00105","ACTNUMBR_2","ACTNUMST",E164)</t>
  </si>
  <si>
    <t>=NL("First","GL00105","ACTNUMBR_3","ACTNUMST",E164)</t>
  </si>
  <si>
    <t>=NL("First","GL00100","ACTDESCR","ACTNUMBR_1",F164,"ACTNUMBR_2",G164,"ACTNUMBR_3",H164)</t>
  </si>
  <si>
    <t>=-GL("Cell","Balance",E164,,End_Date)</t>
  </si>
  <si>
    <t>="000-2240-00"</t>
  </si>
  <si>
    <t>=NL("First","GL00105","ACTNUMBR_1","ACTNUMST",E165)</t>
  </si>
  <si>
    <t>=NL("First","GL00105","ACTNUMBR_2","ACTNUMST",E165)</t>
  </si>
  <si>
    <t>=NL("First","GL00105","ACTNUMBR_3","ACTNUMST",E165)</t>
  </si>
  <si>
    <t>=NL("First","GL00100","ACTDESCR","ACTNUMBR_1",F165,"ACTNUMBR_2",G165,"ACTNUMBR_3",H165)</t>
  </si>
  <si>
    <t>=-GL("Cell","Balance",E165,,End_Date)</t>
  </si>
  <si>
    <t>="000-2250-00"</t>
  </si>
  <si>
    <t>=NL("First","GL00105","ACTNUMBR_1","ACTNUMST",E166)</t>
  </si>
  <si>
    <t>=NL("First","GL00105","ACTNUMBR_2","ACTNUMST",E166)</t>
  </si>
  <si>
    <t>=NL("First","GL00105","ACTNUMBR_3","ACTNUMST",E166)</t>
  </si>
  <si>
    <t>=NL("First","GL00100","ACTDESCR","ACTNUMBR_1",F166,"ACTNUMBR_2",G166,"ACTNUMBR_3",H166)</t>
  </si>
  <si>
    <t>=-GL("Cell","Balance",E166,,End_Date)</t>
  </si>
  <si>
    <t>="000-2260-00"</t>
  </si>
  <si>
    <t>=NL("First","GL00105","ACTNUMBR_1","ACTNUMST",E167)</t>
  </si>
  <si>
    <t>=NL("First","GL00105","ACTNUMBR_2","ACTNUMST",E167)</t>
  </si>
  <si>
    <t>=NL("First","GL00105","ACTNUMBR_3","ACTNUMST",E167)</t>
  </si>
  <si>
    <t>=NL("First","GL00100","ACTDESCR","ACTNUMBR_1",F167,"ACTNUMBR_2",G167,"ACTNUMBR_3",H167)</t>
  </si>
  <si>
    <t>=-GL("Cell","Balance",E167,,End_Date)</t>
  </si>
  <si>
    <t>="000-2261-00"</t>
  </si>
  <si>
    <t>=NL("First","GL00105","ACTNUMBR_1","ACTNUMST",E168)</t>
  </si>
  <si>
    <t>=NL("First","GL00105","ACTNUMBR_2","ACTNUMST",E168)</t>
  </si>
  <si>
    <t>=NL("First","GL00105","ACTNUMBR_3","ACTNUMST",E168)</t>
  </si>
  <si>
    <t>=NL("First","GL00100","ACTDESCR","ACTNUMBR_1",F168,"ACTNUMBR_2",G168,"ACTNUMBR_3",H168)</t>
  </si>
  <si>
    <t>=-GL("Cell","Balance",E168,,End_Date)</t>
  </si>
  <si>
    <t>="000-2410-00"</t>
  </si>
  <si>
    <t>=NL("First","GL00105","ACTNUMBR_1","ACTNUMST",E169)</t>
  </si>
  <si>
    <t>=NL("First","GL00105","ACTNUMBR_2","ACTNUMST",E169)</t>
  </si>
  <si>
    <t>=NL("First","GL00105","ACTNUMBR_3","ACTNUMST",E169)</t>
  </si>
  <si>
    <t>=NL("First","GL00100","ACTDESCR","ACTNUMBR_1",F169,"ACTNUMBR_2",G169,"ACTNUMBR_3",H169)</t>
  </si>
  <si>
    <t>=-GL("Cell","Balance",E169,,End_Date)</t>
  </si>
  <si>
    <t>="000-2420-00"</t>
  </si>
  <si>
    <t>=NL("First","GL00105","ACTNUMBR_1","ACTNUMST",E170)</t>
  </si>
  <si>
    <t>=NL("First","GL00105","ACTNUMBR_2","ACTNUMST",E170)</t>
  </si>
  <si>
    <t>=NL("First","GL00105","ACTNUMBR_3","ACTNUMST",E170)</t>
  </si>
  <si>
    <t>=NL("First","GL00100","ACTDESCR","ACTNUMBR_1",F170,"ACTNUMBR_2",G170,"ACTNUMBR_3",H170)</t>
  </si>
  <si>
    <t>=-GL("Cell","Balance",E170,,End_Date)</t>
  </si>
  <si>
    <t>="000-2430-00"</t>
  </si>
  <si>
    <t>=NL("First","GL00105","ACTNUMBR_1","ACTNUMST",E171)</t>
  </si>
  <si>
    <t>=NL("First","GL00105","ACTNUMBR_2","ACTNUMST",E171)</t>
  </si>
  <si>
    <t>=NL("First","GL00105","ACTNUMBR_3","ACTNUMST",E171)</t>
  </si>
  <si>
    <t>=NL("First","GL00100","ACTDESCR","ACTNUMBR_1",F171,"ACTNUMBR_2",G171,"ACTNUMBR_3",H171)</t>
  </si>
  <si>
    <t>=-GL("Cell","Balance",E171,,End_Date)</t>
  </si>
  <si>
    <t>="000-2700-00"</t>
  </si>
  <si>
    <t>=NL("First","GL00105","ACTNUMBR_1","ACTNUMST",E172)</t>
  </si>
  <si>
    <t>=NL("First","GL00105","ACTNUMBR_2","ACTNUMST",E172)</t>
  </si>
  <si>
    <t>=NL("First","GL00105","ACTNUMBR_3","ACTNUMST",E172)</t>
  </si>
  <si>
    <t>=NL("First","GL00100","ACTDESCR","ACTNUMBR_1",F172,"ACTNUMBR_2",G172,"ACTNUMBR_3",H172)</t>
  </si>
  <si>
    <t>=-GL("Cell","Balance",E172,,End_Date)</t>
  </si>
  <si>
    <t>="000-2710-00"</t>
  </si>
  <si>
    <t>=NL("First","GL00105","ACTNUMBR_1","ACTNUMST",E173)</t>
  </si>
  <si>
    <t>=NL("First","GL00105","ACTNUMBR_2","ACTNUMST",E173)</t>
  </si>
  <si>
    <t>=NL("First","GL00105","ACTNUMBR_3","ACTNUMST",E173)</t>
  </si>
  <si>
    <t>=NL("First","GL00100","ACTDESCR","ACTNUMBR_1",F173,"ACTNUMBR_2",G173,"ACTNUMBR_3",H173)</t>
  </si>
  <si>
    <t>=-GL("Cell","Balance",E173,,End_Date)</t>
  </si>
  <si>
    <t>="000-2720-00"</t>
  </si>
  <si>
    <t>=NL("First","GL00105","ACTNUMBR_1","ACTNUMST",E174)</t>
  </si>
  <si>
    <t>=NL("First","GL00105","ACTNUMBR_2","ACTNUMST",E174)</t>
  </si>
  <si>
    <t>=NL("First","GL00105","ACTNUMBR_3","ACTNUMST",E174)</t>
  </si>
  <si>
    <t>=NL("First","GL00100","ACTDESCR","ACTNUMBR_1",F174,"ACTNUMBR_2",G174,"ACTNUMBR_3",H174)</t>
  </si>
  <si>
    <t>=-GL("Cell","Balance",E174,,End_Date)</t>
  </si>
  <si>
    <t>="000-2730-00"</t>
  </si>
  <si>
    <t>=NL("First","GL00105","ACTNUMBR_1","ACTNUMST",E175)</t>
  </si>
  <si>
    <t>=NL("First","GL00105","ACTNUMBR_2","ACTNUMST",E175)</t>
  </si>
  <si>
    <t>=NL("First","GL00105","ACTNUMBR_3","ACTNUMST",E175)</t>
  </si>
  <si>
    <t>=NL("First","GL00100","ACTDESCR","ACTNUMBR_1",F175,"ACTNUMBR_2",G175,"ACTNUMBR_3",H175)</t>
  </si>
  <si>
    <t>=-GL("Cell","Balance",E175,,End_Date)</t>
  </si>
  <si>
    <t>="000-2950-00"</t>
  </si>
  <si>
    <t>=NL("First","GL00105","ACTNUMBR_1","ACTNUMST",E176)</t>
  </si>
  <si>
    <t>=NL("First","GL00105","ACTNUMBR_2","ACTNUMST",E176)</t>
  </si>
  <si>
    <t>=NL("First","GL00105","ACTNUMBR_3","ACTNUMST",E176)</t>
  </si>
  <si>
    <t>=NL("First","GL00100","ACTDESCR","ACTNUMBR_1",F176,"ACTNUMBR_2",G176,"ACTNUMBR_3",H176)</t>
  </si>
  <si>
    <t>=-GL("Cell","Balance",E176,,End_Date)</t>
  </si>
  <si>
    <t>="000-2950-01"</t>
  </si>
  <si>
    <t>=NL("First","GL00105","ACTNUMBR_1","ACTNUMST",E177)</t>
  </si>
  <si>
    <t>=NL("First","GL00105","ACTNUMBR_2","ACTNUMST",E177)</t>
  </si>
  <si>
    <t>=NL("First","GL00105","ACTNUMBR_3","ACTNUMST",E177)</t>
  </si>
  <si>
    <t>=NL("First","GL00100","ACTDESCR","ACTNUMBR_1",F177,"ACTNUMBR_2",G177,"ACTNUMBR_3",H177)</t>
  </si>
  <si>
    <t>=-GL("Cell","Balance",E177,,End_Date)</t>
  </si>
  <si>
    <t>="000-4730-00"</t>
  </si>
  <si>
    <t>=NL("First","GL00105","ACTNUMBR_1","ACTNUMST",E178)</t>
  </si>
  <si>
    <t>=NL("First","GL00105","ACTNUMBR_2","ACTNUMST",E178)</t>
  </si>
  <si>
    <t>=NL("First","GL00105","ACTNUMBR_3","ACTNUMST",E178)</t>
  </si>
  <si>
    <t>=NL("First","GL00100","ACTDESCR","ACTNUMBR_1",F178,"ACTNUMBR_2",G178,"ACTNUMBR_3",H178)</t>
  </si>
  <si>
    <t>=-GL("Cell","Balance",E178,,End_Date)</t>
  </si>
  <si>
    <t>=NL("First","GL00102","ACCATDSC","ACCATNUM",C180)</t>
  </si>
  <si>
    <t>=SUBTOTAL(9,J181:J184)</t>
  </si>
  <si>
    <t>=GL("Rows","Accounts",,,,C180)</t>
  </si>
  <si>
    <t>=NL("First","GL00105","ACTNUMBR_1","ACTNUMST",E181)</t>
  </si>
  <si>
    <t>=NL("First","GL00105","ACTNUMBR_2","ACTNUMST",E181)</t>
  </si>
  <si>
    <t>=NL("First","GL00105","ACTNUMBR_3","ACTNUMST",E181)</t>
  </si>
  <si>
    <t>=NL("First","GL00100","ACTDESCR","ACTNUMBR_1",F181,"ACTNUMBR_2",G181,"ACTNUMBR_3",H181)</t>
  </si>
  <si>
    <t>=-GL("Cell","Balance",E181,,End_Date)</t>
  </si>
  <si>
    <t>="000-2810-00"</t>
  </si>
  <si>
    <t>=NL("First","GL00105","ACTNUMBR_1","ACTNUMST",E182)</t>
  </si>
  <si>
    <t>=NL("First","GL00105","ACTNUMBR_2","ACTNUMST",E182)</t>
  </si>
  <si>
    <t>=NL("First","GL00105","ACTNUMBR_3","ACTNUMST",E182)</t>
  </si>
  <si>
    <t>=NL("First","GL00100","ACTDESCR","ACTNUMBR_1",F182,"ACTNUMBR_2",G182,"ACTNUMBR_3",H182)</t>
  </si>
  <si>
    <t>=-GL("Cell","Balance",E182,,End_Date)</t>
  </si>
  <si>
    <t>="000-2820-00"</t>
  </si>
  <si>
    <t>=NL("First","GL00105","ACTNUMBR_1","ACTNUMST",E183)</t>
  </si>
  <si>
    <t>=NL("First","GL00105","ACTNUMBR_2","ACTNUMST",E183)</t>
  </si>
  <si>
    <t>=NL("First","GL00105","ACTNUMBR_3","ACTNUMST",E183)</t>
  </si>
  <si>
    <t>=NL("First","GL00100","ACTDESCR","ACTNUMBR_1",F183,"ACTNUMBR_2",G183,"ACTNUMBR_3",H183)</t>
  </si>
  <si>
    <t>=-GL("Cell","Balance",E183,,End_Date)</t>
  </si>
  <si>
    <t>=NL("First","GL00102","ACCATDSC","ACCATNUM",C185)</t>
  </si>
  <si>
    <t>=SUBTOTAL(9,J186:J229)</t>
  </si>
  <si>
    <t>=GL("Rows","Accounts",,,,C185)</t>
  </si>
  <si>
    <t>=NL("First","GL00105","ACTNUMBR_1","ACTNUMST",E186)</t>
  </si>
  <si>
    <t>=NL("First","GL00105","ACTNUMBR_2","ACTNUMST",E186)</t>
  </si>
  <si>
    <t>=NL("First","GL00105","ACTNUMBR_3","ACTNUMST",E186)</t>
  </si>
  <si>
    <t>=NL("First","GL00100","ACTDESCR","ACTNUMBR_1",F186,"ACTNUMBR_2",G186,"ACTNUMBR_3",H186)</t>
  </si>
  <si>
    <t>=-GL("Cell","Balance",E186,,End_Date)</t>
  </si>
  <si>
    <t>="000-2162-00"</t>
  </si>
  <si>
    <t>=NL("First","GL00105","ACTNUMBR_1","ACTNUMST",E187)</t>
  </si>
  <si>
    <t>=NL("First","GL00105","ACTNUMBR_2","ACTNUMST",E187)</t>
  </si>
  <si>
    <t>=NL("First","GL00105","ACTNUMBR_3","ACTNUMST",E187)</t>
  </si>
  <si>
    <t>=NL("First","GL00100","ACTDESCR","ACTNUMBR_1",F187,"ACTNUMBR_2",G187,"ACTNUMBR_3",H187)</t>
  </si>
  <si>
    <t>=-GL("Cell","Balance",E187,,End_Date)</t>
  </si>
  <si>
    <t>="000-2163-00"</t>
  </si>
  <si>
    <t>=NL("First","GL00105","ACTNUMBR_1","ACTNUMST",E188)</t>
  </si>
  <si>
    <t>=NL("First","GL00105","ACTNUMBR_2","ACTNUMST",E188)</t>
  </si>
  <si>
    <t>=NL("First","GL00105","ACTNUMBR_3","ACTNUMST",E188)</t>
  </si>
  <si>
    <t>=NL("First","GL00100","ACTDESCR","ACTNUMBR_1",F188,"ACTNUMBR_2",G188,"ACTNUMBR_3",H188)</t>
  </si>
  <si>
    <t>=-GL("Cell","Balance",E188,,End_Date)</t>
  </si>
  <si>
    <t>="000-2164-00"</t>
  </si>
  <si>
    <t>=NL("First","GL00105","ACTNUMBR_1","ACTNUMST",E189)</t>
  </si>
  <si>
    <t>=NL("First","GL00105","ACTNUMBR_2","ACTNUMST",E189)</t>
  </si>
  <si>
    <t>=NL("First","GL00105","ACTNUMBR_3","ACTNUMST",E189)</t>
  </si>
  <si>
    <t>=NL("First","GL00100","ACTDESCR","ACTNUMBR_1",F189,"ACTNUMBR_2",G189,"ACTNUMBR_3",H189)</t>
  </si>
  <si>
    <t>=-GL("Cell","Balance",E189,,End_Date)</t>
  </si>
  <si>
    <t>="000-2165-00"</t>
  </si>
  <si>
    <t>=NL("First","GL00105","ACTNUMBR_1","ACTNUMST",E190)</t>
  </si>
  <si>
    <t>=NL("First","GL00105","ACTNUMBR_2","ACTNUMST",E190)</t>
  </si>
  <si>
    <t>=NL("First","GL00105","ACTNUMBR_3","ACTNUMST",E190)</t>
  </si>
  <si>
    <t>=NL("First","GL00100","ACTDESCR","ACTNUMBR_1",F190,"ACTNUMBR_2",G190,"ACTNUMBR_3",H190)</t>
  </si>
  <si>
    <t>=-GL("Cell","Balance",E190,,End_Date)</t>
  </si>
  <si>
    <t>="000-2166-00"</t>
  </si>
  <si>
    <t>=NL("First","GL00105","ACTNUMBR_1","ACTNUMST",E191)</t>
  </si>
  <si>
    <t>=NL("First","GL00105","ACTNUMBR_2","ACTNUMST",E191)</t>
  </si>
  <si>
    <t>=NL("First","GL00105","ACTNUMBR_3","ACTNUMST",E191)</t>
  </si>
  <si>
    <t>=NL("First","GL00100","ACTDESCR","ACTNUMBR_1",F191,"ACTNUMBR_2",G191,"ACTNUMBR_3",H191)</t>
  </si>
  <si>
    <t>=-GL("Cell","Balance",E191,,End_Date)</t>
  </si>
  <si>
    <t>="000-2170-00"</t>
  </si>
  <si>
    <t>=NL("First","GL00105","ACTNUMBR_1","ACTNUMST",E192)</t>
  </si>
  <si>
    <t>=NL("First","GL00105","ACTNUMBR_2","ACTNUMST",E192)</t>
  </si>
  <si>
    <t>=NL("First","GL00105","ACTNUMBR_3","ACTNUMST",E192)</t>
  </si>
  <si>
    <t>=NL("First","GL00100","ACTDESCR","ACTNUMBR_1",F192,"ACTNUMBR_2",G192,"ACTNUMBR_3",H192)</t>
  </si>
  <si>
    <t>=-GL("Cell","Balance",E192,,End_Date)</t>
  </si>
  <si>
    <t>="000-2175-00"</t>
  </si>
  <si>
    <t>=NL("First","GL00105","ACTNUMBR_1","ACTNUMST",E193)</t>
  </si>
  <si>
    <t>=NL("First","GL00105","ACTNUMBR_2","ACTNUMST",E193)</t>
  </si>
  <si>
    <t>=NL("First","GL00105","ACTNUMBR_3","ACTNUMST",E193)</t>
  </si>
  <si>
    <t>=NL("First","GL00100","ACTDESCR","ACTNUMBR_1",F193,"ACTNUMBR_2",G193,"ACTNUMBR_3",H193)</t>
  </si>
  <si>
    <t>=-GL("Cell","Balance",E193,,End_Date)</t>
  </si>
  <si>
    <t>="000-2180-00"</t>
  </si>
  <si>
    <t>=NL("First","GL00105","ACTNUMBR_1","ACTNUMST",E194)</t>
  </si>
  <si>
    <t>=NL("First","GL00105","ACTNUMBR_2","ACTNUMST",E194)</t>
  </si>
  <si>
    <t>=NL("First","GL00105","ACTNUMBR_3","ACTNUMST",E194)</t>
  </si>
  <si>
    <t>=NL("First","GL00100","ACTDESCR","ACTNUMBR_1",F194,"ACTNUMBR_2",G194,"ACTNUMBR_3",H194)</t>
  </si>
  <si>
    <t>=-GL("Cell","Balance",E194,,End_Date)</t>
  </si>
  <si>
    <t>="000-2191-00"</t>
  </si>
  <si>
    <t>=NL("First","GL00105","ACTNUMBR_1","ACTNUMST",E195)</t>
  </si>
  <si>
    <t>=NL("First","GL00105","ACTNUMBR_2","ACTNUMST",E195)</t>
  </si>
  <si>
    <t>=NL("First","GL00105","ACTNUMBR_3","ACTNUMST",E195)</t>
  </si>
  <si>
    <t>=NL("First","GL00100","ACTDESCR","ACTNUMBR_1",F195,"ACTNUMBR_2",G195,"ACTNUMBR_3",H195)</t>
  </si>
  <si>
    <t>=-GL("Cell","Balance",E195,,End_Date)</t>
  </si>
  <si>
    <t>="000-2192-00"</t>
  </si>
  <si>
    <t>=NL("First","GL00105","ACTNUMBR_1","ACTNUMST",E196)</t>
  </si>
  <si>
    <t>=NL("First","GL00105","ACTNUMBR_2","ACTNUMST",E196)</t>
  </si>
  <si>
    <t>=NL("First","GL00105","ACTNUMBR_3","ACTNUMST",E196)</t>
  </si>
  <si>
    <t>=NL("First","GL00100","ACTDESCR","ACTNUMBR_1",F196,"ACTNUMBR_2",G196,"ACTNUMBR_3",H196)</t>
  </si>
  <si>
    <t>=-GL("Cell","Balance",E196,,End_Date)</t>
  </si>
  <si>
    <t>="000-2193-00"</t>
  </si>
  <si>
    <t>=NL("First","GL00105","ACTNUMBR_1","ACTNUMST",E197)</t>
  </si>
  <si>
    <t>=NL("First","GL00105","ACTNUMBR_2","ACTNUMST",E197)</t>
  </si>
  <si>
    <t>=NL("First","GL00105","ACTNUMBR_3","ACTNUMST",E197)</t>
  </si>
  <si>
    <t>=NL("First","GL00100","ACTDESCR","ACTNUMBR_1",F197,"ACTNUMBR_2",G197,"ACTNUMBR_3",H197)</t>
  </si>
  <si>
    <t>=-GL("Cell","Balance",E197,,End_Date)</t>
  </si>
  <si>
    <t>="000-2194-00"</t>
  </si>
  <si>
    <t>=NL("First","GL00105","ACTNUMBR_1","ACTNUMST",E198)</t>
  </si>
  <si>
    <t>=NL("First","GL00105","ACTNUMBR_2","ACTNUMST",E198)</t>
  </si>
  <si>
    <t>=NL("First","GL00105","ACTNUMBR_3","ACTNUMST",E198)</t>
  </si>
  <si>
    <t>=NL("First","GL00100","ACTDESCR","ACTNUMBR_1",F198,"ACTNUMBR_2",G198,"ACTNUMBR_3",H198)</t>
  </si>
  <si>
    <t>=-GL("Cell","Balance",E198,,End_Date)</t>
  </si>
  <si>
    <t>="000-2195-00"</t>
  </si>
  <si>
    <t>=NL("First","GL00105","ACTNUMBR_1","ACTNUMST",E199)</t>
  </si>
  <si>
    <t>=NL("First","GL00105","ACTNUMBR_2","ACTNUMST",E199)</t>
  </si>
  <si>
    <t>=NL("First","GL00105","ACTNUMBR_3","ACTNUMST",E199)</t>
  </si>
  <si>
    <t>=NL("First","GL00100","ACTDESCR","ACTNUMBR_1",F199,"ACTNUMBR_2",G199,"ACTNUMBR_3",H199)</t>
  </si>
  <si>
    <t>=-GL("Cell","Balance",E199,,End_Date)</t>
  </si>
  <si>
    <t>="000-2270-00"</t>
  </si>
  <si>
    <t>=NL("First","GL00105","ACTNUMBR_1","ACTNUMST",E200)</t>
  </si>
  <si>
    <t>=NL("First","GL00105","ACTNUMBR_2","ACTNUMST",E200)</t>
  </si>
  <si>
    <t>=NL("First","GL00105","ACTNUMBR_3","ACTNUMST",E200)</t>
  </si>
  <si>
    <t>=NL("First","GL00100","ACTDESCR","ACTNUMBR_1",F200,"ACTNUMBR_2",G200,"ACTNUMBR_3",H200)</t>
  </si>
  <si>
    <t>=-GL("Cell","Balance",E200,,End_Date)</t>
  </si>
  <si>
    <t>="000-2271-00"</t>
  </si>
  <si>
    <t>=NL("First","GL00105","ACTNUMBR_1","ACTNUMST",E201)</t>
  </si>
  <si>
    <t>=NL("First","GL00105","ACTNUMBR_2","ACTNUMST",E201)</t>
  </si>
  <si>
    <t>=NL("First","GL00105","ACTNUMBR_3","ACTNUMST",E201)</t>
  </si>
  <si>
    <t>=NL("First","GL00100","ACTDESCR","ACTNUMBR_1",F201,"ACTNUMBR_2",G201,"ACTNUMBR_3",H201)</t>
  </si>
  <si>
    <t>=-GL("Cell","Balance",E201,,End_Date)</t>
  </si>
  <si>
    <t>="000-2272-00"</t>
  </si>
  <si>
    <t>=NL("First","GL00105","ACTNUMBR_1","ACTNUMST",E202)</t>
  </si>
  <si>
    <t>=NL("First","GL00105","ACTNUMBR_2","ACTNUMST",E202)</t>
  </si>
  <si>
    <t>=NL("First","GL00105","ACTNUMBR_3","ACTNUMST",E202)</t>
  </si>
  <si>
    <t>=NL("First","GL00100","ACTDESCR","ACTNUMBR_1",F202,"ACTNUMBR_2",G202,"ACTNUMBR_3",H202)</t>
  </si>
  <si>
    <t>=-GL("Cell","Balance",E202,,End_Date)</t>
  </si>
  <si>
    <t>="000-2273-00"</t>
  </si>
  <si>
    <t>=NL("First","GL00105","ACTNUMBR_1","ACTNUMST",E203)</t>
  </si>
  <si>
    <t>=NL("First","GL00105","ACTNUMBR_2","ACTNUMST",E203)</t>
  </si>
  <si>
    <t>=NL("First","GL00105","ACTNUMBR_3","ACTNUMST",E203)</t>
  </si>
  <si>
    <t>=NL("First","GL00100","ACTDESCR","ACTNUMBR_1",F203,"ACTNUMBR_2",G203,"ACTNUMBR_3",H203)</t>
  </si>
  <si>
    <t>=-GL("Cell","Balance",E203,,End_Date)</t>
  </si>
  <si>
    <t>="000-2274-00"</t>
  </si>
  <si>
    <t>=NL("First","GL00105","ACTNUMBR_1","ACTNUMST",E204)</t>
  </si>
  <si>
    <t>=NL("First","GL00105","ACTNUMBR_2","ACTNUMST",E204)</t>
  </si>
  <si>
    <t>=NL("First","GL00105","ACTNUMBR_3","ACTNUMST",E204)</t>
  </si>
  <si>
    <t>=NL("First","GL00100","ACTDESCR","ACTNUMBR_1",F204,"ACTNUMBR_2",G204,"ACTNUMBR_3",H204)</t>
  </si>
  <si>
    <t>=-GL("Cell","Balance",E204,,End_Date)</t>
  </si>
  <si>
    <t>="000-2275-00"</t>
  </si>
  <si>
    <t>=NL("First","GL00105","ACTNUMBR_1","ACTNUMST",E205)</t>
  </si>
  <si>
    <t>=NL("First","GL00105","ACTNUMBR_2","ACTNUMST",E205)</t>
  </si>
  <si>
    <t>=NL("First","GL00105","ACTNUMBR_3","ACTNUMST",E205)</t>
  </si>
  <si>
    <t>=NL("First","GL00100","ACTDESCR","ACTNUMBR_1",F205,"ACTNUMBR_2",G205,"ACTNUMBR_3",H205)</t>
  </si>
  <si>
    <t>=-GL("Cell","Balance",E205,,End_Date)</t>
  </si>
  <si>
    <t>="000-2276-00"</t>
  </si>
  <si>
    <t>=NL("First","GL00105","ACTNUMBR_1","ACTNUMST",E206)</t>
  </si>
  <si>
    <t>=NL("First","GL00105","ACTNUMBR_2","ACTNUMST",E206)</t>
  </si>
  <si>
    <t>=NL("First","GL00105","ACTNUMBR_3","ACTNUMST",E206)</t>
  </si>
  <si>
    <t>=NL("First","GL00100","ACTDESCR","ACTNUMBR_1",F206,"ACTNUMBR_2",G206,"ACTNUMBR_3",H206)</t>
  </si>
  <si>
    <t>=-GL("Cell","Balance",E206,,End_Date)</t>
  </si>
  <si>
    <t>="000-2277-00"</t>
  </si>
  <si>
    <t>=NL("First","GL00105","ACTNUMBR_1","ACTNUMST",E207)</t>
  </si>
  <si>
    <t>=NL("First","GL00105","ACTNUMBR_2","ACTNUMST",E207)</t>
  </si>
  <si>
    <t>=NL("First","GL00105","ACTNUMBR_3","ACTNUMST",E207)</t>
  </si>
  <si>
    <t>=NL("First","GL00100","ACTDESCR","ACTNUMBR_1",F207,"ACTNUMBR_2",G207,"ACTNUMBR_3",H207)</t>
  </si>
  <si>
    <t>=-GL("Cell","Balance",E207,,End_Date)</t>
  </si>
  <si>
    <t>="000-2280-00"</t>
  </si>
  <si>
    <t>=NL("First","GL00105","ACTNUMBR_1","ACTNUMST",E208)</t>
  </si>
  <si>
    <t>=NL("First","GL00105","ACTNUMBR_2","ACTNUMST",E208)</t>
  </si>
  <si>
    <t>=NL("First","GL00105","ACTNUMBR_3","ACTNUMST",E208)</t>
  </si>
  <si>
    <t>=NL("First","GL00100","ACTDESCR","ACTNUMBR_1",F208,"ACTNUMBR_2",G208,"ACTNUMBR_3",H208)</t>
  </si>
  <si>
    <t>=-GL("Cell","Balance",E208,,End_Date)</t>
  </si>
  <si>
    <t>="000-2281-00"</t>
  </si>
  <si>
    <t>=NL("First","GL00105","ACTNUMBR_1","ACTNUMST",E209)</t>
  </si>
  <si>
    <t>=NL("First","GL00105","ACTNUMBR_2","ACTNUMST",E209)</t>
  </si>
  <si>
    <t>=NL("First","GL00105","ACTNUMBR_3","ACTNUMST",E209)</t>
  </si>
  <si>
    <t>=NL("First","GL00100","ACTDESCR","ACTNUMBR_1",F209,"ACTNUMBR_2",G209,"ACTNUMBR_3",H209)</t>
  </si>
  <si>
    <t>=-GL("Cell","Balance",E209,,End_Date)</t>
  </si>
  <si>
    <t>="000-2282-00"</t>
  </si>
  <si>
    <t>=NL("First","GL00105","ACTNUMBR_1","ACTNUMST",E210)</t>
  </si>
  <si>
    <t>=NL("First","GL00105","ACTNUMBR_2","ACTNUMST",E210)</t>
  </si>
  <si>
    <t>=NL("First","GL00105","ACTNUMBR_3","ACTNUMST",E210)</t>
  </si>
  <si>
    <t>=NL("First","GL00100","ACTDESCR","ACTNUMBR_1",F210,"ACTNUMBR_2",G210,"ACTNUMBR_3",H210)</t>
  </si>
  <si>
    <t>=-GL("Cell","Balance",E210,,End_Date)</t>
  </si>
  <si>
    <t>="000-2283-00"</t>
  </si>
  <si>
    <t>=NL("First","GL00105","ACTNUMBR_1","ACTNUMST",E211)</t>
  </si>
  <si>
    <t>=NL("First","GL00105","ACTNUMBR_2","ACTNUMST",E211)</t>
  </si>
  <si>
    <t>=NL("First","GL00105","ACTNUMBR_3","ACTNUMST",E211)</t>
  </si>
  <si>
    <t>=NL("First","GL00100","ACTDESCR","ACTNUMBR_1",F211,"ACTNUMBR_2",G211,"ACTNUMBR_3",H211)</t>
  </si>
  <si>
    <t>=-GL("Cell","Balance",E211,,End_Date)</t>
  </si>
  <si>
    <t>="000-2284-00"</t>
  </si>
  <si>
    <t>=NL("First","GL00105","ACTNUMBR_1","ACTNUMST",E212)</t>
  </si>
  <si>
    <t>=NL("First","GL00105","ACTNUMBR_2","ACTNUMST",E212)</t>
  </si>
  <si>
    <t>=NL("First","GL00105","ACTNUMBR_3","ACTNUMST",E212)</t>
  </si>
  <si>
    <t>=NL("First","GL00100","ACTDESCR","ACTNUMBR_1",F212,"ACTNUMBR_2",G212,"ACTNUMBR_3",H212)</t>
  </si>
  <si>
    <t>=-GL("Cell","Balance",E212,,End_Date)</t>
  </si>
  <si>
    <t>="000-2300-00"</t>
  </si>
  <si>
    <t>=NL("First","GL00105","ACTNUMBR_1","ACTNUMST",E213)</t>
  </si>
  <si>
    <t>=NL("First","GL00105","ACTNUMBR_2","ACTNUMST",E213)</t>
  </si>
  <si>
    <t>=NL("First","GL00105","ACTNUMBR_3","ACTNUMST",E213)</t>
  </si>
  <si>
    <t>=NL("First","GL00100","ACTDESCR","ACTNUMBR_1",F213,"ACTNUMBR_2",G213,"ACTNUMBR_3",H213)</t>
  </si>
  <si>
    <t>=-GL("Cell","Balance",E213,,End_Date)</t>
  </si>
  <si>
    <t>="000-2310-00"</t>
  </si>
  <si>
    <t>=NL("First","GL00105","ACTNUMBR_1","ACTNUMST",E214)</t>
  </si>
  <si>
    <t>=NL("First","GL00105","ACTNUMBR_2","ACTNUMST",E214)</t>
  </si>
  <si>
    <t>=NL("First","GL00105","ACTNUMBR_3","ACTNUMST",E214)</t>
  </si>
  <si>
    <t>=NL("First","GL00100","ACTDESCR","ACTNUMBR_1",F214,"ACTNUMBR_2",G214,"ACTNUMBR_3",H214)</t>
  </si>
  <si>
    <t>=-GL("Cell","Balance",E214,,End_Date)</t>
  </si>
  <si>
    <t>="000-2311-00"</t>
  </si>
  <si>
    <t>=NL("First","GL00105","ACTNUMBR_1","ACTNUMST",E215)</t>
  </si>
  <si>
    <t>=NL("First","GL00105","ACTNUMBR_2","ACTNUMST",E215)</t>
  </si>
  <si>
    <t>=NL("First","GL00105","ACTNUMBR_3","ACTNUMST",E215)</t>
  </si>
  <si>
    <t>=NL("First","GL00100","ACTDESCR","ACTNUMBR_1",F215,"ACTNUMBR_2",G215,"ACTNUMBR_3",H215)</t>
  </si>
  <si>
    <t>=-GL("Cell","Balance",E215,,End_Date)</t>
  </si>
  <si>
    <t>="000-2315-00"</t>
  </si>
  <si>
    <t>=NL("First","GL00105","ACTNUMBR_1","ACTNUMST",E216)</t>
  </si>
  <si>
    <t>=NL("First","GL00105","ACTNUMBR_2","ACTNUMST",E216)</t>
  </si>
  <si>
    <t>=NL("First","GL00105","ACTNUMBR_3","ACTNUMST",E216)</t>
  </si>
  <si>
    <t>=NL("First","GL00100","ACTDESCR","ACTNUMBR_1",F216,"ACTNUMBR_2",G216,"ACTNUMBR_3",H216)</t>
  </si>
  <si>
    <t>=-GL("Cell","Balance",E216,,End_Date)</t>
  </si>
  <si>
    <t>="000-2320-00"</t>
  </si>
  <si>
    <t>=NL("First","GL00105","ACTNUMBR_1","ACTNUMST",E217)</t>
  </si>
  <si>
    <t>=NL("First","GL00105","ACTNUMBR_2","ACTNUMST",E217)</t>
  </si>
  <si>
    <t>=NL("First","GL00105","ACTNUMBR_3","ACTNUMST",E217)</t>
  </si>
  <si>
    <t>=NL("First","GL00100","ACTDESCR","ACTNUMBR_1",F217,"ACTNUMBR_2",G217,"ACTNUMBR_3",H217)</t>
  </si>
  <si>
    <t>=-GL("Cell","Balance",E217,,End_Date)</t>
  </si>
  <si>
    <t>="000-2321-00"</t>
  </si>
  <si>
    <t>=NL("First","GL00105","ACTNUMBR_1","ACTNUMST",E218)</t>
  </si>
  <si>
    <t>=NL("First","GL00105","ACTNUMBR_2","ACTNUMST",E218)</t>
  </si>
  <si>
    <t>=NL("First","GL00105","ACTNUMBR_3","ACTNUMST",E218)</t>
  </si>
  <si>
    <t>=NL("First","GL00100","ACTDESCR","ACTNUMBR_1",F218,"ACTNUMBR_2",G218,"ACTNUMBR_3",H218)</t>
  </si>
  <si>
    <t>=-GL("Cell","Balance",E218,,End_Date)</t>
  </si>
  <si>
    <t>="000-2322-00"</t>
  </si>
  <si>
    <t>=NL("First","GL00105","ACTNUMBR_1","ACTNUMST",E219)</t>
  </si>
  <si>
    <t>=NL("First","GL00105","ACTNUMBR_2","ACTNUMST",E219)</t>
  </si>
  <si>
    <t>=NL("First","GL00105","ACTNUMBR_3","ACTNUMST",E219)</t>
  </si>
  <si>
    <t>=NL("First","GL00100","ACTDESCR","ACTNUMBR_1",F219,"ACTNUMBR_2",G219,"ACTNUMBR_3",H219)</t>
  </si>
  <si>
    <t>=-GL("Cell","Balance",E219,,End_Date)</t>
  </si>
  <si>
    <t>="000-2323-00"</t>
  </si>
  <si>
    <t>=NL("First","GL00105","ACTNUMBR_1","ACTNUMST",E220)</t>
  </si>
  <si>
    <t>=NL("First","GL00105","ACTNUMBR_2","ACTNUMST",E220)</t>
  </si>
  <si>
    <t>=NL("First","GL00105","ACTNUMBR_3","ACTNUMST",E220)</t>
  </si>
  <si>
    <t>=NL("First","GL00100","ACTDESCR","ACTNUMBR_1",F220,"ACTNUMBR_2",G220,"ACTNUMBR_3",H220)</t>
  </si>
  <si>
    <t>=-GL("Cell","Balance",E220,,End_Date)</t>
  </si>
  <si>
    <t>="000-2330-00"</t>
  </si>
  <si>
    <t>=NL("First","GL00105","ACTNUMBR_1","ACTNUMST",E221)</t>
  </si>
  <si>
    <t>=NL("First","GL00105","ACTNUMBR_2","ACTNUMST",E221)</t>
  </si>
  <si>
    <t>=NL("First","GL00105","ACTNUMBR_3","ACTNUMST",E221)</t>
  </si>
  <si>
    <t>=NL("First","GL00100","ACTDESCR","ACTNUMBR_1",F221,"ACTNUMBR_2",G221,"ACTNUMBR_3",H221)</t>
  </si>
  <si>
    <t>=-GL("Cell","Balance",E221,,End_Date)</t>
  </si>
  <si>
    <t>="000-2340-00"</t>
  </si>
  <si>
    <t>=NL("First","GL00105","ACTNUMBR_1","ACTNUMST",E222)</t>
  </si>
  <si>
    <t>=NL("First","GL00105","ACTNUMBR_2","ACTNUMST",E222)</t>
  </si>
  <si>
    <t>=NL("First","GL00105","ACTNUMBR_3","ACTNUMST",E222)</t>
  </si>
  <si>
    <t>=NL("First","GL00100","ACTDESCR","ACTNUMBR_1",F222,"ACTNUMBR_2",G222,"ACTNUMBR_3",H222)</t>
  </si>
  <si>
    <t>=-GL("Cell","Balance",E222,,End_Date)</t>
  </si>
  <si>
    <t>="000-2341-00"</t>
  </si>
  <si>
    <t>=NL("First","GL00105","ACTNUMBR_1","ACTNUMST",E223)</t>
  </si>
  <si>
    <t>=NL("First","GL00105","ACTNUMBR_2","ACTNUMST",E223)</t>
  </si>
  <si>
    <t>=NL("First","GL00105","ACTNUMBR_3","ACTNUMST",E223)</t>
  </si>
  <si>
    <t>=NL("First","GL00100","ACTDESCR","ACTNUMBR_1",F223,"ACTNUMBR_2",G223,"ACTNUMBR_3",H223)</t>
  </si>
  <si>
    <t>=-GL("Cell","Balance",E223,,End_Date)</t>
  </si>
  <si>
    <t>="000-2350-00"</t>
  </si>
  <si>
    <t>=NL("First","GL00105","ACTNUMBR_1","ACTNUMST",E224)</t>
  </si>
  <si>
    <t>=NL("First","GL00105","ACTNUMBR_2","ACTNUMST",E224)</t>
  </si>
  <si>
    <t>=NL("First","GL00105","ACTNUMBR_3","ACTNUMST",E224)</t>
  </si>
  <si>
    <t>=NL("First","GL00100","ACTDESCR","ACTNUMBR_1",F224,"ACTNUMBR_2",G224,"ACTNUMBR_3",H224)</t>
  </si>
  <si>
    <t>=-GL("Cell","Balance",E224,,End_Date)</t>
  </si>
  <si>
    <t>="000-2351-00"</t>
  </si>
  <si>
    <t>=NL("First","GL00105","ACTNUMBR_1","ACTNUMST",E225)</t>
  </si>
  <si>
    <t>=NL("First","GL00105","ACTNUMBR_2","ACTNUMST",E225)</t>
  </si>
  <si>
    <t>=NL("First","GL00105","ACTNUMBR_3","ACTNUMST",E225)</t>
  </si>
  <si>
    <t>=NL("First","GL00100","ACTDESCR","ACTNUMBR_1",F225,"ACTNUMBR_2",G225,"ACTNUMBR_3",H225)</t>
  </si>
  <si>
    <t>=-GL("Cell","Balance",E225,,End_Date)</t>
  </si>
  <si>
    <t>="000-2600-00"</t>
  </si>
  <si>
    <t>=NL("First","GL00105","ACTNUMBR_1","ACTNUMST",E226)</t>
  </si>
  <si>
    <t>=NL("First","GL00105","ACTNUMBR_2","ACTNUMST",E226)</t>
  </si>
  <si>
    <t>=NL("First","GL00105","ACTNUMBR_3","ACTNUMST",E226)</t>
  </si>
  <si>
    <t>=NL("First","GL00100","ACTDESCR","ACTNUMBR_1",F226,"ACTNUMBR_2",G226,"ACTNUMBR_3",H226)</t>
  </si>
  <si>
    <t>=-GL("Cell","Balance",E226,,End_Date)</t>
  </si>
  <si>
    <t>="000-2610-00"</t>
  </si>
  <si>
    <t>=NL("First","GL00105","ACTNUMBR_1","ACTNUMST",E227)</t>
  </si>
  <si>
    <t>=NL("First","GL00105","ACTNUMBR_2","ACTNUMST",E227)</t>
  </si>
  <si>
    <t>=NL("First","GL00105","ACTNUMBR_3","ACTNUMST",E227)</t>
  </si>
  <si>
    <t>=NL("First","GL00100","ACTDESCR","ACTNUMBR_1",F227,"ACTNUMBR_2",G227,"ACTNUMBR_3",H227)</t>
  </si>
  <si>
    <t>=-GL("Cell","Balance",E227,,End_Date)</t>
  </si>
  <si>
    <t>="000-2940-00"</t>
  </si>
  <si>
    <t>=NL("First","GL00105","ACTNUMBR_1","ACTNUMST",E228)</t>
  </si>
  <si>
    <t>=NL("First","GL00105","ACTNUMBR_2","ACTNUMST",E228)</t>
  </si>
  <si>
    <t>=NL("First","GL00105","ACTNUMBR_3","ACTNUMST",E228)</t>
  </si>
  <si>
    <t>=NL("First","GL00100","ACTDESCR","ACTNUMBR_1",F228,"ACTNUMBR_2",G228,"ACTNUMBR_3",H228)</t>
  </si>
  <si>
    <t>=-GL("Cell","Balance",E228,,End_Date)</t>
  </si>
  <si>
    <t>=NL("First","GL00102","ACCATDSC","ACCATNUM",C230)</t>
  </si>
  <si>
    <t>=SUBTOTAL(9,J231:J232)</t>
  </si>
  <si>
    <t>=GL("Rows","Accounts",,,,C230)</t>
  </si>
  <si>
    <t>=NL("First","GL00105","ACTNUMBR_1","ACTNUMST",E231)</t>
  </si>
  <si>
    <t>=NL("First","GL00105","ACTNUMBR_2","ACTNUMST",E231)</t>
  </si>
  <si>
    <t>=NL("First","GL00105","ACTNUMBR_3","ACTNUMST",E231)</t>
  </si>
  <si>
    <t>=NL("First","GL00100","ACTDESCR","ACTNUMBR_1",F231,"ACTNUMBR_2",G231,"ACTNUMBR_3",H231)</t>
  </si>
  <si>
    <t>=-GL("Cell","Balance",E231,,End_Date)</t>
  </si>
  <si>
    <t>=NL("First","GL00102","ACCATDSC","ACCATNUM",C233)</t>
  </si>
  <si>
    <t>=SUBTOTAL(9,J234:J235)</t>
  </si>
  <si>
    <t>=GL("Rows","Accounts",,,,C233)</t>
  </si>
  <si>
    <t>=NL("First","GL00105","ACTNUMBR_1","ACTNUMST",E234)</t>
  </si>
  <si>
    <t>=NL("First","GL00105","ACTNUMBR_2","ACTNUMST",E234)</t>
  </si>
  <si>
    <t>=NL("First","GL00105","ACTNUMBR_3","ACTNUMST",E234)</t>
  </si>
  <si>
    <t>=NL("First","GL00100","ACTDESCR","ACTNUMBR_1",F234,"ACTNUMBR_2",G234,"ACTNUMBR_3",H234)</t>
  </si>
  <si>
    <t>=-GL("Cell","Balance",E234,,End_Date)</t>
  </si>
  <si>
    <t>=NL("First","GL00102","ACCATDSC","ACCATNUM",C236)</t>
  </si>
  <si>
    <t>=SUBTOTAL(9,J237:J242)</t>
  </si>
  <si>
    <t>=GL("Rows","Accounts",,,,C236)</t>
  </si>
  <si>
    <t>=NL("First","GL00105","ACTNUMBR_1","ACTNUMST",E237)</t>
  </si>
  <si>
    <t>=NL("First","GL00105","ACTNUMBR_2","ACTNUMST",E237)</t>
  </si>
  <si>
    <t>=NL("First","GL00105","ACTNUMBR_3","ACTNUMST",E237)</t>
  </si>
  <si>
    <t>=NL("First","GL00100","ACTDESCR","ACTNUMBR_1",F237,"ACTNUMBR_2",G237,"ACTNUMBR_3",H237)</t>
  </si>
  <si>
    <t>=-GL("Cell","Balance",E237,,End_Date)</t>
  </si>
  <si>
    <t>="000-2740-00"</t>
  </si>
  <si>
    <t>=NL("First","GL00105","ACTNUMBR_1","ACTNUMST",E238)</t>
  </si>
  <si>
    <t>=NL("First","GL00105","ACTNUMBR_2","ACTNUMST",E238)</t>
  </si>
  <si>
    <t>=NL("First","GL00105","ACTNUMBR_3","ACTNUMST",E238)</t>
  </si>
  <si>
    <t>=NL("First","GL00100","ACTDESCR","ACTNUMBR_1",F238,"ACTNUMBR_2",G238,"ACTNUMBR_3",H238)</t>
  </si>
  <si>
    <t>=-GL("Cell","Balance",E238,,End_Date)</t>
  </si>
  <si>
    <t>="000-4800-00"</t>
  </si>
  <si>
    <t>=NL("First","GL00105","ACTNUMBR_1","ACTNUMST",E239)</t>
  </si>
  <si>
    <t>=NL("First","GL00105","ACTNUMBR_2","ACTNUMST",E239)</t>
  </si>
  <si>
    <t>=NL("First","GL00105","ACTNUMBR_3","ACTNUMST",E239)</t>
  </si>
  <si>
    <t>=NL("First","GL00100","ACTDESCR","ACTNUMBR_1",F239,"ACTNUMBR_2",G239,"ACTNUMBR_3",H239)</t>
  </si>
  <si>
    <t>=-GL("Cell","Balance",E239,,End_Date)</t>
  </si>
  <si>
    <t>="000-6900-00"</t>
  </si>
  <si>
    <t>=NL("First","GL00105","ACTNUMBR_1","ACTNUMST",E240)</t>
  </si>
  <si>
    <t>=NL("First","GL00105","ACTNUMBR_2","ACTNUMST",E240)</t>
  </si>
  <si>
    <t>=NL("First","GL00105","ACTNUMBR_3","ACTNUMST",E240)</t>
  </si>
  <si>
    <t>=NL("First","GL00100","ACTDESCR","ACTNUMBR_1",F240,"ACTNUMBR_2",G240,"ACTNUMBR_3",H240)</t>
  </si>
  <si>
    <t>=-GL("Cell","Balance",E240,,End_Date)</t>
  </si>
  <si>
    <t>="000-8410-00"</t>
  </si>
  <si>
    <t>=NL("First","GL00105","ACTNUMBR_1","ACTNUMST",E241)</t>
  </si>
  <si>
    <t>=NL("First","GL00105","ACTNUMBR_2","ACTNUMST",E241)</t>
  </si>
  <si>
    <t>=NL("First","GL00105","ACTNUMBR_3","ACTNUMST",E241)</t>
  </si>
  <si>
    <t>=NL("First","GL00100","ACTDESCR","ACTNUMBR_1",F241,"ACTNUMBR_2",G241,"ACTNUMBR_3",H241)</t>
  </si>
  <si>
    <t>=-GL("Cell","Balance",E241,,End_Date)</t>
  </si>
  <si>
    <t>=SUBTOTAL(9,J143:J243)</t>
  </si>
  <si>
    <t>=NL("First","GL00102","ACCATDSC","ACCATNUM",C247)</t>
  </si>
  <si>
    <t>=SUBTOTAL(9,J248:J252)</t>
  </si>
  <si>
    <t>=GL("Rows","Accounts",,,,C247)</t>
  </si>
  <si>
    <t>=NL("First","GL00105","ACTNUMBR_1","ACTNUMST",E248)</t>
  </si>
  <si>
    <t>=NL("First","GL00105","ACTNUMBR_2","ACTNUMST",E248)</t>
  </si>
  <si>
    <t>=NL("First","GL00105","ACTNUMBR_3","ACTNUMST",E248)</t>
  </si>
  <si>
    <t>=NL("First","GL00100","ACTDESCR","ACTNUMBR_1",F248,"ACTNUMBR_2",G248,"ACTNUMBR_3",H248)</t>
  </si>
  <si>
    <t>=-GL("Cell","Balance",E248,,End_Date)</t>
  </si>
  <si>
    <t>="000-2910-00"</t>
  </si>
  <si>
    <t>=NL("First","GL00105","ACTNUMBR_1","ACTNUMST",E249)</t>
  </si>
  <si>
    <t>=NL("First","GL00105","ACTNUMBR_2","ACTNUMST",E249)</t>
  </si>
  <si>
    <t>=NL("First","GL00105","ACTNUMBR_3","ACTNUMST",E249)</t>
  </si>
  <si>
    <t>=NL("First","GL00100","ACTDESCR","ACTNUMBR_1",F249,"ACTNUMBR_2",G249,"ACTNUMBR_3",H249)</t>
  </si>
  <si>
    <t>=-GL("Cell","Balance",E249,,End_Date)</t>
  </si>
  <si>
    <t>="000-2920-00"</t>
  </si>
  <si>
    <t>=NL("First","GL00105","ACTNUMBR_1","ACTNUMST",E250)</t>
  </si>
  <si>
    <t>=NL("First","GL00105","ACTNUMBR_2","ACTNUMST",E250)</t>
  </si>
  <si>
    <t>=NL("First","GL00105","ACTNUMBR_3","ACTNUMST",E250)</t>
  </si>
  <si>
    <t>=NL("First","GL00100","ACTDESCR","ACTNUMBR_1",F250,"ACTNUMBR_2",G250,"ACTNUMBR_3",H250)</t>
  </si>
  <si>
    <t>=-GL("Cell","Balance",E250,,End_Date)</t>
  </si>
  <si>
    <t>="000-2930-00"</t>
  </si>
  <si>
    <t>=NL("First","GL00105","ACTNUMBR_1","ACTNUMST",E251)</t>
  </si>
  <si>
    <t>=NL("First","GL00105","ACTNUMBR_2","ACTNUMST",E251)</t>
  </si>
  <si>
    <t>=NL("First","GL00105","ACTNUMBR_3","ACTNUMST",E251)</t>
  </si>
  <si>
    <t>=NL("First","GL00100","ACTDESCR","ACTNUMBR_1",F251,"ACTNUMBR_2",G251,"ACTNUMBR_3",H251)</t>
  </si>
  <si>
    <t>=-GL("Cell","Balance",E251,,End_Date)</t>
  </si>
  <si>
    <t>=SUBTOTAL(9,J247:J252)</t>
  </si>
  <si>
    <t>=J244+J253</t>
  </si>
  <si>
    <t>=NL("First","GL00102","ACCATDSC","ACCATNUM",C259)</t>
  </si>
  <si>
    <t>=SUBTOTAL(9,J260:J261)</t>
  </si>
  <si>
    <t>=GL("Rows","Accounts",,,,C259)</t>
  </si>
  <si>
    <t>=NL("First","GL00105","ACTNUMBR_1","ACTNUMST",E260)</t>
  </si>
  <si>
    <t>=NL("First","GL00105","ACTNUMBR_2","ACTNUMST",E260)</t>
  </si>
  <si>
    <t>=NL("First","GL00105","ACTNUMBR_3","ACTNUMST",E260)</t>
  </si>
  <si>
    <t>=NL("First","GL00100","ACTDESCR","ACTNUMBR_1",F260,"ACTNUMBR_2",G260,"ACTNUMBR_3",H260)</t>
  </si>
  <si>
    <t>=-GL("Cell","Balance",E260,,End_Date)</t>
  </si>
  <si>
    <t>=NL("First","GL00102","ACCATDSC","ACCATNUM",C262)</t>
  </si>
  <si>
    <t>=SUBTOTAL(9,J263:J264)</t>
  </si>
  <si>
    <t>=GL("Rows","Accounts",,,,C262)</t>
  </si>
  <si>
    <t>=NL("First","GL00105","ACTNUMBR_1","ACTNUMST",E263)</t>
  </si>
  <si>
    <t>=NL("First","GL00105","ACTNUMBR_2","ACTNUMST",E263)</t>
  </si>
  <si>
    <t>=NL("First","GL00105","ACTNUMBR_3","ACTNUMST",E263)</t>
  </si>
  <si>
    <t>=NL("First","GL00100","ACTDESCR","ACTNUMBR_1",F263,"ACTNUMBR_2",G263,"ACTNUMBR_3",H263)</t>
  </si>
  <si>
    <t>=-GL("Cell","Balance",E263,,End_Date)</t>
  </si>
  <si>
    <t>=NL("First","GL00102","ACCATDSC","ACCATNUM",C265)</t>
  </si>
  <si>
    <t>=SUBTOTAL(9,J266:J270)</t>
  </si>
  <si>
    <t>=GL("Rows","Accounts",,,,C265)</t>
  </si>
  <si>
    <t>=NL("First","GL00105","ACTNUMBR_1","ACTNUMST",E266)</t>
  </si>
  <si>
    <t>=NL("First","GL00105","ACTNUMBR_2","ACTNUMST",E266)</t>
  </si>
  <si>
    <t>=NL("First","GL00105","ACTNUMBR_3","ACTNUMST",E266)</t>
  </si>
  <si>
    <t>=NL("First","GL00100","ACTDESCR","ACTNUMBR_1",F266,"ACTNUMBR_2",G266,"ACTNUMBR_3",H266)</t>
  </si>
  <si>
    <t>=-GL("Cell","Balance",E266,,End_Date)</t>
  </si>
  <si>
    <t>="000-8710-00"</t>
  </si>
  <si>
    <t>=NL("First","GL00105","ACTNUMBR_1","ACTNUMST",E267)</t>
  </si>
  <si>
    <t>=NL("First","GL00105","ACTNUMBR_2","ACTNUMST",E267)</t>
  </si>
  <si>
    <t>=NL("First","GL00105","ACTNUMBR_3","ACTNUMST",E267)</t>
  </si>
  <si>
    <t>=NL("First","GL00100","ACTDESCR","ACTNUMBR_1",F267,"ACTNUMBR_2",G267,"ACTNUMBR_3",H267)</t>
  </si>
  <si>
    <t>=-GL("Cell","Balance",E267,,End_Date)</t>
  </si>
  <si>
    <t>=-GL("Cell","Balance",,,End_Date,C269)</t>
  </si>
  <si>
    <t>=SUBTOTAL(9,J259:J270)</t>
  </si>
  <si>
    <t>=J256+J271</t>
  </si>
  <si>
    <t>=IF(J137=J273,"Hide","Show")</t>
  </si>
  <si>
    <t>Auto+Hide</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</si>
  <si>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</si>
  <si>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</si>
  <si>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</si>
  <si>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</si>
  <si>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</si>
  <si>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</si>
  <si>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</si>
  <si>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</si>
  <si>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</si>
  <si>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</si>
  <si>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</si>
  <si>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</si>
  <si>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</si>
  <si>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</si>
  <si>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</si>
  <si>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</si>
  <si>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provides a general overview of the financial health of a company.</t>
  </si>
  <si>
    <t>The account numbers and names on the "Balance Sheet" and the "P&amp;L" and "Acct Ranges"  worksheets need to be customized to match the database chart of accounts before this report will operate correctly.
Details on this are shown on the two worksheets when viewed in the "Design" mode.</t>
  </si>
  <si>
    <t>�</t>
  </si>
  <si>
    <t>Auto+Hide+Values+Hidesheet+Formulas=Sheet2,Sheet3+FormulasOnly</t>
  </si>
  <si>
    <t>Auto+Hide+Values+Formulas=Sheet4,Sheet5+FormulasOnly</t>
  </si>
  <si>
    <t>Auto+Hide+Values+Formulas=Sheet6,Sheet7+FormulasOnly</t>
  </si>
  <si>
    <t>=F12-(G12/2)</t>
  </si>
  <si>
    <t>=F20-(G20/2)</t>
  </si>
  <si>
    <t>=IF(Days_in_Period=365,G25,(365/(Days_in_Period)*G25))</t>
  </si>
  <si>
    <t>=IF(Days_in_Period=365,G30,(365/(Days_in_Period)*G30))</t>
  </si>
  <si>
    <t>Auto+Hide+Values+Hidesheet+Formulas=Sheet8,Sheet9+FormulasOnly</t>
  </si>
  <si>
    <t>=GL("Cell","Balance",,,End_Date,$C11)*$D11</t>
  </si>
  <si>
    <t>=GL("Cell","Balance",,Start_Date,End_Date,$C12)*$D12</t>
  </si>
  <si>
    <t>=GL("Cell","Balance",,Start_Date,End_Date,$C19)*$D19</t>
  </si>
  <si>
    <t>=GL("Cell","Budget",,Start_Date,End_Date,$C19,,,,,,,,,,,Budget_Name)*$D19</t>
  </si>
  <si>
    <t>=GL("Cell","Balance",,,End_Date,$C20)*$D20</t>
  </si>
  <si>
    <t>=GL("Cell","Balance",,Start_Date,End_Date,$C25)*$D25</t>
  </si>
  <si>
    <t>=GL("Cell","Budget",,Start_Date,End_Date,$C25,,,,,,,,,,,Budget_Name)*$D25</t>
  </si>
  <si>
    <t>=GL("Cell","Budget",,Start_Date,End_Date,$C33,,,,,,,,,,,Budget_Name)*$D33</t>
  </si>
  <si>
    <t>Auto+Hide+Values+Hidesheet+Formulas=Sheet10,Sheet2,Sheet3</t>
  </si>
  <si>
    <t>Auto+Hide+Values+Hidesheet+Formulas=Sheet10,Sheet2,Sheet3+FormulasOnly</t>
  </si>
  <si>
    <t>Auto+Hide+Values+Formulas=Sheet11,Sheet4,Sheet5</t>
  </si>
  <si>
    <t>Auto+Hide+Values+Formulas=Sheet11,Sheet4,Sheet5+FormulasOnly</t>
  </si>
  <si>
    <t>Auto+Hide+Values+Formulas=Sheet12,Sheet6,Sheet7</t>
  </si>
  <si>
    <t>Auto+Hide+Values+Formulas=Sheet12,Sheet6,Sheet7+FormulasOnly</t>
  </si>
  <si>
    <t>Auto+Hide+Values+Hidesheet+Formulas=Sheet13,Sheet8,Sheet9</t>
  </si>
  <si>
    <t>Auto+Hide+Values+Hidesheet+Formulas=Sheet13,Sheet8,Sheet9+FormulasOnly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</si>
</sst>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_(* #,##0.0_);_(* \(#,##0.0\);_(* &quot;-&quot;??_);_(@_)"/>
    <numFmt numFmtId="168" formatCode="0&quot; Days&quot;"/>
    <numFmt numFmtId="169" formatCode="#,##0.00_);[Red]\(#,##0.00\);&quot;-&quot;"/>
    <numFmt numFmtId="170" formatCode="0%_)\);\(0%_)\);&quot;-&quot;"/>
  </numFmts>
  <fonts count="60" x14ac:knownFonts="1">
    <font>
      <sz val="11"/>
      <color theme="1"/>
      <name val="Century Gothic"/>
      <family val="2"/>
      <scheme val="minor"/>
    </font>
    <font>
      <sz val="11"/>
      <color theme="1"/>
      <name val="Century Gothic"/>
      <family val="2"/>
      <scheme val="minor"/>
    </font>
    <font>
      <b/>
      <sz val="15"/>
      <color theme="3"/>
      <name val="Century Gothic"/>
      <family val="2"/>
      <scheme val="minor"/>
    </font>
    <font>
      <b/>
      <sz val="11"/>
      <color theme="1"/>
      <name val="Century Gothic"/>
      <family val="2"/>
      <scheme val="minor"/>
    </font>
    <font>
      <sz val="11"/>
      <color theme="0"/>
      <name val="Century Gothic"/>
      <family val="2"/>
      <scheme val="minor"/>
    </font>
    <font>
      <i/>
      <sz val="11"/>
      <color theme="1"/>
      <name val="Century Gothic"/>
      <family val="2"/>
      <scheme val="minor"/>
    </font>
    <font>
      <sz val="10"/>
      <name val="Arial"/>
      <family val="2"/>
    </font>
    <font>
      <sz val="10"/>
      <name val="Century Gothic"/>
      <family val="2"/>
      <scheme val="minor"/>
    </font>
    <font>
      <b/>
      <sz val="14"/>
      <name val="Century Gothic"/>
      <family val="2"/>
      <scheme val="minor"/>
    </font>
    <font>
      <b/>
      <sz val="11"/>
      <name val="Century Gothic"/>
      <family val="2"/>
      <scheme val="minor"/>
    </font>
    <font>
      <b/>
      <sz val="10"/>
      <name val="Century Gothic"/>
      <family val="2"/>
      <scheme val="minor"/>
    </font>
    <font>
      <b/>
      <sz val="12"/>
      <color theme="1"/>
      <name val="Century Gothic"/>
      <family val="2"/>
      <scheme val="minor"/>
    </font>
    <font>
      <b/>
      <sz val="14"/>
      <color theme="4" tint="-0.249977111117893"/>
      <name val="Century Gothic"/>
      <family val="2"/>
      <scheme val="minor"/>
    </font>
    <font>
      <sz val="11"/>
      <color theme="0" tint="-0.499984740745262"/>
      <name val="Century Gothic"/>
      <family val="2"/>
      <scheme val="minor"/>
    </font>
    <font>
      <b/>
      <sz val="12"/>
      <color theme="4" tint="-0.249977111117893"/>
      <name val="Century Gothic"/>
      <family val="2"/>
      <scheme val="minor"/>
    </font>
    <font>
      <sz val="10"/>
      <color theme="0" tint="-0.249977111117893"/>
      <name val="Century Gothic"/>
      <family val="2"/>
      <scheme val="minor"/>
    </font>
    <font>
      <sz val="10"/>
      <color theme="0" tint="-0.499984740745262"/>
      <name val="Century Gothic"/>
      <family val="2"/>
      <scheme val="minor"/>
    </font>
    <font>
      <b/>
      <sz val="14"/>
      <color theme="1"/>
      <name val="Century Gothic"/>
      <family val="2"/>
      <scheme val="minor"/>
    </font>
    <font>
      <b/>
      <sz val="14"/>
      <name val="Arial"/>
      <family val="2"/>
    </font>
    <font>
      <b/>
      <sz val="14"/>
      <color theme="3"/>
      <name val="Arial"/>
      <family val="2"/>
    </font>
    <font>
      <sz val="14"/>
      <name val="Arial"/>
      <family val="2"/>
    </font>
    <font>
      <b/>
      <sz val="10"/>
      <name val="Arial"/>
      <family val="2"/>
    </font>
    <font>
      <b/>
      <sz val="11"/>
      <color theme="1"/>
      <name val="Arial"/>
      <family val="2"/>
    </font>
    <font>
      <sz val="10"/>
      <color theme="0" tint="-0.249977111117893"/>
      <name val="Arial"/>
      <family val="2"/>
    </font>
    <font>
      <b/>
      <sz val="11"/>
      <color theme="4"/>
      <name val="Arial"/>
      <family val="2"/>
    </font>
    <font>
      <b/>
      <sz val="12"/>
      <color theme="3"/>
      <name val="Arial"/>
      <family val="2"/>
    </font>
    <font>
      <sz val="12"/>
      <name val="Arial"/>
      <family val="2"/>
    </font>
    <font>
      <b/>
      <sz val="12"/>
      <color theme="3"/>
      <name val="Century Gothic"/>
      <family val="2"/>
      <scheme val="major"/>
    </font>
    <font>
      <sz val="12"/>
      <name val="Century Gothic"/>
      <family val="2"/>
      <scheme val="major"/>
    </font>
    <font>
      <b/>
      <sz val="14"/>
      <name val="Century Gothic"/>
      <family val="2"/>
      <scheme val="major"/>
    </font>
    <font>
      <b/>
      <sz val="10"/>
      <color theme="3"/>
      <name val="Century Gothic"/>
      <family val="2"/>
      <scheme val="major"/>
    </font>
    <font>
      <sz val="10"/>
      <name val="Century Gothic"/>
      <family val="2"/>
      <scheme val="major"/>
    </font>
    <font>
      <b/>
      <u/>
      <sz val="14"/>
      <color theme="4" tint="-0.249977111117893"/>
      <name val="Century Gothic"/>
      <family val="2"/>
      <scheme val="minor"/>
    </font>
    <font>
      <b/>
      <sz val="16"/>
      <name val="Arial"/>
      <family val="2"/>
    </font>
    <font>
      <b/>
      <sz val="12"/>
      <name val="Arial"/>
      <family val="2"/>
    </font>
    <font>
      <b/>
      <u/>
      <sz val="12"/>
      <color rgb="FFFF0000"/>
      <name val="Arial"/>
      <family val="2"/>
    </font>
    <font>
      <i/>
      <sz val="12"/>
      <name val="Arial"/>
      <family val="2"/>
    </font>
    <font>
      <i/>
      <sz val="12"/>
      <color theme="0" tint="-0.34998626667073579"/>
      <name val="Arial"/>
      <family val="2"/>
    </font>
    <font>
      <b/>
      <sz val="10"/>
      <color rgb="FF666C71"/>
      <name val="Century Gothic"/>
      <family val="2"/>
      <scheme val="minor"/>
    </font>
    <font>
      <sz val="14"/>
      <name val="Century Gothic"/>
      <family val="2"/>
      <scheme val="minor"/>
    </font>
    <font>
      <b/>
      <sz val="14"/>
      <color rgb="FF666C71"/>
      <name val="Century Gothic"/>
      <family val="2"/>
      <scheme val="minor"/>
    </font>
    <font>
      <sz val="14"/>
      <color rgb="FF000000"/>
      <name val="Century Gothic"/>
      <family val="2"/>
      <scheme val="minor"/>
    </font>
    <font>
      <sz val="14"/>
      <color rgb="FFFFFFFF"/>
      <name val="Century Gothic"/>
      <family val="2"/>
      <scheme val="minor"/>
    </font>
    <font>
      <i/>
      <sz val="14"/>
      <color rgb="FFA6A6A6"/>
      <name val="Century Gothic"/>
      <family val="2"/>
      <scheme val="minor"/>
    </font>
    <font>
      <i/>
      <sz val="14"/>
      <color theme="0" tint="-0.34998626667073579"/>
      <name val="Century Gothic"/>
      <family val="2"/>
      <scheme val="minor"/>
    </font>
    <font>
      <sz val="11"/>
      <name val="Century Gothic"/>
      <family val="2"/>
      <scheme val="minor"/>
    </font>
    <font>
      <b/>
      <i/>
      <sz val="11"/>
      <color theme="1"/>
      <name val="Century Gothic"/>
      <family val="2"/>
      <scheme val="minor"/>
    </font>
    <font>
      <sz val="11"/>
      <color rgb="FF000000"/>
      <name val="Century Gothic"/>
      <family val="2"/>
      <scheme val="minor"/>
    </font>
    <font>
      <b/>
      <sz val="12"/>
      <color theme="0" tint="-0.499984740745262"/>
      <name val="Century Gothic"/>
      <family val="2"/>
      <scheme val="minor"/>
    </font>
    <font>
      <sz val="9"/>
      <color theme="0" tint="-0.249977111117893"/>
      <name val="Century Gothic"/>
      <family val="2"/>
      <scheme val="minor"/>
    </font>
    <font>
      <sz val="9"/>
      <name val="Century Gothic"/>
      <family val="2"/>
      <scheme val="minor"/>
    </font>
    <font>
      <sz val="9"/>
      <color theme="1"/>
      <name val="Century Gothic"/>
      <family val="2"/>
      <scheme val="minor"/>
    </font>
    <font>
      <sz val="9"/>
      <color theme="0" tint="-0.499984740745262"/>
      <name val="Century Gothic"/>
      <family val="2"/>
      <scheme val="minor"/>
    </font>
    <font>
      <sz val="9"/>
      <color rgb="FFFF0000"/>
      <name val="Century Gothic"/>
      <family val="2"/>
      <scheme val="minor"/>
    </font>
    <font>
      <i/>
      <sz val="11"/>
      <color rgb="FFC00000"/>
      <name val="Century Gothic"/>
      <family val="2"/>
      <scheme val="minor"/>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6"/>
      </patternFill>
    </fill>
    <fill>
      <patternFill patternType="solid">
        <fgColor theme="7" tint="0.39997558519241921"/>
        <bgColor indexed="65"/>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D9D9D9"/>
        <bgColor rgb="FF000000"/>
      </patternFill>
    </fill>
    <fill>
      <patternFill patternType="solid">
        <fgColor rgb="FFF2F2F2"/>
        <bgColor rgb="FF000000"/>
      </patternFill>
    </fill>
    <fill>
      <patternFill patternType="solid">
        <fgColor rgb="FFBBE9FF"/>
        <bgColor rgb="FFFFFFFF"/>
      </patternFill>
    </fill>
    <fill>
      <patternFill patternType="solid">
        <fgColor rgb="FF0074AB"/>
        <bgColor rgb="FFFFFFFF"/>
      </patternFill>
    </fill>
    <fill>
      <patternFill patternType="solid">
        <fgColor rgb="FFFFFF66"/>
        <bgColor indexed="64"/>
      </patternFill>
    </fill>
  </fills>
  <borders count="42">
    <border>
      <left/>
      <right/>
      <top/>
      <bottom/>
      <diagonal/>
    </border>
    <border>
      <left/>
      <right/>
      <top/>
      <bottom style="thick">
        <color theme="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theme="0"/>
      </top>
      <bottom/>
      <diagonal/>
    </border>
    <border>
      <left/>
      <right/>
      <top style="thin">
        <color indexed="64"/>
      </top>
      <bottom style="thin">
        <color theme="0"/>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double">
        <color indexed="64"/>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1"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1" fillId="0" borderId="0"/>
    <xf numFmtId="0" fontId="55" fillId="0" borderId="0" applyNumberFormat="0" applyFill="0" applyBorder="0" applyAlignment="0" applyProtection="0">
      <alignment vertical="top"/>
      <protection locked="0"/>
    </xf>
  </cellStyleXfs>
  <cellXfs count="280">
    <xf numFmtId="0" fontId="0" fillId="0" borderId="0" xfId="0"/>
    <xf numFmtId="0" fontId="4" fillId="2" borderId="2" xfId="5" applyBorder="1"/>
    <xf numFmtId="0" fontId="4" fillId="2" borderId="3" xfId="5" applyBorder="1" applyAlignment="1">
      <alignment horizontal="right"/>
    </xf>
    <xf numFmtId="0" fontId="0" fillId="0" borderId="4" xfId="0" applyBorder="1"/>
    <xf numFmtId="0" fontId="0" fillId="6" borderId="5" xfId="0" applyFill="1" applyBorder="1" applyAlignment="1">
      <alignment horizontal="right"/>
    </xf>
    <xf numFmtId="0" fontId="0" fillId="6" borderId="0" xfId="0" applyFill="1"/>
    <xf numFmtId="14" fontId="0" fillId="6" borderId="5" xfId="0" applyNumberFormat="1" applyFill="1" applyBorder="1"/>
    <xf numFmtId="164" fontId="0" fillId="6" borderId="0" xfId="1" applyNumberFormat="1" applyFont="1" applyFill="1"/>
    <xf numFmtId="0" fontId="0" fillId="0" borderId="6" xfId="0" applyBorder="1"/>
    <xf numFmtId="14" fontId="0" fillId="6" borderId="7" xfId="0" applyNumberFormat="1" applyFill="1" applyBorder="1"/>
    <xf numFmtId="14" fontId="0" fillId="0" borderId="0" xfId="0" applyNumberFormat="1"/>
    <xf numFmtId="0" fontId="7" fillId="0" borderId="0" xfId="9" applyFont="1" applyFill="1"/>
    <xf numFmtId="43" fontId="7" fillId="0" borderId="0" xfId="9" applyNumberFormat="1" applyFont="1" applyFill="1"/>
    <xf numFmtId="41" fontId="7" fillId="0" borderId="0" xfId="9" applyNumberFormat="1" applyFont="1" applyFill="1"/>
    <xf numFmtId="0" fontId="7" fillId="0" borderId="0" xfId="9" applyFont="1" applyFill="1" applyAlignment="1">
      <alignment horizontal="right"/>
    </xf>
    <xf numFmtId="0" fontId="8" fillId="7" borderId="0" xfId="4" applyFont="1" applyFill="1" applyBorder="1" applyAlignment="1"/>
    <xf numFmtId="0" fontId="8" fillId="7" borderId="0" xfId="4" applyFont="1" applyFill="1" applyBorder="1"/>
    <xf numFmtId="43" fontId="8" fillId="7" borderId="0" xfId="4" applyNumberFormat="1" applyFont="1" applyFill="1" applyBorder="1"/>
    <xf numFmtId="0" fontId="7" fillId="0" borderId="0" xfId="9" applyFont="1" applyFill="1" applyBorder="1" applyAlignment="1">
      <alignment horizontal="left" indent="2"/>
    </xf>
    <xf numFmtId="0" fontId="9" fillId="0" borderId="0" xfId="9" applyFont="1" applyFill="1" applyAlignment="1"/>
    <xf numFmtId="14" fontId="7" fillId="0" borderId="0" xfId="9" applyNumberFormat="1" applyFont="1" applyFill="1" applyAlignment="1">
      <alignment horizontal="left"/>
    </xf>
    <xf numFmtId="0" fontId="10" fillId="0" borderId="0" xfId="9" applyFont="1" applyFill="1" applyAlignment="1">
      <alignment horizontal="center"/>
    </xf>
    <xf numFmtId="41" fontId="10" fillId="0" borderId="0" xfId="9" applyNumberFormat="1" applyFont="1" applyFill="1" applyAlignment="1">
      <alignment horizontal="center"/>
    </xf>
    <xf numFmtId="0" fontId="11" fillId="0" borderId="0" xfId="5" applyFont="1" applyFill="1"/>
    <xf numFmtId="43" fontId="11" fillId="0" borderId="8" xfId="5" applyNumberFormat="1" applyFont="1" applyFill="1" applyBorder="1" applyAlignment="1">
      <alignment horizontal="center"/>
    </xf>
    <xf numFmtId="41" fontId="11" fillId="0" borderId="8" xfId="5" applyNumberFormat="1" applyFont="1" applyFill="1" applyBorder="1" applyAlignment="1">
      <alignment horizontal="center"/>
    </xf>
    <xf numFmtId="0" fontId="12" fillId="0" borderId="0" xfId="7" applyFont="1" applyFill="1"/>
    <xf numFmtId="0" fontId="1" fillId="0" borderId="0" xfId="0" applyFont="1" applyFill="1"/>
    <xf numFmtId="43" fontId="1" fillId="0" borderId="10" xfId="5" applyNumberFormat="1" applyFont="1" applyFill="1" applyBorder="1"/>
    <xf numFmtId="41" fontId="1" fillId="0" borderId="10" xfId="5" applyNumberFormat="1" applyFont="1" applyFill="1" applyBorder="1"/>
    <xf numFmtId="43" fontId="1" fillId="0" borderId="11" xfId="10" applyNumberFormat="1" applyFont="1" applyFill="1" applyBorder="1"/>
    <xf numFmtId="43" fontId="13" fillId="0" borderId="11" xfId="5" applyNumberFormat="1" applyFont="1" applyFill="1" applyBorder="1"/>
    <xf numFmtId="0" fontId="1" fillId="0" borderId="0" xfId="9" applyFont="1" applyFill="1"/>
    <xf numFmtId="0" fontId="13" fillId="0" borderId="0" xfId="0" applyFont="1" applyFill="1"/>
    <xf numFmtId="43" fontId="1" fillId="0" borderId="11" xfId="5" applyNumberFormat="1" applyFont="1" applyFill="1" applyBorder="1"/>
    <xf numFmtId="41" fontId="1" fillId="0" borderId="11" xfId="5" applyNumberFormat="1" applyFont="1" applyFill="1" applyBorder="1"/>
    <xf numFmtId="43" fontId="13" fillId="0" borderId="11" xfId="10" applyNumberFormat="1" applyFont="1" applyFill="1" applyBorder="1"/>
    <xf numFmtId="41" fontId="1" fillId="0" borderId="11" xfId="10" applyNumberFormat="1" applyFont="1" applyFill="1" applyBorder="1"/>
    <xf numFmtId="0" fontId="14" fillId="8" borderId="12" xfId="7" applyFont="1" applyFill="1" applyBorder="1" applyAlignment="1">
      <alignment horizontal="right"/>
    </xf>
    <xf numFmtId="44" fontId="3" fillId="8" borderId="10" xfId="10" applyNumberFormat="1" applyFont="1" applyFill="1" applyBorder="1" applyAlignment="1">
      <alignment horizontal="right" indent="2"/>
    </xf>
    <xf numFmtId="0" fontId="15" fillId="8" borderId="0" xfId="9" applyFont="1" applyFill="1" applyAlignment="1">
      <alignment horizontal="left" vertical="center"/>
    </xf>
    <xf numFmtId="0" fontId="7" fillId="8" borderId="0" xfId="9" applyFont="1" applyFill="1" applyAlignment="1">
      <alignment horizontal="left" vertical="center"/>
    </xf>
    <xf numFmtId="0" fontId="0" fillId="0" borderId="12" xfId="0" applyBorder="1"/>
    <xf numFmtId="0" fontId="12" fillId="8" borderId="13" xfId="7" applyFont="1" applyFill="1" applyBorder="1" applyAlignment="1">
      <alignment horizontal="right"/>
    </xf>
    <xf numFmtId="44" fontId="17" fillId="8" borderId="14" xfId="10" applyNumberFormat="1" applyFont="1" applyFill="1" applyBorder="1" applyAlignment="1">
      <alignment horizontal="right" indent="2"/>
    </xf>
    <xf numFmtId="43" fontId="1" fillId="0" borderId="11" xfId="10" applyNumberFormat="1" applyFont="1" applyFill="1" applyBorder="1" applyAlignment="1">
      <alignment horizontal="left" indent="2"/>
    </xf>
    <xf numFmtId="42" fontId="0" fillId="0" borderId="0" xfId="0" applyNumberFormat="1"/>
    <xf numFmtId="0" fontId="18" fillId="7" borderId="0" xfId="4" applyFont="1" applyFill="1" applyBorder="1"/>
    <xf numFmtId="0" fontId="19" fillId="7" borderId="0" xfId="4" applyFont="1" applyFill="1" applyBorder="1"/>
    <xf numFmtId="42" fontId="20" fillId="7" borderId="0" xfId="9" applyNumberFormat="1" applyFont="1" applyFill="1"/>
    <xf numFmtId="0" fontId="20" fillId="7" borderId="0" xfId="9" applyFont="1" applyFill="1"/>
    <xf numFmtId="0" fontId="6" fillId="9" borderId="0" xfId="9" applyFont="1" applyFill="1"/>
    <xf numFmtId="42" fontId="6" fillId="9" borderId="0" xfId="9" applyNumberFormat="1" applyFont="1" applyFill="1"/>
    <xf numFmtId="14" fontId="21" fillId="9" borderId="0" xfId="9" applyNumberFormat="1" applyFont="1" applyFill="1" applyBorder="1" applyAlignment="1">
      <alignment horizontal="left"/>
    </xf>
    <xf numFmtId="14" fontId="18" fillId="0" borderId="0" xfId="4" applyNumberFormat="1" applyFont="1" applyFill="1" applyBorder="1" applyAlignment="1">
      <alignment horizontal="left" wrapText="1"/>
    </xf>
    <xf numFmtId="0" fontId="6" fillId="9" borderId="4" xfId="9" applyFont="1" applyFill="1" applyBorder="1"/>
    <xf numFmtId="0" fontId="6" fillId="9" borderId="0" xfId="9" applyFont="1" applyFill="1" applyBorder="1"/>
    <xf numFmtId="0" fontId="6" fillId="9" borderId="5" xfId="9" applyFont="1" applyFill="1" applyBorder="1"/>
    <xf numFmtId="0" fontId="22" fillId="0" borderId="0" xfId="7" applyFont="1" applyFill="1"/>
    <xf numFmtId="42" fontId="23" fillId="9" borderId="0" xfId="9" applyNumberFormat="1" applyFont="1" applyFill="1"/>
    <xf numFmtId="164" fontId="6" fillId="9" borderId="4" xfId="9" applyNumberFormat="1" applyFont="1" applyFill="1" applyBorder="1"/>
    <xf numFmtId="164" fontId="6" fillId="9" borderId="0" xfId="9" applyNumberFormat="1" applyFont="1" applyFill="1" applyBorder="1"/>
    <xf numFmtId="164" fontId="6" fillId="9" borderId="5" xfId="9" applyNumberFormat="1" applyFont="1" applyFill="1" applyBorder="1"/>
    <xf numFmtId="0" fontId="24" fillId="0" borderId="0" xfId="7" applyFont="1" applyFill="1"/>
    <xf numFmtId="43" fontId="6" fillId="9" borderId="4" xfId="9" applyNumberFormat="1" applyFont="1" applyFill="1" applyBorder="1"/>
    <xf numFmtId="43" fontId="6" fillId="9" borderId="0" xfId="9" applyNumberFormat="1" applyFont="1" applyFill="1" applyBorder="1"/>
    <xf numFmtId="43" fontId="6" fillId="9" borderId="5" xfId="9" applyNumberFormat="1" applyFont="1" applyFill="1" applyBorder="1"/>
    <xf numFmtId="43" fontId="3" fillId="0" borderId="0" xfId="0" applyNumberFormat="1" applyFont="1" applyAlignment="1">
      <alignment horizontal="right"/>
    </xf>
    <xf numFmtId="0" fontId="6" fillId="9" borderId="6" xfId="9" applyFont="1" applyFill="1" applyBorder="1"/>
    <xf numFmtId="0" fontId="6" fillId="9" borderId="9" xfId="9" applyFont="1" applyFill="1" applyBorder="1"/>
    <xf numFmtId="0" fontId="6" fillId="9" borderId="7" xfId="9" applyFont="1" applyFill="1" applyBorder="1"/>
    <xf numFmtId="0" fontId="0" fillId="0" borderId="0" xfId="0" applyFont="1" applyFill="1"/>
    <xf numFmtId="0" fontId="0" fillId="0" borderId="0" xfId="0" applyFill="1"/>
    <xf numFmtId="43" fontId="0" fillId="0" borderId="0" xfId="0" applyNumberFormat="1" applyFont="1" applyFill="1"/>
    <xf numFmtId="43" fontId="0" fillId="0" borderId="0" xfId="0" applyNumberFormat="1" applyFont="1"/>
    <xf numFmtId="0" fontId="25" fillId="7" borderId="0" xfId="4" applyFont="1" applyFill="1" applyBorder="1"/>
    <xf numFmtId="0" fontId="26" fillId="7" borderId="0" xfId="9" applyFont="1" applyFill="1" applyAlignment="1">
      <alignment horizontal="right"/>
    </xf>
    <xf numFmtId="0" fontId="27" fillId="7" borderId="0" xfId="4" applyFont="1" applyFill="1" applyBorder="1"/>
    <xf numFmtId="0" fontId="28" fillId="7" borderId="0" xfId="9" applyFont="1" applyFill="1" applyAlignment="1">
      <alignment horizontal="right"/>
    </xf>
    <xf numFmtId="0" fontId="29" fillId="7" borderId="0" xfId="4" applyFont="1" applyFill="1" applyBorder="1"/>
    <xf numFmtId="0" fontId="30" fillId="7" borderId="15" xfId="4" applyFont="1" applyFill="1" applyBorder="1"/>
    <xf numFmtId="14" fontId="31" fillId="7" borderId="15" xfId="9" applyNumberFormat="1" applyFont="1" applyFill="1" applyBorder="1" applyAlignment="1">
      <alignment horizontal="right"/>
    </xf>
    <xf numFmtId="0" fontId="16" fillId="8" borderId="0" xfId="9" applyFont="1" applyFill="1" applyAlignment="1">
      <alignment horizontal="left" vertical="center"/>
    </xf>
    <xf numFmtId="0" fontId="13" fillId="8" borderId="0" xfId="0" applyFont="1" applyFill="1"/>
    <xf numFmtId="42" fontId="13" fillId="8" borderId="0" xfId="0" applyNumberFormat="1" applyFont="1" applyFill="1"/>
    <xf numFmtId="0" fontId="14" fillId="8" borderId="0" xfId="7" applyFont="1" applyFill="1" applyBorder="1" applyAlignment="1">
      <alignment horizontal="right"/>
    </xf>
    <xf numFmtId="44" fontId="3" fillId="8" borderId="0" xfId="10" applyNumberFormat="1" applyFont="1" applyFill="1" applyBorder="1" applyAlignment="1">
      <alignment horizontal="right" indent="2"/>
    </xf>
    <xf numFmtId="0" fontId="14" fillId="8" borderId="0" xfId="7" applyFont="1" applyFill="1" applyBorder="1" applyAlignment="1">
      <alignment horizontal="left"/>
    </xf>
    <xf numFmtId="0" fontId="14" fillId="0" borderId="0" xfId="7" applyFont="1" applyFill="1" applyBorder="1" applyAlignment="1">
      <alignment horizontal="left"/>
    </xf>
    <xf numFmtId="0" fontId="32" fillId="0" borderId="0" xfId="7" applyFont="1" applyFill="1"/>
    <xf numFmtId="0" fontId="12" fillId="8" borderId="16" xfId="7" applyFont="1" applyFill="1" applyBorder="1"/>
    <xf numFmtId="44" fontId="3" fillId="8" borderId="16" xfId="10" applyNumberFormat="1" applyFont="1" applyFill="1" applyBorder="1" applyAlignment="1">
      <alignment horizontal="right" indent="2"/>
    </xf>
    <xf numFmtId="0" fontId="12" fillId="8" borderId="17" xfId="7" applyFont="1" applyFill="1" applyBorder="1"/>
    <xf numFmtId="44" fontId="3" fillId="8" borderId="17" xfId="10" applyNumberFormat="1" applyFont="1" applyFill="1" applyBorder="1" applyAlignment="1">
      <alignment horizontal="right" indent="2"/>
    </xf>
    <xf numFmtId="43" fontId="3" fillId="0" borderId="0" xfId="0" applyNumberFormat="1" applyFont="1" applyFill="1"/>
    <xf numFmtId="0" fontId="4" fillId="2" borderId="8" xfId="5" applyBorder="1"/>
    <xf numFmtId="165" fontId="0" fillId="0" borderId="8" xfId="2" applyNumberFormat="1" applyFont="1" applyBorder="1"/>
    <xf numFmtId="0" fontId="0" fillId="0" borderId="8" xfId="0" applyBorder="1"/>
    <xf numFmtId="165" fontId="0" fillId="9" borderId="8" xfId="2" applyNumberFormat="1" applyFont="1" applyFill="1" applyBorder="1"/>
    <xf numFmtId="44" fontId="0" fillId="6" borderId="8" xfId="2" applyNumberFormat="1" applyFont="1" applyFill="1" applyBorder="1"/>
    <xf numFmtId="0" fontId="0" fillId="0" borderId="0" xfId="0" applyBorder="1"/>
    <xf numFmtId="165" fontId="0" fillId="0" borderId="0" xfId="2" applyNumberFormat="1" applyFont="1"/>
    <xf numFmtId="165" fontId="0" fillId="14" borderId="8" xfId="2" applyNumberFormat="1" applyFont="1" applyFill="1" applyBorder="1"/>
    <xf numFmtId="165" fontId="0" fillId="15" borderId="8" xfId="2" applyNumberFormat="1" applyFont="1" applyFill="1" applyBorder="1"/>
    <xf numFmtId="165" fontId="0" fillId="0" borderId="8" xfId="2" applyNumberFormat="1" applyFont="1" applyFill="1" applyBorder="1"/>
    <xf numFmtId="0" fontId="26" fillId="8" borderId="0" xfId="9" applyFont="1" applyFill="1"/>
    <xf numFmtId="0" fontId="26" fillId="0" borderId="0" xfId="9" applyFont="1"/>
    <xf numFmtId="0" fontId="26" fillId="0" borderId="0" xfId="9" applyFont="1" applyFill="1"/>
    <xf numFmtId="0" fontId="33" fillId="7" borderId="0" xfId="4" applyFont="1" applyFill="1" applyBorder="1"/>
    <xf numFmtId="0" fontId="26" fillId="7" borderId="0" xfId="9" applyFont="1" applyFill="1"/>
    <xf numFmtId="0" fontId="34" fillId="0" borderId="0" xfId="4" applyFont="1" applyFill="1" applyBorder="1"/>
    <xf numFmtId="0" fontId="34" fillId="20" borderId="0" xfId="4" applyFont="1" applyFill="1" applyBorder="1"/>
    <xf numFmtId="0" fontId="26" fillId="20" borderId="0" xfId="4" applyFont="1" applyFill="1" applyBorder="1" applyAlignment="1">
      <alignment horizontal="right"/>
    </xf>
    <xf numFmtId="0" fontId="34" fillId="18" borderId="0" xfId="4" applyFont="1" applyFill="1" applyBorder="1"/>
    <xf numFmtId="0" fontId="26" fillId="16" borderId="0" xfId="9" applyFont="1" applyFill="1"/>
    <xf numFmtId="164" fontId="34" fillId="16" borderId="0" xfId="9" applyNumberFormat="1" applyFont="1" applyFill="1"/>
    <xf numFmtId="164" fontId="26" fillId="16" borderId="0" xfId="9" applyNumberFormat="1" applyFont="1" applyFill="1"/>
    <xf numFmtId="164" fontId="26" fillId="0" borderId="0" xfId="9" applyNumberFormat="1" applyFont="1" applyFill="1"/>
    <xf numFmtId="0" fontId="26" fillId="12" borderId="0" xfId="9" applyFont="1" applyFill="1"/>
    <xf numFmtId="0" fontId="26" fillId="12" borderId="9" xfId="9" applyFont="1" applyFill="1" applyBorder="1"/>
    <xf numFmtId="166" fontId="26" fillId="16" borderId="0" xfId="11" applyNumberFormat="1" applyFont="1" applyFill="1" applyAlignment="1">
      <alignment horizontal="right"/>
    </xf>
    <xf numFmtId="0" fontId="34" fillId="12" borderId="0" xfId="9" applyFont="1" applyFill="1" applyBorder="1"/>
    <xf numFmtId="2" fontId="26" fillId="0" borderId="0" xfId="9" applyNumberFormat="1" applyFont="1" applyAlignment="1">
      <alignment horizontal="right"/>
    </xf>
    <xf numFmtId="0" fontId="34" fillId="17" borderId="0" xfId="4" applyFont="1" applyFill="1" applyBorder="1"/>
    <xf numFmtId="0" fontId="26" fillId="19" borderId="0" xfId="9" applyFont="1" applyFill="1"/>
    <xf numFmtId="2" fontId="34" fillId="19" borderId="0" xfId="9" applyNumberFormat="1" applyFont="1" applyFill="1"/>
    <xf numFmtId="0" fontId="35" fillId="0" borderId="0" xfId="9" applyFont="1"/>
    <xf numFmtId="2" fontId="36" fillId="0" borderId="0" xfId="9" applyNumberFormat="1" applyFont="1" applyBorder="1" applyAlignment="1">
      <alignment horizontal="right" vertical="top" indent="1"/>
    </xf>
    <xf numFmtId="167" fontId="34" fillId="12" borderId="0" xfId="10" applyNumberFormat="1" applyFont="1" applyFill="1"/>
    <xf numFmtId="9" fontId="34" fillId="12" borderId="0" xfId="11" applyFont="1" applyFill="1"/>
    <xf numFmtId="166" fontId="26" fillId="12" borderId="0" xfId="11" applyNumberFormat="1" applyFont="1" applyFill="1" applyAlignment="1">
      <alignment horizontal="right"/>
    </xf>
    <xf numFmtId="2" fontId="36" fillId="12" borderId="0" xfId="9" applyNumberFormat="1" applyFont="1" applyFill="1" applyBorder="1" applyAlignment="1">
      <alignment horizontal="right" vertical="top" indent="1"/>
    </xf>
    <xf numFmtId="0" fontId="34" fillId="7" borderId="0" xfId="4" applyFont="1" applyFill="1" applyBorder="1"/>
    <xf numFmtId="0" fontId="36" fillId="0" borderId="0" xfId="9" applyFont="1" applyBorder="1" applyAlignment="1">
      <alignment horizontal="left" vertical="top" wrapText="1" indent="2"/>
    </xf>
    <xf numFmtId="0" fontId="34" fillId="11" borderId="0" xfId="4" applyFont="1" applyFill="1" applyBorder="1"/>
    <xf numFmtId="0" fontId="26" fillId="15" borderId="0" xfId="9" applyFont="1" applyFill="1"/>
    <xf numFmtId="167" fontId="34" fillId="15" borderId="0" xfId="10" applyNumberFormat="1" applyFont="1" applyFill="1" applyAlignment="1">
      <alignment horizontal="right"/>
    </xf>
    <xf numFmtId="167" fontId="26" fillId="15" borderId="0" xfId="10" applyNumberFormat="1" applyFont="1" applyFill="1" applyAlignment="1">
      <alignment horizontal="right"/>
    </xf>
    <xf numFmtId="0" fontId="34" fillId="13" borderId="0" xfId="4" applyFont="1" applyFill="1" applyBorder="1"/>
    <xf numFmtId="0" fontId="26" fillId="6" borderId="0" xfId="9" applyFont="1" applyFill="1"/>
    <xf numFmtId="0" fontId="37" fillId="0" borderId="0" xfId="9" applyFont="1" applyFill="1" applyBorder="1"/>
    <xf numFmtId="9" fontId="26" fillId="0" borderId="0" xfId="9" applyNumberFormat="1" applyFont="1" applyFill="1"/>
    <xf numFmtId="164" fontId="26" fillId="16" borderId="0" xfId="1" applyNumberFormat="1" applyFont="1" applyFill="1"/>
    <xf numFmtId="9" fontId="34" fillId="16" borderId="0" xfId="11" applyNumberFormat="1" applyFont="1" applyFill="1" applyAlignment="1">
      <alignment horizontal="right"/>
    </xf>
    <xf numFmtId="0" fontId="0" fillId="0" borderId="0" xfId="0" applyFont="1"/>
    <xf numFmtId="0" fontId="7" fillId="0" borderId="0" xfId="0" applyFont="1" applyFill="1" applyBorder="1"/>
    <xf numFmtId="0" fontId="8" fillId="0" borderId="0" xfId="4" applyFont="1" applyFill="1" applyBorder="1"/>
    <xf numFmtId="0" fontId="7" fillId="21" borderId="0" xfId="0" applyFont="1" applyFill="1" applyBorder="1"/>
    <xf numFmtId="0" fontId="38" fillId="21" borderId="0" xfId="4" applyFont="1" applyFill="1" applyBorder="1"/>
    <xf numFmtId="0" fontId="7" fillId="0" borderId="0" xfId="0" applyFont="1" applyFill="1" applyBorder="1" applyAlignment="1">
      <alignment horizontal="center"/>
    </xf>
    <xf numFmtId="0" fontId="39" fillId="0" borderId="19" xfId="0" applyFont="1" applyFill="1" applyBorder="1"/>
    <xf numFmtId="0" fontId="40" fillId="21" borderId="20" xfId="4" applyFont="1" applyFill="1" applyBorder="1"/>
    <xf numFmtId="0" fontId="39" fillId="0" borderId="20" xfId="0" applyFont="1" applyFill="1" applyBorder="1"/>
    <xf numFmtId="0" fontId="39" fillId="0" borderId="21" xfId="0" applyFont="1" applyFill="1" applyBorder="1"/>
    <xf numFmtId="0" fontId="39" fillId="0" borderId="22" xfId="0" applyFont="1" applyFill="1" applyBorder="1"/>
    <xf numFmtId="0" fontId="39" fillId="0" borderId="0" xfId="0" applyFont="1" applyFill="1" applyBorder="1"/>
    <xf numFmtId="0" fontId="39" fillId="0" borderId="0" xfId="0" applyFont="1" applyFill="1" applyBorder="1" applyAlignment="1">
      <alignment horizontal="center"/>
    </xf>
    <xf numFmtId="0" fontId="39" fillId="0" borderId="23" xfId="0" applyFont="1" applyFill="1" applyBorder="1"/>
    <xf numFmtId="0" fontId="39" fillId="22" borderId="24" xfId="0" applyFont="1" applyFill="1" applyBorder="1" applyAlignment="1">
      <alignment horizontal="center" vertical="center" wrapText="1"/>
    </xf>
    <xf numFmtId="166" fontId="39" fillId="23" borderId="25" xfId="12" applyNumberFormat="1" applyFont="1" applyFill="1" applyBorder="1" applyAlignment="1">
      <alignment horizontal="center" vertical="center"/>
    </xf>
    <xf numFmtId="0" fontId="8" fillId="0" borderId="0" xfId="0" applyFont="1" applyFill="1" applyBorder="1"/>
    <xf numFmtId="0" fontId="41" fillId="24" borderId="29" xfId="6" applyFont="1" applyFill="1" applyBorder="1" applyAlignment="1">
      <alignment horizontal="left"/>
    </xf>
    <xf numFmtId="164" fontId="39" fillId="0" borderId="30" xfId="10" applyNumberFormat="1" applyFont="1" applyFill="1" applyBorder="1" applyAlignment="1">
      <alignment horizontal="center"/>
    </xf>
    <xf numFmtId="0" fontId="8" fillId="0" borderId="0" xfId="0" applyFont="1" applyFill="1" applyBorder="1" applyAlignment="1">
      <alignment horizontal="center" wrapText="1"/>
    </xf>
    <xf numFmtId="0" fontId="39" fillId="0" borderId="22" xfId="0" applyFont="1" applyFill="1" applyBorder="1" applyAlignment="1">
      <alignment vertical="center"/>
    </xf>
    <xf numFmtId="0" fontId="39" fillId="0" borderId="0" xfId="0" applyFont="1" applyFill="1" applyBorder="1" applyAlignment="1">
      <alignment vertical="center"/>
    </xf>
    <xf numFmtId="0" fontId="39" fillId="0" borderId="23" xfId="0" applyFont="1" applyFill="1" applyBorder="1" applyAlignment="1">
      <alignment vertical="center"/>
    </xf>
    <xf numFmtId="0" fontId="39" fillId="0" borderId="0" xfId="0" applyFont="1" applyFill="1" applyBorder="1" applyAlignment="1">
      <alignment horizontal="center" wrapText="1"/>
    </xf>
    <xf numFmtId="0" fontId="39" fillId="0" borderId="0" xfId="0" applyFont="1" applyFill="1" applyBorder="1" applyAlignment="1">
      <alignment horizontal="left"/>
    </xf>
    <xf numFmtId="166" fontId="39" fillId="23" borderId="36" xfId="12" applyNumberFormat="1" applyFont="1" applyFill="1" applyBorder="1" applyAlignment="1">
      <alignment horizontal="center" vertical="center"/>
    </xf>
    <xf numFmtId="0" fontId="39" fillId="0" borderId="32" xfId="0" applyFont="1" applyFill="1" applyBorder="1"/>
    <xf numFmtId="0" fontId="39" fillId="0" borderId="40" xfId="0" applyFont="1" applyFill="1" applyBorder="1"/>
    <xf numFmtId="0" fontId="39" fillId="0" borderId="40" xfId="0" applyFont="1" applyFill="1" applyBorder="1" applyAlignment="1">
      <alignment horizontal="center"/>
    </xf>
    <xf numFmtId="0" fontId="39" fillId="0" borderId="39" xfId="0" applyFont="1" applyFill="1" applyBorder="1"/>
    <xf numFmtId="0" fontId="43" fillId="0" borderId="0" xfId="0" applyFont="1" applyFill="1" applyBorder="1"/>
    <xf numFmtId="0" fontId="39" fillId="0" borderId="0" xfId="9" applyFont="1"/>
    <xf numFmtId="0" fontId="39" fillId="0" borderId="0" xfId="9" applyFont="1" applyAlignment="1">
      <alignment horizontal="center"/>
    </xf>
    <xf numFmtId="0" fontId="44" fillId="0" borderId="0" xfId="9" applyFont="1" applyFill="1" applyBorder="1"/>
    <xf numFmtId="0" fontId="7" fillId="0" borderId="0" xfId="9" applyFont="1"/>
    <xf numFmtId="0" fontId="3" fillId="19" borderId="8" xfId="0" applyFont="1" applyFill="1" applyBorder="1" applyAlignment="1">
      <alignment horizontal="right" vertical="top" wrapText="1"/>
    </xf>
    <xf numFmtId="0" fontId="3" fillId="19" borderId="8" xfId="0" applyFont="1" applyFill="1" applyBorder="1" applyAlignment="1">
      <alignment horizontal="right"/>
    </xf>
    <xf numFmtId="0" fontId="0" fillId="10" borderId="0" xfId="0" applyFill="1"/>
    <xf numFmtId="0" fontId="45" fillId="0" borderId="8" xfId="0" applyFont="1" applyFill="1" applyBorder="1" applyAlignment="1">
      <alignment horizontal="right" vertical="top" wrapText="1"/>
    </xf>
    <xf numFmtId="0" fontId="45" fillId="0" borderId="8" xfId="0" applyFont="1" applyFill="1" applyBorder="1"/>
    <xf numFmtId="0" fontId="45" fillId="0" borderId="18" xfId="0" applyFont="1" applyFill="1" applyBorder="1" applyAlignment="1">
      <alignment horizontal="right"/>
    </xf>
    <xf numFmtId="0" fontId="45" fillId="0" borderId="18" xfId="0" applyFont="1" applyFill="1" applyBorder="1"/>
    <xf numFmtId="0" fontId="45" fillId="0" borderId="8" xfId="0" applyFont="1" applyFill="1" applyBorder="1" applyAlignment="1">
      <alignment horizontal="right"/>
    </xf>
    <xf numFmtId="0" fontId="46" fillId="10" borderId="0" xfId="0" applyFont="1" applyFill="1"/>
    <xf numFmtId="0" fontId="9" fillId="0" borderId="0" xfId="9" applyFont="1" applyFill="1" applyAlignment="1">
      <alignment horizontal="right"/>
    </xf>
    <xf numFmtId="165" fontId="34" fillId="12" borderId="0" xfId="9" applyNumberFormat="1" applyFont="1" applyFill="1" applyBorder="1"/>
    <xf numFmtId="165" fontId="34" fillId="12" borderId="0" xfId="9" applyNumberFormat="1" applyFont="1" applyFill="1"/>
    <xf numFmtId="165" fontId="26" fillId="12" borderId="9" xfId="9" applyNumberFormat="1" applyFont="1" applyFill="1" applyBorder="1"/>
    <xf numFmtId="165" fontId="26" fillId="12" borderId="0" xfId="9" applyNumberFormat="1" applyFont="1" applyFill="1"/>
    <xf numFmtId="168" fontId="26" fillId="8" borderId="0" xfId="9" applyNumberFormat="1" applyFont="1" applyFill="1" applyAlignment="1">
      <alignment horizontal="right"/>
    </xf>
    <xf numFmtId="166" fontId="26" fillId="6" borderId="0" xfId="11" applyNumberFormat="1" applyFont="1" applyFill="1" applyAlignment="1">
      <alignment horizontal="right"/>
    </xf>
    <xf numFmtId="0" fontId="26" fillId="12" borderId="0" xfId="9" applyFont="1" applyFill="1" applyBorder="1"/>
    <xf numFmtId="165" fontId="26" fillId="12" borderId="0" xfId="9" applyNumberFormat="1" applyFont="1" applyFill="1" applyBorder="1"/>
    <xf numFmtId="165" fontId="26" fillId="12" borderId="9" xfId="1" applyNumberFormat="1" applyFont="1" applyFill="1" applyBorder="1"/>
    <xf numFmtId="0" fontId="47" fillId="0" borderId="0" xfId="0" applyNumberFormat="1" applyFont="1" applyAlignment="1"/>
    <xf numFmtId="169" fontId="13" fillId="0" borderId="11" xfId="5" applyNumberFormat="1" applyFont="1" applyFill="1" applyBorder="1"/>
    <xf numFmtId="169" fontId="1" fillId="0" borderId="11" xfId="5" applyNumberFormat="1" applyFont="1" applyFill="1" applyBorder="1"/>
    <xf numFmtId="169" fontId="45" fillId="0" borderId="11" xfId="5" applyNumberFormat="1" applyFont="1" applyFill="1" applyBorder="1"/>
    <xf numFmtId="169" fontId="13" fillId="0" borderId="11" xfId="10" applyNumberFormat="1" applyFont="1" applyFill="1" applyBorder="1"/>
    <xf numFmtId="169" fontId="1" fillId="0" borderId="11" xfId="10" applyNumberFormat="1" applyFont="1" applyFill="1" applyBorder="1"/>
    <xf numFmtId="169" fontId="3" fillId="8" borderId="10" xfId="10" applyNumberFormat="1" applyFont="1" applyFill="1" applyBorder="1" applyAlignment="1">
      <alignment horizontal="right" indent="1"/>
    </xf>
    <xf numFmtId="169" fontId="1" fillId="0" borderId="10" xfId="5" applyNumberFormat="1" applyFont="1" applyFill="1" applyBorder="1"/>
    <xf numFmtId="169" fontId="17" fillId="8" borderId="14" xfId="10" applyNumberFormat="1" applyFont="1" applyFill="1" applyBorder="1" applyAlignment="1">
      <alignment horizontal="right" indent="1"/>
    </xf>
    <xf numFmtId="0" fontId="16" fillId="0" borderId="0" xfId="9" applyFont="1" applyFill="1" applyAlignment="1">
      <alignment horizontal="left" indent="2"/>
    </xf>
    <xf numFmtId="0" fontId="13" fillId="0" borderId="0" xfId="0" applyFont="1" applyAlignment="1">
      <alignment horizontal="left" indent="2"/>
    </xf>
    <xf numFmtId="0" fontId="48" fillId="0" borderId="0" xfId="5" applyFont="1" applyFill="1" applyAlignment="1">
      <alignment horizontal="left" indent="2"/>
    </xf>
    <xf numFmtId="0" fontId="13" fillId="0" borderId="0" xfId="0" applyFont="1" applyAlignment="1">
      <alignment horizontal="right" indent="2"/>
    </xf>
    <xf numFmtId="0" fontId="13" fillId="0" borderId="0" xfId="0" applyFont="1" applyFill="1" applyBorder="1" applyAlignment="1">
      <alignment horizontal="right" indent="2"/>
    </xf>
    <xf numFmtId="0" fontId="13" fillId="0" borderId="0" xfId="0" applyFont="1"/>
    <xf numFmtId="170" fontId="1" fillId="0" borderId="10" xfId="5" applyNumberFormat="1" applyFont="1" applyFill="1" applyBorder="1" applyAlignment="1">
      <alignment horizontal="right"/>
    </xf>
    <xf numFmtId="170" fontId="1" fillId="0" borderId="11" xfId="11" applyNumberFormat="1" applyFont="1" applyFill="1" applyBorder="1" applyAlignment="1">
      <alignment horizontal="right"/>
    </xf>
    <xf numFmtId="170" fontId="13" fillId="0" borderId="11" xfId="11" applyNumberFormat="1" applyFont="1" applyFill="1" applyBorder="1" applyAlignment="1">
      <alignment horizontal="right"/>
    </xf>
    <xf numFmtId="170" fontId="3" fillId="8" borderId="10" xfId="11" applyNumberFormat="1" applyFont="1" applyFill="1" applyBorder="1" applyAlignment="1">
      <alignment horizontal="right" indent="1"/>
    </xf>
    <xf numFmtId="170" fontId="1" fillId="0" borderId="10" xfId="11" applyNumberFormat="1" applyFont="1" applyFill="1" applyBorder="1" applyAlignment="1">
      <alignment horizontal="right"/>
    </xf>
    <xf numFmtId="170" fontId="17" fillId="8" borderId="14" xfId="11" applyNumberFormat="1" applyFont="1" applyFill="1" applyBorder="1" applyAlignment="1">
      <alignment horizontal="right" indent="1"/>
    </xf>
    <xf numFmtId="0" fontId="0" fillId="8" borderId="0" xfId="0" applyFill="1"/>
    <xf numFmtId="0" fontId="49" fillId="8" borderId="0" xfId="9" applyFont="1" applyFill="1" applyAlignment="1">
      <alignment horizontal="center" vertical="center"/>
    </xf>
    <xf numFmtId="0" fontId="50" fillId="8" borderId="0" xfId="9" applyFont="1" applyFill="1" applyAlignment="1">
      <alignment horizontal="center"/>
    </xf>
    <xf numFmtId="0" fontId="51" fillId="26" borderId="0" xfId="0" applyFont="1" applyFill="1" applyAlignment="1">
      <alignment horizontal="center"/>
    </xf>
    <xf numFmtId="0" fontId="52" fillId="8" borderId="0" xfId="9" applyFont="1" applyFill="1" applyAlignment="1">
      <alignment horizontal="center"/>
    </xf>
    <xf numFmtId="0" fontId="53" fillId="8" borderId="0" xfId="9" applyFont="1" applyFill="1" applyAlignment="1">
      <alignment horizontal="center" vertical="top" wrapText="1"/>
    </xf>
    <xf numFmtId="0" fontId="51" fillId="0" borderId="0" xfId="0" applyFont="1" applyAlignment="1">
      <alignment horizontal="center"/>
    </xf>
    <xf numFmtId="0" fontId="14" fillId="8" borderId="29" xfId="7" applyFont="1" applyFill="1" applyBorder="1" applyAlignment="1">
      <alignment horizontal="right"/>
    </xf>
    <xf numFmtId="0" fontId="14" fillId="8" borderId="17" xfId="7" applyFont="1" applyFill="1" applyBorder="1" applyAlignment="1">
      <alignment horizontal="right"/>
    </xf>
    <xf numFmtId="44" fontId="3" fillId="8" borderId="8" xfId="10" applyNumberFormat="1" applyFont="1" applyFill="1" applyBorder="1" applyAlignment="1">
      <alignment horizontal="right" indent="2"/>
    </xf>
    <xf numFmtId="169" fontId="3" fillId="8" borderId="8" xfId="10" applyNumberFormat="1" applyFont="1" applyFill="1" applyBorder="1" applyAlignment="1">
      <alignment horizontal="right" indent="1"/>
    </xf>
    <xf numFmtId="170" fontId="3" fillId="8" borderId="8" xfId="11" applyNumberFormat="1" applyFont="1" applyFill="1" applyBorder="1" applyAlignment="1">
      <alignment horizontal="right" indent="1"/>
    </xf>
    <xf numFmtId="0" fontId="14" fillId="8" borderId="2" xfId="7" applyFont="1" applyFill="1" applyBorder="1" applyAlignment="1">
      <alignment horizontal="right"/>
    </xf>
    <xf numFmtId="0" fontId="14" fillId="8" borderId="6" xfId="7" applyFont="1" applyFill="1" applyBorder="1" applyAlignment="1">
      <alignment horizontal="right"/>
    </xf>
    <xf numFmtId="0" fontId="14" fillId="8" borderId="9" xfId="7" applyFont="1" applyFill="1" applyBorder="1" applyAlignment="1">
      <alignment horizontal="right"/>
    </xf>
    <xf numFmtId="9" fontId="3" fillId="8" borderId="18" xfId="3" applyFont="1" applyFill="1" applyBorder="1" applyAlignment="1">
      <alignment horizontal="right" indent="2"/>
    </xf>
    <xf numFmtId="169" fontId="3" fillId="8" borderId="18" xfId="10" applyNumberFormat="1" applyFont="1" applyFill="1" applyBorder="1" applyAlignment="1">
      <alignment horizontal="right" indent="1"/>
    </xf>
    <xf numFmtId="170" fontId="3" fillId="8" borderId="18" xfId="11" applyNumberFormat="1" applyFont="1" applyFill="1" applyBorder="1" applyAlignment="1">
      <alignment horizontal="right" indent="1"/>
    </xf>
    <xf numFmtId="44" fontId="3" fillId="8" borderId="18" xfId="10" applyNumberFormat="1" applyFont="1" applyFill="1" applyBorder="1" applyAlignment="1">
      <alignment horizontal="right" indent="2"/>
    </xf>
    <xf numFmtId="0" fontId="12" fillId="8" borderId="41" xfId="7" applyFont="1" applyFill="1" applyBorder="1" applyAlignment="1">
      <alignment horizontal="right"/>
    </xf>
    <xf numFmtId="0" fontId="14" fillId="8" borderId="3" xfId="7" applyFont="1" applyFill="1" applyBorder="1" applyAlignment="1">
      <alignment horizontal="right"/>
    </xf>
    <xf numFmtId="0" fontId="14" fillId="8" borderId="7" xfId="7" applyFont="1" applyFill="1" applyBorder="1" applyAlignment="1">
      <alignment horizontal="right"/>
    </xf>
    <xf numFmtId="0" fontId="11" fillId="0" borderId="8" xfId="5" applyFont="1" applyFill="1" applyBorder="1" applyAlignment="1">
      <alignment horizontal="center"/>
    </xf>
    <xf numFmtId="41" fontId="11" fillId="0" borderId="0" xfId="5" applyNumberFormat="1" applyFont="1" applyFill="1" applyBorder="1" applyAlignment="1">
      <alignment horizontal="center"/>
    </xf>
    <xf numFmtId="0" fontId="13" fillId="8" borderId="0" xfId="0" applyFont="1" applyFill="1" applyAlignment="1">
      <alignment horizontal="center" vertical="center"/>
    </xf>
    <xf numFmtId="0" fontId="13" fillId="26" borderId="0" xfId="0" applyFont="1" applyFill="1" applyAlignment="1">
      <alignment horizontal="center" vertical="center"/>
    </xf>
    <xf numFmtId="0" fontId="0" fillId="8" borderId="0" xfId="0" applyFill="1" applyAlignment="1">
      <alignment vertical="top"/>
    </xf>
    <xf numFmtId="0" fontId="13" fillId="8" borderId="0" xfId="0" applyFont="1" applyFill="1" applyAlignment="1">
      <alignment vertical="top"/>
    </xf>
    <xf numFmtId="0" fontId="13" fillId="26" borderId="0" xfId="0" applyFont="1" applyFill="1" applyAlignment="1">
      <alignment horizontal="center" vertical="top" wrapText="1"/>
    </xf>
    <xf numFmtId="0" fontId="0" fillId="0" borderId="0" xfId="0" applyAlignment="1">
      <alignment vertical="top"/>
    </xf>
    <xf numFmtId="0" fontId="54" fillId="0" borderId="0" xfId="0" applyFont="1" applyAlignment="1">
      <alignment vertical="top"/>
    </xf>
    <xf numFmtId="0" fontId="0" fillId="0" borderId="0" xfId="0" quotePrefix="1"/>
    <xf numFmtId="0" fontId="0" fillId="0" borderId="0" xfId="0" quotePrefix="1" applyAlignment="1">
      <alignment wrapText="1"/>
    </xf>
    <xf numFmtId="0" fontId="56" fillId="0" borderId="0" xfId="0" applyFont="1"/>
    <xf numFmtId="0" fontId="56" fillId="0" borderId="0" xfId="0" applyFont="1" applyAlignment="1">
      <alignment vertical="top"/>
    </xf>
    <xf numFmtId="0" fontId="56" fillId="0" borderId="0" xfId="0" applyFont="1" applyAlignment="1">
      <alignment vertical="top" wrapText="1"/>
    </xf>
    <xf numFmtId="0" fontId="57" fillId="0" borderId="0" xfId="0" applyFont="1" applyAlignment="1">
      <alignment vertical="top"/>
    </xf>
    <xf numFmtId="0" fontId="58" fillId="0" borderId="0" xfId="0" applyFont="1" applyAlignment="1">
      <alignment vertical="top"/>
    </xf>
    <xf numFmtId="0" fontId="59" fillId="0" borderId="0" xfId="0" applyFont="1" applyAlignment="1">
      <alignment vertical="top"/>
    </xf>
    <xf numFmtId="0" fontId="56" fillId="0" borderId="0" xfId="14" applyFont="1" applyAlignment="1">
      <alignment vertical="top" wrapText="1"/>
    </xf>
    <xf numFmtId="0" fontId="55" fillId="0" borderId="0" xfId="15" applyAlignment="1" applyProtection="1">
      <alignment vertical="top"/>
    </xf>
    <xf numFmtId="0" fontId="5" fillId="6" borderId="0" xfId="0" applyFont="1" applyFill="1" applyAlignment="1">
      <alignment horizontal="center" wrapText="1"/>
    </xf>
    <xf numFmtId="0" fontId="8" fillId="22" borderId="26" xfId="0" applyFont="1" applyFill="1" applyBorder="1" applyAlignment="1">
      <alignment horizontal="center" vertical="center" wrapText="1"/>
    </xf>
    <xf numFmtId="0" fontId="8" fillId="22" borderId="27" xfId="0" applyFont="1" applyFill="1" applyBorder="1" applyAlignment="1">
      <alignment horizontal="center" vertical="center" wrapText="1"/>
    </xf>
    <xf numFmtId="0" fontId="8" fillId="22" borderId="28" xfId="0" applyFont="1" applyFill="1" applyBorder="1" applyAlignment="1">
      <alignment horizontal="center" vertical="center" wrapText="1"/>
    </xf>
    <xf numFmtId="0" fontId="42" fillId="25" borderId="0" xfId="5" applyFont="1" applyFill="1" applyBorder="1" applyAlignment="1">
      <alignment horizontal="right" vertical="center"/>
    </xf>
    <xf numFmtId="0" fontId="39" fillId="22" borderId="19" xfId="0" applyFont="1" applyFill="1" applyBorder="1" applyAlignment="1">
      <alignment horizontal="center" vertical="center" wrapText="1"/>
    </xf>
    <xf numFmtId="0" fontId="39" fillId="22" borderId="32" xfId="0" applyFont="1" applyFill="1" applyBorder="1" applyAlignment="1">
      <alignment horizontal="center" vertical="center" wrapText="1"/>
    </xf>
    <xf numFmtId="166" fontId="39" fillId="23" borderId="31" xfId="12" applyNumberFormat="1" applyFont="1" applyFill="1" applyBorder="1" applyAlignment="1">
      <alignment horizontal="center" vertical="center"/>
    </xf>
    <xf numFmtId="166" fontId="39" fillId="23" borderId="33" xfId="12" applyNumberFormat="1" applyFont="1" applyFill="1" applyBorder="1" applyAlignment="1">
      <alignment horizontal="center" vertical="center"/>
    </xf>
    <xf numFmtId="0" fontId="8" fillId="22" borderId="34" xfId="0" applyFont="1" applyFill="1" applyBorder="1" applyAlignment="1">
      <alignment horizontal="center" vertical="center" wrapText="1"/>
    </xf>
    <xf numFmtId="0" fontId="8" fillId="22" borderId="35" xfId="0" applyFont="1" applyFill="1" applyBorder="1" applyAlignment="1">
      <alignment horizontal="center" vertical="center" wrapText="1"/>
    </xf>
    <xf numFmtId="0" fontId="39" fillId="22" borderId="37" xfId="0" applyFont="1" applyFill="1" applyBorder="1" applyAlignment="1">
      <alignment horizontal="center" vertical="center" wrapText="1"/>
    </xf>
    <xf numFmtId="0" fontId="39" fillId="22" borderId="38" xfId="0" applyFont="1" applyFill="1" applyBorder="1" applyAlignment="1">
      <alignment horizontal="center" vertical="center" wrapText="1"/>
    </xf>
    <xf numFmtId="166" fontId="39" fillId="23" borderId="21" xfId="12" applyNumberFormat="1" applyFont="1" applyFill="1" applyBorder="1" applyAlignment="1">
      <alignment horizontal="center" vertical="center"/>
    </xf>
    <xf numFmtId="166" fontId="39" fillId="23" borderId="39" xfId="12" applyNumberFormat="1" applyFont="1" applyFill="1" applyBorder="1" applyAlignment="1">
      <alignment horizontal="center" vertical="center"/>
    </xf>
    <xf numFmtId="0" fontId="50" fillId="26" borderId="0" xfId="9" applyFont="1" applyFill="1" applyAlignment="1">
      <alignment horizontal="center" vertical="center" wrapText="1"/>
    </xf>
    <xf numFmtId="0" fontId="4" fillId="5" borderId="2" xfId="8" applyBorder="1" applyAlignment="1">
      <alignment horizontal="center"/>
    </xf>
    <xf numFmtId="0" fontId="4" fillId="5" borderId="12" xfId="8" applyBorder="1" applyAlignment="1">
      <alignment horizontal="center"/>
    </xf>
    <xf numFmtId="0" fontId="4" fillId="5" borderId="3" xfId="8" applyBorder="1" applyAlignment="1">
      <alignment horizontal="center"/>
    </xf>
    <xf numFmtId="0" fontId="16" fillId="26" borderId="0" xfId="9" applyFont="1" applyFill="1" applyAlignment="1">
      <alignment horizontal="center" vertical="center" wrapText="1"/>
    </xf>
  </cellXfs>
  <cellStyles count="16">
    <cellStyle name="20% - Accent1" xfId="6" builtinId="30"/>
    <cellStyle name="60% - Accent4" xfId="8" builtinId="44"/>
    <cellStyle name="Accent1" xfId="5" builtinId="29"/>
    <cellStyle name="Accent3" xfId="7" builtinId="37"/>
    <cellStyle name="Comma" xfId="1" builtinId="3"/>
    <cellStyle name="Comma 2 2" xfId="10"/>
    <cellStyle name="Currency" xfId="2" builtinId="4"/>
    <cellStyle name="Heading 1" xfId="4" builtinId="16"/>
    <cellStyle name="Hyperlink 3" xfId="15"/>
    <cellStyle name="Normal" xfId="0" builtinId="0"/>
    <cellStyle name="Normal 2" xfId="9"/>
    <cellStyle name="Normal 2 4" xfId="13"/>
    <cellStyle name="Normal 3 22" xfId="14"/>
    <cellStyle name="Percent" xfId="3" builtinId="5"/>
    <cellStyle name="Percent 2" xfId="11"/>
    <cellStyle name="Percent 3" xfId="12"/>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a:t>Balance Sheet</a:t>
            </a:r>
          </a:p>
        </c:rich>
      </c:tx>
      <c:layout>
        <c:manualLayout>
          <c:xMode val="edge"/>
          <c:yMode val="edge"/>
          <c:x val="0.38373166589470437"/>
          <c:y val="2.1069584611782682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autoTitleDeleted val="0"/>
    <c:view3D>
      <c:rotX val="0"/>
      <c:rotY val="0"/>
      <c:rAngAx val="0"/>
      <c:perspective val="0"/>
    </c:view3D>
    <c:floor>
      <c:thickness val="0"/>
      <c:spPr>
        <a:noFill/>
        <a:ln w="9525" cap="rnd" cmpd="sng" algn="ctr">
          <a:solidFill>
            <a:schemeClr val="tx1">
              <a:tint val="75000"/>
            </a:schemeClr>
          </a:solidFill>
          <a:prstDash val="solid"/>
          <a:round/>
        </a:ln>
        <a:effectLst/>
        <a:sp3d contourW="9525">
          <a:contourClr>
            <a:schemeClr val="tx1">
              <a:tint val="75000"/>
            </a:schemeClr>
          </a:contourClr>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1563791899749905"/>
          <c:y val="0.175037120359955"/>
          <c:w val="0.84931714343787834"/>
          <c:h val="0.76771078615173105"/>
        </c:manualLayout>
      </c:layout>
      <c:bar3DChart>
        <c:barDir val="col"/>
        <c:grouping val="stacked"/>
        <c:varyColors val="0"/>
        <c:ser>
          <c:idx val="0"/>
          <c:order val="0"/>
          <c:tx>
            <c:v>Current</c:v>
          </c:tx>
          <c:spPr>
            <a:solidFill>
              <a:schemeClr val="accent1"/>
            </a:solidFill>
            <a:ln>
              <a:noFill/>
            </a:ln>
            <a:effectLst/>
            <a:sp3d/>
          </c:spPr>
          <c:invertIfNegative val="0"/>
          <c:dLbls>
            <c:dLbl>
              <c:idx val="0"/>
              <c:layout/>
              <c:tx>
                <c:rich>
                  <a:bodyPr/>
                  <a:lstStyle/>
                  <a:p>
                    <a:r>
                      <a:rPr lang="en-US"/>
                      <a:t>Current Assets</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C9D-45B3-80AC-92AAF43C523E}"/>
                </c:ext>
              </c:extLst>
            </c:dLbl>
            <c:dLbl>
              <c:idx val="1"/>
              <c:layout/>
              <c:tx>
                <c:rich>
                  <a:bodyPr/>
                  <a:lstStyle/>
                  <a:p>
                    <a:r>
                      <a:rPr lang="en-US"/>
                      <a:t>Current</a:t>
                    </a:r>
                    <a:r>
                      <a:rPr lang="en-US" baseline="0"/>
                      <a:t> Liabilities</a:t>
                    </a:r>
                    <a:endParaRPr 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C9D-45B3-80AC-92AAF43C523E}"/>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rnd" cmpd="sng" algn="ctr">
                      <a:solidFill>
                        <a:schemeClr val="tx1"/>
                      </a:solidFill>
                      <a:prstDash val="solid"/>
                      <a:round/>
                    </a:ln>
                    <a:effectLst/>
                  </c:spPr>
                </c15:leaderLines>
              </c:ext>
            </c:extLst>
          </c:dLbls>
          <c:cat>
            <c:strRef>
              <c:f>'Balance Sheet'!$L$12:$L$13</c:f>
              <c:strCache>
                <c:ptCount val="2"/>
                <c:pt idx="0">
                  <c:v>ASSETS</c:v>
                </c:pt>
                <c:pt idx="1">
                  <c:v>LIABILITIES AND EQUITY</c:v>
                </c:pt>
              </c:strCache>
            </c:strRef>
          </c:cat>
          <c:val>
            <c:numRef>
              <c:f>'Balance Sheet'!$L$10:$L$11</c:f>
              <c:numCache>
                <c:formatCode>_(* #,##0.00_);_(* \(#,##0.00\);_(* "-"??_);_(@_)</c:formatCode>
                <c:ptCount val="2"/>
                <c:pt idx="0" formatCode="_(* #,##0_);_(* \(#,##0\);_(* &quot;-&quot;??_);_(@_)">
                  <c:v>2859737.06</c:v>
                </c:pt>
                <c:pt idx="1">
                  <c:v>2096088.7499999995</c:v>
                </c:pt>
              </c:numCache>
            </c:numRef>
          </c:val>
          <c:extLst>
            <c:ext xmlns:c16="http://schemas.microsoft.com/office/drawing/2014/chart" uri="{C3380CC4-5D6E-409C-BE32-E72D297353CC}">
              <c16:uniqueId val="{00000002-FC9D-45B3-80AC-92AAF43C523E}"/>
            </c:ext>
          </c:extLst>
        </c:ser>
        <c:ser>
          <c:idx val="1"/>
          <c:order val="1"/>
          <c:tx>
            <c:v>Fixed</c:v>
          </c:tx>
          <c:spPr>
            <a:solidFill>
              <a:schemeClr val="accent3"/>
            </a:solidFill>
            <a:ln>
              <a:noFill/>
            </a:ln>
            <a:effectLst/>
            <a:sp3d/>
          </c:spPr>
          <c:invertIfNegative val="0"/>
          <c:dLbls>
            <c:dLbl>
              <c:idx val="0"/>
              <c:layout/>
              <c:tx>
                <c:rich>
                  <a:bodyPr/>
                  <a:lstStyle/>
                  <a:p>
                    <a:r>
                      <a:rPr lang="en-US"/>
                      <a:t>Fixed Assets</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C9D-45B3-80AC-92AAF43C523E}"/>
                </c:ext>
              </c:extLst>
            </c:dLbl>
            <c:dLbl>
              <c:idx val="1"/>
              <c:layout/>
              <c:tx>
                <c:rich>
                  <a:bodyPr/>
                  <a:lstStyle/>
                  <a:p>
                    <a:r>
                      <a:rPr lang="en-US"/>
                      <a:t>Long</a:t>
                    </a:r>
                    <a:r>
                      <a:rPr lang="en-US" baseline="0"/>
                      <a:t> Term Liability</a:t>
                    </a:r>
                    <a:endParaRPr 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C9D-45B3-80AC-92AAF43C523E}"/>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rnd" cmpd="sng" algn="ctr">
                      <a:solidFill>
                        <a:schemeClr val="tx1"/>
                      </a:solidFill>
                      <a:prstDash val="solid"/>
                      <a:round/>
                    </a:ln>
                    <a:effectLst/>
                  </c:spPr>
                </c15:leaderLines>
              </c:ext>
            </c:extLst>
          </c:dLbls>
          <c:cat>
            <c:strRef>
              <c:f>'Balance Sheet'!$L$12:$L$13</c:f>
              <c:strCache>
                <c:ptCount val="2"/>
                <c:pt idx="0">
                  <c:v>ASSETS</c:v>
                </c:pt>
                <c:pt idx="1">
                  <c:v>LIABILITIES AND EQUITY</c:v>
                </c:pt>
              </c:strCache>
            </c:strRef>
          </c:cat>
          <c:val>
            <c:numRef>
              <c:f>'Balance Sheet'!$M$10:$M$11</c:f>
              <c:numCache>
                <c:formatCode>_(* #,##0.00_);_(* \(#,##0.00\);_(* "-"??_);_(@_)</c:formatCode>
                <c:ptCount val="2"/>
                <c:pt idx="0" formatCode="_(* #,##0_);_(* \(#,##0\);_(* &quot;-&quot;??_);_(@_)">
                  <c:v>1245567.1600000001</c:v>
                </c:pt>
                <c:pt idx="1">
                  <c:v>326890.95</c:v>
                </c:pt>
              </c:numCache>
            </c:numRef>
          </c:val>
          <c:extLst>
            <c:ext xmlns:c16="http://schemas.microsoft.com/office/drawing/2014/chart" uri="{C3380CC4-5D6E-409C-BE32-E72D297353CC}">
              <c16:uniqueId val="{00000005-FC9D-45B3-80AC-92AAF43C523E}"/>
            </c:ext>
          </c:extLst>
        </c:ser>
        <c:ser>
          <c:idx val="2"/>
          <c:order val="2"/>
          <c:tx>
            <c:v>Equity</c:v>
          </c:tx>
          <c:spPr>
            <a:solidFill>
              <a:schemeClr val="accent5"/>
            </a:solidFill>
            <a:ln>
              <a:noFill/>
            </a:ln>
            <a:effectLst/>
            <a:sp3d/>
          </c:spPr>
          <c:invertIfNegative val="0"/>
          <c:dLbls>
            <c:dLbl>
              <c:idx val="1"/>
              <c:layout/>
              <c:tx>
                <c:rich>
                  <a:bodyPr/>
                  <a:lstStyle/>
                  <a:p>
                    <a:r>
                      <a:rPr lang="en-US"/>
                      <a:t>Equity</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FC9D-45B3-80AC-92AAF43C523E}"/>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rnd" cmpd="sng" algn="ctr">
                      <a:solidFill>
                        <a:schemeClr val="tx1"/>
                      </a:solidFill>
                      <a:prstDash val="solid"/>
                      <a:round/>
                    </a:ln>
                    <a:effectLst/>
                  </c:spPr>
                </c15:leaderLines>
              </c:ext>
            </c:extLst>
          </c:dLbls>
          <c:cat>
            <c:strRef>
              <c:f>'Balance Sheet'!$L$12:$L$13</c:f>
              <c:strCache>
                <c:ptCount val="2"/>
                <c:pt idx="0">
                  <c:v>ASSETS</c:v>
                </c:pt>
                <c:pt idx="1">
                  <c:v>LIABILITIES AND EQUITY</c:v>
                </c:pt>
              </c:strCache>
            </c:strRef>
          </c:cat>
          <c:val>
            <c:numRef>
              <c:f>'Balance Sheet'!$N$10:$N$11</c:f>
              <c:numCache>
                <c:formatCode>_(* #,##0.00_);_(* \(#,##0.00\);_(* "-"??_);_(@_)</c:formatCode>
                <c:ptCount val="2"/>
                <c:pt idx="1">
                  <c:v>1682324.52</c:v>
                </c:pt>
              </c:numCache>
            </c:numRef>
          </c:val>
          <c:extLst>
            <c:ext xmlns:c16="http://schemas.microsoft.com/office/drawing/2014/chart" uri="{C3380CC4-5D6E-409C-BE32-E72D297353CC}">
              <c16:uniqueId val="{00000007-FC9D-45B3-80AC-92AAF43C523E}"/>
            </c:ext>
          </c:extLst>
        </c:ser>
        <c:dLbls>
          <c:showLegendKey val="0"/>
          <c:showVal val="0"/>
          <c:showCatName val="0"/>
          <c:showSerName val="0"/>
          <c:showPercent val="0"/>
          <c:showBubbleSize val="0"/>
        </c:dLbls>
        <c:gapWidth val="5"/>
        <c:shape val="cylinder"/>
        <c:axId val="501448536"/>
        <c:axId val="501447752"/>
        <c:axId val="0"/>
      </c:bar3DChart>
      <c:catAx>
        <c:axId val="501448536"/>
        <c:scaling>
          <c:orientation val="minMax"/>
        </c:scaling>
        <c:delete val="1"/>
        <c:axPos val="b"/>
        <c:title>
          <c:tx>
            <c:rich>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sz="1200" b="0"/>
                  <a:t>Assets                                     Liabilities</a:t>
                </a:r>
              </a:p>
            </c:rich>
          </c:tx>
          <c:layout>
            <c:manualLayout>
              <c:xMode val="edge"/>
              <c:yMode val="edge"/>
              <c:x val="0.27669318861303333"/>
              <c:y val="0.939855789386428"/>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one"/>
        <c:crossAx val="501447752"/>
        <c:crosses val="autoZero"/>
        <c:auto val="1"/>
        <c:lblAlgn val="ctr"/>
        <c:lblOffset val="100"/>
        <c:noMultiLvlLbl val="0"/>
      </c:catAx>
      <c:valAx>
        <c:axId val="501447752"/>
        <c:scaling>
          <c:orientation val="minMax"/>
        </c:scaling>
        <c:delete val="0"/>
        <c:axPos val="l"/>
        <c:numFmt formatCode="#,##0" sourceLinked="0"/>
        <c:majorTickMark val="out"/>
        <c:minorTickMark val="none"/>
        <c:tickLblPos val="nextTo"/>
        <c:spPr>
          <a:noFill/>
          <a:ln w="9525" cap="rnd" cmpd="sng" algn="ctr">
            <a:solidFill>
              <a:schemeClr val="tx1">
                <a:tint val="7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1448536"/>
        <c:crosses val="autoZero"/>
        <c:crossBetween val="between"/>
        <c:dispUnits>
          <c:builtInUnit val="millions"/>
          <c:dispUnitsLbl>
            <c:layout/>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rnd" cmpd="sng" algn="ctr">
      <a:noFill/>
      <a:prstDash val="solid"/>
      <a:round/>
    </a:ln>
    <a:effectLst/>
  </c:spPr>
  <c:txPr>
    <a:bodyPr/>
    <a:lstStyle/>
    <a:p>
      <a:pPr>
        <a:defRPr/>
      </a:pPr>
      <a:endParaRPr lang="en-US"/>
    </a:p>
  </c:txPr>
  <c:printSettings>
    <c:headerFooter/>
    <c:pageMargins b="0.75000000000000178" l="0.70000000000000062" r="0.70000000000000062" t="0.75000000000000178"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8</xdr:col>
      <xdr:colOff>156882</xdr:colOff>
      <xdr:row>15</xdr:row>
      <xdr:rowOff>11205</xdr:rowOff>
    </xdr:from>
    <xdr:to>
      <xdr:col>8</xdr:col>
      <xdr:colOff>435767</xdr:colOff>
      <xdr:row>26</xdr:row>
      <xdr:rowOff>78440</xdr:rowOff>
    </xdr:to>
    <xdr:sp macro="" textlink="">
      <xdr:nvSpPr>
        <xdr:cNvPr id="2" name="Right Brace 1"/>
        <xdr:cNvSpPr/>
      </xdr:nvSpPr>
      <xdr:spPr>
        <a:xfrm>
          <a:off x="10110507" y="4659405"/>
          <a:ext cx="278885" cy="2677085"/>
        </a:xfrm>
        <a:prstGeom prst="rightBrace">
          <a:avLst>
            <a:gd name="adj1" fmla="val 8333"/>
            <a:gd name="adj2" fmla="val 65871"/>
          </a:avLst>
        </a:prstGeom>
        <a:noFill/>
        <a:ln w="47625" cap="flat" cmpd="sng" algn="ctr">
          <a:solidFill>
            <a:srgbClr val="0074AB">
              <a:shade val="95000"/>
              <a:satMod val="105000"/>
            </a:srgbClr>
          </a:solidFill>
          <a:prstDash val="solid"/>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twoCellAnchor>
  <xdr:twoCellAnchor>
    <xdr:from>
      <xdr:col>9</xdr:col>
      <xdr:colOff>2071687</xdr:colOff>
      <xdr:row>10</xdr:row>
      <xdr:rowOff>33422</xdr:rowOff>
    </xdr:from>
    <xdr:to>
      <xdr:col>10</xdr:col>
      <xdr:colOff>585107</xdr:colOff>
      <xdr:row>27</xdr:row>
      <xdr:rowOff>1</xdr:rowOff>
    </xdr:to>
    <xdr:sp macro="" textlink="">
      <xdr:nvSpPr>
        <xdr:cNvPr id="3" name="Right Brace 2"/>
        <xdr:cNvSpPr/>
      </xdr:nvSpPr>
      <xdr:spPr>
        <a:xfrm>
          <a:off x="12711112" y="3500522"/>
          <a:ext cx="1018495" cy="3995654"/>
        </a:xfrm>
        <a:prstGeom prst="rightBrace">
          <a:avLst/>
        </a:prstGeom>
        <a:noFill/>
        <a:ln w="47625" cap="flat" cmpd="sng" algn="ctr">
          <a:solidFill>
            <a:srgbClr val="0074AB">
              <a:shade val="95000"/>
              <a:satMod val="105000"/>
            </a:srgbClr>
          </a:solidFill>
          <a:prstDash val="solid"/>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twoCellAnchor>
  <xdr:twoCellAnchor>
    <xdr:from>
      <xdr:col>3</xdr:col>
      <xdr:colOff>308615</xdr:colOff>
      <xdr:row>9</xdr:row>
      <xdr:rowOff>67339</xdr:rowOff>
    </xdr:from>
    <xdr:to>
      <xdr:col>3</xdr:col>
      <xdr:colOff>598915</xdr:colOff>
      <xdr:row>12</xdr:row>
      <xdr:rowOff>156883</xdr:rowOff>
    </xdr:to>
    <xdr:sp macro="" textlink="">
      <xdr:nvSpPr>
        <xdr:cNvPr id="4" name="Up Arrow 3"/>
        <xdr:cNvSpPr/>
      </xdr:nvSpPr>
      <xdr:spPr>
        <a:xfrm rot="10800000">
          <a:off x="2366015" y="2839114"/>
          <a:ext cx="290300" cy="1251594"/>
        </a:xfrm>
        <a:prstGeom prst="upArrow">
          <a:avLst/>
        </a:prstGeom>
        <a:gradFill rotWithShape="1">
          <a:gsLst>
            <a:gs pos="0">
              <a:srgbClr val="00AEEF">
                <a:shade val="51000"/>
                <a:satMod val="130000"/>
              </a:srgbClr>
            </a:gs>
            <a:gs pos="80000">
              <a:srgbClr val="00AEEF">
                <a:shade val="93000"/>
                <a:satMod val="130000"/>
              </a:srgbClr>
            </a:gs>
            <a:gs pos="100000">
              <a:srgbClr val="00AEEF">
                <a:shade val="94000"/>
                <a:satMod val="135000"/>
              </a:srgb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3</xdr:col>
      <xdr:colOff>315337</xdr:colOff>
      <xdr:row>14</xdr:row>
      <xdr:rowOff>85277</xdr:rowOff>
    </xdr:from>
    <xdr:to>
      <xdr:col>3</xdr:col>
      <xdr:colOff>605637</xdr:colOff>
      <xdr:row>17</xdr:row>
      <xdr:rowOff>163615</xdr:rowOff>
    </xdr:to>
    <xdr:sp macro="" textlink="">
      <xdr:nvSpPr>
        <xdr:cNvPr id="5" name="Up Arrow 4"/>
        <xdr:cNvSpPr/>
      </xdr:nvSpPr>
      <xdr:spPr>
        <a:xfrm rot="10800000">
          <a:off x="2372737" y="4485827"/>
          <a:ext cx="290300" cy="802238"/>
        </a:xfrm>
        <a:prstGeom prst="upArrow">
          <a:avLst/>
        </a:prstGeom>
        <a:gradFill rotWithShape="1">
          <a:gsLst>
            <a:gs pos="0">
              <a:srgbClr val="00AEEF">
                <a:shade val="51000"/>
                <a:satMod val="130000"/>
              </a:srgbClr>
            </a:gs>
            <a:gs pos="80000">
              <a:srgbClr val="00AEEF">
                <a:shade val="93000"/>
                <a:satMod val="130000"/>
              </a:srgbClr>
            </a:gs>
            <a:gs pos="100000">
              <a:srgbClr val="00AEEF">
                <a:shade val="94000"/>
                <a:satMod val="135000"/>
              </a:srgb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3</xdr:col>
      <xdr:colOff>315337</xdr:colOff>
      <xdr:row>19</xdr:row>
      <xdr:rowOff>74081</xdr:rowOff>
    </xdr:from>
    <xdr:to>
      <xdr:col>3</xdr:col>
      <xdr:colOff>605637</xdr:colOff>
      <xdr:row>22</xdr:row>
      <xdr:rowOff>163625</xdr:rowOff>
    </xdr:to>
    <xdr:sp macro="" textlink="">
      <xdr:nvSpPr>
        <xdr:cNvPr id="6" name="Up Arrow 5"/>
        <xdr:cNvSpPr/>
      </xdr:nvSpPr>
      <xdr:spPr>
        <a:xfrm rot="10800000">
          <a:off x="2372737" y="5674781"/>
          <a:ext cx="290300" cy="803919"/>
        </a:xfrm>
        <a:prstGeom prst="upArrow">
          <a:avLst/>
        </a:prstGeom>
        <a:gradFill rotWithShape="1">
          <a:gsLst>
            <a:gs pos="0">
              <a:srgbClr val="00AEEF">
                <a:shade val="51000"/>
                <a:satMod val="130000"/>
              </a:srgbClr>
            </a:gs>
            <a:gs pos="80000">
              <a:srgbClr val="00AEEF">
                <a:shade val="93000"/>
                <a:satMod val="130000"/>
              </a:srgbClr>
            </a:gs>
            <a:gs pos="100000">
              <a:srgbClr val="00AEEF">
                <a:shade val="94000"/>
                <a:satMod val="135000"/>
              </a:srgb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3</xdr:col>
      <xdr:colOff>322059</xdr:colOff>
      <xdr:row>24</xdr:row>
      <xdr:rowOff>58401</xdr:rowOff>
    </xdr:from>
    <xdr:to>
      <xdr:col>3</xdr:col>
      <xdr:colOff>612359</xdr:colOff>
      <xdr:row>27</xdr:row>
      <xdr:rowOff>192768</xdr:rowOff>
    </xdr:to>
    <xdr:sp macro="" textlink="">
      <xdr:nvSpPr>
        <xdr:cNvPr id="7" name="Up Arrow 6"/>
        <xdr:cNvSpPr/>
      </xdr:nvSpPr>
      <xdr:spPr>
        <a:xfrm rot="10800000">
          <a:off x="2379459" y="6840201"/>
          <a:ext cx="290300" cy="848742"/>
        </a:xfrm>
        <a:prstGeom prst="upArrow">
          <a:avLst/>
        </a:prstGeom>
        <a:gradFill rotWithShape="1">
          <a:gsLst>
            <a:gs pos="0">
              <a:srgbClr val="00AEEF">
                <a:shade val="51000"/>
                <a:satMod val="130000"/>
              </a:srgbClr>
            </a:gs>
            <a:gs pos="80000">
              <a:srgbClr val="00AEEF">
                <a:shade val="93000"/>
                <a:satMod val="130000"/>
              </a:srgbClr>
            </a:gs>
            <a:gs pos="100000">
              <a:srgbClr val="00AEEF">
                <a:shade val="94000"/>
                <a:satMod val="135000"/>
              </a:srgb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472167</xdr:colOff>
      <xdr:row>5</xdr:row>
      <xdr:rowOff>160564</xdr:rowOff>
    </xdr:from>
    <xdr:to>
      <xdr:col>14</xdr:col>
      <xdr:colOff>81644</xdr:colOff>
      <xdr:row>136</xdr:row>
      <xdr:rowOff>190498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1028700</xdr:colOff>
      <xdr:row>7</xdr:row>
      <xdr:rowOff>9525</xdr:rowOff>
    </xdr:from>
    <xdr:to>
      <xdr:col>2</xdr:col>
      <xdr:colOff>1038225</xdr:colOff>
      <xdr:row>8</xdr:row>
      <xdr:rowOff>161925</xdr:rowOff>
    </xdr:to>
    <xdr:cxnSp macro="">
      <xdr:nvCxnSpPr>
        <xdr:cNvPr id="4" name="Straight Arrow Connector 3"/>
        <xdr:cNvCxnSpPr/>
      </xdr:nvCxnSpPr>
      <xdr:spPr>
        <a:xfrm flipH="1">
          <a:off x="4457700" y="1895475"/>
          <a:ext cx="9525" cy="3619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_rels/themeOverrid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emeamajig">
  <a:themeElements>
    <a:clrScheme name="Green Yellow">
      <a:dk1>
        <a:sysClr val="windowText" lastClr="000000"/>
      </a:dk1>
      <a:lt1>
        <a:sysClr val="window" lastClr="FFFFFF"/>
      </a:lt1>
      <a:dk2>
        <a:srgbClr val="455F51"/>
      </a:dk2>
      <a:lt2>
        <a:srgbClr val="E2DFCC"/>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977B2D"/>
      </a:folHlink>
    </a:clrScheme>
    <a:fontScheme name="Ion Boardroom">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Boardroom">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8000"/>
                <a:hueMod val="124000"/>
                <a:satMod val="148000"/>
                <a:lumMod val="124000"/>
              </a:schemeClr>
            </a:gs>
            <a:gs pos="100000">
              <a:schemeClr val="phClr">
                <a:shade val="76000"/>
                <a:hueMod val="89000"/>
                <a:satMod val="164000"/>
                <a:lumMod val="56000"/>
              </a:schemeClr>
            </a:gs>
          </a:gsLst>
          <a:path path="circle">
            <a:fillToRect l="45000" t="65000" r="125000" b="100000"/>
          </a:path>
        </a:gradFill>
        <a:blipFill rotWithShape="1">
          <a:blip xmlns:r="http://schemas.openxmlformats.org/officeDocument/2006/relationships" r:embed="rId1">
            <a:duotone>
              <a:schemeClr val="phClr">
                <a:shade val="69000"/>
                <a:hueMod val="91000"/>
                <a:satMod val="164000"/>
                <a:lumMod val="74000"/>
              </a:schemeClr>
              <a:schemeClr val="phClr">
                <a:hueMod val="124000"/>
                <a:satMod val="140000"/>
                <a:lumMod val="142000"/>
              </a:schemeClr>
            </a:duotone>
          </a:blip>
          <a:stretch/>
        </a:blipFill>
      </a:bgFillStyleLst>
    </a:fmtScheme>
  </a:themeElements>
  <a:objectDefaults/>
  <a:extraClrSchemeLst/>
  <a:extLst>
    <a:ext uri="{05A4C25C-085E-4340-85A3-A5531E510DB2}">
      <thm15:themeFamily xmlns:thm15="http://schemas.microsoft.com/office/thememl/2012/main" name="Ion Boardroom" id="{FC33163D-4339-46B1-8EED-24C834239D99}" vid="{B8502691-933B-45FE-8764-BA278511EF27}"/>
    </a:ext>
  </a:extLst>
</a:theme>
</file>

<file path=xl/theme/themeOverride1.xml><?xml version="1.0" encoding="utf-8"?>
<a:themeOverride xmlns:a="http://schemas.openxmlformats.org/drawingml/2006/main">
  <a:clrScheme name="Green Yellow">
    <a:dk1>
      <a:sysClr val="windowText" lastClr="000000"/>
    </a:dk1>
    <a:lt1>
      <a:sysClr val="window" lastClr="FFFFFF"/>
    </a:lt1>
    <a:dk2>
      <a:srgbClr val="455F51"/>
    </a:dk2>
    <a:lt2>
      <a:srgbClr val="E2DFCC"/>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977B2D"/>
    </a:folHlink>
  </a:clrScheme>
  <a:fontScheme name="Ion Boardroom">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Boardroom">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8000"/>
              <a:hueMod val="124000"/>
              <a:satMod val="148000"/>
              <a:lumMod val="124000"/>
            </a:schemeClr>
          </a:gs>
          <a:gs pos="100000">
            <a:schemeClr val="phClr">
              <a:shade val="76000"/>
              <a:hueMod val="89000"/>
              <a:satMod val="164000"/>
              <a:lumMod val="56000"/>
            </a:schemeClr>
          </a:gs>
        </a:gsLst>
        <a:path path="circle">
          <a:fillToRect l="45000" t="65000" r="125000" b="100000"/>
        </a:path>
      </a:gradFill>
      <a:blipFill rotWithShape="1">
        <a:blip xmlns:r="http://schemas.openxmlformats.org/officeDocument/2006/relationships" r:embed="rId1">
          <a:duotone>
            <a:schemeClr val="phClr">
              <a:shade val="69000"/>
              <a:hueMod val="91000"/>
              <a:satMod val="164000"/>
              <a:lumMod val="74000"/>
            </a:schemeClr>
            <a:schemeClr val="phClr">
              <a:hueMod val="124000"/>
              <a:satMod val="140000"/>
              <a:lumMod val="142000"/>
            </a:schemeClr>
          </a:duotone>
        </a:blip>
        <a:stretch/>
      </a:blip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52" hidden="1" customWidth="1"/>
    <col min="2" max="2" width="9" style="252" customWidth="1"/>
    <col min="3" max="3" width="23.75" style="253" customWidth="1"/>
    <col min="4" max="4" width="67.625" style="254" customWidth="1"/>
    <col min="5" max="5" width="31.875" style="252" customWidth="1"/>
    <col min="6" max="16384" width="8" style="252"/>
  </cols>
  <sheetData>
    <row r="1" spans="1:5" hidden="1" x14ac:dyDescent="0.25">
      <c r="A1" s="252" t="s">
        <v>3526</v>
      </c>
    </row>
    <row r="7" spans="1:5" ht="30.75" x14ac:dyDescent="0.25">
      <c r="C7" s="255" t="s">
        <v>160</v>
      </c>
    </row>
    <row r="9" spans="1:5" x14ac:dyDescent="0.25">
      <c r="C9" s="256"/>
    </row>
    <row r="10" spans="1:5" x14ac:dyDescent="0.25">
      <c r="C10" s="257" t="s">
        <v>161</v>
      </c>
      <c r="D10" s="258" t="s">
        <v>3543</v>
      </c>
    </row>
    <row r="11" spans="1:5" x14ac:dyDescent="0.25">
      <c r="C11" s="257"/>
    </row>
    <row r="12" spans="1:5" ht="71.25" x14ac:dyDescent="0.25">
      <c r="C12" s="257" t="s">
        <v>162</v>
      </c>
      <c r="D12" s="254" t="s">
        <v>3544</v>
      </c>
    </row>
    <row r="13" spans="1:5" x14ac:dyDescent="0.25">
      <c r="C13" s="257"/>
    </row>
    <row r="14" spans="1:5" ht="57" x14ac:dyDescent="0.25">
      <c r="C14" s="257" t="s">
        <v>163</v>
      </c>
      <c r="D14" s="254" t="s">
        <v>3527</v>
      </c>
      <c r="E14" s="259" t="s">
        <v>3528</v>
      </c>
    </row>
    <row r="15" spans="1:5" x14ac:dyDescent="0.25">
      <c r="C15" s="257"/>
      <c r="E15" s="253"/>
    </row>
    <row r="16" spans="1:5" ht="28.5" x14ac:dyDescent="0.25">
      <c r="C16" s="257" t="s">
        <v>3529</v>
      </c>
      <c r="D16" s="254" t="s">
        <v>3530</v>
      </c>
      <c r="E16" s="259" t="s">
        <v>3531</v>
      </c>
    </row>
    <row r="17" spans="3:5" x14ac:dyDescent="0.25">
      <c r="C17" s="257"/>
      <c r="E17" s="253"/>
    </row>
    <row r="18" spans="3:5" ht="57" x14ac:dyDescent="0.25">
      <c r="C18" s="257" t="s">
        <v>3532</v>
      </c>
      <c r="D18" s="254" t="s">
        <v>3533</v>
      </c>
      <c r="E18" s="259" t="s">
        <v>3534</v>
      </c>
    </row>
    <row r="19" spans="3:5" x14ac:dyDescent="0.25">
      <c r="C19" s="257"/>
      <c r="E19" s="253"/>
    </row>
    <row r="20" spans="3:5" ht="30.75" customHeight="1" x14ac:dyDescent="0.25">
      <c r="C20" s="257" t="s">
        <v>164</v>
      </c>
      <c r="D20" s="254" t="s">
        <v>3535</v>
      </c>
      <c r="E20" s="259" t="s">
        <v>3536</v>
      </c>
    </row>
    <row r="21" spans="3:5" x14ac:dyDescent="0.25">
      <c r="C21" s="257"/>
      <c r="E21" s="253"/>
    </row>
    <row r="22" spans="3:5" ht="14.25" customHeight="1" x14ac:dyDescent="0.25">
      <c r="C22" s="257" t="s">
        <v>165</v>
      </c>
      <c r="D22" s="254" t="s">
        <v>3537</v>
      </c>
      <c r="E22" s="259" t="s">
        <v>3538</v>
      </c>
    </row>
    <row r="23" spans="3:5" x14ac:dyDescent="0.25">
      <c r="C23" s="257"/>
      <c r="E23" s="253"/>
    </row>
    <row r="24" spans="3:5" ht="15" customHeight="1" x14ac:dyDescent="0.25">
      <c r="C24" s="257" t="s">
        <v>20</v>
      </c>
      <c r="D24" s="254" t="s">
        <v>3539</v>
      </c>
      <c r="E24" s="259" t="s">
        <v>3540</v>
      </c>
    </row>
    <row r="25" spans="3:5" x14ac:dyDescent="0.25">
      <c r="C25" s="257"/>
    </row>
    <row r="26" spans="3:5" ht="71.25" x14ac:dyDescent="0.25">
      <c r="C26" s="257" t="s">
        <v>166</v>
      </c>
      <c r="D26" s="254" t="s">
        <v>3541</v>
      </c>
    </row>
    <row r="27" spans="3:5" x14ac:dyDescent="0.25">
      <c r="C27" s="257"/>
    </row>
    <row r="28" spans="3:5" ht="17.25" customHeight="1" x14ac:dyDescent="0.25">
      <c r="C28" s="257" t="s">
        <v>167</v>
      </c>
      <c r="D28" s="254" t="s">
        <v>3542</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workbookViewId="0"/>
  </sheetViews>
  <sheetFormatPr defaultRowHeight="16.5" x14ac:dyDescent="0.3"/>
  <sheetData>
    <row r="1" spans="1:10" x14ac:dyDescent="0.3">
      <c r="A1" s="250" t="s">
        <v>3547</v>
      </c>
      <c r="B1" s="250" t="s">
        <v>11</v>
      </c>
      <c r="D1" s="250" t="s">
        <v>12</v>
      </c>
      <c r="E1" s="250" t="s">
        <v>12</v>
      </c>
      <c r="F1" s="250" t="s">
        <v>12</v>
      </c>
      <c r="G1" s="250" t="s">
        <v>12</v>
      </c>
      <c r="H1" s="250" t="s">
        <v>12</v>
      </c>
      <c r="I1" s="250" t="s">
        <v>12</v>
      </c>
      <c r="J1" s="250" t="s">
        <v>12</v>
      </c>
    </row>
    <row r="2" spans="1:10" x14ac:dyDescent="0.3">
      <c r="A2" s="250" t="s">
        <v>65</v>
      </c>
      <c r="G2" s="250" t="s">
        <v>43</v>
      </c>
      <c r="H2" s="250" t="s">
        <v>43</v>
      </c>
      <c r="I2" s="250" t="s">
        <v>43</v>
      </c>
      <c r="J2" s="250" t="s">
        <v>43</v>
      </c>
    </row>
    <row r="3" spans="1:10" x14ac:dyDescent="0.3">
      <c r="B3" s="250" t="s">
        <v>156</v>
      </c>
    </row>
    <row r="4" spans="1:10" x14ac:dyDescent="0.3">
      <c r="D4" s="250" t="s">
        <v>13</v>
      </c>
      <c r="I4" s="250" t="s">
        <v>42</v>
      </c>
      <c r="J4" s="250" t="s">
        <v>174</v>
      </c>
    </row>
    <row r="5" spans="1:10" x14ac:dyDescent="0.3">
      <c r="I5" s="250" t="s">
        <v>41</v>
      </c>
      <c r="J5" s="250" t="s">
        <v>175</v>
      </c>
    </row>
    <row r="6" spans="1:10" x14ac:dyDescent="0.3">
      <c r="G6" s="250" t="s">
        <v>14</v>
      </c>
      <c r="H6" s="250" t="s">
        <v>176</v>
      </c>
    </row>
    <row r="8" spans="1:10" x14ac:dyDescent="0.3">
      <c r="G8" s="250" t="s">
        <v>15</v>
      </c>
      <c r="H8" s="250" t="s">
        <v>16</v>
      </c>
      <c r="I8" s="250" t="s">
        <v>154</v>
      </c>
      <c r="J8" s="250" t="s">
        <v>155</v>
      </c>
    </row>
    <row r="9" spans="1:10" x14ac:dyDescent="0.3">
      <c r="D9" s="250" t="s">
        <v>17</v>
      </c>
    </row>
    <row r="10" spans="1:10" x14ac:dyDescent="0.3">
      <c r="B10" s="250" t="s">
        <v>177</v>
      </c>
      <c r="D10" s="250" t="s">
        <v>178</v>
      </c>
      <c r="G10" s="250" t="s">
        <v>179</v>
      </c>
      <c r="H10" s="250" t="s">
        <v>180</v>
      </c>
      <c r="I10" s="250" t="s">
        <v>181</v>
      </c>
      <c r="J10" s="250" t="s">
        <v>182</v>
      </c>
    </row>
    <row r="11" spans="1:10" x14ac:dyDescent="0.3">
      <c r="E11" s="250" t="s">
        <v>183</v>
      </c>
      <c r="F11" s="250" t="s">
        <v>184</v>
      </c>
      <c r="G11" s="250" t="s">
        <v>185</v>
      </c>
      <c r="H11" s="250" t="s">
        <v>186</v>
      </c>
      <c r="I11" s="250" t="s">
        <v>187</v>
      </c>
      <c r="J11" s="250" t="s">
        <v>188</v>
      </c>
    </row>
    <row r="13" spans="1:10" x14ac:dyDescent="0.3">
      <c r="B13" s="250" t="s">
        <v>189</v>
      </c>
      <c r="D13" s="250" t="s">
        <v>190</v>
      </c>
      <c r="G13" s="250" t="s">
        <v>191</v>
      </c>
      <c r="H13" s="250" t="s">
        <v>192</v>
      </c>
      <c r="I13" s="250" t="s">
        <v>193</v>
      </c>
      <c r="J13" s="250" t="s">
        <v>194</v>
      </c>
    </row>
    <row r="14" spans="1:10" x14ac:dyDescent="0.3">
      <c r="E14" s="250" t="s">
        <v>195</v>
      </c>
      <c r="F14" s="250" t="s">
        <v>196</v>
      </c>
      <c r="G14" s="250" t="s">
        <v>197</v>
      </c>
      <c r="H14" s="250" t="s">
        <v>198</v>
      </c>
      <c r="I14" s="250" t="s">
        <v>199</v>
      </c>
      <c r="J14" s="250" t="s">
        <v>200</v>
      </c>
    </row>
    <row r="16" spans="1:10" x14ac:dyDescent="0.3">
      <c r="F16" s="250" t="s">
        <v>18</v>
      </c>
      <c r="G16" s="250" t="s">
        <v>201</v>
      </c>
      <c r="H16" s="250" t="s">
        <v>202</v>
      </c>
      <c r="I16" s="250" t="s">
        <v>203</v>
      </c>
      <c r="J16" s="250" t="s">
        <v>204</v>
      </c>
    </row>
    <row r="18" spans="2:10" x14ac:dyDescent="0.3">
      <c r="B18" s="250" t="s">
        <v>205</v>
      </c>
      <c r="D18" s="250" t="s">
        <v>206</v>
      </c>
      <c r="G18" s="250" t="s">
        <v>207</v>
      </c>
      <c r="H18" s="250" t="s">
        <v>208</v>
      </c>
      <c r="I18" s="250" t="s">
        <v>209</v>
      </c>
      <c r="J18" s="250" t="s">
        <v>210</v>
      </c>
    </row>
    <row r="19" spans="2:10" x14ac:dyDescent="0.3">
      <c r="E19" s="250" t="s">
        <v>211</v>
      </c>
      <c r="F19" s="250" t="s">
        <v>212</v>
      </c>
      <c r="G19" s="250" t="s">
        <v>213</v>
      </c>
      <c r="H19" s="250" t="s">
        <v>214</v>
      </c>
      <c r="I19" s="250" t="s">
        <v>215</v>
      </c>
      <c r="J19" s="250" t="s">
        <v>216</v>
      </c>
    </row>
    <row r="21" spans="2:10" x14ac:dyDescent="0.3">
      <c r="F21" s="250" t="s">
        <v>21</v>
      </c>
      <c r="G21" s="250" t="s">
        <v>217</v>
      </c>
      <c r="H21" s="250" t="s">
        <v>218</v>
      </c>
      <c r="I21" s="250" t="s">
        <v>219</v>
      </c>
      <c r="J21" s="250" t="s">
        <v>220</v>
      </c>
    </row>
    <row r="22" spans="2:10" x14ac:dyDescent="0.3">
      <c r="F22" s="250" t="s">
        <v>22</v>
      </c>
      <c r="G22" s="250" t="s">
        <v>221</v>
      </c>
      <c r="H22" s="250" t="s">
        <v>222</v>
      </c>
    </row>
    <row r="24" spans="2:10" x14ac:dyDescent="0.3">
      <c r="D24" s="250" t="s">
        <v>23</v>
      </c>
    </row>
    <row r="26" spans="2:10" x14ac:dyDescent="0.3">
      <c r="B26" s="250" t="s">
        <v>223</v>
      </c>
      <c r="D26" s="250" t="s">
        <v>224</v>
      </c>
      <c r="G26" s="250" t="s">
        <v>225</v>
      </c>
      <c r="H26" s="250" t="s">
        <v>226</v>
      </c>
      <c r="I26" s="250" t="s">
        <v>227</v>
      </c>
      <c r="J26" s="250" t="s">
        <v>228</v>
      </c>
    </row>
    <row r="27" spans="2:10" x14ac:dyDescent="0.3">
      <c r="E27" s="250" t="s">
        <v>229</v>
      </c>
      <c r="F27" s="250" t="s">
        <v>230</v>
      </c>
      <c r="G27" s="250" t="s">
        <v>231</v>
      </c>
      <c r="H27" s="250" t="s">
        <v>232</v>
      </c>
      <c r="I27" s="250" t="s">
        <v>233</v>
      </c>
      <c r="J27" s="250" t="s">
        <v>234</v>
      </c>
    </row>
    <row r="29" spans="2:10" x14ac:dyDescent="0.3">
      <c r="B29" s="250" t="s">
        <v>235</v>
      </c>
      <c r="D29" s="250" t="s">
        <v>236</v>
      </c>
      <c r="G29" s="250" t="s">
        <v>237</v>
      </c>
      <c r="H29" s="250" t="s">
        <v>238</v>
      </c>
      <c r="I29" s="250" t="s">
        <v>239</v>
      </c>
      <c r="J29" s="250" t="s">
        <v>240</v>
      </c>
    </row>
    <row r="30" spans="2:10" x14ac:dyDescent="0.3">
      <c r="E30" s="250" t="s">
        <v>241</v>
      </c>
      <c r="F30" s="250" t="s">
        <v>242</v>
      </c>
      <c r="G30" s="250" t="s">
        <v>243</v>
      </c>
      <c r="H30" s="250" t="s">
        <v>244</v>
      </c>
      <c r="I30" s="250" t="s">
        <v>245</v>
      </c>
      <c r="J30" s="250" t="s">
        <v>246</v>
      </c>
    </row>
    <row r="32" spans="2:10" x14ac:dyDescent="0.3">
      <c r="B32" s="250" t="s">
        <v>247</v>
      </c>
      <c r="D32" s="250" t="s">
        <v>248</v>
      </c>
      <c r="G32" s="250" t="s">
        <v>249</v>
      </c>
      <c r="H32" s="250" t="s">
        <v>250</v>
      </c>
      <c r="I32" s="250" t="s">
        <v>251</v>
      </c>
      <c r="J32" s="250" t="s">
        <v>252</v>
      </c>
    </row>
    <row r="33" spans="2:10" x14ac:dyDescent="0.3">
      <c r="E33" s="250" t="s">
        <v>253</v>
      </c>
      <c r="F33" s="250" t="s">
        <v>254</v>
      </c>
      <c r="G33" s="250" t="s">
        <v>255</v>
      </c>
      <c r="H33" s="250" t="s">
        <v>256</v>
      </c>
      <c r="I33" s="250" t="s">
        <v>257</v>
      </c>
      <c r="J33" s="250" t="s">
        <v>258</v>
      </c>
    </row>
    <row r="35" spans="2:10" x14ac:dyDescent="0.3">
      <c r="B35" s="250" t="s">
        <v>259</v>
      </c>
      <c r="D35" s="250" t="s">
        <v>260</v>
      </c>
      <c r="G35" s="250" t="s">
        <v>261</v>
      </c>
      <c r="H35" s="250" t="s">
        <v>262</v>
      </c>
      <c r="I35" s="250" t="s">
        <v>263</v>
      </c>
      <c r="J35" s="250" t="s">
        <v>264</v>
      </c>
    </row>
    <row r="36" spans="2:10" x14ac:dyDescent="0.3">
      <c r="E36" s="250" t="s">
        <v>265</v>
      </c>
      <c r="F36" s="250" t="s">
        <v>266</v>
      </c>
      <c r="G36" s="250" t="s">
        <v>267</v>
      </c>
      <c r="H36" s="250" t="s">
        <v>268</v>
      </c>
      <c r="I36" s="250" t="s">
        <v>269</v>
      </c>
      <c r="J36" s="250" t="s">
        <v>270</v>
      </c>
    </row>
    <row r="38" spans="2:10" x14ac:dyDescent="0.3">
      <c r="B38" s="250" t="s">
        <v>271</v>
      </c>
      <c r="D38" s="250" t="s">
        <v>272</v>
      </c>
      <c r="G38" s="250" t="s">
        <v>273</v>
      </c>
      <c r="H38" s="250" t="s">
        <v>274</v>
      </c>
      <c r="I38" s="250" t="s">
        <v>275</v>
      </c>
      <c r="J38" s="250" t="s">
        <v>276</v>
      </c>
    </row>
    <row r="39" spans="2:10" x14ac:dyDescent="0.3">
      <c r="E39" s="250" t="s">
        <v>277</v>
      </c>
      <c r="F39" s="250" t="s">
        <v>278</v>
      </c>
      <c r="G39" s="250" t="s">
        <v>279</v>
      </c>
      <c r="H39" s="250" t="s">
        <v>280</v>
      </c>
      <c r="I39" s="250" t="s">
        <v>281</v>
      </c>
      <c r="J39" s="250" t="s">
        <v>282</v>
      </c>
    </row>
    <row r="41" spans="2:10" x14ac:dyDescent="0.3">
      <c r="B41" s="250" t="s">
        <v>283</v>
      </c>
      <c r="D41" s="250" t="s">
        <v>284</v>
      </c>
      <c r="G41" s="250" t="s">
        <v>285</v>
      </c>
      <c r="H41" s="250" t="s">
        <v>286</v>
      </c>
      <c r="I41" s="250" t="s">
        <v>287</v>
      </c>
      <c r="J41" s="250" t="s">
        <v>288</v>
      </c>
    </row>
    <row r="42" spans="2:10" x14ac:dyDescent="0.3">
      <c r="E42" s="250" t="s">
        <v>289</v>
      </c>
      <c r="F42" s="250" t="s">
        <v>290</v>
      </c>
      <c r="G42" s="250" t="s">
        <v>291</v>
      </c>
      <c r="H42" s="250" t="s">
        <v>292</v>
      </c>
      <c r="I42" s="250" t="s">
        <v>293</v>
      </c>
      <c r="J42" s="250" t="s">
        <v>294</v>
      </c>
    </row>
    <row r="44" spans="2:10" x14ac:dyDescent="0.3">
      <c r="F44" s="250" t="s">
        <v>24</v>
      </c>
      <c r="G44" s="250" t="s">
        <v>295</v>
      </c>
      <c r="H44" s="250" t="s">
        <v>296</v>
      </c>
      <c r="I44" s="250" t="s">
        <v>297</v>
      </c>
      <c r="J44" s="250" t="s">
        <v>298</v>
      </c>
    </row>
    <row r="45" spans="2:10" x14ac:dyDescent="0.3">
      <c r="F45" s="250" t="s">
        <v>25</v>
      </c>
      <c r="G45" s="250" t="s">
        <v>299</v>
      </c>
      <c r="H45" s="250" t="s">
        <v>300</v>
      </c>
      <c r="I45" s="250" t="s">
        <v>301</v>
      </c>
      <c r="J45" s="250" t="s">
        <v>302</v>
      </c>
    </row>
    <row r="47" spans="2:10" x14ac:dyDescent="0.3">
      <c r="D47" s="250" t="s">
        <v>88</v>
      </c>
    </row>
    <row r="49" spans="2:10" x14ac:dyDescent="0.3">
      <c r="B49" s="250" t="s">
        <v>303</v>
      </c>
      <c r="D49" s="250" t="s">
        <v>304</v>
      </c>
      <c r="G49" s="250" t="s">
        <v>305</v>
      </c>
      <c r="H49" s="250" t="s">
        <v>306</v>
      </c>
      <c r="I49" s="250" t="s">
        <v>307</v>
      </c>
      <c r="J49" s="250" t="s">
        <v>308</v>
      </c>
    </row>
    <row r="50" spans="2:10" x14ac:dyDescent="0.3">
      <c r="E50" s="250" t="s">
        <v>309</v>
      </c>
      <c r="F50" s="250" t="s">
        <v>310</v>
      </c>
      <c r="G50" s="250" t="s">
        <v>311</v>
      </c>
      <c r="H50" s="250" t="s">
        <v>312</v>
      </c>
      <c r="I50" s="250" t="s">
        <v>313</v>
      </c>
      <c r="J50" s="250" t="s">
        <v>314</v>
      </c>
    </row>
    <row r="52" spans="2:10" x14ac:dyDescent="0.3">
      <c r="B52" s="250" t="s">
        <v>315</v>
      </c>
      <c r="D52" s="250" t="s">
        <v>316</v>
      </c>
      <c r="G52" s="250" t="s">
        <v>317</v>
      </c>
      <c r="H52" s="250" t="s">
        <v>318</v>
      </c>
      <c r="I52" s="250" t="s">
        <v>319</v>
      </c>
      <c r="J52" s="250" t="s">
        <v>320</v>
      </c>
    </row>
    <row r="53" spans="2:10" x14ac:dyDescent="0.3">
      <c r="E53" s="250" t="s">
        <v>321</v>
      </c>
      <c r="F53" s="250" t="s">
        <v>322</v>
      </c>
      <c r="G53" s="250" t="s">
        <v>323</v>
      </c>
      <c r="H53" s="250" t="s">
        <v>324</v>
      </c>
      <c r="I53" s="250" t="s">
        <v>325</v>
      </c>
      <c r="J53" s="250" t="s">
        <v>326</v>
      </c>
    </row>
    <row r="55" spans="2:10" x14ac:dyDescent="0.3">
      <c r="F55" s="250" t="s">
        <v>89</v>
      </c>
      <c r="G55" s="250" t="s">
        <v>327</v>
      </c>
      <c r="H55" s="250" t="s">
        <v>328</v>
      </c>
      <c r="I55" s="250" t="s">
        <v>329</v>
      </c>
      <c r="J55" s="250" t="s">
        <v>330</v>
      </c>
    </row>
    <row r="56" spans="2:10" x14ac:dyDescent="0.3">
      <c r="F56" s="250" t="s">
        <v>139</v>
      </c>
      <c r="G56" s="250" t="s">
        <v>331</v>
      </c>
      <c r="H56" s="250" t="s">
        <v>332</v>
      </c>
      <c r="I56" s="250" t="s">
        <v>333</v>
      </c>
      <c r="J56" s="250" t="s">
        <v>334</v>
      </c>
    </row>
    <row r="58" spans="2:10" x14ac:dyDescent="0.3">
      <c r="D58" s="250" t="s">
        <v>26</v>
      </c>
    </row>
    <row r="60" spans="2:10" x14ac:dyDescent="0.3">
      <c r="B60" s="250" t="s">
        <v>335</v>
      </c>
      <c r="D60" s="250" t="s">
        <v>336</v>
      </c>
      <c r="G60" s="250" t="s">
        <v>337</v>
      </c>
      <c r="H60" s="250" t="s">
        <v>338</v>
      </c>
      <c r="I60" s="250" t="s">
        <v>339</v>
      </c>
      <c r="J60" s="250" t="s">
        <v>340</v>
      </c>
    </row>
    <row r="61" spans="2:10" x14ac:dyDescent="0.3">
      <c r="E61" s="250" t="s">
        <v>341</v>
      </c>
      <c r="F61" s="250" t="s">
        <v>342</v>
      </c>
      <c r="G61" s="250" t="s">
        <v>343</v>
      </c>
      <c r="H61" s="250" t="s">
        <v>344</v>
      </c>
      <c r="I61" s="250" t="s">
        <v>345</v>
      </c>
      <c r="J61" s="250" t="s">
        <v>346</v>
      </c>
    </row>
    <row r="63" spans="2:10" x14ac:dyDescent="0.3">
      <c r="F63" s="250" t="s">
        <v>27</v>
      </c>
      <c r="G63" s="250" t="s">
        <v>347</v>
      </c>
      <c r="H63" s="250" t="s">
        <v>348</v>
      </c>
      <c r="I63" s="250" t="s">
        <v>349</v>
      </c>
      <c r="J63" s="250" t="s">
        <v>350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workbookViewId="0"/>
  </sheetViews>
  <sheetFormatPr defaultRowHeight="16.5" x14ac:dyDescent="0.3"/>
  <sheetData>
    <row r="1" spans="1:10" x14ac:dyDescent="0.3">
      <c r="A1" s="250" t="s">
        <v>3547</v>
      </c>
      <c r="B1" s="250" t="s">
        <v>11</v>
      </c>
      <c r="D1" s="250" t="s">
        <v>12</v>
      </c>
      <c r="E1" s="250" t="s">
        <v>12</v>
      </c>
      <c r="F1" s="250" t="s">
        <v>12</v>
      </c>
      <c r="G1" s="250" t="s">
        <v>12</v>
      </c>
      <c r="H1" s="250" t="s">
        <v>12</v>
      </c>
      <c r="I1" s="250" t="s">
        <v>12</v>
      </c>
      <c r="J1" s="250" t="s">
        <v>12</v>
      </c>
    </row>
    <row r="2" spans="1:10" x14ac:dyDescent="0.3">
      <c r="A2" s="250" t="s">
        <v>65</v>
      </c>
      <c r="G2" s="250" t="s">
        <v>43</v>
      </c>
      <c r="H2" s="250" t="s">
        <v>43</v>
      </c>
      <c r="I2" s="250" t="s">
        <v>43</v>
      </c>
      <c r="J2" s="250" t="s">
        <v>43</v>
      </c>
    </row>
    <row r="3" spans="1:10" x14ac:dyDescent="0.3">
      <c r="B3" s="250" t="s">
        <v>156</v>
      </c>
    </row>
    <row r="4" spans="1:10" x14ac:dyDescent="0.3">
      <c r="D4" s="250" t="s">
        <v>13</v>
      </c>
      <c r="I4" s="250" t="s">
        <v>42</v>
      </c>
      <c r="J4" s="250" t="s">
        <v>174</v>
      </c>
    </row>
    <row r="5" spans="1:10" x14ac:dyDescent="0.3">
      <c r="I5" s="250" t="s">
        <v>41</v>
      </c>
      <c r="J5" s="250" t="s">
        <v>175</v>
      </c>
    </row>
    <row r="6" spans="1:10" x14ac:dyDescent="0.3">
      <c r="G6" s="250" t="s">
        <v>14</v>
      </c>
      <c r="H6" s="250" t="s">
        <v>176</v>
      </c>
    </row>
    <row r="8" spans="1:10" x14ac:dyDescent="0.3">
      <c r="G8" s="250" t="s">
        <v>15</v>
      </c>
      <c r="H8" s="250" t="s">
        <v>16</v>
      </c>
      <c r="I8" s="250" t="s">
        <v>154</v>
      </c>
      <c r="J8" s="250" t="s">
        <v>155</v>
      </c>
    </row>
    <row r="9" spans="1:10" x14ac:dyDescent="0.3">
      <c r="D9" s="250" t="s">
        <v>17</v>
      </c>
    </row>
    <row r="10" spans="1:10" x14ac:dyDescent="0.3">
      <c r="B10" s="250" t="s">
        <v>177</v>
      </c>
      <c r="D10" s="250" t="s">
        <v>3545</v>
      </c>
      <c r="G10" s="250" t="s">
        <v>179</v>
      </c>
      <c r="H10" s="250" t="s">
        <v>180</v>
      </c>
      <c r="I10" s="250" t="s">
        <v>181</v>
      </c>
      <c r="J10" s="250" t="s">
        <v>182</v>
      </c>
    </row>
    <row r="11" spans="1:10" x14ac:dyDescent="0.3">
      <c r="E11" s="250" t="s">
        <v>183</v>
      </c>
      <c r="F11" s="250" t="s">
        <v>184</v>
      </c>
      <c r="G11" s="250" t="s">
        <v>185</v>
      </c>
      <c r="H11" s="250" t="s">
        <v>186</v>
      </c>
      <c r="I11" s="250" t="s">
        <v>187</v>
      </c>
      <c r="J11" s="250" t="s">
        <v>188</v>
      </c>
    </row>
    <row r="13" spans="1:10" x14ac:dyDescent="0.3">
      <c r="B13" s="250" t="s">
        <v>189</v>
      </c>
      <c r="D13" s="250" t="s">
        <v>190</v>
      </c>
      <c r="G13" s="250" t="s">
        <v>191</v>
      </c>
      <c r="H13" s="250" t="s">
        <v>192</v>
      </c>
      <c r="I13" s="250" t="s">
        <v>193</v>
      </c>
      <c r="J13" s="250" t="s">
        <v>194</v>
      </c>
    </row>
    <row r="14" spans="1:10" x14ac:dyDescent="0.3">
      <c r="E14" s="250" t="s">
        <v>195</v>
      </c>
      <c r="F14" s="250" t="s">
        <v>196</v>
      </c>
      <c r="G14" s="250" t="s">
        <v>197</v>
      </c>
      <c r="H14" s="250" t="s">
        <v>198</v>
      </c>
      <c r="I14" s="250" t="s">
        <v>199</v>
      </c>
      <c r="J14" s="250" t="s">
        <v>200</v>
      </c>
    </row>
    <row r="16" spans="1:10" x14ac:dyDescent="0.3">
      <c r="F16" s="250" t="s">
        <v>18</v>
      </c>
      <c r="G16" s="250" t="s">
        <v>201</v>
      </c>
      <c r="H16" s="250" t="s">
        <v>202</v>
      </c>
      <c r="I16" s="250" t="s">
        <v>203</v>
      </c>
      <c r="J16" s="250" t="s">
        <v>204</v>
      </c>
    </row>
    <row r="18" spans="2:10" x14ac:dyDescent="0.3">
      <c r="B18" s="250" t="s">
        <v>205</v>
      </c>
      <c r="D18" s="250" t="s">
        <v>206</v>
      </c>
      <c r="G18" s="250" t="s">
        <v>207</v>
      </c>
      <c r="H18" s="250" t="s">
        <v>208</v>
      </c>
      <c r="I18" s="250" t="s">
        <v>209</v>
      </c>
      <c r="J18" s="250" t="s">
        <v>210</v>
      </c>
    </row>
    <row r="19" spans="2:10" x14ac:dyDescent="0.3">
      <c r="E19" s="250" t="s">
        <v>211</v>
      </c>
      <c r="F19" s="250" t="s">
        <v>212</v>
      </c>
      <c r="G19" s="250" t="s">
        <v>213</v>
      </c>
      <c r="H19" s="250" t="s">
        <v>214</v>
      </c>
      <c r="I19" s="250" t="s">
        <v>215</v>
      </c>
      <c r="J19" s="250" t="s">
        <v>216</v>
      </c>
    </row>
    <row r="21" spans="2:10" x14ac:dyDescent="0.3">
      <c r="F21" s="250" t="s">
        <v>21</v>
      </c>
      <c r="G21" s="250" t="s">
        <v>217</v>
      </c>
      <c r="H21" s="250" t="s">
        <v>218</v>
      </c>
      <c r="I21" s="250" t="s">
        <v>219</v>
      </c>
      <c r="J21" s="250" t="s">
        <v>220</v>
      </c>
    </row>
    <row r="22" spans="2:10" x14ac:dyDescent="0.3">
      <c r="F22" s="250" t="s">
        <v>22</v>
      </c>
      <c r="G22" s="250" t="s">
        <v>221</v>
      </c>
      <c r="H22" s="250" t="s">
        <v>222</v>
      </c>
    </row>
    <row r="24" spans="2:10" x14ac:dyDescent="0.3">
      <c r="D24" s="250" t="s">
        <v>23</v>
      </c>
    </row>
    <row r="26" spans="2:10" x14ac:dyDescent="0.3">
      <c r="B26" s="250" t="s">
        <v>223</v>
      </c>
      <c r="D26" s="250" t="s">
        <v>224</v>
      </c>
      <c r="G26" s="250" t="s">
        <v>225</v>
      </c>
      <c r="H26" s="250" t="s">
        <v>226</v>
      </c>
      <c r="I26" s="250" t="s">
        <v>227</v>
      </c>
      <c r="J26" s="250" t="s">
        <v>228</v>
      </c>
    </row>
    <row r="27" spans="2:10" x14ac:dyDescent="0.3">
      <c r="E27" s="250" t="s">
        <v>229</v>
      </c>
      <c r="F27" s="250" t="s">
        <v>230</v>
      </c>
      <c r="G27" s="250" t="s">
        <v>231</v>
      </c>
      <c r="H27" s="250" t="s">
        <v>232</v>
      </c>
      <c r="I27" s="250" t="s">
        <v>233</v>
      </c>
      <c r="J27" s="250" t="s">
        <v>234</v>
      </c>
    </row>
    <row r="29" spans="2:10" x14ac:dyDescent="0.3">
      <c r="B29" s="250" t="s">
        <v>235</v>
      </c>
      <c r="D29" s="250" t="s">
        <v>236</v>
      </c>
      <c r="G29" s="250" t="s">
        <v>237</v>
      </c>
      <c r="H29" s="250" t="s">
        <v>238</v>
      </c>
      <c r="I29" s="250" t="s">
        <v>239</v>
      </c>
      <c r="J29" s="250" t="s">
        <v>240</v>
      </c>
    </row>
    <row r="30" spans="2:10" x14ac:dyDescent="0.3">
      <c r="E30" s="250" t="s">
        <v>241</v>
      </c>
      <c r="F30" s="250" t="s">
        <v>242</v>
      </c>
      <c r="G30" s="250" t="s">
        <v>243</v>
      </c>
      <c r="H30" s="250" t="s">
        <v>244</v>
      </c>
      <c r="I30" s="250" t="s">
        <v>245</v>
      </c>
      <c r="J30" s="250" t="s">
        <v>246</v>
      </c>
    </row>
    <row r="32" spans="2:10" x14ac:dyDescent="0.3">
      <c r="B32" s="250" t="s">
        <v>247</v>
      </c>
      <c r="D32" s="250" t="s">
        <v>248</v>
      </c>
      <c r="G32" s="250" t="s">
        <v>249</v>
      </c>
      <c r="H32" s="250" t="s">
        <v>250</v>
      </c>
      <c r="I32" s="250" t="s">
        <v>251</v>
      </c>
      <c r="J32" s="250" t="s">
        <v>252</v>
      </c>
    </row>
    <row r="33" spans="2:10" x14ac:dyDescent="0.3">
      <c r="E33" s="250" t="s">
        <v>253</v>
      </c>
      <c r="F33" s="250" t="s">
        <v>254</v>
      </c>
      <c r="G33" s="250" t="s">
        <v>255</v>
      </c>
      <c r="H33" s="250" t="s">
        <v>256</v>
      </c>
      <c r="I33" s="250" t="s">
        <v>257</v>
      </c>
      <c r="J33" s="250" t="s">
        <v>258</v>
      </c>
    </row>
    <row r="35" spans="2:10" x14ac:dyDescent="0.3">
      <c r="B35" s="250" t="s">
        <v>259</v>
      </c>
      <c r="D35" s="250" t="s">
        <v>260</v>
      </c>
      <c r="G35" s="250" t="s">
        <v>261</v>
      </c>
      <c r="H35" s="250" t="s">
        <v>262</v>
      </c>
      <c r="I35" s="250" t="s">
        <v>263</v>
      </c>
      <c r="J35" s="250" t="s">
        <v>264</v>
      </c>
    </row>
    <row r="36" spans="2:10" x14ac:dyDescent="0.3">
      <c r="E36" s="250" t="s">
        <v>265</v>
      </c>
      <c r="F36" s="250" t="s">
        <v>266</v>
      </c>
      <c r="G36" s="250" t="s">
        <v>267</v>
      </c>
      <c r="H36" s="250" t="s">
        <v>268</v>
      </c>
      <c r="I36" s="250" t="s">
        <v>269</v>
      </c>
      <c r="J36" s="250" t="s">
        <v>270</v>
      </c>
    </row>
    <row r="38" spans="2:10" x14ac:dyDescent="0.3">
      <c r="B38" s="250" t="s">
        <v>271</v>
      </c>
      <c r="D38" s="250" t="s">
        <v>272</v>
      </c>
      <c r="G38" s="250" t="s">
        <v>273</v>
      </c>
      <c r="H38" s="250" t="s">
        <v>274</v>
      </c>
      <c r="I38" s="250" t="s">
        <v>275</v>
      </c>
      <c r="J38" s="250" t="s">
        <v>276</v>
      </c>
    </row>
    <row r="39" spans="2:10" x14ac:dyDescent="0.3">
      <c r="E39" s="250" t="s">
        <v>277</v>
      </c>
      <c r="F39" s="250" t="s">
        <v>278</v>
      </c>
      <c r="G39" s="250" t="s">
        <v>279</v>
      </c>
      <c r="H39" s="250" t="s">
        <v>280</v>
      </c>
      <c r="I39" s="250" t="s">
        <v>281</v>
      </c>
      <c r="J39" s="250" t="s">
        <v>282</v>
      </c>
    </row>
    <row r="41" spans="2:10" x14ac:dyDescent="0.3">
      <c r="B41" s="250" t="s">
        <v>283</v>
      </c>
      <c r="D41" s="250" t="s">
        <v>284</v>
      </c>
      <c r="G41" s="250" t="s">
        <v>285</v>
      </c>
      <c r="H41" s="250" t="s">
        <v>286</v>
      </c>
      <c r="I41" s="250" t="s">
        <v>287</v>
      </c>
      <c r="J41" s="250" t="s">
        <v>288</v>
      </c>
    </row>
    <row r="42" spans="2:10" x14ac:dyDescent="0.3">
      <c r="E42" s="250" t="s">
        <v>289</v>
      </c>
      <c r="F42" s="250" t="s">
        <v>290</v>
      </c>
      <c r="G42" s="250" t="s">
        <v>291</v>
      </c>
      <c r="H42" s="250" t="s">
        <v>292</v>
      </c>
      <c r="I42" s="250" t="s">
        <v>293</v>
      </c>
      <c r="J42" s="250" t="s">
        <v>294</v>
      </c>
    </row>
    <row r="44" spans="2:10" x14ac:dyDescent="0.3">
      <c r="F44" s="250" t="s">
        <v>24</v>
      </c>
      <c r="G44" s="250" t="s">
        <v>295</v>
      </c>
      <c r="H44" s="250" t="s">
        <v>296</v>
      </c>
      <c r="I44" s="250" t="s">
        <v>297</v>
      </c>
      <c r="J44" s="250" t="s">
        <v>298</v>
      </c>
    </row>
    <row r="45" spans="2:10" x14ac:dyDescent="0.3">
      <c r="F45" s="250" t="s">
        <v>25</v>
      </c>
      <c r="G45" s="250" t="s">
        <v>299</v>
      </c>
      <c r="H45" s="250" t="s">
        <v>300</v>
      </c>
      <c r="I45" s="250" t="s">
        <v>301</v>
      </c>
      <c r="J45" s="250" t="s">
        <v>302</v>
      </c>
    </row>
    <row r="47" spans="2:10" x14ac:dyDescent="0.3">
      <c r="D47" s="250" t="s">
        <v>88</v>
      </c>
    </row>
    <row r="49" spans="2:10" x14ac:dyDescent="0.3">
      <c r="B49" s="250" t="s">
        <v>303</v>
      </c>
      <c r="D49" s="250" t="s">
        <v>304</v>
      </c>
      <c r="G49" s="250" t="s">
        <v>305</v>
      </c>
      <c r="H49" s="250" t="s">
        <v>306</v>
      </c>
      <c r="I49" s="250" t="s">
        <v>307</v>
      </c>
      <c r="J49" s="250" t="s">
        <v>308</v>
      </c>
    </row>
    <row r="50" spans="2:10" x14ac:dyDescent="0.3">
      <c r="E50" s="250" t="s">
        <v>309</v>
      </c>
      <c r="F50" s="250" t="s">
        <v>310</v>
      </c>
      <c r="G50" s="250" t="s">
        <v>311</v>
      </c>
      <c r="H50" s="250" t="s">
        <v>312</v>
      </c>
      <c r="I50" s="250" t="s">
        <v>313</v>
      </c>
      <c r="J50" s="250" t="s">
        <v>314</v>
      </c>
    </row>
    <row r="52" spans="2:10" x14ac:dyDescent="0.3">
      <c r="B52" s="250" t="s">
        <v>315</v>
      </c>
      <c r="D52" s="250" t="s">
        <v>316</v>
      </c>
      <c r="G52" s="250" t="s">
        <v>317</v>
      </c>
      <c r="H52" s="250" t="s">
        <v>318</v>
      </c>
      <c r="I52" s="250" t="s">
        <v>319</v>
      </c>
      <c r="J52" s="250" t="s">
        <v>320</v>
      </c>
    </row>
    <row r="53" spans="2:10" x14ac:dyDescent="0.3">
      <c r="E53" s="250" t="s">
        <v>321</v>
      </c>
      <c r="F53" s="250" t="s">
        <v>322</v>
      </c>
      <c r="G53" s="250" t="s">
        <v>323</v>
      </c>
      <c r="H53" s="250" t="s">
        <v>324</v>
      </c>
      <c r="I53" s="250" t="s">
        <v>325</v>
      </c>
      <c r="J53" s="250" t="s">
        <v>326</v>
      </c>
    </row>
    <row r="55" spans="2:10" x14ac:dyDescent="0.3">
      <c r="F55" s="250" t="s">
        <v>89</v>
      </c>
      <c r="G55" s="250" t="s">
        <v>327</v>
      </c>
      <c r="H55" s="250" t="s">
        <v>328</v>
      </c>
      <c r="I55" s="250" t="s">
        <v>329</v>
      </c>
      <c r="J55" s="250" t="s">
        <v>330</v>
      </c>
    </row>
    <row r="56" spans="2:10" x14ac:dyDescent="0.3">
      <c r="F56" s="250" t="s">
        <v>139</v>
      </c>
      <c r="G56" s="250" t="s">
        <v>331</v>
      </c>
      <c r="H56" s="250" t="s">
        <v>332</v>
      </c>
      <c r="I56" s="250" t="s">
        <v>333</v>
      </c>
      <c r="J56" s="250" t="s">
        <v>334</v>
      </c>
    </row>
    <row r="58" spans="2:10" x14ac:dyDescent="0.3">
      <c r="D58" s="250" t="s">
        <v>26</v>
      </c>
    </row>
    <row r="60" spans="2:10" x14ac:dyDescent="0.3">
      <c r="B60" s="250" t="s">
        <v>335</v>
      </c>
      <c r="D60" s="250" t="s">
        <v>336</v>
      </c>
      <c r="G60" s="250" t="s">
        <v>337</v>
      </c>
      <c r="H60" s="250" t="s">
        <v>338</v>
      </c>
      <c r="I60" s="250" t="s">
        <v>339</v>
      </c>
      <c r="J60" s="250" t="s">
        <v>340</v>
      </c>
    </row>
    <row r="61" spans="2:10" x14ac:dyDescent="0.3">
      <c r="E61" s="250" t="s">
        <v>341</v>
      </c>
      <c r="F61" s="250" t="s">
        <v>342</v>
      </c>
      <c r="G61" s="250" t="s">
        <v>343</v>
      </c>
      <c r="H61" s="250" t="s">
        <v>344</v>
      </c>
      <c r="I61" s="250" t="s">
        <v>345</v>
      </c>
      <c r="J61" s="250" t="s">
        <v>346</v>
      </c>
    </row>
    <row r="63" spans="2:10" x14ac:dyDescent="0.3">
      <c r="F63" s="250" t="s">
        <v>27</v>
      </c>
      <c r="G63" s="250" t="s">
        <v>347</v>
      </c>
      <c r="H63" s="250" t="s">
        <v>348</v>
      </c>
      <c r="I63" s="250" t="s">
        <v>349</v>
      </c>
      <c r="J63" s="250" t="s">
        <v>350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workbookViewId="0"/>
  </sheetViews>
  <sheetFormatPr defaultRowHeight="16.5" x14ac:dyDescent="0.3"/>
  <sheetData>
    <row r="1" spans="1:14" x14ac:dyDescent="0.3">
      <c r="A1" s="250" t="s">
        <v>3548</v>
      </c>
      <c r="B1" s="250" t="s">
        <v>157</v>
      </c>
      <c r="C1" s="250" t="s">
        <v>11</v>
      </c>
      <c r="F1" s="250" t="s">
        <v>11</v>
      </c>
      <c r="G1" s="250" t="s">
        <v>11</v>
      </c>
      <c r="H1" s="250" t="s">
        <v>11</v>
      </c>
      <c r="I1" s="250" t="s">
        <v>40</v>
      </c>
      <c r="J1" s="250" t="s">
        <v>40</v>
      </c>
    </row>
    <row r="3" spans="1:14" x14ac:dyDescent="0.3">
      <c r="E3" s="250" t="s">
        <v>30</v>
      </c>
      <c r="L3" s="250" t="s">
        <v>9</v>
      </c>
      <c r="N3" s="250" t="s">
        <v>351</v>
      </c>
    </row>
    <row r="4" spans="1:14" x14ac:dyDescent="0.3">
      <c r="C4" s="250" t="s">
        <v>156</v>
      </c>
      <c r="L4" s="250" t="s">
        <v>41</v>
      </c>
      <c r="N4" s="250" t="s">
        <v>175</v>
      </c>
    </row>
    <row r="7" spans="1:14" x14ac:dyDescent="0.3">
      <c r="L7" s="250" t="s">
        <v>31</v>
      </c>
    </row>
    <row r="8" spans="1:14" x14ac:dyDescent="0.3">
      <c r="L8" s="250" t="s">
        <v>32</v>
      </c>
      <c r="M8" s="250" t="s">
        <v>33</v>
      </c>
    </row>
    <row r="9" spans="1:14" x14ac:dyDescent="0.3">
      <c r="L9" s="250" t="s">
        <v>34</v>
      </c>
      <c r="M9" s="250" t="s">
        <v>35</v>
      </c>
      <c r="N9" s="250" t="s">
        <v>36</v>
      </c>
    </row>
    <row r="10" spans="1:14" x14ac:dyDescent="0.3">
      <c r="E10" s="250" t="s">
        <v>37</v>
      </c>
      <c r="L10" s="250" t="s">
        <v>352</v>
      </c>
      <c r="M10" s="250" t="s">
        <v>353</v>
      </c>
    </row>
    <row r="11" spans="1:14" x14ac:dyDescent="0.3">
      <c r="L11" s="250" t="s">
        <v>354</v>
      </c>
      <c r="M11" s="250" t="s">
        <v>355</v>
      </c>
      <c r="N11" s="250" t="s">
        <v>356</v>
      </c>
    </row>
    <row r="12" spans="1:14" x14ac:dyDescent="0.3">
      <c r="E12" s="250" t="s">
        <v>45</v>
      </c>
      <c r="L12" s="250" t="s">
        <v>37</v>
      </c>
    </row>
    <row r="13" spans="1:14" x14ac:dyDescent="0.3">
      <c r="C13" s="250" t="s">
        <v>357</v>
      </c>
      <c r="E13" s="250" t="s">
        <v>358</v>
      </c>
      <c r="J13" s="250" t="s">
        <v>359</v>
      </c>
      <c r="L13" s="250" t="s">
        <v>39</v>
      </c>
    </row>
    <row r="14" spans="1:14" x14ac:dyDescent="0.3">
      <c r="E14" s="250" t="s">
        <v>360</v>
      </c>
      <c r="F14" s="250" t="s">
        <v>361</v>
      </c>
      <c r="G14" s="250" t="s">
        <v>362</v>
      </c>
      <c r="H14" s="250" t="s">
        <v>363</v>
      </c>
      <c r="I14" s="250" t="s">
        <v>364</v>
      </c>
      <c r="J14" s="250" t="s">
        <v>365</v>
      </c>
    </row>
    <row r="16" spans="1:14" x14ac:dyDescent="0.3">
      <c r="C16" s="250" t="s">
        <v>366</v>
      </c>
      <c r="E16" s="250" t="s">
        <v>367</v>
      </c>
      <c r="J16" s="250" t="s">
        <v>368</v>
      </c>
    </row>
    <row r="17" spans="3:10" x14ac:dyDescent="0.3">
      <c r="E17" s="250" t="s">
        <v>369</v>
      </c>
      <c r="F17" s="250" t="s">
        <v>370</v>
      </c>
      <c r="G17" s="250" t="s">
        <v>371</v>
      </c>
      <c r="H17" s="250" t="s">
        <v>372</v>
      </c>
      <c r="I17" s="250" t="s">
        <v>373</v>
      </c>
      <c r="J17" s="250" t="s">
        <v>374</v>
      </c>
    </row>
    <row r="19" spans="3:10" x14ac:dyDescent="0.3">
      <c r="C19" s="250" t="s">
        <v>375</v>
      </c>
      <c r="E19" s="250" t="s">
        <v>376</v>
      </c>
      <c r="J19" s="250" t="s">
        <v>377</v>
      </c>
    </row>
    <row r="20" spans="3:10" x14ac:dyDescent="0.3">
      <c r="E20" s="250" t="s">
        <v>378</v>
      </c>
      <c r="F20" s="250" t="s">
        <v>379</v>
      </c>
      <c r="G20" s="250" t="s">
        <v>380</v>
      </c>
      <c r="H20" s="250" t="s">
        <v>381</v>
      </c>
      <c r="I20" s="250" t="s">
        <v>382</v>
      </c>
      <c r="J20" s="250" t="s">
        <v>383</v>
      </c>
    </row>
    <row r="22" spans="3:10" x14ac:dyDescent="0.3">
      <c r="C22" s="250" t="s">
        <v>384</v>
      </c>
      <c r="E22" s="250" t="s">
        <v>385</v>
      </c>
      <c r="J22" s="250" t="s">
        <v>386</v>
      </c>
    </row>
    <row r="23" spans="3:10" x14ac:dyDescent="0.3">
      <c r="E23" s="250" t="s">
        <v>387</v>
      </c>
      <c r="F23" s="250" t="s">
        <v>388</v>
      </c>
      <c r="G23" s="250" t="s">
        <v>389</v>
      </c>
      <c r="H23" s="250" t="s">
        <v>390</v>
      </c>
      <c r="I23" s="250" t="s">
        <v>391</v>
      </c>
      <c r="J23" s="250" t="s">
        <v>392</v>
      </c>
    </row>
    <row r="25" spans="3:10" x14ac:dyDescent="0.3">
      <c r="C25" s="250" t="s">
        <v>393</v>
      </c>
      <c r="E25" s="250" t="s">
        <v>394</v>
      </c>
      <c r="J25" s="250" t="s">
        <v>395</v>
      </c>
    </row>
    <row r="26" spans="3:10" x14ac:dyDescent="0.3">
      <c r="E26" s="250" t="s">
        <v>396</v>
      </c>
      <c r="F26" s="250" t="s">
        <v>397</v>
      </c>
      <c r="G26" s="250" t="s">
        <v>398</v>
      </c>
      <c r="H26" s="250" t="s">
        <v>399</v>
      </c>
      <c r="I26" s="250" t="s">
        <v>400</v>
      </c>
      <c r="J26" s="250" t="s">
        <v>401</v>
      </c>
    </row>
    <row r="28" spans="3:10" x14ac:dyDescent="0.3">
      <c r="C28" s="250" t="s">
        <v>402</v>
      </c>
      <c r="E28" s="250" t="s">
        <v>403</v>
      </c>
      <c r="J28" s="250" t="s">
        <v>404</v>
      </c>
    </row>
    <row r="29" spans="3:10" x14ac:dyDescent="0.3">
      <c r="E29" s="250" t="s">
        <v>405</v>
      </c>
      <c r="F29" s="250" t="s">
        <v>406</v>
      </c>
      <c r="G29" s="250" t="s">
        <v>407</v>
      </c>
      <c r="H29" s="250" t="s">
        <v>408</v>
      </c>
      <c r="I29" s="250" t="s">
        <v>409</v>
      </c>
      <c r="J29" s="250" t="s">
        <v>410</v>
      </c>
    </row>
    <row r="31" spans="3:10" x14ac:dyDescent="0.3">
      <c r="C31" s="250" t="s">
        <v>411</v>
      </c>
      <c r="E31" s="250" t="s">
        <v>412</v>
      </c>
      <c r="J31" s="250" t="s">
        <v>413</v>
      </c>
    </row>
    <row r="32" spans="3:10" x14ac:dyDescent="0.3">
      <c r="E32" s="250" t="s">
        <v>414</v>
      </c>
      <c r="F32" s="250" t="s">
        <v>415</v>
      </c>
      <c r="G32" s="250" t="s">
        <v>416</v>
      </c>
      <c r="H32" s="250" t="s">
        <v>417</v>
      </c>
      <c r="I32" s="250" t="s">
        <v>418</v>
      </c>
      <c r="J32" s="250" t="s">
        <v>419</v>
      </c>
    </row>
    <row r="34" spans="3:10" x14ac:dyDescent="0.3">
      <c r="I34" s="250" t="s">
        <v>44</v>
      </c>
      <c r="J34" s="250" t="s">
        <v>420</v>
      </c>
    </row>
    <row r="36" spans="3:10" x14ac:dyDescent="0.3">
      <c r="E36" s="250" t="s">
        <v>46</v>
      </c>
    </row>
    <row r="37" spans="3:10" x14ac:dyDescent="0.3">
      <c r="C37" s="250" t="s">
        <v>421</v>
      </c>
      <c r="E37" s="250" t="s">
        <v>422</v>
      </c>
      <c r="J37" s="250" t="s">
        <v>423</v>
      </c>
    </row>
    <row r="38" spans="3:10" x14ac:dyDescent="0.3">
      <c r="E38" s="250" t="s">
        <v>424</v>
      </c>
      <c r="F38" s="250" t="s">
        <v>425</v>
      </c>
      <c r="G38" s="250" t="s">
        <v>426</v>
      </c>
      <c r="H38" s="250" t="s">
        <v>427</v>
      </c>
      <c r="I38" s="250" t="s">
        <v>428</v>
      </c>
      <c r="J38" s="250" t="s">
        <v>429</v>
      </c>
    </row>
    <row r="40" spans="3:10" x14ac:dyDescent="0.3">
      <c r="C40" s="250" t="s">
        <v>430</v>
      </c>
      <c r="E40" s="250" t="s">
        <v>431</v>
      </c>
      <c r="J40" s="250" t="s">
        <v>432</v>
      </c>
    </row>
    <row r="41" spans="3:10" x14ac:dyDescent="0.3">
      <c r="E41" s="250" t="s">
        <v>433</v>
      </c>
      <c r="F41" s="250" t="s">
        <v>434</v>
      </c>
      <c r="G41" s="250" t="s">
        <v>435</v>
      </c>
      <c r="H41" s="250" t="s">
        <v>436</v>
      </c>
      <c r="I41" s="250" t="s">
        <v>437</v>
      </c>
      <c r="J41" s="250" t="s">
        <v>438</v>
      </c>
    </row>
    <row r="43" spans="3:10" x14ac:dyDescent="0.3">
      <c r="C43" s="250" t="s">
        <v>439</v>
      </c>
      <c r="E43" s="250" t="s">
        <v>440</v>
      </c>
      <c r="J43" s="250" t="s">
        <v>441</v>
      </c>
    </row>
    <row r="44" spans="3:10" x14ac:dyDescent="0.3">
      <c r="E44" s="250" t="s">
        <v>442</v>
      </c>
      <c r="F44" s="250" t="s">
        <v>443</v>
      </c>
      <c r="G44" s="250" t="s">
        <v>444</v>
      </c>
      <c r="H44" s="250" t="s">
        <v>445</v>
      </c>
      <c r="I44" s="250" t="s">
        <v>446</v>
      </c>
      <c r="J44" s="250" t="s">
        <v>447</v>
      </c>
    </row>
    <row r="46" spans="3:10" x14ac:dyDescent="0.3">
      <c r="C46" s="250" t="s">
        <v>448</v>
      </c>
      <c r="E46" s="250" t="s">
        <v>449</v>
      </c>
      <c r="J46" s="250" t="s">
        <v>450</v>
      </c>
    </row>
    <row r="47" spans="3:10" x14ac:dyDescent="0.3">
      <c r="E47" s="250" t="s">
        <v>451</v>
      </c>
      <c r="F47" s="250" t="s">
        <v>452</v>
      </c>
      <c r="G47" s="250" t="s">
        <v>453</v>
      </c>
      <c r="H47" s="250" t="s">
        <v>454</v>
      </c>
      <c r="I47" s="250" t="s">
        <v>455</v>
      </c>
      <c r="J47" s="250" t="s">
        <v>456</v>
      </c>
    </row>
    <row r="49" spans="3:10" x14ac:dyDescent="0.3">
      <c r="I49" s="250" t="s">
        <v>47</v>
      </c>
      <c r="J49" s="250" t="s">
        <v>457</v>
      </c>
    </row>
    <row r="51" spans="3:10" x14ac:dyDescent="0.3">
      <c r="E51" s="250" t="s">
        <v>48</v>
      </c>
      <c r="J51" s="250" t="s">
        <v>458</v>
      </c>
    </row>
    <row r="54" spans="3:10" x14ac:dyDescent="0.3">
      <c r="E54" s="250" t="s">
        <v>49</v>
      </c>
    </row>
    <row r="56" spans="3:10" x14ac:dyDescent="0.3">
      <c r="E56" s="250" t="s">
        <v>50</v>
      </c>
    </row>
    <row r="57" spans="3:10" x14ac:dyDescent="0.3">
      <c r="C57" s="250" t="s">
        <v>459</v>
      </c>
      <c r="E57" s="250" t="s">
        <v>460</v>
      </c>
      <c r="J57" s="250" t="s">
        <v>461</v>
      </c>
    </row>
    <row r="58" spans="3:10" x14ac:dyDescent="0.3">
      <c r="E58" s="250" t="s">
        <v>462</v>
      </c>
      <c r="F58" s="250" t="s">
        <v>463</v>
      </c>
      <c r="G58" s="250" t="s">
        <v>464</v>
      </c>
      <c r="H58" s="250" t="s">
        <v>465</v>
      </c>
      <c r="I58" s="250" t="s">
        <v>466</v>
      </c>
      <c r="J58" s="250" t="s">
        <v>467</v>
      </c>
    </row>
    <row r="60" spans="3:10" x14ac:dyDescent="0.3">
      <c r="C60" s="250" t="s">
        <v>468</v>
      </c>
      <c r="E60" s="250" t="s">
        <v>469</v>
      </c>
      <c r="J60" s="250" t="s">
        <v>470</v>
      </c>
    </row>
    <row r="61" spans="3:10" x14ac:dyDescent="0.3">
      <c r="E61" s="250" t="s">
        <v>471</v>
      </c>
      <c r="F61" s="250" t="s">
        <v>472</v>
      </c>
      <c r="G61" s="250" t="s">
        <v>473</v>
      </c>
      <c r="H61" s="250" t="s">
        <v>474</v>
      </c>
      <c r="I61" s="250" t="s">
        <v>475</v>
      </c>
      <c r="J61" s="250" t="s">
        <v>476</v>
      </c>
    </row>
    <row r="63" spans="3:10" x14ac:dyDescent="0.3">
      <c r="C63" s="250" t="s">
        <v>477</v>
      </c>
      <c r="E63" s="250" t="s">
        <v>478</v>
      </c>
      <c r="J63" s="250" t="s">
        <v>479</v>
      </c>
    </row>
    <row r="64" spans="3:10" x14ac:dyDescent="0.3">
      <c r="E64" s="250" t="s">
        <v>480</v>
      </c>
      <c r="F64" s="250" t="s">
        <v>481</v>
      </c>
      <c r="G64" s="250" t="s">
        <v>482</v>
      </c>
      <c r="H64" s="250" t="s">
        <v>483</v>
      </c>
      <c r="I64" s="250" t="s">
        <v>484</v>
      </c>
      <c r="J64" s="250" t="s">
        <v>485</v>
      </c>
    </row>
    <row r="66" spans="3:10" x14ac:dyDescent="0.3">
      <c r="C66" s="250" t="s">
        <v>486</v>
      </c>
      <c r="E66" s="250" t="s">
        <v>487</v>
      </c>
      <c r="J66" s="250" t="s">
        <v>488</v>
      </c>
    </row>
    <row r="67" spans="3:10" x14ac:dyDescent="0.3">
      <c r="E67" s="250" t="s">
        <v>489</v>
      </c>
      <c r="F67" s="250" t="s">
        <v>490</v>
      </c>
      <c r="G67" s="250" t="s">
        <v>491</v>
      </c>
      <c r="H67" s="250" t="s">
        <v>492</v>
      </c>
      <c r="I67" s="250" t="s">
        <v>493</v>
      </c>
      <c r="J67" s="250" t="s">
        <v>494</v>
      </c>
    </row>
    <row r="69" spans="3:10" x14ac:dyDescent="0.3">
      <c r="C69" s="250" t="s">
        <v>495</v>
      </c>
      <c r="E69" s="250" t="s">
        <v>496</v>
      </c>
      <c r="J69" s="250" t="s">
        <v>497</v>
      </c>
    </row>
    <row r="70" spans="3:10" x14ac:dyDescent="0.3">
      <c r="E70" s="250" t="s">
        <v>498</v>
      </c>
      <c r="F70" s="250" t="s">
        <v>499</v>
      </c>
      <c r="G70" s="250" t="s">
        <v>500</v>
      </c>
      <c r="H70" s="250" t="s">
        <v>501</v>
      </c>
      <c r="I70" s="250" t="s">
        <v>502</v>
      </c>
      <c r="J70" s="250" t="s">
        <v>503</v>
      </c>
    </row>
    <row r="72" spans="3:10" x14ac:dyDescent="0.3">
      <c r="C72" s="250" t="s">
        <v>504</v>
      </c>
      <c r="E72" s="250" t="s">
        <v>505</v>
      </c>
      <c r="J72" s="250" t="s">
        <v>506</v>
      </c>
    </row>
    <row r="73" spans="3:10" x14ac:dyDescent="0.3">
      <c r="E73" s="250" t="s">
        <v>507</v>
      </c>
      <c r="F73" s="250" t="s">
        <v>508</v>
      </c>
      <c r="G73" s="250" t="s">
        <v>509</v>
      </c>
      <c r="H73" s="250" t="s">
        <v>510</v>
      </c>
      <c r="I73" s="250" t="s">
        <v>511</v>
      </c>
      <c r="J73" s="250" t="s">
        <v>512</v>
      </c>
    </row>
    <row r="76" spans="3:10" x14ac:dyDescent="0.3">
      <c r="I76" s="250" t="s">
        <v>51</v>
      </c>
      <c r="J76" s="250" t="s">
        <v>513</v>
      </c>
    </row>
    <row r="78" spans="3:10" x14ac:dyDescent="0.3">
      <c r="E78" s="250" t="s">
        <v>52</v>
      </c>
    </row>
    <row r="79" spans="3:10" x14ac:dyDescent="0.3">
      <c r="C79" s="250" t="s">
        <v>514</v>
      </c>
      <c r="E79" s="250" t="s">
        <v>515</v>
      </c>
      <c r="J79" s="250" t="s">
        <v>516</v>
      </c>
    </row>
    <row r="80" spans="3:10" x14ac:dyDescent="0.3">
      <c r="E80" s="250" t="s">
        <v>517</v>
      </c>
      <c r="F80" s="250" t="s">
        <v>518</v>
      </c>
      <c r="G80" s="250" t="s">
        <v>519</v>
      </c>
      <c r="H80" s="250" t="s">
        <v>520</v>
      </c>
      <c r="I80" s="250" t="s">
        <v>521</v>
      </c>
      <c r="J80" s="250" t="s">
        <v>522</v>
      </c>
    </row>
    <row r="82" spans="3:10" x14ac:dyDescent="0.3">
      <c r="I82" s="250" t="s">
        <v>53</v>
      </c>
      <c r="J82" s="250" t="s">
        <v>523</v>
      </c>
    </row>
    <row r="85" spans="3:10" x14ac:dyDescent="0.3">
      <c r="E85" s="250" t="s">
        <v>54</v>
      </c>
      <c r="J85" s="250" t="s">
        <v>524</v>
      </c>
    </row>
    <row r="87" spans="3:10" x14ac:dyDescent="0.3">
      <c r="E87" s="250" t="s">
        <v>55</v>
      </c>
    </row>
    <row r="88" spans="3:10" x14ac:dyDescent="0.3">
      <c r="C88" s="250" t="s">
        <v>525</v>
      </c>
      <c r="E88" s="250" t="s">
        <v>526</v>
      </c>
      <c r="J88" s="250" t="s">
        <v>527</v>
      </c>
    </row>
    <row r="89" spans="3:10" x14ac:dyDescent="0.3">
      <c r="E89" s="250" t="s">
        <v>528</v>
      </c>
      <c r="F89" s="250" t="s">
        <v>529</v>
      </c>
      <c r="G89" s="250" t="s">
        <v>530</v>
      </c>
      <c r="H89" s="250" t="s">
        <v>531</v>
      </c>
      <c r="I89" s="250" t="s">
        <v>532</v>
      </c>
      <c r="J89" s="250" t="s">
        <v>533</v>
      </c>
    </row>
    <row r="91" spans="3:10" x14ac:dyDescent="0.3">
      <c r="C91" s="250" t="s">
        <v>534</v>
      </c>
      <c r="E91" s="250" t="s">
        <v>535</v>
      </c>
      <c r="J91" s="250" t="s">
        <v>536</v>
      </c>
    </row>
    <row r="92" spans="3:10" x14ac:dyDescent="0.3">
      <c r="E92" s="250" t="s">
        <v>537</v>
      </c>
      <c r="F92" s="250" t="s">
        <v>538</v>
      </c>
      <c r="G92" s="250" t="s">
        <v>539</v>
      </c>
      <c r="H92" s="250" t="s">
        <v>540</v>
      </c>
      <c r="I92" s="250" t="s">
        <v>541</v>
      </c>
      <c r="J92" s="250" t="s">
        <v>542</v>
      </c>
    </row>
    <row r="94" spans="3:10" x14ac:dyDescent="0.3">
      <c r="C94" s="250" t="s">
        <v>543</v>
      </c>
      <c r="E94" s="250" t="s">
        <v>544</v>
      </c>
      <c r="J94" s="250" t="s">
        <v>545</v>
      </c>
    </row>
    <row r="95" spans="3:10" x14ac:dyDescent="0.3">
      <c r="E95" s="250" t="s">
        <v>546</v>
      </c>
      <c r="F95" s="250" t="s">
        <v>547</v>
      </c>
      <c r="G95" s="250" t="s">
        <v>548</v>
      </c>
      <c r="H95" s="250" t="s">
        <v>549</v>
      </c>
      <c r="I95" s="250" t="s">
        <v>550</v>
      </c>
      <c r="J95" s="250" t="s">
        <v>551</v>
      </c>
    </row>
    <row r="97" spans="2:10" x14ac:dyDescent="0.3">
      <c r="C97" s="250" t="s">
        <v>61</v>
      </c>
      <c r="E97" s="250" t="s">
        <v>60</v>
      </c>
      <c r="J97" s="250" t="s">
        <v>552</v>
      </c>
    </row>
    <row r="99" spans="2:10" x14ac:dyDescent="0.3">
      <c r="E99" s="250" t="s">
        <v>56</v>
      </c>
      <c r="J99" s="250" t="s">
        <v>553</v>
      </c>
    </row>
    <row r="101" spans="2:10" x14ac:dyDescent="0.3">
      <c r="E101" s="250" t="s">
        <v>57</v>
      </c>
      <c r="J101" s="250" t="s">
        <v>554</v>
      </c>
    </row>
    <row r="103" spans="2:10" x14ac:dyDescent="0.3">
      <c r="B103" s="250" t="s">
        <v>555</v>
      </c>
      <c r="C103" s="250" t="s">
        <v>159</v>
      </c>
      <c r="E103" s="250" t="s">
        <v>158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workbookViewId="0"/>
  </sheetViews>
  <sheetFormatPr defaultRowHeight="16.5" x14ac:dyDescent="0.3"/>
  <sheetData>
    <row r="1" spans="1:14" x14ac:dyDescent="0.3">
      <c r="A1" s="250" t="s">
        <v>3548</v>
      </c>
      <c r="B1" s="250" t="s">
        <v>157</v>
      </c>
      <c r="C1" s="250" t="s">
        <v>11</v>
      </c>
      <c r="F1" s="250" t="s">
        <v>11</v>
      </c>
      <c r="G1" s="250" t="s">
        <v>11</v>
      </c>
      <c r="H1" s="250" t="s">
        <v>11</v>
      </c>
      <c r="I1" s="250" t="s">
        <v>40</v>
      </c>
      <c r="J1" s="250" t="s">
        <v>40</v>
      </c>
    </row>
    <row r="3" spans="1:14" x14ac:dyDescent="0.3">
      <c r="E3" s="250" t="s">
        <v>30</v>
      </c>
      <c r="L3" s="250" t="s">
        <v>9</v>
      </c>
      <c r="N3" s="250" t="s">
        <v>351</v>
      </c>
    </row>
    <row r="4" spans="1:14" x14ac:dyDescent="0.3">
      <c r="C4" s="250" t="s">
        <v>156</v>
      </c>
      <c r="L4" s="250" t="s">
        <v>41</v>
      </c>
      <c r="N4" s="250" t="s">
        <v>175</v>
      </c>
    </row>
    <row r="7" spans="1:14" x14ac:dyDescent="0.3">
      <c r="L7" s="250" t="s">
        <v>31</v>
      </c>
    </row>
    <row r="8" spans="1:14" x14ac:dyDescent="0.3">
      <c r="L8" s="250" t="s">
        <v>32</v>
      </c>
      <c r="M8" s="250" t="s">
        <v>33</v>
      </c>
    </row>
    <row r="9" spans="1:14" x14ac:dyDescent="0.3">
      <c r="L9" s="250" t="s">
        <v>34</v>
      </c>
      <c r="M9" s="250" t="s">
        <v>35</v>
      </c>
      <c r="N9" s="250" t="s">
        <v>36</v>
      </c>
    </row>
    <row r="10" spans="1:14" x14ac:dyDescent="0.3">
      <c r="E10" s="250" t="s">
        <v>37</v>
      </c>
      <c r="L10" s="250" t="s">
        <v>352</v>
      </c>
      <c r="M10" s="250" t="s">
        <v>353</v>
      </c>
    </row>
    <row r="11" spans="1:14" x14ac:dyDescent="0.3">
      <c r="L11" s="250" t="s">
        <v>354</v>
      </c>
      <c r="M11" s="250" t="s">
        <v>355</v>
      </c>
      <c r="N11" s="250" t="s">
        <v>356</v>
      </c>
    </row>
    <row r="12" spans="1:14" x14ac:dyDescent="0.3">
      <c r="E12" s="250" t="s">
        <v>45</v>
      </c>
      <c r="L12" s="250" t="s">
        <v>37</v>
      </c>
    </row>
    <row r="13" spans="1:14" x14ac:dyDescent="0.3">
      <c r="C13" s="250" t="s">
        <v>357</v>
      </c>
      <c r="E13" s="250" t="s">
        <v>3545</v>
      </c>
      <c r="J13" s="250" t="s">
        <v>359</v>
      </c>
      <c r="L13" s="250" t="s">
        <v>39</v>
      </c>
    </row>
    <row r="14" spans="1:14" x14ac:dyDescent="0.3">
      <c r="E14" s="250" t="s">
        <v>360</v>
      </c>
      <c r="F14" s="250" t="s">
        <v>361</v>
      </c>
      <c r="G14" s="250" t="s">
        <v>362</v>
      </c>
      <c r="H14" s="250" t="s">
        <v>363</v>
      </c>
      <c r="I14" s="250" t="s">
        <v>364</v>
      </c>
      <c r="J14" s="250" t="s">
        <v>365</v>
      </c>
    </row>
    <row r="16" spans="1:14" x14ac:dyDescent="0.3">
      <c r="C16" s="250" t="s">
        <v>366</v>
      </c>
      <c r="E16" s="250" t="s">
        <v>367</v>
      </c>
      <c r="J16" s="250" t="s">
        <v>368</v>
      </c>
    </row>
    <row r="17" spans="3:10" x14ac:dyDescent="0.3">
      <c r="E17" s="250" t="s">
        <v>369</v>
      </c>
      <c r="F17" s="250" t="s">
        <v>370</v>
      </c>
      <c r="G17" s="250" t="s">
        <v>371</v>
      </c>
      <c r="H17" s="250" t="s">
        <v>372</v>
      </c>
      <c r="I17" s="250" t="s">
        <v>373</v>
      </c>
      <c r="J17" s="250" t="s">
        <v>374</v>
      </c>
    </row>
    <row r="19" spans="3:10" x14ac:dyDescent="0.3">
      <c r="C19" s="250" t="s">
        <v>375</v>
      </c>
      <c r="E19" s="250" t="s">
        <v>376</v>
      </c>
      <c r="J19" s="250" t="s">
        <v>377</v>
      </c>
    </row>
    <row r="20" spans="3:10" x14ac:dyDescent="0.3">
      <c r="E20" s="250" t="s">
        <v>378</v>
      </c>
      <c r="F20" s="250" t="s">
        <v>379</v>
      </c>
      <c r="G20" s="250" t="s">
        <v>380</v>
      </c>
      <c r="H20" s="250" t="s">
        <v>381</v>
      </c>
      <c r="I20" s="250" t="s">
        <v>382</v>
      </c>
      <c r="J20" s="250" t="s">
        <v>383</v>
      </c>
    </row>
    <row r="22" spans="3:10" x14ac:dyDescent="0.3">
      <c r="C22" s="250" t="s">
        <v>384</v>
      </c>
      <c r="E22" s="250" t="s">
        <v>385</v>
      </c>
      <c r="J22" s="250" t="s">
        <v>386</v>
      </c>
    </row>
    <row r="23" spans="3:10" x14ac:dyDescent="0.3">
      <c r="E23" s="250" t="s">
        <v>387</v>
      </c>
      <c r="F23" s="250" t="s">
        <v>388</v>
      </c>
      <c r="G23" s="250" t="s">
        <v>389</v>
      </c>
      <c r="H23" s="250" t="s">
        <v>390</v>
      </c>
      <c r="I23" s="250" t="s">
        <v>391</v>
      </c>
      <c r="J23" s="250" t="s">
        <v>392</v>
      </c>
    </row>
    <row r="25" spans="3:10" x14ac:dyDescent="0.3">
      <c r="C25" s="250" t="s">
        <v>393</v>
      </c>
      <c r="E25" s="250" t="s">
        <v>394</v>
      </c>
      <c r="J25" s="250" t="s">
        <v>395</v>
      </c>
    </row>
    <row r="26" spans="3:10" x14ac:dyDescent="0.3">
      <c r="E26" s="250" t="s">
        <v>396</v>
      </c>
      <c r="F26" s="250" t="s">
        <v>397</v>
      </c>
      <c r="G26" s="250" t="s">
        <v>398</v>
      </c>
      <c r="H26" s="250" t="s">
        <v>399</v>
      </c>
      <c r="I26" s="250" t="s">
        <v>400</v>
      </c>
      <c r="J26" s="250" t="s">
        <v>401</v>
      </c>
    </row>
    <row r="28" spans="3:10" x14ac:dyDescent="0.3">
      <c r="C28" s="250" t="s">
        <v>402</v>
      </c>
      <c r="E28" s="250" t="s">
        <v>403</v>
      </c>
      <c r="J28" s="250" t="s">
        <v>404</v>
      </c>
    </row>
    <row r="29" spans="3:10" x14ac:dyDescent="0.3">
      <c r="E29" s="250" t="s">
        <v>405</v>
      </c>
      <c r="F29" s="250" t="s">
        <v>406</v>
      </c>
      <c r="G29" s="250" t="s">
        <v>407</v>
      </c>
      <c r="H29" s="250" t="s">
        <v>408</v>
      </c>
      <c r="I29" s="250" t="s">
        <v>409</v>
      </c>
      <c r="J29" s="250" t="s">
        <v>410</v>
      </c>
    </row>
    <row r="31" spans="3:10" x14ac:dyDescent="0.3">
      <c r="C31" s="250" t="s">
        <v>411</v>
      </c>
      <c r="E31" s="250" t="s">
        <v>412</v>
      </c>
      <c r="J31" s="250" t="s">
        <v>413</v>
      </c>
    </row>
    <row r="32" spans="3:10" x14ac:dyDescent="0.3">
      <c r="E32" s="250" t="s">
        <v>414</v>
      </c>
      <c r="F32" s="250" t="s">
        <v>415</v>
      </c>
      <c r="G32" s="250" t="s">
        <v>416</v>
      </c>
      <c r="H32" s="250" t="s">
        <v>417</v>
      </c>
      <c r="I32" s="250" t="s">
        <v>418</v>
      </c>
      <c r="J32" s="250" t="s">
        <v>419</v>
      </c>
    </row>
    <row r="34" spans="3:10" x14ac:dyDescent="0.3">
      <c r="I34" s="250" t="s">
        <v>44</v>
      </c>
      <c r="J34" s="250" t="s">
        <v>420</v>
      </c>
    </row>
    <row r="36" spans="3:10" x14ac:dyDescent="0.3">
      <c r="E36" s="250" t="s">
        <v>46</v>
      </c>
    </row>
    <row r="37" spans="3:10" x14ac:dyDescent="0.3">
      <c r="C37" s="250" t="s">
        <v>421</v>
      </c>
      <c r="E37" s="250" t="s">
        <v>422</v>
      </c>
      <c r="J37" s="250" t="s">
        <v>423</v>
      </c>
    </row>
    <row r="38" spans="3:10" x14ac:dyDescent="0.3">
      <c r="E38" s="250" t="s">
        <v>424</v>
      </c>
      <c r="F38" s="250" t="s">
        <v>425</v>
      </c>
      <c r="G38" s="250" t="s">
        <v>426</v>
      </c>
      <c r="H38" s="250" t="s">
        <v>427</v>
      </c>
      <c r="I38" s="250" t="s">
        <v>428</v>
      </c>
      <c r="J38" s="250" t="s">
        <v>429</v>
      </c>
    </row>
    <row r="40" spans="3:10" x14ac:dyDescent="0.3">
      <c r="C40" s="250" t="s">
        <v>430</v>
      </c>
      <c r="E40" s="250" t="s">
        <v>431</v>
      </c>
      <c r="J40" s="250" t="s">
        <v>432</v>
      </c>
    </row>
    <row r="41" spans="3:10" x14ac:dyDescent="0.3">
      <c r="E41" s="250" t="s">
        <v>433</v>
      </c>
      <c r="F41" s="250" t="s">
        <v>434</v>
      </c>
      <c r="G41" s="250" t="s">
        <v>435</v>
      </c>
      <c r="H41" s="250" t="s">
        <v>436</v>
      </c>
      <c r="I41" s="250" t="s">
        <v>437</v>
      </c>
      <c r="J41" s="250" t="s">
        <v>438</v>
      </c>
    </row>
    <row r="43" spans="3:10" x14ac:dyDescent="0.3">
      <c r="C43" s="250" t="s">
        <v>439</v>
      </c>
      <c r="E43" s="250" t="s">
        <v>440</v>
      </c>
      <c r="J43" s="250" t="s">
        <v>441</v>
      </c>
    </row>
    <row r="44" spans="3:10" x14ac:dyDescent="0.3">
      <c r="E44" s="250" t="s">
        <v>442</v>
      </c>
      <c r="F44" s="250" t="s">
        <v>443</v>
      </c>
      <c r="G44" s="250" t="s">
        <v>444</v>
      </c>
      <c r="H44" s="250" t="s">
        <v>445</v>
      </c>
      <c r="I44" s="250" t="s">
        <v>446</v>
      </c>
      <c r="J44" s="250" t="s">
        <v>447</v>
      </c>
    </row>
    <row r="46" spans="3:10" x14ac:dyDescent="0.3">
      <c r="C46" s="250" t="s">
        <v>448</v>
      </c>
      <c r="E46" s="250" t="s">
        <v>449</v>
      </c>
      <c r="J46" s="250" t="s">
        <v>450</v>
      </c>
    </row>
    <row r="47" spans="3:10" x14ac:dyDescent="0.3">
      <c r="E47" s="250" t="s">
        <v>451</v>
      </c>
      <c r="F47" s="250" t="s">
        <v>452</v>
      </c>
      <c r="G47" s="250" t="s">
        <v>453</v>
      </c>
      <c r="H47" s="250" t="s">
        <v>454</v>
      </c>
      <c r="I47" s="250" t="s">
        <v>455</v>
      </c>
      <c r="J47" s="250" t="s">
        <v>456</v>
      </c>
    </row>
    <row r="49" spans="3:10" x14ac:dyDescent="0.3">
      <c r="I49" s="250" t="s">
        <v>47</v>
      </c>
      <c r="J49" s="250" t="s">
        <v>457</v>
      </c>
    </row>
    <row r="51" spans="3:10" x14ac:dyDescent="0.3">
      <c r="E51" s="250" t="s">
        <v>48</v>
      </c>
      <c r="J51" s="250" t="s">
        <v>458</v>
      </c>
    </row>
    <row r="54" spans="3:10" x14ac:dyDescent="0.3">
      <c r="E54" s="250" t="s">
        <v>49</v>
      </c>
    </row>
    <row r="56" spans="3:10" x14ac:dyDescent="0.3">
      <c r="E56" s="250" t="s">
        <v>50</v>
      </c>
    </row>
    <row r="57" spans="3:10" x14ac:dyDescent="0.3">
      <c r="C57" s="250" t="s">
        <v>459</v>
      </c>
      <c r="E57" s="250" t="s">
        <v>460</v>
      </c>
      <c r="J57" s="250" t="s">
        <v>461</v>
      </c>
    </row>
    <row r="58" spans="3:10" x14ac:dyDescent="0.3">
      <c r="E58" s="250" t="s">
        <v>462</v>
      </c>
      <c r="F58" s="250" t="s">
        <v>463</v>
      </c>
      <c r="G58" s="250" t="s">
        <v>464</v>
      </c>
      <c r="H58" s="250" t="s">
        <v>465</v>
      </c>
      <c r="I58" s="250" t="s">
        <v>466</v>
      </c>
      <c r="J58" s="250" t="s">
        <v>467</v>
      </c>
    </row>
    <row r="60" spans="3:10" x14ac:dyDescent="0.3">
      <c r="C60" s="250" t="s">
        <v>468</v>
      </c>
      <c r="E60" s="250" t="s">
        <v>469</v>
      </c>
      <c r="J60" s="250" t="s">
        <v>470</v>
      </c>
    </row>
    <row r="61" spans="3:10" x14ac:dyDescent="0.3">
      <c r="E61" s="250" t="s">
        <v>471</v>
      </c>
      <c r="F61" s="250" t="s">
        <v>472</v>
      </c>
      <c r="G61" s="250" t="s">
        <v>473</v>
      </c>
      <c r="H61" s="250" t="s">
        <v>474</v>
      </c>
      <c r="I61" s="250" t="s">
        <v>475</v>
      </c>
      <c r="J61" s="250" t="s">
        <v>476</v>
      </c>
    </row>
    <row r="63" spans="3:10" x14ac:dyDescent="0.3">
      <c r="C63" s="250" t="s">
        <v>477</v>
      </c>
      <c r="E63" s="250" t="s">
        <v>478</v>
      </c>
      <c r="J63" s="250" t="s">
        <v>479</v>
      </c>
    </row>
    <row r="64" spans="3:10" x14ac:dyDescent="0.3">
      <c r="E64" s="250" t="s">
        <v>480</v>
      </c>
      <c r="F64" s="250" t="s">
        <v>481</v>
      </c>
      <c r="G64" s="250" t="s">
        <v>482</v>
      </c>
      <c r="H64" s="250" t="s">
        <v>483</v>
      </c>
      <c r="I64" s="250" t="s">
        <v>484</v>
      </c>
      <c r="J64" s="250" t="s">
        <v>485</v>
      </c>
    </row>
    <row r="66" spans="3:10" x14ac:dyDescent="0.3">
      <c r="C66" s="250" t="s">
        <v>486</v>
      </c>
      <c r="E66" s="250" t="s">
        <v>487</v>
      </c>
      <c r="J66" s="250" t="s">
        <v>488</v>
      </c>
    </row>
    <row r="67" spans="3:10" x14ac:dyDescent="0.3">
      <c r="E67" s="250" t="s">
        <v>489</v>
      </c>
      <c r="F67" s="250" t="s">
        <v>490</v>
      </c>
      <c r="G67" s="250" t="s">
        <v>491</v>
      </c>
      <c r="H67" s="250" t="s">
        <v>492</v>
      </c>
      <c r="I67" s="250" t="s">
        <v>493</v>
      </c>
      <c r="J67" s="250" t="s">
        <v>494</v>
      </c>
    </row>
    <row r="69" spans="3:10" x14ac:dyDescent="0.3">
      <c r="C69" s="250" t="s">
        <v>495</v>
      </c>
      <c r="E69" s="250" t="s">
        <v>496</v>
      </c>
      <c r="J69" s="250" t="s">
        <v>497</v>
      </c>
    </row>
    <row r="70" spans="3:10" x14ac:dyDescent="0.3">
      <c r="E70" s="250" t="s">
        <v>498</v>
      </c>
      <c r="F70" s="250" t="s">
        <v>499</v>
      </c>
      <c r="G70" s="250" t="s">
        <v>500</v>
      </c>
      <c r="H70" s="250" t="s">
        <v>501</v>
      </c>
      <c r="I70" s="250" t="s">
        <v>502</v>
      </c>
      <c r="J70" s="250" t="s">
        <v>503</v>
      </c>
    </row>
    <row r="72" spans="3:10" x14ac:dyDescent="0.3">
      <c r="C72" s="250" t="s">
        <v>504</v>
      </c>
      <c r="E72" s="250" t="s">
        <v>505</v>
      </c>
      <c r="J72" s="250" t="s">
        <v>506</v>
      </c>
    </row>
    <row r="73" spans="3:10" x14ac:dyDescent="0.3">
      <c r="E73" s="250" t="s">
        <v>507</v>
      </c>
      <c r="F73" s="250" t="s">
        <v>508</v>
      </c>
      <c r="G73" s="250" t="s">
        <v>509</v>
      </c>
      <c r="H73" s="250" t="s">
        <v>510</v>
      </c>
      <c r="I73" s="250" t="s">
        <v>511</v>
      </c>
      <c r="J73" s="250" t="s">
        <v>512</v>
      </c>
    </row>
    <row r="76" spans="3:10" x14ac:dyDescent="0.3">
      <c r="I76" s="250" t="s">
        <v>51</v>
      </c>
      <c r="J76" s="250" t="s">
        <v>513</v>
      </c>
    </row>
    <row r="78" spans="3:10" x14ac:dyDescent="0.3">
      <c r="E78" s="250" t="s">
        <v>52</v>
      </c>
    </row>
    <row r="79" spans="3:10" x14ac:dyDescent="0.3">
      <c r="C79" s="250" t="s">
        <v>514</v>
      </c>
      <c r="E79" s="250" t="s">
        <v>515</v>
      </c>
      <c r="J79" s="250" t="s">
        <v>516</v>
      </c>
    </row>
    <row r="80" spans="3:10" x14ac:dyDescent="0.3">
      <c r="E80" s="250" t="s">
        <v>517</v>
      </c>
      <c r="F80" s="250" t="s">
        <v>518</v>
      </c>
      <c r="G80" s="250" t="s">
        <v>519</v>
      </c>
      <c r="H80" s="250" t="s">
        <v>520</v>
      </c>
      <c r="I80" s="250" t="s">
        <v>521</v>
      </c>
      <c r="J80" s="250" t="s">
        <v>522</v>
      </c>
    </row>
    <row r="82" spans="3:10" x14ac:dyDescent="0.3">
      <c r="I82" s="250" t="s">
        <v>53</v>
      </c>
      <c r="J82" s="250" t="s">
        <v>523</v>
      </c>
    </row>
    <row r="85" spans="3:10" x14ac:dyDescent="0.3">
      <c r="E85" s="250" t="s">
        <v>54</v>
      </c>
      <c r="J85" s="250" t="s">
        <v>524</v>
      </c>
    </row>
    <row r="87" spans="3:10" x14ac:dyDescent="0.3">
      <c r="E87" s="250" t="s">
        <v>55</v>
      </c>
    </row>
    <row r="88" spans="3:10" x14ac:dyDescent="0.3">
      <c r="C88" s="250" t="s">
        <v>525</v>
      </c>
      <c r="E88" s="250" t="s">
        <v>526</v>
      </c>
      <c r="J88" s="250" t="s">
        <v>527</v>
      </c>
    </row>
    <row r="89" spans="3:10" x14ac:dyDescent="0.3">
      <c r="E89" s="250" t="s">
        <v>528</v>
      </c>
      <c r="F89" s="250" t="s">
        <v>529</v>
      </c>
      <c r="G89" s="250" t="s">
        <v>530</v>
      </c>
      <c r="H89" s="250" t="s">
        <v>531</v>
      </c>
      <c r="I89" s="250" t="s">
        <v>532</v>
      </c>
      <c r="J89" s="250" t="s">
        <v>533</v>
      </c>
    </row>
    <row r="91" spans="3:10" x14ac:dyDescent="0.3">
      <c r="C91" s="250" t="s">
        <v>534</v>
      </c>
      <c r="E91" s="250" t="s">
        <v>535</v>
      </c>
      <c r="J91" s="250" t="s">
        <v>536</v>
      </c>
    </row>
    <row r="92" spans="3:10" x14ac:dyDescent="0.3">
      <c r="E92" s="250" t="s">
        <v>537</v>
      </c>
      <c r="F92" s="250" t="s">
        <v>538</v>
      </c>
      <c r="G92" s="250" t="s">
        <v>539</v>
      </c>
      <c r="H92" s="250" t="s">
        <v>540</v>
      </c>
      <c r="I92" s="250" t="s">
        <v>541</v>
      </c>
      <c r="J92" s="250" t="s">
        <v>542</v>
      </c>
    </row>
    <row r="94" spans="3:10" x14ac:dyDescent="0.3">
      <c r="C94" s="250" t="s">
        <v>543</v>
      </c>
      <c r="E94" s="250" t="s">
        <v>544</v>
      </c>
      <c r="J94" s="250" t="s">
        <v>545</v>
      </c>
    </row>
    <row r="95" spans="3:10" x14ac:dyDescent="0.3">
      <c r="E95" s="250" t="s">
        <v>546</v>
      </c>
      <c r="F95" s="250" t="s">
        <v>547</v>
      </c>
      <c r="G95" s="250" t="s">
        <v>548</v>
      </c>
      <c r="H95" s="250" t="s">
        <v>549</v>
      </c>
      <c r="I95" s="250" t="s">
        <v>550</v>
      </c>
      <c r="J95" s="250" t="s">
        <v>551</v>
      </c>
    </row>
    <row r="97" spans="2:10" x14ac:dyDescent="0.3">
      <c r="C97" s="250" t="s">
        <v>61</v>
      </c>
      <c r="E97" s="250" t="s">
        <v>60</v>
      </c>
      <c r="J97" s="250" t="s">
        <v>552</v>
      </c>
    </row>
    <row r="99" spans="2:10" x14ac:dyDescent="0.3">
      <c r="E99" s="250" t="s">
        <v>56</v>
      </c>
      <c r="J99" s="250" t="s">
        <v>553</v>
      </c>
    </row>
    <row r="101" spans="2:10" x14ac:dyDescent="0.3">
      <c r="E101" s="250" t="s">
        <v>57</v>
      </c>
      <c r="J101" s="250" t="s">
        <v>554</v>
      </c>
    </row>
    <row r="103" spans="2:10" x14ac:dyDescent="0.3">
      <c r="B103" s="250" t="s">
        <v>555</v>
      </c>
      <c r="C103" s="250" t="s">
        <v>159</v>
      </c>
      <c r="E103" s="250" t="s">
        <v>158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heetViews>
  <sheetFormatPr defaultRowHeight="16.5" x14ac:dyDescent="0.3"/>
  <sheetData>
    <row r="1" spans="1:10" x14ac:dyDescent="0.3">
      <c r="A1" s="250" t="s">
        <v>3553</v>
      </c>
    </row>
    <row r="3" spans="1:10" x14ac:dyDescent="0.3">
      <c r="C3" s="250" t="s">
        <v>146</v>
      </c>
    </row>
    <row r="5" spans="1:10" x14ac:dyDescent="0.3">
      <c r="C5" s="250" t="s">
        <v>148</v>
      </c>
    </row>
    <row r="6" spans="1:10" x14ac:dyDescent="0.3">
      <c r="C6" s="250" t="s">
        <v>149</v>
      </c>
    </row>
    <row r="7" spans="1:10" x14ac:dyDescent="0.3">
      <c r="C7" s="250" t="s">
        <v>147</v>
      </c>
    </row>
    <row r="8" spans="1:10" x14ac:dyDescent="0.3">
      <c r="C8" s="250" t="s">
        <v>150</v>
      </c>
    </row>
    <row r="10" spans="1:10" x14ac:dyDescent="0.3">
      <c r="C10" s="250" t="s">
        <v>66</v>
      </c>
      <c r="D10" s="250" t="s">
        <v>92</v>
      </c>
      <c r="E10" s="250" t="s">
        <v>67</v>
      </c>
      <c r="F10" s="250" t="s">
        <v>68</v>
      </c>
      <c r="G10" s="250" t="s">
        <v>69</v>
      </c>
      <c r="H10" s="250" t="s">
        <v>16</v>
      </c>
      <c r="I10" s="250" t="s">
        <v>70</v>
      </c>
      <c r="J10" s="250" t="s">
        <v>71</v>
      </c>
    </row>
    <row r="11" spans="1:10" x14ac:dyDescent="0.3">
      <c r="C11" s="250" t="s">
        <v>72</v>
      </c>
      <c r="D11" s="250" t="s">
        <v>357</v>
      </c>
      <c r="E11" s="250" t="s">
        <v>38</v>
      </c>
      <c r="F11" s="250" t="s">
        <v>3554</v>
      </c>
    </row>
    <row r="12" spans="1:10" x14ac:dyDescent="0.3">
      <c r="C12" s="250" t="s">
        <v>73</v>
      </c>
      <c r="D12" s="250" t="s">
        <v>357</v>
      </c>
      <c r="E12" s="250" t="s">
        <v>62</v>
      </c>
      <c r="F12" s="250" t="s">
        <v>556</v>
      </c>
      <c r="G12" s="250" t="s">
        <v>3555</v>
      </c>
      <c r="I12" s="250" t="s">
        <v>3549</v>
      </c>
    </row>
    <row r="13" spans="1:10" x14ac:dyDescent="0.3">
      <c r="C13" s="250" t="s">
        <v>91</v>
      </c>
      <c r="D13" s="250" t="s">
        <v>357</v>
      </c>
      <c r="E13" s="250" t="s">
        <v>82</v>
      </c>
      <c r="F13" s="250" t="s">
        <v>557</v>
      </c>
      <c r="G13" s="250" t="s">
        <v>558</v>
      </c>
      <c r="I13" s="250" t="s">
        <v>559</v>
      </c>
    </row>
    <row r="14" spans="1:10" x14ac:dyDescent="0.3">
      <c r="C14" s="250" t="s">
        <v>74</v>
      </c>
      <c r="D14" s="250" t="s">
        <v>561</v>
      </c>
      <c r="E14" s="250" t="s">
        <v>63</v>
      </c>
      <c r="F14" s="250" t="s">
        <v>560</v>
      </c>
    </row>
    <row r="15" spans="1:10" x14ac:dyDescent="0.3">
      <c r="C15" s="250" t="s">
        <v>514</v>
      </c>
      <c r="D15" s="250" t="s">
        <v>561</v>
      </c>
      <c r="E15" s="250" t="s">
        <v>64</v>
      </c>
      <c r="F15" s="250" t="s">
        <v>562</v>
      </c>
    </row>
    <row r="16" spans="1:10" x14ac:dyDescent="0.3">
      <c r="C16" s="250" t="s">
        <v>120</v>
      </c>
      <c r="D16" s="250" t="s">
        <v>561</v>
      </c>
      <c r="E16" s="250" t="s">
        <v>83</v>
      </c>
      <c r="F16" s="250" t="s">
        <v>563</v>
      </c>
    </row>
    <row r="17" spans="3:10" x14ac:dyDescent="0.3">
      <c r="C17" s="250" t="s">
        <v>153</v>
      </c>
      <c r="D17" s="250" t="s">
        <v>561</v>
      </c>
      <c r="E17" s="250" t="s">
        <v>75</v>
      </c>
      <c r="F17" s="250" t="s">
        <v>564</v>
      </c>
    </row>
    <row r="18" spans="3:10" x14ac:dyDescent="0.3">
      <c r="C18" s="250" t="s">
        <v>152</v>
      </c>
      <c r="D18" s="250" t="s">
        <v>561</v>
      </c>
      <c r="E18" s="250" t="s">
        <v>84</v>
      </c>
      <c r="F18" s="250" t="s">
        <v>565</v>
      </c>
    </row>
    <row r="19" spans="3:10" x14ac:dyDescent="0.3">
      <c r="C19" s="250" t="s">
        <v>61</v>
      </c>
      <c r="D19" s="250" t="s">
        <v>561</v>
      </c>
      <c r="E19" s="250" t="s">
        <v>86</v>
      </c>
      <c r="G19" s="250" t="s">
        <v>3556</v>
      </c>
      <c r="H19" s="250" t="s">
        <v>3557</v>
      </c>
    </row>
    <row r="20" spans="3:10" x14ac:dyDescent="0.3">
      <c r="C20" s="250" t="s">
        <v>393</v>
      </c>
      <c r="D20" s="250" t="s">
        <v>357</v>
      </c>
      <c r="E20" s="250" t="s">
        <v>59</v>
      </c>
      <c r="F20" s="250" t="s">
        <v>3558</v>
      </c>
      <c r="G20" s="250" t="s">
        <v>566</v>
      </c>
      <c r="I20" s="250" t="s">
        <v>3550</v>
      </c>
    </row>
    <row r="21" spans="3:10" x14ac:dyDescent="0.3">
      <c r="C21" s="250" t="s">
        <v>375</v>
      </c>
      <c r="D21" s="250" t="s">
        <v>357</v>
      </c>
      <c r="E21" s="250" t="s">
        <v>76</v>
      </c>
      <c r="F21" s="250" t="s">
        <v>567</v>
      </c>
    </row>
    <row r="22" spans="3:10" x14ac:dyDescent="0.3">
      <c r="C22" s="250" t="s">
        <v>77</v>
      </c>
      <c r="D22" s="250" t="s">
        <v>561</v>
      </c>
      <c r="E22" s="250" t="s">
        <v>78</v>
      </c>
      <c r="F22" s="250" t="s">
        <v>568</v>
      </c>
    </row>
    <row r="23" spans="3:10" x14ac:dyDescent="0.3">
      <c r="C23" s="250" t="s">
        <v>459</v>
      </c>
      <c r="D23" s="250" t="s">
        <v>561</v>
      </c>
      <c r="E23" s="250" t="s">
        <v>58</v>
      </c>
      <c r="F23" s="250" t="s">
        <v>569</v>
      </c>
    </row>
    <row r="25" spans="3:10" x14ac:dyDescent="0.3">
      <c r="C25" s="250" t="s">
        <v>79</v>
      </c>
      <c r="D25" s="250" t="s">
        <v>561</v>
      </c>
      <c r="E25" s="250" t="s">
        <v>80</v>
      </c>
      <c r="G25" s="250" t="s">
        <v>3559</v>
      </c>
      <c r="H25" s="250" t="s">
        <v>3560</v>
      </c>
      <c r="J25" s="250" t="s">
        <v>3551</v>
      </c>
    </row>
    <row r="26" spans="3:10" x14ac:dyDescent="0.3">
      <c r="C26" s="250" t="s">
        <v>205</v>
      </c>
      <c r="D26" s="250" t="s">
        <v>357</v>
      </c>
      <c r="E26" s="250" t="s">
        <v>29</v>
      </c>
      <c r="G26" s="250" t="s">
        <v>570</v>
      </c>
      <c r="J26" s="250" t="s">
        <v>571</v>
      </c>
    </row>
    <row r="27" spans="3:10" x14ac:dyDescent="0.3">
      <c r="C27" s="250" t="s">
        <v>90</v>
      </c>
      <c r="D27" s="250" t="s">
        <v>357</v>
      </c>
      <c r="E27" s="250" t="s">
        <v>87</v>
      </c>
      <c r="G27" s="250" t="s">
        <v>572</v>
      </c>
    </row>
    <row r="28" spans="3:10" x14ac:dyDescent="0.3">
      <c r="C28" s="250" t="s">
        <v>145</v>
      </c>
      <c r="D28" s="250" t="s">
        <v>561</v>
      </c>
      <c r="E28" s="250" t="s">
        <v>144</v>
      </c>
      <c r="G28" s="250" t="s">
        <v>573</v>
      </c>
    </row>
    <row r="29" spans="3:10" x14ac:dyDescent="0.3">
      <c r="C29" s="250" t="s">
        <v>315</v>
      </c>
      <c r="D29" s="250" t="s">
        <v>357</v>
      </c>
      <c r="E29" s="250" t="s">
        <v>28</v>
      </c>
      <c r="G29" s="250" t="s">
        <v>574</v>
      </c>
    </row>
    <row r="30" spans="3:10" x14ac:dyDescent="0.3">
      <c r="C30" s="250" t="s">
        <v>141</v>
      </c>
      <c r="D30" s="250" t="s">
        <v>561</v>
      </c>
      <c r="E30" s="250" t="s">
        <v>140</v>
      </c>
      <c r="G30" s="250" t="s">
        <v>575</v>
      </c>
      <c r="J30" s="250" t="s">
        <v>3552</v>
      </c>
    </row>
    <row r="31" spans="3:10" x14ac:dyDescent="0.3">
      <c r="C31" s="250" t="s">
        <v>143</v>
      </c>
      <c r="D31" s="250" t="s">
        <v>561</v>
      </c>
      <c r="E31" s="250" t="s">
        <v>142</v>
      </c>
      <c r="G31" s="250" t="s">
        <v>576</v>
      </c>
      <c r="J31" s="250" t="s">
        <v>577</v>
      </c>
    </row>
    <row r="32" spans="3:10" x14ac:dyDescent="0.3">
      <c r="C32" s="250" t="s">
        <v>271</v>
      </c>
      <c r="D32" s="250" t="s">
        <v>357</v>
      </c>
      <c r="E32" s="250" t="s">
        <v>81</v>
      </c>
      <c r="G32" s="250" t="s">
        <v>578</v>
      </c>
      <c r="J32" s="250" t="s">
        <v>579</v>
      </c>
    </row>
    <row r="33" spans="3:8" x14ac:dyDescent="0.3">
      <c r="C33" s="250" t="s">
        <v>121</v>
      </c>
      <c r="D33" s="250" t="s">
        <v>561</v>
      </c>
      <c r="E33" s="250" t="s">
        <v>85</v>
      </c>
      <c r="G33" s="250" t="s">
        <v>580</v>
      </c>
      <c r="H33" s="250" t="s">
        <v>3561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heetViews>
  <sheetFormatPr defaultRowHeight="16.5" x14ac:dyDescent="0.3"/>
  <sheetData>
    <row r="1" spans="1:10" x14ac:dyDescent="0.3">
      <c r="A1" s="250" t="s">
        <v>3553</v>
      </c>
    </row>
    <row r="3" spans="1:10" x14ac:dyDescent="0.3">
      <c r="C3" s="250" t="s">
        <v>146</v>
      </c>
    </row>
    <row r="5" spans="1:10" x14ac:dyDescent="0.3">
      <c r="C5" s="250" t="s">
        <v>148</v>
      </c>
    </row>
    <row r="6" spans="1:10" x14ac:dyDescent="0.3">
      <c r="C6" s="250" t="s">
        <v>149</v>
      </c>
    </row>
    <row r="7" spans="1:10" x14ac:dyDescent="0.3">
      <c r="C7" s="250" t="s">
        <v>147</v>
      </c>
    </row>
    <row r="8" spans="1:10" x14ac:dyDescent="0.3">
      <c r="C8" s="250" t="s">
        <v>150</v>
      </c>
    </row>
    <row r="10" spans="1:10" x14ac:dyDescent="0.3">
      <c r="C10" s="250" t="s">
        <v>66</v>
      </c>
      <c r="D10" s="250" t="s">
        <v>92</v>
      </c>
      <c r="E10" s="250" t="s">
        <v>67</v>
      </c>
      <c r="F10" s="250" t="s">
        <v>68</v>
      </c>
      <c r="G10" s="250" t="s">
        <v>69</v>
      </c>
      <c r="H10" s="250" t="s">
        <v>16</v>
      </c>
      <c r="I10" s="250" t="s">
        <v>70</v>
      </c>
      <c r="J10" s="250" t="s">
        <v>71</v>
      </c>
    </row>
    <row r="11" spans="1:10" x14ac:dyDescent="0.3">
      <c r="C11" s="250" t="s">
        <v>72</v>
      </c>
      <c r="D11" s="250" t="s">
        <v>357</v>
      </c>
      <c r="E11" s="250" t="s">
        <v>38</v>
      </c>
      <c r="F11" s="250" t="s">
        <v>3545</v>
      </c>
    </row>
    <row r="12" spans="1:10" x14ac:dyDescent="0.3">
      <c r="C12" s="250" t="s">
        <v>73</v>
      </c>
      <c r="D12" s="250" t="s">
        <v>357</v>
      </c>
      <c r="E12" s="250" t="s">
        <v>62</v>
      </c>
      <c r="F12" s="250" t="s">
        <v>3545</v>
      </c>
      <c r="G12" s="250" t="s">
        <v>3545</v>
      </c>
      <c r="I12" s="250" t="s">
        <v>3549</v>
      </c>
    </row>
    <row r="13" spans="1:10" x14ac:dyDescent="0.3">
      <c r="C13" s="250" t="s">
        <v>91</v>
      </c>
      <c r="D13" s="250" t="s">
        <v>357</v>
      </c>
      <c r="E13" s="250" t="s">
        <v>82</v>
      </c>
      <c r="F13" s="250" t="s">
        <v>3545</v>
      </c>
      <c r="G13" s="250" t="s">
        <v>3545</v>
      </c>
      <c r="I13" s="250" t="s">
        <v>559</v>
      </c>
    </row>
    <row r="14" spans="1:10" x14ac:dyDescent="0.3">
      <c r="C14" s="250" t="s">
        <v>74</v>
      </c>
      <c r="D14" s="250" t="s">
        <v>561</v>
      </c>
      <c r="E14" s="250" t="s">
        <v>63</v>
      </c>
      <c r="F14" s="250" t="s">
        <v>3545</v>
      </c>
    </row>
    <row r="15" spans="1:10" x14ac:dyDescent="0.3">
      <c r="C15" s="250" t="s">
        <v>514</v>
      </c>
      <c r="D15" s="250" t="s">
        <v>561</v>
      </c>
      <c r="E15" s="250" t="s">
        <v>64</v>
      </c>
      <c r="F15" s="250" t="s">
        <v>3545</v>
      </c>
    </row>
    <row r="16" spans="1:10" x14ac:dyDescent="0.3">
      <c r="C16" s="250" t="s">
        <v>120</v>
      </c>
      <c r="D16" s="250" t="s">
        <v>561</v>
      </c>
      <c r="E16" s="250" t="s">
        <v>83</v>
      </c>
      <c r="F16" s="250" t="s">
        <v>3545</v>
      </c>
    </row>
    <row r="17" spans="3:10" x14ac:dyDescent="0.3">
      <c r="C17" s="250" t="s">
        <v>153</v>
      </c>
      <c r="D17" s="250" t="s">
        <v>561</v>
      </c>
      <c r="E17" s="250" t="s">
        <v>75</v>
      </c>
      <c r="F17" s="250" t="s">
        <v>3545</v>
      </c>
    </row>
    <row r="18" spans="3:10" x14ac:dyDescent="0.3">
      <c r="C18" s="250" t="s">
        <v>152</v>
      </c>
      <c r="D18" s="250" t="s">
        <v>561</v>
      </c>
      <c r="E18" s="250" t="s">
        <v>84</v>
      </c>
      <c r="F18" s="250" t="s">
        <v>3545</v>
      </c>
    </row>
    <row r="19" spans="3:10" x14ac:dyDescent="0.3">
      <c r="C19" s="250" t="s">
        <v>61</v>
      </c>
      <c r="D19" s="250" t="s">
        <v>561</v>
      </c>
      <c r="E19" s="250" t="s">
        <v>86</v>
      </c>
      <c r="G19" s="250" t="s">
        <v>3545</v>
      </c>
      <c r="H19" s="250" t="s">
        <v>3545</v>
      </c>
    </row>
    <row r="20" spans="3:10" x14ac:dyDescent="0.3">
      <c r="C20" s="250" t="s">
        <v>393</v>
      </c>
      <c r="D20" s="250" t="s">
        <v>357</v>
      </c>
      <c r="E20" s="250" t="s">
        <v>59</v>
      </c>
      <c r="F20" s="250" t="s">
        <v>3545</v>
      </c>
      <c r="G20" s="250" t="s">
        <v>3545</v>
      </c>
      <c r="I20" s="250" t="s">
        <v>3550</v>
      </c>
    </row>
    <row r="21" spans="3:10" x14ac:dyDescent="0.3">
      <c r="C21" s="250" t="s">
        <v>375</v>
      </c>
      <c r="D21" s="250" t="s">
        <v>357</v>
      </c>
      <c r="E21" s="250" t="s">
        <v>76</v>
      </c>
      <c r="F21" s="250" t="s">
        <v>3545</v>
      </c>
    </row>
    <row r="22" spans="3:10" x14ac:dyDescent="0.3">
      <c r="C22" s="250" t="s">
        <v>77</v>
      </c>
      <c r="D22" s="250" t="s">
        <v>561</v>
      </c>
      <c r="E22" s="250" t="s">
        <v>78</v>
      </c>
      <c r="F22" s="250" t="s">
        <v>3545</v>
      </c>
    </row>
    <row r="23" spans="3:10" x14ac:dyDescent="0.3">
      <c r="C23" s="250" t="s">
        <v>459</v>
      </c>
      <c r="D23" s="250" t="s">
        <v>561</v>
      </c>
      <c r="E23" s="250" t="s">
        <v>58</v>
      </c>
      <c r="F23" s="250" t="s">
        <v>3545</v>
      </c>
    </row>
    <row r="25" spans="3:10" x14ac:dyDescent="0.3">
      <c r="C25" s="250" t="s">
        <v>79</v>
      </c>
      <c r="D25" s="250" t="s">
        <v>561</v>
      </c>
      <c r="E25" s="250" t="s">
        <v>80</v>
      </c>
      <c r="G25" s="250" t="s">
        <v>3545</v>
      </c>
      <c r="H25" s="250" t="s">
        <v>3545</v>
      </c>
      <c r="J25" s="250" t="s">
        <v>3551</v>
      </c>
    </row>
    <row r="26" spans="3:10" x14ac:dyDescent="0.3">
      <c r="C26" s="250" t="s">
        <v>205</v>
      </c>
      <c r="D26" s="250" t="s">
        <v>357</v>
      </c>
      <c r="E26" s="250" t="s">
        <v>29</v>
      </c>
      <c r="G26" s="250" t="s">
        <v>3545</v>
      </c>
      <c r="J26" s="250" t="s">
        <v>571</v>
      </c>
    </row>
    <row r="27" spans="3:10" x14ac:dyDescent="0.3">
      <c r="C27" s="250" t="s">
        <v>90</v>
      </c>
      <c r="D27" s="250" t="s">
        <v>357</v>
      </c>
      <c r="E27" s="250" t="s">
        <v>87</v>
      </c>
      <c r="G27" s="250" t="s">
        <v>3545</v>
      </c>
    </row>
    <row r="28" spans="3:10" x14ac:dyDescent="0.3">
      <c r="C28" s="250" t="s">
        <v>145</v>
      </c>
      <c r="D28" s="250" t="s">
        <v>561</v>
      </c>
      <c r="E28" s="250" t="s">
        <v>144</v>
      </c>
      <c r="G28" s="250" t="s">
        <v>3545</v>
      </c>
    </row>
    <row r="29" spans="3:10" x14ac:dyDescent="0.3">
      <c r="C29" s="250" t="s">
        <v>315</v>
      </c>
      <c r="D29" s="250" t="s">
        <v>357</v>
      </c>
      <c r="E29" s="250" t="s">
        <v>28</v>
      </c>
      <c r="G29" s="250" t="s">
        <v>3545</v>
      </c>
    </row>
    <row r="30" spans="3:10" x14ac:dyDescent="0.3">
      <c r="C30" s="250" t="s">
        <v>141</v>
      </c>
      <c r="D30" s="250" t="s">
        <v>561</v>
      </c>
      <c r="E30" s="250" t="s">
        <v>140</v>
      </c>
      <c r="G30" s="250" t="s">
        <v>3545</v>
      </c>
      <c r="J30" s="250" t="s">
        <v>3552</v>
      </c>
    </row>
    <row r="31" spans="3:10" x14ac:dyDescent="0.3">
      <c r="C31" s="250" t="s">
        <v>143</v>
      </c>
      <c r="D31" s="250" t="s">
        <v>561</v>
      </c>
      <c r="E31" s="250" t="s">
        <v>142</v>
      </c>
      <c r="G31" s="250" t="s">
        <v>3545</v>
      </c>
      <c r="J31" s="250" t="s">
        <v>577</v>
      </c>
    </row>
    <row r="32" spans="3:10" x14ac:dyDescent="0.3">
      <c r="C32" s="250" t="s">
        <v>271</v>
      </c>
      <c r="D32" s="250" t="s">
        <v>357</v>
      </c>
      <c r="E32" s="250" t="s">
        <v>81</v>
      </c>
      <c r="G32" s="250" t="s">
        <v>3545</v>
      </c>
      <c r="J32" s="250" t="s">
        <v>579</v>
      </c>
    </row>
    <row r="33" spans="3:8" x14ac:dyDescent="0.3">
      <c r="C33" s="250" t="s">
        <v>121</v>
      </c>
      <c r="D33" s="250" t="s">
        <v>561</v>
      </c>
      <c r="E33" s="250" t="s">
        <v>85</v>
      </c>
      <c r="G33" s="250" t="s">
        <v>3545</v>
      </c>
      <c r="H33" s="250" t="s">
        <v>3545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heetViews>
  <sheetFormatPr defaultRowHeight="16.5" x14ac:dyDescent="0.3"/>
  <sheetData>
    <row r="1" spans="1:7" x14ac:dyDescent="0.3">
      <c r="A1" s="250" t="s">
        <v>3563</v>
      </c>
      <c r="C1" s="250" t="s">
        <v>0</v>
      </c>
      <c r="D1" s="250" t="s">
        <v>1</v>
      </c>
      <c r="E1" s="250" t="s">
        <v>2</v>
      </c>
    </row>
    <row r="3" spans="1:7" x14ac:dyDescent="0.3">
      <c r="C3" s="250" t="s">
        <v>3</v>
      </c>
      <c r="D3" s="250" t="s">
        <v>1</v>
      </c>
    </row>
    <row r="4" spans="1:7" x14ac:dyDescent="0.3">
      <c r="A4" s="250" t="s">
        <v>4</v>
      </c>
      <c r="C4" s="250" t="s">
        <v>5</v>
      </c>
      <c r="D4" s="250" t="s">
        <v>168</v>
      </c>
      <c r="E4" s="250" t="s">
        <v>169</v>
      </c>
      <c r="F4" s="250" t="s">
        <v>6</v>
      </c>
      <c r="G4" s="250" t="s">
        <v>170</v>
      </c>
    </row>
    <row r="5" spans="1:7" x14ac:dyDescent="0.3">
      <c r="A5" s="250" t="s">
        <v>4</v>
      </c>
      <c r="C5" s="250" t="s">
        <v>7</v>
      </c>
      <c r="D5" s="250" t="s">
        <v>171</v>
      </c>
      <c r="F5" s="250" t="s">
        <v>8</v>
      </c>
      <c r="G5" s="250" t="s">
        <v>172</v>
      </c>
    </row>
    <row r="6" spans="1:7" x14ac:dyDescent="0.3">
      <c r="A6" s="250" t="s">
        <v>4</v>
      </c>
      <c r="C6" s="250" t="s">
        <v>9</v>
      </c>
      <c r="D6" s="250" t="s">
        <v>173</v>
      </c>
    </row>
    <row r="11" spans="1:7" ht="409.5" x14ac:dyDescent="0.3">
      <c r="C11" s="251" t="s">
        <v>10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5"/>
  <sheetViews>
    <sheetView workbookViewId="0"/>
  </sheetViews>
  <sheetFormatPr defaultRowHeight="16.5" x14ac:dyDescent="0.3"/>
  <sheetData>
    <row r="1" spans="1:10" x14ac:dyDescent="0.3">
      <c r="A1" s="250" t="s">
        <v>3565</v>
      </c>
      <c r="B1" s="250" t="s">
        <v>11</v>
      </c>
      <c r="D1" s="250" t="s">
        <v>12</v>
      </c>
      <c r="E1" s="250" t="s">
        <v>12</v>
      </c>
      <c r="F1" s="250" t="s">
        <v>12</v>
      </c>
      <c r="G1" s="250" t="s">
        <v>12</v>
      </c>
      <c r="H1" s="250" t="s">
        <v>12</v>
      </c>
      <c r="I1" s="250" t="s">
        <v>12</v>
      </c>
      <c r="J1" s="250" t="s">
        <v>12</v>
      </c>
    </row>
    <row r="2" spans="1:10" x14ac:dyDescent="0.3">
      <c r="A2" s="250" t="s">
        <v>65</v>
      </c>
      <c r="G2" s="250" t="s">
        <v>43</v>
      </c>
      <c r="H2" s="250" t="s">
        <v>43</v>
      </c>
      <c r="I2" s="250" t="s">
        <v>43</v>
      </c>
      <c r="J2" s="250" t="s">
        <v>43</v>
      </c>
    </row>
    <row r="3" spans="1:10" x14ac:dyDescent="0.3">
      <c r="B3" s="250" t="s">
        <v>156</v>
      </c>
    </row>
    <row r="4" spans="1:10" x14ac:dyDescent="0.3">
      <c r="D4" s="250" t="s">
        <v>13</v>
      </c>
      <c r="I4" s="250" t="s">
        <v>42</v>
      </c>
      <c r="J4" s="250" t="s">
        <v>174</v>
      </c>
    </row>
    <row r="5" spans="1:10" x14ac:dyDescent="0.3">
      <c r="I5" s="250" t="s">
        <v>41</v>
      </c>
      <c r="J5" s="250" t="s">
        <v>175</v>
      </c>
    </row>
    <row r="6" spans="1:10" x14ac:dyDescent="0.3">
      <c r="G6" s="250" t="s">
        <v>14</v>
      </c>
      <c r="H6" s="250" t="s">
        <v>176</v>
      </c>
    </row>
    <row r="8" spans="1:10" x14ac:dyDescent="0.3">
      <c r="G8" s="250" t="s">
        <v>15</v>
      </c>
      <c r="H8" s="250" t="s">
        <v>16</v>
      </c>
      <c r="I8" s="250" t="s">
        <v>154</v>
      </c>
      <c r="J8" s="250" t="s">
        <v>155</v>
      </c>
    </row>
    <row r="9" spans="1:10" x14ac:dyDescent="0.3">
      <c r="D9" s="250" t="s">
        <v>17</v>
      </c>
    </row>
    <row r="10" spans="1:10" x14ac:dyDescent="0.3">
      <c r="B10" s="250" t="s">
        <v>177</v>
      </c>
      <c r="D10" s="250" t="s">
        <v>178</v>
      </c>
      <c r="G10" s="250" t="s">
        <v>582</v>
      </c>
      <c r="H10" s="250" t="s">
        <v>583</v>
      </c>
      <c r="I10" s="250" t="s">
        <v>181</v>
      </c>
      <c r="J10" s="250" t="s">
        <v>182</v>
      </c>
    </row>
    <row r="11" spans="1:10" x14ac:dyDescent="0.3">
      <c r="E11" s="250" t="s">
        <v>183</v>
      </c>
      <c r="F11" s="250" t="s">
        <v>184</v>
      </c>
      <c r="G11" s="250" t="s">
        <v>185</v>
      </c>
      <c r="H11" s="250" t="s">
        <v>186</v>
      </c>
      <c r="I11" s="250" t="s">
        <v>187</v>
      </c>
      <c r="J11" s="250" t="s">
        <v>188</v>
      </c>
    </row>
    <row r="12" spans="1:10" x14ac:dyDescent="0.3">
      <c r="A12" s="250" t="s">
        <v>581</v>
      </c>
      <c r="E12" s="250" t="s">
        <v>584</v>
      </c>
      <c r="F12" s="250" t="s">
        <v>585</v>
      </c>
      <c r="G12" s="250" t="s">
        <v>586</v>
      </c>
      <c r="H12" s="250" t="s">
        <v>587</v>
      </c>
      <c r="I12" s="250" t="s">
        <v>588</v>
      </c>
      <c r="J12" s="250" t="s">
        <v>589</v>
      </c>
    </row>
    <row r="13" spans="1:10" x14ac:dyDescent="0.3">
      <c r="A13" s="250" t="s">
        <v>581</v>
      </c>
      <c r="E13" s="250" t="s">
        <v>590</v>
      </c>
      <c r="F13" s="250" t="s">
        <v>591</v>
      </c>
      <c r="G13" s="250" t="s">
        <v>592</v>
      </c>
      <c r="H13" s="250" t="s">
        <v>593</v>
      </c>
      <c r="I13" s="250" t="s">
        <v>193</v>
      </c>
      <c r="J13" s="250" t="s">
        <v>194</v>
      </c>
    </row>
    <row r="14" spans="1:10" x14ac:dyDescent="0.3">
      <c r="A14" s="250" t="s">
        <v>581</v>
      </c>
      <c r="E14" s="250" t="s">
        <v>594</v>
      </c>
      <c r="F14" s="250" t="s">
        <v>196</v>
      </c>
      <c r="G14" s="250" t="s">
        <v>197</v>
      </c>
      <c r="H14" s="250" t="s">
        <v>198</v>
      </c>
      <c r="I14" s="250" t="s">
        <v>199</v>
      </c>
      <c r="J14" s="250" t="s">
        <v>200</v>
      </c>
    </row>
    <row r="15" spans="1:10" x14ac:dyDescent="0.3">
      <c r="A15" s="250" t="s">
        <v>581</v>
      </c>
      <c r="E15" s="250" t="s">
        <v>595</v>
      </c>
      <c r="F15" s="250" t="s">
        <v>596</v>
      </c>
      <c r="G15" s="250" t="s">
        <v>597</v>
      </c>
      <c r="H15" s="250" t="s">
        <v>598</v>
      </c>
      <c r="I15" s="250" t="s">
        <v>599</v>
      </c>
      <c r="J15" s="250" t="s">
        <v>600</v>
      </c>
    </row>
    <row r="16" spans="1:10" x14ac:dyDescent="0.3">
      <c r="A16" s="250" t="s">
        <v>581</v>
      </c>
      <c r="E16" s="250" t="s">
        <v>601</v>
      </c>
      <c r="F16" s="250" t="s">
        <v>602</v>
      </c>
      <c r="G16" s="250" t="s">
        <v>603</v>
      </c>
      <c r="H16" s="250" t="s">
        <v>604</v>
      </c>
      <c r="I16" s="250" t="s">
        <v>203</v>
      </c>
      <c r="J16" s="250" t="s">
        <v>204</v>
      </c>
    </row>
    <row r="17" spans="1:10" x14ac:dyDescent="0.3">
      <c r="A17" s="250" t="s">
        <v>581</v>
      </c>
      <c r="E17" s="250" t="s">
        <v>605</v>
      </c>
      <c r="F17" s="250" t="s">
        <v>606</v>
      </c>
      <c r="G17" s="250" t="s">
        <v>607</v>
      </c>
      <c r="H17" s="250" t="s">
        <v>608</v>
      </c>
      <c r="I17" s="250" t="s">
        <v>609</v>
      </c>
      <c r="J17" s="250" t="s">
        <v>610</v>
      </c>
    </row>
    <row r="18" spans="1:10" x14ac:dyDescent="0.3">
      <c r="A18" s="250" t="s">
        <v>581</v>
      </c>
      <c r="E18" s="250" t="s">
        <v>611</v>
      </c>
      <c r="F18" s="250" t="s">
        <v>612</v>
      </c>
      <c r="G18" s="250" t="s">
        <v>613</v>
      </c>
      <c r="H18" s="250" t="s">
        <v>614</v>
      </c>
      <c r="I18" s="250" t="s">
        <v>209</v>
      </c>
      <c r="J18" s="250" t="s">
        <v>210</v>
      </c>
    </row>
    <row r="19" spans="1:10" x14ac:dyDescent="0.3">
      <c r="A19" s="250" t="s">
        <v>581</v>
      </c>
      <c r="E19" s="250" t="s">
        <v>615</v>
      </c>
      <c r="F19" s="250" t="s">
        <v>212</v>
      </c>
      <c r="G19" s="250" t="s">
        <v>213</v>
      </c>
      <c r="H19" s="250" t="s">
        <v>214</v>
      </c>
      <c r="I19" s="250" t="s">
        <v>215</v>
      </c>
      <c r="J19" s="250" t="s">
        <v>216</v>
      </c>
    </row>
    <row r="20" spans="1:10" x14ac:dyDescent="0.3">
      <c r="A20" s="250" t="s">
        <v>581</v>
      </c>
      <c r="E20" s="250" t="s">
        <v>616</v>
      </c>
      <c r="F20" s="250" t="s">
        <v>617</v>
      </c>
      <c r="G20" s="250" t="s">
        <v>618</v>
      </c>
      <c r="H20" s="250" t="s">
        <v>619</v>
      </c>
      <c r="I20" s="250" t="s">
        <v>620</v>
      </c>
      <c r="J20" s="250" t="s">
        <v>621</v>
      </c>
    </row>
    <row r="21" spans="1:10" x14ac:dyDescent="0.3">
      <c r="A21" s="250" t="s">
        <v>581</v>
      </c>
      <c r="E21" s="250" t="s">
        <v>622</v>
      </c>
      <c r="F21" s="250" t="s">
        <v>623</v>
      </c>
      <c r="G21" s="250" t="s">
        <v>624</v>
      </c>
      <c r="H21" s="250" t="s">
        <v>625</v>
      </c>
      <c r="I21" s="250" t="s">
        <v>219</v>
      </c>
      <c r="J21" s="250" t="s">
        <v>220</v>
      </c>
    </row>
    <row r="22" spans="1:10" x14ac:dyDescent="0.3">
      <c r="A22" s="250" t="s">
        <v>581</v>
      </c>
      <c r="E22" s="250" t="s">
        <v>626</v>
      </c>
      <c r="F22" s="250" t="s">
        <v>627</v>
      </c>
      <c r="G22" s="250" t="s">
        <v>628</v>
      </c>
      <c r="H22" s="250" t="s">
        <v>629</v>
      </c>
      <c r="I22" s="250" t="s">
        <v>630</v>
      </c>
      <c r="J22" s="250" t="s">
        <v>631</v>
      </c>
    </row>
    <row r="23" spans="1:10" x14ac:dyDescent="0.3">
      <c r="A23" s="250" t="s">
        <v>581</v>
      </c>
      <c r="E23" s="250" t="s">
        <v>632</v>
      </c>
      <c r="F23" s="250" t="s">
        <v>633</v>
      </c>
      <c r="G23" s="250" t="s">
        <v>634</v>
      </c>
      <c r="H23" s="250" t="s">
        <v>635</v>
      </c>
      <c r="I23" s="250" t="s">
        <v>636</v>
      </c>
      <c r="J23" s="250" t="s">
        <v>637</v>
      </c>
    </row>
    <row r="24" spans="1:10" x14ac:dyDescent="0.3">
      <c r="A24" s="250" t="s">
        <v>581</v>
      </c>
      <c r="E24" s="250" t="s">
        <v>638</v>
      </c>
      <c r="F24" s="250" t="s">
        <v>639</v>
      </c>
      <c r="G24" s="250" t="s">
        <v>640</v>
      </c>
      <c r="H24" s="250" t="s">
        <v>641</v>
      </c>
      <c r="I24" s="250" t="s">
        <v>642</v>
      </c>
      <c r="J24" s="250" t="s">
        <v>643</v>
      </c>
    </row>
    <row r="25" spans="1:10" x14ac:dyDescent="0.3">
      <c r="A25" s="250" t="s">
        <v>581</v>
      </c>
      <c r="E25" s="250" t="s">
        <v>644</v>
      </c>
      <c r="F25" s="250" t="s">
        <v>645</v>
      </c>
      <c r="G25" s="250" t="s">
        <v>646</v>
      </c>
      <c r="H25" s="250" t="s">
        <v>647</v>
      </c>
      <c r="I25" s="250" t="s">
        <v>648</v>
      </c>
      <c r="J25" s="250" t="s">
        <v>649</v>
      </c>
    </row>
    <row r="26" spans="1:10" x14ac:dyDescent="0.3">
      <c r="A26" s="250" t="s">
        <v>581</v>
      </c>
      <c r="E26" s="250" t="s">
        <v>650</v>
      </c>
      <c r="F26" s="250" t="s">
        <v>651</v>
      </c>
      <c r="G26" s="250" t="s">
        <v>652</v>
      </c>
      <c r="H26" s="250" t="s">
        <v>653</v>
      </c>
      <c r="I26" s="250" t="s">
        <v>227</v>
      </c>
      <c r="J26" s="250" t="s">
        <v>228</v>
      </c>
    </row>
    <row r="27" spans="1:10" x14ac:dyDescent="0.3">
      <c r="A27" s="250" t="s">
        <v>581</v>
      </c>
      <c r="E27" s="250" t="s">
        <v>654</v>
      </c>
      <c r="F27" s="250" t="s">
        <v>230</v>
      </c>
      <c r="G27" s="250" t="s">
        <v>231</v>
      </c>
      <c r="H27" s="250" t="s">
        <v>232</v>
      </c>
      <c r="I27" s="250" t="s">
        <v>233</v>
      </c>
      <c r="J27" s="250" t="s">
        <v>234</v>
      </c>
    </row>
    <row r="28" spans="1:10" x14ac:dyDescent="0.3">
      <c r="A28" s="250" t="s">
        <v>581</v>
      </c>
      <c r="E28" s="250" t="s">
        <v>655</v>
      </c>
      <c r="F28" s="250" t="s">
        <v>656</v>
      </c>
      <c r="G28" s="250" t="s">
        <v>657</v>
      </c>
      <c r="H28" s="250" t="s">
        <v>658</v>
      </c>
      <c r="I28" s="250" t="s">
        <v>659</v>
      </c>
      <c r="J28" s="250" t="s">
        <v>660</v>
      </c>
    </row>
    <row r="29" spans="1:10" x14ac:dyDescent="0.3">
      <c r="A29" s="250" t="s">
        <v>581</v>
      </c>
      <c r="E29" s="250" t="s">
        <v>661</v>
      </c>
      <c r="F29" s="250" t="s">
        <v>662</v>
      </c>
      <c r="G29" s="250" t="s">
        <v>663</v>
      </c>
      <c r="H29" s="250" t="s">
        <v>664</v>
      </c>
      <c r="I29" s="250" t="s">
        <v>239</v>
      </c>
      <c r="J29" s="250" t="s">
        <v>240</v>
      </c>
    </row>
    <row r="30" spans="1:10" x14ac:dyDescent="0.3">
      <c r="A30" s="250" t="s">
        <v>581</v>
      </c>
      <c r="E30" s="250" t="s">
        <v>665</v>
      </c>
      <c r="F30" s="250" t="s">
        <v>242</v>
      </c>
      <c r="G30" s="250" t="s">
        <v>243</v>
      </c>
      <c r="H30" s="250" t="s">
        <v>244</v>
      </c>
      <c r="I30" s="250" t="s">
        <v>245</v>
      </c>
      <c r="J30" s="250" t="s">
        <v>246</v>
      </c>
    </row>
    <row r="31" spans="1:10" x14ac:dyDescent="0.3">
      <c r="A31" s="250" t="s">
        <v>581</v>
      </c>
      <c r="E31" s="250" t="s">
        <v>666</v>
      </c>
      <c r="F31" s="250" t="s">
        <v>667</v>
      </c>
      <c r="G31" s="250" t="s">
        <v>668</v>
      </c>
      <c r="H31" s="250" t="s">
        <v>669</v>
      </c>
      <c r="I31" s="250" t="s">
        <v>670</v>
      </c>
      <c r="J31" s="250" t="s">
        <v>671</v>
      </c>
    </row>
    <row r="32" spans="1:10" x14ac:dyDescent="0.3">
      <c r="A32" s="250" t="s">
        <v>581</v>
      </c>
      <c r="E32" s="250" t="s">
        <v>672</v>
      </c>
      <c r="F32" s="250" t="s">
        <v>673</v>
      </c>
      <c r="G32" s="250" t="s">
        <v>674</v>
      </c>
      <c r="H32" s="250" t="s">
        <v>675</v>
      </c>
      <c r="I32" s="250" t="s">
        <v>251</v>
      </c>
      <c r="J32" s="250" t="s">
        <v>252</v>
      </c>
    </row>
    <row r="33" spans="1:10" x14ac:dyDescent="0.3">
      <c r="A33" s="250" t="s">
        <v>581</v>
      </c>
      <c r="E33" s="250" t="s">
        <v>676</v>
      </c>
      <c r="F33" s="250" t="s">
        <v>254</v>
      </c>
      <c r="G33" s="250" t="s">
        <v>255</v>
      </c>
      <c r="H33" s="250" t="s">
        <v>256</v>
      </c>
      <c r="I33" s="250" t="s">
        <v>257</v>
      </c>
      <c r="J33" s="250" t="s">
        <v>258</v>
      </c>
    </row>
    <row r="34" spans="1:10" x14ac:dyDescent="0.3">
      <c r="A34" s="250" t="s">
        <v>581</v>
      </c>
      <c r="E34" s="250" t="s">
        <v>677</v>
      </c>
      <c r="F34" s="250" t="s">
        <v>678</v>
      </c>
      <c r="G34" s="250" t="s">
        <v>679</v>
      </c>
      <c r="H34" s="250" t="s">
        <v>680</v>
      </c>
      <c r="I34" s="250" t="s">
        <v>681</v>
      </c>
      <c r="J34" s="250" t="s">
        <v>682</v>
      </c>
    </row>
    <row r="35" spans="1:10" x14ac:dyDescent="0.3">
      <c r="A35" s="250" t="s">
        <v>581</v>
      </c>
      <c r="E35" s="250" t="s">
        <v>683</v>
      </c>
      <c r="F35" s="250" t="s">
        <v>684</v>
      </c>
      <c r="G35" s="250" t="s">
        <v>685</v>
      </c>
      <c r="H35" s="250" t="s">
        <v>686</v>
      </c>
      <c r="I35" s="250" t="s">
        <v>263</v>
      </c>
      <c r="J35" s="250" t="s">
        <v>264</v>
      </c>
    </row>
    <row r="36" spans="1:10" x14ac:dyDescent="0.3">
      <c r="A36" s="250" t="s">
        <v>581</v>
      </c>
      <c r="E36" s="250" t="s">
        <v>687</v>
      </c>
      <c r="F36" s="250" t="s">
        <v>266</v>
      </c>
      <c r="G36" s="250" t="s">
        <v>267</v>
      </c>
      <c r="H36" s="250" t="s">
        <v>268</v>
      </c>
      <c r="I36" s="250" t="s">
        <v>269</v>
      </c>
      <c r="J36" s="250" t="s">
        <v>270</v>
      </c>
    </row>
    <row r="37" spans="1:10" x14ac:dyDescent="0.3">
      <c r="A37" s="250" t="s">
        <v>581</v>
      </c>
      <c r="E37" s="250" t="s">
        <v>688</v>
      </c>
      <c r="F37" s="250" t="s">
        <v>689</v>
      </c>
      <c r="G37" s="250" t="s">
        <v>690</v>
      </c>
      <c r="H37" s="250" t="s">
        <v>691</v>
      </c>
      <c r="I37" s="250" t="s">
        <v>692</v>
      </c>
      <c r="J37" s="250" t="s">
        <v>693</v>
      </c>
    </row>
    <row r="38" spans="1:10" x14ac:dyDescent="0.3">
      <c r="A38" s="250" t="s">
        <v>581</v>
      </c>
      <c r="E38" s="250" t="s">
        <v>694</v>
      </c>
      <c r="F38" s="250" t="s">
        <v>695</v>
      </c>
      <c r="G38" s="250" t="s">
        <v>696</v>
      </c>
      <c r="H38" s="250" t="s">
        <v>697</v>
      </c>
      <c r="I38" s="250" t="s">
        <v>275</v>
      </c>
      <c r="J38" s="250" t="s">
        <v>276</v>
      </c>
    </row>
    <row r="39" spans="1:10" x14ac:dyDescent="0.3">
      <c r="A39" s="250" t="s">
        <v>581</v>
      </c>
      <c r="E39" s="250" t="s">
        <v>698</v>
      </c>
      <c r="F39" s="250" t="s">
        <v>278</v>
      </c>
      <c r="G39" s="250" t="s">
        <v>279</v>
      </c>
      <c r="H39" s="250" t="s">
        <v>280</v>
      </c>
      <c r="I39" s="250" t="s">
        <v>281</v>
      </c>
      <c r="J39" s="250" t="s">
        <v>282</v>
      </c>
    </row>
    <row r="40" spans="1:10" x14ac:dyDescent="0.3">
      <c r="A40" s="250" t="s">
        <v>581</v>
      </c>
      <c r="E40" s="250" t="s">
        <v>699</v>
      </c>
      <c r="F40" s="250" t="s">
        <v>700</v>
      </c>
      <c r="G40" s="250" t="s">
        <v>701</v>
      </c>
      <c r="H40" s="250" t="s">
        <v>702</v>
      </c>
      <c r="I40" s="250" t="s">
        <v>703</v>
      </c>
      <c r="J40" s="250" t="s">
        <v>704</v>
      </c>
    </row>
    <row r="41" spans="1:10" x14ac:dyDescent="0.3">
      <c r="A41" s="250" t="s">
        <v>581</v>
      </c>
      <c r="E41" s="250" t="s">
        <v>705</v>
      </c>
      <c r="F41" s="250" t="s">
        <v>706</v>
      </c>
      <c r="G41" s="250" t="s">
        <v>707</v>
      </c>
      <c r="H41" s="250" t="s">
        <v>708</v>
      </c>
      <c r="I41" s="250" t="s">
        <v>287</v>
      </c>
      <c r="J41" s="250" t="s">
        <v>288</v>
      </c>
    </row>
    <row r="42" spans="1:10" x14ac:dyDescent="0.3">
      <c r="A42" s="250" t="s">
        <v>581</v>
      </c>
      <c r="E42" s="250" t="s">
        <v>709</v>
      </c>
      <c r="F42" s="250" t="s">
        <v>290</v>
      </c>
      <c r="G42" s="250" t="s">
        <v>291</v>
      </c>
      <c r="H42" s="250" t="s">
        <v>292</v>
      </c>
      <c r="I42" s="250" t="s">
        <v>293</v>
      </c>
      <c r="J42" s="250" t="s">
        <v>294</v>
      </c>
    </row>
    <row r="43" spans="1:10" x14ac:dyDescent="0.3">
      <c r="A43" s="250" t="s">
        <v>581</v>
      </c>
      <c r="E43" s="250" t="s">
        <v>710</v>
      </c>
      <c r="F43" s="250" t="s">
        <v>711</v>
      </c>
      <c r="G43" s="250" t="s">
        <v>712</v>
      </c>
      <c r="H43" s="250" t="s">
        <v>713</v>
      </c>
      <c r="I43" s="250" t="s">
        <v>714</v>
      </c>
      <c r="J43" s="250" t="s">
        <v>715</v>
      </c>
    </row>
    <row r="44" spans="1:10" x14ac:dyDescent="0.3">
      <c r="A44" s="250" t="s">
        <v>581</v>
      </c>
      <c r="E44" s="250" t="s">
        <v>716</v>
      </c>
      <c r="F44" s="250" t="s">
        <v>717</v>
      </c>
      <c r="G44" s="250" t="s">
        <v>718</v>
      </c>
      <c r="H44" s="250" t="s">
        <v>719</v>
      </c>
      <c r="I44" s="250" t="s">
        <v>297</v>
      </c>
      <c r="J44" s="250" t="s">
        <v>298</v>
      </c>
    </row>
    <row r="45" spans="1:10" x14ac:dyDescent="0.3">
      <c r="A45" s="250" t="s">
        <v>581</v>
      </c>
      <c r="E45" s="250" t="s">
        <v>720</v>
      </c>
      <c r="F45" s="250" t="s">
        <v>721</v>
      </c>
      <c r="G45" s="250" t="s">
        <v>722</v>
      </c>
      <c r="H45" s="250" t="s">
        <v>723</v>
      </c>
      <c r="I45" s="250" t="s">
        <v>301</v>
      </c>
      <c r="J45" s="250" t="s">
        <v>302</v>
      </c>
    </row>
    <row r="46" spans="1:10" x14ac:dyDescent="0.3">
      <c r="A46" s="250" t="s">
        <v>581</v>
      </c>
      <c r="E46" s="250" t="s">
        <v>724</v>
      </c>
      <c r="F46" s="250" t="s">
        <v>725</v>
      </c>
      <c r="G46" s="250" t="s">
        <v>726</v>
      </c>
      <c r="H46" s="250" t="s">
        <v>727</v>
      </c>
      <c r="I46" s="250" t="s">
        <v>728</v>
      </c>
      <c r="J46" s="250" t="s">
        <v>729</v>
      </c>
    </row>
    <row r="47" spans="1:10" x14ac:dyDescent="0.3">
      <c r="A47" s="250" t="s">
        <v>581</v>
      </c>
      <c r="E47" s="250" t="s">
        <v>730</v>
      </c>
      <c r="F47" s="250" t="s">
        <v>731</v>
      </c>
      <c r="G47" s="250" t="s">
        <v>732</v>
      </c>
      <c r="H47" s="250" t="s">
        <v>733</v>
      </c>
      <c r="I47" s="250" t="s">
        <v>734</v>
      </c>
      <c r="J47" s="250" t="s">
        <v>735</v>
      </c>
    </row>
    <row r="48" spans="1:10" x14ac:dyDescent="0.3">
      <c r="A48" s="250" t="s">
        <v>581</v>
      </c>
      <c r="E48" s="250" t="s">
        <v>736</v>
      </c>
      <c r="F48" s="250" t="s">
        <v>737</v>
      </c>
      <c r="G48" s="250" t="s">
        <v>738</v>
      </c>
      <c r="H48" s="250" t="s">
        <v>739</v>
      </c>
      <c r="I48" s="250" t="s">
        <v>740</v>
      </c>
      <c r="J48" s="250" t="s">
        <v>741</v>
      </c>
    </row>
    <row r="49" spans="1:10" x14ac:dyDescent="0.3">
      <c r="A49" s="250" t="s">
        <v>581</v>
      </c>
      <c r="E49" s="250" t="s">
        <v>742</v>
      </c>
      <c r="F49" s="250" t="s">
        <v>743</v>
      </c>
      <c r="G49" s="250" t="s">
        <v>744</v>
      </c>
      <c r="H49" s="250" t="s">
        <v>745</v>
      </c>
      <c r="I49" s="250" t="s">
        <v>307</v>
      </c>
      <c r="J49" s="250" t="s">
        <v>308</v>
      </c>
    </row>
    <row r="50" spans="1:10" x14ac:dyDescent="0.3">
      <c r="A50" s="250" t="s">
        <v>581</v>
      </c>
      <c r="E50" s="250" t="s">
        <v>746</v>
      </c>
      <c r="F50" s="250" t="s">
        <v>310</v>
      </c>
      <c r="G50" s="250" t="s">
        <v>311</v>
      </c>
      <c r="H50" s="250" t="s">
        <v>312</v>
      </c>
      <c r="I50" s="250" t="s">
        <v>313</v>
      </c>
      <c r="J50" s="250" t="s">
        <v>314</v>
      </c>
    </row>
    <row r="51" spans="1:10" x14ac:dyDescent="0.3">
      <c r="A51" s="250" t="s">
        <v>581</v>
      </c>
      <c r="E51" s="250" t="s">
        <v>747</v>
      </c>
      <c r="F51" s="250" t="s">
        <v>748</v>
      </c>
      <c r="G51" s="250" t="s">
        <v>749</v>
      </c>
      <c r="H51" s="250" t="s">
        <v>750</v>
      </c>
      <c r="I51" s="250" t="s">
        <v>751</v>
      </c>
      <c r="J51" s="250" t="s">
        <v>752</v>
      </c>
    </row>
    <row r="52" spans="1:10" x14ac:dyDescent="0.3">
      <c r="A52" s="250" t="s">
        <v>581</v>
      </c>
      <c r="E52" s="250" t="s">
        <v>753</v>
      </c>
      <c r="F52" s="250" t="s">
        <v>754</v>
      </c>
      <c r="G52" s="250" t="s">
        <v>755</v>
      </c>
      <c r="H52" s="250" t="s">
        <v>756</v>
      </c>
      <c r="I52" s="250" t="s">
        <v>319</v>
      </c>
      <c r="J52" s="250" t="s">
        <v>320</v>
      </c>
    </row>
    <row r="53" spans="1:10" x14ac:dyDescent="0.3">
      <c r="A53" s="250" t="s">
        <v>581</v>
      </c>
      <c r="E53" s="250" t="s">
        <v>757</v>
      </c>
      <c r="F53" s="250" t="s">
        <v>322</v>
      </c>
      <c r="G53" s="250" t="s">
        <v>323</v>
      </c>
      <c r="H53" s="250" t="s">
        <v>324</v>
      </c>
      <c r="I53" s="250" t="s">
        <v>325</v>
      </c>
      <c r="J53" s="250" t="s">
        <v>326</v>
      </c>
    </row>
    <row r="54" spans="1:10" x14ac:dyDescent="0.3">
      <c r="A54" s="250" t="s">
        <v>581</v>
      </c>
      <c r="E54" s="250" t="s">
        <v>758</v>
      </c>
      <c r="F54" s="250" t="s">
        <v>759</v>
      </c>
      <c r="G54" s="250" t="s">
        <v>760</v>
      </c>
      <c r="H54" s="250" t="s">
        <v>761</v>
      </c>
      <c r="I54" s="250" t="s">
        <v>762</v>
      </c>
      <c r="J54" s="250" t="s">
        <v>763</v>
      </c>
    </row>
    <row r="56" spans="1:10" x14ac:dyDescent="0.3">
      <c r="B56" s="250" t="s">
        <v>189</v>
      </c>
      <c r="D56" s="250" t="s">
        <v>764</v>
      </c>
      <c r="G56" s="250" t="s">
        <v>765</v>
      </c>
      <c r="H56" s="250" t="s">
        <v>766</v>
      </c>
      <c r="I56" s="250" t="s">
        <v>333</v>
      </c>
      <c r="J56" s="250" t="s">
        <v>334</v>
      </c>
    </row>
    <row r="57" spans="1:10" x14ac:dyDescent="0.3">
      <c r="E57" s="250" t="s">
        <v>767</v>
      </c>
      <c r="F57" s="250" t="s">
        <v>768</v>
      </c>
      <c r="G57" s="250" t="s">
        <v>769</v>
      </c>
      <c r="H57" s="250" t="s">
        <v>770</v>
      </c>
      <c r="I57" s="250" t="s">
        <v>771</v>
      </c>
      <c r="J57" s="250" t="s">
        <v>772</v>
      </c>
    </row>
    <row r="58" spans="1:10" x14ac:dyDescent="0.3">
      <c r="A58" s="250" t="s">
        <v>581</v>
      </c>
      <c r="E58" s="250" t="s">
        <v>773</v>
      </c>
      <c r="F58" s="250" t="s">
        <v>774</v>
      </c>
      <c r="G58" s="250" t="s">
        <v>775</v>
      </c>
      <c r="H58" s="250" t="s">
        <v>776</v>
      </c>
      <c r="I58" s="250" t="s">
        <v>777</v>
      </c>
      <c r="J58" s="250" t="s">
        <v>778</v>
      </c>
    </row>
    <row r="59" spans="1:10" x14ac:dyDescent="0.3">
      <c r="A59" s="250" t="s">
        <v>581</v>
      </c>
      <c r="E59" s="250" t="s">
        <v>779</v>
      </c>
      <c r="F59" s="250" t="s">
        <v>780</v>
      </c>
      <c r="G59" s="250" t="s">
        <v>781</v>
      </c>
      <c r="H59" s="250" t="s">
        <v>782</v>
      </c>
      <c r="I59" s="250" t="s">
        <v>783</v>
      </c>
      <c r="J59" s="250" t="s">
        <v>784</v>
      </c>
    </row>
    <row r="60" spans="1:10" x14ac:dyDescent="0.3">
      <c r="A60" s="250" t="s">
        <v>581</v>
      </c>
      <c r="E60" s="250" t="s">
        <v>785</v>
      </c>
      <c r="F60" s="250" t="s">
        <v>786</v>
      </c>
      <c r="G60" s="250" t="s">
        <v>787</v>
      </c>
      <c r="H60" s="250" t="s">
        <v>788</v>
      </c>
      <c r="I60" s="250" t="s">
        <v>339</v>
      </c>
      <c r="J60" s="250" t="s">
        <v>340</v>
      </c>
    </row>
    <row r="61" spans="1:10" x14ac:dyDescent="0.3">
      <c r="A61" s="250" t="s">
        <v>581</v>
      </c>
      <c r="E61" s="250" t="s">
        <v>789</v>
      </c>
      <c r="F61" s="250" t="s">
        <v>342</v>
      </c>
      <c r="G61" s="250" t="s">
        <v>343</v>
      </c>
      <c r="H61" s="250" t="s">
        <v>344</v>
      </c>
      <c r="I61" s="250" t="s">
        <v>345</v>
      </c>
      <c r="J61" s="250" t="s">
        <v>346</v>
      </c>
    </row>
    <row r="62" spans="1:10" x14ac:dyDescent="0.3">
      <c r="A62" s="250" t="s">
        <v>581</v>
      </c>
      <c r="E62" s="250" t="s">
        <v>790</v>
      </c>
      <c r="F62" s="250" t="s">
        <v>791</v>
      </c>
      <c r="G62" s="250" t="s">
        <v>792</v>
      </c>
      <c r="H62" s="250" t="s">
        <v>793</v>
      </c>
      <c r="I62" s="250" t="s">
        <v>794</v>
      </c>
      <c r="J62" s="250" t="s">
        <v>795</v>
      </c>
    </row>
    <row r="63" spans="1:10" x14ac:dyDescent="0.3">
      <c r="A63" s="250" t="s">
        <v>581</v>
      </c>
      <c r="E63" s="250" t="s">
        <v>796</v>
      </c>
      <c r="F63" s="250" t="s">
        <v>797</v>
      </c>
      <c r="G63" s="250" t="s">
        <v>798</v>
      </c>
      <c r="H63" s="250" t="s">
        <v>799</v>
      </c>
      <c r="I63" s="250" t="s">
        <v>349</v>
      </c>
      <c r="J63" s="250" t="s">
        <v>350</v>
      </c>
    </row>
    <row r="64" spans="1:10" x14ac:dyDescent="0.3">
      <c r="A64" s="250" t="s">
        <v>581</v>
      </c>
      <c r="E64" s="250" t="s">
        <v>800</v>
      </c>
      <c r="F64" s="250" t="s">
        <v>801</v>
      </c>
      <c r="G64" s="250" t="s">
        <v>802</v>
      </c>
      <c r="H64" s="250" t="s">
        <v>803</v>
      </c>
      <c r="I64" s="250" t="s">
        <v>804</v>
      </c>
      <c r="J64" s="250" t="s">
        <v>805</v>
      </c>
    </row>
    <row r="65" spans="1:10" x14ac:dyDescent="0.3">
      <c r="A65" s="250" t="s">
        <v>581</v>
      </c>
      <c r="E65" s="250" t="s">
        <v>806</v>
      </c>
      <c r="F65" s="250" t="s">
        <v>807</v>
      </c>
      <c r="G65" s="250" t="s">
        <v>808</v>
      </c>
      <c r="H65" s="250" t="s">
        <v>809</v>
      </c>
      <c r="I65" s="250" t="s">
        <v>810</v>
      </c>
      <c r="J65" s="250" t="s">
        <v>811</v>
      </c>
    </row>
    <row r="67" spans="1:10" x14ac:dyDescent="0.3">
      <c r="F67" s="250" t="s">
        <v>18</v>
      </c>
      <c r="G67" s="250" t="s">
        <v>812</v>
      </c>
      <c r="H67" s="250" t="s">
        <v>813</v>
      </c>
      <c r="I67" s="250" t="s">
        <v>814</v>
      </c>
      <c r="J67" s="250" t="s">
        <v>815</v>
      </c>
    </row>
    <row r="69" spans="1:10" x14ac:dyDescent="0.3">
      <c r="B69" s="250" t="s">
        <v>205</v>
      </c>
      <c r="D69" s="250" t="s">
        <v>816</v>
      </c>
      <c r="G69" s="250" t="s">
        <v>817</v>
      </c>
      <c r="H69" s="250" t="s">
        <v>818</v>
      </c>
      <c r="I69" s="250" t="s">
        <v>819</v>
      </c>
      <c r="J69" s="250" t="s">
        <v>820</v>
      </c>
    </row>
    <row r="70" spans="1:10" x14ac:dyDescent="0.3">
      <c r="E70" s="250" t="s">
        <v>821</v>
      </c>
      <c r="F70" s="250" t="s">
        <v>822</v>
      </c>
      <c r="G70" s="250" t="s">
        <v>823</v>
      </c>
      <c r="H70" s="250" t="s">
        <v>824</v>
      </c>
      <c r="I70" s="250" t="s">
        <v>825</v>
      </c>
      <c r="J70" s="250" t="s">
        <v>826</v>
      </c>
    </row>
    <row r="71" spans="1:10" x14ac:dyDescent="0.3">
      <c r="A71" s="250" t="s">
        <v>581</v>
      </c>
      <c r="E71" s="250" t="s">
        <v>827</v>
      </c>
      <c r="F71" s="250" t="s">
        <v>828</v>
      </c>
      <c r="G71" s="250" t="s">
        <v>829</v>
      </c>
      <c r="H71" s="250" t="s">
        <v>830</v>
      </c>
      <c r="I71" s="250" t="s">
        <v>831</v>
      </c>
      <c r="J71" s="250" t="s">
        <v>832</v>
      </c>
    </row>
    <row r="72" spans="1:10" x14ac:dyDescent="0.3">
      <c r="A72" s="250" t="s">
        <v>581</v>
      </c>
      <c r="E72" s="250" t="s">
        <v>833</v>
      </c>
      <c r="F72" s="250" t="s">
        <v>834</v>
      </c>
      <c r="G72" s="250" t="s">
        <v>835</v>
      </c>
      <c r="H72" s="250" t="s">
        <v>836</v>
      </c>
      <c r="I72" s="250" t="s">
        <v>837</v>
      </c>
      <c r="J72" s="250" t="s">
        <v>838</v>
      </c>
    </row>
    <row r="73" spans="1:10" x14ac:dyDescent="0.3">
      <c r="A73" s="250" t="s">
        <v>581</v>
      </c>
      <c r="E73" s="250" t="s">
        <v>839</v>
      </c>
      <c r="F73" s="250" t="s">
        <v>840</v>
      </c>
      <c r="G73" s="250" t="s">
        <v>841</v>
      </c>
      <c r="H73" s="250" t="s">
        <v>842</v>
      </c>
      <c r="I73" s="250" t="s">
        <v>843</v>
      </c>
      <c r="J73" s="250" t="s">
        <v>844</v>
      </c>
    </row>
    <row r="74" spans="1:10" x14ac:dyDescent="0.3">
      <c r="A74" s="250" t="s">
        <v>581</v>
      </c>
      <c r="E74" s="250" t="s">
        <v>845</v>
      </c>
      <c r="F74" s="250" t="s">
        <v>846</v>
      </c>
      <c r="G74" s="250" t="s">
        <v>847</v>
      </c>
      <c r="H74" s="250" t="s">
        <v>848</v>
      </c>
      <c r="I74" s="250" t="s">
        <v>849</v>
      </c>
      <c r="J74" s="250" t="s">
        <v>850</v>
      </c>
    </row>
    <row r="75" spans="1:10" x14ac:dyDescent="0.3">
      <c r="A75" s="250" t="s">
        <v>581</v>
      </c>
      <c r="E75" s="250" t="s">
        <v>851</v>
      </c>
      <c r="F75" s="250" t="s">
        <v>852</v>
      </c>
      <c r="G75" s="250" t="s">
        <v>853</v>
      </c>
      <c r="H75" s="250" t="s">
        <v>854</v>
      </c>
      <c r="I75" s="250" t="s">
        <v>855</v>
      </c>
      <c r="J75" s="250" t="s">
        <v>856</v>
      </c>
    </row>
    <row r="76" spans="1:10" x14ac:dyDescent="0.3">
      <c r="A76" s="250" t="s">
        <v>581</v>
      </c>
      <c r="E76" s="250" t="s">
        <v>857</v>
      </c>
      <c r="F76" s="250" t="s">
        <v>858</v>
      </c>
      <c r="G76" s="250" t="s">
        <v>859</v>
      </c>
      <c r="H76" s="250" t="s">
        <v>860</v>
      </c>
      <c r="I76" s="250" t="s">
        <v>861</v>
      </c>
      <c r="J76" s="250" t="s">
        <v>862</v>
      </c>
    </row>
    <row r="77" spans="1:10" x14ac:dyDescent="0.3">
      <c r="A77" s="250" t="s">
        <v>581</v>
      </c>
      <c r="E77" s="250" t="s">
        <v>863</v>
      </c>
      <c r="F77" s="250" t="s">
        <v>864</v>
      </c>
      <c r="G77" s="250" t="s">
        <v>865</v>
      </c>
      <c r="H77" s="250" t="s">
        <v>866</v>
      </c>
      <c r="I77" s="250" t="s">
        <v>867</v>
      </c>
      <c r="J77" s="250" t="s">
        <v>868</v>
      </c>
    </row>
    <row r="78" spans="1:10" x14ac:dyDescent="0.3">
      <c r="A78" s="250" t="s">
        <v>581</v>
      </c>
      <c r="E78" s="250" t="s">
        <v>869</v>
      </c>
      <c r="F78" s="250" t="s">
        <v>870</v>
      </c>
      <c r="G78" s="250" t="s">
        <v>871</v>
      </c>
      <c r="H78" s="250" t="s">
        <v>872</v>
      </c>
      <c r="I78" s="250" t="s">
        <v>873</v>
      </c>
      <c r="J78" s="250" t="s">
        <v>874</v>
      </c>
    </row>
    <row r="79" spans="1:10" x14ac:dyDescent="0.3">
      <c r="A79" s="250" t="s">
        <v>581</v>
      </c>
      <c r="E79" s="250" t="s">
        <v>875</v>
      </c>
      <c r="F79" s="250" t="s">
        <v>876</v>
      </c>
      <c r="G79" s="250" t="s">
        <v>877</v>
      </c>
      <c r="H79" s="250" t="s">
        <v>878</v>
      </c>
      <c r="I79" s="250" t="s">
        <v>879</v>
      </c>
      <c r="J79" s="250" t="s">
        <v>880</v>
      </c>
    </row>
    <row r="80" spans="1:10" x14ac:dyDescent="0.3">
      <c r="A80" s="250" t="s">
        <v>581</v>
      </c>
      <c r="E80" s="250" t="s">
        <v>881</v>
      </c>
      <c r="F80" s="250" t="s">
        <v>882</v>
      </c>
      <c r="G80" s="250" t="s">
        <v>883</v>
      </c>
      <c r="H80" s="250" t="s">
        <v>884</v>
      </c>
      <c r="I80" s="250" t="s">
        <v>885</v>
      </c>
      <c r="J80" s="250" t="s">
        <v>886</v>
      </c>
    </row>
    <row r="81" spans="1:10" x14ac:dyDescent="0.3">
      <c r="A81" s="250" t="s">
        <v>581</v>
      </c>
      <c r="E81" s="250" t="s">
        <v>887</v>
      </c>
      <c r="F81" s="250" t="s">
        <v>888</v>
      </c>
      <c r="G81" s="250" t="s">
        <v>889</v>
      </c>
      <c r="H81" s="250" t="s">
        <v>890</v>
      </c>
      <c r="I81" s="250" t="s">
        <v>891</v>
      </c>
      <c r="J81" s="250" t="s">
        <v>892</v>
      </c>
    </row>
    <row r="82" spans="1:10" x14ac:dyDescent="0.3">
      <c r="A82" s="250" t="s">
        <v>581</v>
      </c>
      <c r="E82" s="250" t="s">
        <v>893</v>
      </c>
      <c r="F82" s="250" t="s">
        <v>894</v>
      </c>
      <c r="G82" s="250" t="s">
        <v>895</v>
      </c>
      <c r="H82" s="250" t="s">
        <v>896</v>
      </c>
      <c r="I82" s="250" t="s">
        <v>897</v>
      </c>
      <c r="J82" s="250" t="s">
        <v>898</v>
      </c>
    </row>
    <row r="83" spans="1:10" x14ac:dyDescent="0.3">
      <c r="A83" s="250" t="s">
        <v>581</v>
      </c>
      <c r="E83" s="250" t="s">
        <v>899</v>
      </c>
      <c r="F83" s="250" t="s">
        <v>900</v>
      </c>
      <c r="G83" s="250" t="s">
        <v>901</v>
      </c>
      <c r="H83" s="250" t="s">
        <v>902</v>
      </c>
      <c r="I83" s="250" t="s">
        <v>903</v>
      </c>
      <c r="J83" s="250" t="s">
        <v>904</v>
      </c>
    </row>
    <row r="84" spans="1:10" x14ac:dyDescent="0.3">
      <c r="A84" s="250" t="s">
        <v>581</v>
      </c>
      <c r="E84" s="250" t="s">
        <v>905</v>
      </c>
      <c r="F84" s="250" t="s">
        <v>906</v>
      </c>
      <c r="G84" s="250" t="s">
        <v>907</v>
      </c>
      <c r="H84" s="250" t="s">
        <v>908</v>
      </c>
      <c r="I84" s="250" t="s">
        <v>909</v>
      </c>
      <c r="J84" s="250" t="s">
        <v>910</v>
      </c>
    </row>
    <row r="85" spans="1:10" x14ac:dyDescent="0.3">
      <c r="A85" s="250" t="s">
        <v>581</v>
      </c>
      <c r="E85" s="250" t="s">
        <v>911</v>
      </c>
      <c r="F85" s="250" t="s">
        <v>912</v>
      </c>
      <c r="G85" s="250" t="s">
        <v>913</v>
      </c>
      <c r="H85" s="250" t="s">
        <v>914</v>
      </c>
      <c r="I85" s="250" t="s">
        <v>915</v>
      </c>
      <c r="J85" s="250" t="s">
        <v>916</v>
      </c>
    </row>
    <row r="86" spans="1:10" x14ac:dyDescent="0.3">
      <c r="A86" s="250" t="s">
        <v>581</v>
      </c>
      <c r="E86" s="250" t="s">
        <v>917</v>
      </c>
      <c r="F86" s="250" t="s">
        <v>918</v>
      </c>
      <c r="G86" s="250" t="s">
        <v>919</v>
      </c>
      <c r="H86" s="250" t="s">
        <v>920</v>
      </c>
      <c r="I86" s="250" t="s">
        <v>921</v>
      </c>
      <c r="J86" s="250" t="s">
        <v>922</v>
      </c>
    </row>
    <row r="88" spans="1:10" x14ac:dyDescent="0.3">
      <c r="F88" s="250" t="s">
        <v>21</v>
      </c>
      <c r="G88" s="250" t="s">
        <v>923</v>
      </c>
      <c r="H88" s="250" t="s">
        <v>924</v>
      </c>
      <c r="I88" s="250" t="s">
        <v>925</v>
      </c>
      <c r="J88" s="250" t="s">
        <v>926</v>
      </c>
    </row>
    <row r="89" spans="1:10" x14ac:dyDescent="0.3">
      <c r="F89" s="250" t="s">
        <v>22</v>
      </c>
      <c r="G89" s="250" t="s">
        <v>927</v>
      </c>
      <c r="H89" s="250" t="s">
        <v>928</v>
      </c>
    </row>
    <row r="91" spans="1:10" x14ac:dyDescent="0.3">
      <c r="D91" s="250" t="s">
        <v>23</v>
      </c>
    </row>
    <row r="93" spans="1:10" x14ac:dyDescent="0.3">
      <c r="B93" s="250" t="s">
        <v>223</v>
      </c>
      <c r="D93" s="250" t="s">
        <v>929</v>
      </c>
      <c r="G93" s="250" t="s">
        <v>930</v>
      </c>
      <c r="H93" s="250" t="s">
        <v>931</v>
      </c>
      <c r="I93" s="250" t="s">
        <v>932</v>
      </c>
      <c r="J93" s="250" t="s">
        <v>933</v>
      </c>
    </row>
    <row r="94" spans="1:10" x14ac:dyDescent="0.3">
      <c r="E94" s="250" t="s">
        <v>934</v>
      </c>
      <c r="F94" s="250" t="s">
        <v>935</v>
      </c>
      <c r="G94" s="250" t="s">
        <v>936</v>
      </c>
      <c r="H94" s="250" t="s">
        <v>937</v>
      </c>
      <c r="I94" s="250" t="s">
        <v>938</v>
      </c>
      <c r="J94" s="250" t="s">
        <v>939</v>
      </c>
    </row>
    <row r="96" spans="1:10" x14ac:dyDescent="0.3">
      <c r="B96" s="250" t="s">
        <v>235</v>
      </c>
      <c r="D96" s="250" t="s">
        <v>940</v>
      </c>
      <c r="G96" s="250" t="s">
        <v>941</v>
      </c>
      <c r="H96" s="250" t="s">
        <v>942</v>
      </c>
      <c r="I96" s="250" t="s">
        <v>943</v>
      </c>
      <c r="J96" s="250" t="s">
        <v>944</v>
      </c>
    </row>
    <row r="97" spans="1:10" x14ac:dyDescent="0.3">
      <c r="E97" s="250" t="s">
        <v>945</v>
      </c>
      <c r="F97" s="250" t="s">
        <v>946</v>
      </c>
      <c r="G97" s="250" t="s">
        <v>947</v>
      </c>
      <c r="H97" s="250" t="s">
        <v>948</v>
      </c>
      <c r="I97" s="250" t="s">
        <v>949</v>
      </c>
      <c r="J97" s="250" t="s">
        <v>950</v>
      </c>
    </row>
    <row r="98" spans="1:10" x14ac:dyDescent="0.3">
      <c r="A98" s="250" t="s">
        <v>581</v>
      </c>
      <c r="E98" s="250" t="s">
        <v>951</v>
      </c>
      <c r="F98" s="250" t="s">
        <v>952</v>
      </c>
      <c r="G98" s="250" t="s">
        <v>953</v>
      </c>
      <c r="H98" s="250" t="s">
        <v>954</v>
      </c>
      <c r="I98" s="250" t="s">
        <v>955</v>
      </c>
      <c r="J98" s="250" t="s">
        <v>956</v>
      </c>
    </row>
    <row r="99" spans="1:10" x14ac:dyDescent="0.3">
      <c r="A99" s="250" t="s">
        <v>581</v>
      </c>
      <c r="E99" s="250" t="s">
        <v>957</v>
      </c>
      <c r="F99" s="250" t="s">
        <v>958</v>
      </c>
      <c r="G99" s="250" t="s">
        <v>959</v>
      </c>
      <c r="H99" s="250" t="s">
        <v>960</v>
      </c>
      <c r="I99" s="250" t="s">
        <v>961</v>
      </c>
      <c r="J99" s="250" t="s">
        <v>962</v>
      </c>
    </row>
    <row r="100" spans="1:10" x14ac:dyDescent="0.3">
      <c r="A100" s="250" t="s">
        <v>581</v>
      </c>
      <c r="E100" s="250" t="s">
        <v>963</v>
      </c>
      <c r="F100" s="250" t="s">
        <v>964</v>
      </c>
      <c r="G100" s="250" t="s">
        <v>965</v>
      </c>
      <c r="H100" s="250" t="s">
        <v>966</v>
      </c>
      <c r="I100" s="250" t="s">
        <v>967</v>
      </c>
      <c r="J100" s="250" t="s">
        <v>968</v>
      </c>
    </row>
    <row r="101" spans="1:10" x14ac:dyDescent="0.3">
      <c r="A101" s="250" t="s">
        <v>581</v>
      </c>
      <c r="E101" s="250" t="s">
        <v>969</v>
      </c>
      <c r="F101" s="250" t="s">
        <v>970</v>
      </c>
      <c r="G101" s="250" t="s">
        <v>971</v>
      </c>
      <c r="H101" s="250" t="s">
        <v>972</v>
      </c>
      <c r="I101" s="250" t="s">
        <v>973</v>
      </c>
      <c r="J101" s="250" t="s">
        <v>974</v>
      </c>
    </row>
    <row r="102" spans="1:10" x14ac:dyDescent="0.3">
      <c r="A102" s="250" t="s">
        <v>581</v>
      </c>
      <c r="E102" s="250" t="s">
        <v>975</v>
      </c>
      <c r="F102" s="250" t="s">
        <v>976</v>
      </c>
      <c r="G102" s="250" t="s">
        <v>977</v>
      </c>
      <c r="H102" s="250" t="s">
        <v>978</v>
      </c>
      <c r="I102" s="250" t="s">
        <v>979</v>
      </c>
      <c r="J102" s="250" t="s">
        <v>980</v>
      </c>
    </row>
    <row r="103" spans="1:10" x14ac:dyDescent="0.3">
      <c r="A103" s="250" t="s">
        <v>581</v>
      </c>
      <c r="E103" s="250" t="s">
        <v>981</v>
      </c>
      <c r="F103" s="250" t="s">
        <v>982</v>
      </c>
      <c r="G103" s="250" t="s">
        <v>983</v>
      </c>
      <c r="H103" s="250" t="s">
        <v>984</v>
      </c>
      <c r="I103" s="250" t="s">
        <v>985</v>
      </c>
      <c r="J103" s="250" t="s">
        <v>986</v>
      </c>
    </row>
    <row r="104" spans="1:10" x14ac:dyDescent="0.3">
      <c r="A104" s="250" t="s">
        <v>581</v>
      </c>
      <c r="E104" s="250" t="s">
        <v>987</v>
      </c>
      <c r="F104" s="250" t="s">
        <v>988</v>
      </c>
      <c r="G104" s="250" t="s">
        <v>989</v>
      </c>
      <c r="H104" s="250" t="s">
        <v>990</v>
      </c>
      <c r="I104" s="250" t="s">
        <v>991</v>
      </c>
      <c r="J104" s="250" t="s">
        <v>992</v>
      </c>
    </row>
    <row r="105" spans="1:10" x14ac:dyDescent="0.3">
      <c r="A105" s="250" t="s">
        <v>581</v>
      </c>
      <c r="E105" s="250" t="s">
        <v>993</v>
      </c>
      <c r="F105" s="250" t="s">
        <v>994</v>
      </c>
      <c r="G105" s="250" t="s">
        <v>995</v>
      </c>
      <c r="H105" s="250" t="s">
        <v>996</v>
      </c>
      <c r="I105" s="250" t="s">
        <v>997</v>
      </c>
      <c r="J105" s="250" t="s">
        <v>998</v>
      </c>
    </row>
    <row r="106" spans="1:10" x14ac:dyDescent="0.3">
      <c r="A106" s="250" t="s">
        <v>581</v>
      </c>
      <c r="E106" s="250" t="s">
        <v>999</v>
      </c>
      <c r="F106" s="250" t="s">
        <v>1000</v>
      </c>
      <c r="G106" s="250" t="s">
        <v>1001</v>
      </c>
      <c r="H106" s="250" t="s">
        <v>1002</v>
      </c>
      <c r="I106" s="250" t="s">
        <v>1003</v>
      </c>
      <c r="J106" s="250" t="s">
        <v>1004</v>
      </c>
    </row>
    <row r="107" spans="1:10" x14ac:dyDescent="0.3">
      <c r="A107" s="250" t="s">
        <v>581</v>
      </c>
      <c r="E107" s="250" t="s">
        <v>1005</v>
      </c>
      <c r="F107" s="250" t="s">
        <v>1006</v>
      </c>
      <c r="G107" s="250" t="s">
        <v>1007</v>
      </c>
      <c r="H107" s="250" t="s">
        <v>1008</v>
      </c>
      <c r="I107" s="250" t="s">
        <v>1009</v>
      </c>
      <c r="J107" s="250" t="s">
        <v>1010</v>
      </c>
    </row>
    <row r="108" spans="1:10" x14ac:dyDescent="0.3">
      <c r="A108" s="250" t="s">
        <v>581</v>
      </c>
      <c r="E108" s="250" t="s">
        <v>1011</v>
      </c>
      <c r="F108" s="250" t="s">
        <v>1012</v>
      </c>
      <c r="G108" s="250" t="s">
        <v>1013</v>
      </c>
      <c r="H108" s="250" t="s">
        <v>1014</v>
      </c>
      <c r="I108" s="250" t="s">
        <v>1015</v>
      </c>
      <c r="J108" s="250" t="s">
        <v>1016</v>
      </c>
    </row>
    <row r="109" spans="1:10" x14ac:dyDescent="0.3">
      <c r="A109" s="250" t="s">
        <v>581</v>
      </c>
      <c r="E109" s="250" t="s">
        <v>1017</v>
      </c>
      <c r="F109" s="250" t="s">
        <v>1018</v>
      </c>
      <c r="G109" s="250" t="s">
        <v>1019</v>
      </c>
      <c r="H109" s="250" t="s">
        <v>1020</v>
      </c>
      <c r="I109" s="250" t="s">
        <v>1021</v>
      </c>
      <c r="J109" s="250" t="s">
        <v>1022</v>
      </c>
    </row>
    <row r="110" spans="1:10" x14ac:dyDescent="0.3">
      <c r="A110" s="250" t="s">
        <v>581</v>
      </c>
      <c r="E110" s="250" t="s">
        <v>1023</v>
      </c>
      <c r="F110" s="250" t="s">
        <v>1024</v>
      </c>
      <c r="G110" s="250" t="s">
        <v>1025</v>
      </c>
      <c r="H110" s="250" t="s">
        <v>1026</v>
      </c>
      <c r="I110" s="250" t="s">
        <v>1027</v>
      </c>
      <c r="J110" s="250" t="s">
        <v>1028</v>
      </c>
    </row>
    <row r="111" spans="1:10" x14ac:dyDescent="0.3">
      <c r="A111" s="250" t="s">
        <v>581</v>
      </c>
      <c r="E111" s="250" t="s">
        <v>1029</v>
      </c>
      <c r="F111" s="250" t="s">
        <v>1030</v>
      </c>
      <c r="G111" s="250" t="s">
        <v>1031</v>
      </c>
      <c r="H111" s="250" t="s">
        <v>1032</v>
      </c>
      <c r="I111" s="250" t="s">
        <v>1033</v>
      </c>
      <c r="J111" s="250" t="s">
        <v>1034</v>
      </c>
    </row>
    <row r="112" spans="1:10" x14ac:dyDescent="0.3">
      <c r="A112" s="250" t="s">
        <v>581</v>
      </c>
      <c r="E112" s="250" t="s">
        <v>1035</v>
      </c>
      <c r="F112" s="250" t="s">
        <v>1036</v>
      </c>
      <c r="G112" s="250" t="s">
        <v>1037</v>
      </c>
      <c r="H112" s="250" t="s">
        <v>1038</v>
      </c>
      <c r="I112" s="250" t="s">
        <v>1039</v>
      </c>
      <c r="J112" s="250" t="s">
        <v>1040</v>
      </c>
    </row>
    <row r="113" spans="1:10" x14ac:dyDescent="0.3">
      <c r="A113" s="250" t="s">
        <v>581</v>
      </c>
      <c r="E113" s="250" t="s">
        <v>1041</v>
      </c>
      <c r="F113" s="250" t="s">
        <v>1042</v>
      </c>
      <c r="G113" s="250" t="s">
        <v>1043</v>
      </c>
      <c r="H113" s="250" t="s">
        <v>1044</v>
      </c>
      <c r="I113" s="250" t="s">
        <v>1045</v>
      </c>
      <c r="J113" s="250" t="s">
        <v>1046</v>
      </c>
    </row>
    <row r="114" spans="1:10" x14ac:dyDescent="0.3">
      <c r="A114" s="250" t="s">
        <v>581</v>
      </c>
      <c r="E114" s="250" t="s">
        <v>1047</v>
      </c>
      <c r="F114" s="250" t="s">
        <v>1048</v>
      </c>
      <c r="G114" s="250" t="s">
        <v>1049</v>
      </c>
      <c r="H114" s="250" t="s">
        <v>1050</v>
      </c>
      <c r="I114" s="250" t="s">
        <v>1051</v>
      </c>
      <c r="J114" s="250" t="s">
        <v>1052</v>
      </c>
    </row>
    <row r="115" spans="1:10" x14ac:dyDescent="0.3">
      <c r="A115" s="250" t="s">
        <v>581</v>
      </c>
      <c r="E115" s="250" t="s">
        <v>1053</v>
      </c>
      <c r="F115" s="250" t="s">
        <v>1054</v>
      </c>
      <c r="G115" s="250" t="s">
        <v>1055</v>
      </c>
      <c r="H115" s="250" t="s">
        <v>1056</v>
      </c>
      <c r="I115" s="250" t="s">
        <v>1057</v>
      </c>
      <c r="J115" s="250" t="s">
        <v>1058</v>
      </c>
    </row>
    <row r="116" spans="1:10" x14ac:dyDescent="0.3">
      <c r="A116" s="250" t="s">
        <v>581</v>
      </c>
      <c r="E116" s="250" t="s">
        <v>1059</v>
      </c>
      <c r="F116" s="250" t="s">
        <v>1060</v>
      </c>
      <c r="G116" s="250" t="s">
        <v>1061</v>
      </c>
      <c r="H116" s="250" t="s">
        <v>1062</v>
      </c>
      <c r="I116" s="250" t="s">
        <v>1063</v>
      </c>
      <c r="J116" s="250" t="s">
        <v>1064</v>
      </c>
    </row>
    <row r="117" spans="1:10" x14ac:dyDescent="0.3">
      <c r="A117" s="250" t="s">
        <v>581</v>
      </c>
      <c r="E117" s="250" t="s">
        <v>1065</v>
      </c>
      <c r="F117" s="250" t="s">
        <v>1066</v>
      </c>
      <c r="G117" s="250" t="s">
        <v>1067</v>
      </c>
      <c r="H117" s="250" t="s">
        <v>1068</v>
      </c>
      <c r="I117" s="250" t="s">
        <v>1069</v>
      </c>
      <c r="J117" s="250" t="s">
        <v>1070</v>
      </c>
    </row>
    <row r="118" spans="1:10" x14ac:dyDescent="0.3">
      <c r="A118" s="250" t="s">
        <v>581</v>
      </c>
      <c r="E118" s="250" t="s">
        <v>1071</v>
      </c>
      <c r="F118" s="250" t="s">
        <v>1072</v>
      </c>
      <c r="G118" s="250" t="s">
        <v>1073</v>
      </c>
      <c r="H118" s="250" t="s">
        <v>1074</v>
      </c>
      <c r="I118" s="250" t="s">
        <v>1075</v>
      </c>
      <c r="J118" s="250" t="s">
        <v>1076</v>
      </c>
    </row>
    <row r="119" spans="1:10" x14ac:dyDescent="0.3">
      <c r="A119" s="250" t="s">
        <v>581</v>
      </c>
      <c r="E119" s="250" t="s">
        <v>1077</v>
      </c>
      <c r="F119" s="250" t="s">
        <v>1078</v>
      </c>
      <c r="G119" s="250" t="s">
        <v>1079</v>
      </c>
      <c r="H119" s="250" t="s">
        <v>1080</v>
      </c>
      <c r="I119" s="250" t="s">
        <v>1081</v>
      </c>
      <c r="J119" s="250" t="s">
        <v>1082</v>
      </c>
    </row>
    <row r="120" spans="1:10" x14ac:dyDescent="0.3">
      <c r="A120" s="250" t="s">
        <v>581</v>
      </c>
      <c r="E120" s="250" t="s">
        <v>1083</v>
      </c>
      <c r="F120" s="250" t="s">
        <v>1084</v>
      </c>
      <c r="G120" s="250" t="s">
        <v>1085</v>
      </c>
      <c r="H120" s="250" t="s">
        <v>1086</v>
      </c>
      <c r="I120" s="250" t="s">
        <v>1087</v>
      </c>
      <c r="J120" s="250" t="s">
        <v>1088</v>
      </c>
    </row>
    <row r="121" spans="1:10" x14ac:dyDescent="0.3">
      <c r="A121" s="250" t="s">
        <v>581</v>
      </c>
      <c r="E121" s="250" t="s">
        <v>1089</v>
      </c>
      <c r="F121" s="250" t="s">
        <v>1090</v>
      </c>
      <c r="G121" s="250" t="s">
        <v>1091</v>
      </c>
      <c r="H121" s="250" t="s">
        <v>1092</v>
      </c>
      <c r="I121" s="250" t="s">
        <v>1093</v>
      </c>
      <c r="J121" s="250" t="s">
        <v>1094</v>
      </c>
    </row>
    <row r="122" spans="1:10" x14ac:dyDescent="0.3">
      <c r="A122" s="250" t="s">
        <v>581</v>
      </c>
      <c r="E122" s="250" t="s">
        <v>1095</v>
      </c>
      <c r="F122" s="250" t="s">
        <v>1096</v>
      </c>
      <c r="G122" s="250" t="s">
        <v>1097</v>
      </c>
      <c r="H122" s="250" t="s">
        <v>1098</v>
      </c>
      <c r="I122" s="250" t="s">
        <v>1099</v>
      </c>
      <c r="J122" s="250" t="s">
        <v>1100</v>
      </c>
    </row>
    <row r="123" spans="1:10" x14ac:dyDescent="0.3">
      <c r="A123" s="250" t="s">
        <v>581</v>
      </c>
      <c r="E123" s="250" t="s">
        <v>1101</v>
      </c>
      <c r="F123" s="250" t="s">
        <v>1102</v>
      </c>
      <c r="G123" s="250" t="s">
        <v>1103</v>
      </c>
      <c r="H123" s="250" t="s">
        <v>1104</v>
      </c>
      <c r="I123" s="250" t="s">
        <v>1105</v>
      </c>
      <c r="J123" s="250" t="s">
        <v>1106</v>
      </c>
    </row>
    <row r="124" spans="1:10" x14ac:dyDescent="0.3">
      <c r="A124" s="250" t="s">
        <v>581</v>
      </c>
      <c r="E124" s="250" t="s">
        <v>1107</v>
      </c>
      <c r="F124" s="250" t="s">
        <v>1108</v>
      </c>
      <c r="G124" s="250" t="s">
        <v>1109</v>
      </c>
      <c r="H124" s="250" t="s">
        <v>1110</v>
      </c>
      <c r="I124" s="250" t="s">
        <v>1111</v>
      </c>
      <c r="J124" s="250" t="s">
        <v>1112</v>
      </c>
    </row>
    <row r="125" spans="1:10" x14ac:dyDescent="0.3">
      <c r="A125" s="250" t="s">
        <v>581</v>
      </c>
      <c r="E125" s="250" t="s">
        <v>1113</v>
      </c>
      <c r="F125" s="250" t="s">
        <v>1114</v>
      </c>
      <c r="G125" s="250" t="s">
        <v>1115</v>
      </c>
      <c r="H125" s="250" t="s">
        <v>1116</v>
      </c>
      <c r="I125" s="250" t="s">
        <v>1117</v>
      </c>
      <c r="J125" s="250" t="s">
        <v>1118</v>
      </c>
    </row>
    <row r="126" spans="1:10" x14ac:dyDescent="0.3">
      <c r="A126" s="250" t="s">
        <v>581</v>
      </c>
      <c r="E126" s="250" t="s">
        <v>1119</v>
      </c>
      <c r="F126" s="250" t="s">
        <v>1120</v>
      </c>
      <c r="G126" s="250" t="s">
        <v>1121</v>
      </c>
      <c r="H126" s="250" t="s">
        <v>1122</v>
      </c>
      <c r="I126" s="250" t="s">
        <v>1123</v>
      </c>
      <c r="J126" s="250" t="s">
        <v>1124</v>
      </c>
    </row>
    <row r="127" spans="1:10" x14ac:dyDescent="0.3">
      <c r="A127" s="250" t="s">
        <v>581</v>
      </c>
      <c r="E127" s="250" t="s">
        <v>1125</v>
      </c>
      <c r="F127" s="250" t="s">
        <v>1126</v>
      </c>
      <c r="G127" s="250" t="s">
        <v>1127</v>
      </c>
      <c r="H127" s="250" t="s">
        <v>1128</v>
      </c>
      <c r="I127" s="250" t="s">
        <v>1129</v>
      </c>
      <c r="J127" s="250" t="s">
        <v>1130</v>
      </c>
    </row>
    <row r="128" spans="1:10" x14ac:dyDescent="0.3">
      <c r="A128" s="250" t="s">
        <v>581</v>
      </c>
      <c r="E128" s="250" t="s">
        <v>1131</v>
      </c>
      <c r="F128" s="250" t="s">
        <v>1132</v>
      </c>
      <c r="G128" s="250" t="s">
        <v>1133</v>
      </c>
      <c r="H128" s="250" t="s">
        <v>1134</v>
      </c>
      <c r="I128" s="250" t="s">
        <v>1135</v>
      </c>
      <c r="J128" s="250" t="s">
        <v>1136</v>
      </c>
    </row>
    <row r="129" spans="1:10" x14ac:dyDescent="0.3">
      <c r="A129" s="250" t="s">
        <v>581</v>
      </c>
      <c r="E129" s="250" t="s">
        <v>1137</v>
      </c>
      <c r="F129" s="250" t="s">
        <v>1138</v>
      </c>
      <c r="G129" s="250" t="s">
        <v>1139</v>
      </c>
      <c r="H129" s="250" t="s">
        <v>1140</v>
      </c>
      <c r="I129" s="250" t="s">
        <v>1141</v>
      </c>
      <c r="J129" s="250" t="s">
        <v>1142</v>
      </c>
    </row>
    <row r="130" spans="1:10" x14ac:dyDescent="0.3">
      <c r="A130" s="250" t="s">
        <v>581</v>
      </c>
      <c r="E130" s="250" t="s">
        <v>1143</v>
      </c>
      <c r="F130" s="250" t="s">
        <v>1144</v>
      </c>
      <c r="G130" s="250" t="s">
        <v>1145</v>
      </c>
      <c r="H130" s="250" t="s">
        <v>1146</v>
      </c>
      <c r="I130" s="250" t="s">
        <v>1147</v>
      </c>
      <c r="J130" s="250" t="s">
        <v>1148</v>
      </c>
    </row>
    <row r="131" spans="1:10" x14ac:dyDescent="0.3">
      <c r="A131" s="250" t="s">
        <v>581</v>
      </c>
      <c r="E131" s="250" t="s">
        <v>1149</v>
      </c>
      <c r="F131" s="250" t="s">
        <v>1150</v>
      </c>
      <c r="G131" s="250" t="s">
        <v>1151</v>
      </c>
      <c r="H131" s="250" t="s">
        <v>1152</v>
      </c>
      <c r="I131" s="250" t="s">
        <v>1153</v>
      </c>
      <c r="J131" s="250" t="s">
        <v>1154</v>
      </c>
    </row>
    <row r="132" spans="1:10" x14ac:dyDescent="0.3">
      <c r="A132" s="250" t="s">
        <v>581</v>
      </c>
      <c r="E132" s="250" t="s">
        <v>1155</v>
      </c>
      <c r="F132" s="250" t="s">
        <v>1156</v>
      </c>
      <c r="G132" s="250" t="s">
        <v>1157</v>
      </c>
      <c r="H132" s="250" t="s">
        <v>1158</v>
      </c>
      <c r="I132" s="250" t="s">
        <v>1159</v>
      </c>
      <c r="J132" s="250" t="s">
        <v>1160</v>
      </c>
    </row>
    <row r="133" spans="1:10" x14ac:dyDescent="0.3">
      <c r="A133" s="250" t="s">
        <v>581</v>
      </c>
      <c r="E133" s="250" t="s">
        <v>1161</v>
      </c>
      <c r="F133" s="250" t="s">
        <v>1162</v>
      </c>
      <c r="G133" s="250" t="s">
        <v>1163</v>
      </c>
      <c r="H133" s="250" t="s">
        <v>1164</v>
      </c>
      <c r="I133" s="250" t="s">
        <v>1165</v>
      </c>
      <c r="J133" s="250" t="s">
        <v>1166</v>
      </c>
    </row>
    <row r="134" spans="1:10" x14ac:dyDescent="0.3">
      <c r="A134" s="250" t="s">
        <v>581</v>
      </c>
      <c r="E134" s="250" t="s">
        <v>1167</v>
      </c>
      <c r="F134" s="250" t="s">
        <v>1168</v>
      </c>
      <c r="G134" s="250" t="s">
        <v>1169</v>
      </c>
      <c r="H134" s="250" t="s">
        <v>1170</v>
      </c>
      <c r="I134" s="250" t="s">
        <v>1171</v>
      </c>
      <c r="J134" s="250" t="s">
        <v>1172</v>
      </c>
    </row>
    <row r="135" spans="1:10" x14ac:dyDescent="0.3">
      <c r="A135" s="250" t="s">
        <v>581</v>
      </c>
      <c r="E135" s="250" t="s">
        <v>1173</v>
      </c>
      <c r="F135" s="250" t="s">
        <v>1174</v>
      </c>
      <c r="G135" s="250" t="s">
        <v>1175</v>
      </c>
      <c r="H135" s="250" t="s">
        <v>1176</v>
      </c>
      <c r="I135" s="250" t="s">
        <v>1177</v>
      </c>
      <c r="J135" s="250" t="s">
        <v>1178</v>
      </c>
    </row>
    <row r="136" spans="1:10" x14ac:dyDescent="0.3">
      <c r="A136" s="250" t="s">
        <v>581</v>
      </c>
      <c r="E136" s="250" t="s">
        <v>1179</v>
      </c>
      <c r="F136" s="250" t="s">
        <v>1180</v>
      </c>
      <c r="G136" s="250" t="s">
        <v>1181</v>
      </c>
      <c r="H136" s="250" t="s">
        <v>1182</v>
      </c>
      <c r="I136" s="250" t="s">
        <v>1183</v>
      </c>
      <c r="J136" s="250" t="s">
        <v>1184</v>
      </c>
    </row>
    <row r="137" spans="1:10" x14ac:dyDescent="0.3">
      <c r="A137" s="250" t="s">
        <v>581</v>
      </c>
      <c r="E137" s="250" t="s">
        <v>1185</v>
      </c>
      <c r="F137" s="250" t="s">
        <v>1186</v>
      </c>
      <c r="G137" s="250" t="s">
        <v>1187</v>
      </c>
      <c r="H137" s="250" t="s">
        <v>1188</v>
      </c>
      <c r="I137" s="250" t="s">
        <v>1189</v>
      </c>
      <c r="J137" s="250" t="s">
        <v>1190</v>
      </c>
    </row>
    <row r="138" spans="1:10" x14ac:dyDescent="0.3">
      <c r="A138" s="250" t="s">
        <v>581</v>
      </c>
      <c r="E138" s="250" t="s">
        <v>1191</v>
      </c>
      <c r="F138" s="250" t="s">
        <v>1192</v>
      </c>
      <c r="G138" s="250" t="s">
        <v>1193</v>
      </c>
      <c r="H138" s="250" t="s">
        <v>1194</v>
      </c>
      <c r="I138" s="250" t="s">
        <v>1195</v>
      </c>
      <c r="J138" s="250" t="s">
        <v>1196</v>
      </c>
    </row>
    <row r="139" spans="1:10" x14ac:dyDescent="0.3">
      <c r="A139" s="250" t="s">
        <v>581</v>
      </c>
      <c r="E139" s="250" t="s">
        <v>1197</v>
      </c>
      <c r="F139" s="250" t="s">
        <v>1198</v>
      </c>
      <c r="G139" s="250" t="s">
        <v>1199</v>
      </c>
      <c r="H139" s="250" t="s">
        <v>1200</v>
      </c>
      <c r="I139" s="250" t="s">
        <v>1201</v>
      </c>
      <c r="J139" s="250" t="s">
        <v>1202</v>
      </c>
    </row>
    <row r="140" spans="1:10" x14ac:dyDescent="0.3">
      <c r="A140" s="250" t="s">
        <v>581</v>
      </c>
      <c r="E140" s="250" t="s">
        <v>1203</v>
      </c>
      <c r="F140" s="250" t="s">
        <v>1204</v>
      </c>
      <c r="G140" s="250" t="s">
        <v>1205</v>
      </c>
      <c r="H140" s="250" t="s">
        <v>1206</v>
      </c>
      <c r="I140" s="250" t="s">
        <v>1207</v>
      </c>
      <c r="J140" s="250" t="s">
        <v>1208</v>
      </c>
    </row>
    <row r="141" spans="1:10" x14ac:dyDescent="0.3">
      <c r="A141" s="250" t="s">
        <v>581</v>
      </c>
      <c r="E141" s="250" t="s">
        <v>1209</v>
      </c>
      <c r="F141" s="250" t="s">
        <v>1210</v>
      </c>
      <c r="G141" s="250" t="s">
        <v>1211</v>
      </c>
      <c r="H141" s="250" t="s">
        <v>1212</v>
      </c>
      <c r="I141" s="250" t="s">
        <v>1213</v>
      </c>
      <c r="J141" s="250" t="s">
        <v>1214</v>
      </c>
    </row>
    <row r="142" spans="1:10" x14ac:dyDescent="0.3">
      <c r="A142" s="250" t="s">
        <v>581</v>
      </c>
      <c r="E142" s="250" t="s">
        <v>1215</v>
      </c>
      <c r="F142" s="250" t="s">
        <v>1216</v>
      </c>
      <c r="G142" s="250" t="s">
        <v>1217</v>
      </c>
      <c r="H142" s="250" t="s">
        <v>1218</v>
      </c>
      <c r="I142" s="250" t="s">
        <v>1219</v>
      </c>
      <c r="J142" s="250" t="s">
        <v>1220</v>
      </c>
    </row>
    <row r="143" spans="1:10" x14ac:dyDescent="0.3">
      <c r="A143" s="250" t="s">
        <v>581</v>
      </c>
      <c r="E143" s="250" t="s">
        <v>1221</v>
      </c>
      <c r="F143" s="250" t="s">
        <v>1222</v>
      </c>
      <c r="G143" s="250" t="s">
        <v>1223</v>
      </c>
      <c r="H143" s="250" t="s">
        <v>1224</v>
      </c>
      <c r="I143" s="250" t="s">
        <v>1225</v>
      </c>
      <c r="J143" s="250" t="s">
        <v>1226</v>
      </c>
    </row>
    <row r="144" spans="1:10" x14ac:dyDescent="0.3">
      <c r="A144" s="250" t="s">
        <v>581</v>
      </c>
      <c r="E144" s="250" t="s">
        <v>1227</v>
      </c>
      <c r="F144" s="250" t="s">
        <v>1228</v>
      </c>
      <c r="G144" s="250" t="s">
        <v>1229</v>
      </c>
      <c r="H144" s="250" t="s">
        <v>1230</v>
      </c>
      <c r="I144" s="250" t="s">
        <v>1231</v>
      </c>
      <c r="J144" s="250" t="s">
        <v>1232</v>
      </c>
    </row>
    <row r="145" spans="1:10" x14ac:dyDescent="0.3">
      <c r="A145" s="250" t="s">
        <v>581</v>
      </c>
      <c r="E145" s="250" t="s">
        <v>1233</v>
      </c>
      <c r="F145" s="250" t="s">
        <v>1234</v>
      </c>
      <c r="G145" s="250" t="s">
        <v>1235</v>
      </c>
      <c r="H145" s="250" t="s">
        <v>1236</v>
      </c>
      <c r="I145" s="250" t="s">
        <v>1237</v>
      </c>
      <c r="J145" s="250" t="s">
        <v>1238</v>
      </c>
    </row>
    <row r="146" spans="1:10" x14ac:dyDescent="0.3">
      <c r="A146" s="250" t="s">
        <v>581</v>
      </c>
      <c r="E146" s="250" t="s">
        <v>1239</v>
      </c>
      <c r="F146" s="250" t="s">
        <v>1240</v>
      </c>
      <c r="G146" s="250" t="s">
        <v>1241</v>
      </c>
      <c r="H146" s="250" t="s">
        <v>1242</v>
      </c>
      <c r="I146" s="250" t="s">
        <v>1243</v>
      </c>
      <c r="J146" s="250" t="s">
        <v>1244</v>
      </c>
    </row>
    <row r="147" spans="1:10" x14ac:dyDescent="0.3">
      <c r="A147" s="250" t="s">
        <v>581</v>
      </c>
      <c r="E147" s="250" t="s">
        <v>1245</v>
      </c>
      <c r="F147" s="250" t="s">
        <v>1246</v>
      </c>
      <c r="G147" s="250" t="s">
        <v>1247</v>
      </c>
      <c r="H147" s="250" t="s">
        <v>1248</v>
      </c>
      <c r="I147" s="250" t="s">
        <v>1249</v>
      </c>
      <c r="J147" s="250" t="s">
        <v>1250</v>
      </c>
    </row>
    <row r="148" spans="1:10" x14ac:dyDescent="0.3">
      <c r="A148" s="250" t="s">
        <v>581</v>
      </c>
      <c r="E148" s="250" t="s">
        <v>1251</v>
      </c>
      <c r="F148" s="250" t="s">
        <v>1252</v>
      </c>
      <c r="G148" s="250" t="s">
        <v>1253</v>
      </c>
      <c r="H148" s="250" t="s">
        <v>1254</v>
      </c>
      <c r="I148" s="250" t="s">
        <v>1255</v>
      </c>
      <c r="J148" s="250" t="s">
        <v>1256</v>
      </c>
    </row>
    <row r="149" spans="1:10" x14ac:dyDescent="0.3">
      <c r="A149" s="250" t="s">
        <v>581</v>
      </c>
      <c r="E149" s="250" t="s">
        <v>1257</v>
      </c>
      <c r="F149" s="250" t="s">
        <v>1258</v>
      </c>
      <c r="G149" s="250" t="s">
        <v>1259</v>
      </c>
      <c r="H149" s="250" t="s">
        <v>1260</v>
      </c>
      <c r="I149" s="250" t="s">
        <v>1261</v>
      </c>
      <c r="J149" s="250" t="s">
        <v>1262</v>
      </c>
    </row>
    <row r="150" spans="1:10" x14ac:dyDescent="0.3">
      <c r="A150" s="250" t="s">
        <v>581</v>
      </c>
      <c r="E150" s="250" t="s">
        <v>1263</v>
      </c>
      <c r="F150" s="250" t="s">
        <v>1264</v>
      </c>
      <c r="G150" s="250" t="s">
        <v>1265</v>
      </c>
      <c r="H150" s="250" t="s">
        <v>1266</v>
      </c>
      <c r="I150" s="250" t="s">
        <v>1267</v>
      </c>
      <c r="J150" s="250" t="s">
        <v>1268</v>
      </c>
    </row>
    <row r="151" spans="1:10" x14ac:dyDescent="0.3">
      <c r="A151" s="250" t="s">
        <v>581</v>
      </c>
      <c r="E151" s="250" t="s">
        <v>1269</v>
      </c>
      <c r="F151" s="250" t="s">
        <v>1270</v>
      </c>
      <c r="G151" s="250" t="s">
        <v>1271</v>
      </c>
      <c r="H151" s="250" t="s">
        <v>1272</v>
      </c>
      <c r="I151" s="250" t="s">
        <v>1273</v>
      </c>
      <c r="J151" s="250" t="s">
        <v>1274</v>
      </c>
    </row>
    <row r="152" spans="1:10" x14ac:dyDescent="0.3">
      <c r="A152" s="250" t="s">
        <v>581</v>
      </c>
      <c r="E152" s="250" t="s">
        <v>1275</v>
      </c>
      <c r="F152" s="250" t="s">
        <v>1276</v>
      </c>
      <c r="G152" s="250" t="s">
        <v>1277</v>
      </c>
      <c r="H152" s="250" t="s">
        <v>1278</v>
      </c>
      <c r="I152" s="250" t="s">
        <v>1279</v>
      </c>
      <c r="J152" s="250" t="s">
        <v>1280</v>
      </c>
    </row>
    <row r="153" spans="1:10" x14ac:dyDescent="0.3">
      <c r="A153" s="250" t="s">
        <v>581</v>
      </c>
      <c r="E153" s="250" t="s">
        <v>1281</v>
      </c>
      <c r="F153" s="250" t="s">
        <v>1282</v>
      </c>
      <c r="G153" s="250" t="s">
        <v>1283</v>
      </c>
      <c r="H153" s="250" t="s">
        <v>1284</v>
      </c>
      <c r="I153" s="250" t="s">
        <v>1285</v>
      </c>
      <c r="J153" s="250" t="s">
        <v>1286</v>
      </c>
    </row>
    <row r="154" spans="1:10" x14ac:dyDescent="0.3">
      <c r="A154" s="250" t="s">
        <v>581</v>
      </c>
      <c r="E154" s="250" t="s">
        <v>1287</v>
      </c>
      <c r="F154" s="250" t="s">
        <v>1288</v>
      </c>
      <c r="G154" s="250" t="s">
        <v>1289</v>
      </c>
      <c r="H154" s="250" t="s">
        <v>1290</v>
      </c>
      <c r="I154" s="250" t="s">
        <v>1291</v>
      </c>
      <c r="J154" s="250" t="s">
        <v>1292</v>
      </c>
    </row>
    <row r="155" spans="1:10" x14ac:dyDescent="0.3">
      <c r="A155" s="250" t="s">
        <v>581</v>
      </c>
      <c r="E155" s="250" t="s">
        <v>1293</v>
      </c>
      <c r="F155" s="250" t="s">
        <v>1294</v>
      </c>
      <c r="G155" s="250" t="s">
        <v>1295</v>
      </c>
      <c r="H155" s="250" t="s">
        <v>1296</v>
      </c>
      <c r="I155" s="250" t="s">
        <v>1297</v>
      </c>
      <c r="J155" s="250" t="s">
        <v>1298</v>
      </c>
    </row>
    <row r="156" spans="1:10" x14ac:dyDescent="0.3">
      <c r="A156" s="250" t="s">
        <v>581</v>
      </c>
      <c r="E156" s="250" t="s">
        <v>1299</v>
      </c>
      <c r="F156" s="250" t="s">
        <v>1300</v>
      </c>
      <c r="G156" s="250" t="s">
        <v>1301</v>
      </c>
      <c r="H156" s="250" t="s">
        <v>1302</v>
      </c>
      <c r="I156" s="250" t="s">
        <v>1303</v>
      </c>
      <c r="J156" s="250" t="s">
        <v>1304</v>
      </c>
    </row>
    <row r="157" spans="1:10" x14ac:dyDescent="0.3">
      <c r="A157" s="250" t="s">
        <v>581</v>
      </c>
      <c r="E157" s="250" t="s">
        <v>1305</v>
      </c>
      <c r="F157" s="250" t="s">
        <v>1306</v>
      </c>
      <c r="G157" s="250" t="s">
        <v>1307</v>
      </c>
      <c r="H157" s="250" t="s">
        <v>1308</v>
      </c>
      <c r="I157" s="250" t="s">
        <v>1309</v>
      </c>
      <c r="J157" s="250" t="s">
        <v>1310</v>
      </c>
    </row>
    <row r="158" spans="1:10" x14ac:dyDescent="0.3">
      <c r="A158" s="250" t="s">
        <v>581</v>
      </c>
      <c r="E158" s="250" t="s">
        <v>1311</v>
      </c>
      <c r="F158" s="250" t="s">
        <v>1312</v>
      </c>
      <c r="G158" s="250" t="s">
        <v>1313</v>
      </c>
      <c r="H158" s="250" t="s">
        <v>1314</v>
      </c>
      <c r="I158" s="250" t="s">
        <v>1315</v>
      </c>
      <c r="J158" s="250" t="s">
        <v>1316</v>
      </c>
    </row>
    <row r="159" spans="1:10" x14ac:dyDescent="0.3">
      <c r="A159" s="250" t="s">
        <v>581</v>
      </c>
      <c r="E159" s="250" t="s">
        <v>1317</v>
      </c>
      <c r="F159" s="250" t="s">
        <v>1318</v>
      </c>
      <c r="G159" s="250" t="s">
        <v>1319</v>
      </c>
      <c r="H159" s="250" t="s">
        <v>1320</v>
      </c>
      <c r="I159" s="250" t="s">
        <v>1321</v>
      </c>
      <c r="J159" s="250" t="s">
        <v>1322</v>
      </c>
    </row>
    <row r="160" spans="1:10" x14ac:dyDescent="0.3">
      <c r="A160" s="250" t="s">
        <v>581</v>
      </c>
      <c r="E160" s="250" t="s">
        <v>1323</v>
      </c>
      <c r="F160" s="250" t="s">
        <v>1324</v>
      </c>
      <c r="G160" s="250" t="s">
        <v>1325</v>
      </c>
      <c r="H160" s="250" t="s">
        <v>1326</v>
      </c>
      <c r="I160" s="250" t="s">
        <v>1327</v>
      </c>
      <c r="J160" s="250" t="s">
        <v>1328</v>
      </c>
    </row>
    <row r="161" spans="1:10" x14ac:dyDescent="0.3">
      <c r="A161" s="250" t="s">
        <v>581</v>
      </c>
      <c r="E161" s="250" t="s">
        <v>1329</v>
      </c>
      <c r="F161" s="250" t="s">
        <v>1330</v>
      </c>
      <c r="G161" s="250" t="s">
        <v>1331</v>
      </c>
      <c r="H161" s="250" t="s">
        <v>1332</v>
      </c>
      <c r="I161" s="250" t="s">
        <v>1333</v>
      </c>
      <c r="J161" s="250" t="s">
        <v>1334</v>
      </c>
    </row>
    <row r="162" spans="1:10" x14ac:dyDescent="0.3">
      <c r="A162" s="250" t="s">
        <v>581</v>
      </c>
      <c r="E162" s="250" t="s">
        <v>1335</v>
      </c>
      <c r="F162" s="250" t="s">
        <v>1336</v>
      </c>
      <c r="G162" s="250" t="s">
        <v>1337</v>
      </c>
      <c r="H162" s="250" t="s">
        <v>1338</v>
      </c>
      <c r="I162" s="250" t="s">
        <v>1339</v>
      </c>
      <c r="J162" s="250" t="s">
        <v>1340</v>
      </c>
    </row>
    <row r="163" spans="1:10" x14ac:dyDescent="0.3">
      <c r="A163" s="250" t="s">
        <v>581</v>
      </c>
      <c r="E163" s="250" t="s">
        <v>1341</v>
      </c>
      <c r="F163" s="250" t="s">
        <v>1342</v>
      </c>
      <c r="G163" s="250" t="s">
        <v>1343</v>
      </c>
      <c r="H163" s="250" t="s">
        <v>1344</v>
      </c>
      <c r="I163" s="250" t="s">
        <v>1345</v>
      </c>
      <c r="J163" s="250" t="s">
        <v>1346</v>
      </c>
    </row>
    <row r="164" spans="1:10" x14ac:dyDescent="0.3">
      <c r="A164" s="250" t="s">
        <v>581</v>
      </c>
      <c r="E164" s="250" t="s">
        <v>1347</v>
      </c>
      <c r="F164" s="250" t="s">
        <v>1348</v>
      </c>
      <c r="G164" s="250" t="s">
        <v>1349</v>
      </c>
      <c r="H164" s="250" t="s">
        <v>1350</v>
      </c>
      <c r="I164" s="250" t="s">
        <v>1351</v>
      </c>
      <c r="J164" s="250" t="s">
        <v>1352</v>
      </c>
    </row>
    <row r="165" spans="1:10" x14ac:dyDescent="0.3">
      <c r="A165" s="250" t="s">
        <v>581</v>
      </c>
      <c r="E165" s="250" t="s">
        <v>1353</v>
      </c>
      <c r="F165" s="250" t="s">
        <v>1354</v>
      </c>
      <c r="G165" s="250" t="s">
        <v>1355</v>
      </c>
      <c r="H165" s="250" t="s">
        <v>1356</v>
      </c>
      <c r="I165" s="250" t="s">
        <v>1357</v>
      </c>
      <c r="J165" s="250" t="s">
        <v>1358</v>
      </c>
    </row>
    <row r="166" spans="1:10" x14ac:dyDescent="0.3">
      <c r="A166" s="250" t="s">
        <v>581</v>
      </c>
      <c r="E166" s="250" t="s">
        <v>1359</v>
      </c>
      <c r="F166" s="250" t="s">
        <v>1360</v>
      </c>
      <c r="G166" s="250" t="s">
        <v>1361</v>
      </c>
      <c r="H166" s="250" t="s">
        <v>1362</v>
      </c>
      <c r="I166" s="250" t="s">
        <v>1363</v>
      </c>
      <c r="J166" s="250" t="s">
        <v>1364</v>
      </c>
    </row>
    <row r="167" spans="1:10" x14ac:dyDescent="0.3">
      <c r="A167" s="250" t="s">
        <v>581</v>
      </c>
      <c r="E167" s="250" t="s">
        <v>1365</v>
      </c>
      <c r="F167" s="250" t="s">
        <v>1366</v>
      </c>
      <c r="G167" s="250" t="s">
        <v>1367</v>
      </c>
      <c r="H167" s="250" t="s">
        <v>1368</v>
      </c>
      <c r="I167" s="250" t="s">
        <v>1369</v>
      </c>
      <c r="J167" s="250" t="s">
        <v>1370</v>
      </c>
    </row>
    <row r="168" spans="1:10" x14ac:dyDescent="0.3">
      <c r="A168" s="250" t="s">
        <v>581</v>
      </c>
      <c r="E168" s="250" t="s">
        <v>1371</v>
      </c>
      <c r="F168" s="250" t="s">
        <v>1372</v>
      </c>
      <c r="G168" s="250" t="s">
        <v>1373</v>
      </c>
      <c r="H168" s="250" t="s">
        <v>1374</v>
      </c>
      <c r="I168" s="250" t="s">
        <v>1375</v>
      </c>
      <c r="J168" s="250" t="s">
        <v>1376</v>
      </c>
    </row>
    <row r="169" spans="1:10" x14ac:dyDescent="0.3">
      <c r="A169" s="250" t="s">
        <v>581</v>
      </c>
      <c r="E169" s="250" t="s">
        <v>1377</v>
      </c>
      <c r="F169" s="250" t="s">
        <v>1378</v>
      </c>
      <c r="G169" s="250" t="s">
        <v>1379</v>
      </c>
      <c r="H169" s="250" t="s">
        <v>1380</v>
      </c>
      <c r="I169" s="250" t="s">
        <v>1381</v>
      </c>
      <c r="J169" s="250" t="s">
        <v>1382</v>
      </c>
    </row>
    <row r="170" spans="1:10" x14ac:dyDescent="0.3">
      <c r="A170" s="250" t="s">
        <v>581</v>
      </c>
      <c r="E170" s="250" t="s">
        <v>1383</v>
      </c>
      <c r="F170" s="250" t="s">
        <v>1384</v>
      </c>
      <c r="G170" s="250" t="s">
        <v>1385</v>
      </c>
      <c r="H170" s="250" t="s">
        <v>1386</v>
      </c>
      <c r="I170" s="250" t="s">
        <v>1387</v>
      </c>
      <c r="J170" s="250" t="s">
        <v>1388</v>
      </c>
    </row>
    <row r="171" spans="1:10" x14ac:dyDescent="0.3">
      <c r="A171" s="250" t="s">
        <v>581</v>
      </c>
      <c r="E171" s="250" t="s">
        <v>1389</v>
      </c>
      <c r="F171" s="250" t="s">
        <v>1390</v>
      </c>
      <c r="G171" s="250" t="s">
        <v>1391</v>
      </c>
      <c r="H171" s="250" t="s">
        <v>1392</v>
      </c>
      <c r="I171" s="250" t="s">
        <v>1393</v>
      </c>
      <c r="J171" s="250" t="s">
        <v>1394</v>
      </c>
    </row>
    <row r="172" spans="1:10" x14ac:dyDescent="0.3">
      <c r="A172" s="250" t="s">
        <v>581</v>
      </c>
      <c r="E172" s="250" t="s">
        <v>1395</v>
      </c>
      <c r="F172" s="250" t="s">
        <v>1396</v>
      </c>
      <c r="G172" s="250" t="s">
        <v>1397</v>
      </c>
      <c r="H172" s="250" t="s">
        <v>1398</v>
      </c>
      <c r="I172" s="250" t="s">
        <v>1399</v>
      </c>
      <c r="J172" s="250" t="s">
        <v>1400</v>
      </c>
    </row>
    <row r="173" spans="1:10" x14ac:dyDescent="0.3">
      <c r="A173" s="250" t="s">
        <v>581</v>
      </c>
      <c r="E173" s="250" t="s">
        <v>1401</v>
      </c>
      <c r="F173" s="250" t="s">
        <v>1402</v>
      </c>
      <c r="G173" s="250" t="s">
        <v>1403</v>
      </c>
      <c r="H173" s="250" t="s">
        <v>1404</v>
      </c>
      <c r="I173" s="250" t="s">
        <v>1405</v>
      </c>
      <c r="J173" s="250" t="s">
        <v>1406</v>
      </c>
    </row>
    <row r="174" spans="1:10" x14ac:dyDescent="0.3">
      <c r="A174" s="250" t="s">
        <v>581</v>
      </c>
      <c r="E174" s="250" t="s">
        <v>1407</v>
      </c>
      <c r="F174" s="250" t="s">
        <v>1408</v>
      </c>
      <c r="G174" s="250" t="s">
        <v>1409</v>
      </c>
      <c r="H174" s="250" t="s">
        <v>1410</v>
      </c>
      <c r="I174" s="250" t="s">
        <v>1411</v>
      </c>
      <c r="J174" s="250" t="s">
        <v>1412</v>
      </c>
    </row>
    <row r="175" spans="1:10" x14ac:dyDescent="0.3">
      <c r="A175" s="250" t="s">
        <v>581</v>
      </c>
      <c r="E175" s="250" t="s">
        <v>1413</v>
      </c>
      <c r="F175" s="250" t="s">
        <v>1414</v>
      </c>
      <c r="G175" s="250" t="s">
        <v>1415</v>
      </c>
      <c r="H175" s="250" t="s">
        <v>1416</v>
      </c>
      <c r="I175" s="250" t="s">
        <v>1417</v>
      </c>
      <c r="J175" s="250" t="s">
        <v>1418</v>
      </c>
    </row>
    <row r="176" spans="1:10" x14ac:dyDescent="0.3">
      <c r="A176" s="250" t="s">
        <v>581</v>
      </c>
      <c r="E176" s="250" t="s">
        <v>1419</v>
      </c>
      <c r="F176" s="250" t="s">
        <v>1420</v>
      </c>
      <c r="G176" s="250" t="s">
        <v>1421</v>
      </c>
      <c r="H176" s="250" t="s">
        <v>1422</v>
      </c>
      <c r="I176" s="250" t="s">
        <v>1423</v>
      </c>
      <c r="J176" s="250" t="s">
        <v>1424</v>
      </c>
    </row>
    <row r="177" spans="1:10" x14ac:dyDescent="0.3">
      <c r="A177" s="250" t="s">
        <v>581</v>
      </c>
      <c r="E177" s="250" t="s">
        <v>1425</v>
      </c>
      <c r="F177" s="250" t="s">
        <v>1426</v>
      </c>
      <c r="G177" s="250" t="s">
        <v>1427</v>
      </c>
      <c r="H177" s="250" t="s">
        <v>1428</v>
      </c>
      <c r="I177" s="250" t="s">
        <v>1429</v>
      </c>
      <c r="J177" s="250" t="s">
        <v>1430</v>
      </c>
    </row>
    <row r="178" spans="1:10" x14ac:dyDescent="0.3">
      <c r="A178" s="250" t="s">
        <v>581</v>
      </c>
      <c r="E178" s="250" t="s">
        <v>1431</v>
      </c>
      <c r="F178" s="250" t="s">
        <v>1432</v>
      </c>
      <c r="G178" s="250" t="s">
        <v>1433</v>
      </c>
      <c r="H178" s="250" t="s">
        <v>1434</v>
      </c>
      <c r="I178" s="250" t="s">
        <v>1435</v>
      </c>
      <c r="J178" s="250" t="s">
        <v>1436</v>
      </c>
    </row>
    <row r="179" spans="1:10" x14ac:dyDescent="0.3">
      <c r="A179" s="250" t="s">
        <v>581</v>
      </c>
      <c r="E179" s="250" t="s">
        <v>1437</v>
      </c>
      <c r="F179" s="250" t="s">
        <v>1438</v>
      </c>
      <c r="G179" s="250" t="s">
        <v>1439</v>
      </c>
      <c r="H179" s="250" t="s">
        <v>1440</v>
      </c>
      <c r="I179" s="250" t="s">
        <v>1441</v>
      </c>
      <c r="J179" s="250" t="s">
        <v>1442</v>
      </c>
    </row>
    <row r="180" spans="1:10" x14ac:dyDescent="0.3">
      <c r="A180" s="250" t="s">
        <v>581</v>
      </c>
      <c r="E180" s="250" t="s">
        <v>1443</v>
      </c>
      <c r="F180" s="250" t="s">
        <v>1444</v>
      </c>
      <c r="G180" s="250" t="s">
        <v>1445</v>
      </c>
      <c r="H180" s="250" t="s">
        <v>1446</v>
      </c>
      <c r="I180" s="250" t="s">
        <v>1447</v>
      </c>
      <c r="J180" s="250" t="s">
        <v>1448</v>
      </c>
    </row>
    <row r="181" spans="1:10" x14ac:dyDescent="0.3">
      <c r="A181" s="250" t="s">
        <v>581</v>
      </c>
      <c r="E181" s="250" t="s">
        <v>1449</v>
      </c>
      <c r="F181" s="250" t="s">
        <v>1450</v>
      </c>
      <c r="G181" s="250" t="s">
        <v>1451</v>
      </c>
      <c r="H181" s="250" t="s">
        <v>1452</v>
      </c>
      <c r="I181" s="250" t="s">
        <v>1453</v>
      </c>
      <c r="J181" s="250" t="s">
        <v>1454</v>
      </c>
    </row>
    <row r="182" spans="1:10" x14ac:dyDescent="0.3">
      <c r="A182" s="250" t="s">
        <v>581</v>
      </c>
      <c r="E182" s="250" t="s">
        <v>1455</v>
      </c>
      <c r="F182" s="250" t="s">
        <v>1456</v>
      </c>
      <c r="G182" s="250" t="s">
        <v>1457</v>
      </c>
      <c r="H182" s="250" t="s">
        <v>1458</v>
      </c>
      <c r="I182" s="250" t="s">
        <v>1459</v>
      </c>
      <c r="J182" s="250" t="s">
        <v>1460</v>
      </c>
    </row>
    <row r="183" spans="1:10" x14ac:dyDescent="0.3">
      <c r="A183" s="250" t="s">
        <v>581</v>
      </c>
      <c r="E183" s="250" t="s">
        <v>1461</v>
      </c>
      <c r="F183" s="250" t="s">
        <v>1462</v>
      </c>
      <c r="G183" s="250" t="s">
        <v>1463</v>
      </c>
      <c r="H183" s="250" t="s">
        <v>1464</v>
      </c>
      <c r="I183" s="250" t="s">
        <v>1465</v>
      </c>
      <c r="J183" s="250" t="s">
        <v>1466</v>
      </c>
    </row>
    <row r="184" spans="1:10" x14ac:dyDescent="0.3">
      <c r="A184" s="250" t="s">
        <v>581</v>
      </c>
      <c r="E184" s="250" t="s">
        <v>1467</v>
      </c>
      <c r="F184" s="250" t="s">
        <v>1468</v>
      </c>
      <c r="G184" s="250" t="s">
        <v>1469</v>
      </c>
      <c r="H184" s="250" t="s">
        <v>1470</v>
      </c>
      <c r="I184" s="250" t="s">
        <v>1471</v>
      </c>
      <c r="J184" s="250" t="s">
        <v>1472</v>
      </c>
    </row>
    <row r="185" spans="1:10" x14ac:dyDescent="0.3">
      <c r="A185" s="250" t="s">
        <v>581</v>
      </c>
      <c r="E185" s="250" t="s">
        <v>1473</v>
      </c>
      <c r="F185" s="250" t="s">
        <v>1474</v>
      </c>
      <c r="G185" s="250" t="s">
        <v>1475</v>
      </c>
      <c r="H185" s="250" t="s">
        <v>1476</v>
      </c>
      <c r="I185" s="250" t="s">
        <v>1477</v>
      </c>
      <c r="J185" s="250" t="s">
        <v>1478</v>
      </c>
    </row>
    <row r="186" spans="1:10" x14ac:dyDescent="0.3">
      <c r="A186" s="250" t="s">
        <v>581</v>
      </c>
      <c r="E186" s="250" t="s">
        <v>1479</v>
      </c>
      <c r="F186" s="250" t="s">
        <v>1480</v>
      </c>
      <c r="G186" s="250" t="s">
        <v>1481</v>
      </c>
      <c r="H186" s="250" t="s">
        <v>1482</v>
      </c>
      <c r="I186" s="250" t="s">
        <v>1483</v>
      </c>
      <c r="J186" s="250" t="s">
        <v>1484</v>
      </c>
    </row>
    <row r="187" spans="1:10" x14ac:dyDescent="0.3">
      <c r="A187" s="250" t="s">
        <v>581</v>
      </c>
      <c r="E187" s="250" t="s">
        <v>1485</v>
      </c>
      <c r="F187" s="250" t="s">
        <v>1486</v>
      </c>
      <c r="G187" s="250" t="s">
        <v>1487</v>
      </c>
      <c r="H187" s="250" t="s">
        <v>1488</v>
      </c>
      <c r="I187" s="250" t="s">
        <v>1489</v>
      </c>
      <c r="J187" s="250" t="s">
        <v>1490</v>
      </c>
    </row>
    <row r="188" spans="1:10" x14ac:dyDescent="0.3">
      <c r="A188" s="250" t="s">
        <v>581</v>
      </c>
      <c r="E188" s="250" t="s">
        <v>1491</v>
      </c>
      <c r="F188" s="250" t="s">
        <v>1492</v>
      </c>
      <c r="G188" s="250" t="s">
        <v>1493</v>
      </c>
      <c r="H188" s="250" t="s">
        <v>1494</v>
      </c>
      <c r="I188" s="250" t="s">
        <v>1495</v>
      </c>
      <c r="J188" s="250" t="s">
        <v>1496</v>
      </c>
    </row>
    <row r="189" spans="1:10" x14ac:dyDescent="0.3">
      <c r="A189" s="250" t="s">
        <v>581</v>
      </c>
      <c r="E189" s="250" t="s">
        <v>1497</v>
      </c>
      <c r="F189" s="250" t="s">
        <v>1498</v>
      </c>
      <c r="G189" s="250" t="s">
        <v>1499</v>
      </c>
      <c r="H189" s="250" t="s">
        <v>1500</v>
      </c>
      <c r="I189" s="250" t="s">
        <v>1501</v>
      </c>
      <c r="J189" s="250" t="s">
        <v>1502</v>
      </c>
    </row>
    <row r="190" spans="1:10" x14ac:dyDescent="0.3">
      <c r="A190" s="250" t="s">
        <v>581</v>
      </c>
      <c r="E190" s="250" t="s">
        <v>1503</v>
      </c>
      <c r="F190" s="250" t="s">
        <v>1504</v>
      </c>
      <c r="G190" s="250" t="s">
        <v>1505</v>
      </c>
      <c r="H190" s="250" t="s">
        <v>1506</v>
      </c>
      <c r="I190" s="250" t="s">
        <v>1507</v>
      </c>
      <c r="J190" s="250" t="s">
        <v>1508</v>
      </c>
    </row>
    <row r="191" spans="1:10" x14ac:dyDescent="0.3">
      <c r="A191" s="250" t="s">
        <v>581</v>
      </c>
      <c r="E191" s="250" t="s">
        <v>1509</v>
      </c>
      <c r="F191" s="250" t="s">
        <v>1510</v>
      </c>
      <c r="G191" s="250" t="s">
        <v>1511</v>
      </c>
      <c r="H191" s="250" t="s">
        <v>1512</v>
      </c>
      <c r="I191" s="250" t="s">
        <v>1513</v>
      </c>
      <c r="J191" s="250" t="s">
        <v>1514</v>
      </c>
    </row>
    <row r="192" spans="1:10" x14ac:dyDescent="0.3">
      <c r="A192" s="250" t="s">
        <v>581</v>
      </c>
      <c r="E192" s="250" t="s">
        <v>1515</v>
      </c>
      <c r="F192" s="250" t="s">
        <v>1516</v>
      </c>
      <c r="G192" s="250" t="s">
        <v>1517</v>
      </c>
      <c r="H192" s="250" t="s">
        <v>1518</v>
      </c>
      <c r="I192" s="250" t="s">
        <v>1519</v>
      </c>
      <c r="J192" s="250" t="s">
        <v>1520</v>
      </c>
    </row>
    <row r="193" spans="1:10" x14ac:dyDescent="0.3">
      <c r="A193" s="250" t="s">
        <v>581</v>
      </c>
      <c r="E193" s="250" t="s">
        <v>1521</v>
      </c>
      <c r="F193" s="250" t="s">
        <v>1522</v>
      </c>
      <c r="G193" s="250" t="s">
        <v>1523</v>
      </c>
      <c r="H193" s="250" t="s">
        <v>1524</v>
      </c>
      <c r="I193" s="250" t="s">
        <v>1525</v>
      </c>
      <c r="J193" s="250" t="s">
        <v>1526</v>
      </c>
    </row>
    <row r="195" spans="1:10" x14ac:dyDescent="0.3">
      <c r="B195" s="250" t="s">
        <v>247</v>
      </c>
      <c r="D195" s="250" t="s">
        <v>1527</v>
      </c>
      <c r="G195" s="250" t="s">
        <v>1528</v>
      </c>
      <c r="H195" s="250" t="s">
        <v>1529</v>
      </c>
      <c r="I195" s="250" t="s">
        <v>1530</v>
      </c>
      <c r="J195" s="250" t="s">
        <v>1531</v>
      </c>
    </row>
    <row r="196" spans="1:10" x14ac:dyDescent="0.3">
      <c r="E196" s="250" t="s">
        <v>1532</v>
      </c>
      <c r="F196" s="250" t="s">
        <v>1533</v>
      </c>
      <c r="G196" s="250" t="s">
        <v>1534</v>
      </c>
      <c r="H196" s="250" t="s">
        <v>1535</v>
      </c>
      <c r="I196" s="250" t="s">
        <v>1536</v>
      </c>
      <c r="J196" s="250" t="s">
        <v>1537</v>
      </c>
    </row>
    <row r="197" spans="1:10" x14ac:dyDescent="0.3">
      <c r="A197" s="250" t="s">
        <v>581</v>
      </c>
      <c r="E197" s="250" t="s">
        <v>1538</v>
      </c>
      <c r="F197" s="250" t="s">
        <v>1539</v>
      </c>
      <c r="G197" s="250" t="s">
        <v>1540</v>
      </c>
      <c r="H197" s="250" t="s">
        <v>1541</v>
      </c>
      <c r="I197" s="250" t="s">
        <v>1542</v>
      </c>
      <c r="J197" s="250" t="s">
        <v>1543</v>
      </c>
    </row>
    <row r="198" spans="1:10" x14ac:dyDescent="0.3">
      <c r="A198" s="250" t="s">
        <v>581</v>
      </c>
      <c r="E198" s="250" t="s">
        <v>1544</v>
      </c>
      <c r="F198" s="250" t="s">
        <v>1545</v>
      </c>
      <c r="G198" s="250" t="s">
        <v>1546</v>
      </c>
      <c r="H198" s="250" t="s">
        <v>1547</v>
      </c>
      <c r="I198" s="250" t="s">
        <v>1548</v>
      </c>
      <c r="J198" s="250" t="s">
        <v>1549</v>
      </c>
    </row>
    <row r="199" spans="1:10" x14ac:dyDescent="0.3">
      <c r="A199" s="250" t="s">
        <v>581</v>
      </c>
      <c r="E199" s="250" t="s">
        <v>1550</v>
      </c>
      <c r="F199" s="250" t="s">
        <v>1551</v>
      </c>
      <c r="G199" s="250" t="s">
        <v>1552</v>
      </c>
      <c r="H199" s="250" t="s">
        <v>1553</v>
      </c>
      <c r="I199" s="250" t="s">
        <v>1554</v>
      </c>
      <c r="J199" s="250" t="s">
        <v>1555</v>
      </c>
    </row>
    <row r="200" spans="1:10" x14ac:dyDescent="0.3">
      <c r="A200" s="250" t="s">
        <v>581</v>
      </c>
      <c r="E200" s="250" t="s">
        <v>1556</v>
      </c>
      <c r="F200" s="250" t="s">
        <v>1557</v>
      </c>
      <c r="G200" s="250" t="s">
        <v>1558</v>
      </c>
      <c r="H200" s="250" t="s">
        <v>1559</v>
      </c>
      <c r="I200" s="250" t="s">
        <v>1560</v>
      </c>
      <c r="J200" s="250" t="s">
        <v>1561</v>
      </c>
    </row>
    <row r="201" spans="1:10" x14ac:dyDescent="0.3">
      <c r="A201" s="250" t="s">
        <v>581</v>
      </c>
      <c r="E201" s="250" t="s">
        <v>1562</v>
      </c>
      <c r="F201" s="250" t="s">
        <v>1563</v>
      </c>
      <c r="G201" s="250" t="s">
        <v>1564</v>
      </c>
      <c r="H201" s="250" t="s">
        <v>1565</v>
      </c>
      <c r="I201" s="250" t="s">
        <v>1566</v>
      </c>
      <c r="J201" s="250" t="s">
        <v>1567</v>
      </c>
    </row>
    <row r="202" spans="1:10" x14ac:dyDescent="0.3">
      <c r="A202" s="250" t="s">
        <v>581</v>
      </c>
      <c r="E202" s="250" t="s">
        <v>1568</v>
      </c>
      <c r="F202" s="250" t="s">
        <v>1569</v>
      </c>
      <c r="G202" s="250" t="s">
        <v>1570</v>
      </c>
      <c r="H202" s="250" t="s">
        <v>1571</v>
      </c>
      <c r="I202" s="250" t="s">
        <v>1572</v>
      </c>
      <c r="J202" s="250" t="s">
        <v>1573</v>
      </c>
    </row>
    <row r="203" spans="1:10" x14ac:dyDescent="0.3">
      <c r="A203" s="250" t="s">
        <v>581</v>
      </c>
      <c r="E203" s="250" t="s">
        <v>1574</v>
      </c>
      <c r="F203" s="250" t="s">
        <v>1575</v>
      </c>
      <c r="G203" s="250" t="s">
        <v>1576</v>
      </c>
      <c r="H203" s="250" t="s">
        <v>1577</v>
      </c>
      <c r="I203" s="250" t="s">
        <v>1578</v>
      </c>
      <c r="J203" s="250" t="s">
        <v>1579</v>
      </c>
    </row>
    <row r="204" spans="1:10" x14ac:dyDescent="0.3">
      <c r="A204" s="250" t="s">
        <v>581</v>
      </c>
      <c r="E204" s="250" t="s">
        <v>1580</v>
      </c>
      <c r="F204" s="250" t="s">
        <v>1581</v>
      </c>
      <c r="G204" s="250" t="s">
        <v>1582</v>
      </c>
      <c r="H204" s="250" t="s">
        <v>1583</v>
      </c>
      <c r="I204" s="250" t="s">
        <v>1584</v>
      </c>
      <c r="J204" s="250" t="s">
        <v>1585</v>
      </c>
    </row>
    <row r="205" spans="1:10" x14ac:dyDescent="0.3">
      <c r="A205" s="250" t="s">
        <v>581</v>
      </c>
      <c r="E205" s="250" t="s">
        <v>1586</v>
      </c>
      <c r="F205" s="250" t="s">
        <v>1587</v>
      </c>
      <c r="G205" s="250" t="s">
        <v>1588</v>
      </c>
      <c r="H205" s="250" t="s">
        <v>1589</v>
      </c>
      <c r="I205" s="250" t="s">
        <v>1590</v>
      </c>
      <c r="J205" s="250" t="s">
        <v>1591</v>
      </c>
    </row>
    <row r="206" spans="1:10" x14ac:dyDescent="0.3">
      <c r="A206" s="250" t="s">
        <v>581</v>
      </c>
      <c r="E206" s="250" t="s">
        <v>1592</v>
      </c>
      <c r="F206" s="250" t="s">
        <v>1593</v>
      </c>
      <c r="G206" s="250" t="s">
        <v>1594</v>
      </c>
      <c r="H206" s="250" t="s">
        <v>1595</v>
      </c>
      <c r="I206" s="250" t="s">
        <v>1596</v>
      </c>
      <c r="J206" s="250" t="s">
        <v>1597</v>
      </c>
    </row>
    <row r="207" spans="1:10" x14ac:dyDescent="0.3">
      <c r="A207" s="250" t="s">
        <v>581</v>
      </c>
      <c r="E207" s="250" t="s">
        <v>1598</v>
      </c>
      <c r="F207" s="250" t="s">
        <v>1599</v>
      </c>
      <c r="G207" s="250" t="s">
        <v>1600</v>
      </c>
      <c r="H207" s="250" t="s">
        <v>1601</v>
      </c>
      <c r="I207" s="250" t="s">
        <v>1602</v>
      </c>
      <c r="J207" s="250" t="s">
        <v>1603</v>
      </c>
    </row>
    <row r="208" spans="1:10" x14ac:dyDescent="0.3">
      <c r="A208" s="250" t="s">
        <v>581</v>
      </c>
      <c r="E208" s="250" t="s">
        <v>1604</v>
      </c>
      <c r="F208" s="250" t="s">
        <v>1605</v>
      </c>
      <c r="G208" s="250" t="s">
        <v>1606</v>
      </c>
      <c r="H208" s="250" t="s">
        <v>1607</v>
      </c>
      <c r="I208" s="250" t="s">
        <v>1608</v>
      </c>
      <c r="J208" s="250" t="s">
        <v>1609</v>
      </c>
    </row>
    <row r="209" spans="1:10" x14ac:dyDescent="0.3">
      <c r="A209" s="250" t="s">
        <v>581</v>
      </c>
      <c r="E209" s="250" t="s">
        <v>1610</v>
      </c>
      <c r="F209" s="250" t="s">
        <v>1611</v>
      </c>
      <c r="G209" s="250" t="s">
        <v>1612</v>
      </c>
      <c r="H209" s="250" t="s">
        <v>1613</v>
      </c>
      <c r="I209" s="250" t="s">
        <v>1614</v>
      </c>
      <c r="J209" s="250" t="s">
        <v>1615</v>
      </c>
    </row>
    <row r="210" spans="1:10" x14ac:dyDescent="0.3">
      <c r="A210" s="250" t="s">
        <v>581</v>
      </c>
      <c r="E210" s="250" t="s">
        <v>1616</v>
      </c>
      <c r="F210" s="250" t="s">
        <v>1617</v>
      </c>
      <c r="G210" s="250" t="s">
        <v>1618</v>
      </c>
      <c r="H210" s="250" t="s">
        <v>1619</v>
      </c>
      <c r="I210" s="250" t="s">
        <v>1620</v>
      </c>
      <c r="J210" s="250" t="s">
        <v>1621</v>
      </c>
    </row>
    <row r="211" spans="1:10" x14ac:dyDescent="0.3">
      <c r="A211" s="250" t="s">
        <v>581</v>
      </c>
      <c r="E211" s="250" t="s">
        <v>1622</v>
      </c>
      <c r="F211" s="250" t="s">
        <v>1623</v>
      </c>
      <c r="G211" s="250" t="s">
        <v>1624</v>
      </c>
      <c r="H211" s="250" t="s">
        <v>1625</v>
      </c>
      <c r="I211" s="250" t="s">
        <v>1626</v>
      </c>
      <c r="J211" s="250" t="s">
        <v>1627</v>
      </c>
    </row>
    <row r="212" spans="1:10" x14ac:dyDescent="0.3">
      <c r="A212" s="250" t="s">
        <v>581</v>
      </c>
      <c r="E212" s="250" t="s">
        <v>1628</v>
      </c>
      <c r="F212" s="250" t="s">
        <v>1629</v>
      </c>
      <c r="G212" s="250" t="s">
        <v>1630</v>
      </c>
      <c r="H212" s="250" t="s">
        <v>1631</v>
      </c>
      <c r="I212" s="250" t="s">
        <v>1632</v>
      </c>
      <c r="J212" s="250" t="s">
        <v>1633</v>
      </c>
    </row>
    <row r="213" spans="1:10" x14ac:dyDescent="0.3">
      <c r="A213" s="250" t="s">
        <v>581</v>
      </c>
      <c r="E213" s="250" t="s">
        <v>1634</v>
      </c>
      <c r="F213" s="250" t="s">
        <v>1635</v>
      </c>
      <c r="G213" s="250" t="s">
        <v>1636</v>
      </c>
      <c r="H213" s="250" t="s">
        <v>1637</v>
      </c>
      <c r="I213" s="250" t="s">
        <v>1638</v>
      </c>
      <c r="J213" s="250" t="s">
        <v>1639</v>
      </c>
    </row>
    <row r="214" spans="1:10" x14ac:dyDescent="0.3">
      <c r="A214" s="250" t="s">
        <v>581</v>
      </c>
      <c r="E214" s="250" t="s">
        <v>1640</v>
      </c>
      <c r="F214" s="250" t="s">
        <v>1641</v>
      </c>
      <c r="G214" s="250" t="s">
        <v>1642</v>
      </c>
      <c r="H214" s="250" t="s">
        <v>1643</v>
      </c>
      <c r="I214" s="250" t="s">
        <v>1644</v>
      </c>
      <c r="J214" s="250" t="s">
        <v>1645</v>
      </c>
    </row>
    <row r="215" spans="1:10" x14ac:dyDescent="0.3">
      <c r="A215" s="250" t="s">
        <v>581</v>
      </c>
      <c r="E215" s="250" t="s">
        <v>1646</v>
      </c>
      <c r="F215" s="250" t="s">
        <v>1647</v>
      </c>
      <c r="G215" s="250" t="s">
        <v>1648</v>
      </c>
      <c r="H215" s="250" t="s">
        <v>1649</v>
      </c>
      <c r="I215" s="250" t="s">
        <v>1650</v>
      </c>
      <c r="J215" s="250" t="s">
        <v>1651</v>
      </c>
    </row>
    <row r="216" spans="1:10" x14ac:dyDescent="0.3">
      <c r="A216" s="250" t="s">
        <v>581</v>
      </c>
      <c r="E216" s="250" t="s">
        <v>1652</v>
      </c>
      <c r="F216" s="250" t="s">
        <v>1653</v>
      </c>
      <c r="G216" s="250" t="s">
        <v>1654</v>
      </c>
      <c r="H216" s="250" t="s">
        <v>1655</v>
      </c>
      <c r="I216" s="250" t="s">
        <v>1656</v>
      </c>
      <c r="J216" s="250" t="s">
        <v>1657</v>
      </c>
    </row>
    <row r="217" spans="1:10" x14ac:dyDescent="0.3">
      <c r="A217" s="250" t="s">
        <v>581</v>
      </c>
      <c r="E217" s="250" t="s">
        <v>1658</v>
      </c>
      <c r="F217" s="250" t="s">
        <v>1659</v>
      </c>
      <c r="G217" s="250" t="s">
        <v>1660</v>
      </c>
      <c r="H217" s="250" t="s">
        <v>1661</v>
      </c>
      <c r="I217" s="250" t="s">
        <v>1662</v>
      </c>
      <c r="J217" s="250" t="s">
        <v>1663</v>
      </c>
    </row>
    <row r="218" spans="1:10" x14ac:dyDescent="0.3">
      <c r="A218" s="250" t="s">
        <v>581</v>
      </c>
      <c r="E218" s="250" t="s">
        <v>1664</v>
      </c>
      <c r="F218" s="250" t="s">
        <v>1665</v>
      </c>
      <c r="G218" s="250" t="s">
        <v>1666</v>
      </c>
      <c r="H218" s="250" t="s">
        <v>1667</v>
      </c>
      <c r="I218" s="250" t="s">
        <v>1668</v>
      </c>
      <c r="J218" s="250" t="s">
        <v>1669</v>
      </c>
    </row>
    <row r="219" spans="1:10" x14ac:dyDescent="0.3">
      <c r="A219" s="250" t="s">
        <v>581</v>
      </c>
      <c r="E219" s="250" t="s">
        <v>1670</v>
      </c>
      <c r="F219" s="250" t="s">
        <v>1671</v>
      </c>
      <c r="G219" s="250" t="s">
        <v>1672</v>
      </c>
      <c r="H219" s="250" t="s">
        <v>1673</v>
      </c>
      <c r="I219" s="250" t="s">
        <v>1674</v>
      </c>
      <c r="J219" s="250" t="s">
        <v>1675</v>
      </c>
    </row>
    <row r="220" spans="1:10" x14ac:dyDescent="0.3">
      <c r="A220" s="250" t="s">
        <v>581</v>
      </c>
      <c r="E220" s="250" t="s">
        <v>1676</v>
      </c>
      <c r="F220" s="250" t="s">
        <v>1677</v>
      </c>
      <c r="G220" s="250" t="s">
        <v>1678</v>
      </c>
      <c r="H220" s="250" t="s">
        <v>1679</v>
      </c>
      <c r="I220" s="250" t="s">
        <v>1680</v>
      </c>
      <c r="J220" s="250" t="s">
        <v>1681</v>
      </c>
    </row>
    <row r="221" spans="1:10" x14ac:dyDescent="0.3">
      <c r="A221" s="250" t="s">
        <v>581</v>
      </c>
      <c r="E221" s="250" t="s">
        <v>1682</v>
      </c>
      <c r="F221" s="250" t="s">
        <v>1683</v>
      </c>
      <c r="G221" s="250" t="s">
        <v>1684</v>
      </c>
      <c r="H221" s="250" t="s">
        <v>1685</v>
      </c>
      <c r="I221" s="250" t="s">
        <v>1686</v>
      </c>
      <c r="J221" s="250" t="s">
        <v>1687</v>
      </c>
    </row>
    <row r="222" spans="1:10" x14ac:dyDescent="0.3">
      <c r="A222" s="250" t="s">
        <v>581</v>
      </c>
      <c r="E222" s="250" t="s">
        <v>1688</v>
      </c>
      <c r="F222" s="250" t="s">
        <v>1689</v>
      </c>
      <c r="G222" s="250" t="s">
        <v>1690</v>
      </c>
      <c r="H222" s="250" t="s">
        <v>1691</v>
      </c>
      <c r="I222" s="250" t="s">
        <v>1692</v>
      </c>
      <c r="J222" s="250" t="s">
        <v>1693</v>
      </c>
    </row>
    <row r="223" spans="1:10" x14ac:dyDescent="0.3">
      <c r="A223" s="250" t="s">
        <v>581</v>
      </c>
      <c r="E223" s="250" t="s">
        <v>1694</v>
      </c>
      <c r="F223" s="250" t="s">
        <v>1695</v>
      </c>
      <c r="G223" s="250" t="s">
        <v>1696</v>
      </c>
      <c r="H223" s="250" t="s">
        <v>1697</v>
      </c>
      <c r="I223" s="250" t="s">
        <v>1698</v>
      </c>
      <c r="J223" s="250" t="s">
        <v>1699</v>
      </c>
    </row>
    <row r="224" spans="1:10" x14ac:dyDescent="0.3">
      <c r="A224" s="250" t="s">
        <v>581</v>
      </c>
      <c r="E224" s="250" t="s">
        <v>1700</v>
      </c>
      <c r="F224" s="250" t="s">
        <v>1701</v>
      </c>
      <c r="G224" s="250" t="s">
        <v>1702</v>
      </c>
      <c r="H224" s="250" t="s">
        <v>1703</v>
      </c>
      <c r="I224" s="250" t="s">
        <v>1704</v>
      </c>
      <c r="J224" s="250" t="s">
        <v>1705</v>
      </c>
    </row>
    <row r="225" spans="1:10" x14ac:dyDescent="0.3">
      <c r="A225" s="250" t="s">
        <v>581</v>
      </c>
      <c r="E225" s="250" t="s">
        <v>1706</v>
      </c>
      <c r="F225" s="250" t="s">
        <v>1707</v>
      </c>
      <c r="G225" s="250" t="s">
        <v>1708</v>
      </c>
      <c r="H225" s="250" t="s">
        <v>1709</v>
      </c>
      <c r="I225" s="250" t="s">
        <v>1710</v>
      </c>
      <c r="J225" s="250" t="s">
        <v>1711</v>
      </c>
    </row>
    <row r="226" spans="1:10" x14ac:dyDescent="0.3">
      <c r="A226" s="250" t="s">
        <v>581</v>
      </c>
      <c r="E226" s="250" t="s">
        <v>1712</v>
      </c>
      <c r="F226" s="250" t="s">
        <v>1713</v>
      </c>
      <c r="G226" s="250" t="s">
        <v>1714</v>
      </c>
      <c r="H226" s="250" t="s">
        <v>1715</v>
      </c>
      <c r="I226" s="250" t="s">
        <v>1716</v>
      </c>
      <c r="J226" s="250" t="s">
        <v>1717</v>
      </c>
    </row>
    <row r="227" spans="1:10" x14ac:dyDescent="0.3">
      <c r="A227" s="250" t="s">
        <v>581</v>
      </c>
      <c r="E227" s="250" t="s">
        <v>1718</v>
      </c>
      <c r="F227" s="250" t="s">
        <v>1719</v>
      </c>
      <c r="G227" s="250" t="s">
        <v>1720</v>
      </c>
      <c r="H227" s="250" t="s">
        <v>1721</v>
      </c>
      <c r="I227" s="250" t="s">
        <v>1722</v>
      </c>
      <c r="J227" s="250" t="s">
        <v>1723</v>
      </c>
    </row>
    <row r="228" spans="1:10" x14ac:dyDescent="0.3">
      <c r="A228" s="250" t="s">
        <v>581</v>
      </c>
      <c r="E228" s="250" t="s">
        <v>1724</v>
      </c>
      <c r="F228" s="250" t="s">
        <v>1725</v>
      </c>
      <c r="G228" s="250" t="s">
        <v>1726</v>
      </c>
      <c r="H228" s="250" t="s">
        <v>1727</v>
      </c>
      <c r="I228" s="250" t="s">
        <v>1728</v>
      </c>
      <c r="J228" s="250" t="s">
        <v>1729</v>
      </c>
    </row>
    <row r="229" spans="1:10" x14ac:dyDescent="0.3">
      <c r="A229" s="250" t="s">
        <v>581</v>
      </c>
      <c r="E229" s="250" t="s">
        <v>1730</v>
      </c>
      <c r="F229" s="250" t="s">
        <v>1731</v>
      </c>
      <c r="G229" s="250" t="s">
        <v>1732</v>
      </c>
      <c r="H229" s="250" t="s">
        <v>1733</v>
      </c>
      <c r="I229" s="250" t="s">
        <v>1734</v>
      </c>
      <c r="J229" s="250" t="s">
        <v>1735</v>
      </c>
    </row>
    <row r="230" spans="1:10" x14ac:dyDescent="0.3">
      <c r="A230" s="250" t="s">
        <v>581</v>
      </c>
      <c r="E230" s="250" t="s">
        <v>1736</v>
      </c>
      <c r="F230" s="250" t="s">
        <v>1737</v>
      </c>
      <c r="G230" s="250" t="s">
        <v>1738</v>
      </c>
      <c r="H230" s="250" t="s">
        <v>1739</v>
      </c>
      <c r="I230" s="250" t="s">
        <v>1740</v>
      </c>
      <c r="J230" s="250" t="s">
        <v>1741</v>
      </c>
    </row>
    <row r="231" spans="1:10" x14ac:dyDescent="0.3">
      <c r="A231" s="250" t="s">
        <v>581</v>
      </c>
      <c r="E231" s="250" t="s">
        <v>1742</v>
      </c>
      <c r="F231" s="250" t="s">
        <v>1743</v>
      </c>
      <c r="G231" s="250" t="s">
        <v>1744</v>
      </c>
      <c r="H231" s="250" t="s">
        <v>1745</v>
      </c>
      <c r="I231" s="250" t="s">
        <v>1746</v>
      </c>
      <c r="J231" s="250" t="s">
        <v>1747</v>
      </c>
    </row>
    <row r="232" spans="1:10" x14ac:dyDescent="0.3">
      <c r="A232" s="250" t="s">
        <v>581</v>
      </c>
      <c r="E232" s="250" t="s">
        <v>1748</v>
      </c>
      <c r="F232" s="250" t="s">
        <v>1749</v>
      </c>
      <c r="G232" s="250" t="s">
        <v>1750</v>
      </c>
      <c r="H232" s="250" t="s">
        <v>1751</v>
      </c>
      <c r="I232" s="250" t="s">
        <v>1752</v>
      </c>
      <c r="J232" s="250" t="s">
        <v>1753</v>
      </c>
    </row>
    <row r="233" spans="1:10" x14ac:dyDescent="0.3">
      <c r="A233" s="250" t="s">
        <v>581</v>
      </c>
      <c r="E233" s="250" t="s">
        <v>1754</v>
      </c>
      <c r="F233" s="250" t="s">
        <v>1755</v>
      </c>
      <c r="G233" s="250" t="s">
        <v>1756</v>
      </c>
      <c r="H233" s="250" t="s">
        <v>1757</v>
      </c>
      <c r="I233" s="250" t="s">
        <v>1758</v>
      </c>
      <c r="J233" s="250" t="s">
        <v>1759</v>
      </c>
    </row>
    <row r="235" spans="1:10" x14ac:dyDescent="0.3">
      <c r="B235" s="250" t="s">
        <v>259</v>
      </c>
      <c r="D235" s="250" t="s">
        <v>1760</v>
      </c>
      <c r="G235" s="250" t="s">
        <v>1761</v>
      </c>
      <c r="H235" s="250" t="s">
        <v>1762</v>
      </c>
      <c r="I235" s="250" t="s">
        <v>1763</v>
      </c>
      <c r="J235" s="250" t="s">
        <v>1764</v>
      </c>
    </row>
    <row r="236" spans="1:10" x14ac:dyDescent="0.3">
      <c r="E236" s="250" t="s">
        <v>1765</v>
      </c>
      <c r="F236" s="250" t="s">
        <v>1766</v>
      </c>
      <c r="G236" s="250" t="s">
        <v>1767</v>
      </c>
      <c r="H236" s="250" t="s">
        <v>1768</v>
      </c>
      <c r="I236" s="250" t="s">
        <v>1769</v>
      </c>
      <c r="J236" s="250" t="s">
        <v>1770</v>
      </c>
    </row>
    <row r="237" spans="1:10" x14ac:dyDescent="0.3">
      <c r="A237" s="250" t="s">
        <v>581</v>
      </c>
      <c r="E237" s="250" t="s">
        <v>1771</v>
      </c>
      <c r="F237" s="250" t="s">
        <v>1772</v>
      </c>
      <c r="G237" s="250" t="s">
        <v>1773</v>
      </c>
      <c r="H237" s="250" t="s">
        <v>1774</v>
      </c>
      <c r="I237" s="250" t="s">
        <v>1775</v>
      </c>
      <c r="J237" s="250" t="s">
        <v>1776</v>
      </c>
    </row>
    <row r="238" spans="1:10" x14ac:dyDescent="0.3">
      <c r="A238" s="250" t="s">
        <v>581</v>
      </c>
      <c r="E238" s="250" t="s">
        <v>1777</v>
      </c>
      <c r="F238" s="250" t="s">
        <v>1778</v>
      </c>
      <c r="G238" s="250" t="s">
        <v>1779</v>
      </c>
      <c r="H238" s="250" t="s">
        <v>1780</v>
      </c>
      <c r="I238" s="250" t="s">
        <v>1781</v>
      </c>
      <c r="J238" s="250" t="s">
        <v>1782</v>
      </c>
    </row>
    <row r="239" spans="1:10" x14ac:dyDescent="0.3">
      <c r="A239" s="250" t="s">
        <v>581</v>
      </c>
      <c r="E239" s="250" t="s">
        <v>1783</v>
      </c>
      <c r="F239" s="250" t="s">
        <v>1784</v>
      </c>
      <c r="G239" s="250" t="s">
        <v>1785</v>
      </c>
      <c r="H239" s="250" t="s">
        <v>1786</v>
      </c>
      <c r="I239" s="250" t="s">
        <v>1787</v>
      </c>
      <c r="J239" s="250" t="s">
        <v>1788</v>
      </c>
    </row>
    <row r="240" spans="1:10" x14ac:dyDescent="0.3">
      <c r="A240" s="250" t="s">
        <v>581</v>
      </c>
      <c r="E240" s="250" t="s">
        <v>1789</v>
      </c>
      <c r="F240" s="250" t="s">
        <v>1790</v>
      </c>
      <c r="G240" s="250" t="s">
        <v>1791</v>
      </c>
      <c r="H240" s="250" t="s">
        <v>1792</v>
      </c>
      <c r="I240" s="250" t="s">
        <v>1793</v>
      </c>
      <c r="J240" s="250" t="s">
        <v>1794</v>
      </c>
    </row>
    <row r="241" spans="1:10" x14ac:dyDescent="0.3">
      <c r="A241" s="250" t="s">
        <v>581</v>
      </c>
      <c r="E241" s="250" t="s">
        <v>1795</v>
      </c>
      <c r="F241" s="250" t="s">
        <v>1796</v>
      </c>
      <c r="G241" s="250" t="s">
        <v>1797</v>
      </c>
      <c r="H241" s="250" t="s">
        <v>1798</v>
      </c>
      <c r="I241" s="250" t="s">
        <v>1799</v>
      </c>
      <c r="J241" s="250" t="s">
        <v>1800</v>
      </c>
    </row>
    <row r="242" spans="1:10" x14ac:dyDescent="0.3">
      <c r="A242" s="250" t="s">
        <v>581</v>
      </c>
      <c r="E242" s="250" t="s">
        <v>1801</v>
      </c>
      <c r="F242" s="250" t="s">
        <v>1802</v>
      </c>
      <c r="G242" s="250" t="s">
        <v>1803</v>
      </c>
      <c r="H242" s="250" t="s">
        <v>1804</v>
      </c>
      <c r="I242" s="250" t="s">
        <v>1805</v>
      </c>
      <c r="J242" s="250" t="s">
        <v>1806</v>
      </c>
    </row>
    <row r="243" spans="1:10" x14ac:dyDescent="0.3">
      <c r="A243" s="250" t="s">
        <v>581</v>
      </c>
      <c r="E243" s="250" t="s">
        <v>1807</v>
      </c>
      <c r="F243" s="250" t="s">
        <v>1808</v>
      </c>
      <c r="G243" s="250" t="s">
        <v>1809</v>
      </c>
      <c r="H243" s="250" t="s">
        <v>1810</v>
      </c>
      <c r="I243" s="250" t="s">
        <v>1811</v>
      </c>
      <c r="J243" s="250" t="s">
        <v>1812</v>
      </c>
    </row>
    <row r="244" spans="1:10" x14ac:dyDescent="0.3">
      <c r="A244" s="250" t="s">
        <v>581</v>
      </c>
      <c r="E244" s="250" t="s">
        <v>1813</v>
      </c>
      <c r="F244" s="250" t="s">
        <v>1814</v>
      </c>
      <c r="G244" s="250" t="s">
        <v>1815</v>
      </c>
      <c r="H244" s="250" t="s">
        <v>1816</v>
      </c>
      <c r="I244" s="250" t="s">
        <v>1817</v>
      </c>
      <c r="J244" s="250" t="s">
        <v>1818</v>
      </c>
    </row>
    <row r="245" spans="1:10" x14ac:dyDescent="0.3">
      <c r="A245" s="250" t="s">
        <v>581</v>
      </c>
      <c r="E245" s="250" t="s">
        <v>1819</v>
      </c>
      <c r="F245" s="250" t="s">
        <v>1820</v>
      </c>
      <c r="G245" s="250" t="s">
        <v>1821</v>
      </c>
      <c r="H245" s="250" t="s">
        <v>1822</v>
      </c>
      <c r="I245" s="250" t="s">
        <v>1823</v>
      </c>
      <c r="J245" s="250" t="s">
        <v>1824</v>
      </c>
    </row>
    <row r="246" spans="1:10" x14ac:dyDescent="0.3">
      <c r="A246" s="250" t="s">
        <v>581</v>
      </c>
      <c r="E246" s="250" t="s">
        <v>1825</v>
      </c>
      <c r="F246" s="250" t="s">
        <v>1826</v>
      </c>
      <c r="G246" s="250" t="s">
        <v>1827</v>
      </c>
      <c r="H246" s="250" t="s">
        <v>1828</v>
      </c>
      <c r="I246" s="250" t="s">
        <v>1829</v>
      </c>
      <c r="J246" s="250" t="s">
        <v>1830</v>
      </c>
    </row>
    <row r="247" spans="1:10" x14ac:dyDescent="0.3">
      <c r="A247" s="250" t="s">
        <v>581</v>
      </c>
      <c r="E247" s="250" t="s">
        <v>1831</v>
      </c>
      <c r="F247" s="250" t="s">
        <v>1832</v>
      </c>
      <c r="G247" s="250" t="s">
        <v>1833</v>
      </c>
      <c r="H247" s="250" t="s">
        <v>1834</v>
      </c>
      <c r="I247" s="250" t="s">
        <v>1835</v>
      </c>
      <c r="J247" s="250" t="s">
        <v>1836</v>
      </c>
    </row>
    <row r="248" spans="1:10" x14ac:dyDescent="0.3">
      <c r="A248" s="250" t="s">
        <v>581</v>
      </c>
      <c r="E248" s="250" t="s">
        <v>1837</v>
      </c>
      <c r="F248" s="250" t="s">
        <v>1838</v>
      </c>
      <c r="G248" s="250" t="s">
        <v>1839</v>
      </c>
      <c r="H248" s="250" t="s">
        <v>1840</v>
      </c>
      <c r="I248" s="250" t="s">
        <v>1841</v>
      </c>
      <c r="J248" s="250" t="s">
        <v>1842</v>
      </c>
    </row>
    <row r="249" spans="1:10" x14ac:dyDescent="0.3">
      <c r="A249" s="250" t="s">
        <v>581</v>
      </c>
      <c r="E249" s="250" t="s">
        <v>1843</v>
      </c>
      <c r="F249" s="250" t="s">
        <v>1844</v>
      </c>
      <c r="G249" s="250" t="s">
        <v>1845</v>
      </c>
      <c r="H249" s="250" t="s">
        <v>1846</v>
      </c>
      <c r="I249" s="250" t="s">
        <v>1847</v>
      </c>
      <c r="J249" s="250" t="s">
        <v>1848</v>
      </c>
    </row>
    <row r="250" spans="1:10" x14ac:dyDescent="0.3">
      <c r="A250" s="250" t="s">
        <v>581</v>
      </c>
      <c r="E250" s="250" t="s">
        <v>1849</v>
      </c>
      <c r="F250" s="250" t="s">
        <v>1850</v>
      </c>
      <c r="G250" s="250" t="s">
        <v>1851</v>
      </c>
      <c r="H250" s="250" t="s">
        <v>1852</v>
      </c>
      <c r="I250" s="250" t="s">
        <v>1853</v>
      </c>
      <c r="J250" s="250" t="s">
        <v>1854</v>
      </c>
    </row>
    <row r="251" spans="1:10" x14ac:dyDescent="0.3">
      <c r="A251" s="250" t="s">
        <v>581</v>
      </c>
      <c r="E251" s="250" t="s">
        <v>1855</v>
      </c>
      <c r="F251" s="250" t="s">
        <v>1856</v>
      </c>
      <c r="G251" s="250" t="s">
        <v>1857</v>
      </c>
      <c r="H251" s="250" t="s">
        <v>1858</v>
      </c>
      <c r="I251" s="250" t="s">
        <v>1859</v>
      </c>
      <c r="J251" s="250" t="s">
        <v>1860</v>
      </c>
    </row>
    <row r="252" spans="1:10" x14ac:dyDescent="0.3">
      <c r="A252" s="250" t="s">
        <v>581</v>
      </c>
      <c r="E252" s="250" t="s">
        <v>1861</v>
      </c>
      <c r="F252" s="250" t="s">
        <v>1862</v>
      </c>
      <c r="G252" s="250" t="s">
        <v>1863</v>
      </c>
      <c r="H252" s="250" t="s">
        <v>1864</v>
      </c>
      <c r="I252" s="250" t="s">
        <v>1865</v>
      </c>
      <c r="J252" s="250" t="s">
        <v>1866</v>
      </c>
    </row>
    <row r="253" spans="1:10" x14ac:dyDescent="0.3">
      <c r="A253" s="250" t="s">
        <v>581</v>
      </c>
      <c r="E253" s="250" t="s">
        <v>1867</v>
      </c>
      <c r="F253" s="250" t="s">
        <v>1868</v>
      </c>
      <c r="G253" s="250" t="s">
        <v>1869</v>
      </c>
      <c r="H253" s="250" t="s">
        <v>1870</v>
      </c>
      <c r="I253" s="250" t="s">
        <v>1871</v>
      </c>
      <c r="J253" s="250" t="s">
        <v>1872</v>
      </c>
    </row>
    <row r="255" spans="1:10" x14ac:dyDescent="0.3">
      <c r="B255" s="250" t="s">
        <v>271</v>
      </c>
      <c r="D255" s="250" t="s">
        <v>1873</v>
      </c>
      <c r="G255" s="250" t="s">
        <v>1874</v>
      </c>
      <c r="H255" s="250" t="s">
        <v>1875</v>
      </c>
      <c r="I255" s="250" t="s">
        <v>1876</v>
      </c>
      <c r="J255" s="250" t="s">
        <v>1877</v>
      </c>
    </row>
    <row r="256" spans="1:10" x14ac:dyDescent="0.3">
      <c r="E256" s="250" t="s">
        <v>1878</v>
      </c>
      <c r="F256" s="250" t="s">
        <v>1879</v>
      </c>
      <c r="G256" s="250" t="s">
        <v>1880</v>
      </c>
      <c r="H256" s="250" t="s">
        <v>1881</v>
      </c>
      <c r="I256" s="250" t="s">
        <v>1882</v>
      </c>
      <c r="J256" s="250" t="s">
        <v>1883</v>
      </c>
    </row>
    <row r="257" spans="1:10" x14ac:dyDescent="0.3">
      <c r="A257" s="250" t="s">
        <v>581</v>
      </c>
      <c r="E257" s="250" t="s">
        <v>1884</v>
      </c>
      <c r="F257" s="250" t="s">
        <v>1885</v>
      </c>
      <c r="G257" s="250" t="s">
        <v>1886</v>
      </c>
      <c r="H257" s="250" t="s">
        <v>1887</v>
      </c>
      <c r="I257" s="250" t="s">
        <v>1888</v>
      </c>
      <c r="J257" s="250" t="s">
        <v>1889</v>
      </c>
    </row>
    <row r="258" spans="1:10" x14ac:dyDescent="0.3">
      <c r="A258" s="250" t="s">
        <v>581</v>
      </c>
      <c r="E258" s="250" t="s">
        <v>1890</v>
      </c>
      <c r="F258" s="250" t="s">
        <v>1891</v>
      </c>
      <c r="G258" s="250" t="s">
        <v>1892</v>
      </c>
      <c r="H258" s="250" t="s">
        <v>1893</v>
      </c>
      <c r="I258" s="250" t="s">
        <v>1894</v>
      </c>
      <c r="J258" s="250" t="s">
        <v>1895</v>
      </c>
    </row>
    <row r="259" spans="1:10" x14ac:dyDescent="0.3">
      <c r="A259" s="250" t="s">
        <v>581</v>
      </c>
      <c r="E259" s="250" t="s">
        <v>1896</v>
      </c>
      <c r="F259" s="250" t="s">
        <v>1897</v>
      </c>
      <c r="G259" s="250" t="s">
        <v>1898</v>
      </c>
      <c r="H259" s="250" t="s">
        <v>1899</v>
      </c>
      <c r="I259" s="250" t="s">
        <v>1900</v>
      </c>
      <c r="J259" s="250" t="s">
        <v>1901</v>
      </c>
    </row>
    <row r="261" spans="1:10" x14ac:dyDescent="0.3">
      <c r="B261" s="250" t="s">
        <v>283</v>
      </c>
      <c r="D261" s="250" t="s">
        <v>1902</v>
      </c>
      <c r="G261" s="250" t="s">
        <v>1903</v>
      </c>
      <c r="H261" s="250" t="s">
        <v>1904</v>
      </c>
      <c r="I261" s="250" t="s">
        <v>1905</v>
      </c>
      <c r="J261" s="250" t="s">
        <v>1906</v>
      </c>
    </row>
    <row r="262" spans="1:10" x14ac:dyDescent="0.3">
      <c r="E262" s="250" t="s">
        <v>1907</v>
      </c>
      <c r="F262" s="250" t="s">
        <v>1908</v>
      </c>
      <c r="G262" s="250" t="s">
        <v>1909</v>
      </c>
      <c r="H262" s="250" t="s">
        <v>1910</v>
      </c>
      <c r="I262" s="250" t="s">
        <v>1911</v>
      </c>
      <c r="J262" s="250" t="s">
        <v>1912</v>
      </c>
    </row>
    <row r="264" spans="1:10" x14ac:dyDescent="0.3">
      <c r="F264" s="250" t="s">
        <v>24</v>
      </c>
      <c r="G264" s="250" t="s">
        <v>1913</v>
      </c>
      <c r="H264" s="250" t="s">
        <v>1914</v>
      </c>
      <c r="I264" s="250" t="s">
        <v>1915</v>
      </c>
      <c r="J264" s="250" t="s">
        <v>1916</v>
      </c>
    </row>
    <row r="265" spans="1:10" x14ac:dyDescent="0.3">
      <c r="F265" s="250" t="s">
        <v>25</v>
      </c>
      <c r="G265" s="250" t="s">
        <v>1917</v>
      </c>
      <c r="H265" s="250" t="s">
        <v>1918</v>
      </c>
      <c r="I265" s="250" t="s">
        <v>1919</v>
      </c>
      <c r="J265" s="250" t="s">
        <v>1920</v>
      </c>
    </row>
    <row r="267" spans="1:10" x14ac:dyDescent="0.3">
      <c r="D267" s="250" t="s">
        <v>88</v>
      </c>
    </row>
    <row r="269" spans="1:10" x14ac:dyDescent="0.3">
      <c r="B269" s="250" t="s">
        <v>303</v>
      </c>
      <c r="D269" s="250" t="s">
        <v>1921</v>
      </c>
      <c r="G269" s="250" t="s">
        <v>1922</v>
      </c>
      <c r="H269" s="250" t="s">
        <v>1923</v>
      </c>
      <c r="I269" s="250" t="s">
        <v>1924</v>
      </c>
      <c r="J269" s="250" t="s">
        <v>1925</v>
      </c>
    </row>
    <row r="270" spans="1:10" x14ac:dyDescent="0.3">
      <c r="E270" s="250" t="s">
        <v>1926</v>
      </c>
      <c r="F270" s="250" t="s">
        <v>1927</v>
      </c>
      <c r="G270" s="250" t="s">
        <v>1928</v>
      </c>
      <c r="H270" s="250" t="s">
        <v>1929</v>
      </c>
      <c r="I270" s="250" t="s">
        <v>1930</v>
      </c>
      <c r="J270" s="250" t="s">
        <v>1931</v>
      </c>
    </row>
    <row r="271" spans="1:10" x14ac:dyDescent="0.3">
      <c r="A271" s="250" t="s">
        <v>581</v>
      </c>
      <c r="E271" s="250" t="s">
        <v>1932</v>
      </c>
      <c r="F271" s="250" t="s">
        <v>1933</v>
      </c>
      <c r="G271" s="250" t="s">
        <v>1934</v>
      </c>
      <c r="H271" s="250" t="s">
        <v>1935</v>
      </c>
      <c r="I271" s="250" t="s">
        <v>1936</v>
      </c>
      <c r="J271" s="250" t="s">
        <v>1937</v>
      </c>
    </row>
    <row r="272" spans="1:10" x14ac:dyDescent="0.3">
      <c r="A272" s="250" t="s">
        <v>581</v>
      </c>
      <c r="E272" s="250" t="s">
        <v>1938</v>
      </c>
      <c r="F272" s="250" t="s">
        <v>1939</v>
      </c>
      <c r="G272" s="250" t="s">
        <v>1940</v>
      </c>
      <c r="H272" s="250" t="s">
        <v>1941</v>
      </c>
      <c r="I272" s="250" t="s">
        <v>1942</v>
      </c>
      <c r="J272" s="250" t="s">
        <v>1943</v>
      </c>
    </row>
    <row r="273" spans="1:10" x14ac:dyDescent="0.3">
      <c r="A273" s="250" t="s">
        <v>581</v>
      </c>
      <c r="E273" s="250" t="s">
        <v>1944</v>
      </c>
      <c r="F273" s="250" t="s">
        <v>1945</v>
      </c>
      <c r="G273" s="250" t="s">
        <v>1946</v>
      </c>
      <c r="H273" s="250" t="s">
        <v>1947</v>
      </c>
      <c r="I273" s="250" t="s">
        <v>1948</v>
      </c>
      <c r="J273" s="250" t="s">
        <v>1949</v>
      </c>
    </row>
    <row r="274" spans="1:10" x14ac:dyDescent="0.3">
      <c r="A274" s="250" t="s">
        <v>581</v>
      </c>
      <c r="E274" s="250" t="s">
        <v>1950</v>
      </c>
      <c r="F274" s="250" t="s">
        <v>1951</v>
      </c>
      <c r="G274" s="250" t="s">
        <v>1952</v>
      </c>
      <c r="H274" s="250" t="s">
        <v>1953</v>
      </c>
      <c r="I274" s="250" t="s">
        <v>1954</v>
      </c>
      <c r="J274" s="250" t="s">
        <v>1955</v>
      </c>
    </row>
    <row r="275" spans="1:10" x14ac:dyDescent="0.3">
      <c r="A275" s="250" t="s">
        <v>581</v>
      </c>
      <c r="E275" s="250" t="s">
        <v>1956</v>
      </c>
      <c r="F275" s="250" t="s">
        <v>1957</v>
      </c>
      <c r="G275" s="250" t="s">
        <v>1958</v>
      </c>
      <c r="H275" s="250" t="s">
        <v>1959</v>
      </c>
      <c r="I275" s="250" t="s">
        <v>1960</v>
      </c>
      <c r="J275" s="250" t="s">
        <v>1961</v>
      </c>
    </row>
    <row r="276" spans="1:10" x14ac:dyDescent="0.3">
      <c r="A276" s="250" t="s">
        <v>581</v>
      </c>
      <c r="E276" s="250" t="s">
        <v>1962</v>
      </c>
      <c r="F276" s="250" t="s">
        <v>1963</v>
      </c>
      <c r="G276" s="250" t="s">
        <v>1964</v>
      </c>
      <c r="H276" s="250" t="s">
        <v>1965</v>
      </c>
      <c r="I276" s="250" t="s">
        <v>1966</v>
      </c>
      <c r="J276" s="250" t="s">
        <v>1967</v>
      </c>
    </row>
    <row r="277" spans="1:10" x14ac:dyDescent="0.3">
      <c r="A277" s="250" t="s">
        <v>581</v>
      </c>
      <c r="E277" s="250" t="s">
        <v>1968</v>
      </c>
      <c r="F277" s="250" t="s">
        <v>1969</v>
      </c>
      <c r="G277" s="250" t="s">
        <v>1970</v>
      </c>
      <c r="H277" s="250" t="s">
        <v>1971</v>
      </c>
      <c r="I277" s="250" t="s">
        <v>1972</v>
      </c>
      <c r="J277" s="250" t="s">
        <v>1973</v>
      </c>
    </row>
    <row r="278" spans="1:10" x14ac:dyDescent="0.3">
      <c r="A278" s="250" t="s">
        <v>581</v>
      </c>
      <c r="E278" s="250" t="s">
        <v>1974</v>
      </c>
      <c r="F278" s="250" t="s">
        <v>1975</v>
      </c>
      <c r="G278" s="250" t="s">
        <v>1976</v>
      </c>
      <c r="H278" s="250" t="s">
        <v>1977</v>
      </c>
      <c r="I278" s="250" t="s">
        <v>1978</v>
      </c>
      <c r="J278" s="250" t="s">
        <v>1979</v>
      </c>
    </row>
    <row r="279" spans="1:10" x14ac:dyDescent="0.3">
      <c r="A279" s="250" t="s">
        <v>581</v>
      </c>
      <c r="E279" s="250" t="s">
        <v>1980</v>
      </c>
      <c r="F279" s="250" t="s">
        <v>1981</v>
      </c>
      <c r="G279" s="250" t="s">
        <v>1982</v>
      </c>
      <c r="H279" s="250" t="s">
        <v>1983</v>
      </c>
      <c r="I279" s="250" t="s">
        <v>1984</v>
      </c>
      <c r="J279" s="250" t="s">
        <v>1985</v>
      </c>
    </row>
    <row r="280" spans="1:10" x14ac:dyDescent="0.3">
      <c r="A280" s="250" t="s">
        <v>581</v>
      </c>
      <c r="E280" s="250" t="s">
        <v>1986</v>
      </c>
      <c r="F280" s="250" t="s">
        <v>1987</v>
      </c>
      <c r="G280" s="250" t="s">
        <v>1988</v>
      </c>
      <c r="H280" s="250" t="s">
        <v>1989</v>
      </c>
      <c r="I280" s="250" t="s">
        <v>1990</v>
      </c>
      <c r="J280" s="250" t="s">
        <v>1991</v>
      </c>
    </row>
    <row r="281" spans="1:10" x14ac:dyDescent="0.3">
      <c r="A281" s="250" t="s">
        <v>581</v>
      </c>
      <c r="E281" s="250" t="s">
        <v>1992</v>
      </c>
      <c r="F281" s="250" t="s">
        <v>1993</v>
      </c>
      <c r="G281" s="250" t="s">
        <v>1994</v>
      </c>
      <c r="H281" s="250" t="s">
        <v>1995</v>
      </c>
      <c r="I281" s="250" t="s">
        <v>1996</v>
      </c>
      <c r="J281" s="250" t="s">
        <v>1997</v>
      </c>
    </row>
    <row r="282" spans="1:10" x14ac:dyDescent="0.3">
      <c r="A282" s="250" t="s">
        <v>581</v>
      </c>
      <c r="E282" s="250" t="s">
        <v>1998</v>
      </c>
      <c r="F282" s="250" t="s">
        <v>1999</v>
      </c>
      <c r="G282" s="250" t="s">
        <v>2000</v>
      </c>
      <c r="H282" s="250" t="s">
        <v>2001</v>
      </c>
      <c r="I282" s="250" t="s">
        <v>2002</v>
      </c>
      <c r="J282" s="250" t="s">
        <v>2003</v>
      </c>
    </row>
    <row r="283" spans="1:10" x14ac:dyDescent="0.3">
      <c r="A283" s="250" t="s">
        <v>581</v>
      </c>
      <c r="E283" s="250" t="s">
        <v>2004</v>
      </c>
      <c r="F283" s="250" t="s">
        <v>2005</v>
      </c>
      <c r="G283" s="250" t="s">
        <v>2006</v>
      </c>
      <c r="H283" s="250" t="s">
        <v>2007</v>
      </c>
      <c r="I283" s="250" t="s">
        <v>2008</v>
      </c>
      <c r="J283" s="250" t="s">
        <v>2009</v>
      </c>
    </row>
    <row r="284" spans="1:10" x14ac:dyDescent="0.3">
      <c r="A284" s="250" t="s">
        <v>581</v>
      </c>
      <c r="E284" s="250" t="s">
        <v>2010</v>
      </c>
      <c r="F284" s="250" t="s">
        <v>2011</v>
      </c>
      <c r="G284" s="250" t="s">
        <v>2012</v>
      </c>
      <c r="H284" s="250" t="s">
        <v>2013</v>
      </c>
      <c r="I284" s="250" t="s">
        <v>2014</v>
      </c>
      <c r="J284" s="250" t="s">
        <v>2015</v>
      </c>
    </row>
    <row r="285" spans="1:10" x14ac:dyDescent="0.3">
      <c r="A285" s="250" t="s">
        <v>581</v>
      </c>
      <c r="E285" s="250" t="s">
        <v>2016</v>
      </c>
      <c r="F285" s="250" t="s">
        <v>2017</v>
      </c>
      <c r="G285" s="250" t="s">
        <v>2018</v>
      </c>
      <c r="H285" s="250" t="s">
        <v>2019</v>
      </c>
      <c r="I285" s="250" t="s">
        <v>2020</v>
      </c>
      <c r="J285" s="250" t="s">
        <v>2021</v>
      </c>
    </row>
    <row r="286" spans="1:10" x14ac:dyDescent="0.3">
      <c r="A286" s="250" t="s">
        <v>581</v>
      </c>
      <c r="E286" s="250" t="s">
        <v>2022</v>
      </c>
      <c r="F286" s="250" t="s">
        <v>2023</v>
      </c>
      <c r="G286" s="250" t="s">
        <v>2024</v>
      </c>
      <c r="H286" s="250" t="s">
        <v>2025</v>
      </c>
      <c r="I286" s="250" t="s">
        <v>2026</v>
      </c>
      <c r="J286" s="250" t="s">
        <v>2027</v>
      </c>
    </row>
    <row r="287" spans="1:10" x14ac:dyDescent="0.3">
      <c r="A287" s="250" t="s">
        <v>581</v>
      </c>
      <c r="E287" s="250" t="s">
        <v>2028</v>
      </c>
      <c r="F287" s="250" t="s">
        <v>2029</v>
      </c>
      <c r="G287" s="250" t="s">
        <v>2030</v>
      </c>
      <c r="H287" s="250" t="s">
        <v>2031</v>
      </c>
      <c r="I287" s="250" t="s">
        <v>2032</v>
      </c>
      <c r="J287" s="250" t="s">
        <v>2033</v>
      </c>
    </row>
    <row r="288" spans="1:10" x14ac:dyDescent="0.3">
      <c r="A288" s="250" t="s">
        <v>581</v>
      </c>
      <c r="E288" s="250" t="s">
        <v>2034</v>
      </c>
      <c r="F288" s="250" t="s">
        <v>2035</v>
      </c>
      <c r="G288" s="250" t="s">
        <v>2036</v>
      </c>
      <c r="H288" s="250" t="s">
        <v>2037</v>
      </c>
      <c r="I288" s="250" t="s">
        <v>2038</v>
      </c>
      <c r="J288" s="250" t="s">
        <v>2039</v>
      </c>
    </row>
    <row r="289" spans="1:10" x14ac:dyDescent="0.3">
      <c r="A289" s="250" t="s">
        <v>581</v>
      </c>
      <c r="E289" s="250" t="s">
        <v>2040</v>
      </c>
      <c r="F289" s="250" t="s">
        <v>2041</v>
      </c>
      <c r="G289" s="250" t="s">
        <v>2042</v>
      </c>
      <c r="H289" s="250" t="s">
        <v>2043</v>
      </c>
      <c r="I289" s="250" t="s">
        <v>2044</v>
      </c>
      <c r="J289" s="250" t="s">
        <v>2045</v>
      </c>
    </row>
    <row r="290" spans="1:10" x14ac:dyDescent="0.3">
      <c r="A290" s="250" t="s">
        <v>581</v>
      </c>
      <c r="E290" s="250" t="s">
        <v>2046</v>
      </c>
      <c r="F290" s="250" t="s">
        <v>2047</v>
      </c>
      <c r="G290" s="250" t="s">
        <v>2048</v>
      </c>
      <c r="H290" s="250" t="s">
        <v>2049</v>
      </c>
      <c r="I290" s="250" t="s">
        <v>2050</v>
      </c>
      <c r="J290" s="250" t="s">
        <v>2051</v>
      </c>
    </row>
    <row r="291" spans="1:10" x14ac:dyDescent="0.3">
      <c r="A291" s="250" t="s">
        <v>581</v>
      </c>
      <c r="E291" s="250" t="s">
        <v>2052</v>
      </c>
      <c r="F291" s="250" t="s">
        <v>2053</v>
      </c>
      <c r="G291" s="250" t="s">
        <v>2054</v>
      </c>
      <c r="H291" s="250" t="s">
        <v>2055</v>
      </c>
      <c r="I291" s="250" t="s">
        <v>2056</v>
      </c>
      <c r="J291" s="250" t="s">
        <v>2057</v>
      </c>
    </row>
    <row r="292" spans="1:10" x14ac:dyDescent="0.3">
      <c r="A292" s="250" t="s">
        <v>581</v>
      </c>
      <c r="E292" s="250" t="s">
        <v>2058</v>
      </c>
      <c r="F292" s="250" t="s">
        <v>2059</v>
      </c>
      <c r="G292" s="250" t="s">
        <v>2060</v>
      </c>
      <c r="H292" s="250" t="s">
        <v>2061</v>
      </c>
      <c r="I292" s="250" t="s">
        <v>2062</v>
      </c>
      <c r="J292" s="250" t="s">
        <v>2063</v>
      </c>
    </row>
    <row r="293" spans="1:10" x14ac:dyDescent="0.3">
      <c r="A293" s="250" t="s">
        <v>581</v>
      </c>
      <c r="E293" s="250" t="s">
        <v>2064</v>
      </c>
      <c r="F293" s="250" t="s">
        <v>2065</v>
      </c>
      <c r="G293" s="250" t="s">
        <v>2066</v>
      </c>
      <c r="H293" s="250" t="s">
        <v>2067</v>
      </c>
      <c r="I293" s="250" t="s">
        <v>2068</v>
      </c>
      <c r="J293" s="250" t="s">
        <v>2069</v>
      </c>
    </row>
    <row r="294" spans="1:10" x14ac:dyDescent="0.3">
      <c r="A294" s="250" t="s">
        <v>581</v>
      </c>
      <c r="E294" s="250" t="s">
        <v>2070</v>
      </c>
      <c r="F294" s="250" t="s">
        <v>2071</v>
      </c>
      <c r="G294" s="250" t="s">
        <v>2072</v>
      </c>
      <c r="H294" s="250" t="s">
        <v>2073</v>
      </c>
      <c r="I294" s="250" t="s">
        <v>2074</v>
      </c>
      <c r="J294" s="250" t="s">
        <v>2075</v>
      </c>
    </row>
    <row r="295" spans="1:10" x14ac:dyDescent="0.3">
      <c r="A295" s="250" t="s">
        <v>581</v>
      </c>
      <c r="E295" s="250" t="s">
        <v>2076</v>
      </c>
      <c r="F295" s="250" t="s">
        <v>2077</v>
      </c>
      <c r="G295" s="250" t="s">
        <v>2078</v>
      </c>
      <c r="H295" s="250" t="s">
        <v>2079</v>
      </c>
      <c r="I295" s="250" t="s">
        <v>2080</v>
      </c>
      <c r="J295" s="250" t="s">
        <v>2081</v>
      </c>
    </row>
    <row r="296" spans="1:10" x14ac:dyDescent="0.3">
      <c r="A296" s="250" t="s">
        <v>581</v>
      </c>
      <c r="E296" s="250" t="s">
        <v>2082</v>
      </c>
      <c r="F296" s="250" t="s">
        <v>2083</v>
      </c>
      <c r="G296" s="250" t="s">
        <v>2084</v>
      </c>
      <c r="H296" s="250" t="s">
        <v>2085</v>
      </c>
      <c r="I296" s="250" t="s">
        <v>2086</v>
      </c>
      <c r="J296" s="250" t="s">
        <v>2087</v>
      </c>
    </row>
    <row r="297" spans="1:10" x14ac:dyDescent="0.3">
      <c r="A297" s="250" t="s">
        <v>581</v>
      </c>
      <c r="E297" s="250" t="s">
        <v>2088</v>
      </c>
      <c r="F297" s="250" t="s">
        <v>2089</v>
      </c>
      <c r="G297" s="250" t="s">
        <v>2090</v>
      </c>
      <c r="H297" s="250" t="s">
        <v>2091</v>
      </c>
      <c r="I297" s="250" t="s">
        <v>2092</v>
      </c>
      <c r="J297" s="250" t="s">
        <v>2093</v>
      </c>
    </row>
    <row r="298" spans="1:10" x14ac:dyDescent="0.3">
      <c r="A298" s="250" t="s">
        <v>581</v>
      </c>
      <c r="E298" s="250" t="s">
        <v>2094</v>
      </c>
      <c r="F298" s="250" t="s">
        <v>2095</v>
      </c>
      <c r="G298" s="250" t="s">
        <v>2096</v>
      </c>
      <c r="H298" s="250" t="s">
        <v>2097</v>
      </c>
      <c r="I298" s="250" t="s">
        <v>2098</v>
      </c>
      <c r="J298" s="250" t="s">
        <v>2099</v>
      </c>
    </row>
    <row r="299" spans="1:10" x14ac:dyDescent="0.3">
      <c r="A299" s="250" t="s">
        <v>581</v>
      </c>
      <c r="E299" s="250" t="s">
        <v>2100</v>
      </c>
      <c r="F299" s="250" t="s">
        <v>2101</v>
      </c>
      <c r="G299" s="250" t="s">
        <v>2102</v>
      </c>
      <c r="H299" s="250" t="s">
        <v>2103</v>
      </c>
      <c r="I299" s="250" t="s">
        <v>2104</v>
      </c>
      <c r="J299" s="250" t="s">
        <v>2105</v>
      </c>
    </row>
    <row r="300" spans="1:10" x14ac:dyDescent="0.3">
      <c r="A300" s="250" t="s">
        <v>581</v>
      </c>
      <c r="E300" s="250" t="s">
        <v>2106</v>
      </c>
      <c r="F300" s="250" t="s">
        <v>2107</v>
      </c>
      <c r="G300" s="250" t="s">
        <v>2108</v>
      </c>
      <c r="H300" s="250" t="s">
        <v>2109</v>
      </c>
      <c r="I300" s="250" t="s">
        <v>2110</v>
      </c>
      <c r="J300" s="250" t="s">
        <v>2111</v>
      </c>
    </row>
    <row r="301" spans="1:10" x14ac:dyDescent="0.3">
      <c r="A301" s="250" t="s">
        <v>581</v>
      </c>
      <c r="E301" s="250" t="s">
        <v>2112</v>
      </c>
      <c r="F301" s="250" t="s">
        <v>2113</v>
      </c>
      <c r="G301" s="250" t="s">
        <v>2114</v>
      </c>
      <c r="H301" s="250" t="s">
        <v>2115</v>
      </c>
      <c r="I301" s="250" t="s">
        <v>2116</v>
      </c>
      <c r="J301" s="250" t="s">
        <v>2117</v>
      </c>
    </row>
    <row r="302" spans="1:10" x14ac:dyDescent="0.3">
      <c r="A302" s="250" t="s">
        <v>581</v>
      </c>
      <c r="E302" s="250" t="s">
        <v>2118</v>
      </c>
      <c r="F302" s="250" t="s">
        <v>2119</v>
      </c>
      <c r="G302" s="250" t="s">
        <v>2120</v>
      </c>
      <c r="H302" s="250" t="s">
        <v>2121</v>
      </c>
      <c r="I302" s="250" t="s">
        <v>2122</v>
      </c>
      <c r="J302" s="250" t="s">
        <v>2123</v>
      </c>
    </row>
    <row r="303" spans="1:10" x14ac:dyDescent="0.3">
      <c r="A303" s="250" t="s">
        <v>581</v>
      </c>
      <c r="E303" s="250" t="s">
        <v>2124</v>
      </c>
      <c r="F303" s="250" t="s">
        <v>2125</v>
      </c>
      <c r="G303" s="250" t="s">
        <v>2126</v>
      </c>
      <c r="H303" s="250" t="s">
        <v>2127</v>
      </c>
      <c r="I303" s="250" t="s">
        <v>2128</v>
      </c>
      <c r="J303" s="250" t="s">
        <v>2129</v>
      </c>
    </row>
    <row r="305" spans="1:10" x14ac:dyDescent="0.3">
      <c r="B305" s="250" t="s">
        <v>315</v>
      </c>
      <c r="D305" s="250" t="s">
        <v>2130</v>
      </c>
      <c r="G305" s="250" t="s">
        <v>2131</v>
      </c>
      <c r="H305" s="250" t="s">
        <v>2132</v>
      </c>
      <c r="I305" s="250" t="s">
        <v>2133</v>
      </c>
      <c r="J305" s="250" t="s">
        <v>2134</v>
      </c>
    </row>
    <row r="306" spans="1:10" x14ac:dyDescent="0.3">
      <c r="E306" s="250" t="s">
        <v>2135</v>
      </c>
      <c r="F306" s="250" t="s">
        <v>2136</v>
      </c>
      <c r="G306" s="250" t="s">
        <v>2137</v>
      </c>
      <c r="H306" s="250" t="s">
        <v>2138</v>
      </c>
      <c r="I306" s="250" t="s">
        <v>2139</v>
      </c>
      <c r="J306" s="250" t="s">
        <v>2140</v>
      </c>
    </row>
    <row r="307" spans="1:10" x14ac:dyDescent="0.3">
      <c r="A307" s="250" t="s">
        <v>581</v>
      </c>
      <c r="E307" s="250" t="s">
        <v>2141</v>
      </c>
      <c r="F307" s="250" t="s">
        <v>2142</v>
      </c>
      <c r="G307" s="250" t="s">
        <v>2143</v>
      </c>
      <c r="H307" s="250" t="s">
        <v>2144</v>
      </c>
      <c r="I307" s="250" t="s">
        <v>2145</v>
      </c>
      <c r="J307" s="250" t="s">
        <v>2146</v>
      </c>
    </row>
    <row r="308" spans="1:10" x14ac:dyDescent="0.3">
      <c r="A308" s="250" t="s">
        <v>581</v>
      </c>
      <c r="E308" s="250" t="s">
        <v>2147</v>
      </c>
      <c r="F308" s="250" t="s">
        <v>2148</v>
      </c>
      <c r="G308" s="250" t="s">
        <v>2149</v>
      </c>
      <c r="H308" s="250" t="s">
        <v>2150</v>
      </c>
      <c r="I308" s="250" t="s">
        <v>2151</v>
      </c>
      <c r="J308" s="250" t="s">
        <v>2152</v>
      </c>
    </row>
    <row r="309" spans="1:10" x14ac:dyDescent="0.3">
      <c r="A309" s="250" t="s">
        <v>581</v>
      </c>
      <c r="E309" s="250" t="s">
        <v>2153</v>
      </c>
      <c r="F309" s="250" t="s">
        <v>2154</v>
      </c>
      <c r="G309" s="250" t="s">
        <v>2155</v>
      </c>
      <c r="H309" s="250" t="s">
        <v>2156</v>
      </c>
      <c r="I309" s="250" t="s">
        <v>2157</v>
      </c>
      <c r="J309" s="250" t="s">
        <v>2158</v>
      </c>
    </row>
    <row r="310" spans="1:10" x14ac:dyDescent="0.3">
      <c r="A310" s="250" t="s">
        <v>581</v>
      </c>
      <c r="E310" s="250" t="s">
        <v>2159</v>
      </c>
      <c r="F310" s="250" t="s">
        <v>2160</v>
      </c>
      <c r="G310" s="250" t="s">
        <v>2161</v>
      </c>
      <c r="H310" s="250" t="s">
        <v>2162</v>
      </c>
      <c r="I310" s="250" t="s">
        <v>2163</v>
      </c>
      <c r="J310" s="250" t="s">
        <v>2164</v>
      </c>
    </row>
    <row r="311" spans="1:10" x14ac:dyDescent="0.3">
      <c r="A311" s="250" t="s">
        <v>581</v>
      </c>
      <c r="E311" s="250" t="s">
        <v>2165</v>
      </c>
      <c r="F311" s="250" t="s">
        <v>2166</v>
      </c>
      <c r="G311" s="250" t="s">
        <v>2167</v>
      </c>
      <c r="H311" s="250" t="s">
        <v>2168</v>
      </c>
      <c r="I311" s="250" t="s">
        <v>2169</v>
      </c>
      <c r="J311" s="250" t="s">
        <v>2170</v>
      </c>
    </row>
    <row r="312" spans="1:10" x14ac:dyDescent="0.3">
      <c r="A312" s="250" t="s">
        <v>581</v>
      </c>
      <c r="E312" s="250" t="s">
        <v>2171</v>
      </c>
      <c r="F312" s="250" t="s">
        <v>2172</v>
      </c>
      <c r="G312" s="250" t="s">
        <v>2173</v>
      </c>
      <c r="H312" s="250" t="s">
        <v>2174</v>
      </c>
      <c r="I312" s="250" t="s">
        <v>2175</v>
      </c>
      <c r="J312" s="250" t="s">
        <v>2176</v>
      </c>
    </row>
    <row r="313" spans="1:10" x14ac:dyDescent="0.3">
      <c r="A313" s="250" t="s">
        <v>581</v>
      </c>
      <c r="E313" s="250" t="s">
        <v>2177</v>
      </c>
      <c r="F313" s="250" t="s">
        <v>2178</v>
      </c>
      <c r="G313" s="250" t="s">
        <v>2179</v>
      </c>
      <c r="H313" s="250" t="s">
        <v>2180</v>
      </c>
      <c r="I313" s="250" t="s">
        <v>2181</v>
      </c>
      <c r="J313" s="250" t="s">
        <v>2182</v>
      </c>
    </row>
    <row r="314" spans="1:10" x14ac:dyDescent="0.3">
      <c r="A314" s="250" t="s">
        <v>581</v>
      </c>
      <c r="E314" s="250" t="s">
        <v>2183</v>
      </c>
      <c r="F314" s="250" t="s">
        <v>2184</v>
      </c>
      <c r="G314" s="250" t="s">
        <v>2185</v>
      </c>
      <c r="H314" s="250" t="s">
        <v>2186</v>
      </c>
      <c r="I314" s="250" t="s">
        <v>2187</v>
      </c>
      <c r="J314" s="250" t="s">
        <v>2188</v>
      </c>
    </row>
    <row r="315" spans="1:10" x14ac:dyDescent="0.3">
      <c r="A315" s="250" t="s">
        <v>581</v>
      </c>
      <c r="E315" s="250" t="s">
        <v>2189</v>
      </c>
      <c r="F315" s="250" t="s">
        <v>2190</v>
      </c>
      <c r="G315" s="250" t="s">
        <v>2191</v>
      </c>
      <c r="H315" s="250" t="s">
        <v>2192</v>
      </c>
      <c r="I315" s="250" t="s">
        <v>2193</v>
      </c>
      <c r="J315" s="250" t="s">
        <v>2194</v>
      </c>
    </row>
    <row r="316" spans="1:10" x14ac:dyDescent="0.3">
      <c r="A316" s="250" t="s">
        <v>581</v>
      </c>
      <c r="E316" s="250" t="s">
        <v>2195</v>
      </c>
      <c r="F316" s="250" t="s">
        <v>2196</v>
      </c>
      <c r="G316" s="250" t="s">
        <v>2197</v>
      </c>
      <c r="H316" s="250" t="s">
        <v>2198</v>
      </c>
      <c r="I316" s="250" t="s">
        <v>2199</v>
      </c>
      <c r="J316" s="250" t="s">
        <v>2200</v>
      </c>
    </row>
    <row r="317" spans="1:10" x14ac:dyDescent="0.3">
      <c r="A317" s="250" t="s">
        <v>581</v>
      </c>
      <c r="E317" s="250" t="s">
        <v>2201</v>
      </c>
      <c r="F317" s="250" t="s">
        <v>2202</v>
      </c>
      <c r="G317" s="250" t="s">
        <v>2203</v>
      </c>
      <c r="H317" s="250" t="s">
        <v>2204</v>
      </c>
      <c r="I317" s="250" t="s">
        <v>2205</v>
      </c>
      <c r="J317" s="250" t="s">
        <v>2206</v>
      </c>
    </row>
    <row r="318" spans="1:10" x14ac:dyDescent="0.3">
      <c r="A318" s="250" t="s">
        <v>581</v>
      </c>
      <c r="E318" s="250" t="s">
        <v>2207</v>
      </c>
      <c r="F318" s="250" t="s">
        <v>2208</v>
      </c>
      <c r="G318" s="250" t="s">
        <v>2209</v>
      </c>
      <c r="H318" s="250" t="s">
        <v>2210</v>
      </c>
      <c r="I318" s="250" t="s">
        <v>2211</v>
      </c>
      <c r="J318" s="250" t="s">
        <v>2212</v>
      </c>
    </row>
    <row r="319" spans="1:10" x14ac:dyDescent="0.3">
      <c r="A319" s="250" t="s">
        <v>581</v>
      </c>
      <c r="E319" s="250" t="s">
        <v>2213</v>
      </c>
      <c r="F319" s="250" t="s">
        <v>2214</v>
      </c>
      <c r="G319" s="250" t="s">
        <v>2215</v>
      </c>
      <c r="H319" s="250" t="s">
        <v>2216</v>
      </c>
      <c r="I319" s="250" t="s">
        <v>2217</v>
      </c>
      <c r="J319" s="250" t="s">
        <v>2218</v>
      </c>
    </row>
    <row r="320" spans="1:10" x14ac:dyDescent="0.3">
      <c r="A320" s="250" t="s">
        <v>581</v>
      </c>
      <c r="E320" s="250" t="s">
        <v>2219</v>
      </c>
      <c r="F320" s="250" t="s">
        <v>2220</v>
      </c>
      <c r="G320" s="250" t="s">
        <v>2221</v>
      </c>
      <c r="H320" s="250" t="s">
        <v>2222</v>
      </c>
      <c r="I320" s="250" t="s">
        <v>2223</v>
      </c>
      <c r="J320" s="250" t="s">
        <v>2224</v>
      </c>
    </row>
    <row r="321" spans="1:10" x14ac:dyDescent="0.3">
      <c r="A321" s="250" t="s">
        <v>581</v>
      </c>
      <c r="E321" s="250" t="s">
        <v>2225</v>
      </c>
      <c r="F321" s="250" t="s">
        <v>2226</v>
      </c>
      <c r="G321" s="250" t="s">
        <v>2227</v>
      </c>
      <c r="H321" s="250" t="s">
        <v>2228</v>
      </c>
      <c r="I321" s="250" t="s">
        <v>2229</v>
      </c>
      <c r="J321" s="250" t="s">
        <v>2230</v>
      </c>
    </row>
    <row r="322" spans="1:10" x14ac:dyDescent="0.3">
      <c r="A322" s="250" t="s">
        <v>581</v>
      </c>
      <c r="E322" s="250" t="s">
        <v>2231</v>
      </c>
      <c r="F322" s="250" t="s">
        <v>2232</v>
      </c>
      <c r="G322" s="250" t="s">
        <v>2233</v>
      </c>
      <c r="H322" s="250" t="s">
        <v>2234</v>
      </c>
      <c r="I322" s="250" t="s">
        <v>2235</v>
      </c>
      <c r="J322" s="250" t="s">
        <v>2236</v>
      </c>
    </row>
    <row r="323" spans="1:10" x14ac:dyDescent="0.3">
      <c r="A323" s="250" t="s">
        <v>581</v>
      </c>
      <c r="E323" s="250" t="s">
        <v>2237</v>
      </c>
      <c r="F323" s="250" t="s">
        <v>2238</v>
      </c>
      <c r="G323" s="250" t="s">
        <v>2239</v>
      </c>
      <c r="H323" s="250" t="s">
        <v>2240</v>
      </c>
      <c r="I323" s="250" t="s">
        <v>2241</v>
      </c>
      <c r="J323" s="250" t="s">
        <v>2242</v>
      </c>
    </row>
    <row r="324" spans="1:10" x14ac:dyDescent="0.3">
      <c r="A324" s="250" t="s">
        <v>581</v>
      </c>
      <c r="E324" s="250" t="s">
        <v>2243</v>
      </c>
      <c r="F324" s="250" t="s">
        <v>2244</v>
      </c>
      <c r="G324" s="250" t="s">
        <v>2245</v>
      </c>
      <c r="H324" s="250" t="s">
        <v>2246</v>
      </c>
      <c r="I324" s="250" t="s">
        <v>2247</v>
      </c>
      <c r="J324" s="250" t="s">
        <v>2248</v>
      </c>
    </row>
    <row r="326" spans="1:10" x14ac:dyDescent="0.3">
      <c r="F326" s="250" t="s">
        <v>89</v>
      </c>
      <c r="G326" s="250" t="s">
        <v>2249</v>
      </c>
      <c r="H326" s="250" t="s">
        <v>2250</v>
      </c>
      <c r="I326" s="250" t="s">
        <v>2251</v>
      </c>
      <c r="J326" s="250" t="s">
        <v>2252</v>
      </c>
    </row>
    <row r="327" spans="1:10" x14ac:dyDescent="0.3">
      <c r="F327" s="250" t="s">
        <v>139</v>
      </c>
      <c r="G327" s="250" t="s">
        <v>2253</v>
      </c>
      <c r="H327" s="250" t="s">
        <v>2254</v>
      </c>
      <c r="I327" s="250" t="s">
        <v>2255</v>
      </c>
      <c r="J327" s="250" t="s">
        <v>2256</v>
      </c>
    </row>
    <row r="329" spans="1:10" x14ac:dyDescent="0.3">
      <c r="D329" s="250" t="s">
        <v>26</v>
      </c>
    </row>
    <row r="331" spans="1:10" x14ac:dyDescent="0.3">
      <c r="B331" s="250" t="s">
        <v>335</v>
      </c>
      <c r="D331" s="250" t="s">
        <v>2257</v>
      </c>
      <c r="G331" s="250" t="s">
        <v>2258</v>
      </c>
      <c r="H331" s="250" t="s">
        <v>2259</v>
      </c>
      <c r="I331" s="250" t="s">
        <v>2260</v>
      </c>
      <c r="J331" s="250" t="s">
        <v>2261</v>
      </c>
    </row>
    <row r="332" spans="1:10" x14ac:dyDescent="0.3">
      <c r="E332" s="250" t="s">
        <v>2262</v>
      </c>
      <c r="F332" s="250" t="s">
        <v>2263</v>
      </c>
      <c r="G332" s="250" t="s">
        <v>2264</v>
      </c>
      <c r="H332" s="250" t="s">
        <v>2265</v>
      </c>
      <c r="I332" s="250" t="s">
        <v>2266</v>
      </c>
      <c r="J332" s="250" t="s">
        <v>2267</v>
      </c>
    </row>
    <row r="333" spans="1:10" x14ac:dyDescent="0.3">
      <c r="A333" s="250" t="s">
        <v>581</v>
      </c>
      <c r="E333" s="250" t="s">
        <v>2268</v>
      </c>
      <c r="F333" s="250" t="s">
        <v>2269</v>
      </c>
      <c r="G333" s="250" t="s">
        <v>2270</v>
      </c>
      <c r="H333" s="250" t="s">
        <v>2271</v>
      </c>
      <c r="I333" s="250" t="s">
        <v>2272</v>
      </c>
      <c r="J333" s="250" t="s">
        <v>2273</v>
      </c>
    </row>
    <row r="334" spans="1:10" x14ac:dyDescent="0.3">
      <c r="A334" s="250" t="s">
        <v>581</v>
      </c>
      <c r="E334" s="250" t="s">
        <v>2274</v>
      </c>
      <c r="F334" s="250" t="s">
        <v>2275</v>
      </c>
      <c r="G334" s="250" t="s">
        <v>2276</v>
      </c>
      <c r="H334" s="250" t="s">
        <v>2277</v>
      </c>
      <c r="I334" s="250" t="s">
        <v>2278</v>
      </c>
      <c r="J334" s="250" t="s">
        <v>2279</v>
      </c>
    </row>
    <row r="335" spans="1:10" x14ac:dyDescent="0.3">
      <c r="A335" s="250" t="s">
        <v>581</v>
      </c>
      <c r="E335" s="250" t="s">
        <v>2280</v>
      </c>
      <c r="F335" s="250" t="s">
        <v>2281</v>
      </c>
      <c r="G335" s="250" t="s">
        <v>2282</v>
      </c>
      <c r="H335" s="250" t="s">
        <v>2283</v>
      </c>
      <c r="I335" s="250" t="s">
        <v>2284</v>
      </c>
      <c r="J335" s="250" t="s">
        <v>2285</v>
      </c>
    </row>
    <row r="336" spans="1:10" x14ac:dyDescent="0.3">
      <c r="A336" s="250" t="s">
        <v>581</v>
      </c>
      <c r="E336" s="250" t="s">
        <v>2286</v>
      </c>
      <c r="F336" s="250" t="s">
        <v>2287</v>
      </c>
      <c r="G336" s="250" t="s">
        <v>2288</v>
      </c>
      <c r="H336" s="250" t="s">
        <v>2289</v>
      </c>
      <c r="I336" s="250" t="s">
        <v>2290</v>
      </c>
      <c r="J336" s="250" t="s">
        <v>2291</v>
      </c>
    </row>
    <row r="337" spans="1:10" x14ac:dyDescent="0.3">
      <c r="A337" s="250" t="s">
        <v>581</v>
      </c>
      <c r="E337" s="250" t="s">
        <v>2292</v>
      </c>
      <c r="F337" s="250" t="s">
        <v>2293</v>
      </c>
      <c r="G337" s="250" t="s">
        <v>2294</v>
      </c>
      <c r="H337" s="250" t="s">
        <v>2295</v>
      </c>
      <c r="I337" s="250" t="s">
        <v>2296</v>
      </c>
      <c r="J337" s="250" t="s">
        <v>2297</v>
      </c>
    </row>
    <row r="338" spans="1:10" x14ac:dyDescent="0.3">
      <c r="A338" s="250" t="s">
        <v>581</v>
      </c>
      <c r="E338" s="250" t="s">
        <v>2298</v>
      </c>
      <c r="F338" s="250" t="s">
        <v>2299</v>
      </c>
      <c r="G338" s="250" t="s">
        <v>2300</v>
      </c>
      <c r="H338" s="250" t="s">
        <v>2301</v>
      </c>
      <c r="I338" s="250" t="s">
        <v>2302</v>
      </c>
      <c r="J338" s="250" t="s">
        <v>2303</v>
      </c>
    </row>
    <row r="339" spans="1:10" x14ac:dyDescent="0.3">
      <c r="A339" s="250" t="s">
        <v>581</v>
      </c>
      <c r="E339" s="250" t="s">
        <v>2304</v>
      </c>
      <c r="F339" s="250" t="s">
        <v>2305</v>
      </c>
      <c r="G339" s="250" t="s">
        <v>2306</v>
      </c>
      <c r="H339" s="250" t="s">
        <v>2307</v>
      </c>
      <c r="I339" s="250" t="s">
        <v>2308</v>
      </c>
      <c r="J339" s="250" t="s">
        <v>2309</v>
      </c>
    </row>
    <row r="340" spans="1:10" x14ac:dyDescent="0.3">
      <c r="A340" s="250" t="s">
        <v>581</v>
      </c>
      <c r="E340" s="250" t="s">
        <v>2310</v>
      </c>
      <c r="F340" s="250" t="s">
        <v>2311</v>
      </c>
      <c r="G340" s="250" t="s">
        <v>2312</v>
      </c>
      <c r="H340" s="250" t="s">
        <v>2313</v>
      </c>
      <c r="I340" s="250" t="s">
        <v>2314</v>
      </c>
      <c r="J340" s="250" t="s">
        <v>2315</v>
      </c>
    </row>
    <row r="341" spans="1:10" x14ac:dyDescent="0.3">
      <c r="A341" s="250" t="s">
        <v>581</v>
      </c>
      <c r="E341" s="250" t="s">
        <v>2316</v>
      </c>
      <c r="F341" s="250" t="s">
        <v>2317</v>
      </c>
      <c r="G341" s="250" t="s">
        <v>2318</v>
      </c>
      <c r="H341" s="250" t="s">
        <v>2319</v>
      </c>
      <c r="I341" s="250" t="s">
        <v>2320</v>
      </c>
      <c r="J341" s="250" t="s">
        <v>2321</v>
      </c>
    </row>
    <row r="342" spans="1:10" x14ac:dyDescent="0.3">
      <c r="A342" s="250" t="s">
        <v>581</v>
      </c>
      <c r="E342" s="250" t="s">
        <v>2322</v>
      </c>
      <c r="F342" s="250" t="s">
        <v>2323</v>
      </c>
      <c r="G342" s="250" t="s">
        <v>2324</v>
      </c>
      <c r="H342" s="250" t="s">
        <v>2325</v>
      </c>
      <c r="I342" s="250" t="s">
        <v>2326</v>
      </c>
      <c r="J342" s="250" t="s">
        <v>2327</v>
      </c>
    </row>
    <row r="343" spans="1:10" x14ac:dyDescent="0.3">
      <c r="A343" s="250" t="s">
        <v>581</v>
      </c>
      <c r="E343" s="250" t="s">
        <v>2328</v>
      </c>
      <c r="F343" s="250" t="s">
        <v>2329</v>
      </c>
      <c r="G343" s="250" t="s">
        <v>2330</v>
      </c>
      <c r="H343" s="250" t="s">
        <v>2331</v>
      </c>
      <c r="I343" s="250" t="s">
        <v>2332</v>
      </c>
      <c r="J343" s="250" t="s">
        <v>2333</v>
      </c>
    </row>
    <row r="344" spans="1:10" x14ac:dyDescent="0.3">
      <c r="A344" s="250" t="s">
        <v>581</v>
      </c>
      <c r="E344" s="250" t="s">
        <v>2334</v>
      </c>
      <c r="F344" s="250" t="s">
        <v>2335</v>
      </c>
      <c r="G344" s="250" t="s">
        <v>2336</v>
      </c>
      <c r="H344" s="250" t="s">
        <v>2337</v>
      </c>
      <c r="I344" s="250" t="s">
        <v>2338</v>
      </c>
      <c r="J344" s="250" t="s">
        <v>2339</v>
      </c>
    </row>
    <row r="345" spans="1:10" x14ac:dyDescent="0.3">
      <c r="A345" s="250" t="s">
        <v>581</v>
      </c>
      <c r="E345" s="250" t="s">
        <v>2340</v>
      </c>
      <c r="F345" s="250" t="s">
        <v>2341</v>
      </c>
      <c r="G345" s="250" t="s">
        <v>2342</v>
      </c>
      <c r="H345" s="250" t="s">
        <v>2343</v>
      </c>
      <c r="I345" s="250" t="s">
        <v>2344</v>
      </c>
      <c r="J345" s="250" t="s">
        <v>2345</v>
      </c>
    </row>
    <row r="346" spans="1:10" x14ac:dyDescent="0.3">
      <c r="A346" s="250" t="s">
        <v>581</v>
      </c>
      <c r="E346" s="250" t="s">
        <v>2346</v>
      </c>
      <c r="F346" s="250" t="s">
        <v>2347</v>
      </c>
      <c r="G346" s="250" t="s">
        <v>2348</v>
      </c>
      <c r="H346" s="250" t="s">
        <v>2349</v>
      </c>
      <c r="I346" s="250" t="s">
        <v>2350</v>
      </c>
      <c r="J346" s="250" t="s">
        <v>2351</v>
      </c>
    </row>
    <row r="347" spans="1:10" x14ac:dyDescent="0.3">
      <c r="A347" s="250" t="s">
        <v>581</v>
      </c>
      <c r="E347" s="250" t="s">
        <v>2352</v>
      </c>
      <c r="F347" s="250" t="s">
        <v>2353</v>
      </c>
      <c r="G347" s="250" t="s">
        <v>2354</v>
      </c>
      <c r="H347" s="250" t="s">
        <v>2355</v>
      </c>
      <c r="I347" s="250" t="s">
        <v>2356</v>
      </c>
      <c r="J347" s="250" t="s">
        <v>2357</v>
      </c>
    </row>
    <row r="348" spans="1:10" x14ac:dyDescent="0.3">
      <c r="A348" s="250" t="s">
        <v>581</v>
      </c>
      <c r="E348" s="250" t="s">
        <v>2358</v>
      </c>
      <c r="F348" s="250" t="s">
        <v>2359</v>
      </c>
      <c r="G348" s="250" t="s">
        <v>2360</v>
      </c>
      <c r="H348" s="250" t="s">
        <v>2361</v>
      </c>
      <c r="I348" s="250" t="s">
        <v>2362</v>
      </c>
      <c r="J348" s="250" t="s">
        <v>2363</v>
      </c>
    </row>
    <row r="349" spans="1:10" x14ac:dyDescent="0.3">
      <c r="A349" s="250" t="s">
        <v>581</v>
      </c>
      <c r="E349" s="250" t="s">
        <v>2364</v>
      </c>
      <c r="F349" s="250" t="s">
        <v>2365</v>
      </c>
      <c r="G349" s="250" t="s">
        <v>2366</v>
      </c>
      <c r="H349" s="250" t="s">
        <v>2367</v>
      </c>
      <c r="I349" s="250" t="s">
        <v>2368</v>
      </c>
      <c r="J349" s="250" t="s">
        <v>2369</v>
      </c>
    </row>
    <row r="350" spans="1:10" x14ac:dyDescent="0.3">
      <c r="A350" s="250" t="s">
        <v>581</v>
      </c>
      <c r="E350" s="250" t="s">
        <v>2370</v>
      </c>
      <c r="F350" s="250" t="s">
        <v>2371</v>
      </c>
      <c r="G350" s="250" t="s">
        <v>2372</v>
      </c>
      <c r="H350" s="250" t="s">
        <v>2373</v>
      </c>
      <c r="I350" s="250" t="s">
        <v>2374</v>
      </c>
      <c r="J350" s="250" t="s">
        <v>2375</v>
      </c>
    </row>
    <row r="351" spans="1:10" x14ac:dyDescent="0.3">
      <c r="A351" s="250" t="s">
        <v>581</v>
      </c>
      <c r="E351" s="250" t="s">
        <v>2376</v>
      </c>
      <c r="F351" s="250" t="s">
        <v>2377</v>
      </c>
      <c r="G351" s="250" t="s">
        <v>2378</v>
      </c>
      <c r="H351" s="250" t="s">
        <v>2379</v>
      </c>
      <c r="I351" s="250" t="s">
        <v>2380</v>
      </c>
      <c r="J351" s="250" t="s">
        <v>2381</v>
      </c>
    </row>
    <row r="352" spans="1:10" x14ac:dyDescent="0.3">
      <c r="A352" s="250" t="s">
        <v>581</v>
      </c>
      <c r="E352" s="250" t="s">
        <v>2382</v>
      </c>
      <c r="F352" s="250" t="s">
        <v>2383</v>
      </c>
      <c r="G352" s="250" t="s">
        <v>2384</v>
      </c>
      <c r="H352" s="250" t="s">
        <v>2385</v>
      </c>
      <c r="I352" s="250" t="s">
        <v>2386</v>
      </c>
      <c r="J352" s="250" t="s">
        <v>2387</v>
      </c>
    </row>
    <row r="353" spans="1:10" x14ac:dyDescent="0.3">
      <c r="A353" s="250" t="s">
        <v>581</v>
      </c>
      <c r="E353" s="250" t="s">
        <v>2388</v>
      </c>
      <c r="F353" s="250" t="s">
        <v>2389</v>
      </c>
      <c r="G353" s="250" t="s">
        <v>2390</v>
      </c>
      <c r="H353" s="250" t="s">
        <v>2391</v>
      </c>
      <c r="I353" s="250" t="s">
        <v>2392</v>
      </c>
      <c r="J353" s="250" t="s">
        <v>2393</v>
      </c>
    </row>
    <row r="355" spans="1:10" x14ac:dyDescent="0.3">
      <c r="F355" s="250" t="s">
        <v>27</v>
      </c>
      <c r="G355" s="250" t="s">
        <v>2394</v>
      </c>
      <c r="H355" s="250" t="s">
        <v>2395</v>
      </c>
      <c r="I355" s="250" t="s">
        <v>2396</v>
      </c>
      <c r="J355" s="250" t="s">
        <v>2397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5"/>
  <sheetViews>
    <sheetView workbookViewId="0"/>
  </sheetViews>
  <sheetFormatPr defaultRowHeight="16.5" x14ac:dyDescent="0.3"/>
  <sheetData>
    <row r="1" spans="1:14" x14ac:dyDescent="0.3">
      <c r="A1" s="250" t="s">
        <v>3567</v>
      </c>
      <c r="B1" s="250" t="s">
        <v>157</v>
      </c>
      <c r="C1" s="250" t="s">
        <v>11</v>
      </c>
      <c r="F1" s="250" t="s">
        <v>11</v>
      </c>
      <c r="G1" s="250" t="s">
        <v>11</v>
      </c>
      <c r="H1" s="250" t="s">
        <v>11</v>
      </c>
      <c r="I1" s="250" t="s">
        <v>40</v>
      </c>
      <c r="J1" s="250" t="s">
        <v>40</v>
      </c>
    </row>
    <row r="3" spans="1:14" x14ac:dyDescent="0.3">
      <c r="E3" s="250" t="s">
        <v>30</v>
      </c>
      <c r="L3" s="250" t="s">
        <v>9</v>
      </c>
      <c r="N3" s="250" t="s">
        <v>351</v>
      </c>
    </row>
    <row r="4" spans="1:14" x14ac:dyDescent="0.3">
      <c r="C4" s="250" t="s">
        <v>156</v>
      </c>
      <c r="L4" s="250" t="s">
        <v>41</v>
      </c>
      <c r="N4" s="250" t="s">
        <v>175</v>
      </c>
    </row>
    <row r="7" spans="1:14" x14ac:dyDescent="0.3">
      <c r="L7" s="250" t="s">
        <v>31</v>
      </c>
    </row>
    <row r="8" spans="1:14" x14ac:dyDescent="0.3">
      <c r="L8" s="250" t="s">
        <v>32</v>
      </c>
      <c r="M8" s="250" t="s">
        <v>33</v>
      </c>
    </row>
    <row r="9" spans="1:14" x14ac:dyDescent="0.3">
      <c r="L9" s="250" t="s">
        <v>34</v>
      </c>
      <c r="M9" s="250" t="s">
        <v>35</v>
      </c>
      <c r="N9" s="250" t="s">
        <v>36</v>
      </c>
    </row>
    <row r="10" spans="1:14" x14ac:dyDescent="0.3">
      <c r="E10" s="250" t="s">
        <v>37</v>
      </c>
      <c r="L10" s="250" t="s">
        <v>2398</v>
      </c>
      <c r="M10" s="250" t="s">
        <v>2399</v>
      </c>
    </row>
    <row r="11" spans="1:14" x14ac:dyDescent="0.3">
      <c r="L11" s="250" t="s">
        <v>2400</v>
      </c>
      <c r="M11" s="250" t="s">
        <v>2401</v>
      </c>
      <c r="N11" s="250" t="s">
        <v>2402</v>
      </c>
    </row>
    <row r="12" spans="1:14" x14ac:dyDescent="0.3">
      <c r="E12" s="250" t="s">
        <v>45</v>
      </c>
      <c r="L12" s="250" t="s">
        <v>37</v>
      </c>
    </row>
    <row r="13" spans="1:14" x14ac:dyDescent="0.3">
      <c r="C13" s="250" t="s">
        <v>357</v>
      </c>
      <c r="E13" s="250" t="s">
        <v>358</v>
      </c>
      <c r="J13" s="250" t="s">
        <v>2403</v>
      </c>
      <c r="L13" s="250" t="s">
        <v>39</v>
      </c>
    </row>
    <row r="14" spans="1:14" x14ac:dyDescent="0.3">
      <c r="E14" s="250" t="s">
        <v>360</v>
      </c>
      <c r="F14" s="250" t="s">
        <v>361</v>
      </c>
      <c r="G14" s="250" t="s">
        <v>362</v>
      </c>
      <c r="H14" s="250" t="s">
        <v>363</v>
      </c>
      <c r="I14" s="250" t="s">
        <v>364</v>
      </c>
      <c r="J14" s="250" t="s">
        <v>365</v>
      </c>
    </row>
    <row r="15" spans="1:14" x14ac:dyDescent="0.3">
      <c r="A15" s="250" t="s">
        <v>581</v>
      </c>
      <c r="E15" s="250" t="s">
        <v>2404</v>
      </c>
      <c r="F15" s="250" t="s">
        <v>2405</v>
      </c>
      <c r="G15" s="250" t="s">
        <v>2406</v>
      </c>
      <c r="H15" s="250" t="s">
        <v>2407</v>
      </c>
      <c r="I15" s="250" t="s">
        <v>2408</v>
      </c>
      <c r="J15" s="250" t="s">
        <v>2409</v>
      </c>
    </row>
    <row r="16" spans="1:14" x14ac:dyDescent="0.3">
      <c r="A16" s="250" t="s">
        <v>581</v>
      </c>
      <c r="E16" s="250" t="s">
        <v>2410</v>
      </c>
      <c r="F16" s="250" t="s">
        <v>2411</v>
      </c>
      <c r="G16" s="250" t="s">
        <v>2412</v>
      </c>
      <c r="H16" s="250" t="s">
        <v>2413</v>
      </c>
      <c r="I16" s="250" t="s">
        <v>2414</v>
      </c>
      <c r="J16" s="250" t="s">
        <v>2415</v>
      </c>
    </row>
    <row r="17" spans="1:10" x14ac:dyDescent="0.3">
      <c r="A17" s="250" t="s">
        <v>581</v>
      </c>
      <c r="E17" s="250" t="s">
        <v>2416</v>
      </c>
      <c r="F17" s="250" t="s">
        <v>370</v>
      </c>
      <c r="G17" s="250" t="s">
        <v>371</v>
      </c>
      <c r="H17" s="250" t="s">
        <v>372</v>
      </c>
      <c r="I17" s="250" t="s">
        <v>373</v>
      </c>
      <c r="J17" s="250" t="s">
        <v>374</v>
      </c>
    </row>
    <row r="18" spans="1:10" x14ac:dyDescent="0.3">
      <c r="A18" s="250" t="s">
        <v>581</v>
      </c>
      <c r="E18" s="250" t="s">
        <v>2417</v>
      </c>
      <c r="F18" s="250" t="s">
        <v>2418</v>
      </c>
      <c r="G18" s="250" t="s">
        <v>2419</v>
      </c>
      <c r="H18" s="250" t="s">
        <v>2420</v>
      </c>
      <c r="I18" s="250" t="s">
        <v>2421</v>
      </c>
      <c r="J18" s="250" t="s">
        <v>2422</v>
      </c>
    </row>
    <row r="19" spans="1:10" x14ac:dyDescent="0.3">
      <c r="A19" s="250" t="s">
        <v>581</v>
      </c>
      <c r="E19" s="250" t="s">
        <v>2423</v>
      </c>
      <c r="F19" s="250" t="s">
        <v>2424</v>
      </c>
      <c r="G19" s="250" t="s">
        <v>2425</v>
      </c>
      <c r="H19" s="250" t="s">
        <v>2426</v>
      </c>
      <c r="I19" s="250" t="s">
        <v>2427</v>
      </c>
      <c r="J19" s="250" t="s">
        <v>2428</v>
      </c>
    </row>
    <row r="20" spans="1:10" x14ac:dyDescent="0.3">
      <c r="A20" s="250" t="s">
        <v>581</v>
      </c>
      <c r="E20" s="250" t="s">
        <v>2429</v>
      </c>
      <c r="F20" s="250" t="s">
        <v>379</v>
      </c>
      <c r="G20" s="250" t="s">
        <v>380</v>
      </c>
      <c r="H20" s="250" t="s">
        <v>381</v>
      </c>
      <c r="I20" s="250" t="s">
        <v>382</v>
      </c>
      <c r="J20" s="250" t="s">
        <v>383</v>
      </c>
    </row>
    <row r="21" spans="1:10" x14ac:dyDescent="0.3">
      <c r="A21" s="250" t="s">
        <v>581</v>
      </c>
      <c r="E21" s="250" t="s">
        <v>2430</v>
      </c>
      <c r="F21" s="250" t="s">
        <v>2431</v>
      </c>
      <c r="G21" s="250" t="s">
        <v>2432</v>
      </c>
      <c r="H21" s="250" t="s">
        <v>2433</v>
      </c>
      <c r="I21" s="250" t="s">
        <v>2434</v>
      </c>
      <c r="J21" s="250" t="s">
        <v>2435</v>
      </c>
    </row>
    <row r="22" spans="1:10" x14ac:dyDescent="0.3">
      <c r="A22" s="250" t="s">
        <v>581</v>
      </c>
      <c r="E22" s="250" t="s">
        <v>2436</v>
      </c>
      <c r="F22" s="250" t="s">
        <v>2437</v>
      </c>
      <c r="G22" s="250" t="s">
        <v>2438</v>
      </c>
      <c r="H22" s="250" t="s">
        <v>2439</v>
      </c>
      <c r="I22" s="250" t="s">
        <v>2440</v>
      </c>
      <c r="J22" s="250" t="s">
        <v>2441</v>
      </c>
    </row>
    <row r="23" spans="1:10" x14ac:dyDescent="0.3">
      <c r="A23" s="250" t="s">
        <v>581</v>
      </c>
      <c r="E23" s="250" t="s">
        <v>2442</v>
      </c>
      <c r="F23" s="250" t="s">
        <v>388</v>
      </c>
      <c r="G23" s="250" t="s">
        <v>389</v>
      </c>
      <c r="H23" s="250" t="s">
        <v>390</v>
      </c>
      <c r="I23" s="250" t="s">
        <v>391</v>
      </c>
      <c r="J23" s="250" t="s">
        <v>392</v>
      </c>
    </row>
    <row r="24" spans="1:10" x14ac:dyDescent="0.3">
      <c r="A24" s="250" t="s">
        <v>581</v>
      </c>
      <c r="E24" s="250" t="s">
        <v>2443</v>
      </c>
      <c r="F24" s="250" t="s">
        <v>2444</v>
      </c>
      <c r="G24" s="250" t="s">
        <v>2445</v>
      </c>
      <c r="H24" s="250" t="s">
        <v>2446</v>
      </c>
      <c r="I24" s="250" t="s">
        <v>2447</v>
      </c>
      <c r="J24" s="250" t="s">
        <v>2448</v>
      </c>
    </row>
    <row r="25" spans="1:10" x14ac:dyDescent="0.3">
      <c r="A25" s="250" t="s">
        <v>581</v>
      </c>
      <c r="E25" s="250" t="s">
        <v>2449</v>
      </c>
      <c r="F25" s="250" t="s">
        <v>2450</v>
      </c>
      <c r="G25" s="250" t="s">
        <v>2451</v>
      </c>
      <c r="H25" s="250" t="s">
        <v>2452</v>
      </c>
      <c r="I25" s="250" t="s">
        <v>2453</v>
      </c>
      <c r="J25" s="250" t="s">
        <v>2454</v>
      </c>
    </row>
    <row r="27" spans="1:10" x14ac:dyDescent="0.3">
      <c r="C27" s="250" t="s">
        <v>366</v>
      </c>
      <c r="E27" s="250" t="s">
        <v>2455</v>
      </c>
      <c r="J27" s="250" t="s">
        <v>2456</v>
      </c>
    </row>
    <row r="28" spans="1:10" x14ac:dyDescent="0.3">
      <c r="E28" s="250" t="s">
        <v>2457</v>
      </c>
      <c r="F28" s="250" t="s">
        <v>2458</v>
      </c>
      <c r="G28" s="250" t="s">
        <v>2459</v>
      </c>
      <c r="H28" s="250" t="s">
        <v>2460</v>
      </c>
      <c r="I28" s="250" t="s">
        <v>2461</v>
      </c>
      <c r="J28" s="250" t="s">
        <v>2462</v>
      </c>
    </row>
    <row r="30" spans="1:10" x14ac:dyDescent="0.3">
      <c r="C30" s="250" t="s">
        <v>375</v>
      </c>
      <c r="E30" s="250" t="s">
        <v>2463</v>
      </c>
      <c r="J30" s="250" t="s">
        <v>2464</v>
      </c>
    </row>
    <row r="31" spans="1:10" x14ac:dyDescent="0.3">
      <c r="E31" s="250" t="s">
        <v>2465</v>
      </c>
      <c r="F31" s="250" t="s">
        <v>2466</v>
      </c>
      <c r="G31" s="250" t="s">
        <v>2467</v>
      </c>
      <c r="H31" s="250" t="s">
        <v>2468</v>
      </c>
      <c r="I31" s="250" t="s">
        <v>2469</v>
      </c>
      <c r="J31" s="250" t="s">
        <v>2470</v>
      </c>
    </row>
    <row r="32" spans="1:10" x14ac:dyDescent="0.3">
      <c r="A32" s="250" t="s">
        <v>581</v>
      </c>
      <c r="E32" s="250" t="s">
        <v>2471</v>
      </c>
      <c r="F32" s="250" t="s">
        <v>415</v>
      </c>
      <c r="G32" s="250" t="s">
        <v>416</v>
      </c>
      <c r="H32" s="250" t="s">
        <v>417</v>
      </c>
      <c r="I32" s="250" t="s">
        <v>418</v>
      </c>
      <c r="J32" s="250" t="s">
        <v>419</v>
      </c>
    </row>
    <row r="33" spans="1:10" x14ac:dyDescent="0.3">
      <c r="A33" s="250" t="s">
        <v>581</v>
      </c>
      <c r="E33" s="250" t="s">
        <v>2472</v>
      </c>
      <c r="F33" s="250" t="s">
        <v>2473</v>
      </c>
      <c r="G33" s="250" t="s">
        <v>2474</v>
      </c>
      <c r="H33" s="250" t="s">
        <v>2475</v>
      </c>
      <c r="I33" s="250" t="s">
        <v>2476</v>
      </c>
      <c r="J33" s="250" t="s">
        <v>2477</v>
      </c>
    </row>
    <row r="34" spans="1:10" x14ac:dyDescent="0.3">
      <c r="A34" s="250" t="s">
        <v>581</v>
      </c>
      <c r="E34" s="250" t="s">
        <v>2478</v>
      </c>
      <c r="F34" s="250" t="s">
        <v>2479</v>
      </c>
      <c r="G34" s="250" t="s">
        <v>2480</v>
      </c>
      <c r="H34" s="250" t="s">
        <v>2481</v>
      </c>
      <c r="I34" s="250" t="s">
        <v>2482</v>
      </c>
      <c r="J34" s="250" t="s">
        <v>2483</v>
      </c>
    </row>
    <row r="35" spans="1:10" x14ac:dyDescent="0.3">
      <c r="A35" s="250" t="s">
        <v>581</v>
      </c>
      <c r="E35" s="250" t="s">
        <v>2484</v>
      </c>
      <c r="F35" s="250" t="s">
        <v>2485</v>
      </c>
      <c r="G35" s="250" t="s">
        <v>2486</v>
      </c>
      <c r="H35" s="250" t="s">
        <v>2487</v>
      </c>
      <c r="I35" s="250" t="s">
        <v>2488</v>
      </c>
      <c r="J35" s="250" t="s">
        <v>2489</v>
      </c>
    </row>
    <row r="36" spans="1:10" x14ac:dyDescent="0.3">
      <c r="A36" s="250" t="s">
        <v>581</v>
      </c>
      <c r="E36" s="250" t="s">
        <v>2490</v>
      </c>
      <c r="F36" s="250" t="s">
        <v>2491</v>
      </c>
      <c r="G36" s="250" t="s">
        <v>2492</v>
      </c>
      <c r="H36" s="250" t="s">
        <v>2493</v>
      </c>
      <c r="I36" s="250" t="s">
        <v>2494</v>
      </c>
      <c r="J36" s="250" t="s">
        <v>2495</v>
      </c>
    </row>
    <row r="37" spans="1:10" x14ac:dyDescent="0.3">
      <c r="A37" s="250" t="s">
        <v>581</v>
      </c>
      <c r="E37" s="250" t="s">
        <v>2496</v>
      </c>
      <c r="F37" s="250" t="s">
        <v>2497</v>
      </c>
      <c r="G37" s="250" t="s">
        <v>2498</v>
      </c>
      <c r="H37" s="250" t="s">
        <v>2499</v>
      </c>
      <c r="I37" s="250" t="s">
        <v>2500</v>
      </c>
      <c r="J37" s="250" t="s">
        <v>2501</v>
      </c>
    </row>
    <row r="38" spans="1:10" x14ac:dyDescent="0.3">
      <c r="A38" s="250" t="s">
        <v>581</v>
      </c>
      <c r="E38" s="250" t="s">
        <v>2502</v>
      </c>
      <c r="F38" s="250" t="s">
        <v>425</v>
      </c>
      <c r="G38" s="250" t="s">
        <v>426</v>
      </c>
      <c r="H38" s="250" t="s">
        <v>427</v>
      </c>
      <c r="I38" s="250" t="s">
        <v>428</v>
      </c>
      <c r="J38" s="250" t="s">
        <v>429</v>
      </c>
    </row>
    <row r="39" spans="1:10" x14ac:dyDescent="0.3">
      <c r="A39" s="250" t="s">
        <v>581</v>
      </c>
      <c r="E39" s="250" t="s">
        <v>2503</v>
      </c>
      <c r="F39" s="250" t="s">
        <v>2504</v>
      </c>
      <c r="G39" s="250" t="s">
        <v>2505</v>
      </c>
      <c r="H39" s="250" t="s">
        <v>2506</v>
      </c>
      <c r="I39" s="250" t="s">
        <v>2507</v>
      </c>
      <c r="J39" s="250" t="s">
        <v>2508</v>
      </c>
    </row>
    <row r="40" spans="1:10" x14ac:dyDescent="0.3">
      <c r="A40" s="250" t="s">
        <v>581</v>
      </c>
      <c r="E40" s="250" t="s">
        <v>2509</v>
      </c>
      <c r="F40" s="250" t="s">
        <v>2510</v>
      </c>
      <c r="G40" s="250" t="s">
        <v>2511</v>
      </c>
      <c r="H40" s="250" t="s">
        <v>2512</v>
      </c>
      <c r="I40" s="250" t="s">
        <v>2513</v>
      </c>
      <c r="J40" s="250" t="s">
        <v>2514</v>
      </c>
    </row>
    <row r="41" spans="1:10" x14ac:dyDescent="0.3">
      <c r="A41" s="250" t="s">
        <v>581</v>
      </c>
      <c r="E41" s="250" t="s">
        <v>2515</v>
      </c>
      <c r="F41" s="250" t="s">
        <v>434</v>
      </c>
      <c r="G41" s="250" t="s">
        <v>435</v>
      </c>
      <c r="H41" s="250" t="s">
        <v>436</v>
      </c>
      <c r="I41" s="250" t="s">
        <v>437</v>
      </c>
      <c r="J41" s="250" t="s">
        <v>438</v>
      </c>
    </row>
    <row r="42" spans="1:10" x14ac:dyDescent="0.3">
      <c r="A42" s="250" t="s">
        <v>581</v>
      </c>
      <c r="E42" s="250" t="s">
        <v>2516</v>
      </c>
      <c r="F42" s="250" t="s">
        <v>2517</v>
      </c>
      <c r="G42" s="250" t="s">
        <v>2518</v>
      </c>
      <c r="H42" s="250" t="s">
        <v>2519</v>
      </c>
      <c r="I42" s="250" t="s">
        <v>2520</v>
      </c>
      <c r="J42" s="250" t="s">
        <v>2521</v>
      </c>
    </row>
    <row r="43" spans="1:10" x14ac:dyDescent="0.3">
      <c r="A43" s="250" t="s">
        <v>581</v>
      </c>
      <c r="E43" s="250" t="s">
        <v>2522</v>
      </c>
      <c r="F43" s="250" t="s">
        <v>2523</v>
      </c>
      <c r="G43" s="250" t="s">
        <v>2524</v>
      </c>
      <c r="H43" s="250" t="s">
        <v>2525</v>
      </c>
      <c r="I43" s="250" t="s">
        <v>2526</v>
      </c>
      <c r="J43" s="250" t="s">
        <v>2527</v>
      </c>
    </row>
    <row r="44" spans="1:10" x14ac:dyDescent="0.3">
      <c r="A44" s="250" t="s">
        <v>581</v>
      </c>
      <c r="E44" s="250" t="s">
        <v>2528</v>
      </c>
      <c r="F44" s="250" t="s">
        <v>443</v>
      </c>
      <c r="G44" s="250" t="s">
        <v>444</v>
      </c>
      <c r="H44" s="250" t="s">
        <v>445</v>
      </c>
      <c r="I44" s="250" t="s">
        <v>446</v>
      </c>
      <c r="J44" s="250" t="s">
        <v>447</v>
      </c>
    </row>
    <row r="45" spans="1:10" x14ac:dyDescent="0.3">
      <c r="A45" s="250" t="s">
        <v>581</v>
      </c>
      <c r="E45" s="250" t="s">
        <v>2529</v>
      </c>
      <c r="F45" s="250" t="s">
        <v>2530</v>
      </c>
      <c r="G45" s="250" t="s">
        <v>2531</v>
      </c>
      <c r="H45" s="250" t="s">
        <v>2532</v>
      </c>
      <c r="I45" s="250" t="s">
        <v>2533</v>
      </c>
      <c r="J45" s="250" t="s">
        <v>2534</v>
      </c>
    </row>
    <row r="46" spans="1:10" x14ac:dyDescent="0.3">
      <c r="A46" s="250" t="s">
        <v>581</v>
      </c>
      <c r="E46" s="250" t="s">
        <v>2535</v>
      </c>
      <c r="F46" s="250" t="s">
        <v>2536</v>
      </c>
      <c r="G46" s="250" t="s">
        <v>2537</v>
      </c>
      <c r="H46" s="250" t="s">
        <v>2538</v>
      </c>
      <c r="I46" s="250" t="s">
        <v>2539</v>
      </c>
      <c r="J46" s="250" t="s">
        <v>2540</v>
      </c>
    </row>
    <row r="47" spans="1:10" x14ac:dyDescent="0.3">
      <c r="A47" s="250" t="s">
        <v>581</v>
      </c>
      <c r="E47" s="250" t="s">
        <v>2541</v>
      </c>
      <c r="F47" s="250" t="s">
        <v>452</v>
      </c>
      <c r="G47" s="250" t="s">
        <v>453</v>
      </c>
      <c r="H47" s="250" t="s">
        <v>454</v>
      </c>
      <c r="I47" s="250" t="s">
        <v>455</v>
      </c>
      <c r="J47" s="250" t="s">
        <v>456</v>
      </c>
    </row>
    <row r="48" spans="1:10" x14ac:dyDescent="0.3">
      <c r="A48" s="250" t="s">
        <v>581</v>
      </c>
      <c r="E48" s="250" t="s">
        <v>2542</v>
      </c>
      <c r="F48" s="250" t="s">
        <v>2543</v>
      </c>
      <c r="G48" s="250" t="s">
        <v>2544</v>
      </c>
      <c r="H48" s="250" t="s">
        <v>2545</v>
      </c>
      <c r="I48" s="250" t="s">
        <v>2546</v>
      </c>
      <c r="J48" s="250" t="s">
        <v>2547</v>
      </c>
    </row>
    <row r="49" spans="1:10" x14ac:dyDescent="0.3">
      <c r="A49" s="250" t="s">
        <v>581</v>
      </c>
      <c r="E49" s="250" t="s">
        <v>2548</v>
      </c>
      <c r="F49" s="250" t="s">
        <v>2549</v>
      </c>
      <c r="G49" s="250" t="s">
        <v>2550</v>
      </c>
      <c r="H49" s="250" t="s">
        <v>2551</v>
      </c>
      <c r="I49" s="250" t="s">
        <v>2552</v>
      </c>
      <c r="J49" s="250" t="s">
        <v>2553</v>
      </c>
    </row>
    <row r="50" spans="1:10" x14ac:dyDescent="0.3">
      <c r="A50" s="250" t="s">
        <v>581</v>
      </c>
      <c r="E50" s="250" t="s">
        <v>2554</v>
      </c>
      <c r="F50" s="250" t="s">
        <v>2555</v>
      </c>
      <c r="G50" s="250" t="s">
        <v>2556</v>
      </c>
      <c r="H50" s="250" t="s">
        <v>2557</v>
      </c>
      <c r="I50" s="250" t="s">
        <v>2558</v>
      </c>
      <c r="J50" s="250" t="s">
        <v>2559</v>
      </c>
    </row>
    <row r="52" spans="1:10" x14ac:dyDescent="0.3">
      <c r="C52" s="250" t="s">
        <v>384</v>
      </c>
      <c r="E52" s="250" t="s">
        <v>2560</v>
      </c>
      <c r="J52" s="250" t="s">
        <v>2561</v>
      </c>
    </row>
    <row r="53" spans="1:10" x14ac:dyDescent="0.3">
      <c r="E53" s="250" t="s">
        <v>2562</v>
      </c>
      <c r="F53" s="250" t="s">
        <v>2563</v>
      </c>
      <c r="G53" s="250" t="s">
        <v>2564</v>
      </c>
      <c r="H53" s="250" t="s">
        <v>2565</v>
      </c>
      <c r="I53" s="250" t="s">
        <v>2566</v>
      </c>
      <c r="J53" s="250" t="s">
        <v>2567</v>
      </c>
    </row>
    <row r="55" spans="1:10" x14ac:dyDescent="0.3">
      <c r="C55" s="250" t="s">
        <v>393</v>
      </c>
      <c r="E55" s="250" t="s">
        <v>2568</v>
      </c>
      <c r="J55" s="250" t="s">
        <v>2569</v>
      </c>
    </row>
    <row r="56" spans="1:10" x14ac:dyDescent="0.3">
      <c r="E56" s="250" t="s">
        <v>2570</v>
      </c>
      <c r="F56" s="250" t="s">
        <v>2571</v>
      </c>
      <c r="G56" s="250" t="s">
        <v>2572</v>
      </c>
      <c r="H56" s="250" t="s">
        <v>2573</v>
      </c>
      <c r="I56" s="250" t="s">
        <v>2574</v>
      </c>
      <c r="J56" s="250" t="s">
        <v>2575</v>
      </c>
    </row>
    <row r="57" spans="1:10" x14ac:dyDescent="0.3">
      <c r="A57" s="250" t="s">
        <v>581</v>
      </c>
      <c r="E57" s="250" t="s">
        <v>2576</v>
      </c>
      <c r="F57" s="250" t="s">
        <v>2577</v>
      </c>
      <c r="G57" s="250" t="s">
        <v>2578</v>
      </c>
      <c r="H57" s="250" t="s">
        <v>2579</v>
      </c>
      <c r="I57" s="250" t="s">
        <v>2580</v>
      </c>
      <c r="J57" s="250" t="s">
        <v>2581</v>
      </c>
    </row>
    <row r="58" spans="1:10" x14ac:dyDescent="0.3">
      <c r="A58" s="250" t="s">
        <v>581</v>
      </c>
      <c r="E58" s="250" t="s">
        <v>2582</v>
      </c>
      <c r="F58" s="250" t="s">
        <v>463</v>
      </c>
      <c r="G58" s="250" t="s">
        <v>464</v>
      </c>
      <c r="H58" s="250" t="s">
        <v>465</v>
      </c>
      <c r="I58" s="250" t="s">
        <v>466</v>
      </c>
      <c r="J58" s="250" t="s">
        <v>2583</v>
      </c>
    </row>
    <row r="59" spans="1:10" x14ac:dyDescent="0.3">
      <c r="A59" s="250" t="s">
        <v>581</v>
      </c>
      <c r="E59" s="250" t="s">
        <v>2584</v>
      </c>
      <c r="F59" s="250" t="s">
        <v>2585</v>
      </c>
      <c r="G59" s="250" t="s">
        <v>2586</v>
      </c>
      <c r="H59" s="250" t="s">
        <v>2587</v>
      </c>
      <c r="I59" s="250" t="s">
        <v>2588</v>
      </c>
      <c r="J59" s="250" t="s">
        <v>2589</v>
      </c>
    </row>
    <row r="60" spans="1:10" x14ac:dyDescent="0.3">
      <c r="A60" s="250" t="s">
        <v>581</v>
      </c>
      <c r="E60" s="250" t="s">
        <v>2590</v>
      </c>
      <c r="F60" s="250" t="s">
        <v>2591</v>
      </c>
      <c r="G60" s="250" t="s">
        <v>2592</v>
      </c>
      <c r="H60" s="250" t="s">
        <v>2593</v>
      </c>
      <c r="I60" s="250" t="s">
        <v>2594</v>
      </c>
      <c r="J60" s="250" t="s">
        <v>2595</v>
      </c>
    </row>
    <row r="61" spans="1:10" x14ac:dyDescent="0.3">
      <c r="A61" s="250" t="s">
        <v>581</v>
      </c>
      <c r="E61" s="250" t="s">
        <v>2596</v>
      </c>
      <c r="F61" s="250" t="s">
        <v>472</v>
      </c>
      <c r="G61" s="250" t="s">
        <v>473</v>
      </c>
      <c r="H61" s="250" t="s">
        <v>474</v>
      </c>
      <c r="I61" s="250" t="s">
        <v>475</v>
      </c>
      <c r="J61" s="250" t="s">
        <v>2597</v>
      </c>
    </row>
    <row r="62" spans="1:10" x14ac:dyDescent="0.3">
      <c r="A62" s="250" t="s">
        <v>581</v>
      </c>
      <c r="E62" s="250" t="s">
        <v>2598</v>
      </c>
      <c r="F62" s="250" t="s">
        <v>2599</v>
      </c>
      <c r="G62" s="250" t="s">
        <v>2600</v>
      </c>
      <c r="H62" s="250" t="s">
        <v>2601</v>
      </c>
      <c r="I62" s="250" t="s">
        <v>2602</v>
      </c>
      <c r="J62" s="250" t="s">
        <v>2603</v>
      </c>
    </row>
    <row r="63" spans="1:10" x14ac:dyDescent="0.3">
      <c r="A63" s="250" t="s">
        <v>581</v>
      </c>
      <c r="E63" s="250" t="s">
        <v>2604</v>
      </c>
      <c r="F63" s="250" t="s">
        <v>2605</v>
      </c>
      <c r="G63" s="250" t="s">
        <v>2606</v>
      </c>
      <c r="H63" s="250" t="s">
        <v>2607</v>
      </c>
      <c r="I63" s="250" t="s">
        <v>2608</v>
      </c>
      <c r="J63" s="250" t="s">
        <v>2609</v>
      </c>
    </row>
    <row r="64" spans="1:10" x14ac:dyDescent="0.3">
      <c r="A64" s="250" t="s">
        <v>581</v>
      </c>
      <c r="E64" s="250" t="s">
        <v>2610</v>
      </c>
      <c r="F64" s="250" t="s">
        <v>481</v>
      </c>
      <c r="G64" s="250" t="s">
        <v>482</v>
      </c>
      <c r="H64" s="250" t="s">
        <v>483</v>
      </c>
      <c r="I64" s="250" t="s">
        <v>484</v>
      </c>
      <c r="J64" s="250" t="s">
        <v>2611</v>
      </c>
    </row>
    <row r="65" spans="1:10" x14ac:dyDescent="0.3">
      <c r="A65" s="250" t="s">
        <v>581</v>
      </c>
      <c r="E65" s="250" t="s">
        <v>2612</v>
      </c>
      <c r="F65" s="250" t="s">
        <v>2613</v>
      </c>
      <c r="G65" s="250" t="s">
        <v>2614</v>
      </c>
      <c r="H65" s="250" t="s">
        <v>2615</v>
      </c>
      <c r="I65" s="250" t="s">
        <v>2616</v>
      </c>
      <c r="J65" s="250" t="s">
        <v>2617</v>
      </c>
    </row>
    <row r="66" spans="1:10" x14ac:dyDescent="0.3">
      <c r="A66" s="250" t="s">
        <v>581</v>
      </c>
      <c r="E66" s="250" t="s">
        <v>2618</v>
      </c>
      <c r="F66" s="250" t="s">
        <v>2619</v>
      </c>
      <c r="G66" s="250" t="s">
        <v>2620</v>
      </c>
      <c r="H66" s="250" t="s">
        <v>2621</v>
      </c>
      <c r="I66" s="250" t="s">
        <v>2622</v>
      </c>
      <c r="J66" s="250" t="s">
        <v>2623</v>
      </c>
    </row>
    <row r="67" spans="1:10" x14ac:dyDescent="0.3">
      <c r="A67" s="250" t="s">
        <v>581</v>
      </c>
      <c r="E67" s="250" t="s">
        <v>2624</v>
      </c>
      <c r="F67" s="250" t="s">
        <v>490</v>
      </c>
      <c r="G67" s="250" t="s">
        <v>491</v>
      </c>
      <c r="H67" s="250" t="s">
        <v>492</v>
      </c>
      <c r="I67" s="250" t="s">
        <v>493</v>
      </c>
      <c r="J67" s="250" t="s">
        <v>2625</v>
      </c>
    </row>
    <row r="68" spans="1:10" x14ac:dyDescent="0.3">
      <c r="A68" s="250" t="s">
        <v>581</v>
      </c>
      <c r="E68" s="250" t="s">
        <v>2626</v>
      </c>
      <c r="F68" s="250" t="s">
        <v>2627</v>
      </c>
      <c r="G68" s="250" t="s">
        <v>2628</v>
      </c>
      <c r="H68" s="250" t="s">
        <v>2629</v>
      </c>
      <c r="I68" s="250" t="s">
        <v>2630</v>
      </c>
      <c r="J68" s="250" t="s">
        <v>2631</v>
      </c>
    </row>
    <row r="69" spans="1:10" x14ac:dyDescent="0.3">
      <c r="A69" s="250" t="s">
        <v>581</v>
      </c>
      <c r="E69" s="250" t="s">
        <v>2632</v>
      </c>
      <c r="F69" s="250" t="s">
        <v>2633</v>
      </c>
      <c r="G69" s="250" t="s">
        <v>2634</v>
      </c>
      <c r="H69" s="250" t="s">
        <v>2635</v>
      </c>
      <c r="I69" s="250" t="s">
        <v>2636</v>
      </c>
      <c r="J69" s="250" t="s">
        <v>2637</v>
      </c>
    </row>
    <row r="70" spans="1:10" x14ac:dyDescent="0.3">
      <c r="A70" s="250" t="s">
        <v>581</v>
      </c>
      <c r="E70" s="250" t="s">
        <v>2638</v>
      </c>
      <c r="F70" s="250" t="s">
        <v>499</v>
      </c>
      <c r="G70" s="250" t="s">
        <v>500</v>
      </c>
      <c r="H70" s="250" t="s">
        <v>501</v>
      </c>
      <c r="I70" s="250" t="s">
        <v>502</v>
      </c>
      <c r="J70" s="250" t="s">
        <v>2639</v>
      </c>
    </row>
    <row r="71" spans="1:10" x14ac:dyDescent="0.3">
      <c r="A71" s="250" t="s">
        <v>581</v>
      </c>
      <c r="E71" s="250" t="s">
        <v>2640</v>
      </c>
      <c r="F71" s="250" t="s">
        <v>2641</v>
      </c>
      <c r="G71" s="250" t="s">
        <v>2642</v>
      </c>
      <c r="H71" s="250" t="s">
        <v>2643</v>
      </c>
      <c r="I71" s="250" t="s">
        <v>2644</v>
      </c>
      <c r="J71" s="250" t="s">
        <v>2645</v>
      </c>
    </row>
    <row r="72" spans="1:10" x14ac:dyDescent="0.3">
      <c r="A72" s="250" t="s">
        <v>581</v>
      </c>
      <c r="E72" s="250" t="s">
        <v>2646</v>
      </c>
      <c r="F72" s="250" t="s">
        <v>2647</v>
      </c>
      <c r="G72" s="250" t="s">
        <v>2648</v>
      </c>
      <c r="H72" s="250" t="s">
        <v>2649</v>
      </c>
      <c r="I72" s="250" t="s">
        <v>2650</v>
      </c>
      <c r="J72" s="250" t="s">
        <v>2651</v>
      </c>
    </row>
    <row r="73" spans="1:10" x14ac:dyDescent="0.3">
      <c r="A73" s="250" t="s">
        <v>581</v>
      </c>
      <c r="E73" s="250" t="s">
        <v>2652</v>
      </c>
      <c r="F73" s="250" t="s">
        <v>508</v>
      </c>
      <c r="G73" s="250" t="s">
        <v>509</v>
      </c>
      <c r="H73" s="250" t="s">
        <v>510</v>
      </c>
      <c r="I73" s="250" t="s">
        <v>511</v>
      </c>
      <c r="J73" s="250" t="s">
        <v>2653</v>
      </c>
    </row>
    <row r="74" spans="1:10" x14ac:dyDescent="0.3">
      <c r="A74" s="250" t="s">
        <v>581</v>
      </c>
      <c r="E74" s="250" t="s">
        <v>2654</v>
      </c>
      <c r="F74" s="250" t="s">
        <v>2655</v>
      </c>
      <c r="G74" s="250" t="s">
        <v>2656</v>
      </c>
      <c r="H74" s="250" t="s">
        <v>2657</v>
      </c>
      <c r="I74" s="250" t="s">
        <v>2658</v>
      </c>
      <c r="J74" s="250" t="s">
        <v>2659</v>
      </c>
    </row>
    <row r="75" spans="1:10" x14ac:dyDescent="0.3">
      <c r="A75" s="250" t="s">
        <v>581</v>
      </c>
      <c r="E75" s="250" t="s">
        <v>2660</v>
      </c>
      <c r="F75" s="250" t="s">
        <v>2661</v>
      </c>
      <c r="G75" s="250" t="s">
        <v>2662</v>
      </c>
      <c r="H75" s="250" t="s">
        <v>2663</v>
      </c>
      <c r="I75" s="250" t="s">
        <v>2664</v>
      </c>
      <c r="J75" s="250" t="s">
        <v>2665</v>
      </c>
    </row>
    <row r="76" spans="1:10" x14ac:dyDescent="0.3">
      <c r="A76" s="250" t="s">
        <v>581</v>
      </c>
      <c r="E76" s="250" t="s">
        <v>2666</v>
      </c>
      <c r="F76" s="250" t="s">
        <v>2667</v>
      </c>
      <c r="G76" s="250" t="s">
        <v>2668</v>
      </c>
      <c r="H76" s="250" t="s">
        <v>2669</v>
      </c>
      <c r="I76" s="250" t="s">
        <v>2670</v>
      </c>
      <c r="J76" s="250" t="s">
        <v>2671</v>
      </c>
    </row>
    <row r="77" spans="1:10" x14ac:dyDescent="0.3">
      <c r="A77" s="250" t="s">
        <v>581</v>
      </c>
      <c r="E77" s="250" t="s">
        <v>2672</v>
      </c>
      <c r="F77" s="250" t="s">
        <v>2673</v>
      </c>
      <c r="G77" s="250" t="s">
        <v>2674</v>
      </c>
      <c r="H77" s="250" t="s">
        <v>2675</v>
      </c>
      <c r="I77" s="250" t="s">
        <v>2676</v>
      </c>
      <c r="J77" s="250" t="s">
        <v>2677</v>
      </c>
    </row>
    <row r="78" spans="1:10" x14ac:dyDescent="0.3">
      <c r="A78" s="250" t="s">
        <v>581</v>
      </c>
      <c r="E78" s="250" t="s">
        <v>2678</v>
      </c>
      <c r="F78" s="250" t="s">
        <v>2679</v>
      </c>
      <c r="G78" s="250" t="s">
        <v>2680</v>
      </c>
      <c r="H78" s="250" t="s">
        <v>2681</v>
      </c>
      <c r="I78" s="250" t="s">
        <v>2682</v>
      </c>
      <c r="J78" s="250" t="s">
        <v>2683</v>
      </c>
    </row>
    <row r="79" spans="1:10" x14ac:dyDescent="0.3">
      <c r="A79" s="250" t="s">
        <v>581</v>
      </c>
      <c r="E79" s="250" t="s">
        <v>2684</v>
      </c>
      <c r="F79" s="250" t="s">
        <v>2685</v>
      </c>
      <c r="G79" s="250" t="s">
        <v>2686</v>
      </c>
      <c r="H79" s="250" t="s">
        <v>2687</v>
      </c>
      <c r="I79" s="250" t="s">
        <v>2688</v>
      </c>
      <c r="J79" s="250" t="s">
        <v>2689</v>
      </c>
    </row>
    <row r="80" spans="1:10" x14ac:dyDescent="0.3">
      <c r="A80" s="250" t="s">
        <v>581</v>
      </c>
      <c r="E80" s="250" t="s">
        <v>2690</v>
      </c>
      <c r="F80" s="250" t="s">
        <v>518</v>
      </c>
      <c r="G80" s="250" t="s">
        <v>519</v>
      </c>
      <c r="H80" s="250" t="s">
        <v>520</v>
      </c>
      <c r="I80" s="250" t="s">
        <v>521</v>
      </c>
      <c r="J80" s="250" t="s">
        <v>2691</v>
      </c>
    </row>
    <row r="81" spans="1:10" x14ac:dyDescent="0.3">
      <c r="A81" s="250" t="s">
        <v>581</v>
      </c>
      <c r="E81" s="250" t="s">
        <v>2692</v>
      </c>
      <c r="F81" s="250" t="s">
        <v>2693</v>
      </c>
      <c r="G81" s="250" t="s">
        <v>2694</v>
      </c>
      <c r="H81" s="250" t="s">
        <v>2695</v>
      </c>
      <c r="I81" s="250" t="s">
        <v>2696</v>
      </c>
      <c r="J81" s="250" t="s">
        <v>2697</v>
      </c>
    </row>
    <row r="82" spans="1:10" x14ac:dyDescent="0.3">
      <c r="A82" s="250" t="s">
        <v>581</v>
      </c>
      <c r="E82" s="250" t="s">
        <v>2698</v>
      </c>
      <c r="F82" s="250" t="s">
        <v>2699</v>
      </c>
      <c r="G82" s="250" t="s">
        <v>2700</v>
      </c>
      <c r="H82" s="250" t="s">
        <v>2701</v>
      </c>
      <c r="I82" s="250" t="s">
        <v>2702</v>
      </c>
      <c r="J82" s="250" t="s">
        <v>2703</v>
      </c>
    </row>
    <row r="83" spans="1:10" x14ac:dyDescent="0.3">
      <c r="A83" s="250" t="s">
        <v>581</v>
      </c>
      <c r="E83" s="250" t="s">
        <v>2704</v>
      </c>
      <c r="F83" s="250" t="s">
        <v>2705</v>
      </c>
      <c r="G83" s="250" t="s">
        <v>2706</v>
      </c>
      <c r="H83" s="250" t="s">
        <v>2707</v>
      </c>
      <c r="I83" s="250" t="s">
        <v>2708</v>
      </c>
      <c r="J83" s="250" t="s">
        <v>2709</v>
      </c>
    </row>
    <row r="85" spans="1:10" x14ac:dyDescent="0.3">
      <c r="C85" s="250" t="s">
        <v>402</v>
      </c>
      <c r="E85" s="250" t="s">
        <v>2710</v>
      </c>
      <c r="J85" s="250" t="s">
        <v>2711</v>
      </c>
    </row>
    <row r="86" spans="1:10" x14ac:dyDescent="0.3">
      <c r="E86" s="250" t="s">
        <v>2712</v>
      </c>
      <c r="F86" s="250" t="s">
        <v>2713</v>
      </c>
      <c r="G86" s="250" t="s">
        <v>2714</v>
      </c>
      <c r="H86" s="250" t="s">
        <v>2715</v>
      </c>
      <c r="I86" s="250" t="s">
        <v>2716</v>
      </c>
      <c r="J86" s="250" t="s">
        <v>2717</v>
      </c>
    </row>
    <row r="87" spans="1:10" x14ac:dyDescent="0.3">
      <c r="A87" s="250" t="s">
        <v>581</v>
      </c>
      <c r="E87" s="250" t="s">
        <v>2718</v>
      </c>
      <c r="F87" s="250" t="s">
        <v>2719</v>
      </c>
      <c r="G87" s="250" t="s">
        <v>2720</v>
      </c>
      <c r="H87" s="250" t="s">
        <v>2721</v>
      </c>
      <c r="I87" s="250" t="s">
        <v>2722</v>
      </c>
      <c r="J87" s="250" t="s">
        <v>2723</v>
      </c>
    </row>
    <row r="88" spans="1:10" x14ac:dyDescent="0.3">
      <c r="A88" s="250" t="s">
        <v>581</v>
      </c>
      <c r="E88" s="250" t="s">
        <v>2724</v>
      </c>
      <c r="F88" s="250" t="s">
        <v>2725</v>
      </c>
      <c r="G88" s="250" t="s">
        <v>2726</v>
      </c>
      <c r="H88" s="250" t="s">
        <v>2727</v>
      </c>
      <c r="I88" s="250" t="s">
        <v>2728</v>
      </c>
      <c r="J88" s="250" t="s">
        <v>2729</v>
      </c>
    </row>
    <row r="89" spans="1:10" x14ac:dyDescent="0.3">
      <c r="A89" s="250" t="s">
        <v>581</v>
      </c>
      <c r="E89" s="250" t="s">
        <v>2730</v>
      </c>
      <c r="F89" s="250" t="s">
        <v>529</v>
      </c>
      <c r="G89" s="250" t="s">
        <v>530</v>
      </c>
      <c r="H89" s="250" t="s">
        <v>531</v>
      </c>
      <c r="I89" s="250" t="s">
        <v>532</v>
      </c>
      <c r="J89" s="250" t="s">
        <v>2731</v>
      </c>
    </row>
    <row r="90" spans="1:10" x14ac:dyDescent="0.3">
      <c r="A90" s="250" t="s">
        <v>581</v>
      </c>
      <c r="E90" s="250" t="s">
        <v>2732</v>
      </c>
      <c r="F90" s="250" t="s">
        <v>2733</v>
      </c>
      <c r="G90" s="250" t="s">
        <v>2734</v>
      </c>
      <c r="H90" s="250" t="s">
        <v>2735</v>
      </c>
      <c r="I90" s="250" t="s">
        <v>2736</v>
      </c>
      <c r="J90" s="250" t="s">
        <v>2737</v>
      </c>
    </row>
    <row r="91" spans="1:10" x14ac:dyDescent="0.3">
      <c r="A91" s="250" t="s">
        <v>581</v>
      </c>
      <c r="E91" s="250" t="s">
        <v>2738</v>
      </c>
      <c r="F91" s="250" t="s">
        <v>2739</v>
      </c>
      <c r="G91" s="250" t="s">
        <v>2740</v>
      </c>
      <c r="H91" s="250" t="s">
        <v>2741</v>
      </c>
      <c r="I91" s="250" t="s">
        <v>2742</v>
      </c>
      <c r="J91" s="250" t="s">
        <v>2743</v>
      </c>
    </row>
    <row r="92" spans="1:10" x14ac:dyDescent="0.3">
      <c r="A92" s="250" t="s">
        <v>581</v>
      </c>
      <c r="E92" s="250" t="s">
        <v>2744</v>
      </c>
      <c r="F92" s="250" t="s">
        <v>538</v>
      </c>
      <c r="G92" s="250" t="s">
        <v>539</v>
      </c>
      <c r="H92" s="250" t="s">
        <v>540</v>
      </c>
      <c r="I92" s="250" t="s">
        <v>541</v>
      </c>
      <c r="J92" s="250" t="s">
        <v>2745</v>
      </c>
    </row>
    <row r="93" spans="1:10" x14ac:dyDescent="0.3">
      <c r="A93" s="250" t="s">
        <v>581</v>
      </c>
      <c r="E93" s="250" t="s">
        <v>2746</v>
      </c>
      <c r="F93" s="250" t="s">
        <v>2747</v>
      </c>
      <c r="G93" s="250" t="s">
        <v>2748</v>
      </c>
      <c r="H93" s="250" t="s">
        <v>2749</v>
      </c>
      <c r="I93" s="250" t="s">
        <v>2750</v>
      </c>
      <c r="J93" s="250" t="s">
        <v>2751</v>
      </c>
    </row>
    <row r="94" spans="1:10" x14ac:dyDescent="0.3">
      <c r="A94" s="250" t="s">
        <v>581</v>
      </c>
      <c r="E94" s="250" t="s">
        <v>2752</v>
      </c>
      <c r="F94" s="250" t="s">
        <v>2753</v>
      </c>
      <c r="G94" s="250" t="s">
        <v>2754</v>
      </c>
      <c r="H94" s="250" t="s">
        <v>2755</v>
      </c>
      <c r="I94" s="250" t="s">
        <v>2756</v>
      </c>
      <c r="J94" s="250" t="s">
        <v>2757</v>
      </c>
    </row>
    <row r="95" spans="1:10" x14ac:dyDescent="0.3">
      <c r="A95" s="250" t="s">
        <v>581</v>
      </c>
      <c r="E95" s="250" t="s">
        <v>2758</v>
      </c>
      <c r="F95" s="250" t="s">
        <v>547</v>
      </c>
      <c r="G95" s="250" t="s">
        <v>548</v>
      </c>
      <c r="H95" s="250" t="s">
        <v>549</v>
      </c>
      <c r="I95" s="250" t="s">
        <v>550</v>
      </c>
      <c r="J95" s="250" t="s">
        <v>2759</v>
      </c>
    </row>
    <row r="96" spans="1:10" x14ac:dyDescent="0.3">
      <c r="A96" s="250" t="s">
        <v>581</v>
      </c>
      <c r="E96" s="250" t="s">
        <v>2760</v>
      </c>
      <c r="F96" s="250" t="s">
        <v>2761</v>
      </c>
      <c r="G96" s="250" t="s">
        <v>2762</v>
      </c>
      <c r="H96" s="250" t="s">
        <v>2763</v>
      </c>
      <c r="I96" s="250" t="s">
        <v>2764</v>
      </c>
      <c r="J96" s="250" t="s">
        <v>2765</v>
      </c>
    </row>
    <row r="97" spans="1:10" x14ac:dyDescent="0.3">
      <c r="A97" s="250" t="s">
        <v>581</v>
      </c>
      <c r="E97" s="250" t="s">
        <v>2766</v>
      </c>
      <c r="F97" s="250" t="s">
        <v>2767</v>
      </c>
      <c r="G97" s="250" t="s">
        <v>2768</v>
      </c>
      <c r="H97" s="250" t="s">
        <v>2769</v>
      </c>
      <c r="I97" s="250" t="s">
        <v>2770</v>
      </c>
      <c r="J97" s="250" t="s">
        <v>2771</v>
      </c>
    </row>
    <row r="98" spans="1:10" x14ac:dyDescent="0.3">
      <c r="A98" s="250" t="s">
        <v>581</v>
      </c>
      <c r="E98" s="250" t="s">
        <v>2772</v>
      </c>
      <c r="F98" s="250" t="s">
        <v>2773</v>
      </c>
      <c r="G98" s="250" t="s">
        <v>2774</v>
      </c>
      <c r="H98" s="250" t="s">
        <v>2775</v>
      </c>
      <c r="I98" s="250" t="s">
        <v>2776</v>
      </c>
      <c r="J98" s="250" t="s">
        <v>2777</v>
      </c>
    </row>
    <row r="99" spans="1:10" x14ac:dyDescent="0.3">
      <c r="A99" s="250" t="s">
        <v>581</v>
      </c>
      <c r="E99" s="250" t="s">
        <v>2778</v>
      </c>
      <c r="F99" s="250" t="s">
        <v>2779</v>
      </c>
      <c r="G99" s="250" t="s">
        <v>2780</v>
      </c>
      <c r="H99" s="250" t="s">
        <v>2781</v>
      </c>
      <c r="I99" s="250" t="s">
        <v>2782</v>
      </c>
      <c r="J99" s="250" t="s">
        <v>2783</v>
      </c>
    </row>
    <row r="100" spans="1:10" x14ac:dyDescent="0.3">
      <c r="A100" s="250" t="s">
        <v>581</v>
      </c>
      <c r="E100" s="250" t="s">
        <v>2784</v>
      </c>
      <c r="F100" s="250" t="s">
        <v>2785</v>
      </c>
      <c r="G100" s="250" t="s">
        <v>2786</v>
      </c>
      <c r="H100" s="250" t="s">
        <v>2787</v>
      </c>
      <c r="I100" s="250" t="s">
        <v>2788</v>
      </c>
      <c r="J100" s="250" t="s">
        <v>2789</v>
      </c>
    </row>
    <row r="101" spans="1:10" x14ac:dyDescent="0.3">
      <c r="A101" s="250" t="s">
        <v>581</v>
      </c>
      <c r="E101" s="250" t="s">
        <v>2790</v>
      </c>
      <c r="F101" s="250" t="s">
        <v>2791</v>
      </c>
      <c r="G101" s="250" t="s">
        <v>2792</v>
      </c>
      <c r="H101" s="250" t="s">
        <v>2793</v>
      </c>
      <c r="I101" s="250" t="s">
        <v>2794</v>
      </c>
      <c r="J101" s="250" t="s">
        <v>2795</v>
      </c>
    </row>
    <row r="102" spans="1:10" x14ac:dyDescent="0.3">
      <c r="A102" s="250" t="s">
        <v>581</v>
      </c>
      <c r="E102" s="250" t="s">
        <v>2796</v>
      </c>
      <c r="F102" s="250" t="s">
        <v>2797</v>
      </c>
      <c r="G102" s="250" t="s">
        <v>2798</v>
      </c>
      <c r="H102" s="250" t="s">
        <v>2799</v>
      </c>
      <c r="I102" s="250" t="s">
        <v>2800</v>
      </c>
      <c r="J102" s="250" t="s">
        <v>2801</v>
      </c>
    </row>
    <row r="103" spans="1:10" x14ac:dyDescent="0.3">
      <c r="A103" s="250" t="s">
        <v>581</v>
      </c>
      <c r="E103" s="250" t="s">
        <v>2802</v>
      </c>
      <c r="F103" s="250" t="s">
        <v>2803</v>
      </c>
      <c r="G103" s="250" t="s">
        <v>2804</v>
      </c>
      <c r="H103" s="250" t="s">
        <v>2805</v>
      </c>
      <c r="I103" s="250" t="s">
        <v>2806</v>
      </c>
      <c r="J103" s="250" t="s">
        <v>2807</v>
      </c>
    </row>
    <row r="105" spans="1:10" x14ac:dyDescent="0.3">
      <c r="C105" s="250" t="s">
        <v>411</v>
      </c>
      <c r="E105" s="250" t="s">
        <v>2808</v>
      </c>
      <c r="J105" s="250" t="s">
        <v>2809</v>
      </c>
    </row>
    <row r="106" spans="1:10" x14ac:dyDescent="0.3">
      <c r="E106" s="250" t="s">
        <v>2810</v>
      </c>
      <c r="F106" s="250" t="s">
        <v>2811</v>
      </c>
      <c r="G106" s="250" t="s">
        <v>2812</v>
      </c>
      <c r="H106" s="250" t="s">
        <v>2813</v>
      </c>
      <c r="I106" s="250" t="s">
        <v>2814</v>
      </c>
      <c r="J106" s="250" t="s">
        <v>2815</v>
      </c>
    </row>
    <row r="107" spans="1:10" x14ac:dyDescent="0.3">
      <c r="A107" s="250" t="s">
        <v>581</v>
      </c>
      <c r="E107" s="250" t="s">
        <v>2816</v>
      </c>
      <c r="F107" s="250" t="s">
        <v>2817</v>
      </c>
      <c r="G107" s="250" t="s">
        <v>2818</v>
      </c>
      <c r="H107" s="250" t="s">
        <v>2819</v>
      </c>
      <c r="I107" s="250" t="s">
        <v>2820</v>
      </c>
      <c r="J107" s="250" t="s">
        <v>2821</v>
      </c>
    </row>
    <row r="109" spans="1:10" x14ac:dyDescent="0.3">
      <c r="I109" s="250" t="s">
        <v>44</v>
      </c>
      <c r="J109" s="250" t="s">
        <v>2822</v>
      </c>
    </row>
    <row r="111" spans="1:10" x14ac:dyDescent="0.3">
      <c r="E111" s="250" t="s">
        <v>46</v>
      </c>
    </row>
    <row r="112" spans="1:10" x14ac:dyDescent="0.3">
      <c r="C112" s="250" t="s">
        <v>421</v>
      </c>
      <c r="E112" s="250" t="s">
        <v>2823</v>
      </c>
      <c r="J112" s="250" t="s">
        <v>2824</v>
      </c>
    </row>
    <row r="113" spans="1:10" x14ac:dyDescent="0.3">
      <c r="E113" s="250" t="s">
        <v>2825</v>
      </c>
      <c r="F113" s="250" t="s">
        <v>2826</v>
      </c>
      <c r="G113" s="250" t="s">
        <v>2827</v>
      </c>
      <c r="H113" s="250" t="s">
        <v>2828</v>
      </c>
      <c r="I113" s="250" t="s">
        <v>2829</v>
      </c>
      <c r="J113" s="250" t="s">
        <v>2830</v>
      </c>
    </row>
    <row r="114" spans="1:10" x14ac:dyDescent="0.3">
      <c r="A114" s="250" t="s">
        <v>581</v>
      </c>
      <c r="E114" s="250" t="s">
        <v>2831</v>
      </c>
      <c r="F114" s="250" t="s">
        <v>2832</v>
      </c>
      <c r="G114" s="250" t="s">
        <v>2833</v>
      </c>
      <c r="H114" s="250" t="s">
        <v>2834</v>
      </c>
      <c r="I114" s="250" t="s">
        <v>2835</v>
      </c>
      <c r="J114" s="250" t="s">
        <v>2836</v>
      </c>
    </row>
    <row r="115" spans="1:10" x14ac:dyDescent="0.3">
      <c r="A115" s="250" t="s">
        <v>581</v>
      </c>
      <c r="E115" s="250" t="s">
        <v>2837</v>
      </c>
      <c r="F115" s="250" t="s">
        <v>2838</v>
      </c>
      <c r="G115" s="250" t="s">
        <v>2839</v>
      </c>
      <c r="H115" s="250" t="s">
        <v>2840</v>
      </c>
      <c r="I115" s="250" t="s">
        <v>2841</v>
      </c>
      <c r="J115" s="250" t="s">
        <v>2842</v>
      </c>
    </row>
    <row r="116" spans="1:10" x14ac:dyDescent="0.3">
      <c r="A116" s="250" t="s">
        <v>581</v>
      </c>
      <c r="E116" s="250" t="s">
        <v>2843</v>
      </c>
      <c r="F116" s="250" t="s">
        <v>2844</v>
      </c>
      <c r="G116" s="250" t="s">
        <v>2845</v>
      </c>
      <c r="H116" s="250" t="s">
        <v>2846</v>
      </c>
      <c r="I116" s="250" t="s">
        <v>2847</v>
      </c>
      <c r="J116" s="250" t="s">
        <v>2848</v>
      </c>
    </row>
    <row r="117" spans="1:10" x14ac:dyDescent="0.3">
      <c r="A117" s="250" t="s">
        <v>581</v>
      </c>
      <c r="E117" s="250" t="s">
        <v>2849</v>
      </c>
      <c r="F117" s="250" t="s">
        <v>2850</v>
      </c>
      <c r="G117" s="250" t="s">
        <v>2851</v>
      </c>
      <c r="H117" s="250" t="s">
        <v>2852</v>
      </c>
      <c r="I117" s="250" t="s">
        <v>2853</v>
      </c>
      <c r="J117" s="250" t="s">
        <v>2854</v>
      </c>
    </row>
    <row r="118" spans="1:10" x14ac:dyDescent="0.3">
      <c r="A118" s="250" t="s">
        <v>581</v>
      </c>
      <c r="E118" s="250" t="s">
        <v>2855</v>
      </c>
      <c r="F118" s="250" t="s">
        <v>2856</v>
      </c>
      <c r="G118" s="250" t="s">
        <v>2857</v>
      </c>
      <c r="H118" s="250" t="s">
        <v>2858</v>
      </c>
      <c r="I118" s="250" t="s">
        <v>2859</v>
      </c>
      <c r="J118" s="250" t="s">
        <v>2860</v>
      </c>
    </row>
    <row r="119" spans="1:10" x14ac:dyDescent="0.3">
      <c r="A119" s="250" t="s">
        <v>581</v>
      </c>
      <c r="E119" s="250" t="s">
        <v>2861</v>
      </c>
      <c r="F119" s="250" t="s">
        <v>2862</v>
      </c>
      <c r="G119" s="250" t="s">
        <v>2863</v>
      </c>
      <c r="H119" s="250" t="s">
        <v>2864</v>
      </c>
      <c r="I119" s="250" t="s">
        <v>2865</v>
      </c>
      <c r="J119" s="250" t="s">
        <v>2866</v>
      </c>
    </row>
    <row r="121" spans="1:10" x14ac:dyDescent="0.3">
      <c r="C121" s="250" t="s">
        <v>430</v>
      </c>
      <c r="E121" s="250" t="s">
        <v>2867</v>
      </c>
      <c r="J121" s="250" t="s">
        <v>2868</v>
      </c>
    </row>
    <row r="122" spans="1:10" x14ac:dyDescent="0.3">
      <c r="E122" s="250" t="s">
        <v>2869</v>
      </c>
      <c r="F122" s="250" t="s">
        <v>2870</v>
      </c>
      <c r="G122" s="250" t="s">
        <v>2871</v>
      </c>
      <c r="H122" s="250" t="s">
        <v>2872</v>
      </c>
      <c r="I122" s="250" t="s">
        <v>2873</v>
      </c>
      <c r="J122" s="250" t="s">
        <v>2874</v>
      </c>
    </row>
    <row r="123" spans="1:10" x14ac:dyDescent="0.3">
      <c r="A123" s="250" t="s">
        <v>581</v>
      </c>
      <c r="E123" s="250" t="s">
        <v>2875</v>
      </c>
      <c r="F123" s="250" t="s">
        <v>2876</v>
      </c>
      <c r="G123" s="250" t="s">
        <v>2877</v>
      </c>
      <c r="H123" s="250" t="s">
        <v>2878</v>
      </c>
      <c r="I123" s="250" t="s">
        <v>2879</v>
      </c>
      <c r="J123" s="250" t="s">
        <v>2880</v>
      </c>
    </row>
    <row r="124" spans="1:10" x14ac:dyDescent="0.3">
      <c r="A124" s="250" t="s">
        <v>581</v>
      </c>
      <c r="E124" s="250" t="s">
        <v>2881</v>
      </c>
      <c r="F124" s="250" t="s">
        <v>2882</v>
      </c>
      <c r="G124" s="250" t="s">
        <v>2883</v>
      </c>
      <c r="H124" s="250" t="s">
        <v>2884</v>
      </c>
      <c r="I124" s="250" t="s">
        <v>2885</v>
      </c>
      <c r="J124" s="250" t="s">
        <v>2886</v>
      </c>
    </row>
    <row r="125" spans="1:10" x14ac:dyDescent="0.3">
      <c r="A125" s="250" t="s">
        <v>581</v>
      </c>
      <c r="E125" s="250" t="s">
        <v>2887</v>
      </c>
      <c r="F125" s="250" t="s">
        <v>2888</v>
      </c>
      <c r="G125" s="250" t="s">
        <v>2889</v>
      </c>
      <c r="H125" s="250" t="s">
        <v>2890</v>
      </c>
      <c r="I125" s="250" t="s">
        <v>2891</v>
      </c>
      <c r="J125" s="250" t="s">
        <v>2892</v>
      </c>
    </row>
    <row r="127" spans="1:10" x14ac:dyDescent="0.3">
      <c r="C127" s="250" t="s">
        <v>439</v>
      </c>
      <c r="E127" s="250" t="s">
        <v>2893</v>
      </c>
      <c r="J127" s="250" t="s">
        <v>2894</v>
      </c>
    </row>
    <row r="128" spans="1:10" x14ac:dyDescent="0.3">
      <c r="E128" s="250" t="s">
        <v>2895</v>
      </c>
      <c r="F128" s="250" t="s">
        <v>2896</v>
      </c>
      <c r="G128" s="250" t="s">
        <v>2897</v>
      </c>
      <c r="H128" s="250" t="s">
        <v>2898</v>
      </c>
      <c r="I128" s="250" t="s">
        <v>2899</v>
      </c>
      <c r="J128" s="250" t="s">
        <v>2900</v>
      </c>
    </row>
    <row r="129" spans="1:10" x14ac:dyDescent="0.3">
      <c r="A129" s="250" t="s">
        <v>581</v>
      </c>
      <c r="E129" s="250" t="s">
        <v>2901</v>
      </c>
      <c r="F129" s="250" t="s">
        <v>2902</v>
      </c>
      <c r="G129" s="250" t="s">
        <v>2903</v>
      </c>
      <c r="H129" s="250" t="s">
        <v>2904</v>
      </c>
      <c r="I129" s="250" t="s">
        <v>2905</v>
      </c>
      <c r="J129" s="250" t="s">
        <v>2906</v>
      </c>
    </row>
    <row r="131" spans="1:10" x14ac:dyDescent="0.3">
      <c r="C131" s="250" t="s">
        <v>448</v>
      </c>
      <c r="E131" s="250" t="s">
        <v>2907</v>
      </c>
      <c r="J131" s="250" t="s">
        <v>2908</v>
      </c>
    </row>
    <row r="132" spans="1:10" x14ac:dyDescent="0.3">
      <c r="E132" s="250" t="s">
        <v>2909</v>
      </c>
      <c r="F132" s="250" t="s">
        <v>2910</v>
      </c>
      <c r="G132" s="250" t="s">
        <v>2911</v>
      </c>
      <c r="H132" s="250" t="s">
        <v>2912</v>
      </c>
      <c r="I132" s="250" t="s">
        <v>2913</v>
      </c>
      <c r="J132" s="250" t="s">
        <v>2914</v>
      </c>
    </row>
    <row r="133" spans="1:10" x14ac:dyDescent="0.3">
      <c r="A133" s="250" t="s">
        <v>581</v>
      </c>
      <c r="E133" s="250" t="s">
        <v>2915</v>
      </c>
      <c r="F133" s="250" t="s">
        <v>2916</v>
      </c>
      <c r="G133" s="250" t="s">
        <v>2917</v>
      </c>
      <c r="H133" s="250" t="s">
        <v>2918</v>
      </c>
      <c r="I133" s="250" t="s">
        <v>2919</v>
      </c>
      <c r="J133" s="250" t="s">
        <v>2920</v>
      </c>
    </row>
    <row r="135" spans="1:10" x14ac:dyDescent="0.3">
      <c r="I135" s="250" t="s">
        <v>47</v>
      </c>
      <c r="J135" s="250" t="s">
        <v>2921</v>
      </c>
    </row>
    <row r="137" spans="1:10" x14ac:dyDescent="0.3">
      <c r="E137" s="250" t="s">
        <v>48</v>
      </c>
      <c r="J137" s="250" t="s">
        <v>2922</v>
      </c>
    </row>
    <row r="140" spans="1:10" x14ac:dyDescent="0.3">
      <c r="E140" s="250" t="s">
        <v>49</v>
      </c>
    </row>
    <row r="142" spans="1:10" x14ac:dyDescent="0.3">
      <c r="E142" s="250" t="s">
        <v>50</v>
      </c>
    </row>
    <row r="143" spans="1:10" x14ac:dyDescent="0.3">
      <c r="C143" s="250" t="s">
        <v>459</v>
      </c>
      <c r="E143" s="250" t="s">
        <v>2923</v>
      </c>
      <c r="J143" s="250" t="s">
        <v>2924</v>
      </c>
    </row>
    <row r="144" spans="1:10" x14ac:dyDescent="0.3">
      <c r="E144" s="250" t="s">
        <v>2925</v>
      </c>
      <c r="F144" s="250" t="s">
        <v>2926</v>
      </c>
      <c r="G144" s="250" t="s">
        <v>2927</v>
      </c>
      <c r="H144" s="250" t="s">
        <v>2928</v>
      </c>
      <c r="I144" s="250" t="s">
        <v>2929</v>
      </c>
      <c r="J144" s="250" t="s">
        <v>2930</v>
      </c>
    </row>
    <row r="145" spans="1:10" x14ac:dyDescent="0.3">
      <c r="A145" s="250" t="s">
        <v>581</v>
      </c>
      <c r="E145" s="250" t="s">
        <v>2931</v>
      </c>
      <c r="F145" s="250" t="s">
        <v>2932</v>
      </c>
      <c r="G145" s="250" t="s">
        <v>2933</v>
      </c>
      <c r="H145" s="250" t="s">
        <v>2934</v>
      </c>
      <c r="I145" s="250" t="s">
        <v>2935</v>
      </c>
      <c r="J145" s="250" t="s">
        <v>2936</v>
      </c>
    </row>
    <row r="146" spans="1:10" x14ac:dyDescent="0.3">
      <c r="A146" s="250" t="s">
        <v>581</v>
      </c>
      <c r="E146" s="250" t="s">
        <v>2937</v>
      </c>
      <c r="F146" s="250" t="s">
        <v>2938</v>
      </c>
      <c r="G146" s="250" t="s">
        <v>2939</v>
      </c>
      <c r="H146" s="250" t="s">
        <v>2940</v>
      </c>
      <c r="I146" s="250" t="s">
        <v>2941</v>
      </c>
      <c r="J146" s="250" t="s">
        <v>2942</v>
      </c>
    </row>
    <row r="147" spans="1:10" x14ac:dyDescent="0.3">
      <c r="A147" s="250" t="s">
        <v>581</v>
      </c>
      <c r="E147" s="250" t="s">
        <v>2943</v>
      </c>
      <c r="F147" s="250" t="s">
        <v>2944</v>
      </c>
      <c r="G147" s="250" t="s">
        <v>2945</v>
      </c>
      <c r="H147" s="250" t="s">
        <v>2946</v>
      </c>
      <c r="I147" s="250" t="s">
        <v>2947</v>
      </c>
      <c r="J147" s="250" t="s">
        <v>2948</v>
      </c>
    </row>
    <row r="148" spans="1:10" x14ac:dyDescent="0.3">
      <c r="A148" s="250" t="s">
        <v>581</v>
      </c>
      <c r="E148" s="250" t="s">
        <v>2949</v>
      </c>
      <c r="F148" s="250" t="s">
        <v>2950</v>
      </c>
      <c r="G148" s="250" t="s">
        <v>2951</v>
      </c>
      <c r="H148" s="250" t="s">
        <v>2952</v>
      </c>
      <c r="I148" s="250" t="s">
        <v>2953</v>
      </c>
      <c r="J148" s="250" t="s">
        <v>2954</v>
      </c>
    </row>
    <row r="149" spans="1:10" x14ac:dyDescent="0.3">
      <c r="A149" s="250" t="s">
        <v>581</v>
      </c>
      <c r="E149" s="250" t="s">
        <v>2955</v>
      </c>
      <c r="F149" s="250" t="s">
        <v>2956</v>
      </c>
      <c r="G149" s="250" t="s">
        <v>2957</v>
      </c>
      <c r="H149" s="250" t="s">
        <v>2958</v>
      </c>
      <c r="I149" s="250" t="s">
        <v>2959</v>
      </c>
      <c r="J149" s="250" t="s">
        <v>2960</v>
      </c>
    </row>
    <row r="150" spans="1:10" x14ac:dyDescent="0.3">
      <c r="A150" s="250" t="s">
        <v>581</v>
      </c>
      <c r="E150" s="250" t="s">
        <v>2961</v>
      </c>
      <c r="F150" s="250" t="s">
        <v>2962</v>
      </c>
      <c r="G150" s="250" t="s">
        <v>2963</v>
      </c>
      <c r="H150" s="250" t="s">
        <v>2964</v>
      </c>
      <c r="I150" s="250" t="s">
        <v>2965</v>
      </c>
      <c r="J150" s="250" t="s">
        <v>2966</v>
      </c>
    </row>
    <row r="151" spans="1:10" x14ac:dyDescent="0.3">
      <c r="A151" s="250" t="s">
        <v>581</v>
      </c>
      <c r="E151" s="250" t="s">
        <v>2967</v>
      </c>
      <c r="F151" s="250" t="s">
        <v>2968</v>
      </c>
      <c r="G151" s="250" t="s">
        <v>2969</v>
      </c>
      <c r="H151" s="250" t="s">
        <v>2970</v>
      </c>
      <c r="I151" s="250" t="s">
        <v>2971</v>
      </c>
      <c r="J151" s="250" t="s">
        <v>2972</v>
      </c>
    </row>
    <row r="152" spans="1:10" x14ac:dyDescent="0.3">
      <c r="A152" s="250" t="s">
        <v>581</v>
      </c>
      <c r="E152" s="250" t="s">
        <v>2973</v>
      </c>
      <c r="F152" s="250" t="s">
        <v>2974</v>
      </c>
      <c r="G152" s="250" t="s">
        <v>2975</v>
      </c>
      <c r="H152" s="250" t="s">
        <v>2976</v>
      </c>
      <c r="I152" s="250" t="s">
        <v>2977</v>
      </c>
      <c r="J152" s="250" t="s">
        <v>2978</v>
      </c>
    </row>
    <row r="153" spans="1:10" x14ac:dyDescent="0.3">
      <c r="A153" s="250" t="s">
        <v>581</v>
      </c>
      <c r="E153" s="250" t="s">
        <v>2979</v>
      </c>
      <c r="F153" s="250" t="s">
        <v>2980</v>
      </c>
      <c r="G153" s="250" t="s">
        <v>2981</v>
      </c>
      <c r="H153" s="250" t="s">
        <v>2982</v>
      </c>
      <c r="I153" s="250" t="s">
        <v>2983</v>
      </c>
      <c r="J153" s="250" t="s">
        <v>2984</v>
      </c>
    </row>
    <row r="154" spans="1:10" x14ac:dyDescent="0.3">
      <c r="A154" s="250" t="s">
        <v>581</v>
      </c>
      <c r="E154" s="250" t="s">
        <v>2985</v>
      </c>
      <c r="F154" s="250" t="s">
        <v>2986</v>
      </c>
      <c r="G154" s="250" t="s">
        <v>2987</v>
      </c>
      <c r="H154" s="250" t="s">
        <v>2988</v>
      </c>
      <c r="I154" s="250" t="s">
        <v>2989</v>
      </c>
      <c r="J154" s="250" t="s">
        <v>2990</v>
      </c>
    </row>
    <row r="155" spans="1:10" x14ac:dyDescent="0.3">
      <c r="A155" s="250" t="s">
        <v>581</v>
      </c>
      <c r="E155" s="250" t="s">
        <v>2991</v>
      </c>
      <c r="F155" s="250" t="s">
        <v>2992</v>
      </c>
      <c r="G155" s="250" t="s">
        <v>2993</v>
      </c>
      <c r="H155" s="250" t="s">
        <v>2994</v>
      </c>
      <c r="I155" s="250" t="s">
        <v>2995</v>
      </c>
      <c r="J155" s="250" t="s">
        <v>2996</v>
      </c>
    </row>
    <row r="156" spans="1:10" x14ac:dyDescent="0.3">
      <c r="A156" s="250" t="s">
        <v>581</v>
      </c>
      <c r="E156" s="250" t="s">
        <v>2997</v>
      </c>
      <c r="F156" s="250" t="s">
        <v>2998</v>
      </c>
      <c r="G156" s="250" t="s">
        <v>2999</v>
      </c>
      <c r="H156" s="250" t="s">
        <v>3000</v>
      </c>
      <c r="I156" s="250" t="s">
        <v>3001</v>
      </c>
      <c r="J156" s="250" t="s">
        <v>3002</v>
      </c>
    </row>
    <row r="157" spans="1:10" x14ac:dyDescent="0.3">
      <c r="A157" s="250" t="s">
        <v>581</v>
      </c>
      <c r="E157" s="250" t="s">
        <v>3003</v>
      </c>
      <c r="F157" s="250" t="s">
        <v>3004</v>
      </c>
      <c r="G157" s="250" t="s">
        <v>3005</v>
      </c>
      <c r="H157" s="250" t="s">
        <v>3006</v>
      </c>
      <c r="I157" s="250" t="s">
        <v>3007</v>
      </c>
      <c r="J157" s="250" t="s">
        <v>3008</v>
      </c>
    </row>
    <row r="158" spans="1:10" x14ac:dyDescent="0.3">
      <c r="A158" s="250" t="s">
        <v>581</v>
      </c>
      <c r="E158" s="250" t="s">
        <v>3009</v>
      </c>
      <c r="F158" s="250" t="s">
        <v>3010</v>
      </c>
      <c r="G158" s="250" t="s">
        <v>3011</v>
      </c>
      <c r="H158" s="250" t="s">
        <v>3012</v>
      </c>
      <c r="I158" s="250" t="s">
        <v>3013</v>
      </c>
      <c r="J158" s="250" t="s">
        <v>3014</v>
      </c>
    </row>
    <row r="159" spans="1:10" x14ac:dyDescent="0.3">
      <c r="A159" s="250" t="s">
        <v>581</v>
      </c>
      <c r="E159" s="250" t="s">
        <v>3015</v>
      </c>
      <c r="F159" s="250" t="s">
        <v>3016</v>
      </c>
      <c r="G159" s="250" t="s">
        <v>3017</v>
      </c>
      <c r="H159" s="250" t="s">
        <v>3018</v>
      </c>
      <c r="I159" s="250" t="s">
        <v>3019</v>
      </c>
      <c r="J159" s="250" t="s">
        <v>3020</v>
      </c>
    </row>
    <row r="160" spans="1:10" x14ac:dyDescent="0.3">
      <c r="A160" s="250" t="s">
        <v>581</v>
      </c>
      <c r="E160" s="250" t="s">
        <v>3021</v>
      </c>
      <c r="F160" s="250" t="s">
        <v>3022</v>
      </c>
      <c r="G160" s="250" t="s">
        <v>3023</v>
      </c>
      <c r="H160" s="250" t="s">
        <v>3024</v>
      </c>
      <c r="I160" s="250" t="s">
        <v>3025</v>
      </c>
      <c r="J160" s="250" t="s">
        <v>3026</v>
      </c>
    </row>
    <row r="161" spans="1:10" x14ac:dyDescent="0.3">
      <c r="A161" s="250" t="s">
        <v>581</v>
      </c>
      <c r="E161" s="250" t="s">
        <v>3027</v>
      </c>
      <c r="F161" s="250" t="s">
        <v>3028</v>
      </c>
      <c r="G161" s="250" t="s">
        <v>3029</v>
      </c>
      <c r="H161" s="250" t="s">
        <v>3030</v>
      </c>
      <c r="I161" s="250" t="s">
        <v>3031</v>
      </c>
      <c r="J161" s="250" t="s">
        <v>3032</v>
      </c>
    </row>
    <row r="162" spans="1:10" x14ac:dyDescent="0.3">
      <c r="A162" s="250" t="s">
        <v>581</v>
      </c>
      <c r="E162" s="250" t="s">
        <v>3033</v>
      </c>
      <c r="F162" s="250" t="s">
        <v>3034</v>
      </c>
      <c r="G162" s="250" t="s">
        <v>3035</v>
      </c>
      <c r="H162" s="250" t="s">
        <v>3036</v>
      </c>
      <c r="I162" s="250" t="s">
        <v>3037</v>
      </c>
      <c r="J162" s="250" t="s">
        <v>3038</v>
      </c>
    </row>
    <row r="163" spans="1:10" x14ac:dyDescent="0.3">
      <c r="A163" s="250" t="s">
        <v>581</v>
      </c>
      <c r="E163" s="250" t="s">
        <v>3039</v>
      </c>
      <c r="F163" s="250" t="s">
        <v>3040</v>
      </c>
      <c r="G163" s="250" t="s">
        <v>3041</v>
      </c>
      <c r="H163" s="250" t="s">
        <v>3042</v>
      </c>
      <c r="I163" s="250" t="s">
        <v>3043</v>
      </c>
      <c r="J163" s="250" t="s">
        <v>3044</v>
      </c>
    </row>
    <row r="164" spans="1:10" x14ac:dyDescent="0.3">
      <c r="A164" s="250" t="s">
        <v>581</v>
      </c>
      <c r="E164" s="250" t="s">
        <v>3045</v>
      </c>
      <c r="F164" s="250" t="s">
        <v>3046</v>
      </c>
      <c r="G164" s="250" t="s">
        <v>3047</v>
      </c>
      <c r="H164" s="250" t="s">
        <v>3048</v>
      </c>
      <c r="I164" s="250" t="s">
        <v>3049</v>
      </c>
      <c r="J164" s="250" t="s">
        <v>3050</v>
      </c>
    </row>
    <row r="165" spans="1:10" x14ac:dyDescent="0.3">
      <c r="A165" s="250" t="s">
        <v>581</v>
      </c>
      <c r="E165" s="250" t="s">
        <v>3051</v>
      </c>
      <c r="F165" s="250" t="s">
        <v>3052</v>
      </c>
      <c r="G165" s="250" t="s">
        <v>3053</v>
      </c>
      <c r="H165" s="250" t="s">
        <v>3054</v>
      </c>
      <c r="I165" s="250" t="s">
        <v>3055</v>
      </c>
      <c r="J165" s="250" t="s">
        <v>3056</v>
      </c>
    </row>
    <row r="166" spans="1:10" x14ac:dyDescent="0.3">
      <c r="A166" s="250" t="s">
        <v>581</v>
      </c>
      <c r="E166" s="250" t="s">
        <v>3057</v>
      </c>
      <c r="F166" s="250" t="s">
        <v>3058</v>
      </c>
      <c r="G166" s="250" t="s">
        <v>3059</v>
      </c>
      <c r="H166" s="250" t="s">
        <v>3060</v>
      </c>
      <c r="I166" s="250" t="s">
        <v>3061</v>
      </c>
      <c r="J166" s="250" t="s">
        <v>3062</v>
      </c>
    </row>
    <row r="167" spans="1:10" x14ac:dyDescent="0.3">
      <c r="A167" s="250" t="s">
        <v>581</v>
      </c>
      <c r="E167" s="250" t="s">
        <v>3063</v>
      </c>
      <c r="F167" s="250" t="s">
        <v>3064</v>
      </c>
      <c r="G167" s="250" t="s">
        <v>3065</v>
      </c>
      <c r="H167" s="250" t="s">
        <v>3066</v>
      </c>
      <c r="I167" s="250" t="s">
        <v>3067</v>
      </c>
      <c r="J167" s="250" t="s">
        <v>3068</v>
      </c>
    </row>
    <row r="168" spans="1:10" x14ac:dyDescent="0.3">
      <c r="A168" s="250" t="s">
        <v>581</v>
      </c>
      <c r="E168" s="250" t="s">
        <v>3069</v>
      </c>
      <c r="F168" s="250" t="s">
        <v>3070</v>
      </c>
      <c r="G168" s="250" t="s">
        <v>3071</v>
      </c>
      <c r="H168" s="250" t="s">
        <v>3072</v>
      </c>
      <c r="I168" s="250" t="s">
        <v>3073</v>
      </c>
      <c r="J168" s="250" t="s">
        <v>3074</v>
      </c>
    </row>
    <row r="169" spans="1:10" x14ac:dyDescent="0.3">
      <c r="A169" s="250" t="s">
        <v>581</v>
      </c>
      <c r="E169" s="250" t="s">
        <v>3075</v>
      </c>
      <c r="F169" s="250" t="s">
        <v>3076</v>
      </c>
      <c r="G169" s="250" t="s">
        <v>3077</v>
      </c>
      <c r="H169" s="250" t="s">
        <v>3078</v>
      </c>
      <c r="I169" s="250" t="s">
        <v>3079</v>
      </c>
      <c r="J169" s="250" t="s">
        <v>3080</v>
      </c>
    </row>
    <row r="170" spans="1:10" x14ac:dyDescent="0.3">
      <c r="A170" s="250" t="s">
        <v>581</v>
      </c>
      <c r="E170" s="250" t="s">
        <v>3081</v>
      </c>
      <c r="F170" s="250" t="s">
        <v>3082</v>
      </c>
      <c r="G170" s="250" t="s">
        <v>3083</v>
      </c>
      <c r="H170" s="250" t="s">
        <v>3084</v>
      </c>
      <c r="I170" s="250" t="s">
        <v>3085</v>
      </c>
      <c r="J170" s="250" t="s">
        <v>3086</v>
      </c>
    </row>
    <row r="171" spans="1:10" x14ac:dyDescent="0.3">
      <c r="A171" s="250" t="s">
        <v>581</v>
      </c>
      <c r="E171" s="250" t="s">
        <v>3087</v>
      </c>
      <c r="F171" s="250" t="s">
        <v>3088</v>
      </c>
      <c r="G171" s="250" t="s">
        <v>3089</v>
      </c>
      <c r="H171" s="250" t="s">
        <v>3090</v>
      </c>
      <c r="I171" s="250" t="s">
        <v>3091</v>
      </c>
      <c r="J171" s="250" t="s">
        <v>3092</v>
      </c>
    </row>
    <row r="172" spans="1:10" x14ac:dyDescent="0.3">
      <c r="A172" s="250" t="s">
        <v>581</v>
      </c>
      <c r="E172" s="250" t="s">
        <v>3093</v>
      </c>
      <c r="F172" s="250" t="s">
        <v>3094</v>
      </c>
      <c r="G172" s="250" t="s">
        <v>3095</v>
      </c>
      <c r="H172" s="250" t="s">
        <v>3096</v>
      </c>
      <c r="I172" s="250" t="s">
        <v>3097</v>
      </c>
      <c r="J172" s="250" t="s">
        <v>3098</v>
      </c>
    </row>
    <row r="173" spans="1:10" x14ac:dyDescent="0.3">
      <c r="A173" s="250" t="s">
        <v>581</v>
      </c>
      <c r="E173" s="250" t="s">
        <v>3099</v>
      </c>
      <c r="F173" s="250" t="s">
        <v>3100</v>
      </c>
      <c r="G173" s="250" t="s">
        <v>3101</v>
      </c>
      <c r="H173" s="250" t="s">
        <v>3102</v>
      </c>
      <c r="I173" s="250" t="s">
        <v>3103</v>
      </c>
      <c r="J173" s="250" t="s">
        <v>3104</v>
      </c>
    </row>
    <row r="174" spans="1:10" x14ac:dyDescent="0.3">
      <c r="A174" s="250" t="s">
        <v>581</v>
      </c>
      <c r="E174" s="250" t="s">
        <v>3105</v>
      </c>
      <c r="F174" s="250" t="s">
        <v>3106</v>
      </c>
      <c r="G174" s="250" t="s">
        <v>3107</v>
      </c>
      <c r="H174" s="250" t="s">
        <v>3108</v>
      </c>
      <c r="I174" s="250" t="s">
        <v>3109</v>
      </c>
      <c r="J174" s="250" t="s">
        <v>3110</v>
      </c>
    </row>
    <row r="175" spans="1:10" x14ac:dyDescent="0.3">
      <c r="A175" s="250" t="s">
        <v>581</v>
      </c>
      <c r="E175" s="250" t="s">
        <v>3111</v>
      </c>
      <c r="F175" s="250" t="s">
        <v>3112</v>
      </c>
      <c r="G175" s="250" t="s">
        <v>3113</v>
      </c>
      <c r="H175" s="250" t="s">
        <v>3114</v>
      </c>
      <c r="I175" s="250" t="s">
        <v>3115</v>
      </c>
      <c r="J175" s="250" t="s">
        <v>3116</v>
      </c>
    </row>
    <row r="176" spans="1:10" x14ac:dyDescent="0.3">
      <c r="A176" s="250" t="s">
        <v>581</v>
      </c>
      <c r="E176" s="250" t="s">
        <v>3117</v>
      </c>
      <c r="F176" s="250" t="s">
        <v>3118</v>
      </c>
      <c r="G176" s="250" t="s">
        <v>3119</v>
      </c>
      <c r="H176" s="250" t="s">
        <v>3120</v>
      </c>
      <c r="I176" s="250" t="s">
        <v>3121</v>
      </c>
      <c r="J176" s="250" t="s">
        <v>3122</v>
      </c>
    </row>
    <row r="177" spans="1:10" x14ac:dyDescent="0.3">
      <c r="A177" s="250" t="s">
        <v>581</v>
      </c>
      <c r="E177" s="250" t="s">
        <v>3123</v>
      </c>
      <c r="F177" s="250" t="s">
        <v>3124</v>
      </c>
      <c r="G177" s="250" t="s">
        <v>3125</v>
      </c>
      <c r="H177" s="250" t="s">
        <v>3126</v>
      </c>
      <c r="I177" s="250" t="s">
        <v>3127</v>
      </c>
      <c r="J177" s="250" t="s">
        <v>3128</v>
      </c>
    </row>
    <row r="178" spans="1:10" x14ac:dyDescent="0.3">
      <c r="A178" s="250" t="s">
        <v>581</v>
      </c>
      <c r="E178" s="250" t="s">
        <v>3129</v>
      </c>
      <c r="F178" s="250" t="s">
        <v>3130</v>
      </c>
      <c r="G178" s="250" t="s">
        <v>3131</v>
      </c>
      <c r="H178" s="250" t="s">
        <v>3132</v>
      </c>
      <c r="I178" s="250" t="s">
        <v>3133</v>
      </c>
      <c r="J178" s="250" t="s">
        <v>3134</v>
      </c>
    </row>
    <row r="180" spans="1:10" x14ac:dyDescent="0.3">
      <c r="C180" s="250" t="s">
        <v>468</v>
      </c>
      <c r="E180" s="250" t="s">
        <v>3135</v>
      </c>
      <c r="J180" s="250" t="s">
        <v>3136</v>
      </c>
    </row>
    <row r="181" spans="1:10" x14ac:dyDescent="0.3">
      <c r="E181" s="250" t="s">
        <v>3137</v>
      </c>
      <c r="F181" s="250" t="s">
        <v>3138</v>
      </c>
      <c r="G181" s="250" t="s">
        <v>3139</v>
      </c>
      <c r="H181" s="250" t="s">
        <v>3140</v>
      </c>
      <c r="I181" s="250" t="s">
        <v>3141</v>
      </c>
      <c r="J181" s="250" t="s">
        <v>3142</v>
      </c>
    </row>
    <row r="182" spans="1:10" x14ac:dyDescent="0.3">
      <c r="A182" s="250" t="s">
        <v>581</v>
      </c>
      <c r="E182" s="250" t="s">
        <v>3143</v>
      </c>
      <c r="F182" s="250" t="s">
        <v>3144</v>
      </c>
      <c r="G182" s="250" t="s">
        <v>3145</v>
      </c>
      <c r="H182" s="250" t="s">
        <v>3146</v>
      </c>
      <c r="I182" s="250" t="s">
        <v>3147</v>
      </c>
      <c r="J182" s="250" t="s">
        <v>3148</v>
      </c>
    </row>
    <row r="183" spans="1:10" x14ac:dyDescent="0.3">
      <c r="A183" s="250" t="s">
        <v>581</v>
      </c>
      <c r="E183" s="250" t="s">
        <v>3149</v>
      </c>
      <c r="F183" s="250" t="s">
        <v>3150</v>
      </c>
      <c r="G183" s="250" t="s">
        <v>3151</v>
      </c>
      <c r="H183" s="250" t="s">
        <v>3152</v>
      </c>
      <c r="I183" s="250" t="s">
        <v>3153</v>
      </c>
      <c r="J183" s="250" t="s">
        <v>3154</v>
      </c>
    </row>
    <row r="185" spans="1:10" x14ac:dyDescent="0.3">
      <c r="C185" s="250" t="s">
        <v>477</v>
      </c>
      <c r="E185" s="250" t="s">
        <v>3155</v>
      </c>
      <c r="J185" s="250" t="s">
        <v>3156</v>
      </c>
    </row>
    <row r="186" spans="1:10" x14ac:dyDescent="0.3">
      <c r="E186" s="250" t="s">
        <v>3157</v>
      </c>
      <c r="F186" s="250" t="s">
        <v>3158</v>
      </c>
      <c r="G186" s="250" t="s">
        <v>3159</v>
      </c>
      <c r="H186" s="250" t="s">
        <v>3160</v>
      </c>
      <c r="I186" s="250" t="s">
        <v>3161</v>
      </c>
      <c r="J186" s="250" t="s">
        <v>3162</v>
      </c>
    </row>
    <row r="187" spans="1:10" x14ac:dyDescent="0.3">
      <c r="A187" s="250" t="s">
        <v>581</v>
      </c>
      <c r="E187" s="250" t="s">
        <v>3163</v>
      </c>
      <c r="F187" s="250" t="s">
        <v>3164</v>
      </c>
      <c r="G187" s="250" t="s">
        <v>3165</v>
      </c>
      <c r="H187" s="250" t="s">
        <v>3166</v>
      </c>
      <c r="I187" s="250" t="s">
        <v>3167</v>
      </c>
      <c r="J187" s="250" t="s">
        <v>3168</v>
      </c>
    </row>
    <row r="188" spans="1:10" x14ac:dyDescent="0.3">
      <c r="A188" s="250" t="s">
        <v>581</v>
      </c>
      <c r="E188" s="250" t="s">
        <v>3169</v>
      </c>
      <c r="F188" s="250" t="s">
        <v>3170</v>
      </c>
      <c r="G188" s="250" t="s">
        <v>3171</v>
      </c>
      <c r="H188" s="250" t="s">
        <v>3172</v>
      </c>
      <c r="I188" s="250" t="s">
        <v>3173</v>
      </c>
      <c r="J188" s="250" t="s">
        <v>3174</v>
      </c>
    </row>
    <row r="189" spans="1:10" x14ac:dyDescent="0.3">
      <c r="A189" s="250" t="s">
        <v>581</v>
      </c>
      <c r="E189" s="250" t="s">
        <v>3175</v>
      </c>
      <c r="F189" s="250" t="s">
        <v>3176</v>
      </c>
      <c r="G189" s="250" t="s">
        <v>3177</v>
      </c>
      <c r="H189" s="250" t="s">
        <v>3178</v>
      </c>
      <c r="I189" s="250" t="s">
        <v>3179</v>
      </c>
      <c r="J189" s="250" t="s">
        <v>3180</v>
      </c>
    </row>
    <row r="190" spans="1:10" x14ac:dyDescent="0.3">
      <c r="A190" s="250" t="s">
        <v>581</v>
      </c>
      <c r="E190" s="250" t="s">
        <v>3181</v>
      </c>
      <c r="F190" s="250" t="s">
        <v>3182</v>
      </c>
      <c r="G190" s="250" t="s">
        <v>3183</v>
      </c>
      <c r="H190" s="250" t="s">
        <v>3184</v>
      </c>
      <c r="I190" s="250" t="s">
        <v>3185</v>
      </c>
      <c r="J190" s="250" t="s">
        <v>3186</v>
      </c>
    </row>
    <row r="191" spans="1:10" x14ac:dyDescent="0.3">
      <c r="A191" s="250" t="s">
        <v>581</v>
      </c>
      <c r="E191" s="250" t="s">
        <v>3187</v>
      </c>
      <c r="F191" s="250" t="s">
        <v>3188</v>
      </c>
      <c r="G191" s="250" t="s">
        <v>3189</v>
      </c>
      <c r="H191" s="250" t="s">
        <v>3190</v>
      </c>
      <c r="I191" s="250" t="s">
        <v>3191</v>
      </c>
      <c r="J191" s="250" t="s">
        <v>3192</v>
      </c>
    </row>
    <row r="192" spans="1:10" x14ac:dyDescent="0.3">
      <c r="A192" s="250" t="s">
        <v>581</v>
      </c>
      <c r="E192" s="250" t="s">
        <v>3193</v>
      </c>
      <c r="F192" s="250" t="s">
        <v>3194</v>
      </c>
      <c r="G192" s="250" t="s">
        <v>3195</v>
      </c>
      <c r="H192" s="250" t="s">
        <v>3196</v>
      </c>
      <c r="I192" s="250" t="s">
        <v>3197</v>
      </c>
      <c r="J192" s="250" t="s">
        <v>3198</v>
      </c>
    </row>
    <row r="193" spans="1:10" x14ac:dyDescent="0.3">
      <c r="A193" s="250" t="s">
        <v>581</v>
      </c>
      <c r="E193" s="250" t="s">
        <v>3199</v>
      </c>
      <c r="F193" s="250" t="s">
        <v>3200</v>
      </c>
      <c r="G193" s="250" t="s">
        <v>3201</v>
      </c>
      <c r="H193" s="250" t="s">
        <v>3202</v>
      </c>
      <c r="I193" s="250" t="s">
        <v>3203</v>
      </c>
      <c r="J193" s="250" t="s">
        <v>3204</v>
      </c>
    </row>
    <row r="194" spans="1:10" x14ac:dyDescent="0.3">
      <c r="A194" s="250" t="s">
        <v>581</v>
      </c>
      <c r="E194" s="250" t="s">
        <v>3205</v>
      </c>
      <c r="F194" s="250" t="s">
        <v>3206</v>
      </c>
      <c r="G194" s="250" t="s">
        <v>3207</v>
      </c>
      <c r="H194" s="250" t="s">
        <v>3208</v>
      </c>
      <c r="I194" s="250" t="s">
        <v>3209</v>
      </c>
      <c r="J194" s="250" t="s">
        <v>3210</v>
      </c>
    </row>
    <row r="195" spans="1:10" x14ac:dyDescent="0.3">
      <c r="A195" s="250" t="s">
        <v>581</v>
      </c>
      <c r="E195" s="250" t="s">
        <v>3211</v>
      </c>
      <c r="F195" s="250" t="s">
        <v>3212</v>
      </c>
      <c r="G195" s="250" t="s">
        <v>3213</v>
      </c>
      <c r="H195" s="250" t="s">
        <v>3214</v>
      </c>
      <c r="I195" s="250" t="s">
        <v>3215</v>
      </c>
      <c r="J195" s="250" t="s">
        <v>3216</v>
      </c>
    </row>
    <row r="196" spans="1:10" x14ac:dyDescent="0.3">
      <c r="A196" s="250" t="s">
        <v>581</v>
      </c>
      <c r="E196" s="250" t="s">
        <v>3217</v>
      </c>
      <c r="F196" s="250" t="s">
        <v>3218</v>
      </c>
      <c r="G196" s="250" t="s">
        <v>3219</v>
      </c>
      <c r="H196" s="250" t="s">
        <v>3220</v>
      </c>
      <c r="I196" s="250" t="s">
        <v>3221</v>
      </c>
      <c r="J196" s="250" t="s">
        <v>3222</v>
      </c>
    </row>
    <row r="197" spans="1:10" x14ac:dyDescent="0.3">
      <c r="A197" s="250" t="s">
        <v>581</v>
      </c>
      <c r="E197" s="250" t="s">
        <v>3223</v>
      </c>
      <c r="F197" s="250" t="s">
        <v>3224</v>
      </c>
      <c r="G197" s="250" t="s">
        <v>3225</v>
      </c>
      <c r="H197" s="250" t="s">
        <v>3226</v>
      </c>
      <c r="I197" s="250" t="s">
        <v>3227</v>
      </c>
      <c r="J197" s="250" t="s">
        <v>3228</v>
      </c>
    </row>
    <row r="198" spans="1:10" x14ac:dyDescent="0.3">
      <c r="A198" s="250" t="s">
        <v>581</v>
      </c>
      <c r="E198" s="250" t="s">
        <v>3229</v>
      </c>
      <c r="F198" s="250" t="s">
        <v>3230</v>
      </c>
      <c r="G198" s="250" t="s">
        <v>3231</v>
      </c>
      <c r="H198" s="250" t="s">
        <v>3232</v>
      </c>
      <c r="I198" s="250" t="s">
        <v>3233</v>
      </c>
      <c r="J198" s="250" t="s">
        <v>3234</v>
      </c>
    </row>
    <row r="199" spans="1:10" x14ac:dyDescent="0.3">
      <c r="A199" s="250" t="s">
        <v>581</v>
      </c>
      <c r="E199" s="250" t="s">
        <v>3235</v>
      </c>
      <c r="F199" s="250" t="s">
        <v>3236</v>
      </c>
      <c r="G199" s="250" t="s">
        <v>3237</v>
      </c>
      <c r="H199" s="250" t="s">
        <v>3238</v>
      </c>
      <c r="I199" s="250" t="s">
        <v>3239</v>
      </c>
      <c r="J199" s="250" t="s">
        <v>3240</v>
      </c>
    </row>
    <row r="200" spans="1:10" x14ac:dyDescent="0.3">
      <c r="A200" s="250" t="s">
        <v>581</v>
      </c>
      <c r="E200" s="250" t="s">
        <v>3241</v>
      </c>
      <c r="F200" s="250" t="s">
        <v>3242</v>
      </c>
      <c r="G200" s="250" t="s">
        <v>3243</v>
      </c>
      <c r="H200" s="250" t="s">
        <v>3244</v>
      </c>
      <c r="I200" s="250" t="s">
        <v>3245</v>
      </c>
      <c r="J200" s="250" t="s">
        <v>3246</v>
      </c>
    </row>
    <row r="201" spans="1:10" x14ac:dyDescent="0.3">
      <c r="A201" s="250" t="s">
        <v>581</v>
      </c>
      <c r="E201" s="250" t="s">
        <v>3247</v>
      </c>
      <c r="F201" s="250" t="s">
        <v>3248</v>
      </c>
      <c r="G201" s="250" t="s">
        <v>3249</v>
      </c>
      <c r="H201" s="250" t="s">
        <v>3250</v>
      </c>
      <c r="I201" s="250" t="s">
        <v>3251</v>
      </c>
      <c r="J201" s="250" t="s">
        <v>3252</v>
      </c>
    </row>
    <row r="202" spans="1:10" x14ac:dyDescent="0.3">
      <c r="A202" s="250" t="s">
        <v>581</v>
      </c>
      <c r="E202" s="250" t="s">
        <v>3253</v>
      </c>
      <c r="F202" s="250" t="s">
        <v>3254</v>
      </c>
      <c r="G202" s="250" t="s">
        <v>3255</v>
      </c>
      <c r="H202" s="250" t="s">
        <v>3256</v>
      </c>
      <c r="I202" s="250" t="s">
        <v>3257</v>
      </c>
      <c r="J202" s="250" t="s">
        <v>3258</v>
      </c>
    </row>
    <row r="203" spans="1:10" x14ac:dyDescent="0.3">
      <c r="A203" s="250" t="s">
        <v>581</v>
      </c>
      <c r="E203" s="250" t="s">
        <v>3259</v>
      </c>
      <c r="F203" s="250" t="s">
        <v>3260</v>
      </c>
      <c r="G203" s="250" t="s">
        <v>3261</v>
      </c>
      <c r="H203" s="250" t="s">
        <v>3262</v>
      </c>
      <c r="I203" s="250" t="s">
        <v>3263</v>
      </c>
      <c r="J203" s="250" t="s">
        <v>3264</v>
      </c>
    </row>
    <row r="204" spans="1:10" x14ac:dyDescent="0.3">
      <c r="A204" s="250" t="s">
        <v>581</v>
      </c>
      <c r="E204" s="250" t="s">
        <v>3265</v>
      </c>
      <c r="F204" s="250" t="s">
        <v>3266</v>
      </c>
      <c r="G204" s="250" t="s">
        <v>3267</v>
      </c>
      <c r="H204" s="250" t="s">
        <v>3268</v>
      </c>
      <c r="I204" s="250" t="s">
        <v>3269</v>
      </c>
      <c r="J204" s="250" t="s">
        <v>3270</v>
      </c>
    </row>
    <row r="205" spans="1:10" x14ac:dyDescent="0.3">
      <c r="A205" s="250" t="s">
        <v>581</v>
      </c>
      <c r="E205" s="250" t="s">
        <v>3271</v>
      </c>
      <c r="F205" s="250" t="s">
        <v>3272</v>
      </c>
      <c r="G205" s="250" t="s">
        <v>3273</v>
      </c>
      <c r="H205" s="250" t="s">
        <v>3274</v>
      </c>
      <c r="I205" s="250" t="s">
        <v>3275</v>
      </c>
      <c r="J205" s="250" t="s">
        <v>3276</v>
      </c>
    </row>
    <row r="206" spans="1:10" x14ac:dyDescent="0.3">
      <c r="A206" s="250" t="s">
        <v>581</v>
      </c>
      <c r="E206" s="250" t="s">
        <v>3277</v>
      </c>
      <c r="F206" s="250" t="s">
        <v>3278</v>
      </c>
      <c r="G206" s="250" t="s">
        <v>3279</v>
      </c>
      <c r="H206" s="250" t="s">
        <v>3280</v>
      </c>
      <c r="I206" s="250" t="s">
        <v>3281</v>
      </c>
      <c r="J206" s="250" t="s">
        <v>3282</v>
      </c>
    </row>
    <row r="207" spans="1:10" x14ac:dyDescent="0.3">
      <c r="A207" s="250" t="s">
        <v>581</v>
      </c>
      <c r="E207" s="250" t="s">
        <v>3283</v>
      </c>
      <c r="F207" s="250" t="s">
        <v>3284</v>
      </c>
      <c r="G207" s="250" t="s">
        <v>3285</v>
      </c>
      <c r="H207" s="250" t="s">
        <v>3286</v>
      </c>
      <c r="I207" s="250" t="s">
        <v>3287</v>
      </c>
      <c r="J207" s="250" t="s">
        <v>3288</v>
      </c>
    </row>
    <row r="208" spans="1:10" x14ac:dyDescent="0.3">
      <c r="A208" s="250" t="s">
        <v>581</v>
      </c>
      <c r="E208" s="250" t="s">
        <v>3289</v>
      </c>
      <c r="F208" s="250" t="s">
        <v>3290</v>
      </c>
      <c r="G208" s="250" t="s">
        <v>3291</v>
      </c>
      <c r="H208" s="250" t="s">
        <v>3292</v>
      </c>
      <c r="I208" s="250" t="s">
        <v>3293</v>
      </c>
      <c r="J208" s="250" t="s">
        <v>3294</v>
      </c>
    </row>
    <row r="209" spans="1:10" x14ac:dyDescent="0.3">
      <c r="A209" s="250" t="s">
        <v>581</v>
      </c>
      <c r="E209" s="250" t="s">
        <v>3295</v>
      </c>
      <c r="F209" s="250" t="s">
        <v>3296</v>
      </c>
      <c r="G209" s="250" t="s">
        <v>3297</v>
      </c>
      <c r="H209" s="250" t="s">
        <v>3298</v>
      </c>
      <c r="I209" s="250" t="s">
        <v>3299</v>
      </c>
      <c r="J209" s="250" t="s">
        <v>3300</v>
      </c>
    </row>
    <row r="210" spans="1:10" x14ac:dyDescent="0.3">
      <c r="A210" s="250" t="s">
        <v>581</v>
      </c>
      <c r="E210" s="250" t="s">
        <v>3301</v>
      </c>
      <c r="F210" s="250" t="s">
        <v>3302</v>
      </c>
      <c r="G210" s="250" t="s">
        <v>3303</v>
      </c>
      <c r="H210" s="250" t="s">
        <v>3304</v>
      </c>
      <c r="I210" s="250" t="s">
        <v>3305</v>
      </c>
      <c r="J210" s="250" t="s">
        <v>3306</v>
      </c>
    </row>
    <row r="211" spans="1:10" x14ac:dyDescent="0.3">
      <c r="A211" s="250" t="s">
        <v>581</v>
      </c>
      <c r="E211" s="250" t="s">
        <v>3307</v>
      </c>
      <c r="F211" s="250" t="s">
        <v>3308</v>
      </c>
      <c r="G211" s="250" t="s">
        <v>3309</v>
      </c>
      <c r="H211" s="250" t="s">
        <v>3310</v>
      </c>
      <c r="I211" s="250" t="s">
        <v>3311</v>
      </c>
      <c r="J211" s="250" t="s">
        <v>3312</v>
      </c>
    </row>
    <row r="212" spans="1:10" x14ac:dyDescent="0.3">
      <c r="A212" s="250" t="s">
        <v>581</v>
      </c>
      <c r="E212" s="250" t="s">
        <v>3313</v>
      </c>
      <c r="F212" s="250" t="s">
        <v>3314</v>
      </c>
      <c r="G212" s="250" t="s">
        <v>3315</v>
      </c>
      <c r="H212" s="250" t="s">
        <v>3316</v>
      </c>
      <c r="I212" s="250" t="s">
        <v>3317</v>
      </c>
      <c r="J212" s="250" t="s">
        <v>3318</v>
      </c>
    </row>
    <row r="213" spans="1:10" x14ac:dyDescent="0.3">
      <c r="A213" s="250" t="s">
        <v>581</v>
      </c>
      <c r="E213" s="250" t="s">
        <v>3319</v>
      </c>
      <c r="F213" s="250" t="s">
        <v>3320</v>
      </c>
      <c r="G213" s="250" t="s">
        <v>3321</v>
      </c>
      <c r="H213" s="250" t="s">
        <v>3322</v>
      </c>
      <c r="I213" s="250" t="s">
        <v>3323</v>
      </c>
      <c r="J213" s="250" t="s">
        <v>3324</v>
      </c>
    </row>
    <row r="214" spans="1:10" x14ac:dyDescent="0.3">
      <c r="A214" s="250" t="s">
        <v>581</v>
      </c>
      <c r="E214" s="250" t="s">
        <v>3325</v>
      </c>
      <c r="F214" s="250" t="s">
        <v>3326</v>
      </c>
      <c r="G214" s="250" t="s">
        <v>3327</v>
      </c>
      <c r="H214" s="250" t="s">
        <v>3328</v>
      </c>
      <c r="I214" s="250" t="s">
        <v>3329</v>
      </c>
      <c r="J214" s="250" t="s">
        <v>3330</v>
      </c>
    </row>
    <row r="215" spans="1:10" x14ac:dyDescent="0.3">
      <c r="A215" s="250" t="s">
        <v>581</v>
      </c>
      <c r="E215" s="250" t="s">
        <v>3331</v>
      </c>
      <c r="F215" s="250" t="s">
        <v>3332</v>
      </c>
      <c r="G215" s="250" t="s">
        <v>3333</v>
      </c>
      <c r="H215" s="250" t="s">
        <v>3334</v>
      </c>
      <c r="I215" s="250" t="s">
        <v>3335</v>
      </c>
      <c r="J215" s="250" t="s">
        <v>3336</v>
      </c>
    </row>
    <row r="216" spans="1:10" x14ac:dyDescent="0.3">
      <c r="A216" s="250" t="s">
        <v>581</v>
      </c>
      <c r="E216" s="250" t="s">
        <v>3337</v>
      </c>
      <c r="F216" s="250" t="s">
        <v>3338</v>
      </c>
      <c r="G216" s="250" t="s">
        <v>3339</v>
      </c>
      <c r="H216" s="250" t="s">
        <v>3340</v>
      </c>
      <c r="I216" s="250" t="s">
        <v>3341</v>
      </c>
      <c r="J216" s="250" t="s">
        <v>3342</v>
      </c>
    </row>
    <row r="217" spans="1:10" x14ac:dyDescent="0.3">
      <c r="A217" s="250" t="s">
        <v>581</v>
      </c>
      <c r="E217" s="250" t="s">
        <v>3343</v>
      </c>
      <c r="F217" s="250" t="s">
        <v>3344</v>
      </c>
      <c r="G217" s="250" t="s">
        <v>3345</v>
      </c>
      <c r="H217" s="250" t="s">
        <v>3346</v>
      </c>
      <c r="I217" s="250" t="s">
        <v>3347</v>
      </c>
      <c r="J217" s="250" t="s">
        <v>3348</v>
      </c>
    </row>
    <row r="218" spans="1:10" x14ac:dyDescent="0.3">
      <c r="A218" s="250" t="s">
        <v>581</v>
      </c>
      <c r="E218" s="250" t="s">
        <v>3349</v>
      </c>
      <c r="F218" s="250" t="s">
        <v>3350</v>
      </c>
      <c r="G218" s="250" t="s">
        <v>3351</v>
      </c>
      <c r="H218" s="250" t="s">
        <v>3352</v>
      </c>
      <c r="I218" s="250" t="s">
        <v>3353</v>
      </c>
      <c r="J218" s="250" t="s">
        <v>3354</v>
      </c>
    </row>
    <row r="219" spans="1:10" x14ac:dyDescent="0.3">
      <c r="A219" s="250" t="s">
        <v>581</v>
      </c>
      <c r="E219" s="250" t="s">
        <v>3355</v>
      </c>
      <c r="F219" s="250" t="s">
        <v>3356</v>
      </c>
      <c r="G219" s="250" t="s">
        <v>3357</v>
      </c>
      <c r="H219" s="250" t="s">
        <v>3358</v>
      </c>
      <c r="I219" s="250" t="s">
        <v>3359</v>
      </c>
      <c r="J219" s="250" t="s">
        <v>3360</v>
      </c>
    </row>
    <row r="220" spans="1:10" x14ac:dyDescent="0.3">
      <c r="A220" s="250" t="s">
        <v>581</v>
      </c>
      <c r="E220" s="250" t="s">
        <v>3361</v>
      </c>
      <c r="F220" s="250" t="s">
        <v>3362</v>
      </c>
      <c r="G220" s="250" t="s">
        <v>3363</v>
      </c>
      <c r="H220" s="250" t="s">
        <v>3364</v>
      </c>
      <c r="I220" s="250" t="s">
        <v>3365</v>
      </c>
      <c r="J220" s="250" t="s">
        <v>3366</v>
      </c>
    </row>
    <row r="221" spans="1:10" x14ac:dyDescent="0.3">
      <c r="A221" s="250" t="s">
        <v>581</v>
      </c>
      <c r="E221" s="250" t="s">
        <v>3367</v>
      </c>
      <c r="F221" s="250" t="s">
        <v>3368</v>
      </c>
      <c r="G221" s="250" t="s">
        <v>3369</v>
      </c>
      <c r="H221" s="250" t="s">
        <v>3370</v>
      </c>
      <c r="I221" s="250" t="s">
        <v>3371</v>
      </c>
      <c r="J221" s="250" t="s">
        <v>3372</v>
      </c>
    </row>
    <row r="222" spans="1:10" x14ac:dyDescent="0.3">
      <c r="A222" s="250" t="s">
        <v>581</v>
      </c>
      <c r="E222" s="250" t="s">
        <v>3373</v>
      </c>
      <c r="F222" s="250" t="s">
        <v>3374</v>
      </c>
      <c r="G222" s="250" t="s">
        <v>3375</v>
      </c>
      <c r="H222" s="250" t="s">
        <v>3376</v>
      </c>
      <c r="I222" s="250" t="s">
        <v>3377</v>
      </c>
      <c r="J222" s="250" t="s">
        <v>3378</v>
      </c>
    </row>
    <row r="223" spans="1:10" x14ac:dyDescent="0.3">
      <c r="A223" s="250" t="s">
        <v>581</v>
      </c>
      <c r="E223" s="250" t="s">
        <v>3379</v>
      </c>
      <c r="F223" s="250" t="s">
        <v>3380</v>
      </c>
      <c r="G223" s="250" t="s">
        <v>3381</v>
      </c>
      <c r="H223" s="250" t="s">
        <v>3382</v>
      </c>
      <c r="I223" s="250" t="s">
        <v>3383</v>
      </c>
      <c r="J223" s="250" t="s">
        <v>3384</v>
      </c>
    </row>
    <row r="224" spans="1:10" x14ac:dyDescent="0.3">
      <c r="A224" s="250" t="s">
        <v>581</v>
      </c>
      <c r="E224" s="250" t="s">
        <v>3385</v>
      </c>
      <c r="F224" s="250" t="s">
        <v>3386</v>
      </c>
      <c r="G224" s="250" t="s">
        <v>3387</v>
      </c>
      <c r="H224" s="250" t="s">
        <v>3388</v>
      </c>
      <c r="I224" s="250" t="s">
        <v>3389</v>
      </c>
      <c r="J224" s="250" t="s">
        <v>3390</v>
      </c>
    </row>
    <row r="225" spans="1:10" x14ac:dyDescent="0.3">
      <c r="A225" s="250" t="s">
        <v>581</v>
      </c>
      <c r="E225" s="250" t="s">
        <v>3391</v>
      </c>
      <c r="F225" s="250" t="s">
        <v>3392</v>
      </c>
      <c r="G225" s="250" t="s">
        <v>3393</v>
      </c>
      <c r="H225" s="250" t="s">
        <v>3394</v>
      </c>
      <c r="I225" s="250" t="s">
        <v>3395</v>
      </c>
      <c r="J225" s="250" t="s">
        <v>3396</v>
      </c>
    </row>
    <row r="226" spans="1:10" x14ac:dyDescent="0.3">
      <c r="A226" s="250" t="s">
        <v>581</v>
      </c>
      <c r="E226" s="250" t="s">
        <v>3397</v>
      </c>
      <c r="F226" s="250" t="s">
        <v>3398</v>
      </c>
      <c r="G226" s="250" t="s">
        <v>3399</v>
      </c>
      <c r="H226" s="250" t="s">
        <v>3400</v>
      </c>
      <c r="I226" s="250" t="s">
        <v>3401</v>
      </c>
      <c r="J226" s="250" t="s">
        <v>3402</v>
      </c>
    </row>
    <row r="227" spans="1:10" x14ac:dyDescent="0.3">
      <c r="A227" s="250" t="s">
        <v>581</v>
      </c>
      <c r="E227" s="250" t="s">
        <v>3403</v>
      </c>
      <c r="F227" s="250" t="s">
        <v>3404</v>
      </c>
      <c r="G227" s="250" t="s">
        <v>3405</v>
      </c>
      <c r="H227" s="250" t="s">
        <v>3406</v>
      </c>
      <c r="I227" s="250" t="s">
        <v>3407</v>
      </c>
      <c r="J227" s="250" t="s">
        <v>3408</v>
      </c>
    </row>
    <row r="228" spans="1:10" x14ac:dyDescent="0.3">
      <c r="A228" s="250" t="s">
        <v>581</v>
      </c>
      <c r="E228" s="250" t="s">
        <v>3409</v>
      </c>
      <c r="F228" s="250" t="s">
        <v>3410</v>
      </c>
      <c r="G228" s="250" t="s">
        <v>3411</v>
      </c>
      <c r="H228" s="250" t="s">
        <v>3412</v>
      </c>
      <c r="I228" s="250" t="s">
        <v>3413</v>
      </c>
      <c r="J228" s="250" t="s">
        <v>3414</v>
      </c>
    </row>
    <row r="230" spans="1:10" x14ac:dyDescent="0.3">
      <c r="C230" s="250" t="s">
        <v>486</v>
      </c>
      <c r="E230" s="250" t="s">
        <v>3415</v>
      </c>
      <c r="J230" s="250" t="s">
        <v>3416</v>
      </c>
    </row>
    <row r="231" spans="1:10" x14ac:dyDescent="0.3">
      <c r="E231" s="250" t="s">
        <v>3417</v>
      </c>
      <c r="F231" s="250" t="s">
        <v>3418</v>
      </c>
      <c r="G231" s="250" t="s">
        <v>3419</v>
      </c>
      <c r="H231" s="250" t="s">
        <v>3420</v>
      </c>
      <c r="I231" s="250" t="s">
        <v>3421</v>
      </c>
      <c r="J231" s="250" t="s">
        <v>3422</v>
      </c>
    </row>
    <row r="233" spans="1:10" x14ac:dyDescent="0.3">
      <c r="C233" s="250" t="s">
        <v>495</v>
      </c>
      <c r="E233" s="250" t="s">
        <v>3423</v>
      </c>
      <c r="J233" s="250" t="s">
        <v>3424</v>
      </c>
    </row>
    <row r="234" spans="1:10" x14ac:dyDescent="0.3">
      <c r="E234" s="250" t="s">
        <v>3425</v>
      </c>
      <c r="F234" s="250" t="s">
        <v>3426</v>
      </c>
      <c r="G234" s="250" t="s">
        <v>3427</v>
      </c>
      <c r="H234" s="250" t="s">
        <v>3428</v>
      </c>
      <c r="I234" s="250" t="s">
        <v>3429</v>
      </c>
      <c r="J234" s="250" t="s">
        <v>3430</v>
      </c>
    </row>
    <row r="236" spans="1:10" x14ac:dyDescent="0.3">
      <c r="C236" s="250" t="s">
        <v>504</v>
      </c>
      <c r="E236" s="250" t="s">
        <v>3431</v>
      </c>
      <c r="J236" s="250" t="s">
        <v>3432</v>
      </c>
    </row>
    <row r="237" spans="1:10" x14ac:dyDescent="0.3">
      <c r="E237" s="250" t="s">
        <v>3433</v>
      </c>
      <c r="F237" s="250" t="s">
        <v>3434</v>
      </c>
      <c r="G237" s="250" t="s">
        <v>3435</v>
      </c>
      <c r="H237" s="250" t="s">
        <v>3436</v>
      </c>
      <c r="I237" s="250" t="s">
        <v>3437</v>
      </c>
      <c r="J237" s="250" t="s">
        <v>3438</v>
      </c>
    </row>
    <row r="238" spans="1:10" x14ac:dyDescent="0.3">
      <c r="A238" s="250" t="s">
        <v>581</v>
      </c>
      <c r="E238" s="250" t="s">
        <v>3439</v>
      </c>
      <c r="F238" s="250" t="s">
        <v>3440</v>
      </c>
      <c r="G238" s="250" t="s">
        <v>3441</v>
      </c>
      <c r="H238" s="250" t="s">
        <v>3442</v>
      </c>
      <c r="I238" s="250" t="s">
        <v>3443</v>
      </c>
      <c r="J238" s="250" t="s">
        <v>3444</v>
      </c>
    </row>
    <row r="239" spans="1:10" x14ac:dyDescent="0.3">
      <c r="A239" s="250" t="s">
        <v>581</v>
      </c>
      <c r="E239" s="250" t="s">
        <v>3445</v>
      </c>
      <c r="F239" s="250" t="s">
        <v>3446</v>
      </c>
      <c r="G239" s="250" t="s">
        <v>3447</v>
      </c>
      <c r="H239" s="250" t="s">
        <v>3448</v>
      </c>
      <c r="I239" s="250" t="s">
        <v>3449</v>
      </c>
      <c r="J239" s="250" t="s">
        <v>3450</v>
      </c>
    </row>
    <row r="240" spans="1:10" x14ac:dyDescent="0.3">
      <c r="A240" s="250" t="s">
        <v>581</v>
      </c>
      <c r="E240" s="250" t="s">
        <v>3451</v>
      </c>
      <c r="F240" s="250" t="s">
        <v>3452</v>
      </c>
      <c r="G240" s="250" t="s">
        <v>3453</v>
      </c>
      <c r="H240" s="250" t="s">
        <v>3454</v>
      </c>
      <c r="I240" s="250" t="s">
        <v>3455</v>
      </c>
      <c r="J240" s="250" t="s">
        <v>3456</v>
      </c>
    </row>
    <row r="241" spans="1:10" x14ac:dyDescent="0.3">
      <c r="A241" s="250" t="s">
        <v>581</v>
      </c>
      <c r="E241" s="250" t="s">
        <v>3457</v>
      </c>
      <c r="F241" s="250" t="s">
        <v>3458</v>
      </c>
      <c r="G241" s="250" t="s">
        <v>3459</v>
      </c>
      <c r="H241" s="250" t="s">
        <v>3460</v>
      </c>
      <c r="I241" s="250" t="s">
        <v>3461</v>
      </c>
      <c r="J241" s="250" t="s">
        <v>3462</v>
      </c>
    </row>
    <row r="244" spans="1:10" x14ac:dyDescent="0.3">
      <c r="I244" s="250" t="s">
        <v>51</v>
      </c>
      <c r="J244" s="250" t="s">
        <v>3463</v>
      </c>
    </row>
    <row r="246" spans="1:10" x14ac:dyDescent="0.3">
      <c r="E246" s="250" t="s">
        <v>52</v>
      </c>
    </row>
    <row r="247" spans="1:10" x14ac:dyDescent="0.3">
      <c r="C247" s="250" t="s">
        <v>514</v>
      </c>
      <c r="E247" s="250" t="s">
        <v>3464</v>
      </c>
      <c r="J247" s="250" t="s">
        <v>3465</v>
      </c>
    </row>
    <row r="248" spans="1:10" x14ac:dyDescent="0.3">
      <c r="E248" s="250" t="s">
        <v>3466</v>
      </c>
      <c r="F248" s="250" t="s">
        <v>3467</v>
      </c>
      <c r="G248" s="250" t="s">
        <v>3468</v>
      </c>
      <c r="H248" s="250" t="s">
        <v>3469</v>
      </c>
      <c r="I248" s="250" t="s">
        <v>3470</v>
      </c>
      <c r="J248" s="250" t="s">
        <v>3471</v>
      </c>
    </row>
    <row r="249" spans="1:10" x14ac:dyDescent="0.3">
      <c r="A249" s="250" t="s">
        <v>581</v>
      </c>
      <c r="E249" s="250" t="s">
        <v>3472</v>
      </c>
      <c r="F249" s="250" t="s">
        <v>3473</v>
      </c>
      <c r="G249" s="250" t="s">
        <v>3474</v>
      </c>
      <c r="H249" s="250" t="s">
        <v>3475</v>
      </c>
      <c r="I249" s="250" t="s">
        <v>3476</v>
      </c>
      <c r="J249" s="250" t="s">
        <v>3477</v>
      </c>
    </row>
    <row r="250" spans="1:10" x14ac:dyDescent="0.3">
      <c r="A250" s="250" t="s">
        <v>581</v>
      </c>
      <c r="E250" s="250" t="s">
        <v>3478</v>
      </c>
      <c r="F250" s="250" t="s">
        <v>3479</v>
      </c>
      <c r="G250" s="250" t="s">
        <v>3480</v>
      </c>
      <c r="H250" s="250" t="s">
        <v>3481</v>
      </c>
      <c r="I250" s="250" t="s">
        <v>3482</v>
      </c>
      <c r="J250" s="250" t="s">
        <v>3483</v>
      </c>
    </row>
    <row r="251" spans="1:10" x14ac:dyDescent="0.3">
      <c r="A251" s="250" t="s">
        <v>581</v>
      </c>
      <c r="E251" s="250" t="s">
        <v>3484</v>
      </c>
      <c r="F251" s="250" t="s">
        <v>3485</v>
      </c>
      <c r="G251" s="250" t="s">
        <v>3486</v>
      </c>
      <c r="H251" s="250" t="s">
        <v>3487</v>
      </c>
      <c r="I251" s="250" t="s">
        <v>3488</v>
      </c>
      <c r="J251" s="250" t="s">
        <v>3489</v>
      </c>
    </row>
    <row r="253" spans="1:10" x14ac:dyDescent="0.3">
      <c r="I253" s="250" t="s">
        <v>53</v>
      </c>
      <c r="J253" s="250" t="s">
        <v>3490</v>
      </c>
    </row>
    <row r="256" spans="1:10" x14ac:dyDescent="0.3">
      <c r="E256" s="250" t="s">
        <v>54</v>
      </c>
      <c r="J256" s="250" t="s">
        <v>3491</v>
      </c>
    </row>
    <row r="258" spans="1:10" x14ac:dyDescent="0.3">
      <c r="E258" s="250" t="s">
        <v>55</v>
      </c>
    </row>
    <row r="259" spans="1:10" x14ac:dyDescent="0.3">
      <c r="C259" s="250" t="s">
        <v>525</v>
      </c>
      <c r="E259" s="250" t="s">
        <v>3492</v>
      </c>
      <c r="J259" s="250" t="s">
        <v>3493</v>
      </c>
    </row>
    <row r="260" spans="1:10" x14ac:dyDescent="0.3">
      <c r="E260" s="250" t="s">
        <v>3494</v>
      </c>
      <c r="F260" s="250" t="s">
        <v>3495</v>
      </c>
      <c r="G260" s="250" t="s">
        <v>3496</v>
      </c>
      <c r="H260" s="250" t="s">
        <v>3497</v>
      </c>
      <c r="I260" s="250" t="s">
        <v>3498</v>
      </c>
      <c r="J260" s="250" t="s">
        <v>3499</v>
      </c>
    </row>
    <row r="262" spans="1:10" x14ac:dyDescent="0.3">
      <c r="C262" s="250" t="s">
        <v>534</v>
      </c>
      <c r="E262" s="250" t="s">
        <v>3500</v>
      </c>
      <c r="J262" s="250" t="s">
        <v>3501</v>
      </c>
    </row>
    <row r="263" spans="1:10" x14ac:dyDescent="0.3">
      <c r="E263" s="250" t="s">
        <v>3502</v>
      </c>
      <c r="F263" s="250" t="s">
        <v>3503</v>
      </c>
      <c r="G263" s="250" t="s">
        <v>3504</v>
      </c>
      <c r="H263" s="250" t="s">
        <v>3505</v>
      </c>
      <c r="I263" s="250" t="s">
        <v>3506</v>
      </c>
      <c r="J263" s="250" t="s">
        <v>3507</v>
      </c>
    </row>
    <row r="265" spans="1:10" x14ac:dyDescent="0.3">
      <c r="C265" s="250" t="s">
        <v>543</v>
      </c>
      <c r="E265" s="250" t="s">
        <v>3508</v>
      </c>
      <c r="J265" s="250" t="s">
        <v>3509</v>
      </c>
    </row>
    <row r="266" spans="1:10" x14ac:dyDescent="0.3">
      <c r="E266" s="250" t="s">
        <v>3510</v>
      </c>
      <c r="F266" s="250" t="s">
        <v>3511</v>
      </c>
      <c r="G266" s="250" t="s">
        <v>3512</v>
      </c>
      <c r="H266" s="250" t="s">
        <v>3513</v>
      </c>
      <c r="I266" s="250" t="s">
        <v>3514</v>
      </c>
      <c r="J266" s="250" t="s">
        <v>3515</v>
      </c>
    </row>
    <row r="267" spans="1:10" x14ac:dyDescent="0.3">
      <c r="A267" s="250" t="s">
        <v>581</v>
      </c>
      <c r="E267" s="250" t="s">
        <v>3516</v>
      </c>
      <c r="F267" s="250" t="s">
        <v>3517</v>
      </c>
      <c r="G267" s="250" t="s">
        <v>3518</v>
      </c>
      <c r="H267" s="250" t="s">
        <v>3519</v>
      </c>
      <c r="I267" s="250" t="s">
        <v>3520</v>
      </c>
      <c r="J267" s="250" t="s">
        <v>3521</v>
      </c>
    </row>
    <row r="269" spans="1:10" x14ac:dyDescent="0.3">
      <c r="C269" s="250" t="s">
        <v>61</v>
      </c>
      <c r="E269" s="250" t="s">
        <v>60</v>
      </c>
      <c r="J269" s="250" t="s">
        <v>3522</v>
      </c>
    </row>
    <row r="271" spans="1:10" x14ac:dyDescent="0.3">
      <c r="E271" s="250" t="s">
        <v>56</v>
      </c>
      <c r="J271" s="250" t="s">
        <v>3523</v>
      </c>
    </row>
    <row r="273" spans="2:10" x14ac:dyDescent="0.3">
      <c r="E273" s="250" t="s">
        <v>57</v>
      </c>
      <c r="J273" s="250" t="s">
        <v>3524</v>
      </c>
    </row>
    <row r="275" spans="2:10" x14ac:dyDescent="0.3">
      <c r="B275" s="250" t="s">
        <v>3525</v>
      </c>
      <c r="C275" s="250" t="s">
        <v>159</v>
      </c>
      <c r="E275" s="250" t="s">
        <v>158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heetViews>
  <sheetFormatPr defaultRowHeight="16.5" x14ac:dyDescent="0.3"/>
  <sheetData>
    <row r="1" spans="1:10" x14ac:dyDescent="0.3">
      <c r="A1" s="250" t="s">
        <v>3569</v>
      </c>
    </row>
    <row r="3" spans="1:10" x14ac:dyDescent="0.3">
      <c r="C3" s="250" t="s">
        <v>146</v>
      </c>
    </row>
    <row r="5" spans="1:10" x14ac:dyDescent="0.3">
      <c r="C5" s="250" t="s">
        <v>148</v>
      </c>
    </row>
    <row r="6" spans="1:10" x14ac:dyDescent="0.3">
      <c r="C6" s="250" t="s">
        <v>149</v>
      </c>
    </row>
    <row r="7" spans="1:10" x14ac:dyDescent="0.3">
      <c r="C7" s="250" t="s">
        <v>147</v>
      </c>
    </row>
    <row r="8" spans="1:10" x14ac:dyDescent="0.3">
      <c r="C8" s="250" t="s">
        <v>150</v>
      </c>
    </row>
    <row r="10" spans="1:10" x14ac:dyDescent="0.3">
      <c r="C10" s="250" t="s">
        <v>66</v>
      </c>
      <c r="D10" s="250" t="s">
        <v>92</v>
      </c>
      <c r="E10" s="250" t="s">
        <v>67</v>
      </c>
      <c r="F10" s="250" t="s">
        <v>68</v>
      </c>
      <c r="G10" s="250" t="s">
        <v>69</v>
      </c>
      <c r="H10" s="250" t="s">
        <v>16</v>
      </c>
      <c r="I10" s="250" t="s">
        <v>70</v>
      </c>
      <c r="J10" s="250" t="s">
        <v>71</v>
      </c>
    </row>
    <row r="11" spans="1:10" x14ac:dyDescent="0.3">
      <c r="C11" s="250" t="s">
        <v>72</v>
      </c>
      <c r="D11" s="250" t="s">
        <v>357</v>
      </c>
      <c r="E11" s="250" t="s">
        <v>38</v>
      </c>
      <c r="F11" s="250" t="s">
        <v>3554</v>
      </c>
    </row>
    <row r="12" spans="1:10" x14ac:dyDescent="0.3">
      <c r="C12" s="250" t="s">
        <v>73</v>
      </c>
      <c r="D12" s="250" t="s">
        <v>357</v>
      </c>
      <c r="E12" s="250" t="s">
        <v>62</v>
      </c>
      <c r="F12" s="250" t="s">
        <v>556</v>
      </c>
      <c r="G12" s="250" t="s">
        <v>3555</v>
      </c>
      <c r="I12" s="250" t="s">
        <v>3549</v>
      </c>
    </row>
    <row r="13" spans="1:10" x14ac:dyDescent="0.3">
      <c r="C13" s="250" t="s">
        <v>91</v>
      </c>
      <c r="D13" s="250" t="s">
        <v>357</v>
      </c>
      <c r="E13" s="250" t="s">
        <v>82</v>
      </c>
      <c r="F13" s="250" t="s">
        <v>557</v>
      </c>
      <c r="G13" s="250" t="s">
        <v>558</v>
      </c>
      <c r="I13" s="250" t="s">
        <v>559</v>
      </c>
    </row>
    <row r="14" spans="1:10" x14ac:dyDescent="0.3">
      <c r="C14" s="250" t="s">
        <v>74</v>
      </c>
      <c r="D14" s="250" t="s">
        <v>561</v>
      </c>
      <c r="E14" s="250" t="s">
        <v>63</v>
      </c>
      <c r="F14" s="250" t="s">
        <v>560</v>
      </c>
    </row>
    <row r="15" spans="1:10" x14ac:dyDescent="0.3">
      <c r="C15" s="250" t="s">
        <v>514</v>
      </c>
      <c r="D15" s="250" t="s">
        <v>561</v>
      </c>
      <c r="E15" s="250" t="s">
        <v>64</v>
      </c>
      <c r="F15" s="250" t="s">
        <v>562</v>
      </c>
    </row>
    <row r="16" spans="1:10" x14ac:dyDescent="0.3">
      <c r="C16" s="250" t="s">
        <v>120</v>
      </c>
      <c r="D16" s="250" t="s">
        <v>561</v>
      </c>
      <c r="E16" s="250" t="s">
        <v>83</v>
      </c>
      <c r="F16" s="250" t="s">
        <v>563</v>
      </c>
    </row>
    <row r="17" spans="3:10" x14ac:dyDescent="0.3">
      <c r="C17" s="250" t="s">
        <v>153</v>
      </c>
      <c r="D17" s="250" t="s">
        <v>561</v>
      </c>
      <c r="E17" s="250" t="s">
        <v>75</v>
      </c>
      <c r="F17" s="250" t="s">
        <v>564</v>
      </c>
    </row>
    <row r="18" spans="3:10" x14ac:dyDescent="0.3">
      <c r="C18" s="250" t="s">
        <v>152</v>
      </c>
      <c r="D18" s="250" t="s">
        <v>561</v>
      </c>
      <c r="E18" s="250" t="s">
        <v>84</v>
      </c>
      <c r="F18" s="250" t="s">
        <v>565</v>
      </c>
    </row>
    <row r="19" spans="3:10" x14ac:dyDescent="0.3">
      <c r="C19" s="250" t="s">
        <v>61</v>
      </c>
      <c r="D19" s="250" t="s">
        <v>561</v>
      </c>
      <c r="E19" s="250" t="s">
        <v>86</v>
      </c>
      <c r="G19" s="250" t="s">
        <v>3556</v>
      </c>
      <c r="H19" s="250" t="s">
        <v>3557</v>
      </c>
    </row>
    <row r="20" spans="3:10" x14ac:dyDescent="0.3">
      <c r="C20" s="250" t="s">
        <v>393</v>
      </c>
      <c r="D20" s="250" t="s">
        <v>357</v>
      </c>
      <c r="E20" s="250" t="s">
        <v>59</v>
      </c>
      <c r="F20" s="250" t="s">
        <v>3558</v>
      </c>
      <c r="G20" s="250" t="s">
        <v>566</v>
      </c>
      <c r="I20" s="250" t="s">
        <v>3550</v>
      </c>
    </row>
    <row r="21" spans="3:10" x14ac:dyDescent="0.3">
      <c r="C21" s="250" t="s">
        <v>375</v>
      </c>
      <c r="D21" s="250" t="s">
        <v>357</v>
      </c>
      <c r="E21" s="250" t="s">
        <v>76</v>
      </c>
      <c r="F21" s="250" t="s">
        <v>567</v>
      </c>
    </row>
    <row r="22" spans="3:10" x14ac:dyDescent="0.3">
      <c r="C22" s="250" t="s">
        <v>77</v>
      </c>
      <c r="D22" s="250" t="s">
        <v>561</v>
      </c>
      <c r="E22" s="250" t="s">
        <v>78</v>
      </c>
      <c r="F22" s="250" t="s">
        <v>568</v>
      </c>
    </row>
    <row r="23" spans="3:10" x14ac:dyDescent="0.3">
      <c r="C23" s="250" t="s">
        <v>459</v>
      </c>
      <c r="D23" s="250" t="s">
        <v>561</v>
      </c>
      <c r="E23" s="250" t="s">
        <v>58</v>
      </c>
      <c r="F23" s="250" t="s">
        <v>569</v>
      </c>
    </row>
    <row r="25" spans="3:10" x14ac:dyDescent="0.3">
      <c r="C25" s="250" t="s">
        <v>79</v>
      </c>
      <c r="D25" s="250" t="s">
        <v>561</v>
      </c>
      <c r="E25" s="250" t="s">
        <v>80</v>
      </c>
      <c r="G25" s="250" t="s">
        <v>3559</v>
      </c>
      <c r="H25" s="250" t="s">
        <v>3560</v>
      </c>
      <c r="J25" s="250" t="s">
        <v>3551</v>
      </c>
    </row>
    <row r="26" spans="3:10" x14ac:dyDescent="0.3">
      <c r="C26" s="250" t="s">
        <v>205</v>
      </c>
      <c r="D26" s="250" t="s">
        <v>357</v>
      </c>
      <c r="E26" s="250" t="s">
        <v>29</v>
      </c>
      <c r="G26" s="250" t="s">
        <v>570</v>
      </c>
      <c r="J26" s="250" t="s">
        <v>571</v>
      </c>
    </row>
    <row r="27" spans="3:10" x14ac:dyDescent="0.3">
      <c r="C27" s="250" t="s">
        <v>90</v>
      </c>
      <c r="D27" s="250" t="s">
        <v>357</v>
      </c>
      <c r="E27" s="250" t="s">
        <v>87</v>
      </c>
      <c r="G27" s="250" t="s">
        <v>572</v>
      </c>
    </row>
    <row r="28" spans="3:10" x14ac:dyDescent="0.3">
      <c r="C28" s="250" t="s">
        <v>145</v>
      </c>
      <c r="D28" s="250" t="s">
        <v>561</v>
      </c>
      <c r="E28" s="250" t="s">
        <v>144</v>
      </c>
      <c r="G28" s="250" t="s">
        <v>573</v>
      </c>
    </row>
    <row r="29" spans="3:10" x14ac:dyDescent="0.3">
      <c r="C29" s="250" t="s">
        <v>315</v>
      </c>
      <c r="D29" s="250" t="s">
        <v>357</v>
      </c>
      <c r="E29" s="250" t="s">
        <v>28</v>
      </c>
      <c r="G29" s="250" t="s">
        <v>574</v>
      </c>
    </row>
    <row r="30" spans="3:10" x14ac:dyDescent="0.3">
      <c r="C30" s="250" t="s">
        <v>141</v>
      </c>
      <c r="D30" s="250" t="s">
        <v>561</v>
      </c>
      <c r="E30" s="250" t="s">
        <v>140</v>
      </c>
      <c r="G30" s="250" t="s">
        <v>575</v>
      </c>
      <c r="J30" s="250" t="s">
        <v>3552</v>
      </c>
    </row>
    <row r="31" spans="3:10" x14ac:dyDescent="0.3">
      <c r="C31" s="250" t="s">
        <v>143</v>
      </c>
      <c r="D31" s="250" t="s">
        <v>561</v>
      </c>
      <c r="E31" s="250" t="s">
        <v>142</v>
      </c>
      <c r="G31" s="250" t="s">
        <v>576</v>
      </c>
      <c r="J31" s="250" t="s">
        <v>577</v>
      </c>
    </row>
    <row r="32" spans="3:10" x14ac:dyDescent="0.3">
      <c r="C32" s="250" t="s">
        <v>271</v>
      </c>
      <c r="D32" s="250" t="s">
        <v>357</v>
      </c>
      <c r="E32" s="250" t="s">
        <v>81</v>
      </c>
      <c r="G32" s="250" t="s">
        <v>578</v>
      </c>
      <c r="J32" s="250" t="s">
        <v>579</v>
      </c>
    </row>
    <row r="33" spans="3:8" x14ac:dyDescent="0.3">
      <c r="C33" s="250" t="s">
        <v>121</v>
      </c>
      <c r="D33" s="250" t="s">
        <v>561</v>
      </c>
      <c r="E33" s="250" t="s">
        <v>85</v>
      </c>
      <c r="G33" s="250" t="s">
        <v>580</v>
      </c>
      <c r="H33" s="250" t="s">
        <v>3561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topLeftCell="B2" workbookViewId="0"/>
  </sheetViews>
  <sheetFormatPr defaultRowHeight="16.5" x14ac:dyDescent="0.3"/>
  <cols>
    <col min="1" max="1" width="28.5" hidden="1" customWidth="1"/>
    <col min="2" max="2" width="20.625" customWidth="1"/>
    <col min="3" max="3" width="17.375" customWidth="1"/>
    <col min="4" max="4" width="22.375" customWidth="1"/>
    <col min="6" max="6" width="24" bestFit="1" customWidth="1"/>
    <col min="7" max="7" width="18.625" bestFit="1" customWidth="1"/>
  </cols>
  <sheetData>
    <row r="1" spans="1:7" hidden="1" x14ac:dyDescent="0.3">
      <c r="A1" t="s">
        <v>3562</v>
      </c>
      <c r="C1" t="s">
        <v>0</v>
      </c>
      <c r="D1" t="s">
        <v>1</v>
      </c>
      <c r="E1" t="s">
        <v>2</v>
      </c>
    </row>
    <row r="3" spans="1:7" x14ac:dyDescent="0.3">
      <c r="C3" s="1" t="s">
        <v>3</v>
      </c>
      <c r="D3" s="2" t="s">
        <v>1</v>
      </c>
    </row>
    <row r="4" spans="1:7" x14ac:dyDescent="0.3">
      <c r="A4" t="s">
        <v>4</v>
      </c>
      <c r="C4" s="3" t="s">
        <v>5</v>
      </c>
      <c r="D4" s="4" t="str">
        <f>"BUDGET3"</f>
        <v>BUDGET3</v>
      </c>
      <c r="E4" t="str">
        <f>"Lookup"</f>
        <v>Lookup</v>
      </c>
      <c r="F4" t="s">
        <v>6</v>
      </c>
      <c r="G4" s="5" t="str">
        <f>"1/1/2014..1/31/2014"</f>
        <v>1/1/2014..1/31/2014</v>
      </c>
    </row>
    <row r="5" spans="1:7" x14ac:dyDescent="0.3">
      <c r="A5" t="s">
        <v>4</v>
      </c>
      <c r="C5" s="3" t="s">
        <v>7</v>
      </c>
      <c r="D5" s="6" t="str">
        <f>"1/1/2014"</f>
        <v>1/1/2014</v>
      </c>
      <c r="F5" t="s">
        <v>8</v>
      </c>
      <c r="G5" s="7">
        <f>End_Date-Start_Date+1</f>
        <v>31</v>
      </c>
    </row>
    <row r="6" spans="1:7" x14ac:dyDescent="0.3">
      <c r="A6" t="s">
        <v>4</v>
      </c>
      <c r="C6" s="8" t="s">
        <v>9</v>
      </c>
      <c r="D6" s="9" t="str">
        <f>"1/31/2014"</f>
        <v>1/31/2014</v>
      </c>
    </row>
    <row r="8" spans="1:7" x14ac:dyDescent="0.3">
      <c r="F8" s="10"/>
    </row>
    <row r="9" spans="1:7" x14ac:dyDescent="0.3">
      <c r="F9" s="10"/>
    </row>
    <row r="11" spans="1:7" x14ac:dyDescent="0.3">
      <c r="C11" s="260" t="s">
        <v>10</v>
      </c>
      <c r="D11" s="260"/>
      <c r="E11" s="260"/>
    </row>
    <row r="12" spans="1:7" x14ac:dyDescent="0.3">
      <c r="C12" s="260"/>
      <c r="D12" s="260"/>
      <c r="E12" s="260"/>
    </row>
    <row r="13" spans="1:7" x14ac:dyDescent="0.3">
      <c r="C13" s="260"/>
      <c r="D13" s="260"/>
      <c r="E13" s="260"/>
    </row>
    <row r="14" spans="1:7" x14ac:dyDescent="0.3">
      <c r="C14" s="260"/>
      <c r="D14" s="260"/>
      <c r="E14" s="260"/>
    </row>
    <row r="15" spans="1:7" x14ac:dyDescent="0.3">
      <c r="C15" s="260"/>
      <c r="D15" s="260"/>
      <c r="E15" s="260"/>
    </row>
    <row r="16" spans="1:7" x14ac:dyDescent="0.3">
      <c r="C16" s="260"/>
      <c r="D16" s="260"/>
      <c r="E16" s="260"/>
    </row>
  </sheetData>
  <mergeCells count="1">
    <mergeCell ref="C11: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showGridLines="0" topLeftCell="B2" workbookViewId="0"/>
  </sheetViews>
  <sheetFormatPr defaultRowHeight="16.5" x14ac:dyDescent="0.3"/>
  <cols>
    <col min="1" max="1" width="9" hidden="1" customWidth="1"/>
    <col min="2" max="2" width="3.625" customWidth="1"/>
    <col min="3" max="3" width="52.5" customWidth="1"/>
    <col min="4" max="4" width="13.375" bestFit="1" customWidth="1"/>
    <col min="5" max="5" width="12.375" bestFit="1" customWidth="1"/>
    <col min="6" max="6" width="11.375" customWidth="1"/>
    <col min="8" max="8" width="52.5" customWidth="1"/>
    <col min="9" max="9" width="16.625" customWidth="1"/>
  </cols>
  <sheetData>
    <row r="1" spans="1:9" hidden="1" x14ac:dyDescent="0.3">
      <c r="A1" s="105" t="s">
        <v>19</v>
      </c>
      <c r="B1" s="105"/>
      <c r="C1" s="105"/>
      <c r="D1" s="105"/>
      <c r="E1" s="105"/>
      <c r="F1" s="105"/>
      <c r="G1" s="105"/>
      <c r="H1" s="105"/>
      <c r="I1" s="105"/>
    </row>
    <row r="2" spans="1:9" x14ac:dyDescent="0.3">
      <c r="A2" s="105"/>
      <c r="B2" s="106"/>
      <c r="C2" s="106"/>
      <c r="D2" s="106"/>
      <c r="E2" s="106"/>
      <c r="F2" s="106"/>
      <c r="G2" s="106"/>
      <c r="H2" s="106"/>
      <c r="I2" s="106"/>
    </row>
    <row r="3" spans="1:9" x14ac:dyDescent="0.3">
      <c r="A3" s="105"/>
      <c r="B3" s="106"/>
      <c r="C3" s="106"/>
      <c r="D3" s="106"/>
      <c r="E3" s="106"/>
      <c r="F3" s="106"/>
      <c r="G3" s="106"/>
      <c r="H3" s="106"/>
      <c r="I3" s="106"/>
    </row>
    <row r="4" spans="1:9" ht="20.25" x14ac:dyDescent="0.3">
      <c r="A4" s="105"/>
      <c r="B4" s="106"/>
      <c r="C4" s="108" t="s">
        <v>93</v>
      </c>
      <c r="D4" s="75"/>
      <c r="E4" s="75"/>
      <c r="F4" s="109"/>
      <c r="G4" s="75"/>
      <c r="H4" s="109"/>
      <c r="I4" s="76" t="str">
        <f>DateFilter</f>
        <v>1/1/2014..1/31/2014</v>
      </c>
    </row>
    <row r="5" spans="1:9" x14ac:dyDescent="0.3">
      <c r="A5" s="105"/>
      <c r="B5" s="106"/>
      <c r="C5" s="106"/>
      <c r="D5" s="106"/>
      <c r="E5" s="106"/>
      <c r="F5" s="106"/>
      <c r="G5" s="107"/>
      <c r="H5" s="106"/>
      <c r="I5" s="106"/>
    </row>
    <row r="6" spans="1:9" x14ac:dyDescent="0.3">
      <c r="A6" s="105"/>
      <c r="B6" s="106"/>
      <c r="C6" s="111" t="s">
        <v>94</v>
      </c>
      <c r="D6" s="112" t="s">
        <v>151</v>
      </c>
      <c r="E6" s="112" t="s">
        <v>95</v>
      </c>
      <c r="F6" s="111"/>
      <c r="G6" s="110"/>
      <c r="H6" s="113" t="s">
        <v>96</v>
      </c>
      <c r="I6" s="113"/>
    </row>
    <row r="7" spans="1:9" x14ac:dyDescent="0.3">
      <c r="A7" s="105"/>
      <c r="B7" s="106"/>
      <c r="C7" s="114" t="s">
        <v>122</v>
      </c>
      <c r="D7" s="115">
        <f>Revenue</f>
        <v>1677971.77</v>
      </c>
      <c r="E7" s="116">
        <f>Budgeted_Revenue</f>
        <v>1691000</v>
      </c>
      <c r="F7" s="116">
        <f>D7-E7</f>
        <v>-13028.229999999981</v>
      </c>
      <c r="G7" s="117"/>
      <c r="H7" s="195" t="s">
        <v>38</v>
      </c>
      <c r="I7" s="196">
        <f>Current_Assets</f>
        <v>2859737.06</v>
      </c>
    </row>
    <row r="8" spans="1:9" x14ac:dyDescent="0.3">
      <c r="A8" s="105"/>
      <c r="B8" s="106"/>
      <c r="C8" s="114" t="s">
        <v>85</v>
      </c>
      <c r="D8" s="115">
        <f>Gross_Profit</f>
        <v>1098689.81</v>
      </c>
      <c r="E8" s="142">
        <f>Budgeted_Gross_Profit</f>
        <v>1030400</v>
      </c>
      <c r="F8" s="116">
        <f>D8-E8</f>
        <v>68289.810000000056</v>
      </c>
      <c r="G8" s="117"/>
      <c r="H8" s="119" t="s">
        <v>62</v>
      </c>
      <c r="I8" s="197">
        <f>Fixed_Assets</f>
        <v>1245567.1599999999</v>
      </c>
    </row>
    <row r="9" spans="1:9" x14ac:dyDescent="0.3">
      <c r="A9" s="105"/>
      <c r="B9" s="106"/>
      <c r="C9" s="114" t="s">
        <v>123</v>
      </c>
      <c r="D9" s="143">
        <f>Revenue/(Revenue-Gross_Profit)</f>
        <v>2.896640817193755</v>
      </c>
      <c r="E9" s="120">
        <f>IFERROR(Budgeted_Revenue/(Budgeted_Revenue-Budgeted_Gross_Profit),0)</f>
        <v>2.5597941265516195</v>
      </c>
      <c r="F9" s="116">
        <f>D9-E9</f>
        <v>0.33684669064213546</v>
      </c>
      <c r="G9" s="117"/>
      <c r="H9" s="121" t="s">
        <v>97</v>
      </c>
      <c r="I9" s="189">
        <f>I8+I7</f>
        <v>4105304.2199999997</v>
      </c>
    </row>
    <row r="10" spans="1:9" x14ac:dyDescent="0.3">
      <c r="A10" s="105"/>
      <c r="B10" s="106"/>
      <c r="C10" s="106"/>
      <c r="D10" s="122"/>
      <c r="E10" s="122"/>
      <c r="F10" s="106"/>
      <c r="G10" s="107"/>
      <c r="H10" s="121"/>
      <c r="I10" s="189"/>
    </row>
    <row r="11" spans="1:9" x14ac:dyDescent="0.3">
      <c r="A11" s="105"/>
      <c r="B11" s="106"/>
      <c r="C11" s="106"/>
      <c r="D11" s="106"/>
      <c r="E11" s="106"/>
      <c r="F11" s="106"/>
      <c r="G11" s="107"/>
      <c r="H11" s="118" t="s">
        <v>63</v>
      </c>
      <c r="I11" s="192">
        <f>Current_Liabilities</f>
        <v>2096088.75</v>
      </c>
    </row>
    <row r="12" spans="1:9" x14ac:dyDescent="0.3">
      <c r="A12" s="105"/>
      <c r="B12" s="106"/>
      <c r="C12" s="123" t="s">
        <v>98</v>
      </c>
      <c r="D12" s="123"/>
      <c r="E12" s="123"/>
      <c r="F12" s="123"/>
      <c r="G12" s="107"/>
      <c r="H12" s="118" t="s">
        <v>64</v>
      </c>
      <c r="I12" s="192">
        <f>Long_Term_Liabilities</f>
        <v>326890.95</v>
      </c>
    </row>
    <row r="13" spans="1:9" x14ac:dyDescent="0.3">
      <c r="A13" s="105"/>
      <c r="B13" s="106"/>
      <c r="C13" s="124" t="s">
        <v>99</v>
      </c>
      <c r="D13" s="125">
        <f>Current_Assets/Current_Liabilities</f>
        <v>1.3643205994975165</v>
      </c>
      <c r="E13" s="125"/>
      <c r="F13" s="124"/>
      <c r="G13" s="107"/>
      <c r="H13" s="119" t="s">
        <v>75</v>
      </c>
      <c r="I13" s="191">
        <f>Equity</f>
        <v>1682324.52</v>
      </c>
    </row>
    <row r="14" spans="1:9" x14ac:dyDescent="0.3">
      <c r="A14" s="105"/>
      <c r="B14" s="106"/>
      <c r="C14" s="124" t="s">
        <v>100</v>
      </c>
      <c r="D14" s="125">
        <f>(Current_Assets-Inventory)/Current_Liabilities</f>
        <v>1.225476912654581</v>
      </c>
      <c r="E14" s="125"/>
      <c r="F14" s="124"/>
      <c r="G14" s="107"/>
      <c r="H14" s="121" t="s">
        <v>101</v>
      </c>
      <c r="I14" s="189">
        <f>Current_Liabilities+Long_Term_Liabilities+Equity</f>
        <v>4105304.22</v>
      </c>
    </row>
    <row r="15" spans="1:9" x14ac:dyDescent="0.3">
      <c r="A15" s="105"/>
      <c r="B15" s="106"/>
      <c r="C15" s="126"/>
      <c r="D15" s="127"/>
      <c r="E15" s="127"/>
      <c r="F15" s="106"/>
      <c r="G15" s="107"/>
      <c r="H15" s="118"/>
      <c r="I15" s="190"/>
    </row>
    <row r="16" spans="1:9" x14ac:dyDescent="0.3">
      <c r="A16" s="105"/>
      <c r="B16" s="106"/>
      <c r="C16" s="106"/>
      <c r="D16" s="106"/>
      <c r="E16" s="127"/>
      <c r="F16" s="106"/>
      <c r="G16" s="107"/>
      <c r="H16" s="118" t="s">
        <v>102</v>
      </c>
      <c r="I16" s="192">
        <f>Equity+Long_Term_Liabilities</f>
        <v>2009215.47</v>
      </c>
    </row>
    <row r="17" spans="1:9" x14ac:dyDescent="0.3">
      <c r="A17" s="105"/>
      <c r="B17" s="106"/>
      <c r="C17" s="113" t="s">
        <v>103</v>
      </c>
      <c r="D17" s="113"/>
      <c r="E17" s="113"/>
      <c r="F17" s="113"/>
      <c r="G17" s="110"/>
      <c r="H17" s="118" t="s">
        <v>104</v>
      </c>
      <c r="I17" s="192">
        <f>Current_Assets-Current_Liabilities</f>
        <v>763648.31</v>
      </c>
    </row>
    <row r="18" spans="1:9" x14ac:dyDescent="0.3">
      <c r="A18" s="105"/>
      <c r="B18" s="106"/>
      <c r="C18" s="118" t="s">
        <v>105</v>
      </c>
      <c r="D18" s="128">
        <f>IF(Interest_Expense=0,0,Operating_Income/Interest_Expense)</f>
        <v>128.74883070631259</v>
      </c>
      <c r="E18" s="128"/>
      <c r="F18" s="118"/>
      <c r="G18" s="107"/>
      <c r="H18" s="106"/>
      <c r="I18" s="106"/>
    </row>
    <row r="19" spans="1:9" x14ac:dyDescent="0.3">
      <c r="A19" s="105"/>
      <c r="B19" s="106"/>
      <c r="C19" s="118" t="s">
        <v>106</v>
      </c>
      <c r="D19" s="129">
        <f>Total_Liabilities/Total_Assets</f>
        <v>0.59020710041313329</v>
      </c>
      <c r="E19" s="130"/>
      <c r="F19" s="118"/>
      <c r="G19" s="107"/>
      <c r="H19" s="106"/>
      <c r="I19" s="106"/>
    </row>
    <row r="20" spans="1:9" x14ac:dyDescent="0.3">
      <c r="A20" s="105"/>
      <c r="B20" s="106"/>
      <c r="C20" s="118" t="s">
        <v>107</v>
      </c>
      <c r="D20" s="129">
        <f>Total_Liabilities/Equity</f>
        <v>1.4402570200902738</v>
      </c>
      <c r="E20" s="131"/>
      <c r="F20" s="118"/>
      <c r="G20" s="107"/>
      <c r="H20" s="132" t="s">
        <v>108</v>
      </c>
      <c r="I20" s="132"/>
    </row>
    <row r="21" spans="1:9" x14ac:dyDescent="0.3">
      <c r="A21" s="105"/>
      <c r="B21" s="106"/>
      <c r="C21" s="118" t="s">
        <v>109</v>
      </c>
      <c r="D21" s="129">
        <f>Long_Term_Liabilities/(Long_Term_Liabilities+Equity)</f>
        <v>0.16269581579520689</v>
      </c>
      <c r="E21" s="131"/>
      <c r="F21" s="118"/>
      <c r="G21" s="107"/>
      <c r="H21" s="105" t="s">
        <v>110</v>
      </c>
      <c r="I21" s="193">
        <f>Accounts_Receivable*365/Annualized_Revenue</f>
        <v>32.427497716484233</v>
      </c>
    </row>
    <row r="22" spans="1:9" x14ac:dyDescent="0.3">
      <c r="A22" s="105"/>
      <c r="B22" s="106"/>
      <c r="C22" s="133"/>
      <c r="D22" s="127"/>
      <c r="E22" s="127"/>
      <c r="F22" s="106"/>
      <c r="G22" s="110"/>
      <c r="H22" s="105" t="s">
        <v>111</v>
      </c>
      <c r="I22" s="193">
        <f>Accounts_Payable*365/COGS_Annualized</f>
        <v>100.19154487393325</v>
      </c>
    </row>
    <row r="23" spans="1:9" x14ac:dyDescent="0.3">
      <c r="A23" s="105"/>
      <c r="B23" s="106"/>
      <c r="C23" s="106"/>
      <c r="D23" s="106"/>
      <c r="E23" s="106"/>
      <c r="F23" s="106"/>
      <c r="G23" s="107"/>
      <c r="H23" s="105" t="s">
        <v>112</v>
      </c>
      <c r="I23" s="193">
        <f>Inventory*365/COGS_Annualized</f>
        <v>15.574262644049886</v>
      </c>
    </row>
    <row r="24" spans="1:9" x14ac:dyDescent="0.3">
      <c r="A24" s="105"/>
      <c r="B24" s="106"/>
      <c r="C24" s="134" t="s">
        <v>113</v>
      </c>
      <c r="D24" s="134"/>
      <c r="E24" s="134"/>
      <c r="F24" s="134"/>
      <c r="G24" s="107"/>
      <c r="H24" s="106"/>
      <c r="I24" s="106"/>
    </row>
    <row r="25" spans="1:9" x14ac:dyDescent="0.3">
      <c r="A25" s="105"/>
      <c r="B25" s="106"/>
      <c r="C25" s="135" t="s">
        <v>114</v>
      </c>
      <c r="D25" s="136">
        <f>Annualized_Revenue/Working_Capital</f>
        <v>25.871548630428677</v>
      </c>
      <c r="E25" s="136"/>
      <c r="F25" s="135"/>
      <c r="G25" s="107"/>
      <c r="H25" s="106"/>
      <c r="I25" s="106"/>
    </row>
    <row r="26" spans="1:9" x14ac:dyDescent="0.3">
      <c r="A26" s="105"/>
      <c r="B26" s="106"/>
      <c r="C26" s="135" t="s">
        <v>115</v>
      </c>
      <c r="D26" s="136">
        <f>IF(Fixed_Assets_Average=0,0,Annualized_Revenue/Fixed_Assets_Average)</f>
        <v>15.726386544393257</v>
      </c>
      <c r="E26" s="137"/>
      <c r="F26" s="135"/>
      <c r="G26" s="107"/>
      <c r="H26" s="138" t="s">
        <v>116</v>
      </c>
      <c r="I26" s="138"/>
    </row>
    <row r="27" spans="1:9" x14ac:dyDescent="0.3">
      <c r="A27" s="105"/>
      <c r="B27" s="106"/>
      <c r="C27" s="135" t="s">
        <v>117</v>
      </c>
      <c r="D27" s="136">
        <f>Annualized_Revenue/Total_Assets_Average</f>
        <v>5.2899222173915685</v>
      </c>
      <c r="E27" s="137"/>
      <c r="F27" s="135"/>
      <c r="G27" s="107"/>
      <c r="H27" s="139" t="s">
        <v>118</v>
      </c>
      <c r="I27" s="194">
        <f>IF(EBT=0,0,(EBT-EAT)/EBT)</f>
        <v>2.7407608763582468E-2</v>
      </c>
    </row>
    <row r="28" spans="1:9" x14ac:dyDescent="0.3">
      <c r="A28" s="105"/>
      <c r="B28" s="106"/>
      <c r="C28" s="106"/>
      <c r="D28" s="106"/>
      <c r="E28" s="106"/>
      <c r="F28" s="106"/>
      <c r="G28" s="107"/>
      <c r="H28" s="106"/>
      <c r="I28" s="106"/>
    </row>
    <row r="29" spans="1:9" x14ac:dyDescent="0.3">
      <c r="A29" s="105"/>
      <c r="B29" s="106"/>
      <c r="C29" s="106"/>
      <c r="D29" s="106"/>
      <c r="E29" s="106"/>
      <c r="F29" s="106"/>
      <c r="G29" s="110"/>
      <c r="H29" s="106"/>
      <c r="I29" s="106"/>
    </row>
    <row r="30" spans="1:9" x14ac:dyDescent="0.3">
      <c r="A30" s="105"/>
      <c r="B30" s="106"/>
      <c r="C30" s="140" t="s">
        <v>119</v>
      </c>
      <c r="D30" s="106"/>
      <c r="E30" s="106"/>
      <c r="F30" s="106"/>
      <c r="G30" s="107"/>
      <c r="H30" s="106"/>
      <c r="I30" s="106"/>
    </row>
    <row r="31" spans="1:9" x14ac:dyDescent="0.3">
      <c r="A31" s="105"/>
      <c r="B31" s="106"/>
      <c r="C31" s="106"/>
      <c r="D31" s="106"/>
      <c r="E31" s="106"/>
      <c r="F31" s="106"/>
      <c r="G31" s="107"/>
      <c r="H31" s="106"/>
      <c r="I31" s="106"/>
    </row>
    <row r="32" spans="1:9" x14ac:dyDescent="0.3">
      <c r="A32" s="105"/>
      <c r="B32" s="106"/>
      <c r="C32" s="106"/>
      <c r="D32" s="106"/>
      <c r="E32" s="106"/>
      <c r="F32" s="106"/>
      <c r="G32" s="107"/>
      <c r="H32" s="106"/>
      <c r="I32" s="106"/>
    </row>
    <row r="33" spans="1:9" x14ac:dyDescent="0.3">
      <c r="A33" s="105"/>
      <c r="B33" s="106"/>
      <c r="C33" s="106"/>
      <c r="D33" s="106"/>
      <c r="E33" s="106"/>
      <c r="F33" s="106"/>
      <c r="G33" s="141"/>
      <c r="H33" s="106"/>
      <c r="I33" s="106"/>
    </row>
  </sheetData>
  <conditionalFormatting sqref="F25:F33 G30:G33 G23:G28 F18:F23 G18:G21 F13:F16 F7:G9 G10:G16 F10:F11">
    <cfRule type="iconSet" priority="1">
      <iconSet showValue="0">
        <cfvo type="percent" val="0"/>
        <cfvo type="num" val="0"/>
        <cfvo type="num" val="0" gte="0"/>
      </iconSet>
    </cfRule>
  </conditionalFormatting>
  <pageMargins left="0.25" right="0.25" top="0.75" bottom="0.75" header="0.3" footer="0.3"/>
  <pageSetup scale="71"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showGridLines="0" topLeftCell="B2" zoomScale="90" zoomScaleNormal="90" workbookViewId="0"/>
  </sheetViews>
  <sheetFormatPr defaultRowHeight="16.5" x14ac:dyDescent="0.3"/>
  <cols>
    <col min="1" max="1" width="9" hidden="1" customWidth="1"/>
    <col min="3" max="3" width="17.625" customWidth="1"/>
    <col min="4" max="4" width="29.875" bestFit="1" customWidth="1"/>
    <col min="5" max="5" width="15.25" bestFit="1" customWidth="1"/>
    <col min="6" max="6" width="6.25" customWidth="1"/>
    <col min="7" max="8" width="27" customWidth="1"/>
    <col min="9" max="9" width="7.5" customWidth="1"/>
    <col min="10" max="10" width="27" customWidth="1"/>
    <col min="11" max="11" width="8.5" customWidth="1"/>
    <col min="12" max="12" width="27" customWidth="1"/>
    <col min="13" max="13" width="4.25" customWidth="1"/>
  </cols>
  <sheetData>
    <row r="1" spans="1:15" hidden="1" x14ac:dyDescent="0.3">
      <c r="A1" s="144" t="s">
        <v>19</v>
      </c>
      <c r="B1" s="144"/>
      <c r="C1" s="144"/>
      <c r="D1" s="144"/>
      <c r="E1" s="144"/>
      <c r="F1" s="144"/>
      <c r="G1" s="144"/>
      <c r="H1" s="144"/>
      <c r="I1" s="144"/>
      <c r="J1" s="144"/>
      <c r="K1" s="144"/>
      <c r="L1" s="144"/>
      <c r="M1" s="144"/>
      <c r="N1" s="144"/>
      <c r="O1" s="144"/>
    </row>
    <row r="2" spans="1:15" ht="18.75" x14ac:dyDescent="0.3">
      <c r="A2" s="144"/>
      <c r="B2" s="145"/>
      <c r="C2" s="146"/>
      <c r="D2" s="145"/>
      <c r="E2" s="147"/>
      <c r="F2" s="147"/>
      <c r="G2" s="145"/>
      <c r="H2" s="145"/>
      <c r="I2" s="145"/>
      <c r="J2" s="145"/>
      <c r="K2" s="145"/>
      <c r="L2" s="147"/>
      <c r="M2" s="145"/>
      <c r="N2" s="144"/>
      <c r="O2" s="144"/>
    </row>
    <row r="3" spans="1:15" ht="18.75" x14ac:dyDescent="0.3">
      <c r="A3" s="144"/>
      <c r="B3" s="145"/>
      <c r="C3" s="146" t="s">
        <v>124</v>
      </c>
      <c r="D3" s="145"/>
      <c r="E3" s="148"/>
      <c r="F3" s="147"/>
      <c r="G3" s="145"/>
      <c r="H3" s="145"/>
      <c r="I3" s="145"/>
      <c r="J3" s="145"/>
      <c r="K3" s="145"/>
      <c r="L3" s="145"/>
      <c r="M3" s="145"/>
      <c r="N3" s="144"/>
      <c r="O3" s="144"/>
    </row>
    <row r="4" spans="1:15" ht="18.75" x14ac:dyDescent="0.3">
      <c r="A4" s="144"/>
      <c r="B4" s="145"/>
      <c r="C4" s="145"/>
      <c r="D4" s="146"/>
      <c r="E4" s="148"/>
      <c r="F4" s="147"/>
      <c r="G4" s="145"/>
      <c r="H4" s="145"/>
      <c r="I4" s="145"/>
      <c r="J4" s="145"/>
      <c r="K4" s="145"/>
      <c r="L4" s="145"/>
      <c r="M4" s="145"/>
      <c r="N4" s="144"/>
      <c r="O4" s="144"/>
    </row>
    <row r="5" spans="1:15" ht="17.25" thickBot="1" x14ac:dyDescent="0.35">
      <c r="A5" s="144"/>
      <c r="B5" s="145"/>
      <c r="C5" s="145"/>
      <c r="D5" s="145"/>
      <c r="E5" s="149"/>
      <c r="F5" s="145"/>
      <c r="G5" s="145"/>
      <c r="H5" s="145"/>
      <c r="I5" s="145"/>
      <c r="J5" s="145"/>
      <c r="K5" s="145"/>
      <c r="L5" s="145"/>
      <c r="M5" s="145"/>
      <c r="N5" s="144"/>
      <c r="O5" s="144"/>
    </row>
    <row r="6" spans="1:15" ht="18.75" x14ac:dyDescent="0.3">
      <c r="A6" s="144"/>
      <c r="B6" s="145"/>
      <c r="C6" s="150"/>
      <c r="D6" s="151"/>
      <c r="E6" s="151"/>
      <c r="F6" s="151"/>
      <c r="G6" s="151"/>
      <c r="H6" s="152"/>
      <c r="I6" s="152"/>
      <c r="J6" s="152"/>
      <c r="K6" s="152"/>
      <c r="L6" s="152"/>
      <c r="M6" s="153"/>
      <c r="N6" s="144"/>
      <c r="O6" s="144"/>
    </row>
    <row r="7" spans="1:15" ht="19.5" thickBot="1" x14ac:dyDescent="0.35">
      <c r="A7" s="144"/>
      <c r="B7" s="145"/>
      <c r="C7" s="154"/>
      <c r="D7" s="155"/>
      <c r="E7" s="156"/>
      <c r="F7" s="155"/>
      <c r="G7" s="155"/>
      <c r="H7" s="155"/>
      <c r="I7" s="155"/>
      <c r="J7" s="155"/>
      <c r="K7" s="155"/>
      <c r="L7" s="155"/>
      <c r="M7" s="157"/>
      <c r="N7" s="144"/>
      <c r="O7" s="144"/>
    </row>
    <row r="8" spans="1:15" ht="19.5" thickBot="1" x14ac:dyDescent="0.35">
      <c r="A8" s="144"/>
      <c r="B8" s="145"/>
      <c r="C8" s="154"/>
      <c r="D8" s="155"/>
      <c r="E8" s="156"/>
      <c r="F8" s="155"/>
      <c r="G8" s="158" t="s">
        <v>125</v>
      </c>
      <c r="H8" s="159" t="s">
        <v>1</v>
      </c>
      <c r="I8" s="160"/>
      <c r="J8" s="261" t="s">
        <v>126</v>
      </c>
      <c r="K8" s="262"/>
      <c r="L8" s="263"/>
      <c r="M8" s="157"/>
      <c r="N8" s="144"/>
      <c r="O8" s="144"/>
    </row>
    <row r="9" spans="1:15" ht="18.75" x14ac:dyDescent="0.3">
      <c r="A9" s="144"/>
      <c r="B9" s="145"/>
      <c r="C9" s="154"/>
      <c r="D9" s="161" t="s">
        <v>127</v>
      </c>
      <c r="E9" s="162">
        <f>Equity</f>
        <v>1682324.52</v>
      </c>
      <c r="F9" s="155"/>
      <c r="G9" s="163"/>
      <c r="H9" s="155"/>
      <c r="I9" s="155"/>
      <c r="J9" s="155"/>
      <c r="K9" s="155"/>
      <c r="L9" s="155"/>
      <c r="M9" s="157"/>
      <c r="N9" s="144"/>
      <c r="O9" s="144"/>
    </row>
    <row r="10" spans="1:15" ht="19.5" thickBot="1" x14ac:dyDescent="0.35">
      <c r="A10" s="144"/>
      <c r="B10" s="145"/>
      <c r="C10" s="154"/>
      <c r="D10" s="155"/>
      <c r="E10" s="156"/>
      <c r="F10" s="155"/>
      <c r="G10" s="163"/>
      <c r="H10" s="155"/>
      <c r="I10" s="155"/>
      <c r="J10" s="155"/>
      <c r="K10" s="155"/>
      <c r="L10" s="155"/>
      <c r="M10" s="157"/>
      <c r="N10" s="144"/>
      <c r="O10" s="144"/>
    </row>
    <row r="11" spans="1:15" ht="18.75" x14ac:dyDescent="0.3">
      <c r="A11" s="144"/>
      <c r="B11" s="145"/>
      <c r="C11" s="154"/>
      <c r="D11" s="264" t="s">
        <v>128</v>
      </c>
      <c r="E11" s="264"/>
      <c r="F11" s="155"/>
      <c r="G11" s="265" t="s">
        <v>129</v>
      </c>
      <c r="H11" s="267">
        <f>Total_Liabilities/Equity</f>
        <v>1.4402570200902738</v>
      </c>
      <c r="I11" s="155"/>
      <c r="J11" s="155"/>
      <c r="K11" s="155"/>
      <c r="L11" s="155"/>
      <c r="M11" s="157"/>
      <c r="N11" s="144"/>
      <c r="O11" s="144"/>
    </row>
    <row r="12" spans="1:15" ht="18.75" thickBot="1" x14ac:dyDescent="0.35">
      <c r="A12" s="144"/>
      <c r="B12" s="145"/>
      <c r="C12" s="164"/>
      <c r="D12" s="264"/>
      <c r="E12" s="264"/>
      <c r="F12" s="165"/>
      <c r="G12" s="266"/>
      <c r="H12" s="268"/>
      <c r="I12" s="165"/>
      <c r="J12" s="165"/>
      <c r="K12" s="165"/>
      <c r="L12" s="165"/>
      <c r="M12" s="166"/>
      <c r="N12" s="144"/>
      <c r="O12" s="144"/>
    </row>
    <row r="13" spans="1:15" ht="18.75" x14ac:dyDescent="0.3">
      <c r="A13" s="144"/>
      <c r="B13" s="145"/>
      <c r="C13" s="154"/>
      <c r="D13" s="155"/>
      <c r="E13" s="156"/>
      <c r="F13" s="155"/>
      <c r="G13" s="167"/>
      <c r="H13" s="155"/>
      <c r="I13" s="155"/>
      <c r="J13" s="155"/>
      <c r="K13" s="155"/>
      <c r="L13" s="155"/>
      <c r="M13" s="157"/>
      <c r="N13" s="144"/>
      <c r="O13" s="144"/>
    </row>
    <row r="14" spans="1:15" ht="18.75" x14ac:dyDescent="0.3">
      <c r="A14" s="144"/>
      <c r="B14" s="145"/>
      <c r="C14" s="154"/>
      <c r="D14" s="161" t="s">
        <v>82</v>
      </c>
      <c r="E14" s="162">
        <f>Equity+Total_Liabilities</f>
        <v>4105304.22</v>
      </c>
      <c r="F14" s="155"/>
      <c r="G14" s="167"/>
      <c r="H14" s="155"/>
      <c r="I14" s="155"/>
      <c r="J14" s="155"/>
      <c r="K14" s="155"/>
      <c r="L14" s="155"/>
      <c r="M14" s="157"/>
      <c r="N14" s="144"/>
      <c r="O14" s="144"/>
    </row>
    <row r="15" spans="1:15" ht="19.5" thickBot="1" x14ac:dyDescent="0.35">
      <c r="A15" s="144"/>
      <c r="B15" s="145"/>
      <c r="C15" s="154"/>
      <c r="D15" s="168"/>
      <c r="E15" s="156"/>
      <c r="F15" s="155"/>
      <c r="G15" s="167"/>
      <c r="H15" s="155"/>
      <c r="I15" s="155"/>
      <c r="J15" s="155"/>
      <c r="K15" s="155"/>
      <c r="L15" s="155"/>
      <c r="M15" s="157"/>
      <c r="N15" s="144"/>
      <c r="O15" s="144"/>
    </row>
    <row r="16" spans="1:15" ht="19.5" thickBot="1" x14ac:dyDescent="0.35">
      <c r="A16" s="144"/>
      <c r="B16" s="145"/>
      <c r="C16" s="154"/>
      <c r="D16" s="264" t="s">
        <v>130</v>
      </c>
      <c r="E16" s="264"/>
      <c r="F16" s="155"/>
      <c r="G16" s="265" t="s">
        <v>131</v>
      </c>
      <c r="H16" s="267">
        <f>Annualized_Revenue/(Current_Assets+Fixed_Assets)</f>
        <v>4.8124970355326493</v>
      </c>
      <c r="I16" s="155"/>
      <c r="J16" s="155"/>
      <c r="K16" s="155"/>
      <c r="L16" s="155"/>
      <c r="M16" s="157"/>
      <c r="N16" s="144"/>
      <c r="O16" s="144"/>
    </row>
    <row r="17" spans="1:15" ht="19.5" thickBot="1" x14ac:dyDescent="0.35">
      <c r="A17" s="144"/>
      <c r="B17" s="145"/>
      <c r="C17" s="164"/>
      <c r="D17" s="264"/>
      <c r="E17" s="264"/>
      <c r="F17" s="165"/>
      <c r="G17" s="266"/>
      <c r="H17" s="268"/>
      <c r="I17" s="165"/>
      <c r="J17" s="155"/>
      <c r="K17" s="165"/>
      <c r="L17" s="269" t="s">
        <v>132</v>
      </c>
      <c r="M17" s="166"/>
      <c r="N17" s="144"/>
      <c r="O17" s="144"/>
    </row>
    <row r="18" spans="1:15" ht="18.75" x14ac:dyDescent="0.3">
      <c r="A18" s="144"/>
      <c r="B18" s="145"/>
      <c r="C18" s="154"/>
      <c r="D18" s="155"/>
      <c r="E18" s="156"/>
      <c r="F18" s="155"/>
      <c r="G18" s="167"/>
      <c r="H18" s="155"/>
      <c r="I18" s="155"/>
      <c r="J18" s="155"/>
      <c r="K18" s="155"/>
      <c r="L18" s="270"/>
      <c r="M18" s="157"/>
      <c r="N18" s="144"/>
      <c r="O18" s="144"/>
    </row>
    <row r="19" spans="1:15" ht="19.5" thickBot="1" x14ac:dyDescent="0.35">
      <c r="A19" s="144"/>
      <c r="B19" s="145"/>
      <c r="C19" s="154"/>
      <c r="D19" s="161" t="s">
        <v>80</v>
      </c>
      <c r="E19" s="162">
        <f>Annualized_Revenue</f>
        <v>19756764.388709676</v>
      </c>
      <c r="F19" s="155"/>
      <c r="G19" s="167"/>
      <c r="H19" s="155"/>
      <c r="I19" s="155"/>
      <c r="J19" s="155"/>
      <c r="K19" s="155"/>
      <c r="L19" s="169">
        <f>EAT_Annualized/Equity</f>
        <v>1.9224058641079813</v>
      </c>
      <c r="M19" s="157"/>
      <c r="N19" s="144"/>
      <c r="O19" s="144"/>
    </row>
    <row r="20" spans="1:15" ht="19.5" thickBot="1" x14ac:dyDescent="0.35">
      <c r="A20" s="144"/>
      <c r="B20" s="145"/>
      <c r="C20" s="154"/>
      <c r="D20" s="155"/>
      <c r="E20" s="156"/>
      <c r="F20" s="155"/>
      <c r="G20" s="167"/>
      <c r="H20" s="155"/>
      <c r="I20" s="155"/>
      <c r="J20" s="155"/>
      <c r="K20" s="155"/>
      <c r="L20" s="155"/>
      <c r="M20" s="157"/>
      <c r="N20" s="144"/>
      <c r="O20" s="144"/>
    </row>
    <row r="21" spans="1:15" ht="18.75" x14ac:dyDescent="0.3">
      <c r="A21" s="144"/>
      <c r="B21" s="145"/>
      <c r="C21" s="154"/>
      <c r="D21" s="264" t="s">
        <v>133</v>
      </c>
      <c r="E21" s="264"/>
      <c r="F21" s="155"/>
      <c r="G21" s="271" t="s">
        <v>134</v>
      </c>
      <c r="H21" s="267">
        <f>EBT_Annualized/Annualized_Revenue</f>
        <v>0.16830932143751143</v>
      </c>
      <c r="I21" s="155"/>
      <c r="J21" s="269" t="s">
        <v>135</v>
      </c>
      <c r="K21" s="155"/>
      <c r="L21" s="155"/>
      <c r="M21" s="157"/>
      <c r="N21" s="144"/>
      <c r="O21" s="144"/>
    </row>
    <row r="22" spans="1:15" ht="18.75" thickBot="1" x14ac:dyDescent="0.35">
      <c r="A22" s="144"/>
      <c r="B22" s="145"/>
      <c r="C22" s="164"/>
      <c r="D22" s="264"/>
      <c r="E22" s="264"/>
      <c r="F22" s="165"/>
      <c r="G22" s="272"/>
      <c r="H22" s="268"/>
      <c r="I22" s="165"/>
      <c r="J22" s="270"/>
      <c r="K22" s="165"/>
      <c r="L22" s="165"/>
      <c r="M22" s="166"/>
      <c r="N22" s="144"/>
      <c r="O22" s="144"/>
    </row>
    <row r="23" spans="1:15" ht="19.5" thickBot="1" x14ac:dyDescent="0.35">
      <c r="A23" s="144"/>
      <c r="B23" s="145"/>
      <c r="C23" s="154"/>
      <c r="D23" s="168"/>
      <c r="E23" s="156"/>
      <c r="F23" s="155"/>
      <c r="G23" s="167"/>
      <c r="H23" s="155"/>
      <c r="I23" s="155"/>
      <c r="J23" s="169">
        <f>H16*H21*(1-H26)</f>
        <v>0.78778827323560563</v>
      </c>
      <c r="K23" s="155"/>
      <c r="L23" s="155"/>
      <c r="M23" s="157"/>
      <c r="N23" s="144"/>
      <c r="O23" s="144"/>
    </row>
    <row r="24" spans="1:15" ht="18.75" x14ac:dyDescent="0.3">
      <c r="A24" s="144"/>
      <c r="B24" s="145"/>
      <c r="C24" s="154"/>
      <c r="D24" s="161" t="s">
        <v>136</v>
      </c>
      <c r="E24" s="162">
        <f>EBT</f>
        <v>282418.28999999998</v>
      </c>
      <c r="F24" s="155"/>
      <c r="G24" s="167"/>
      <c r="H24" s="155"/>
      <c r="I24" s="155"/>
      <c r="J24" s="155"/>
      <c r="K24" s="155"/>
      <c r="L24" s="155"/>
      <c r="M24" s="157"/>
      <c r="N24" s="144"/>
      <c r="O24" s="144"/>
    </row>
    <row r="25" spans="1:15" ht="19.5" thickBot="1" x14ac:dyDescent="0.35">
      <c r="A25" s="144"/>
      <c r="B25" s="145"/>
      <c r="C25" s="154"/>
      <c r="D25" s="155"/>
      <c r="E25" s="156"/>
      <c r="F25" s="155"/>
      <c r="G25" s="167"/>
      <c r="H25" s="155"/>
      <c r="I25" s="155"/>
      <c r="J25" s="155"/>
      <c r="K25" s="155"/>
      <c r="L25" s="155"/>
      <c r="M25" s="157"/>
      <c r="N25" s="144"/>
      <c r="O25" s="144"/>
    </row>
    <row r="26" spans="1:15" ht="18.75" x14ac:dyDescent="0.3">
      <c r="A26" s="144"/>
      <c r="B26" s="145"/>
      <c r="C26" s="154"/>
      <c r="D26" s="264" t="s">
        <v>116</v>
      </c>
      <c r="E26" s="264"/>
      <c r="F26" s="155"/>
      <c r="G26" s="271" t="s">
        <v>118</v>
      </c>
      <c r="H26" s="273">
        <f>(EBT-EAT)/EBT</f>
        <v>2.7407608763582468E-2</v>
      </c>
      <c r="I26" s="155"/>
      <c r="J26" s="155"/>
      <c r="K26" s="155"/>
      <c r="L26" s="155"/>
      <c r="M26" s="157"/>
      <c r="N26" s="144"/>
      <c r="O26" s="144"/>
    </row>
    <row r="27" spans="1:15" ht="18.75" thickBot="1" x14ac:dyDescent="0.35">
      <c r="A27" s="144"/>
      <c r="B27" s="145"/>
      <c r="C27" s="164"/>
      <c r="D27" s="264"/>
      <c r="E27" s="264"/>
      <c r="F27" s="165"/>
      <c r="G27" s="272"/>
      <c r="H27" s="274"/>
      <c r="I27" s="165"/>
      <c r="J27" s="165"/>
      <c r="K27" s="165"/>
      <c r="L27" s="165"/>
      <c r="M27" s="166"/>
      <c r="N27" s="144"/>
      <c r="O27" s="144"/>
    </row>
    <row r="28" spans="1:15" ht="18.75" x14ac:dyDescent="0.3">
      <c r="A28" s="144"/>
      <c r="B28" s="145"/>
      <c r="C28" s="154"/>
      <c r="D28" s="155"/>
      <c r="E28" s="156"/>
      <c r="F28" s="155"/>
      <c r="G28" s="155"/>
      <c r="H28" s="155"/>
      <c r="I28" s="155"/>
      <c r="J28" s="155"/>
      <c r="K28" s="155"/>
      <c r="L28" s="155"/>
      <c r="M28" s="157"/>
      <c r="N28" s="144"/>
      <c r="O28" s="144"/>
    </row>
    <row r="29" spans="1:15" ht="18.75" x14ac:dyDescent="0.3">
      <c r="A29" s="144"/>
      <c r="B29" s="145"/>
      <c r="C29" s="154"/>
      <c r="D29" s="161" t="s">
        <v>137</v>
      </c>
      <c r="E29" s="162">
        <f>EAT</f>
        <v>274677.88</v>
      </c>
      <c r="F29" s="155"/>
      <c r="G29" s="155"/>
      <c r="H29" s="155"/>
      <c r="I29" s="155"/>
      <c r="J29" s="155"/>
      <c r="K29" s="155"/>
      <c r="L29" s="155"/>
      <c r="M29" s="157"/>
      <c r="N29" s="144"/>
      <c r="O29" s="144"/>
    </row>
    <row r="30" spans="1:15" ht="18.75" x14ac:dyDescent="0.3">
      <c r="A30" s="144"/>
      <c r="B30" s="145"/>
      <c r="C30" s="154"/>
      <c r="D30" s="155"/>
      <c r="E30" s="156"/>
      <c r="F30" s="155"/>
      <c r="G30" s="155"/>
      <c r="H30" s="155"/>
      <c r="I30" s="155"/>
      <c r="J30" s="155"/>
      <c r="K30" s="155"/>
      <c r="L30" s="155"/>
      <c r="M30" s="157"/>
      <c r="N30" s="144"/>
      <c r="O30" s="144"/>
    </row>
    <row r="31" spans="1:15" ht="19.5" thickBot="1" x14ac:dyDescent="0.35">
      <c r="A31" s="144"/>
      <c r="B31" s="145"/>
      <c r="C31" s="170"/>
      <c r="D31" s="171"/>
      <c r="E31" s="172"/>
      <c r="F31" s="171"/>
      <c r="G31" s="171"/>
      <c r="H31" s="171"/>
      <c r="I31" s="171"/>
      <c r="J31" s="171"/>
      <c r="K31" s="171"/>
      <c r="L31" s="171"/>
      <c r="M31" s="173"/>
      <c r="N31" s="144"/>
      <c r="O31" s="144"/>
    </row>
    <row r="32" spans="1:15" ht="18.75" x14ac:dyDescent="0.3">
      <c r="A32" s="144"/>
      <c r="B32" s="145"/>
      <c r="C32" s="155"/>
      <c r="D32" s="155"/>
      <c r="E32" s="156"/>
      <c r="F32" s="155"/>
      <c r="G32" s="155"/>
      <c r="H32" s="155"/>
      <c r="I32" s="155"/>
      <c r="J32" s="155"/>
      <c r="K32" s="155"/>
      <c r="L32" s="155"/>
      <c r="M32" s="155"/>
      <c r="N32" s="144"/>
      <c r="O32" s="144"/>
    </row>
    <row r="33" spans="1:15" ht="18.75" x14ac:dyDescent="0.3">
      <c r="A33" s="144"/>
      <c r="B33" s="145"/>
      <c r="C33" s="174" t="s">
        <v>138</v>
      </c>
      <c r="D33" s="155"/>
      <c r="E33" s="156"/>
      <c r="F33" s="155"/>
      <c r="G33" s="155"/>
      <c r="H33" s="155"/>
      <c r="I33" s="155"/>
      <c r="J33" s="155"/>
      <c r="K33" s="155"/>
      <c r="L33" s="155"/>
      <c r="M33" s="155"/>
      <c r="N33" s="144"/>
      <c r="O33" s="144"/>
    </row>
    <row r="34" spans="1:15" ht="18.75" x14ac:dyDescent="0.3">
      <c r="A34" s="144"/>
      <c r="B34" s="144"/>
      <c r="C34" s="175"/>
      <c r="D34" s="175"/>
      <c r="E34" s="176"/>
      <c r="F34" s="175"/>
      <c r="G34" s="175"/>
      <c r="H34" s="175"/>
      <c r="I34" s="175"/>
      <c r="J34" s="175"/>
      <c r="K34" s="175"/>
      <c r="L34" s="175"/>
      <c r="M34" s="175"/>
      <c r="N34" s="144"/>
      <c r="O34" s="144"/>
    </row>
    <row r="35" spans="1:15" ht="18.75" x14ac:dyDescent="0.3">
      <c r="A35" s="144"/>
      <c r="B35" s="144"/>
      <c r="C35" s="177"/>
      <c r="D35" s="175"/>
      <c r="E35" s="176"/>
      <c r="F35" s="175"/>
      <c r="G35" s="175"/>
      <c r="H35" s="175"/>
      <c r="I35" s="175"/>
      <c r="J35" s="175"/>
      <c r="K35" s="175"/>
      <c r="L35" s="175"/>
      <c r="M35" s="175"/>
      <c r="N35" s="144"/>
      <c r="O35" s="144"/>
    </row>
    <row r="36" spans="1:15" ht="18.75" x14ac:dyDescent="0.3">
      <c r="A36" s="144"/>
      <c r="B36" s="144"/>
      <c r="C36" s="175"/>
      <c r="D36" s="178"/>
      <c r="E36" s="176"/>
      <c r="F36" s="175"/>
      <c r="G36" s="175"/>
      <c r="H36" s="175"/>
      <c r="I36" s="175"/>
      <c r="J36" s="175"/>
      <c r="K36" s="175"/>
      <c r="L36" s="175"/>
      <c r="M36" s="175"/>
      <c r="N36" s="144"/>
      <c r="O36" s="144"/>
    </row>
    <row r="37" spans="1:15" ht="18.75" x14ac:dyDescent="0.3">
      <c r="A37" s="144"/>
      <c r="B37" s="144"/>
      <c r="C37" s="175"/>
      <c r="D37" s="175"/>
      <c r="E37" s="176"/>
      <c r="F37" s="175"/>
      <c r="G37" s="175"/>
      <c r="H37" s="175"/>
      <c r="I37" s="175"/>
      <c r="J37" s="175"/>
      <c r="K37" s="175"/>
      <c r="L37" s="175"/>
      <c r="M37" s="175"/>
      <c r="N37" s="144"/>
      <c r="O37" s="144"/>
    </row>
  </sheetData>
  <mergeCells count="15">
    <mergeCell ref="D21:E22"/>
    <mergeCell ref="G21:G22"/>
    <mergeCell ref="H21:H22"/>
    <mergeCell ref="J21:J22"/>
    <mergeCell ref="D26:E27"/>
    <mergeCell ref="G26:G27"/>
    <mergeCell ref="H26:H27"/>
    <mergeCell ref="J8:L8"/>
    <mergeCell ref="D11:E12"/>
    <mergeCell ref="G11:G12"/>
    <mergeCell ref="H11:H12"/>
    <mergeCell ref="D16:E17"/>
    <mergeCell ref="G16:G17"/>
    <mergeCell ref="H16:H17"/>
    <mergeCell ref="L17:L18"/>
  </mergeCells>
  <pageMargins left="0.25" right="0.25" top="0.75" bottom="0.75" header="0.3" footer="0.3"/>
  <pageSetup scale="59"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N356"/>
  <sheetViews>
    <sheetView showGridLines="0" topLeftCell="C3" zoomScale="80" zoomScaleNormal="80" workbookViewId="0"/>
  </sheetViews>
  <sheetFormatPr defaultRowHeight="16.5" outlineLevelRow="1" x14ac:dyDescent="0.3"/>
  <cols>
    <col min="1" max="1" width="18.875" hidden="1" customWidth="1"/>
    <col min="2" max="2" width="25.5" style="225" hidden="1" customWidth="1"/>
    <col min="3" max="3" width="9" style="212" customWidth="1"/>
    <col min="4" max="4" width="36.75" bestFit="1" customWidth="1"/>
    <col min="5" max="5" width="12.125" bestFit="1" customWidth="1"/>
    <col min="6" max="6" width="49.625" bestFit="1" customWidth="1"/>
    <col min="7" max="8" width="18.25" bestFit="1" customWidth="1"/>
    <col min="9" max="9" width="16.5" bestFit="1" customWidth="1"/>
    <col min="10" max="10" width="20.625" bestFit="1" customWidth="1"/>
  </cols>
  <sheetData>
    <row r="1" spans="1:14" hidden="1" x14ac:dyDescent="0.3">
      <c r="A1" s="40" t="s">
        <v>3564</v>
      </c>
      <c r="B1" s="220" t="s">
        <v>11</v>
      </c>
      <c r="C1" s="82"/>
      <c r="D1" s="40" t="s">
        <v>12</v>
      </c>
      <c r="E1" s="40" t="s">
        <v>12</v>
      </c>
      <c r="F1" s="40" t="s">
        <v>12</v>
      </c>
      <c r="G1" s="40" t="s">
        <v>12</v>
      </c>
      <c r="H1" s="40" t="s">
        <v>12</v>
      </c>
      <c r="I1" s="40" t="s">
        <v>12</v>
      </c>
      <c r="J1" s="40" t="s">
        <v>12</v>
      </c>
    </row>
    <row r="2" spans="1:14" hidden="1" x14ac:dyDescent="0.3">
      <c r="A2" s="40" t="s">
        <v>65</v>
      </c>
      <c r="B2" s="220"/>
      <c r="C2" s="82"/>
      <c r="D2" s="40"/>
      <c r="E2" s="40"/>
      <c r="F2" s="40"/>
      <c r="G2" s="40" t="s">
        <v>43</v>
      </c>
      <c r="H2" s="40" t="s">
        <v>43</v>
      </c>
      <c r="I2" s="40" t="s">
        <v>43</v>
      </c>
      <c r="J2" s="40" t="s">
        <v>43</v>
      </c>
    </row>
    <row r="3" spans="1:14" x14ac:dyDescent="0.3">
      <c r="A3" s="41"/>
      <c r="B3" s="275" t="s">
        <v>156</v>
      </c>
      <c r="C3" s="207"/>
      <c r="D3" s="11"/>
      <c r="E3" s="11"/>
      <c r="F3" s="11"/>
      <c r="G3" s="12"/>
      <c r="H3" s="13"/>
      <c r="I3" s="14"/>
      <c r="J3" s="12"/>
    </row>
    <row r="4" spans="1:14" ht="18.75" x14ac:dyDescent="0.3">
      <c r="A4" s="41"/>
      <c r="B4" s="275"/>
      <c r="C4" s="208"/>
      <c r="D4" s="15" t="s">
        <v>13</v>
      </c>
      <c r="E4" s="16"/>
      <c r="F4" s="16"/>
      <c r="G4" s="17"/>
      <c r="H4" s="77"/>
      <c r="I4" s="77" t="s">
        <v>42</v>
      </c>
      <c r="J4" s="78" t="str">
        <f>DateFilter</f>
        <v>1/1/2014..1/31/2014</v>
      </c>
    </row>
    <row r="5" spans="1:14" ht="16.5" customHeight="1" x14ac:dyDescent="0.3">
      <c r="A5" s="41"/>
      <c r="B5" s="275"/>
      <c r="C5" s="208"/>
      <c r="D5" s="18"/>
      <c r="E5" s="11"/>
      <c r="F5" s="11"/>
      <c r="G5" s="12"/>
      <c r="H5" s="13"/>
      <c r="I5" s="80" t="s">
        <v>41</v>
      </c>
      <c r="J5" s="81">
        <f ca="1">TODAY()</f>
        <v>43370</v>
      </c>
    </row>
    <row r="6" spans="1:14" x14ac:dyDescent="0.3">
      <c r="A6" s="41"/>
      <c r="B6" s="275"/>
      <c r="C6" s="208"/>
      <c r="D6" s="19"/>
      <c r="E6" s="20"/>
      <c r="F6" s="20"/>
      <c r="G6" s="188" t="s">
        <v>14</v>
      </c>
      <c r="H6" s="242" t="str">
        <f>Budget_Name</f>
        <v>BUDGET3</v>
      </c>
      <c r="I6" s="14"/>
      <c r="J6" s="12"/>
    </row>
    <row r="7" spans="1:14" x14ac:dyDescent="0.3">
      <c r="A7" s="41"/>
      <c r="B7" s="275"/>
      <c r="C7" s="208"/>
      <c r="D7" s="21"/>
      <c r="E7" s="21"/>
      <c r="F7" s="21"/>
      <c r="G7" s="21"/>
      <c r="H7" s="22"/>
      <c r="I7" s="14"/>
      <c r="J7" s="12"/>
    </row>
    <row r="8" spans="1:14" x14ac:dyDescent="0.3">
      <c r="A8" s="41"/>
      <c r="B8" s="275"/>
      <c r="C8" s="209"/>
      <c r="D8" s="23"/>
      <c r="E8" s="23"/>
      <c r="F8" s="23"/>
      <c r="G8" s="24" t="s">
        <v>15</v>
      </c>
      <c r="H8" s="25" t="s">
        <v>16</v>
      </c>
      <c r="I8" s="24" t="s">
        <v>154</v>
      </c>
      <c r="J8" s="241" t="s">
        <v>155</v>
      </c>
    </row>
    <row r="9" spans="1:14" ht="18.75" x14ac:dyDescent="0.3">
      <c r="A9" s="41"/>
      <c r="B9" s="221"/>
      <c r="C9" s="210"/>
      <c r="D9" s="26" t="s">
        <v>17</v>
      </c>
      <c r="E9" s="27"/>
      <c r="F9" s="27"/>
      <c r="G9" s="28"/>
      <c r="H9" s="29"/>
      <c r="I9" s="28"/>
      <c r="J9" s="213"/>
    </row>
    <row r="10" spans="1:14" collapsed="1" x14ac:dyDescent="0.3">
      <c r="A10" s="41"/>
      <c r="B10" s="222">
        <v>31</v>
      </c>
      <c r="C10" s="210"/>
      <c r="D10" s="27" t="str">
        <f>"Sales"</f>
        <v>Sales</v>
      </c>
      <c r="E10" s="27"/>
      <c r="F10" s="27"/>
      <c r="G10" s="30">
        <f>SUBTOTAL(9,G11:G55)</f>
        <v>1734853.5600000005</v>
      </c>
      <c r="H10" s="45">
        <f>SUBTOTAL(9,H11:H55)</f>
        <v>1750500</v>
      </c>
      <c r="I10" s="199">
        <f>G10-H10</f>
        <v>-15646.439999999478</v>
      </c>
      <c r="J10" s="214">
        <f>IF(G10=0,"-",IF(H10=0,"∞",(G10-H10)/H10))</f>
        <v>-8.9382690659808497E-3</v>
      </c>
    </row>
    <row r="11" spans="1:14" hidden="1" outlineLevel="1" x14ac:dyDescent="0.3">
      <c r="A11" s="41"/>
      <c r="B11" s="223"/>
      <c r="C11" s="210"/>
      <c r="D11" s="32"/>
      <c r="E11" s="33" t="str">
        <f>"000-4100-00"</f>
        <v>000-4100-00</v>
      </c>
      <c r="F11" s="33" t="str">
        <f>"Sales"</f>
        <v>Sales</v>
      </c>
      <c r="G11" s="31">
        <v>0</v>
      </c>
      <c r="H11" s="36">
        <v>0</v>
      </c>
      <c r="I11" s="199">
        <f>G11-H11</f>
        <v>0</v>
      </c>
      <c r="J11" s="215" t="str">
        <f>IF(G11=0,"-",IF(H11=0,"∞",(G11-H11)/H11))</f>
        <v>-</v>
      </c>
      <c r="N11" s="198"/>
    </row>
    <row r="12" spans="1:14" hidden="1" outlineLevel="1" x14ac:dyDescent="0.3">
      <c r="A12" s="41" t="s">
        <v>581</v>
      </c>
      <c r="B12" s="223"/>
      <c r="C12" s="210"/>
      <c r="D12" s="32"/>
      <c r="E12" s="33" t="str">
        <f>"000-4110-01"</f>
        <v>000-4110-01</v>
      </c>
      <c r="F12" s="33" t="str">
        <f>"US Sales - Retail/Parts"</f>
        <v>US Sales - Retail/Parts</v>
      </c>
      <c r="G12" s="31">
        <v>1020187.08</v>
      </c>
      <c r="H12" s="36">
        <v>1000000</v>
      </c>
      <c r="I12" s="199">
        <f t="shared" ref="I12:I54" si="0">G12-H12</f>
        <v>20187.079999999958</v>
      </c>
      <c r="J12" s="215">
        <f t="shared" ref="J12:J54" si="1">IF(G12=0,"-",IF(H12=0,"∞",(G12-H12)/H12))</f>
        <v>2.0187079999999958E-2</v>
      </c>
      <c r="N12" s="198"/>
    </row>
    <row r="13" spans="1:14" hidden="1" outlineLevel="1" x14ac:dyDescent="0.3">
      <c r="A13" s="41" t="s">
        <v>581</v>
      </c>
      <c r="B13" s="223"/>
      <c r="C13" s="210"/>
      <c r="D13" s="32"/>
      <c r="E13" s="33" t="str">
        <f>"000-4110-02"</f>
        <v>000-4110-02</v>
      </c>
      <c r="F13" s="33" t="str">
        <f>"US Sales - Finished Goods"</f>
        <v>US Sales - Finished Goods</v>
      </c>
      <c r="G13" s="31">
        <v>56425.74</v>
      </c>
      <c r="H13" s="36">
        <v>80000</v>
      </c>
      <c r="I13" s="199">
        <f t="shared" si="0"/>
        <v>-23574.260000000002</v>
      </c>
      <c r="J13" s="215">
        <f t="shared" si="1"/>
        <v>-0.29467825000000003</v>
      </c>
      <c r="N13" s="198"/>
    </row>
    <row r="14" spans="1:14" hidden="1" outlineLevel="1" x14ac:dyDescent="0.3">
      <c r="A14" s="41" t="s">
        <v>581</v>
      </c>
      <c r="B14" s="223"/>
      <c r="C14" s="210"/>
      <c r="D14" s="32"/>
      <c r="E14" s="33" t="str">
        <f>"000-4111-01"</f>
        <v>000-4111-01</v>
      </c>
      <c r="F14" s="33" t="str">
        <f>"Canadian Sales - Retail/Parts"</f>
        <v>Canadian Sales - Retail/Parts</v>
      </c>
      <c r="G14" s="31">
        <v>45208.55</v>
      </c>
      <c r="H14" s="36">
        <v>44000</v>
      </c>
      <c r="I14" s="199">
        <f t="shared" si="0"/>
        <v>1208.5500000000029</v>
      </c>
      <c r="J14" s="215">
        <f t="shared" si="1"/>
        <v>2.7467045454545522E-2</v>
      </c>
      <c r="N14" s="198"/>
    </row>
    <row r="15" spans="1:14" hidden="1" outlineLevel="1" x14ac:dyDescent="0.3">
      <c r="A15" s="41" t="s">
        <v>581</v>
      </c>
      <c r="B15" s="223"/>
      <c r="C15" s="210"/>
      <c r="D15" s="32"/>
      <c r="E15" s="33" t="str">
        <f>"000-4111-02"</f>
        <v>000-4111-02</v>
      </c>
      <c r="F15" s="33" t="str">
        <f>"Canadian Sales - Finished Goods"</f>
        <v>Canadian Sales - Finished Goods</v>
      </c>
      <c r="G15" s="31">
        <v>0</v>
      </c>
      <c r="H15" s="36">
        <v>0</v>
      </c>
      <c r="I15" s="199">
        <f t="shared" si="0"/>
        <v>0</v>
      </c>
      <c r="J15" s="215" t="str">
        <f t="shared" si="1"/>
        <v>-</v>
      </c>
      <c r="N15" s="198"/>
    </row>
    <row r="16" spans="1:14" hidden="1" outlineLevel="1" x14ac:dyDescent="0.3">
      <c r="A16" s="41" t="s">
        <v>581</v>
      </c>
      <c r="B16" s="223"/>
      <c r="C16" s="210"/>
      <c r="D16" s="32"/>
      <c r="E16" s="33" t="str">
        <f>"000-4112-01"</f>
        <v>000-4112-01</v>
      </c>
      <c r="F16" s="33" t="str">
        <f>"AustralAsian Sales - Retail/Parts"</f>
        <v>AustralAsian Sales - Retail/Parts</v>
      </c>
      <c r="G16" s="31">
        <v>96936.57</v>
      </c>
      <c r="H16" s="36">
        <v>97000</v>
      </c>
      <c r="I16" s="199">
        <f t="shared" si="0"/>
        <v>-63.429999999993015</v>
      </c>
      <c r="J16" s="215">
        <f t="shared" si="1"/>
        <v>-6.5391752577312388E-4</v>
      </c>
      <c r="N16" s="198"/>
    </row>
    <row r="17" spans="1:14" hidden="1" outlineLevel="1" x14ac:dyDescent="0.3">
      <c r="A17" s="41" t="s">
        <v>581</v>
      </c>
      <c r="B17" s="223"/>
      <c r="C17" s="210"/>
      <c r="D17" s="32"/>
      <c r="E17" s="33" t="str">
        <f>"000-4112-02"</f>
        <v>000-4112-02</v>
      </c>
      <c r="F17" s="33" t="str">
        <f>"AustralAsian Sales - Finished Goods"</f>
        <v>AustralAsian Sales - Finished Goods</v>
      </c>
      <c r="G17" s="31">
        <v>6290.65</v>
      </c>
      <c r="H17" s="36">
        <v>7000</v>
      </c>
      <c r="I17" s="199">
        <f t="shared" si="0"/>
        <v>-709.35000000000036</v>
      </c>
      <c r="J17" s="215">
        <f t="shared" si="1"/>
        <v>-0.10133571428571433</v>
      </c>
      <c r="N17" s="198"/>
    </row>
    <row r="18" spans="1:14" hidden="1" outlineLevel="1" x14ac:dyDescent="0.3">
      <c r="A18" s="41" t="s">
        <v>581</v>
      </c>
      <c r="B18" s="223"/>
      <c r="C18" s="210"/>
      <c r="D18" s="32"/>
      <c r="E18" s="33" t="str">
        <f>"000-4114-01"</f>
        <v>000-4114-01</v>
      </c>
      <c r="F18" s="33" t="str">
        <f>"Germany Sales - Retail/Parts"</f>
        <v>Germany Sales - Retail/Parts</v>
      </c>
      <c r="G18" s="31">
        <v>0</v>
      </c>
      <c r="H18" s="36">
        <v>5000</v>
      </c>
      <c r="I18" s="199">
        <f t="shared" si="0"/>
        <v>-5000</v>
      </c>
      <c r="J18" s="215" t="str">
        <f t="shared" si="1"/>
        <v>-</v>
      </c>
      <c r="N18" s="198"/>
    </row>
    <row r="19" spans="1:14" hidden="1" outlineLevel="1" x14ac:dyDescent="0.3">
      <c r="A19" s="41" t="s">
        <v>581</v>
      </c>
      <c r="B19" s="223"/>
      <c r="C19" s="210"/>
      <c r="D19" s="32"/>
      <c r="E19" s="33" t="str">
        <f>"000-4114-02"</f>
        <v>000-4114-02</v>
      </c>
      <c r="F19" s="33" t="str">
        <f>"Germany Sales - Finished Goods"</f>
        <v>Germany Sales - Finished Goods</v>
      </c>
      <c r="G19" s="31">
        <v>0</v>
      </c>
      <c r="H19" s="36">
        <v>0</v>
      </c>
      <c r="I19" s="199">
        <f t="shared" si="0"/>
        <v>0</v>
      </c>
      <c r="J19" s="215" t="str">
        <f t="shared" si="1"/>
        <v>-</v>
      </c>
      <c r="N19" s="198"/>
    </row>
    <row r="20" spans="1:14" hidden="1" outlineLevel="1" x14ac:dyDescent="0.3">
      <c r="A20" s="41" t="s">
        <v>581</v>
      </c>
      <c r="B20" s="223"/>
      <c r="C20" s="210"/>
      <c r="D20" s="32"/>
      <c r="E20" s="33" t="str">
        <f>"000-4115-01"</f>
        <v>000-4115-01</v>
      </c>
      <c r="F20" s="33" t="str">
        <f>"United Kingdom Sales - Retail/Parts"</f>
        <v>United Kingdom Sales - Retail/Parts</v>
      </c>
      <c r="G20" s="31">
        <v>894.12</v>
      </c>
      <c r="H20" s="36">
        <v>1000</v>
      </c>
      <c r="I20" s="199">
        <f t="shared" si="0"/>
        <v>-105.88</v>
      </c>
      <c r="J20" s="215">
        <f t="shared" si="1"/>
        <v>-0.10588</v>
      </c>
      <c r="N20" s="198"/>
    </row>
    <row r="21" spans="1:14" hidden="1" outlineLevel="1" x14ac:dyDescent="0.3">
      <c r="A21" s="41" t="s">
        <v>581</v>
      </c>
      <c r="B21" s="223"/>
      <c r="C21" s="210"/>
      <c r="D21" s="32"/>
      <c r="E21" s="33" t="str">
        <f>"000-4115-02"</f>
        <v>000-4115-02</v>
      </c>
      <c r="F21" s="33" t="str">
        <f>"United Kingdom Sales - Finished Goods"</f>
        <v>United Kingdom Sales - Finished Goods</v>
      </c>
      <c r="G21" s="31">
        <v>6542.12</v>
      </c>
      <c r="H21" s="36">
        <v>0</v>
      </c>
      <c r="I21" s="199">
        <f t="shared" si="0"/>
        <v>6542.12</v>
      </c>
      <c r="J21" s="215" t="str">
        <f t="shared" si="1"/>
        <v>∞</v>
      </c>
      <c r="N21" s="198"/>
    </row>
    <row r="22" spans="1:14" hidden="1" outlineLevel="1" x14ac:dyDescent="0.3">
      <c r="A22" s="41" t="s">
        <v>581</v>
      </c>
      <c r="B22" s="223"/>
      <c r="C22" s="210"/>
      <c r="D22" s="32"/>
      <c r="E22" s="33" t="str">
        <f>"000-4116-01"</f>
        <v>000-4116-01</v>
      </c>
      <c r="F22" s="33" t="str">
        <f>"South Africa - Retail/Parts"</f>
        <v>South Africa - Retail/Parts</v>
      </c>
      <c r="G22" s="31">
        <v>5034.33</v>
      </c>
      <c r="H22" s="36">
        <v>5000</v>
      </c>
      <c r="I22" s="199">
        <f t="shared" si="0"/>
        <v>34.329999999999927</v>
      </c>
      <c r="J22" s="215">
        <f t="shared" si="1"/>
        <v>6.8659999999999858E-3</v>
      </c>
      <c r="N22" s="198"/>
    </row>
    <row r="23" spans="1:14" hidden="1" outlineLevel="1" x14ac:dyDescent="0.3">
      <c r="A23" s="41" t="s">
        <v>581</v>
      </c>
      <c r="B23" s="223"/>
      <c r="C23" s="210"/>
      <c r="D23" s="32"/>
      <c r="E23" s="33" t="str">
        <f>"000-4116-02"</f>
        <v>000-4116-02</v>
      </c>
      <c r="F23" s="33" t="str">
        <f>"South Africa Sales - Finished Goods"</f>
        <v>South Africa Sales - Finished Goods</v>
      </c>
      <c r="G23" s="31">
        <v>0</v>
      </c>
      <c r="H23" s="36">
        <v>0</v>
      </c>
      <c r="I23" s="199">
        <f t="shared" si="0"/>
        <v>0</v>
      </c>
      <c r="J23" s="215" t="str">
        <f t="shared" si="1"/>
        <v>-</v>
      </c>
      <c r="N23" s="198"/>
    </row>
    <row r="24" spans="1:14" hidden="1" outlineLevel="1" x14ac:dyDescent="0.3">
      <c r="A24" s="41" t="s">
        <v>581</v>
      </c>
      <c r="B24" s="223"/>
      <c r="C24" s="210"/>
      <c r="D24" s="32"/>
      <c r="E24" s="33" t="str">
        <f>"000-4117-01"</f>
        <v>000-4117-01</v>
      </c>
      <c r="F24" s="33" t="str">
        <f>"Singapore Sales - Retail/Parts"</f>
        <v>Singapore Sales - Retail/Parts</v>
      </c>
      <c r="G24" s="31">
        <v>1693.32</v>
      </c>
      <c r="H24" s="36">
        <v>2000</v>
      </c>
      <c r="I24" s="199">
        <f t="shared" si="0"/>
        <v>-306.68000000000006</v>
      </c>
      <c r="J24" s="215">
        <f t="shared" si="1"/>
        <v>-0.15334000000000003</v>
      </c>
      <c r="N24" s="198"/>
    </row>
    <row r="25" spans="1:14" hidden="1" outlineLevel="1" x14ac:dyDescent="0.3">
      <c r="A25" s="41" t="s">
        <v>581</v>
      </c>
      <c r="B25" s="223"/>
      <c r="C25" s="210"/>
      <c r="D25" s="32"/>
      <c r="E25" s="33" t="str">
        <f>"000-4117-02"</f>
        <v>000-4117-02</v>
      </c>
      <c r="F25" s="33" t="str">
        <f>"Singapore Sales - Finished Goods"</f>
        <v>Singapore Sales - Finished Goods</v>
      </c>
      <c r="G25" s="31">
        <v>1693.32</v>
      </c>
      <c r="H25" s="36">
        <v>2000</v>
      </c>
      <c r="I25" s="199">
        <f t="shared" si="0"/>
        <v>-306.68000000000006</v>
      </c>
      <c r="J25" s="215">
        <f t="shared" si="1"/>
        <v>-0.15334000000000003</v>
      </c>
      <c r="N25" s="198"/>
    </row>
    <row r="26" spans="1:14" hidden="1" outlineLevel="1" x14ac:dyDescent="0.3">
      <c r="A26" s="41" t="s">
        <v>581</v>
      </c>
      <c r="B26" s="223"/>
      <c r="C26" s="210"/>
      <c r="D26" s="32"/>
      <c r="E26" s="33" t="str">
        <f>"000-4120-00"</f>
        <v>000-4120-00</v>
      </c>
      <c r="F26" s="33" t="str">
        <f>"US Sales - Service Plans"</f>
        <v>US Sales - Service Plans</v>
      </c>
      <c r="G26" s="31">
        <v>166894.54</v>
      </c>
      <c r="H26" s="36">
        <v>175000</v>
      </c>
      <c r="I26" s="199">
        <f t="shared" si="0"/>
        <v>-8105.4599999999919</v>
      </c>
      <c r="J26" s="215">
        <f t="shared" si="1"/>
        <v>-4.6316914285714238E-2</v>
      </c>
      <c r="N26" s="198"/>
    </row>
    <row r="27" spans="1:14" hidden="1" outlineLevel="1" x14ac:dyDescent="0.3">
      <c r="A27" s="41" t="s">
        <v>581</v>
      </c>
      <c r="B27" s="223"/>
      <c r="C27" s="210"/>
      <c r="D27" s="32"/>
      <c r="E27" s="33" t="str">
        <f>"000-4121-00"</f>
        <v>000-4121-00</v>
      </c>
      <c r="F27" s="33" t="str">
        <f>"Canadian Sales - Service Plans"</f>
        <v>Canadian Sales - Service Plans</v>
      </c>
      <c r="G27" s="31">
        <v>0</v>
      </c>
      <c r="H27" s="36">
        <v>0</v>
      </c>
      <c r="I27" s="199">
        <f t="shared" si="0"/>
        <v>0</v>
      </c>
      <c r="J27" s="215" t="str">
        <f t="shared" si="1"/>
        <v>-</v>
      </c>
      <c r="N27" s="198"/>
    </row>
    <row r="28" spans="1:14" hidden="1" outlineLevel="1" x14ac:dyDescent="0.3">
      <c r="A28" s="41" t="s">
        <v>581</v>
      </c>
      <c r="B28" s="223"/>
      <c r="C28" s="210"/>
      <c r="D28" s="32"/>
      <c r="E28" s="33" t="str">
        <f>"000-4122-00"</f>
        <v>000-4122-00</v>
      </c>
      <c r="F28" s="33" t="str">
        <f>"AustralAsian Sales - Service Plans"</f>
        <v>AustralAsian Sales - Service Plans</v>
      </c>
      <c r="G28" s="31">
        <v>12500</v>
      </c>
      <c r="H28" s="36">
        <v>12500</v>
      </c>
      <c r="I28" s="199">
        <f t="shared" si="0"/>
        <v>0</v>
      </c>
      <c r="J28" s="215">
        <f t="shared" si="1"/>
        <v>0</v>
      </c>
      <c r="N28" s="198"/>
    </row>
    <row r="29" spans="1:14" hidden="1" outlineLevel="1" x14ac:dyDescent="0.3">
      <c r="A29" s="41" t="s">
        <v>581</v>
      </c>
      <c r="B29" s="223"/>
      <c r="C29" s="210"/>
      <c r="D29" s="32"/>
      <c r="E29" s="33" t="str">
        <f>"000-4124-00"</f>
        <v>000-4124-00</v>
      </c>
      <c r="F29" s="33" t="str">
        <f>"Germany Sales - Service Plans"</f>
        <v>Germany Sales - Service Plans</v>
      </c>
      <c r="G29" s="31">
        <v>0</v>
      </c>
      <c r="H29" s="36">
        <v>0</v>
      </c>
      <c r="I29" s="199">
        <f t="shared" si="0"/>
        <v>0</v>
      </c>
      <c r="J29" s="215" t="str">
        <f t="shared" si="1"/>
        <v>-</v>
      </c>
      <c r="N29" s="198"/>
    </row>
    <row r="30" spans="1:14" hidden="1" outlineLevel="1" x14ac:dyDescent="0.3">
      <c r="A30" s="41" t="s">
        <v>581</v>
      </c>
      <c r="B30" s="223"/>
      <c r="C30" s="210"/>
      <c r="D30" s="32"/>
      <c r="E30" s="33" t="str">
        <f>"000-4125-00"</f>
        <v>000-4125-00</v>
      </c>
      <c r="F30" s="33" t="str">
        <f>"United Kingdom Sales - Service Plans"</f>
        <v>United Kingdom Sales - Service Plans</v>
      </c>
      <c r="G30" s="31">
        <v>0</v>
      </c>
      <c r="H30" s="36">
        <v>0</v>
      </c>
      <c r="I30" s="199">
        <f t="shared" si="0"/>
        <v>0</v>
      </c>
      <c r="J30" s="215" t="str">
        <f t="shared" si="1"/>
        <v>-</v>
      </c>
      <c r="N30" s="198"/>
    </row>
    <row r="31" spans="1:14" hidden="1" outlineLevel="1" x14ac:dyDescent="0.3">
      <c r="A31" s="41" t="s">
        <v>581</v>
      </c>
      <c r="B31" s="223"/>
      <c r="C31" s="210"/>
      <c r="D31" s="32"/>
      <c r="E31" s="33" t="str">
        <f>"000-4126-00"</f>
        <v>000-4126-00</v>
      </c>
      <c r="F31" s="33" t="str">
        <f>"South Africa Sales - Service Plans"</f>
        <v>South Africa Sales - Service Plans</v>
      </c>
      <c r="G31" s="31">
        <v>0</v>
      </c>
      <c r="H31" s="36">
        <v>0</v>
      </c>
      <c r="I31" s="199">
        <f t="shared" si="0"/>
        <v>0</v>
      </c>
      <c r="J31" s="215" t="str">
        <f t="shared" si="1"/>
        <v>-</v>
      </c>
      <c r="N31" s="198"/>
    </row>
    <row r="32" spans="1:14" hidden="1" outlineLevel="1" x14ac:dyDescent="0.3">
      <c r="A32" s="41" t="s">
        <v>581</v>
      </c>
      <c r="B32" s="223"/>
      <c r="C32" s="210"/>
      <c r="D32" s="32"/>
      <c r="E32" s="33" t="str">
        <f>"000-4127-00"</f>
        <v>000-4127-00</v>
      </c>
      <c r="F32" s="33" t="str">
        <f>"Singapore Sales - Service Plans"</f>
        <v>Singapore Sales - Service Plans</v>
      </c>
      <c r="G32" s="31">
        <v>0</v>
      </c>
      <c r="H32" s="36">
        <v>0</v>
      </c>
      <c r="I32" s="199">
        <f t="shared" si="0"/>
        <v>0</v>
      </c>
      <c r="J32" s="215" t="str">
        <f t="shared" si="1"/>
        <v>-</v>
      </c>
      <c r="N32" s="198"/>
    </row>
    <row r="33" spans="1:14" hidden="1" outlineLevel="1" x14ac:dyDescent="0.3">
      <c r="A33" s="41" t="s">
        <v>581</v>
      </c>
      <c r="B33" s="223"/>
      <c r="C33" s="210"/>
      <c r="D33" s="32"/>
      <c r="E33" s="33" t="str">
        <f>"000-4130-00"</f>
        <v>000-4130-00</v>
      </c>
      <c r="F33" s="33" t="str">
        <f>"US Sales - Installation Charges"</f>
        <v>US Sales - Installation Charges</v>
      </c>
      <c r="G33" s="31">
        <v>211747.78</v>
      </c>
      <c r="H33" s="36">
        <v>220000</v>
      </c>
      <c r="I33" s="199">
        <f t="shared" si="0"/>
        <v>-8252.2200000000012</v>
      </c>
      <c r="J33" s="215">
        <f t="shared" si="1"/>
        <v>-3.7510090909090917E-2</v>
      </c>
      <c r="N33" s="198"/>
    </row>
    <row r="34" spans="1:14" hidden="1" outlineLevel="1" x14ac:dyDescent="0.3">
      <c r="A34" s="41" t="s">
        <v>581</v>
      </c>
      <c r="B34" s="223"/>
      <c r="C34" s="210"/>
      <c r="D34" s="32"/>
      <c r="E34" s="33" t="str">
        <f>"000-4131-00"</f>
        <v>000-4131-00</v>
      </c>
      <c r="F34" s="33" t="str">
        <f>"Canadian Sales - Installation Charges"</f>
        <v>Canadian Sales - Installation Charges</v>
      </c>
      <c r="G34" s="31">
        <v>0</v>
      </c>
      <c r="H34" s="36">
        <v>0</v>
      </c>
      <c r="I34" s="199">
        <f t="shared" si="0"/>
        <v>0</v>
      </c>
      <c r="J34" s="215" t="str">
        <f t="shared" si="1"/>
        <v>-</v>
      </c>
      <c r="N34" s="198"/>
    </row>
    <row r="35" spans="1:14" hidden="1" outlineLevel="1" x14ac:dyDescent="0.3">
      <c r="A35" s="41" t="s">
        <v>581</v>
      </c>
      <c r="B35" s="223"/>
      <c r="C35" s="210"/>
      <c r="D35" s="32"/>
      <c r="E35" s="33" t="str">
        <f>"000-4132-00"</f>
        <v>000-4132-00</v>
      </c>
      <c r="F35" s="33" t="str">
        <f>"AustralAsian Sales - Installation Charges"</f>
        <v>AustralAsian Sales - Installation Charges</v>
      </c>
      <c r="G35" s="31">
        <v>11154.59</v>
      </c>
      <c r="H35" s="36">
        <v>12000</v>
      </c>
      <c r="I35" s="199">
        <f t="shared" si="0"/>
        <v>-845.40999999999985</v>
      </c>
      <c r="J35" s="215">
        <f t="shared" si="1"/>
        <v>-7.0450833333333324E-2</v>
      </c>
      <c r="N35" s="198"/>
    </row>
    <row r="36" spans="1:14" hidden="1" outlineLevel="1" x14ac:dyDescent="0.3">
      <c r="A36" s="41" t="s">
        <v>581</v>
      </c>
      <c r="B36" s="223"/>
      <c r="C36" s="210"/>
      <c r="D36" s="32"/>
      <c r="E36" s="33" t="str">
        <f>"000-4134-00"</f>
        <v>000-4134-00</v>
      </c>
      <c r="F36" s="33" t="str">
        <f>"Germany Sales - Installation Charges"</f>
        <v>Germany Sales - Installation Charges</v>
      </c>
      <c r="G36" s="31">
        <v>0</v>
      </c>
      <c r="H36" s="36">
        <v>0</v>
      </c>
      <c r="I36" s="199">
        <f t="shared" si="0"/>
        <v>0</v>
      </c>
      <c r="J36" s="215" t="str">
        <f t="shared" si="1"/>
        <v>-</v>
      </c>
      <c r="N36" s="198"/>
    </row>
    <row r="37" spans="1:14" hidden="1" outlineLevel="1" x14ac:dyDescent="0.3">
      <c r="A37" s="41" t="s">
        <v>581</v>
      </c>
      <c r="B37" s="223"/>
      <c r="C37" s="210"/>
      <c r="D37" s="32"/>
      <c r="E37" s="33" t="str">
        <f>"000-4135-00"</f>
        <v>000-4135-00</v>
      </c>
      <c r="F37" s="33" t="str">
        <f>"United Kingdom Sales - Installation Charges"</f>
        <v>United Kingdom Sales - Installation Charges</v>
      </c>
      <c r="G37" s="31">
        <v>0</v>
      </c>
      <c r="H37" s="36">
        <v>0</v>
      </c>
      <c r="I37" s="199">
        <f t="shared" si="0"/>
        <v>0</v>
      </c>
      <c r="J37" s="215" t="str">
        <f t="shared" si="1"/>
        <v>-</v>
      </c>
      <c r="N37" s="198"/>
    </row>
    <row r="38" spans="1:14" hidden="1" outlineLevel="1" x14ac:dyDescent="0.3">
      <c r="A38" s="41" t="s">
        <v>581</v>
      </c>
      <c r="B38" s="223"/>
      <c r="C38" s="210"/>
      <c r="D38" s="32"/>
      <c r="E38" s="33" t="str">
        <f>"000-4136-00"</f>
        <v>000-4136-00</v>
      </c>
      <c r="F38" s="33" t="str">
        <f>"South Africa Sales - Installation Charges"</f>
        <v>South Africa Sales - Installation Charges</v>
      </c>
      <c r="G38" s="31">
        <v>0</v>
      </c>
      <c r="H38" s="36">
        <v>0</v>
      </c>
      <c r="I38" s="199">
        <f t="shared" si="0"/>
        <v>0</v>
      </c>
      <c r="J38" s="215" t="str">
        <f t="shared" si="1"/>
        <v>-</v>
      </c>
      <c r="N38" s="198"/>
    </row>
    <row r="39" spans="1:14" hidden="1" outlineLevel="1" x14ac:dyDescent="0.3">
      <c r="A39" s="41" t="s">
        <v>581</v>
      </c>
      <c r="B39" s="223"/>
      <c r="C39" s="210"/>
      <c r="D39" s="32"/>
      <c r="E39" s="33" t="str">
        <f>"000-4137-00"</f>
        <v>000-4137-00</v>
      </c>
      <c r="F39" s="33" t="str">
        <f>"Singapore Sales - Installation Charges"</f>
        <v>Singapore Sales - Installation Charges</v>
      </c>
      <c r="G39" s="31">
        <v>0</v>
      </c>
      <c r="H39" s="36">
        <v>0</v>
      </c>
      <c r="I39" s="199">
        <f t="shared" si="0"/>
        <v>0</v>
      </c>
      <c r="J39" s="215" t="str">
        <f t="shared" si="1"/>
        <v>-</v>
      </c>
      <c r="N39" s="198"/>
    </row>
    <row r="40" spans="1:14" hidden="1" outlineLevel="1" x14ac:dyDescent="0.3">
      <c r="A40" s="41" t="s">
        <v>581</v>
      </c>
      <c r="B40" s="223"/>
      <c r="C40" s="210"/>
      <c r="D40" s="32"/>
      <c r="E40" s="33" t="str">
        <f>"000-4140-00"</f>
        <v>000-4140-00</v>
      </c>
      <c r="F40" s="33" t="str">
        <f>"US Sales - Repair Charges"</f>
        <v>US Sales - Repair Charges</v>
      </c>
      <c r="G40" s="31">
        <v>82450.19</v>
      </c>
      <c r="H40" s="36">
        <v>80000</v>
      </c>
      <c r="I40" s="199">
        <f t="shared" si="0"/>
        <v>2450.1900000000023</v>
      </c>
      <c r="J40" s="215">
        <f t="shared" si="1"/>
        <v>3.062737500000003E-2</v>
      </c>
      <c r="N40" s="198"/>
    </row>
    <row r="41" spans="1:14" hidden="1" outlineLevel="1" x14ac:dyDescent="0.3">
      <c r="A41" s="41" t="s">
        <v>581</v>
      </c>
      <c r="B41" s="223"/>
      <c r="C41" s="210"/>
      <c r="D41" s="32"/>
      <c r="E41" s="33" t="str">
        <f>"000-4141-00"</f>
        <v>000-4141-00</v>
      </c>
      <c r="F41" s="33" t="str">
        <f>"Canadian Sales - Repair Charges"</f>
        <v>Canadian Sales - Repair Charges</v>
      </c>
      <c r="G41" s="31">
        <v>4841.26</v>
      </c>
      <c r="H41" s="36">
        <v>4000</v>
      </c>
      <c r="I41" s="199">
        <f t="shared" si="0"/>
        <v>841.26000000000022</v>
      </c>
      <c r="J41" s="215">
        <f t="shared" si="1"/>
        <v>0.21031500000000006</v>
      </c>
      <c r="N41" s="198"/>
    </row>
    <row r="42" spans="1:14" hidden="1" outlineLevel="1" x14ac:dyDescent="0.3">
      <c r="A42" s="41" t="s">
        <v>581</v>
      </c>
      <c r="B42" s="223"/>
      <c r="C42" s="210"/>
      <c r="D42" s="32"/>
      <c r="E42" s="33" t="str">
        <f>"000-4142-00"</f>
        <v>000-4142-00</v>
      </c>
      <c r="F42" s="33" t="str">
        <f>"AustralAsian Sales - Repair Charges"</f>
        <v>AustralAsian Sales - Repair Charges</v>
      </c>
      <c r="G42" s="31">
        <v>4359.3999999999996</v>
      </c>
      <c r="H42" s="36">
        <v>4000</v>
      </c>
      <c r="I42" s="199">
        <f t="shared" si="0"/>
        <v>359.39999999999964</v>
      </c>
      <c r="J42" s="215">
        <f t="shared" si="1"/>
        <v>8.9849999999999902E-2</v>
      </c>
      <c r="N42" s="198"/>
    </row>
    <row r="43" spans="1:14" hidden="1" outlineLevel="1" x14ac:dyDescent="0.3">
      <c r="A43" s="41" t="s">
        <v>581</v>
      </c>
      <c r="B43" s="223"/>
      <c r="C43" s="210"/>
      <c r="D43" s="32"/>
      <c r="E43" s="33" t="str">
        <f>"000-4176-00"</f>
        <v>000-4176-00</v>
      </c>
      <c r="F43" s="33" t="str">
        <f>"South Africa Sales Discount"</f>
        <v>South Africa Sales Discount</v>
      </c>
      <c r="G43" s="31">
        <v>0</v>
      </c>
      <c r="H43" s="36">
        <v>0</v>
      </c>
      <c r="I43" s="199">
        <f t="shared" si="0"/>
        <v>0</v>
      </c>
      <c r="J43" s="215" t="str">
        <f t="shared" si="1"/>
        <v>-</v>
      </c>
      <c r="N43" s="198"/>
    </row>
    <row r="44" spans="1:14" hidden="1" outlineLevel="1" x14ac:dyDescent="0.3">
      <c r="A44" s="41" t="s">
        <v>581</v>
      </c>
      <c r="B44" s="223"/>
      <c r="C44" s="210"/>
      <c r="D44" s="32"/>
      <c r="E44" s="33" t="str">
        <f>"000-4177-00"</f>
        <v>000-4177-00</v>
      </c>
      <c r="F44" s="33" t="str">
        <f>"Germany Sales Discount"</f>
        <v>Germany Sales Discount</v>
      </c>
      <c r="G44" s="31">
        <v>0</v>
      </c>
      <c r="H44" s="36">
        <v>0</v>
      </c>
      <c r="I44" s="199">
        <f t="shared" si="0"/>
        <v>0</v>
      </c>
      <c r="J44" s="215" t="str">
        <f t="shared" si="1"/>
        <v>-</v>
      </c>
      <c r="N44" s="198"/>
    </row>
    <row r="45" spans="1:14" hidden="1" outlineLevel="1" x14ac:dyDescent="0.3">
      <c r="A45" s="41" t="s">
        <v>581</v>
      </c>
      <c r="B45" s="223"/>
      <c r="C45" s="210"/>
      <c r="D45" s="32"/>
      <c r="E45" s="33" t="str">
        <f>"000-4178-00"</f>
        <v>000-4178-00</v>
      </c>
      <c r="F45" s="33" t="str">
        <f>"Singapore Sales Discount"</f>
        <v>Singapore Sales Discount</v>
      </c>
      <c r="G45" s="31">
        <v>0</v>
      </c>
      <c r="H45" s="36">
        <v>0</v>
      </c>
      <c r="I45" s="199">
        <f t="shared" si="0"/>
        <v>0</v>
      </c>
      <c r="J45" s="215" t="str">
        <f t="shared" si="1"/>
        <v>-</v>
      </c>
      <c r="N45" s="198"/>
    </row>
    <row r="46" spans="1:14" hidden="1" outlineLevel="1" x14ac:dyDescent="0.3">
      <c r="A46" s="41" t="s">
        <v>581</v>
      </c>
      <c r="B46" s="223"/>
      <c r="C46" s="210"/>
      <c r="D46" s="32"/>
      <c r="E46" s="33" t="str">
        <f>"000-4179-00"</f>
        <v>000-4179-00</v>
      </c>
      <c r="F46" s="33" t="str">
        <f>"United Kingdom Sales Discount"</f>
        <v>United Kingdom Sales Discount</v>
      </c>
      <c r="G46" s="31">
        <v>0</v>
      </c>
      <c r="H46" s="36">
        <v>0</v>
      </c>
      <c r="I46" s="199">
        <f t="shared" si="0"/>
        <v>0</v>
      </c>
      <c r="J46" s="215" t="str">
        <f t="shared" si="1"/>
        <v>-</v>
      </c>
      <c r="N46" s="198"/>
    </row>
    <row r="47" spans="1:14" hidden="1" outlineLevel="1" x14ac:dyDescent="0.3">
      <c r="A47" s="41" t="s">
        <v>581</v>
      </c>
      <c r="B47" s="223"/>
      <c r="C47" s="210"/>
      <c r="D47" s="32"/>
      <c r="E47" s="33" t="str">
        <f>"000-4186-00"</f>
        <v>000-4186-00</v>
      </c>
      <c r="F47" s="33" t="str">
        <f>"United Kingdom Trade Discount"</f>
        <v>United Kingdom Trade Discount</v>
      </c>
      <c r="G47" s="31">
        <v>0</v>
      </c>
      <c r="H47" s="36">
        <v>0</v>
      </c>
      <c r="I47" s="199">
        <f t="shared" si="0"/>
        <v>0</v>
      </c>
      <c r="J47" s="215" t="str">
        <f t="shared" si="1"/>
        <v>-</v>
      </c>
      <c r="N47" s="198"/>
    </row>
    <row r="48" spans="1:14" hidden="1" outlineLevel="1" x14ac:dyDescent="0.3">
      <c r="A48" s="41" t="s">
        <v>581</v>
      </c>
      <c r="B48" s="223"/>
      <c r="C48" s="210"/>
      <c r="D48" s="32"/>
      <c r="E48" s="33" t="str">
        <f>"000-4187-00"</f>
        <v>000-4187-00</v>
      </c>
      <c r="F48" s="33" t="str">
        <f>"Singapore Trade Discount"</f>
        <v>Singapore Trade Discount</v>
      </c>
      <c r="G48" s="31">
        <v>0</v>
      </c>
      <c r="H48" s="36">
        <v>0</v>
      </c>
      <c r="I48" s="199">
        <f t="shared" si="0"/>
        <v>0</v>
      </c>
      <c r="J48" s="215" t="str">
        <f t="shared" si="1"/>
        <v>-</v>
      </c>
      <c r="N48" s="198"/>
    </row>
    <row r="49" spans="1:14" hidden="1" outlineLevel="1" x14ac:dyDescent="0.3">
      <c r="A49" s="41" t="s">
        <v>581</v>
      </c>
      <c r="B49" s="223"/>
      <c r="C49" s="210"/>
      <c r="D49" s="32"/>
      <c r="E49" s="33" t="str">
        <f>"000-4188-00"</f>
        <v>000-4188-00</v>
      </c>
      <c r="F49" s="33" t="str">
        <f>"Germany Trade Discount"</f>
        <v>Germany Trade Discount</v>
      </c>
      <c r="G49" s="31">
        <v>0</v>
      </c>
      <c r="H49" s="36">
        <v>0</v>
      </c>
      <c r="I49" s="199">
        <f t="shared" si="0"/>
        <v>0</v>
      </c>
      <c r="J49" s="215" t="str">
        <f t="shared" si="1"/>
        <v>-</v>
      </c>
      <c r="N49" s="198"/>
    </row>
    <row r="50" spans="1:14" hidden="1" outlineLevel="1" x14ac:dyDescent="0.3">
      <c r="A50" s="41" t="s">
        <v>581</v>
      </c>
      <c r="B50" s="223"/>
      <c r="C50" s="210"/>
      <c r="D50" s="32"/>
      <c r="E50" s="33" t="str">
        <f>"000-4189-00"</f>
        <v>000-4189-00</v>
      </c>
      <c r="F50" s="33" t="str">
        <f>"South Africa Trade Discount"</f>
        <v>South Africa Trade Discount</v>
      </c>
      <c r="G50" s="31">
        <v>0</v>
      </c>
      <c r="H50" s="36">
        <v>0</v>
      </c>
      <c r="I50" s="199">
        <f t="shared" si="0"/>
        <v>0</v>
      </c>
      <c r="J50" s="215" t="str">
        <f t="shared" si="1"/>
        <v>-</v>
      </c>
      <c r="N50" s="198"/>
    </row>
    <row r="51" spans="1:14" hidden="1" outlineLevel="1" x14ac:dyDescent="0.3">
      <c r="A51" s="41" t="s">
        <v>581</v>
      </c>
      <c r="B51" s="223"/>
      <c r="C51" s="210"/>
      <c r="D51" s="32"/>
      <c r="E51" s="33" t="str">
        <f>"000-4200-00"</f>
        <v>000-4200-00</v>
      </c>
      <c r="F51" s="33" t="str">
        <f>"Project Revenue/Sales"</f>
        <v>Project Revenue/Sales</v>
      </c>
      <c r="G51" s="31">
        <v>0</v>
      </c>
      <c r="H51" s="36">
        <v>0</v>
      </c>
      <c r="I51" s="199">
        <f t="shared" si="0"/>
        <v>0</v>
      </c>
      <c r="J51" s="215" t="str">
        <f t="shared" si="1"/>
        <v>-</v>
      </c>
      <c r="N51" s="198"/>
    </row>
    <row r="52" spans="1:14" hidden="1" outlineLevel="1" x14ac:dyDescent="0.3">
      <c r="A52" s="41" t="s">
        <v>581</v>
      </c>
      <c r="B52" s="223"/>
      <c r="C52" s="210"/>
      <c r="D52" s="32"/>
      <c r="E52" s="33" t="str">
        <f>"000-4210-01"</f>
        <v>000-4210-01</v>
      </c>
      <c r="F52" s="33" t="str">
        <f>"Project Billings"</f>
        <v>Project Billings</v>
      </c>
      <c r="G52" s="31">
        <v>0</v>
      </c>
      <c r="H52" s="36">
        <v>0</v>
      </c>
      <c r="I52" s="199">
        <f t="shared" si="0"/>
        <v>0</v>
      </c>
      <c r="J52" s="215" t="str">
        <f t="shared" si="1"/>
        <v>-</v>
      </c>
      <c r="N52" s="198"/>
    </row>
    <row r="53" spans="1:14" hidden="1" outlineLevel="1" x14ac:dyDescent="0.3">
      <c r="A53" s="41" t="s">
        <v>581</v>
      </c>
      <c r="B53" s="223"/>
      <c r="C53" s="210"/>
      <c r="D53" s="32"/>
      <c r="E53" s="33" t="str">
        <f>"000-4280-01"</f>
        <v>000-4280-01</v>
      </c>
      <c r="F53" s="33" t="str">
        <f>"Unbilled Project Revenue"</f>
        <v>Unbilled Project Revenue</v>
      </c>
      <c r="G53" s="31">
        <v>0</v>
      </c>
      <c r="H53" s="36">
        <v>0</v>
      </c>
      <c r="I53" s="199">
        <f t="shared" si="0"/>
        <v>0</v>
      </c>
      <c r="J53" s="215" t="str">
        <f t="shared" si="1"/>
        <v>-</v>
      </c>
      <c r="N53" s="198"/>
    </row>
    <row r="54" spans="1:14" hidden="1" outlineLevel="1" x14ac:dyDescent="0.3">
      <c r="A54" s="41" t="s">
        <v>581</v>
      </c>
      <c r="B54" s="223"/>
      <c r="C54" s="210"/>
      <c r="D54" s="32"/>
      <c r="E54" s="33" t="str">
        <f>"000-4500-01"</f>
        <v>000-4500-01</v>
      </c>
      <c r="F54" s="33" t="str">
        <f>"Project Revenue"</f>
        <v>Project Revenue</v>
      </c>
      <c r="G54" s="31">
        <v>0</v>
      </c>
      <c r="H54" s="36">
        <v>0</v>
      </c>
      <c r="I54" s="199">
        <f t="shared" si="0"/>
        <v>0</v>
      </c>
      <c r="J54" s="215" t="str">
        <f t="shared" si="1"/>
        <v>-</v>
      </c>
      <c r="N54" s="198"/>
    </row>
    <row r="55" spans="1:14" hidden="1" outlineLevel="1" x14ac:dyDescent="0.3">
      <c r="A55" s="41"/>
      <c r="B55" s="223"/>
      <c r="C55" s="210"/>
      <c r="D55" s="32"/>
      <c r="E55" s="27"/>
      <c r="F55" s="27"/>
      <c r="G55" s="34"/>
      <c r="H55" s="35"/>
      <c r="I55" s="200"/>
      <c r="J55" s="214"/>
    </row>
    <row r="56" spans="1:14" collapsed="1" x14ac:dyDescent="0.3">
      <c r="A56" s="41"/>
      <c r="B56" s="222">
        <v>32</v>
      </c>
      <c r="C56" s="210"/>
      <c r="D56" s="27" t="str">
        <f>"Sales Returns and Discounts"</f>
        <v>Sales Returns and Discounts</v>
      </c>
      <c r="E56" s="27"/>
      <c r="F56" s="27"/>
      <c r="G56" s="30">
        <f>SUBTOTAL(9,G57:G66)</f>
        <v>-56881.79</v>
      </c>
      <c r="H56" s="30">
        <f>SUBTOTAL(9,H57:H66)</f>
        <v>-59500</v>
      </c>
      <c r="I56" s="201">
        <f>G56-H56</f>
        <v>2618.2099999999991</v>
      </c>
      <c r="J56" s="214">
        <f>IF(G56=0,"-",IF(H56=0,"∞",(G56-H56)/H56))</f>
        <v>-4.4003529411764691E-2</v>
      </c>
    </row>
    <row r="57" spans="1:14" hidden="1" outlineLevel="1" x14ac:dyDescent="0.3">
      <c r="A57" s="41"/>
      <c r="B57" s="221"/>
      <c r="C57" s="210"/>
      <c r="D57" s="32"/>
      <c r="E57" s="33" t="str">
        <f>"000-4180-00"</f>
        <v>000-4180-00</v>
      </c>
      <c r="F57" s="33" t="str">
        <f>"US Sales Discounts"</f>
        <v>US Sales Discounts</v>
      </c>
      <c r="G57" s="31">
        <v>-2473.17</v>
      </c>
      <c r="H57" s="36">
        <v>-2500</v>
      </c>
      <c r="I57" s="202">
        <f>G57-H57</f>
        <v>26.829999999999927</v>
      </c>
      <c r="J57" s="215">
        <f>IF(G57=0,"-",IF(H57=0,"∞",(G57-H57)/H57))</f>
        <v>-1.0731999999999971E-2</v>
      </c>
    </row>
    <row r="58" spans="1:14" hidden="1" outlineLevel="1" x14ac:dyDescent="0.3">
      <c r="A58" s="41" t="s">
        <v>581</v>
      </c>
      <c r="B58" s="221"/>
      <c r="C58" s="210"/>
      <c r="D58" s="32"/>
      <c r="E58" s="33" t="str">
        <f>"000-4181-00"</f>
        <v>000-4181-00</v>
      </c>
      <c r="F58" s="33" t="str">
        <f>"Canadian Sales Discounts"</f>
        <v>Canadian Sales Discounts</v>
      </c>
      <c r="G58" s="31">
        <v>0</v>
      </c>
      <c r="H58" s="36">
        <v>0</v>
      </c>
      <c r="I58" s="202">
        <f t="shared" ref="I58:I65" si="2">G58-H58</f>
        <v>0</v>
      </c>
      <c r="J58" s="215" t="str">
        <f t="shared" ref="J58:J65" si="3">IF(G58=0,"-",IF(H58=0,"∞",(G58-H58)/H58))</f>
        <v>-</v>
      </c>
    </row>
    <row r="59" spans="1:14" hidden="1" outlineLevel="1" x14ac:dyDescent="0.3">
      <c r="A59" s="41" t="s">
        <v>581</v>
      </c>
      <c r="B59" s="221"/>
      <c r="C59" s="210"/>
      <c r="D59" s="32"/>
      <c r="E59" s="33" t="str">
        <f>"000-4182-00"</f>
        <v>000-4182-00</v>
      </c>
      <c r="F59" s="33" t="str">
        <f>"AustralAsian Sales Discounts"</f>
        <v>AustralAsian Sales Discounts</v>
      </c>
      <c r="G59" s="31">
        <v>0</v>
      </c>
      <c r="H59" s="36">
        <v>0</v>
      </c>
      <c r="I59" s="202">
        <f t="shared" si="2"/>
        <v>0</v>
      </c>
      <c r="J59" s="215" t="str">
        <f t="shared" si="3"/>
        <v>-</v>
      </c>
    </row>
    <row r="60" spans="1:14" hidden="1" outlineLevel="1" x14ac:dyDescent="0.3">
      <c r="A60" s="41" t="s">
        <v>581</v>
      </c>
      <c r="B60" s="221"/>
      <c r="C60" s="210"/>
      <c r="D60" s="32"/>
      <c r="E60" s="33" t="str">
        <f>"000-4183-00"</f>
        <v>000-4183-00</v>
      </c>
      <c r="F60" s="33" t="str">
        <f>"US Sales Trade Discounts"</f>
        <v>US Sales Trade Discounts</v>
      </c>
      <c r="G60" s="31">
        <v>-5215.09</v>
      </c>
      <c r="H60" s="36">
        <v>-5000</v>
      </c>
      <c r="I60" s="202">
        <f t="shared" si="2"/>
        <v>-215.09000000000015</v>
      </c>
      <c r="J60" s="215">
        <f t="shared" si="3"/>
        <v>4.3018000000000028E-2</v>
      </c>
    </row>
    <row r="61" spans="1:14" hidden="1" outlineLevel="1" x14ac:dyDescent="0.3">
      <c r="A61" s="41" t="s">
        <v>581</v>
      </c>
      <c r="B61" s="221"/>
      <c r="C61" s="210"/>
      <c r="D61" s="32"/>
      <c r="E61" s="33" t="str">
        <f>"000-4184-00"</f>
        <v>000-4184-00</v>
      </c>
      <c r="F61" s="33" t="str">
        <f>"Canadian Sales Trade Discounts"</f>
        <v>Canadian Sales Trade Discounts</v>
      </c>
      <c r="G61" s="31">
        <v>0</v>
      </c>
      <c r="H61" s="36">
        <v>0</v>
      </c>
      <c r="I61" s="202">
        <f t="shared" si="2"/>
        <v>0</v>
      </c>
      <c r="J61" s="215" t="str">
        <f t="shared" si="3"/>
        <v>-</v>
      </c>
    </row>
    <row r="62" spans="1:14" hidden="1" outlineLevel="1" x14ac:dyDescent="0.3">
      <c r="A62" s="41" t="s">
        <v>581</v>
      </c>
      <c r="B62" s="221"/>
      <c r="C62" s="210"/>
      <c r="D62" s="32"/>
      <c r="E62" s="33" t="str">
        <f>"000-4185-00"</f>
        <v>000-4185-00</v>
      </c>
      <c r="F62" s="33" t="str">
        <f>"AustralAsian Trade Discounts"</f>
        <v>AustralAsian Trade Discounts</v>
      </c>
      <c r="G62" s="31">
        <v>0</v>
      </c>
      <c r="H62" s="36">
        <v>0</v>
      </c>
      <c r="I62" s="202">
        <f t="shared" si="2"/>
        <v>0</v>
      </c>
      <c r="J62" s="215" t="str">
        <f t="shared" si="3"/>
        <v>-</v>
      </c>
    </row>
    <row r="63" spans="1:14" hidden="1" outlineLevel="1" x14ac:dyDescent="0.3">
      <c r="A63" s="41" t="s">
        <v>581</v>
      </c>
      <c r="B63" s="221"/>
      <c r="C63" s="210"/>
      <c r="D63" s="32"/>
      <c r="E63" s="33" t="str">
        <f>"000-4190-00"</f>
        <v>000-4190-00</v>
      </c>
      <c r="F63" s="33" t="str">
        <f>"US Sales Returns"</f>
        <v>US Sales Returns</v>
      </c>
      <c r="G63" s="31">
        <v>-49193.53</v>
      </c>
      <c r="H63" s="36">
        <v>-52000</v>
      </c>
      <c r="I63" s="202">
        <f t="shared" si="2"/>
        <v>2806.4700000000012</v>
      </c>
      <c r="J63" s="215">
        <f t="shared" si="3"/>
        <v>-5.3970576923076947E-2</v>
      </c>
    </row>
    <row r="64" spans="1:14" hidden="1" outlineLevel="1" x14ac:dyDescent="0.3">
      <c r="A64" s="41" t="s">
        <v>581</v>
      </c>
      <c r="B64" s="221"/>
      <c r="C64" s="210"/>
      <c r="D64" s="32"/>
      <c r="E64" s="33" t="str">
        <f>"000-4191-00"</f>
        <v>000-4191-00</v>
      </c>
      <c r="F64" s="33" t="str">
        <f>"Canadian Sales Returns"</f>
        <v>Canadian Sales Returns</v>
      </c>
      <c r="G64" s="31">
        <v>0</v>
      </c>
      <c r="H64" s="36">
        <v>0</v>
      </c>
      <c r="I64" s="202">
        <f t="shared" si="2"/>
        <v>0</v>
      </c>
      <c r="J64" s="215" t="str">
        <f t="shared" si="3"/>
        <v>-</v>
      </c>
    </row>
    <row r="65" spans="1:10" hidden="1" outlineLevel="1" x14ac:dyDescent="0.3">
      <c r="A65" s="41" t="s">
        <v>581</v>
      </c>
      <c r="B65" s="221"/>
      <c r="C65" s="210"/>
      <c r="D65" s="32"/>
      <c r="E65" s="33" t="str">
        <f>"000-4192-00"</f>
        <v>000-4192-00</v>
      </c>
      <c r="F65" s="33" t="str">
        <f>"AustralAsian Sales Returns"</f>
        <v>AustralAsian Sales Returns</v>
      </c>
      <c r="G65" s="31">
        <v>0</v>
      </c>
      <c r="H65" s="36">
        <v>0</v>
      </c>
      <c r="I65" s="202">
        <f t="shared" si="2"/>
        <v>0</v>
      </c>
      <c r="J65" s="215" t="str">
        <f t="shared" si="3"/>
        <v>-</v>
      </c>
    </row>
    <row r="66" spans="1:10" hidden="1" outlineLevel="1" x14ac:dyDescent="0.3">
      <c r="A66" s="41"/>
      <c r="B66" s="221"/>
      <c r="C66" s="211"/>
      <c r="D66" s="32"/>
      <c r="E66" s="27"/>
      <c r="F66" s="27"/>
      <c r="G66" s="30"/>
      <c r="H66" s="37"/>
      <c r="I66" s="203"/>
      <c r="J66" s="214"/>
    </row>
    <row r="67" spans="1:10" x14ac:dyDescent="0.3">
      <c r="A67" s="41"/>
      <c r="B67" s="224"/>
      <c r="C67" s="211"/>
      <c r="D67" s="226"/>
      <c r="E67" s="227"/>
      <c r="F67" s="227" t="s">
        <v>18</v>
      </c>
      <c r="G67" s="228">
        <f>SUBTOTAL(9,G10:G66)</f>
        <v>1677971.7700000005</v>
      </c>
      <c r="H67" s="228">
        <f>SUBTOTAL(9,H10:H66)</f>
        <v>1691000</v>
      </c>
      <c r="I67" s="229">
        <f>G67-H67</f>
        <v>-13028.229999999516</v>
      </c>
      <c r="J67" s="230">
        <f>IF(G67=0,"-",IF(H67=0,"∞",(G67-H67)/H67))</f>
        <v>-7.7044529863982943E-3</v>
      </c>
    </row>
    <row r="68" spans="1:10" x14ac:dyDescent="0.3">
      <c r="A68" s="41"/>
      <c r="B68" s="224"/>
      <c r="G68" s="34"/>
      <c r="H68" s="35"/>
      <c r="I68" s="200"/>
      <c r="J68" s="214"/>
    </row>
    <row r="69" spans="1:10" collapsed="1" x14ac:dyDescent="0.3">
      <c r="A69" s="41"/>
      <c r="B69" s="222">
        <v>33</v>
      </c>
      <c r="C69" s="210"/>
      <c r="D69" s="27" t="str">
        <f>"Cost of Goods Sold"</f>
        <v>Cost of Goods Sold</v>
      </c>
      <c r="E69" s="27"/>
      <c r="F69" s="27"/>
      <c r="G69" s="30">
        <f>SUBTOTAL(9,G70:G87)</f>
        <v>-579281.96</v>
      </c>
      <c r="H69" s="30">
        <f>SUBTOTAL(9,H70:H87)</f>
        <v>-660600</v>
      </c>
      <c r="I69" s="201">
        <f>G69-H69</f>
        <v>81318.040000000037</v>
      </c>
      <c r="J69" s="214">
        <f>IF(G69=0,"-",IF(H69=0,"∞",(G69-H69)/H69))</f>
        <v>-0.12309724492885261</v>
      </c>
    </row>
    <row r="70" spans="1:10" hidden="1" outlineLevel="1" x14ac:dyDescent="0.3">
      <c r="A70" s="41"/>
      <c r="B70" s="223"/>
      <c r="C70" s="210"/>
      <c r="D70" s="32"/>
      <c r="E70" s="33" t="str">
        <f>"000-4510-01"</f>
        <v>000-4510-01</v>
      </c>
      <c r="F70" s="33" t="str">
        <f>"Cost of Goods Sold - Retail/Parts"</f>
        <v>Cost of Goods Sold - Retail/Parts</v>
      </c>
      <c r="G70" s="31">
        <v>-495542.49</v>
      </c>
      <c r="H70" s="36">
        <v>-583000</v>
      </c>
      <c r="I70" s="199">
        <f>G70-H70</f>
        <v>87457.510000000009</v>
      </c>
      <c r="J70" s="215">
        <f>IF(G70=0,"-",IF(H70=0,"∞",(G70-H70)/H70))</f>
        <v>-0.15001288164665524</v>
      </c>
    </row>
    <row r="71" spans="1:10" hidden="1" outlineLevel="1" x14ac:dyDescent="0.3">
      <c r="A71" s="41" t="s">
        <v>581</v>
      </c>
      <c r="B71" s="223"/>
      <c r="C71" s="210"/>
      <c r="D71" s="32"/>
      <c r="E71" s="33" t="str">
        <f>"000-4510-02"</f>
        <v>000-4510-02</v>
      </c>
      <c r="F71" s="33" t="str">
        <f>"Cost of Goods Sold - Finished Goods"</f>
        <v>Cost of Goods Sold - Finished Goods</v>
      </c>
      <c r="G71" s="31">
        <v>-38883.5</v>
      </c>
      <c r="H71" s="36">
        <v>-36900</v>
      </c>
      <c r="I71" s="199">
        <f t="shared" ref="I71:I86" si="4">G71-H71</f>
        <v>-1983.5</v>
      </c>
      <c r="J71" s="215">
        <f t="shared" ref="J71:J86" si="5">IF(G71=0,"-",IF(H71=0,"∞",(G71-H71)/H71))</f>
        <v>5.3753387533875339E-2</v>
      </c>
    </row>
    <row r="72" spans="1:10" hidden="1" outlineLevel="1" x14ac:dyDescent="0.3">
      <c r="A72" s="41" t="s">
        <v>581</v>
      </c>
      <c r="B72" s="223"/>
      <c r="C72" s="210"/>
      <c r="D72" s="32"/>
      <c r="E72" s="33" t="str">
        <f>"000-4520-01"</f>
        <v>000-4520-01</v>
      </c>
      <c r="F72" s="33" t="str">
        <f>"CoGS - Material"</f>
        <v>CoGS - Material</v>
      </c>
      <c r="G72" s="31">
        <v>0</v>
      </c>
      <c r="H72" s="36">
        <v>0</v>
      </c>
      <c r="I72" s="199">
        <f t="shared" si="4"/>
        <v>0</v>
      </c>
      <c r="J72" s="215" t="str">
        <f t="shared" si="5"/>
        <v>-</v>
      </c>
    </row>
    <row r="73" spans="1:10" hidden="1" outlineLevel="1" x14ac:dyDescent="0.3">
      <c r="A73" s="41" t="s">
        <v>581</v>
      </c>
      <c r="B73" s="223"/>
      <c r="C73" s="210"/>
      <c r="D73" s="32"/>
      <c r="E73" s="33" t="str">
        <f>"000-4520-02"</f>
        <v>000-4520-02</v>
      </c>
      <c r="F73" s="33" t="str">
        <f>"CoGS - Material Fixed OH"</f>
        <v>CoGS - Material Fixed OH</v>
      </c>
      <c r="G73" s="31">
        <v>0</v>
      </c>
      <c r="H73" s="36">
        <v>0</v>
      </c>
      <c r="I73" s="199">
        <f t="shared" si="4"/>
        <v>0</v>
      </c>
      <c r="J73" s="215" t="str">
        <f t="shared" si="5"/>
        <v>-</v>
      </c>
    </row>
    <row r="74" spans="1:10" hidden="1" outlineLevel="1" x14ac:dyDescent="0.3">
      <c r="A74" s="41" t="s">
        <v>581</v>
      </c>
      <c r="B74" s="223"/>
      <c r="C74" s="210"/>
      <c r="D74" s="32"/>
      <c r="E74" s="33" t="str">
        <f>"000-4520-03"</f>
        <v>000-4520-03</v>
      </c>
      <c r="F74" s="33" t="str">
        <f>"CoGS - Material Var. OH"</f>
        <v>CoGS - Material Var. OH</v>
      </c>
      <c r="G74" s="31">
        <v>0</v>
      </c>
      <c r="H74" s="36">
        <v>0</v>
      </c>
      <c r="I74" s="199">
        <f t="shared" si="4"/>
        <v>0</v>
      </c>
      <c r="J74" s="215" t="str">
        <f t="shared" si="5"/>
        <v>-</v>
      </c>
    </row>
    <row r="75" spans="1:10" hidden="1" outlineLevel="1" x14ac:dyDescent="0.3">
      <c r="A75" s="41" t="s">
        <v>581</v>
      </c>
      <c r="B75" s="223"/>
      <c r="C75" s="210"/>
      <c r="D75" s="32"/>
      <c r="E75" s="33" t="str">
        <f>"000-4520-04"</f>
        <v>000-4520-04</v>
      </c>
      <c r="F75" s="33" t="str">
        <f>"CoGS - Labor"</f>
        <v>CoGS - Labor</v>
      </c>
      <c r="G75" s="31">
        <v>0</v>
      </c>
      <c r="H75" s="36">
        <v>0</v>
      </c>
      <c r="I75" s="199">
        <f t="shared" si="4"/>
        <v>0</v>
      </c>
      <c r="J75" s="215" t="str">
        <f t="shared" si="5"/>
        <v>-</v>
      </c>
    </row>
    <row r="76" spans="1:10" hidden="1" outlineLevel="1" x14ac:dyDescent="0.3">
      <c r="A76" s="41" t="s">
        <v>581</v>
      </c>
      <c r="B76" s="223"/>
      <c r="C76" s="210"/>
      <c r="D76" s="32"/>
      <c r="E76" s="33" t="str">
        <f>"000-4520-05"</f>
        <v>000-4520-05</v>
      </c>
      <c r="F76" s="33" t="str">
        <f>"CoGS - Labor Fixed OH"</f>
        <v>CoGS - Labor Fixed OH</v>
      </c>
      <c r="G76" s="31">
        <v>0</v>
      </c>
      <c r="H76" s="36">
        <v>0</v>
      </c>
      <c r="I76" s="199">
        <f t="shared" si="4"/>
        <v>0</v>
      </c>
      <c r="J76" s="215" t="str">
        <f t="shared" si="5"/>
        <v>-</v>
      </c>
    </row>
    <row r="77" spans="1:10" hidden="1" outlineLevel="1" x14ac:dyDescent="0.3">
      <c r="A77" s="41" t="s">
        <v>581</v>
      </c>
      <c r="B77" s="223"/>
      <c r="C77" s="210"/>
      <c r="D77" s="32"/>
      <c r="E77" s="33" t="str">
        <f>"000-4520-06"</f>
        <v>000-4520-06</v>
      </c>
      <c r="F77" s="33" t="str">
        <f>"CoGS - Labor Var. OH"</f>
        <v>CoGS - Labor Var. OH</v>
      </c>
      <c r="G77" s="31">
        <v>0</v>
      </c>
      <c r="H77" s="36">
        <v>0</v>
      </c>
      <c r="I77" s="199">
        <f t="shared" si="4"/>
        <v>0</v>
      </c>
      <c r="J77" s="215" t="str">
        <f t="shared" si="5"/>
        <v>-</v>
      </c>
    </row>
    <row r="78" spans="1:10" hidden="1" outlineLevel="1" x14ac:dyDescent="0.3">
      <c r="A78" s="41" t="s">
        <v>581</v>
      </c>
      <c r="B78" s="223"/>
      <c r="C78" s="210"/>
      <c r="D78" s="32"/>
      <c r="E78" s="33" t="str">
        <f>"000-4520-07"</f>
        <v>000-4520-07</v>
      </c>
      <c r="F78" s="33" t="str">
        <f>"CoGS - Machine"</f>
        <v>CoGS - Machine</v>
      </c>
      <c r="G78" s="31">
        <v>0</v>
      </c>
      <c r="H78" s="36">
        <v>0</v>
      </c>
      <c r="I78" s="199">
        <f t="shared" si="4"/>
        <v>0</v>
      </c>
      <c r="J78" s="215" t="str">
        <f t="shared" si="5"/>
        <v>-</v>
      </c>
    </row>
    <row r="79" spans="1:10" hidden="1" outlineLevel="1" x14ac:dyDescent="0.3">
      <c r="A79" s="41" t="s">
        <v>581</v>
      </c>
      <c r="B79" s="223"/>
      <c r="C79" s="210"/>
      <c r="D79" s="32"/>
      <c r="E79" s="33" t="str">
        <f>"000-4520-08"</f>
        <v>000-4520-08</v>
      </c>
      <c r="F79" s="33" t="str">
        <f>"CoGS - Machine Fixed OH"</f>
        <v>CoGS - Machine Fixed OH</v>
      </c>
      <c r="G79" s="31">
        <v>0</v>
      </c>
      <c r="H79" s="36">
        <v>0</v>
      </c>
      <c r="I79" s="199">
        <f t="shared" si="4"/>
        <v>0</v>
      </c>
      <c r="J79" s="215" t="str">
        <f t="shared" si="5"/>
        <v>-</v>
      </c>
    </row>
    <row r="80" spans="1:10" hidden="1" outlineLevel="1" x14ac:dyDescent="0.3">
      <c r="A80" s="41" t="s">
        <v>581</v>
      </c>
      <c r="B80" s="223"/>
      <c r="C80" s="210"/>
      <c r="D80" s="32"/>
      <c r="E80" s="33" t="str">
        <f>"000-4520-09"</f>
        <v>000-4520-09</v>
      </c>
      <c r="F80" s="33" t="str">
        <f>"CoGS - Machine Var. OH"</f>
        <v>CoGS - Machine Var. OH</v>
      </c>
      <c r="G80" s="31">
        <v>0</v>
      </c>
      <c r="H80" s="36">
        <v>0</v>
      </c>
      <c r="I80" s="199">
        <f t="shared" si="4"/>
        <v>0</v>
      </c>
      <c r="J80" s="215" t="str">
        <f t="shared" si="5"/>
        <v>-</v>
      </c>
    </row>
    <row r="81" spans="1:10" hidden="1" outlineLevel="1" x14ac:dyDescent="0.3">
      <c r="A81" s="41" t="s">
        <v>581</v>
      </c>
      <c r="B81" s="223"/>
      <c r="C81" s="210"/>
      <c r="D81" s="32"/>
      <c r="E81" s="33" t="str">
        <f>"000-4530-01"</f>
        <v>000-4530-01</v>
      </c>
      <c r="F81" s="33" t="str">
        <f>"Cost of Goods Sold/Expense"</f>
        <v>Cost of Goods Sold/Expense</v>
      </c>
      <c r="G81" s="31">
        <v>0</v>
      </c>
      <c r="H81" s="36">
        <v>0</v>
      </c>
      <c r="I81" s="199">
        <f t="shared" si="4"/>
        <v>0</v>
      </c>
      <c r="J81" s="215" t="str">
        <f t="shared" si="5"/>
        <v>-</v>
      </c>
    </row>
    <row r="82" spans="1:10" hidden="1" outlineLevel="1" x14ac:dyDescent="0.3">
      <c r="A82" s="41" t="s">
        <v>581</v>
      </c>
      <c r="B82" s="223"/>
      <c r="C82" s="210"/>
      <c r="D82" s="32"/>
      <c r="E82" s="33" t="str">
        <f>"000-4600-00"</f>
        <v>000-4600-00</v>
      </c>
      <c r="F82" s="33" t="str">
        <f>"Purchases Discounts Taken"</f>
        <v>Purchases Discounts Taken</v>
      </c>
      <c r="G82" s="31">
        <v>229.57</v>
      </c>
      <c r="H82" s="36">
        <v>300</v>
      </c>
      <c r="I82" s="199">
        <f t="shared" si="4"/>
        <v>-70.430000000000007</v>
      </c>
      <c r="J82" s="215">
        <f t="shared" si="5"/>
        <v>-0.23476666666666668</v>
      </c>
    </row>
    <row r="83" spans="1:10" hidden="1" outlineLevel="1" x14ac:dyDescent="0.3">
      <c r="A83" s="41" t="s">
        <v>581</v>
      </c>
      <c r="B83" s="223"/>
      <c r="C83" s="210"/>
      <c r="D83" s="32"/>
      <c r="E83" s="33" t="str">
        <f>"000-4601-00"</f>
        <v>000-4601-00</v>
      </c>
      <c r="F83" s="33" t="str">
        <f>"Purchases Trade Discounts"</f>
        <v>Purchases Trade Discounts</v>
      </c>
      <c r="G83" s="31">
        <v>0</v>
      </c>
      <c r="H83" s="36">
        <v>0</v>
      </c>
      <c r="I83" s="199">
        <f t="shared" si="4"/>
        <v>0</v>
      </c>
      <c r="J83" s="215" t="str">
        <f t="shared" si="5"/>
        <v>-</v>
      </c>
    </row>
    <row r="84" spans="1:10" hidden="1" outlineLevel="1" x14ac:dyDescent="0.3">
      <c r="A84" s="41" t="s">
        <v>581</v>
      </c>
      <c r="B84" s="223"/>
      <c r="C84" s="210"/>
      <c r="D84" s="32"/>
      <c r="E84" s="33" t="str">
        <f>"000-4700-00"</f>
        <v>000-4700-00</v>
      </c>
      <c r="F84" s="33" t="str">
        <f>"Shrinkage and Waste"</f>
        <v>Shrinkage and Waste</v>
      </c>
      <c r="G84" s="31">
        <v>-24750.36</v>
      </c>
      <c r="H84" s="36">
        <v>-23000</v>
      </c>
      <c r="I84" s="199">
        <f t="shared" si="4"/>
        <v>-1750.3600000000006</v>
      </c>
      <c r="J84" s="215">
        <f t="shared" si="5"/>
        <v>7.6102608695652205E-2</v>
      </c>
    </row>
    <row r="85" spans="1:10" hidden="1" outlineLevel="1" x14ac:dyDescent="0.3">
      <c r="A85" s="41" t="s">
        <v>581</v>
      </c>
      <c r="B85" s="223"/>
      <c r="C85" s="210"/>
      <c r="D85" s="32"/>
      <c r="E85" s="33" t="str">
        <f>"000-4710-00"</f>
        <v>000-4710-00</v>
      </c>
      <c r="F85" s="33" t="str">
        <f>"Freight and Handling"</f>
        <v>Freight and Handling</v>
      </c>
      <c r="G85" s="31">
        <v>-11739.95</v>
      </c>
      <c r="H85" s="36">
        <v>-10000</v>
      </c>
      <c r="I85" s="199">
        <f t="shared" si="4"/>
        <v>-1739.9500000000007</v>
      </c>
      <c r="J85" s="215">
        <f t="shared" si="5"/>
        <v>0.17399500000000007</v>
      </c>
    </row>
    <row r="86" spans="1:10" hidden="1" outlineLevel="1" x14ac:dyDescent="0.3">
      <c r="A86" s="41" t="s">
        <v>581</v>
      </c>
      <c r="B86" s="223"/>
      <c r="C86" s="210"/>
      <c r="D86" s="32"/>
      <c r="E86" s="33" t="str">
        <f>"000-4720-00"</f>
        <v>000-4720-00</v>
      </c>
      <c r="F86" s="33" t="str">
        <f>"International Freight and Handling"</f>
        <v>International Freight and Handling</v>
      </c>
      <c r="G86" s="31">
        <v>-8595.23</v>
      </c>
      <c r="H86" s="36">
        <v>-8000</v>
      </c>
      <c r="I86" s="199">
        <f t="shared" si="4"/>
        <v>-595.22999999999956</v>
      </c>
      <c r="J86" s="215">
        <f t="shared" si="5"/>
        <v>7.4403749999999949E-2</v>
      </c>
    </row>
    <row r="87" spans="1:10" hidden="1" outlineLevel="1" x14ac:dyDescent="0.3">
      <c r="A87" s="41"/>
      <c r="B87" s="223"/>
      <c r="C87" s="210"/>
      <c r="D87" s="32"/>
      <c r="E87" s="27"/>
      <c r="F87" s="27"/>
      <c r="G87" s="34"/>
      <c r="H87" s="35"/>
      <c r="I87" s="200"/>
      <c r="J87" s="214"/>
    </row>
    <row r="88" spans="1:10" x14ac:dyDescent="0.3">
      <c r="A88" s="41"/>
      <c r="B88" s="224"/>
      <c r="D88" s="231"/>
      <c r="E88" s="38"/>
      <c r="F88" s="38" t="s">
        <v>21</v>
      </c>
      <c r="G88" s="39">
        <f>SUBTOTAL(9,G10:G87)</f>
        <v>1098689.8100000005</v>
      </c>
      <c r="H88" s="39">
        <f>SUBTOTAL(9,H10:H87)</f>
        <v>1030400</v>
      </c>
      <c r="I88" s="204">
        <f>G88-H88</f>
        <v>68289.810000000522</v>
      </c>
      <c r="J88" s="216">
        <f>IF(G88=0,"-",IF(H88=0,"∞",(G88-H88)/H88))</f>
        <v>6.6275048524845226E-2</v>
      </c>
    </row>
    <row r="89" spans="1:10" x14ac:dyDescent="0.3">
      <c r="A89" s="41"/>
      <c r="B89" s="224"/>
      <c r="D89" s="232"/>
      <c r="E89" s="233"/>
      <c r="F89" s="233" t="s">
        <v>22</v>
      </c>
      <c r="G89" s="234">
        <f>IFERROR(G67/(G67-G88),"")</f>
        <v>2.8966408171937559</v>
      </c>
      <c r="H89" s="234">
        <f>IFERROR(H67/(H67-H88),"")</f>
        <v>2.5597941265516195</v>
      </c>
      <c r="I89" s="235"/>
      <c r="J89" s="236"/>
    </row>
    <row r="90" spans="1:10" x14ac:dyDescent="0.3">
      <c r="A90" s="41"/>
      <c r="B90" s="224"/>
      <c r="D90" s="42"/>
      <c r="E90" s="42"/>
      <c r="F90" s="42"/>
      <c r="G90" s="28"/>
      <c r="H90" s="29"/>
      <c r="I90" s="205"/>
      <c r="J90" s="217"/>
    </row>
    <row r="91" spans="1:10" ht="18.75" x14ac:dyDescent="0.3">
      <c r="A91" s="41"/>
      <c r="B91" s="224"/>
      <c r="D91" s="26" t="s">
        <v>23</v>
      </c>
      <c r="G91" s="34"/>
      <c r="H91" s="35"/>
      <c r="I91" s="200"/>
      <c r="J91" s="214"/>
    </row>
    <row r="92" spans="1:10" x14ac:dyDescent="0.3">
      <c r="A92" s="41"/>
      <c r="B92" s="224"/>
      <c r="G92" s="34"/>
      <c r="H92" s="35"/>
      <c r="I92" s="200"/>
      <c r="J92" s="214"/>
    </row>
    <row r="93" spans="1:10" collapsed="1" x14ac:dyDescent="0.3">
      <c r="A93" s="41"/>
      <c r="B93" s="222">
        <v>34</v>
      </c>
      <c r="C93" s="210"/>
      <c r="D93" s="27" t="str">
        <f>"Selling Expense"</f>
        <v>Selling Expense</v>
      </c>
      <c r="E93" s="27"/>
      <c r="F93" s="27"/>
      <c r="G93" s="30">
        <f>SUBTOTAL(9,G94:G95)</f>
        <v>0</v>
      </c>
      <c r="H93" s="30">
        <f>SUBTOTAL(9,H94:H95)</f>
        <v>0</v>
      </c>
      <c r="I93" s="201">
        <f>G93-H93</f>
        <v>0</v>
      </c>
      <c r="J93" s="214" t="str">
        <f>IF(G93=0,"-",IF(H93=0,"∞",(G93-H93)/H93))</f>
        <v>-</v>
      </c>
    </row>
    <row r="94" spans="1:10" hidden="1" outlineLevel="1" x14ac:dyDescent="0.3">
      <c r="A94" s="41"/>
      <c r="B94" s="223"/>
      <c r="C94" s="210"/>
      <c r="D94" s="32"/>
      <c r="E94" s="33" t="str">
        <f>"000-6800-01"</f>
        <v>000-6800-01</v>
      </c>
      <c r="F94" s="33" t="str">
        <f>"Project Expenses"</f>
        <v>Project Expenses</v>
      </c>
      <c r="G94" s="31">
        <v>0</v>
      </c>
      <c r="H94" s="36">
        <v>0</v>
      </c>
      <c r="I94" s="199">
        <f>G94-H94</f>
        <v>0</v>
      </c>
      <c r="J94" s="215" t="str">
        <f>IF(G94=0,"-",IF(H94=0,"∞",(G94-H94)/H94))</f>
        <v>-</v>
      </c>
    </row>
    <row r="95" spans="1:10" hidden="1" outlineLevel="1" x14ac:dyDescent="0.3">
      <c r="A95" s="41"/>
      <c r="B95" s="223"/>
      <c r="C95" s="210"/>
      <c r="D95" s="32"/>
      <c r="E95" s="27"/>
      <c r="F95" s="27"/>
      <c r="G95" s="34"/>
      <c r="H95" s="35"/>
      <c r="I95" s="200"/>
      <c r="J95" s="214"/>
    </row>
    <row r="96" spans="1:10" collapsed="1" x14ac:dyDescent="0.3">
      <c r="A96" s="41"/>
      <c r="B96" s="222">
        <v>35</v>
      </c>
      <c r="C96" s="210"/>
      <c r="D96" s="27" t="str">
        <f>"Administrative Expense"</f>
        <v>Administrative Expense</v>
      </c>
      <c r="E96" s="27"/>
      <c r="F96" s="27"/>
      <c r="G96" s="30">
        <f>SUBTOTAL(9,G97:G194)</f>
        <v>-635116.40999999992</v>
      </c>
      <c r="H96" s="30">
        <f>SUBTOTAL(9,H97:H194)</f>
        <v>-682525</v>
      </c>
      <c r="I96" s="201">
        <f>G96-H96</f>
        <v>47408.590000000084</v>
      </c>
      <c r="J96" s="214">
        <f>IF(G96=0,"-",IF(H96=0,"∞",(G96-H96)/H96))</f>
        <v>-6.9460591187136128E-2</v>
      </c>
    </row>
    <row r="97" spans="1:10" hidden="1" outlineLevel="1" x14ac:dyDescent="0.3">
      <c r="A97" s="41"/>
      <c r="B97" s="223"/>
      <c r="C97" s="210"/>
      <c r="D97" s="32"/>
      <c r="E97" s="33" t="str">
        <f>"000-6170-04"</f>
        <v>000-6170-04</v>
      </c>
      <c r="F97" s="33" t="str">
        <f>"Repairs &amp; Maintenance Expense-Staff"</f>
        <v>Repairs &amp; Maintenance Expense-Staff</v>
      </c>
      <c r="G97" s="31">
        <v>0</v>
      </c>
      <c r="H97" s="36">
        <v>0</v>
      </c>
      <c r="I97" s="199">
        <f>G97-H97</f>
        <v>0</v>
      </c>
      <c r="J97" s="215" t="str">
        <f>IF(G97=0,"-",IF(H97=0,"∞",(G97-H97)/H97))</f>
        <v>-</v>
      </c>
    </row>
    <row r="98" spans="1:10" hidden="1" outlineLevel="1" x14ac:dyDescent="0.3">
      <c r="A98" s="41" t="s">
        <v>581</v>
      </c>
      <c r="B98" s="223"/>
      <c r="C98" s="210"/>
      <c r="D98" s="32"/>
      <c r="E98" s="33" t="str">
        <f>"000-6170-05"</f>
        <v>000-6170-05</v>
      </c>
      <c r="F98" s="33" t="str">
        <f>"Repairs &amp; Maintenance Expense-Line"</f>
        <v>Repairs &amp; Maintenance Expense-Line</v>
      </c>
      <c r="G98" s="31">
        <v>0</v>
      </c>
      <c r="H98" s="36">
        <v>0</v>
      </c>
      <c r="I98" s="199">
        <f t="shared" ref="I98:I161" si="6">G98-H98</f>
        <v>0</v>
      </c>
      <c r="J98" s="215" t="str">
        <f t="shared" ref="J98:J161" si="7">IF(G98=0,"-",IF(H98=0,"∞",(G98-H98)/H98))</f>
        <v>-</v>
      </c>
    </row>
    <row r="99" spans="1:10" hidden="1" outlineLevel="1" x14ac:dyDescent="0.3">
      <c r="A99" s="41" t="s">
        <v>581</v>
      </c>
      <c r="B99" s="223"/>
      <c r="C99" s="210"/>
      <c r="D99" s="32"/>
      <c r="E99" s="33" t="str">
        <f>"000-6400-00"</f>
        <v>000-6400-00</v>
      </c>
      <c r="F99" s="33" t="str">
        <f>"Life Insurance - Administration"</f>
        <v>Life Insurance - Administration</v>
      </c>
      <c r="G99" s="31">
        <v>-133.97999999999999</v>
      </c>
      <c r="H99" s="36">
        <v>-134</v>
      </c>
      <c r="I99" s="199">
        <f t="shared" si="6"/>
        <v>2.0000000000010232E-2</v>
      </c>
      <c r="J99" s="215">
        <f t="shared" si="7"/>
        <v>-1.4925373134335994E-4</v>
      </c>
    </row>
    <row r="100" spans="1:10" hidden="1" outlineLevel="1" x14ac:dyDescent="0.3">
      <c r="A100" s="41" t="s">
        <v>581</v>
      </c>
      <c r="B100" s="223"/>
      <c r="C100" s="210"/>
      <c r="D100" s="32"/>
      <c r="E100" s="33" t="str">
        <f>"000-6410-00"</f>
        <v>000-6410-00</v>
      </c>
      <c r="F100" s="33" t="str">
        <f>"Vehicle Insurance"</f>
        <v>Vehicle Insurance</v>
      </c>
      <c r="G100" s="31">
        <v>-569.5</v>
      </c>
      <c r="H100" s="36">
        <v>-570</v>
      </c>
      <c r="I100" s="199">
        <f t="shared" si="6"/>
        <v>0.5</v>
      </c>
      <c r="J100" s="215">
        <f t="shared" si="7"/>
        <v>-8.7719298245614037E-4</v>
      </c>
    </row>
    <row r="101" spans="1:10" hidden="1" outlineLevel="1" x14ac:dyDescent="0.3">
      <c r="A101" s="41" t="s">
        <v>581</v>
      </c>
      <c r="B101" s="223"/>
      <c r="C101" s="210"/>
      <c r="D101" s="32"/>
      <c r="E101" s="33" t="str">
        <f>"000-6420-00"</f>
        <v>000-6420-00</v>
      </c>
      <c r="F101" s="33" t="str">
        <f>"Liability Insurance"</f>
        <v>Liability Insurance</v>
      </c>
      <c r="G101" s="31">
        <v>-1270.83</v>
      </c>
      <c r="H101" s="36">
        <v>-1271</v>
      </c>
      <c r="I101" s="199">
        <f t="shared" si="6"/>
        <v>0.17000000000007276</v>
      </c>
      <c r="J101" s="215">
        <f t="shared" si="7"/>
        <v>-1.3375295043278738E-4</v>
      </c>
    </row>
    <row r="102" spans="1:10" hidden="1" outlineLevel="1" x14ac:dyDescent="0.3">
      <c r="A102" s="41" t="s">
        <v>581</v>
      </c>
      <c r="B102" s="223"/>
      <c r="C102" s="210"/>
      <c r="D102" s="32"/>
      <c r="E102" s="33" t="str">
        <f>"000-6430-00"</f>
        <v>000-6430-00</v>
      </c>
      <c r="F102" s="33" t="str">
        <f>"Casualty Insurance"</f>
        <v>Casualty Insurance</v>
      </c>
      <c r="G102" s="31">
        <v>-888.1</v>
      </c>
      <c r="H102" s="36">
        <v>-890</v>
      </c>
      <c r="I102" s="199">
        <f t="shared" si="6"/>
        <v>1.8999999999999773</v>
      </c>
      <c r="J102" s="215">
        <f t="shared" si="7"/>
        <v>-2.1348314606741319E-3</v>
      </c>
    </row>
    <row r="103" spans="1:10" hidden="1" outlineLevel="1" x14ac:dyDescent="0.3">
      <c r="A103" s="41" t="s">
        <v>581</v>
      </c>
      <c r="B103" s="223"/>
      <c r="C103" s="210"/>
      <c r="D103" s="32"/>
      <c r="E103" s="33" t="str">
        <f>"000-6500-04"</f>
        <v>000-6500-04</v>
      </c>
      <c r="F103" s="33" t="str">
        <f>"Postage/Freight Expense-Staff"</f>
        <v>Postage/Freight Expense-Staff</v>
      </c>
      <c r="G103" s="31">
        <v>0</v>
      </c>
      <c r="H103" s="36">
        <v>0</v>
      </c>
      <c r="I103" s="199">
        <f t="shared" si="6"/>
        <v>0</v>
      </c>
      <c r="J103" s="215" t="str">
        <f t="shared" si="7"/>
        <v>-</v>
      </c>
    </row>
    <row r="104" spans="1:10" hidden="1" outlineLevel="1" x14ac:dyDescent="0.3">
      <c r="A104" s="41" t="s">
        <v>581</v>
      </c>
      <c r="B104" s="223"/>
      <c r="C104" s="210"/>
      <c r="D104" s="32"/>
      <c r="E104" s="33" t="str">
        <f>"000-6500-05"</f>
        <v>000-6500-05</v>
      </c>
      <c r="F104" s="33" t="str">
        <f>"Postage/Freight Expense-Line"</f>
        <v>Postage/Freight Expense-Line</v>
      </c>
      <c r="G104" s="31">
        <v>0</v>
      </c>
      <c r="H104" s="36">
        <v>0</v>
      </c>
      <c r="I104" s="199">
        <f t="shared" si="6"/>
        <v>0</v>
      </c>
      <c r="J104" s="215" t="str">
        <f t="shared" si="7"/>
        <v>-</v>
      </c>
    </row>
    <row r="105" spans="1:10" hidden="1" outlineLevel="1" x14ac:dyDescent="0.3">
      <c r="A105" s="41" t="s">
        <v>581</v>
      </c>
      <c r="B105" s="223"/>
      <c r="C105" s="210"/>
      <c r="D105" s="32"/>
      <c r="E105" s="33" t="str">
        <f>"000-6600-00"</f>
        <v>000-6600-00</v>
      </c>
      <c r="F105" s="33" t="str">
        <f>"Bank Fees"</f>
        <v>Bank Fees</v>
      </c>
      <c r="G105" s="31">
        <v>-275</v>
      </c>
      <c r="H105" s="36">
        <v>-275</v>
      </c>
      <c r="I105" s="199">
        <f t="shared" si="6"/>
        <v>0</v>
      </c>
      <c r="J105" s="215">
        <f t="shared" si="7"/>
        <v>0</v>
      </c>
    </row>
    <row r="106" spans="1:10" hidden="1" outlineLevel="1" x14ac:dyDescent="0.3">
      <c r="A106" s="41" t="s">
        <v>581</v>
      </c>
      <c r="B106" s="223"/>
      <c r="C106" s="210"/>
      <c r="D106" s="32"/>
      <c r="E106" s="33" t="str">
        <f>"000-6610-00"</f>
        <v>000-6610-00</v>
      </c>
      <c r="F106" s="33" t="str">
        <f>"Advertising Expense"</f>
        <v>Advertising Expense</v>
      </c>
      <c r="G106" s="31">
        <v>-1150</v>
      </c>
      <c r="H106" s="36">
        <v>-1500</v>
      </c>
      <c r="I106" s="199">
        <f t="shared" si="6"/>
        <v>350</v>
      </c>
      <c r="J106" s="215">
        <f t="shared" si="7"/>
        <v>-0.23333333333333334</v>
      </c>
    </row>
    <row r="107" spans="1:10" hidden="1" outlineLevel="1" x14ac:dyDescent="0.3">
      <c r="A107" s="41" t="s">
        <v>581</v>
      </c>
      <c r="B107" s="223"/>
      <c r="C107" s="210"/>
      <c r="D107" s="32"/>
      <c r="E107" s="33" t="str">
        <f>"000-6620-00"</f>
        <v>000-6620-00</v>
      </c>
      <c r="F107" s="33" t="str">
        <f>"Direct Mail Advertising Expense"</f>
        <v>Direct Mail Advertising Expense</v>
      </c>
      <c r="G107" s="31">
        <v>-638.01</v>
      </c>
      <c r="H107" s="36">
        <v>-600</v>
      </c>
      <c r="I107" s="199">
        <f t="shared" si="6"/>
        <v>-38.009999999999991</v>
      </c>
      <c r="J107" s="215">
        <f t="shared" si="7"/>
        <v>6.334999999999999E-2</v>
      </c>
    </row>
    <row r="108" spans="1:10" hidden="1" outlineLevel="1" x14ac:dyDescent="0.3">
      <c r="A108" s="41" t="s">
        <v>581</v>
      </c>
      <c r="B108" s="223"/>
      <c r="C108" s="210"/>
      <c r="D108" s="32"/>
      <c r="E108" s="33" t="str">
        <f>"000-6700-00"</f>
        <v>000-6700-00</v>
      </c>
      <c r="F108" s="33" t="str">
        <f>"Bad Debts Expense"</f>
        <v>Bad Debts Expense</v>
      </c>
      <c r="G108" s="31">
        <v>-19445.759999999998</v>
      </c>
      <c r="H108" s="36">
        <v>-18591</v>
      </c>
      <c r="I108" s="199">
        <f t="shared" si="6"/>
        <v>-854.7599999999984</v>
      </c>
      <c r="J108" s="215">
        <f t="shared" si="7"/>
        <v>4.5977085686622475E-2</v>
      </c>
    </row>
    <row r="109" spans="1:10" hidden="1" outlineLevel="1" x14ac:dyDescent="0.3">
      <c r="A109" s="41" t="s">
        <v>581</v>
      </c>
      <c r="B109" s="223"/>
      <c r="C109" s="210"/>
      <c r="D109" s="32"/>
      <c r="E109" s="33" t="str">
        <f>"000-6701-00"</f>
        <v>000-6701-00</v>
      </c>
      <c r="F109" s="33" t="str">
        <f>"Write-Off Expense"</f>
        <v>Write-Off Expense</v>
      </c>
      <c r="G109" s="31">
        <v>0</v>
      </c>
      <c r="H109" s="36">
        <v>0</v>
      </c>
      <c r="I109" s="199">
        <f t="shared" si="6"/>
        <v>0</v>
      </c>
      <c r="J109" s="215" t="str">
        <f t="shared" si="7"/>
        <v>-</v>
      </c>
    </row>
    <row r="110" spans="1:10" hidden="1" outlineLevel="1" x14ac:dyDescent="0.3">
      <c r="A110" s="41" t="s">
        <v>581</v>
      </c>
      <c r="B110" s="223"/>
      <c r="C110" s="210"/>
      <c r="D110" s="32"/>
      <c r="E110" s="33" t="str">
        <f>"000-6710-00"</f>
        <v>000-6710-00</v>
      </c>
      <c r="F110" s="33" t="str">
        <f>"Collection Costs"</f>
        <v>Collection Costs</v>
      </c>
      <c r="G110" s="31">
        <v>-525</v>
      </c>
      <c r="H110" s="36">
        <v>-525</v>
      </c>
      <c r="I110" s="199">
        <f t="shared" si="6"/>
        <v>0</v>
      </c>
      <c r="J110" s="215">
        <f t="shared" si="7"/>
        <v>0</v>
      </c>
    </row>
    <row r="111" spans="1:10" hidden="1" outlineLevel="1" x14ac:dyDescent="0.3">
      <c r="A111" s="41" t="s">
        <v>581</v>
      </c>
      <c r="B111" s="223"/>
      <c r="C111" s="210"/>
      <c r="D111" s="32"/>
      <c r="E111" s="33" t="str">
        <f>"000-6720-00"</f>
        <v>000-6720-00</v>
      </c>
      <c r="F111" s="33" t="str">
        <f>"Legal Fees"</f>
        <v>Legal Fees</v>
      </c>
      <c r="G111" s="31">
        <v>0</v>
      </c>
      <c r="H111" s="36">
        <v>0</v>
      </c>
      <c r="I111" s="199">
        <f t="shared" si="6"/>
        <v>0</v>
      </c>
      <c r="J111" s="215" t="str">
        <f t="shared" si="7"/>
        <v>-</v>
      </c>
    </row>
    <row r="112" spans="1:10" hidden="1" outlineLevel="1" x14ac:dyDescent="0.3">
      <c r="A112" s="41" t="s">
        <v>581</v>
      </c>
      <c r="B112" s="223"/>
      <c r="C112" s="210"/>
      <c r="D112" s="32"/>
      <c r="E112" s="33" t="str">
        <f>"000-6730-00"</f>
        <v>000-6730-00</v>
      </c>
      <c r="F112" s="33" t="str">
        <f>"Accounting Fees"</f>
        <v>Accounting Fees</v>
      </c>
      <c r="G112" s="31">
        <v>-5000</v>
      </c>
      <c r="H112" s="36">
        <v>-5000</v>
      </c>
      <c r="I112" s="199">
        <f t="shared" si="6"/>
        <v>0</v>
      </c>
      <c r="J112" s="215">
        <f t="shared" si="7"/>
        <v>0</v>
      </c>
    </row>
    <row r="113" spans="1:10" hidden="1" outlineLevel="1" x14ac:dyDescent="0.3">
      <c r="A113" s="41" t="s">
        <v>581</v>
      </c>
      <c r="B113" s="223"/>
      <c r="C113" s="210"/>
      <c r="D113" s="32"/>
      <c r="E113" s="33" t="str">
        <f>"000-6740-00"</f>
        <v>000-6740-00</v>
      </c>
      <c r="F113" s="33" t="str">
        <f>"Fines &amp; Penalties"</f>
        <v>Fines &amp; Penalties</v>
      </c>
      <c r="G113" s="31">
        <v>0</v>
      </c>
      <c r="H113" s="36">
        <v>0</v>
      </c>
      <c r="I113" s="199">
        <f t="shared" si="6"/>
        <v>0</v>
      </c>
      <c r="J113" s="215" t="str">
        <f t="shared" si="7"/>
        <v>-</v>
      </c>
    </row>
    <row r="114" spans="1:10" hidden="1" outlineLevel="1" x14ac:dyDescent="0.3">
      <c r="A114" s="41" t="s">
        <v>581</v>
      </c>
      <c r="B114" s="223"/>
      <c r="C114" s="210"/>
      <c r="D114" s="32"/>
      <c r="E114" s="33" t="str">
        <f>"000-6750-00"</f>
        <v>000-6750-00</v>
      </c>
      <c r="F114" s="33" t="str">
        <f>"Licenses &amp; Fees"</f>
        <v>Licenses &amp; Fees</v>
      </c>
      <c r="G114" s="31">
        <v>-10500</v>
      </c>
      <c r="H114" s="36">
        <v>-10500</v>
      </c>
      <c r="I114" s="199">
        <f t="shared" si="6"/>
        <v>0</v>
      </c>
      <c r="J114" s="215">
        <f t="shared" si="7"/>
        <v>0</v>
      </c>
    </row>
    <row r="115" spans="1:10" hidden="1" outlineLevel="1" x14ac:dyDescent="0.3">
      <c r="A115" s="41" t="s">
        <v>581</v>
      </c>
      <c r="B115" s="223"/>
      <c r="C115" s="210"/>
      <c r="D115" s="32"/>
      <c r="E115" s="33" t="str">
        <f>"000-6760-00"</f>
        <v>000-6760-00</v>
      </c>
      <c r="F115" s="33" t="str">
        <f>"Recruiting &amp; Moving Expense"</f>
        <v>Recruiting &amp; Moving Expense</v>
      </c>
      <c r="G115" s="31">
        <v>-759.87</v>
      </c>
      <c r="H115" s="36">
        <v>-1000</v>
      </c>
      <c r="I115" s="199">
        <f t="shared" si="6"/>
        <v>240.13</v>
      </c>
      <c r="J115" s="215">
        <f t="shared" si="7"/>
        <v>-0.24012999999999998</v>
      </c>
    </row>
    <row r="116" spans="1:10" hidden="1" outlineLevel="1" x14ac:dyDescent="0.3">
      <c r="A116" s="41" t="s">
        <v>581</v>
      </c>
      <c r="B116" s="223"/>
      <c r="C116" s="210"/>
      <c r="D116" s="32"/>
      <c r="E116" s="33" t="str">
        <f>"000-6770-00"</f>
        <v>000-6770-00</v>
      </c>
      <c r="F116" s="33" t="str">
        <f>"Company Meetings"</f>
        <v>Company Meetings</v>
      </c>
      <c r="G116" s="31">
        <v>-350</v>
      </c>
      <c r="H116" s="36">
        <v>-300</v>
      </c>
      <c r="I116" s="199">
        <f t="shared" si="6"/>
        <v>-50</v>
      </c>
      <c r="J116" s="215">
        <f t="shared" si="7"/>
        <v>0.16666666666666666</v>
      </c>
    </row>
    <row r="117" spans="1:10" hidden="1" outlineLevel="1" x14ac:dyDescent="0.3">
      <c r="A117" s="41" t="s">
        <v>581</v>
      </c>
      <c r="B117" s="223"/>
      <c r="C117" s="210"/>
      <c r="D117" s="32"/>
      <c r="E117" s="33" t="str">
        <f>"000-6790-00"</f>
        <v>000-6790-00</v>
      </c>
      <c r="F117" s="33" t="str">
        <f>"Warranty Expense"</f>
        <v>Warranty Expense</v>
      </c>
      <c r="G117" s="31">
        <v>-2750</v>
      </c>
      <c r="H117" s="36">
        <v>-3000</v>
      </c>
      <c r="I117" s="199">
        <f t="shared" si="6"/>
        <v>250</v>
      </c>
      <c r="J117" s="215">
        <f t="shared" si="7"/>
        <v>-8.3333333333333329E-2</v>
      </c>
    </row>
    <row r="118" spans="1:10" hidden="1" outlineLevel="1" x14ac:dyDescent="0.3">
      <c r="A118" s="41" t="s">
        <v>581</v>
      </c>
      <c r="B118" s="223"/>
      <c r="C118" s="210"/>
      <c r="D118" s="32"/>
      <c r="E118" s="33" t="str">
        <f>"100-6110-00"</f>
        <v>100-6110-00</v>
      </c>
      <c r="F118" s="33" t="str">
        <f>"Company Car - Administration"</f>
        <v>Company Car - Administration</v>
      </c>
      <c r="G118" s="31">
        <v>-297.5</v>
      </c>
      <c r="H118" s="36">
        <v>-350</v>
      </c>
      <c r="I118" s="199">
        <f t="shared" si="6"/>
        <v>52.5</v>
      </c>
      <c r="J118" s="215">
        <f t="shared" si="7"/>
        <v>-0.15</v>
      </c>
    </row>
    <row r="119" spans="1:10" hidden="1" outlineLevel="1" x14ac:dyDescent="0.3">
      <c r="A119" s="41" t="s">
        <v>581</v>
      </c>
      <c r="B119" s="223"/>
      <c r="C119" s="210"/>
      <c r="D119" s="32"/>
      <c r="E119" s="33" t="str">
        <f>"100-6120-00"</f>
        <v>100-6120-00</v>
      </c>
      <c r="F119" s="33" t="str">
        <f>"Supplies/Rental - Administration"</f>
        <v>Supplies/Rental - Administration</v>
      </c>
      <c r="G119" s="31">
        <v>0</v>
      </c>
      <c r="H119" s="36">
        <v>0</v>
      </c>
      <c r="I119" s="199">
        <f t="shared" si="6"/>
        <v>0</v>
      </c>
      <c r="J119" s="215" t="str">
        <f t="shared" si="7"/>
        <v>-</v>
      </c>
    </row>
    <row r="120" spans="1:10" hidden="1" outlineLevel="1" x14ac:dyDescent="0.3">
      <c r="A120" s="41" t="s">
        <v>581</v>
      </c>
      <c r="B120" s="223"/>
      <c r="C120" s="210"/>
      <c r="D120" s="32"/>
      <c r="E120" s="33" t="str">
        <f>"100-6130-00"</f>
        <v>100-6130-00</v>
      </c>
      <c r="F120" s="33" t="str">
        <f>"Supplies/Hardware - Administration"</f>
        <v>Supplies/Hardware - Administration</v>
      </c>
      <c r="G120" s="31">
        <v>-249.5</v>
      </c>
      <c r="H120" s="36">
        <v>0</v>
      </c>
      <c r="I120" s="199">
        <f t="shared" si="6"/>
        <v>-249.5</v>
      </c>
      <c r="J120" s="215" t="str">
        <f t="shared" si="7"/>
        <v>∞</v>
      </c>
    </row>
    <row r="121" spans="1:10" hidden="1" outlineLevel="1" x14ac:dyDescent="0.3">
      <c r="A121" s="41" t="s">
        <v>581</v>
      </c>
      <c r="B121" s="223"/>
      <c r="C121" s="210"/>
      <c r="D121" s="32"/>
      <c r="E121" s="33" t="str">
        <f>"100-6140-00"</f>
        <v>100-6140-00</v>
      </c>
      <c r="F121" s="33" t="str">
        <f>"Supplies/Software - Administation"</f>
        <v>Supplies/Software - Administation</v>
      </c>
      <c r="G121" s="31">
        <v>-229</v>
      </c>
      <c r="H121" s="36">
        <v>-400</v>
      </c>
      <c r="I121" s="199">
        <f t="shared" si="6"/>
        <v>171</v>
      </c>
      <c r="J121" s="215">
        <f t="shared" si="7"/>
        <v>-0.42749999999999999</v>
      </c>
    </row>
    <row r="122" spans="1:10" hidden="1" outlineLevel="1" x14ac:dyDescent="0.3">
      <c r="A122" s="41" t="s">
        <v>581</v>
      </c>
      <c r="B122" s="223"/>
      <c r="C122" s="210"/>
      <c r="D122" s="32"/>
      <c r="E122" s="33" t="str">
        <f>"100-6150-00"</f>
        <v>100-6150-00</v>
      </c>
      <c r="F122" s="33" t="str">
        <f>"Supplies-Allocated - Administration"</f>
        <v>Supplies-Allocated - Administration</v>
      </c>
      <c r="G122" s="31">
        <v>-243.75</v>
      </c>
      <c r="H122" s="36">
        <v>-250</v>
      </c>
      <c r="I122" s="199">
        <f t="shared" si="6"/>
        <v>6.25</v>
      </c>
      <c r="J122" s="215">
        <f t="shared" si="7"/>
        <v>-2.5000000000000001E-2</v>
      </c>
    </row>
    <row r="123" spans="1:10" hidden="1" outlineLevel="1" x14ac:dyDescent="0.3">
      <c r="A123" s="41" t="s">
        <v>581</v>
      </c>
      <c r="B123" s="223"/>
      <c r="C123" s="210"/>
      <c r="D123" s="32"/>
      <c r="E123" s="33" t="str">
        <f>"100-6160-00"</f>
        <v>100-6160-00</v>
      </c>
      <c r="F123" s="33" t="str">
        <f>"Dues &amp; Subscriptions - Administration"</f>
        <v>Dues &amp; Subscriptions - Administration</v>
      </c>
      <c r="G123" s="31">
        <v>-50</v>
      </c>
      <c r="H123" s="36">
        <v>-100</v>
      </c>
      <c r="I123" s="199">
        <f t="shared" si="6"/>
        <v>50</v>
      </c>
      <c r="J123" s="215">
        <f t="shared" si="7"/>
        <v>-0.5</v>
      </c>
    </row>
    <row r="124" spans="1:10" hidden="1" outlineLevel="1" x14ac:dyDescent="0.3">
      <c r="A124" s="41" t="s">
        <v>581</v>
      </c>
      <c r="B124" s="223"/>
      <c r="C124" s="210"/>
      <c r="D124" s="32"/>
      <c r="E124" s="33" t="str">
        <f>"100-6170-00"</f>
        <v>100-6170-00</v>
      </c>
      <c r="F124" s="33" t="str">
        <f>"Repairs &amp; Maintenance - Administration"</f>
        <v>Repairs &amp; Maintenance - Administration</v>
      </c>
      <c r="G124" s="31">
        <v>-259.31</v>
      </c>
      <c r="H124" s="36">
        <v>-200</v>
      </c>
      <c r="I124" s="199">
        <f t="shared" si="6"/>
        <v>-59.31</v>
      </c>
      <c r="J124" s="215">
        <f t="shared" si="7"/>
        <v>0.29655000000000004</v>
      </c>
    </row>
    <row r="125" spans="1:10" hidden="1" outlineLevel="1" x14ac:dyDescent="0.3">
      <c r="A125" s="41" t="s">
        <v>581</v>
      </c>
      <c r="B125" s="223"/>
      <c r="C125" s="210"/>
      <c r="D125" s="32"/>
      <c r="E125" s="33" t="str">
        <f>"100-6180-00"</f>
        <v>100-6180-00</v>
      </c>
      <c r="F125" s="33" t="str">
        <f>"Rent Expense - Administration"</f>
        <v>Rent Expense - Administration</v>
      </c>
      <c r="G125" s="31">
        <v>-2787.19</v>
      </c>
      <c r="H125" s="36">
        <v>-2787</v>
      </c>
      <c r="I125" s="199">
        <f t="shared" si="6"/>
        <v>-0.19000000000005457</v>
      </c>
      <c r="J125" s="215">
        <f t="shared" si="7"/>
        <v>6.8173663437407454E-5</v>
      </c>
    </row>
    <row r="126" spans="1:10" hidden="1" outlineLevel="1" x14ac:dyDescent="0.3">
      <c r="A126" s="41" t="s">
        <v>581</v>
      </c>
      <c r="B126" s="223"/>
      <c r="C126" s="210"/>
      <c r="D126" s="32"/>
      <c r="E126" s="33" t="str">
        <f>"100-6190-00"</f>
        <v>100-6190-00</v>
      </c>
      <c r="F126" s="33" t="str">
        <f>"Utilities Expense - Administration"</f>
        <v>Utilities Expense - Administration</v>
      </c>
      <c r="G126" s="31">
        <v>-315.79000000000002</v>
      </c>
      <c r="H126" s="36">
        <v>-225</v>
      </c>
      <c r="I126" s="199">
        <f t="shared" si="6"/>
        <v>-90.79000000000002</v>
      </c>
      <c r="J126" s="215">
        <f t="shared" si="7"/>
        <v>0.40351111111111121</v>
      </c>
    </row>
    <row r="127" spans="1:10" hidden="1" outlineLevel="1" x14ac:dyDescent="0.3">
      <c r="A127" s="41" t="s">
        <v>581</v>
      </c>
      <c r="B127" s="223"/>
      <c r="C127" s="210"/>
      <c r="D127" s="32"/>
      <c r="E127" s="33" t="str">
        <f>"100-6500-00"</f>
        <v>100-6500-00</v>
      </c>
      <c r="F127" s="33" t="str">
        <f>"Postage/Freight - Administration"</f>
        <v>Postage/Freight - Administration</v>
      </c>
      <c r="G127" s="31">
        <v>-77.91</v>
      </c>
      <c r="H127" s="36">
        <v>-100</v>
      </c>
      <c r="I127" s="199">
        <f t="shared" si="6"/>
        <v>22.090000000000003</v>
      </c>
      <c r="J127" s="215">
        <f t="shared" si="7"/>
        <v>-0.22090000000000004</v>
      </c>
    </row>
    <row r="128" spans="1:10" hidden="1" outlineLevel="1" x14ac:dyDescent="0.3">
      <c r="A128" s="41" t="s">
        <v>581</v>
      </c>
      <c r="B128" s="223"/>
      <c r="C128" s="210"/>
      <c r="D128" s="32"/>
      <c r="E128" s="33" t="str">
        <f>"100-6510-00"</f>
        <v>100-6510-00</v>
      </c>
      <c r="F128" s="33" t="str">
        <f>"Telephone - Administration"</f>
        <v>Telephone - Administration</v>
      </c>
      <c r="G128" s="31">
        <v>-2253.5300000000002</v>
      </c>
      <c r="H128" s="36">
        <v>-2000</v>
      </c>
      <c r="I128" s="199">
        <f t="shared" si="6"/>
        <v>-253.5300000000002</v>
      </c>
      <c r="J128" s="215">
        <f t="shared" si="7"/>
        <v>0.1267650000000001</v>
      </c>
    </row>
    <row r="129" spans="1:10" hidden="1" outlineLevel="1" x14ac:dyDescent="0.3">
      <c r="A129" s="41" t="s">
        <v>581</v>
      </c>
      <c r="B129" s="223"/>
      <c r="C129" s="210"/>
      <c r="D129" s="32"/>
      <c r="E129" s="33" t="str">
        <f>"100-6520-00"</f>
        <v>100-6520-00</v>
      </c>
      <c r="F129" s="33" t="str">
        <f>"Travel - Administration"</f>
        <v>Travel - Administration</v>
      </c>
      <c r="G129" s="31">
        <v>-2049.2800000000002</v>
      </c>
      <c r="H129" s="36">
        <v>-2500</v>
      </c>
      <c r="I129" s="199">
        <f t="shared" si="6"/>
        <v>450.7199999999998</v>
      </c>
      <c r="J129" s="215">
        <f t="shared" si="7"/>
        <v>-0.18028799999999992</v>
      </c>
    </row>
    <row r="130" spans="1:10" hidden="1" outlineLevel="1" x14ac:dyDescent="0.3">
      <c r="A130" s="41" t="s">
        <v>581</v>
      </c>
      <c r="B130" s="223"/>
      <c r="C130" s="210"/>
      <c r="D130" s="32"/>
      <c r="E130" s="33" t="str">
        <f>"100-6530-00"</f>
        <v>100-6530-00</v>
      </c>
      <c r="F130" s="33" t="str">
        <f>"Meals/Entertainment - Administration"</f>
        <v>Meals/Entertainment - Administration</v>
      </c>
      <c r="G130" s="31">
        <v>-250</v>
      </c>
      <c r="H130" s="36">
        <v>-200</v>
      </c>
      <c r="I130" s="199">
        <f t="shared" si="6"/>
        <v>-50</v>
      </c>
      <c r="J130" s="215">
        <f t="shared" si="7"/>
        <v>0.25</v>
      </c>
    </row>
    <row r="131" spans="1:10" hidden="1" outlineLevel="1" x14ac:dyDescent="0.3">
      <c r="A131" s="41" t="s">
        <v>581</v>
      </c>
      <c r="B131" s="223"/>
      <c r="C131" s="210"/>
      <c r="D131" s="32"/>
      <c r="E131" s="33" t="str">
        <f>"200-6120-00"</f>
        <v>200-6120-00</v>
      </c>
      <c r="F131" s="33" t="str">
        <f>"Supplies/Rental - Accounting"</f>
        <v>Supplies/Rental - Accounting</v>
      </c>
      <c r="G131" s="31">
        <v>0</v>
      </c>
      <c r="H131" s="36">
        <v>0</v>
      </c>
      <c r="I131" s="199">
        <f t="shared" si="6"/>
        <v>0</v>
      </c>
      <c r="J131" s="215" t="str">
        <f t="shared" si="7"/>
        <v>-</v>
      </c>
    </row>
    <row r="132" spans="1:10" hidden="1" outlineLevel="1" x14ac:dyDescent="0.3">
      <c r="A132" s="41" t="s">
        <v>581</v>
      </c>
      <c r="B132" s="223"/>
      <c r="C132" s="210"/>
      <c r="D132" s="32"/>
      <c r="E132" s="33" t="str">
        <f>"200-6130-00"</f>
        <v>200-6130-00</v>
      </c>
      <c r="F132" s="33" t="str">
        <f>"Supplies/Hardware - Accounting"</f>
        <v>Supplies/Hardware - Accounting</v>
      </c>
      <c r="G132" s="31">
        <v>-489.95</v>
      </c>
      <c r="H132" s="36">
        <v>0</v>
      </c>
      <c r="I132" s="199">
        <f t="shared" si="6"/>
        <v>-489.95</v>
      </c>
      <c r="J132" s="215" t="str">
        <f t="shared" si="7"/>
        <v>∞</v>
      </c>
    </row>
    <row r="133" spans="1:10" hidden="1" outlineLevel="1" x14ac:dyDescent="0.3">
      <c r="A133" s="41" t="s">
        <v>581</v>
      </c>
      <c r="B133" s="223"/>
      <c r="C133" s="210"/>
      <c r="D133" s="32"/>
      <c r="E133" s="33" t="str">
        <f>"200-6140-00"</f>
        <v>200-6140-00</v>
      </c>
      <c r="F133" s="33" t="str">
        <f>"Supplies/Software - Accounting"</f>
        <v>Supplies/Software - Accounting</v>
      </c>
      <c r="G133" s="31">
        <v>-537</v>
      </c>
      <c r="H133" s="36">
        <v>-600</v>
      </c>
      <c r="I133" s="199">
        <f t="shared" si="6"/>
        <v>63</v>
      </c>
      <c r="J133" s="215">
        <f t="shared" si="7"/>
        <v>-0.105</v>
      </c>
    </row>
    <row r="134" spans="1:10" hidden="1" outlineLevel="1" x14ac:dyDescent="0.3">
      <c r="A134" s="41" t="s">
        <v>581</v>
      </c>
      <c r="B134" s="223"/>
      <c r="C134" s="210"/>
      <c r="D134" s="32"/>
      <c r="E134" s="33" t="str">
        <f>"200-6150-00"</f>
        <v>200-6150-00</v>
      </c>
      <c r="F134" s="33" t="str">
        <f>"Supplies-Allocated - Accounting"</f>
        <v>Supplies-Allocated - Accounting</v>
      </c>
      <c r="G134" s="31">
        <v>-609.38</v>
      </c>
      <c r="H134" s="36">
        <v>-700</v>
      </c>
      <c r="I134" s="199">
        <f t="shared" si="6"/>
        <v>90.62</v>
      </c>
      <c r="J134" s="215">
        <f t="shared" si="7"/>
        <v>-0.12945714285714285</v>
      </c>
    </row>
    <row r="135" spans="1:10" hidden="1" outlineLevel="1" x14ac:dyDescent="0.3">
      <c r="A135" s="41" t="s">
        <v>581</v>
      </c>
      <c r="B135" s="223"/>
      <c r="C135" s="210"/>
      <c r="D135" s="32"/>
      <c r="E135" s="33" t="str">
        <f>"200-6160-00"</f>
        <v>200-6160-00</v>
      </c>
      <c r="F135" s="33" t="str">
        <f>"Dues &amp; Subscriptions - Accounting"</f>
        <v>Dues &amp; Subscriptions - Accounting</v>
      </c>
      <c r="G135" s="31">
        <v>0</v>
      </c>
      <c r="H135" s="36">
        <v>0</v>
      </c>
      <c r="I135" s="199">
        <f t="shared" si="6"/>
        <v>0</v>
      </c>
      <c r="J135" s="215" t="str">
        <f t="shared" si="7"/>
        <v>-</v>
      </c>
    </row>
    <row r="136" spans="1:10" hidden="1" outlineLevel="1" x14ac:dyDescent="0.3">
      <c r="A136" s="41" t="s">
        <v>581</v>
      </c>
      <c r="B136" s="223"/>
      <c r="C136" s="210"/>
      <c r="D136" s="32"/>
      <c r="E136" s="33" t="str">
        <f>"200-6170-00"</f>
        <v>200-6170-00</v>
      </c>
      <c r="F136" s="33" t="str">
        <f>"Repairs &amp; Maintenance - Accounting"</f>
        <v>Repairs &amp; Maintenance - Accounting</v>
      </c>
      <c r="G136" s="31">
        <v>-864.38</v>
      </c>
      <c r="H136" s="36">
        <v>-700</v>
      </c>
      <c r="I136" s="199">
        <f t="shared" si="6"/>
        <v>-164.38</v>
      </c>
      <c r="J136" s="215">
        <f t="shared" si="7"/>
        <v>0.23482857142857141</v>
      </c>
    </row>
    <row r="137" spans="1:10" hidden="1" outlineLevel="1" x14ac:dyDescent="0.3">
      <c r="A137" s="41" t="s">
        <v>581</v>
      </c>
      <c r="B137" s="223"/>
      <c r="C137" s="210"/>
      <c r="D137" s="32"/>
      <c r="E137" s="33" t="str">
        <f>"200-6180-00"</f>
        <v>200-6180-00</v>
      </c>
      <c r="F137" s="33" t="str">
        <f>"Rent Expense - Accounting"</f>
        <v>Rent Expense - Accounting</v>
      </c>
      <c r="G137" s="31">
        <v>-2787.19</v>
      </c>
      <c r="H137" s="36">
        <v>-2787</v>
      </c>
      <c r="I137" s="199">
        <f t="shared" si="6"/>
        <v>-0.19000000000005457</v>
      </c>
      <c r="J137" s="215">
        <f t="shared" si="7"/>
        <v>6.8173663437407454E-5</v>
      </c>
    </row>
    <row r="138" spans="1:10" hidden="1" outlineLevel="1" x14ac:dyDescent="0.3">
      <c r="A138" s="41" t="s">
        <v>581</v>
      </c>
      <c r="B138" s="223"/>
      <c r="C138" s="210"/>
      <c r="D138" s="32"/>
      <c r="E138" s="33" t="str">
        <f>"200-6190-00"</f>
        <v>200-6190-00</v>
      </c>
      <c r="F138" s="33" t="str">
        <f>"Utilities Expense - Accounting"</f>
        <v>Utilities Expense - Accounting</v>
      </c>
      <c r="G138" s="31">
        <v>-315.79000000000002</v>
      </c>
      <c r="H138" s="36">
        <v>-225</v>
      </c>
      <c r="I138" s="199">
        <f t="shared" si="6"/>
        <v>-90.79000000000002</v>
      </c>
      <c r="J138" s="215">
        <f t="shared" si="7"/>
        <v>0.40351111111111121</v>
      </c>
    </row>
    <row r="139" spans="1:10" hidden="1" outlineLevel="1" x14ac:dyDescent="0.3">
      <c r="A139" s="41" t="s">
        <v>581</v>
      </c>
      <c r="B139" s="223"/>
      <c r="C139" s="210"/>
      <c r="D139" s="32"/>
      <c r="E139" s="33" t="str">
        <f>"200-6500-00"</f>
        <v>200-6500-00</v>
      </c>
      <c r="F139" s="33" t="str">
        <f>"Postage/Freight  - Accounting"</f>
        <v>Postage/Freight  - Accounting</v>
      </c>
      <c r="G139" s="31">
        <v>-129.29</v>
      </c>
      <c r="H139" s="36">
        <v>-100</v>
      </c>
      <c r="I139" s="199">
        <f t="shared" si="6"/>
        <v>-29.289999999999992</v>
      </c>
      <c r="J139" s="215">
        <f t="shared" si="7"/>
        <v>0.29289999999999994</v>
      </c>
    </row>
    <row r="140" spans="1:10" hidden="1" outlineLevel="1" x14ac:dyDescent="0.3">
      <c r="A140" s="41" t="s">
        <v>581</v>
      </c>
      <c r="B140" s="223"/>
      <c r="C140" s="210"/>
      <c r="D140" s="32"/>
      <c r="E140" s="33" t="str">
        <f>"200-6510-00"</f>
        <v>200-6510-00</v>
      </c>
      <c r="F140" s="33" t="str">
        <f>"Telephone - Accounting"</f>
        <v>Telephone - Accounting</v>
      </c>
      <c r="G140" s="31">
        <v>-2253.5300000000002</v>
      </c>
      <c r="H140" s="36">
        <v>-2000</v>
      </c>
      <c r="I140" s="199">
        <f t="shared" si="6"/>
        <v>-253.5300000000002</v>
      </c>
      <c r="J140" s="215">
        <f t="shared" si="7"/>
        <v>0.1267650000000001</v>
      </c>
    </row>
    <row r="141" spans="1:10" hidden="1" outlineLevel="1" x14ac:dyDescent="0.3">
      <c r="A141" s="41" t="s">
        <v>581</v>
      </c>
      <c r="B141" s="223"/>
      <c r="C141" s="210"/>
      <c r="D141" s="32"/>
      <c r="E141" s="33" t="str">
        <f>"200-6520-00"</f>
        <v>200-6520-00</v>
      </c>
      <c r="F141" s="33" t="str">
        <f>"Travel - Accounting"</f>
        <v>Travel - Accounting</v>
      </c>
      <c r="G141" s="31">
        <v>0</v>
      </c>
      <c r="H141" s="36">
        <v>0</v>
      </c>
      <c r="I141" s="199">
        <f t="shared" si="6"/>
        <v>0</v>
      </c>
      <c r="J141" s="215" t="str">
        <f t="shared" si="7"/>
        <v>-</v>
      </c>
    </row>
    <row r="142" spans="1:10" hidden="1" outlineLevel="1" x14ac:dyDescent="0.3">
      <c r="A142" s="41" t="s">
        <v>581</v>
      </c>
      <c r="B142" s="223"/>
      <c r="C142" s="210"/>
      <c r="D142" s="32"/>
      <c r="E142" s="33" t="str">
        <f>"200-6530-00"</f>
        <v>200-6530-00</v>
      </c>
      <c r="F142" s="33" t="str">
        <f>"Meals/Entertainment - Accounting"</f>
        <v>Meals/Entertainment - Accounting</v>
      </c>
      <c r="G142" s="31">
        <v>0</v>
      </c>
      <c r="H142" s="36">
        <v>0</v>
      </c>
      <c r="I142" s="199">
        <f t="shared" si="6"/>
        <v>0</v>
      </c>
      <c r="J142" s="215" t="str">
        <f t="shared" si="7"/>
        <v>-</v>
      </c>
    </row>
    <row r="143" spans="1:10" hidden="1" outlineLevel="1" x14ac:dyDescent="0.3">
      <c r="A143" s="41" t="s">
        <v>581</v>
      </c>
      <c r="B143" s="223"/>
      <c r="C143" s="210"/>
      <c r="D143" s="32"/>
      <c r="E143" s="33" t="str">
        <f>"300-6120-00"</f>
        <v>300-6120-00</v>
      </c>
      <c r="F143" s="33" t="str">
        <f>"Supplies/Rental - Sales"</f>
        <v>Supplies/Rental - Sales</v>
      </c>
      <c r="G143" s="31">
        <v>0</v>
      </c>
      <c r="H143" s="36">
        <v>0</v>
      </c>
      <c r="I143" s="199">
        <f t="shared" si="6"/>
        <v>0</v>
      </c>
      <c r="J143" s="215" t="str">
        <f t="shared" si="7"/>
        <v>-</v>
      </c>
    </row>
    <row r="144" spans="1:10" hidden="1" outlineLevel="1" x14ac:dyDescent="0.3">
      <c r="A144" s="41" t="s">
        <v>581</v>
      </c>
      <c r="B144" s="223"/>
      <c r="C144" s="210"/>
      <c r="D144" s="32"/>
      <c r="E144" s="33" t="str">
        <f>"300-6130-00"</f>
        <v>300-6130-00</v>
      </c>
      <c r="F144" s="33" t="str">
        <f>"Supplies/Hardware - Sales"</f>
        <v>Supplies/Hardware - Sales</v>
      </c>
      <c r="G144" s="31">
        <v>0</v>
      </c>
      <c r="H144" s="36">
        <v>0</v>
      </c>
      <c r="I144" s="199">
        <f t="shared" si="6"/>
        <v>0</v>
      </c>
      <c r="J144" s="215" t="str">
        <f t="shared" si="7"/>
        <v>-</v>
      </c>
    </row>
    <row r="145" spans="1:10" hidden="1" outlineLevel="1" x14ac:dyDescent="0.3">
      <c r="A145" s="41" t="s">
        <v>581</v>
      </c>
      <c r="B145" s="223"/>
      <c r="C145" s="210"/>
      <c r="D145" s="32"/>
      <c r="E145" s="33" t="str">
        <f>"300-6140-00"</f>
        <v>300-6140-00</v>
      </c>
      <c r="F145" s="33" t="str">
        <f>"Supplies/Software - Sales"</f>
        <v>Supplies/Software - Sales</v>
      </c>
      <c r="G145" s="31">
        <v>-792</v>
      </c>
      <c r="H145" s="36">
        <v>-1000</v>
      </c>
      <c r="I145" s="199">
        <f t="shared" si="6"/>
        <v>208</v>
      </c>
      <c r="J145" s="215">
        <f t="shared" si="7"/>
        <v>-0.20799999999999999</v>
      </c>
    </row>
    <row r="146" spans="1:10" hidden="1" outlineLevel="1" x14ac:dyDescent="0.3">
      <c r="A146" s="41" t="s">
        <v>581</v>
      </c>
      <c r="B146" s="223"/>
      <c r="C146" s="210"/>
      <c r="D146" s="32"/>
      <c r="E146" s="33" t="str">
        <f>"300-6150-00"</f>
        <v>300-6150-00</v>
      </c>
      <c r="F146" s="33" t="str">
        <f>"Supplies-Allocated - Sales"</f>
        <v>Supplies-Allocated - Sales</v>
      </c>
      <c r="G146" s="31">
        <v>-1462.5</v>
      </c>
      <c r="H146" s="36">
        <v>-1200</v>
      </c>
      <c r="I146" s="199">
        <f t="shared" si="6"/>
        <v>-262.5</v>
      </c>
      <c r="J146" s="215">
        <f t="shared" si="7"/>
        <v>0.21875</v>
      </c>
    </row>
    <row r="147" spans="1:10" hidden="1" outlineLevel="1" x14ac:dyDescent="0.3">
      <c r="A147" s="41" t="s">
        <v>581</v>
      </c>
      <c r="B147" s="223"/>
      <c r="C147" s="210"/>
      <c r="D147" s="32"/>
      <c r="E147" s="33" t="str">
        <f>"300-6160-00"</f>
        <v>300-6160-00</v>
      </c>
      <c r="F147" s="33" t="str">
        <f>"Dues &amp; Subscriptions - Sales"</f>
        <v>Dues &amp; Subscriptions - Sales</v>
      </c>
      <c r="G147" s="31">
        <v>-450</v>
      </c>
      <c r="H147" s="36">
        <v>-450</v>
      </c>
      <c r="I147" s="199">
        <f t="shared" si="6"/>
        <v>0</v>
      </c>
      <c r="J147" s="215">
        <f t="shared" si="7"/>
        <v>0</v>
      </c>
    </row>
    <row r="148" spans="1:10" hidden="1" outlineLevel="1" x14ac:dyDescent="0.3">
      <c r="A148" s="41" t="s">
        <v>581</v>
      </c>
      <c r="B148" s="223"/>
      <c r="C148" s="210"/>
      <c r="D148" s="32"/>
      <c r="E148" s="33" t="str">
        <f>"300-6170-00"</f>
        <v>300-6170-00</v>
      </c>
      <c r="F148" s="33" t="str">
        <f>"Repairs &amp; Maintenance - Sales"</f>
        <v>Repairs &amp; Maintenance - Sales</v>
      </c>
      <c r="G148" s="31">
        <v>-2074.5</v>
      </c>
      <c r="H148" s="36">
        <v>-2300</v>
      </c>
      <c r="I148" s="199">
        <f t="shared" si="6"/>
        <v>225.5</v>
      </c>
      <c r="J148" s="215">
        <f t="shared" si="7"/>
        <v>-9.8043478260869565E-2</v>
      </c>
    </row>
    <row r="149" spans="1:10" hidden="1" outlineLevel="1" x14ac:dyDescent="0.3">
      <c r="A149" s="41" t="s">
        <v>581</v>
      </c>
      <c r="B149" s="223"/>
      <c r="C149" s="210"/>
      <c r="D149" s="32"/>
      <c r="E149" s="33" t="str">
        <f>"300-6180-00"</f>
        <v>300-6180-00</v>
      </c>
      <c r="F149" s="33" t="str">
        <f>"Rent Expense - Sales"</f>
        <v>Rent Expense - Sales</v>
      </c>
      <c r="G149" s="31">
        <v>-19510.3</v>
      </c>
      <c r="H149" s="36">
        <v>-19510</v>
      </c>
      <c r="I149" s="199">
        <f t="shared" si="6"/>
        <v>-0.2999999999992724</v>
      </c>
      <c r="J149" s="215">
        <f t="shared" si="7"/>
        <v>1.5376729882074443E-5</v>
      </c>
    </row>
    <row r="150" spans="1:10" hidden="1" outlineLevel="1" x14ac:dyDescent="0.3">
      <c r="A150" s="41" t="s">
        <v>581</v>
      </c>
      <c r="B150" s="223"/>
      <c r="C150" s="210"/>
      <c r="D150" s="32"/>
      <c r="E150" s="33" t="str">
        <f>"300-6190-00"</f>
        <v>300-6190-00</v>
      </c>
      <c r="F150" s="33" t="str">
        <f>"Utilities Expense - Sales"</f>
        <v>Utilities Expense - Sales</v>
      </c>
      <c r="G150" s="31">
        <v>-2210.5100000000002</v>
      </c>
      <c r="H150" s="36">
        <v>-2000</v>
      </c>
      <c r="I150" s="199">
        <f t="shared" si="6"/>
        <v>-210.51000000000022</v>
      </c>
      <c r="J150" s="215">
        <f t="shared" si="7"/>
        <v>0.10525500000000011</v>
      </c>
    </row>
    <row r="151" spans="1:10" hidden="1" outlineLevel="1" x14ac:dyDescent="0.3">
      <c r="A151" s="41" t="s">
        <v>581</v>
      </c>
      <c r="B151" s="223"/>
      <c r="C151" s="210"/>
      <c r="D151" s="32"/>
      <c r="E151" s="33" t="str">
        <f>"300-6500-00"</f>
        <v>300-6500-00</v>
      </c>
      <c r="F151" s="33" t="str">
        <f>"Postage/Freight - Sales"</f>
        <v>Postage/Freight - Sales</v>
      </c>
      <c r="G151" s="31">
        <v>-365.66</v>
      </c>
      <c r="H151" s="36">
        <v>-300</v>
      </c>
      <c r="I151" s="199">
        <f t="shared" si="6"/>
        <v>-65.660000000000025</v>
      </c>
      <c r="J151" s="215">
        <f t="shared" si="7"/>
        <v>0.21886666666666674</v>
      </c>
    </row>
    <row r="152" spans="1:10" hidden="1" outlineLevel="1" x14ac:dyDescent="0.3">
      <c r="A152" s="41" t="s">
        <v>581</v>
      </c>
      <c r="B152" s="223"/>
      <c r="C152" s="210"/>
      <c r="D152" s="32"/>
      <c r="E152" s="33" t="str">
        <f>"300-6510-00"</f>
        <v>300-6510-00</v>
      </c>
      <c r="F152" s="33" t="str">
        <f>"Telephone - Sales"</f>
        <v>Telephone - Sales</v>
      </c>
      <c r="G152" s="31">
        <v>-6760.58</v>
      </c>
      <c r="H152" s="36">
        <v>-6000</v>
      </c>
      <c r="I152" s="199">
        <f t="shared" si="6"/>
        <v>-760.57999999999993</v>
      </c>
      <c r="J152" s="215">
        <f t="shared" si="7"/>
        <v>0.12676333333333331</v>
      </c>
    </row>
    <row r="153" spans="1:10" hidden="1" outlineLevel="1" x14ac:dyDescent="0.3">
      <c r="A153" s="41" t="s">
        <v>581</v>
      </c>
      <c r="B153" s="223"/>
      <c r="C153" s="210"/>
      <c r="D153" s="32"/>
      <c r="E153" s="33" t="str">
        <f>"300-6520-00"</f>
        <v>300-6520-00</v>
      </c>
      <c r="F153" s="33" t="str">
        <f>"Travel - Sales"</f>
        <v>Travel - Sales</v>
      </c>
      <c r="G153" s="31">
        <v>-16999.46</v>
      </c>
      <c r="H153" s="36">
        <v>-14500</v>
      </c>
      <c r="I153" s="199">
        <f t="shared" si="6"/>
        <v>-2499.4599999999991</v>
      </c>
      <c r="J153" s="215">
        <f t="shared" si="7"/>
        <v>0.17237655172413788</v>
      </c>
    </row>
    <row r="154" spans="1:10" hidden="1" outlineLevel="1" x14ac:dyDescent="0.3">
      <c r="A154" s="41" t="s">
        <v>581</v>
      </c>
      <c r="B154" s="223"/>
      <c r="C154" s="210"/>
      <c r="D154" s="32"/>
      <c r="E154" s="33" t="str">
        <f>"300-6530-00"</f>
        <v>300-6530-00</v>
      </c>
      <c r="F154" s="33" t="str">
        <f>"Meals/Entertainment - Sales"</f>
        <v>Meals/Entertainment - Sales</v>
      </c>
      <c r="G154" s="31">
        <v>-2582.9899999999998</v>
      </c>
      <c r="H154" s="36">
        <v>-2200</v>
      </c>
      <c r="I154" s="199">
        <f t="shared" si="6"/>
        <v>-382.98999999999978</v>
      </c>
      <c r="J154" s="215">
        <f t="shared" si="7"/>
        <v>0.17408636363636354</v>
      </c>
    </row>
    <row r="155" spans="1:10" hidden="1" outlineLevel="1" x14ac:dyDescent="0.3">
      <c r="A155" s="41" t="s">
        <v>581</v>
      </c>
      <c r="B155" s="223"/>
      <c r="C155" s="210"/>
      <c r="D155" s="32"/>
      <c r="E155" s="33" t="str">
        <f>"400-5600-00"</f>
        <v>400-5600-00</v>
      </c>
      <c r="F155" s="33" t="str">
        <f>"Contract Services - Service/Installation"</f>
        <v>Contract Services - Service/Installation</v>
      </c>
      <c r="G155" s="31">
        <v>-338550.85</v>
      </c>
      <c r="H155" s="36">
        <v>-375000</v>
      </c>
      <c r="I155" s="199">
        <f t="shared" si="6"/>
        <v>36449.150000000023</v>
      </c>
      <c r="J155" s="215">
        <f t="shared" si="7"/>
        <v>-9.7197733333333397E-2</v>
      </c>
    </row>
    <row r="156" spans="1:10" hidden="1" outlineLevel="1" x14ac:dyDescent="0.3">
      <c r="A156" s="41" t="s">
        <v>581</v>
      </c>
      <c r="B156" s="223"/>
      <c r="C156" s="210"/>
      <c r="D156" s="32"/>
      <c r="E156" s="33" t="str">
        <f>"400-6110-00"</f>
        <v>400-6110-00</v>
      </c>
      <c r="F156" s="33" t="str">
        <f>"Fleet Vehicle Expense"</f>
        <v>Fleet Vehicle Expense</v>
      </c>
      <c r="G156" s="31">
        <v>-628.55999999999995</v>
      </c>
      <c r="H156" s="36">
        <v>-700</v>
      </c>
      <c r="I156" s="199">
        <f t="shared" si="6"/>
        <v>71.440000000000055</v>
      </c>
      <c r="J156" s="215">
        <f t="shared" si="7"/>
        <v>-0.10205714285714293</v>
      </c>
    </row>
    <row r="157" spans="1:10" hidden="1" outlineLevel="1" x14ac:dyDescent="0.3">
      <c r="A157" s="41" t="s">
        <v>581</v>
      </c>
      <c r="B157" s="223"/>
      <c r="C157" s="210"/>
      <c r="D157" s="32"/>
      <c r="E157" s="33" t="str">
        <f>"400-6120-00"</f>
        <v>400-6120-00</v>
      </c>
      <c r="F157" s="33" t="str">
        <f>"Supplies/Rental - Service/Installation"</f>
        <v>Supplies/Rental - Service/Installation</v>
      </c>
      <c r="G157" s="31">
        <v>-1550</v>
      </c>
      <c r="H157" s="36">
        <v>-1800</v>
      </c>
      <c r="I157" s="199">
        <f t="shared" si="6"/>
        <v>250</v>
      </c>
      <c r="J157" s="215">
        <f t="shared" si="7"/>
        <v>-0.1388888888888889</v>
      </c>
    </row>
    <row r="158" spans="1:10" hidden="1" outlineLevel="1" x14ac:dyDescent="0.3">
      <c r="A158" s="41" t="s">
        <v>581</v>
      </c>
      <c r="B158" s="223"/>
      <c r="C158" s="210"/>
      <c r="D158" s="32"/>
      <c r="E158" s="33" t="str">
        <f>"400-6130-00"</f>
        <v>400-6130-00</v>
      </c>
      <c r="F158" s="33" t="str">
        <f>"Supplies/Hardware - Service/Installation"</f>
        <v>Supplies/Hardware - Service/Installation</v>
      </c>
      <c r="G158" s="31">
        <v>0</v>
      </c>
      <c r="H158" s="36">
        <v>0</v>
      </c>
      <c r="I158" s="199">
        <f t="shared" si="6"/>
        <v>0</v>
      </c>
      <c r="J158" s="215" t="str">
        <f t="shared" si="7"/>
        <v>-</v>
      </c>
    </row>
    <row r="159" spans="1:10" hidden="1" outlineLevel="1" x14ac:dyDescent="0.3">
      <c r="A159" s="41" t="s">
        <v>581</v>
      </c>
      <c r="B159" s="223"/>
      <c r="C159" s="210"/>
      <c r="D159" s="32"/>
      <c r="E159" s="33" t="str">
        <f>"400-6140-00"</f>
        <v>400-6140-00</v>
      </c>
      <c r="F159" s="33" t="str">
        <f>"Supplies/Software - Service/Installation"</f>
        <v>Supplies/Software - Service/Installation</v>
      </c>
      <c r="G159" s="31">
        <v>0</v>
      </c>
      <c r="H159" s="36">
        <v>0</v>
      </c>
      <c r="I159" s="199">
        <f t="shared" si="6"/>
        <v>0</v>
      </c>
      <c r="J159" s="215" t="str">
        <f t="shared" si="7"/>
        <v>-</v>
      </c>
    </row>
    <row r="160" spans="1:10" hidden="1" outlineLevel="1" x14ac:dyDescent="0.3">
      <c r="A160" s="41" t="s">
        <v>581</v>
      </c>
      <c r="B160" s="223"/>
      <c r="C160" s="210"/>
      <c r="D160" s="32"/>
      <c r="E160" s="33" t="str">
        <f>"400-6150-00"</f>
        <v>400-6150-00</v>
      </c>
      <c r="F160" s="33" t="str">
        <f>"Supplies-Allocated - Services/Installation"</f>
        <v>Supplies-Allocated - Services/Installation</v>
      </c>
      <c r="G160" s="31">
        <v>-1218.75</v>
      </c>
      <c r="H160" s="36">
        <v>-1400</v>
      </c>
      <c r="I160" s="199">
        <f t="shared" si="6"/>
        <v>181.25</v>
      </c>
      <c r="J160" s="215">
        <f t="shared" si="7"/>
        <v>-0.12946428571428573</v>
      </c>
    </row>
    <row r="161" spans="1:10" hidden="1" outlineLevel="1" x14ac:dyDescent="0.3">
      <c r="A161" s="41" t="s">
        <v>581</v>
      </c>
      <c r="B161" s="223"/>
      <c r="C161" s="210"/>
      <c r="D161" s="32"/>
      <c r="E161" s="33" t="str">
        <f>"400-6160-00"</f>
        <v>400-6160-00</v>
      </c>
      <c r="F161" s="33" t="str">
        <f>"Dues &amp; Subscriptions - Service/Installation"</f>
        <v>Dues &amp; Subscriptions - Service/Installation</v>
      </c>
      <c r="G161" s="31">
        <v>-950</v>
      </c>
      <c r="H161" s="36">
        <v>-950</v>
      </c>
      <c r="I161" s="199">
        <f t="shared" si="6"/>
        <v>0</v>
      </c>
      <c r="J161" s="215">
        <f t="shared" si="7"/>
        <v>0</v>
      </c>
    </row>
    <row r="162" spans="1:10" hidden="1" outlineLevel="1" x14ac:dyDescent="0.3">
      <c r="A162" s="41" t="s">
        <v>581</v>
      </c>
      <c r="B162" s="223"/>
      <c r="C162" s="210"/>
      <c r="D162" s="32"/>
      <c r="E162" s="33" t="str">
        <f>"400-6170-00"</f>
        <v>400-6170-00</v>
      </c>
      <c r="F162" s="33" t="str">
        <f>"Repairs &amp; Maintenance - Service/Installation"</f>
        <v>Repairs &amp; Maintenance - Service/Installation</v>
      </c>
      <c r="G162" s="31">
        <v>-1728.75</v>
      </c>
      <c r="H162" s="36">
        <v>-1500</v>
      </c>
      <c r="I162" s="199">
        <f t="shared" ref="I162:I193" si="8">G162-H162</f>
        <v>-228.75</v>
      </c>
      <c r="J162" s="215">
        <f t="shared" ref="J162:J193" si="9">IF(G162=0,"-",IF(H162=0,"∞",(G162-H162)/H162))</f>
        <v>0.1525</v>
      </c>
    </row>
    <row r="163" spans="1:10" hidden="1" outlineLevel="1" x14ac:dyDescent="0.3">
      <c r="A163" s="41" t="s">
        <v>581</v>
      </c>
      <c r="B163" s="223"/>
      <c r="C163" s="210"/>
      <c r="D163" s="32"/>
      <c r="E163" s="33" t="str">
        <f>"400-6180-00"</f>
        <v>400-6180-00</v>
      </c>
      <c r="F163" s="33" t="str">
        <f>"Rent Expense - Service/Installation"</f>
        <v>Rent Expense - Service/Installation</v>
      </c>
      <c r="G163" s="31">
        <v>-11148.74</v>
      </c>
      <c r="H163" s="36">
        <v>-11149</v>
      </c>
      <c r="I163" s="199">
        <f t="shared" si="8"/>
        <v>0.26000000000021828</v>
      </c>
      <c r="J163" s="215">
        <f t="shared" si="9"/>
        <v>-2.3320477172860192E-5</v>
      </c>
    </row>
    <row r="164" spans="1:10" hidden="1" outlineLevel="1" x14ac:dyDescent="0.3">
      <c r="A164" s="41" t="s">
        <v>581</v>
      </c>
      <c r="B164" s="223"/>
      <c r="C164" s="210"/>
      <c r="D164" s="32"/>
      <c r="E164" s="33" t="str">
        <f>"400-6190-00"</f>
        <v>400-6190-00</v>
      </c>
      <c r="F164" s="33" t="str">
        <f>"Utilities Expense - Service/Installation"</f>
        <v>Utilities Expense - Service/Installation</v>
      </c>
      <c r="G164" s="31">
        <v>-1263.1500000000001</v>
      </c>
      <c r="H164" s="36">
        <v>-1000</v>
      </c>
      <c r="I164" s="199">
        <f t="shared" si="8"/>
        <v>-263.15000000000009</v>
      </c>
      <c r="J164" s="215">
        <f t="shared" si="9"/>
        <v>0.26315000000000011</v>
      </c>
    </row>
    <row r="165" spans="1:10" hidden="1" outlineLevel="1" x14ac:dyDescent="0.3">
      <c r="A165" s="41" t="s">
        <v>581</v>
      </c>
      <c r="B165" s="223"/>
      <c r="C165" s="210"/>
      <c r="D165" s="32"/>
      <c r="E165" s="33" t="str">
        <f>"400-6500-00"</f>
        <v>400-6500-00</v>
      </c>
      <c r="F165" s="33" t="str">
        <f>"Postage/Freight - Service/Installation"</f>
        <v>Postage/Freight - Service/Installation</v>
      </c>
      <c r="G165" s="31">
        <v>-2530.9499999999998</v>
      </c>
      <c r="H165" s="36">
        <v>-2500</v>
      </c>
      <c r="I165" s="199">
        <f t="shared" si="8"/>
        <v>-30.949999999999818</v>
      </c>
      <c r="J165" s="215">
        <f t="shared" si="9"/>
        <v>1.2379999999999928E-2</v>
      </c>
    </row>
    <row r="166" spans="1:10" hidden="1" outlineLevel="1" x14ac:dyDescent="0.3">
      <c r="A166" s="41" t="s">
        <v>581</v>
      </c>
      <c r="B166" s="223"/>
      <c r="C166" s="210"/>
      <c r="D166" s="32"/>
      <c r="E166" s="33" t="str">
        <f>"400-6510-00"</f>
        <v>400-6510-00</v>
      </c>
      <c r="F166" s="33" t="str">
        <f>"Telephone - Service/Installation"</f>
        <v>Telephone - Service/Installation</v>
      </c>
      <c r="G166" s="31">
        <v>-3380.29</v>
      </c>
      <c r="H166" s="36">
        <v>-3000</v>
      </c>
      <c r="I166" s="199">
        <f t="shared" si="8"/>
        <v>-380.28999999999996</v>
      </c>
      <c r="J166" s="215">
        <f t="shared" si="9"/>
        <v>0.12676333333333331</v>
      </c>
    </row>
    <row r="167" spans="1:10" hidden="1" outlineLevel="1" x14ac:dyDescent="0.3">
      <c r="A167" s="41" t="s">
        <v>581</v>
      </c>
      <c r="B167" s="223"/>
      <c r="C167" s="210"/>
      <c r="D167" s="32"/>
      <c r="E167" s="33" t="str">
        <f>"400-6520-00"</f>
        <v>400-6520-00</v>
      </c>
      <c r="F167" s="33" t="str">
        <f>"Travel - Service/Installation"</f>
        <v>Travel - Service/Installation</v>
      </c>
      <c r="G167" s="31">
        <v>-14942.01</v>
      </c>
      <c r="H167" s="36">
        <v>-17000</v>
      </c>
      <c r="I167" s="199">
        <f t="shared" si="8"/>
        <v>2057.9899999999998</v>
      </c>
      <c r="J167" s="215">
        <f t="shared" si="9"/>
        <v>-0.12105823529411763</v>
      </c>
    </row>
    <row r="168" spans="1:10" hidden="1" outlineLevel="1" x14ac:dyDescent="0.3">
      <c r="A168" s="41" t="s">
        <v>581</v>
      </c>
      <c r="B168" s="223"/>
      <c r="C168" s="210"/>
      <c r="D168" s="32"/>
      <c r="E168" s="33" t="str">
        <f>"400-6530-00"</f>
        <v>400-6530-00</v>
      </c>
      <c r="F168" s="33" t="str">
        <f>"Meals/Entertainment - Service/Installation"</f>
        <v>Meals/Entertainment - Service/Installation</v>
      </c>
      <c r="G168" s="31">
        <v>-1689.62</v>
      </c>
      <c r="H168" s="36">
        <v>-2000</v>
      </c>
      <c r="I168" s="199">
        <f t="shared" si="8"/>
        <v>310.38000000000011</v>
      </c>
      <c r="J168" s="215">
        <f t="shared" si="9"/>
        <v>-0.15519000000000005</v>
      </c>
    </row>
    <row r="169" spans="1:10" hidden="1" outlineLevel="1" x14ac:dyDescent="0.3">
      <c r="A169" s="41" t="s">
        <v>581</v>
      </c>
      <c r="B169" s="223"/>
      <c r="C169" s="210"/>
      <c r="D169" s="32"/>
      <c r="E169" s="33" t="str">
        <f>"500-5600-00"</f>
        <v>500-5600-00</v>
      </c>
      <c r="F169" s="33" t="str">
        <f>"Contract Services - Consulting/Training"</f>
        <v>Contract Services - Consulting/Training</v>
      </c>
      <c r="G169" s="31">
        <v>-37700</v>
      </c>
      <c r="H169" s="36">
        <v>-60000</v>
      </c>
      <c r="I169" s="199">
        <f t="shared" si="8"/>
        <v>22300</v>
      </c>
      <c r="J169" s="215">
        <f t="shared" si="9"/>
        <v>-0.37166666666666665</v>
      </c>
    </row>
    <row r="170" spans="1:10" hidden="1" outlineLevel="1" x14ac:dyDescent="0.3">
      <c r="A170" s="41" t="s">
        <v>581</v>
      </c>
      <c r="B170" s="223"/>
      <c r="C170" s="210"/>
      <c r="D170" s="32"/>
      <c r="E170" s="33" t="str">
        <f>"500-6120-00"</f>
        <v>500-6120-00</v>
      </c>
      <c r="F170" s="33" t="str">
        <f>"Supplies/Rental - Consulting/Training"</f>
        <v>Supplies/Rental - Consulting/Training</v>
      </c>
      <c r="G170" s="31">
        <v>-975</v>
      </c>
      <c r="H170" s="36">
        <v>-975</v>
      </c>
      <c r="I170" s="199">
        <f t="shared" si="8"/>
        <v>0</v>
      </c>
      <c r="J170" s="215">
        <f t="shared" si="9"/>
        <v>0</v>
      </c>
    </row>
    <row r="171" spans="1:10" hidden="1" outlineLevel="1" x14ac:dyDescent="0.3">
      <c r="A171" s="41" t="s">
        <v>581</v>
      </c>
      <c r="B171" s="223"/>
      <c r="C171" s="210"/>
      <c r="D171" s="32"/>
      <c r="E171" s="33" t="str">
        <f>"500-6130-00"</f>
        <v>500-6130-00</v>
      </c>
      <c r="F171" s="33" t="str">
        <f>"Supplies/Hardware - Consulting/Training"</f>
        <v>Supplies/Hardware - Consulting/Training</v>
      </c>
      <c r="G171" s="31">
        <v>0</v>
      </c>
      <c r="H171" s="36">
        <v>0</v>
      </c>
      <c r="I171" s="199">
        <f t="shared" si="8"/>
        <v>0</v>
      </c>
      <c r="J171" s="215" t="str">
        <f t="shared" si="9"/>
        <v>-</v>
      </c>
    </row>
    <row r="172" spans="1:10" hidden="1" outlineLevel="1" x14ac:dyDescent="0.3">
      <c r="A172" s="41" t="s">
        <v>581</v>
      </c>
      <c r="B172" s="223"/>
      <c r="C172" s="210"/>
      <c r="D172" s="32"/>
      <c r="E172" s="33" t="str">
        <f>"500-6140-00"</f>
        <v>500-6140-00</v>
      </c>
      <c r="F172" s="33" t="str">
        <f>"Supplies/Software - Consulting/Training"</f>
        <v>Supplies/Software - Consulting/Training</v>
      </c>
      <c r="G172" s="31">
        <v>0</v>
      </c>
      <c r="H172" s="36">
        <v>0</v>
      </c>
      <c r="I172" s="199">
        <f t="shared" si="8"/>
        <v>0</v>
      </c>
      <c r="J172" s="215" t="str">
        <f t="shared" si="9"/>
        <v>-</v>
      </c>
    </row>
    <row r="173" spans="1:10" hidden="1" outlineLevel="1" x14ac:dyDescent="0.3">
      <c r="A173" s="41" t="s">
        <v>581</v>
      </c>
      <c r="B173" s="223"/>
      <c r="C173" s="210"/>
      <c r="D173" s="32"/>
      <c r="E173" s="33" t="str">
        <f>"500-6150-00"</f>
        <v>500-6150-00</v>
      </c>
      <c r="F173" s="33" t="str">
        <f>"Supplies-Allocated - Consulting/Training"</f>
        <v>Supplies-Allocated - Consulting/Training</v>
      </c>
      <c r="G173" s="31">
        <v>-10949.62</v>
      </c>
      <c r="H173" s="36">
        <v>-12000</v>
      </c>
      <c r="I173" s="199">
        <f t="shared" si="8"/>
        <v>1050.3799999999992</v>
      </c>
      <c r="J173" s="215">
        <f t="shared" si="9"/>
        <v>-8.7531666666666605E-2</v>
      </c>
    </row>
    <row r="174" spans="1:10" hidden="1" outlineLevel="1" x14ac:dyDescent="0.3">
      <c r="A174" s="41" t="s">
        <v>581</v>
      </c>
      <c r="B174" s="223"/>
      <c r="C174" s="210"/>
      <c r="D174" s="32"/>
      <c r="E174" s="33" t="str">
        <f>"500-6160-00"</f>
        <v>500-6160-00</v>
      </c>
      <c r="F174" s="33" t="str">
        <f>"Dues &amp; Subscriptions - Consulting/Training"</f>
        <v>Dues &amp; Subscriptions - Consulting/Training</v>
      </c>
      <c r="G174" s="31">
        <v>-89.5</v>
      </c>
      <c r="H174" s="36">
        <v>-100</v>
      </c>
      <c r="I174" s="199">
        <f t="shared" si="8"/>
        <v>10.5</v>
      </c>
      <c r="J174" s="215">
        <f t="shared" si="9"/>
        <v>-0.105</v>
      </c>
    </row>
    <row r="175" spans="1:10" hidden="1" outlineLevel="1" x14ac:dyDescent="0.3">
      <c r="A175" s="41" t="s">
        <v>581</v>
      </c>
      <c r="B175" s="223"/>
      <c r="C175" s="210"/>
      <c r="D175" s="32"/>
      <c r="E175" s="33" t="str">
        <f>"500-6170-00"</f>
        <v>500-6170-00</v>
      </c>
      <c r="F175" s="33" t="str">
        <f>"Repairs &amp; Maintenance - Consulting/Training"</f>
        <v>Repairs &amp; Maintenance - Consulting/Training</v>
      </c>
      <c r="G175" s="31">
        <v>-1555.88</v>
      </c>
      <c r="H175" s="36">
        <v>-1000</v>
      </c>
      <c r="I175" s="199">
        <f t="shared" si="8"/>
        <v>-555.88000000000011</v>
      </c>
      <c r="J175" s="215">
        <f t="shared" si="9"/>
        <v>0.55588000000000015</v>
      </c>
    </row>
    <row r="176" spans="1:10" hidden="1" outlineLevel="1" x14ac:dyDescent="0.3">
      <c r="A176" s="41" t="s">
        <v>581</v>
      </c>
      <c r="B176" s="223"/>
      <c r="C176" s="210"/>
      <c r="D176" s="32"/>
      <c r="E176" s="33" t="str">
        <f>"500-6180-00"</f>
        <v>500-6180-00</v>
      </c>
      <c r="F176" s="33" t="str">
        <f>"Rent Expense - Consulting/Training"</f>
        <v>Rent Expense - Consulting/Training</v>
      </c>
      <c r="G176" s="31">
        <v>-5574.37</v>
      </c>
      <c r="H176" s="36">
        <v>-4500</v>
      </c>
      <c r="I176" s="199">
        <f t="shared" si="8"/>
        <v>-1074.3699999999999</v>
      </c>
      <c r="J176" s="215">
        <f t="shared" si="9"/>
        <v>0.23874888888888887</v>
      </c>
    </row>
    <row r="177" spans="1:10" hidden="1" outlineLevel="1" x14ac:dyDescent="0.3">
      <c r="A177" s="41" t="s">
        <v>581</v>
      </c>
      <c r="B177" s="223"/>
      <c r="C177" s="210"/>
      <c r="D177" s="32"/>
      <c r="E177" s="33" t="str">
        <f>"500-6190-00"</f>
        <v>500-6190-00</v>
      </c>
      <c r="F177" s="33" t="str">
        <f>"Utilities Expense - Consulting/Training"</f>
        <v>Utilities Expense - Consulting/Training</v>
      </c>
      <c r="G177" s="31">
        <v>-631.58000000000004</v>
      </c>
      <c r="H177" s="36">
        <v>-450</v>
      </c>
      <c r="I177" s="199">
        <f t="shared" si="8"/>
        <v>-181.58000000000004</v>
      </c>
      <c r="J177" s="215">
        <f t="shared" si="9"/>
        <v>0.40351111111111121</v>
      </c>
    </row>
    <row r="178" spans="1:10" hidden="1" outlineLevel="1" x14ac:dyDescent="0.3">
      <c r="A178" s="41" t="s">
        <v>581</v>
      </c>
      <c r="B178" s="223"/>
      <c r="C178" s="210"/>
      <c r="D178" s="32"/>
      <c r="E178" s="33" t="str">
        <f>"500-6500-00"</f>
        <v>500-6500-00</v>
      </c>
      <c r="F178" s="33" t="str">
        <f>"Postage/Freight - Consulting/Training"</f>
        <v>Postage/Freight - Consulting/Training</v>
      </c>
      <c r="G178" s="31">
        <v>-639.72</v>
      </c>
      <c r="H178" s="36">
        <v>-500</v>
      </c>
      <c r="I178" s="199">
        <f t="shared" si="8"/>
        <v>-139.72000000000003</v>
      </c>
      <c r="J178" s="215">
        <f t="shared" si="9"/>
        <v>0.27944000000000008</v>
      </c>
    </row>
    <row r="179" spans="1:10" hidden="1" outlineLevel="1" x14ac:dyDescent="0.3">
      <c r="A179" s="41" t="s">
        <v>581</v>
      </c>
      <c r="B179" s="223"/>
      <c r="C179" s="210"/>
      <c r="D179" s="32"/>
      <c r="E179" s="33" t="str">
        <f>"500-6510-00"</f>
        <v>500-6510-00</v>
      </c>
      <c r="F179" s="33" t="str">
        <f>"Telephone - Consulting/Training"</f>
        <v>Telephone - Consulting/Training</v>
      </c>
      <c r="G179" s="31">
        <v>-5633.82</v>
      </c>
      <c r="H179" s="36">
        <v>-5000</v>
      </c>
      <c r="I179" s="199">
        <f t="shared" si="8"/>
        <v>-633.81999999999971</v>
      </c>
      <c r="J179" s="215">
        <f t="shared" si="9"/>
        <v>0.12676399999999993</v>
      </c>
    </row>
    <row r="180" spans="1:10" hidden="1" outlineLevel="1" x14ac:dyDescent="0.3">
      <c r="A180" s="41" t="s">
        <v>581</v>
      </c>
      <c r="B180" s="223"/>
      <c r="C180" s="210"/>
      <c r="D180" s="32"/>
      <c r="E180" s="33" t="str">
        <f>"500-6520-00"</f>
        <v>500-6520-00</v>
      </c>
      <c r="F180" s="33" t="str">
        <f>"Travel - Consulting/Training"</f>
        <v>Travel - Consulting/Training</v>
      </c>
      <c r="G180" s="31">
        <v>-11988.04</v>
      </c>
      <c r="H180" s="36">
        <v>-10000</v>
      </c>
      <c r="I180" s="199">
        <f t="shared" si="8"/>
        <v>-1988.0400000000009</v>
      </c>
      <c r="J180" s="215">
        <f t="shared" si="9"/>
        <v>0.19880400000000009</v>
      </c>
    </row>
    <row r="181" spans="1:10" hidden="1" outlineLevel="1" x14ac:dyDescent="0.3">
      <c r="A181" s="41" t="s">
        <v>581</v>
      </c>
      <c r="B181" s="223"/>
      <c r="C181" s="210"/>
      <c r="D181" s="32"/>
      <c r="E181" s="33" t="str">
        <f>"500-6530-00"</f>
        <v>500-6530-00</v>
      </c>
      <c r="F181" s="33" t="str">
        <f>"Meals/Entertainment - Consulting/Training"</f>
        <v>Meals/Entertainment - Consulting/Training</v>
      </c>
      <c r="G181" s="31">
        <v>-1759.7</v>
      </c>
      <c r="H181" s="36">
        <v>-1600</v>
      </c>
      <c r="I181" s="199">
        <f t="shared" si="8"/>
        <v>-159.70000000000005</v>
      </c>
      <c r="J181" s="215">
        <f t="shared" si="9"/>
        <v>9.9812500000000026E-2</v>
      </c>
    </row>
    <row r="182" spans="1:10" hidden="1" outlineLevel="1" x14ac:dyDescent="0.3">
      <c r="A182" s="41" t="s">
        <v>581</v>
      </c>
      <c r="B182" s="223"/>
      <c r="C182" s="210"/>
      <c r="D182" s="32"/>
      <c r="E182" s="33" t="str">
        <f>"600-6120-00"</f>
        <v>600-6120-00</v>
      </c>
      <c r="F182" s="33" t="str">
        <f>"Supplies/Rental - Purchasing/Receiving"</f>
        <v>Supplies/Rental - Purchasing/Receiving</v>
      </c>
      <c r="G182" s="31">
        <v>0</v>
      </c>
      <c r="H182" s="36">
        <v>0</v>
      </c>
      <c r="I182" s="199">
        <f t="shared" si="8"/>
        <v>0</v>
      </c>
      <c r="J182" s="215" t="str">
        <f t="shared" si="9"/>
        <v>-</v>
      </c>
    </row>
    <row r="183" spans="1:10" hidden="1" outlineLevel="1" x14ac:dyDescent="0.3">
      <c r="A183" s="41" t="s">
        <v>581</v>
      </c>
      <c r="B183" s="223"/>
      <c r="C183" s="210"/>
      <c r="D183" s="32"/>
      <c r="E183" s="33" t="str">
        <f>"600-6130-00"</f>
        <v>600-6130-00</v>
      </c>
      <c r="F183" s="33" t="str">
        <f>"Supplies/Hardware - Purchasing/Receiving"</f>
        <v>Supplies/Hardware - Purchasing/Receiving</v>
      </c>
      <c r="G183" s="31">
        <v>0</v>
      </c>
      <c r="H183" s="36">
        <v>0</v>
      </c>
      <c r="I183" s="199">
        <f t="shared" si="8"/>
        <v>0</v>
      </c>
      <c r="J183" s="215" t="str">
        <f t="shared" si="9"/>
        <v>-</v>
      </c>
    </row>
    <row r="184" spans="1:10" hidden="1" outlineLevel="1" x14ac:dyDescent="0.3">
      <c r="A184" s="41" t="s">
        <v>581</v>
      </c>
      <c r="B184" s="223"/>
      <c r="C184" s="210"/>
      <c r="D184" s="32"/>
      <c r="E184" s="33" t="str">
        <f>"600-6140-00"</f>
        <v>600-6140-00</v>
      </c>
      <c r="F184" s="33" t="str">
        <f>"Supplies/Software - Purchases/Receiving"</f>
        <v>Supplies/Software - Purchases/Receiving</v>
      </c>
      <c r="G184" s="31">
        <v>0</v>
      </c>
      <c r="H184" s="36">
        <v>0</v>
      </c>
      <c r="I184" s="199">
        <f t="shared" si="8"/>
        <v>0</v>
      </c>
      <c r="J184" s="215" t="str">
        <f t="shared" si="9"/>
        <v>-</v>
      </c>
    </row>
    <row r="185" spans="1:10" hidden="1" outlineLevel="1" x14ac:dyDescent="0.3">
      <c r="A185" s="41" t="s">
        <v>581</v>
      </c>
      <c r="B185" s="223"/>
      <c r="C185" s="210"/>
      <c r="D185" s="32"/>
      <c r="E185" s="33" t="str">
        <f>"600-6150-00"</f>
        <v>600-6150-00</v>
      </c>
      <c r="F185" s="33" t="str">
        <f>"Supplies-Allocated - Purchases/Receiving"</f>
        <v>Supplies-Allocated - Purchases/Receiving</v>
      </c>
      <c r="G185" s="31">
        <v>-243.75</v>
      </c>
      <c r="H185" s="36">
        <v>-300</v>
      </c>
      <c r="I185" s="199">
        <f t="shared" si="8"/>
        <v>56.25</v>
      </c>
      <c r="J185" s="215">
        <f t="shared" si="9"/>
        <v>-0.1875</v>
      </c>
    </row>
    <row r="186" spans="1:10" hidden="1" outlineLevel="1" x14ac:dyDescent="0.3">
      <c r="A186" s="41" t="s">
        <v>581</v>
      </c>
      <c r="B186" s="223"/>
      <c r="C186" s="210"/>
      <c r="D186" s="32"/>
      <c r="E186" s="33" t="str">
        <f>"600-6160-00"</f>
        <v>600-6160-00</v>
      </c>
      <c r="F186" s="33" t="str">
        <f>"Dues &amp; Subscriptions - Purchasing/Receiving"</f>
        <v>Dues &amp; Subscriptions - Purchasing/Receiving</v>
      </c>
      <c r="G186" s="31">
        <v>-55</v>
      </c>
      <c r="H186" s="36">
        <v>-50</v>
      </c>
      <c r="I186" s="199">
        <f t="shared" si="8"/>
        <v>-5</v>
      </c>
      <c r="J186" s="215">
        <f t="shared" si="9"/>
        <v>0.1</v>
      </c>
    </row>
    <row r="187" spans="1:10" hidden="1" outlineLevel="1" x14ac:dyDescent="0.3">
      <c r="A187" s="41" t="s">
        <v>581</v>
      </c>
      <c r="B187" s="223"/>
      <c r="C187" s="210"/>
      <c r="D187" s="32"/>
      <c r="E187" s="33" t="str">
        <f>"600-6170-00"</f>
        <v>600-6170-00</v>
      </c>
      <c r="F187" s="33" t="str">
        <f>"Repairs &amp; Maintenance - Purchasing/Receiving"</f>
        <v>Repairs &amp; Maintenance - Purchasing/Receiving</v>
      </c>
      <c r="G187" s="31">
        <v>-345.75</v>
      </c>
      <c r="H187" s="36">
        <v>-1000</v>
      </c>
      <c r="I187" s="199">
        <f t="shared" si="8"/>
        <v>654.25</v>
      </c>
      <c r="J187" s="215">
        <f t="shared" si="9"/>
        <v>-0.65425</v>
      </c>
    </row>
    <row r="188" spans="1:10" hidden="1" outlineLevel="1" x14ac:dyDescent="0.3">
      <c r="A188" s="41" t="s">
        <v>581</v>
      </c>
      <c r="B188" s="223"/>
      <c r="C188" s="210"/>
      <c r="D188" s="32"/>
      <c r="E188" s="33" t="str">
        <f>"600-6180-00"</f>
        <v>600-6180-00</v>
      </c>
      <c r="F188" s="33" t="str">
        <f>"Rent Expense - Purchasing/Receiving"</f>
        <v>Rent Expense - Purchasing/Receiving</v>
      </c>
      <c r="G188" s="31">
        <v>-13935.91</v>
      </c>
      <c r="H188" s="36">
        <v>-13936</v>
      </c>
      <c r="I188" s="199">
        <f t="shared" si="8"/>
        <v>9.0000000000145519E-2</v>
      </c>
      <c r="J188" s="215">
        <f t="shared" si="9"/>
        <v>-6.4580941446717505E-6</v>
      </c>
    </row>
    <row r="189" spans="1:10" hidden="1" outlineLevel="1" x14ac:dyDescent="0.3">
      <c r="A189" s="41" t="s">
        <v>581</v>
      </c>
      <c r="B189" s="223"/>
      <c r="C189" s="210"/>
      <c r="D189" s="32"/>
      <c r="E189" s="33" t="str">
        <f>"600-6190-00"</f>
        <v>600-6190-00</v>
      </c>
      <c r="F189" s="33" t="str">
        <f>"Utilities Expense - Purchasing/Receiving"</f>
        <v>Utilities Expense - Purchasing/Receiving</v>
      </c>
      <c r="G189" s="31">
        <v>-1578.94</v>
      </c>
      <c r="H189" s="36">
        <v>-1150</v>
      </c>
      <c r="I189" s="199">
        <f t="shared" si="8"/>
        <v>-428.94000000000005</v>
      </c>
      <c r="J189" s="215">
        <f t="shared" si="9"/>
        <v>0.37299130434782612</v>
      </c>
    </row>
    <row r="190" spans="1:10" hidden="1" outlineLevel="1" x14ac:dyDescent="0.3">
      <c r="A190" s="41" t="s">
        <v>581</v>
      </c>
      <c r="B190" s="223"/>
      <c r="C190" s="210"/>
      <c r="D190" s="32"/>
      <c r="E190" s="33" t="str">
        <f>"600-6500-00"</f>
        <v>600-6500-00</v>
      </c>
      <c r="F190" s="33" t="str">
        <f>"Postage/Freight - Purchasing/Receiving"</f>
        <v>Postage/Freight - Purchasing/Receiving</v>
      </c>
      <c r="G190" s="31">
        <v>-110.81</v>
      </c>
      <c r="H190" s="36">
        <v>-125</v>
      </c>
      <c r="I190" s="199">
        <f t="shared" si="8"/>
        <v>14.189999999999998</v>
      </c>
      <c r="J190" s="215">
        <f t="shared" si="9"/>
        <v>-0.11351999999999998</v>
      </c>
    </row>
    <row r="191" spans="1:10" hidden="1" outlineLevel="1" x14ac:dyDescent="0.3">
      <c r="A191" s="41" t="s">
        <v>581</v>
      </c>
      <c r="B191" s="223"/>
      <c r="C191" s="210"/>
      <c r="D191" s="32"/>
      <c r="E191" s="33" t="str">
        <f>"600-6510-00"</f>
        <v>600-6510-00</v>
      </c>
      <c r="F191" s="33" t="str">
        <f>"Telephone - Purchasing/Receiving"</f>
        <v>Telephone - Purchasing/Receiving</v>
      </c>
      <c r="G191" s="31">
        <v>-2253.5300000000002</v>
      </c>
      <c r="H191" s="36">
        <v>-2000</v>
      </c>
      <c r="I191" s="199">
        <f t="shared" si="8"/>
        <v>-253.5300000000002</v>
      </c>
      <c r="J191" s="215">
        <f t="shared" si="9"/>
        <v>0.1267650000000001</v>
      </c>
    </row>
    <row r="192" spans="1:10" hidden="1" outlineLevel="1" x14ac:dyDescent="0.3">
      <c r="A192" s="41" t="s">
        <v>581</v>
      </c>
      <c r="B192" s="223"/>
      <c r="C192" s="210"/>
      <c r="D192" s="32"/>
      <c r="E192" s="33" t="str">
        <f>"600-6520-00"</f>
        <v>600-6520-00</v>
      </c>
      <c r="F192" s="33" t="str">
        <f>"Travel - Purchasing/Receiving"</f>
        <v>Travel - Purchasing/Receiving</v>
      </c>
      <c r="G192" s="31">
        <v>-45000</v>
      </c>
      <c r="H192" s="36">
        <v>-40000</v>
      </c>
      <c r="I192" s="199">
        <f t="shared" si="8"/>
        <v>-5000</v>
      </c>
      <c r="J192" s="215">
        <f t="shared" si="9"/>
        <v>0.125</v>
      </c>
    </row>
    <row r="193" spans="1:10" hidden="1" outlineLevel="1" x14ac:dyDescent="0.3">
      <c r="A193" s="41" t="s">
        <v>581</v>
      </c>
      <c r="B193" s="223"/>
      <c r="C193" s="210"/>
      <c r="D193" s="32"/>
      <c r="E193" s="33" t="str">
        <f>"600-6530-00"</f>
        <v>600-6530-00</v>
      </c>
      <c r="F193" s="33" t="str">
        <f>"Meals/Entertainment - Purchasing/Receiving"</f>
        <v>Meals/Entertainment - Purchasing/Receiving</v>
      </c>
      <c r="G193" s="31">
        <v>0</v>
      </c>
      <c r="H193" s="36">
        <v>0</v>
      </c>
      <c r="I193" s="199">
        <f t="shared" si="8"/>
        <v>0</v>
      </c>
      <c r="J193" s="215" t="str">
        <f t="shared" si="9"/>
        <v>-</v>
      </c>
    </row>
    <row r="194" spans="1:10" hidden="1" outlineLevel="1" x14ac:dyDescent="0.3">
      <c r="A194" s="41"/>
      <c r="B194" s="223"/>
      <c r="C194" s="210"/>
      <c r="D194" s="32"/>
      <c r="E194" s="27"/>
      <c r="F194" s="27"/>
      <c r="G194" s="34"/>
      <c r="H194" s="35"/>
      <c r="I194" s="200"/>
      <c r="J194" s="214"/>
    </row>
    <row r="195" spans="1:10" collapsed="1" x14ac:dyDescent="0.3">
      <c r="A195" s="41"/>
      <c r="B195" s="222">
        <v>36</v>
      </c>
      <c r="C195" s="210"/>
      <c r="D195" s="27" t="str">
        <f>"Salaries Expense"</f>
        <v>Salaries Expense</v>
      </c>
      <c r="E195" s="27"/>
      <c r="F195" s="27"/>
      <c r="G195" s="30">
        <f>SUBTOTAL(9,G196:G234)</f>
        <v>-149332.57</v>
      </c>
      <c r="H195" s="30">
        <f>SUBTOTAL(9,H196:H234)</f>
        <v>-104665</v>
      </c>
      <c r="I195" s="201">
        <f>G195-H195</f>
        <v>-44667.570000000007</v>
      </c>
      <c r="J195" s="214">
        <f>IF(G195=0,"-",IF(H195=0,"∞",(G195-H195)/H195))</f>
        <v>0.42676701858309851</v>
      </c>
    </row>
    <row r="196" spans="1:10" hidden="1" outlineLevel="1" x14ac:dyDescent="0.3">
      <c r="A196" s="41"/>
      <c r="B196" s="223"/>
      <c r="C196" s="210"/>
      <c r="D196" s="32"/>
      <c r="E196" s="33" t="str">
        <f>"000-5100-00"</f>
        <v>000-5100-00</v>
      </c>
      <c r="F196" s="33" t="str">
        <f>"Salaries and Wages"</f>
        <v>Salaries and Wages</v>
      </c>
      <c r="G196" s="31">
        <v>-85985.39</v>
      </c>
      <c r="H196" s="36">
        <v>-54665</v>
      </c>
      <c r="I196" s="199">
        <f>G196-H196</f>
        <v>-31320.39</v>
      </c>
      <c r="J196" s="215">
        <f>IF(G196=0,"-",IF(H196=0,"∞",(G196-H196)/H196))</f>
        <v>0.57295143144608063</v>
      </c>
    </row>
    <row r="197" spans="1:10" hidden="1" outlineLevel="1" x14ac:dyDescent="0.3">
      <c r="A197" s="41" t="s">
        <v>581</v>
      </c>
      <c r="B197" s="223"/>
      <c r="C197" s="210"/>
      <c r="D197" s="32"/>
      <c r="E197" s="33" t="str">
        <f>"100-5100-00"</f>
        <v>100-5100-00</v>
      </c>
      <c r="F197" s="33" t="str">
        <f>"Salaries and Wages - Administration"</f>
        <v>Salaries and Wages - Administration</v>
      </c>
      <c r="G197" s="31">
        <v>0</v>
      </c>
      <c r="H197" s="36">
        <v>0</v>
      </c>
      <c r="I197" s="199">
        <f t="shared" ref="I197:I233" si="10">G197-H197</f>
        <v>0</v>
      </c>
      <c r="J197" s="215" t="str">
        <f t="shared" ref="J197:J233" si="11">IF(G197=0,"-",IF(H197=0,"∞",(G197-H197)/H197))</f>
        <v>-</v>
      </c>
    </row>
    <row r="198" spans="1:10" hidden="1" outlineLevel="1" x14ac:dyDescent="0.3">
      <c r="A198" s="41" t="s">
        <v>581</v>
      </c>
      <c r="B198" s="223"/>
      <c r="C198" s="210"/>
      <c r="D198" s="32"/>
      <c r="E198" s="33" t="str">
        <f>"100-5110-00"</f>
        <v>100-5110-00</v>
      </c>
      <c r="F198" s="33" t="str">
        <f>"Overtime Pay - Administration"</f>
        <v>Overtime Pay - Administration</v>
      </c>
      <c r="G198" s="31">
        <v>0</v>
      </c>
      <c r="H198" s="36">
        <v>0</v>
      </c>
      <c r="I198" s="199">
        <f t="shared" si="10"/>
        <v>0</v>
      </c>
      <c r="J198" s="215" t="str">
        <f t="shared" si="11"/>
        <v>-</v>
      </c>
    </row>
    <row r="199" spans="1:10" hidden="1" outlineLevel="1" x14ac:dyDescent="0.3">
      <c r="A199" s="41" t="s">
        <v>581</v>
      </c>
      <c r="B199" s="223"/>
      <c r="C199" s="210"/>
      <c r="D199" s="32"/>
      <c r="E199" s="33" t="str">
        <f>"100-5120-00"</f>
        <v>100-5120-00</v>
      </c>
      <c r="F199" s="33" t="str">
        <f>"Bonuses - Administration"</f>
        <v>Bonuses - Administration</v>
      </c>
      <c r="G199" s="31">
        <v>0</v>
      </c>
      <c r="H199" s="36">
        <v>0</v>
      </c>
      <c r="I199" s="199">
        <f t="shared" si="10"/>
        <v>0</v>
      </c>
      <c r="J199" s="215" t="str">
        <f t="shared" si="11"/>
        <v>-</v>
      </c>
    </row>
    <row r="200" spans="1:10" hidden="1" outlineLevel="1" x14ac:dyDescent="0.3">
      <c r="A200" s="41" t="s">
        <v>581</v>
      </c>
      <c r="B200" s="223"/>
      <c r="C200" s="210"/>
      <c r="D200" s="32"/>
      <c r="E200" s="33" t="str">
        <f>"100-5140-00"</f>
        <v>100-5140-00</v>
      </c>
      <c r="F200" s="33" t="str">
        <f>"Profit Sharing - Administration"</f>
        <v>Profit Sharing - Administration</v>
      </c>
      <c r="G200" s="31">
        <v>0</v>
      </c>
      <c r="H200" s="36">
        <v>0</v>
      </c>
      <c r="I200" s="199">
        <f t="shared" si="10"/>
        <v>0</v>
      </c>
      <c r="J200" s="215" t="str">
        <f t="shared" si="11"/>
        <v>-</v>
      </c>
    </row>
    <row r="201" spans="1:10" hidden="1" outlineLevel="1" x14ac:dyDescent="0.3">
      <c r="A201" s="41" t="s">
        <v>581</v>
      </c>
      <c r="B201" s="223"/>
      <c r="C201" s="210"/>
      <c r="D201" s="32"/>
      <c r="E201" s="33" t="str">
        <f>"200-5100-00"</f>
        <v>200-5100-00</v>
      </c>
      <c r="F201" s="33" t="str">
        <f>"Salaries and Wages - Accounting"</f>
        <v>Salaries and Wages - Accounting</v>
      </c>
      <c r="G201" s="31">
        <v>0</v>
      </c>
      <c r="H201" s="36">
        <v>0</v>
      </c>
      <c r="I201" s="199">
        <f t="shared" si="10"/>
        <v>0</v>
      </c>
      <c r="J201" s="215" t="str">
        <f t="shared" si="11"/>
        <v>-</v>
      </c>
    </row>
    <row r="202" spans="1:10" hidden="1" outlineLevel="1" x14ac:dyDescent="0.3">
      <c r="A202" s="41" t="s">
        <v>581</v>
      </c>
      <c r="B202" s="223"/>
      <c r="C202" s="210"/>
      <c r="D202" s="32"/>
      <c r="E202" s="33" t="str">
        <f>"200-5110-00"</f>
        <v>200-5110-00</v>
      </c>
      <c r="F202" s="33" t="str">
        <f>"Overtime Pay - Accounting"</f>
        <v>Overtime Pay - Accounting</v>
      </c>
      <c r="G202" s="31">
        <v>0</v>
      </c>
      <c r="H202" s="36">
        <v>0</v>
      </c>
      <c r="I202" s="199">
        <f t="shared" si="10"/>
        <v>0</v>
      </c>
      <c r="J202" s="215" t="str">
        <f t="shared" si="11"/>
        <v>-</v>
      </c>
    </row>
    <row r="203" spans="1:10" hidden="1" outlineLevel="1" x14ac:dyDescent="0.3">
      <c r="A203" s="41" t="s">
        <v>581</v>
      </c>
      <c r="B203" s="223"/>
      <c r="C203" s="210"/>
      <c r="D203" s="32"/>
      <c r="E203" s="33" t="str">
        <f>"200-5120-00"</f>
        <v>200-5120-00</v>
      </c>
      <c r="F203" s="33" t="str">
        <f>"Bonuses - Accounting"</f>
        <v>Bonuses - Accounting</v>
      </c>
      <c r="G203" s="31">
        <v>0</v>
      </c>
      <c r="H203" s="36">
        <v>0</v>
      </c>
      <c r="I203" s="199">
        <f t="shared" si="10"/>
        <v>0</v>
      </c>
      <c r="J203" s="215" t="str">
        <f t="shared" si="11"/>
        <v>-</v>
      </c>
    </row>
    <row r="204" spans="1:10" hidden="1" outlineLevel="1" x14ac:dyDescent="0.3">
      <c r="A204" s="41" t="s">
        <v>581</v>
      </c>
      <c r="B204" s="223"/>
      <c r="C204" s="210"/>
      <c r="D204" s="32"/>
      <c r="E204" s="33" t="str">
        <f>"200-5140-00"</f>
        <v>200-5140-00</v>
      </c>
      <c r="F204" s="33" t="str">
        <f>"Profit Sharing - Accounting"</f>
        <v>Profit Sharing - Accounting</v>
      </c>
      <c r="G204" s="31">
        <v>0</v>
      </c>
      <c r="H204" s="36">
        <v>0</v>
      </c>
      <c r="I204" s="199">
        <f t="shared" si="10"/>
        <v>0</v>
      </c>
      <c r="J204" s="215" t="str">
        <f t="shared" si="11"/>
        <v>-</v>
      </c>
    </row>
    <row r="205" spans="1:10" hidden="1" outlineLevel="1" x14ac:dyDescent="0.3">
      <c r="A205" s="41" t="s">
        <v>581</v>
      </c>
      <c r="B205" s="223"/>
      <c r="C205" s="210"/>
      <c r="D205" s="32"/>
      <c r="E205" s="33" t="str">
        <f>"300-5100-00"</f>
        <v>300-5100-00</v>
      </c>
      <c r="F205" s="33" t="str">
        <f>"Salaries and Wages - Sales"</f>
        <v>Salaries and Wages - Sales</v>
      </c>
      <c r="G205" s="31">
        <v>0</v>
      </c>
      <c r="H205" s="36">
        <v>0</v>
      </c>
      <c r="I205" s="199">
        <f t="shared" si="10"/>
        <v>0</v>
      </c>
      <c r="J205" s="215" t="str">
        <f t="shared" si="11"/>
        <v>-</v>
      </c>
    </row>
    <row r="206" spans="1:10" hidden="1" outlineLevel="1" x14ac:dyDescent="0.3">
      <c r="A206" s="41" t="s">
        <v>581</v>
      </c>
      <c r="B206" s="223"/>
      <c r="C206" s="210"/>
      <c r="D206" s="32"/>
      <c r="E206" s="33" t="str">
        <f>"300-5110-00"</f>
        <v>300-5110-00</v>
      </c>
      <c r="F206" s="33" t="str">
        <f>"Overtime Pay - Sales"</f>
        <v>Overtime Pay - Sales</v>
      </c>
      <c r="G206" s="31">
        <v>0</v>
      </c>
      <c r="H206" s="36">
        <v>0</v>
      </c>
      <c r="I206" s="199">
        <f t="shared" si="10"/>
        <v>0</v>
      </c>
      <c r="J206" s="215" t="str">
        <f t="shared" si="11"/>
        <v>-</v>
      </c>
    </row>
    <row r="207" spans="1:10" hidden="1" outlineLevel="1" x14ac:dyDescent="0.3">
      <c r="A207" s="41" t="s">
        <v>581</v>
      </c>
      <c r="B207" s="223"/>
      <c r="C207" s="210"/>
      <c r="D207" s="32"/>
      <c r="E207" s="33" t="str">
        <f>"300-5120-00"</f>
        <v>300-5120-00</v>
      </c>
      <c r="F207" s="33" t="str">
        <f>"Bonuses - Sales"</f>
        <v>Bonuses - Sales</v>
      </c>
      <c r="G207" s="31">
        <v>0</v>
      </c>
      <c r="H207" s="36">
        <v>0</v>
      </c>
      <c r="I207" s="199">
        <f t="shared" si="10"/>
        <v>0</v>
      </c>
      <c r="J207" s="215" t="str">
        <f t="shared" si="11"/>
        <v>-</v>
      </c>
    </row>
    <row r="208" spans="1:10" hidden="1" outlineLevel="1" x14ac:dyDescent="0.3">
      <c r="A208" s="41" t="s">
        <v>581</v>
      </c>
      <c r="B208" s="223"/>
      <c r="C208" s="210"/>
      <c r="D208" s="32"/>
      <c r="E208" s="33" t="str">
        <f>"300-5130-00"</f>
        <v>300-5130-00</v>
      </c>
      <c r="F208" s="33" t="str">
        <f>"Commissions - Sales"</f>
        <v>Commissions - Sales</v>
      </c>
      <c r="G208" s="31">
        <v>-50837.31</v>
      </c>
      <c r="H208" s="36">
        <v>-50000</v>
      </c>
      <c r="I208" s="199">
        <f t="shared" si="10"/>
        <v>-837.30999999999767</v>
      </c>
      <c r="J208" s="215">
        <f t="shared" si="11"/>
        <v>1.6746199999999954E-2</v>
      </c>
    </row>
    <row r="209" spans="1:10" hidden="1" outlineLevel="1" x14ac:dyDescent="0.3">
      <c r="A209" s="41" t="s">
        <v>581</v>
      </c>
      <c r="B209" s="223"/>
      <c r="C209" s="210"/>
      <c r="D209" s="32"/>
      <c r="E209" s="33" t="str">
        <f>"300-5140-00"</f>
        <v>300-5140-00</v>
      </c>
      <c r="F209" s="33" t="str">
        <f>"Profit Sharing - Sales"</f>
        <v>Profit Sharing - Sales</v>
      </c>
      <c r="G209" s="31">
        <v>0</v>
      </c>
      <c r="H209" s="36">
        <v>0</v>
      </c>
      <c r="I209" s="199">
        <f t="shared" si="10"/>
        <v>0</v>
      </c>
      <c r="J209" s="215" t="str">
        <f t="shared" si="11"/>
        <v>-</v>
      </c>
    </row>
    <row r="210" spans="1:10" hidden="1" outlineLevel="1" x14ac:dyDescent="0.3">
      <c r="A210" s="41" t="s">
        <v>581</v>
      </c>
      <c r="B210" s="223"/>
      <c r="C210" s="210"/>
      <c r="D210" s="32"/>
      <c r="E210" s="33" t="str">
        <f>"400-5100-00"</f>
        <v>400-5100-00</v>
      </c>
      <c r="F210" s="33" t="str">
        <f>"Salaries and Wages - Service/Installation US"</f>
        <v>Salaries and Wages - Service/Installation US</v>
      </c>
      <c r="G210" s="31">
        <v>0</v>
      </c>
      <c r="H210" s="36">
        <v>0</v>
      </c>
      <c r="I210" s="199">
        <f t="shared" si="10"/>
        <v>0</v>
      </c>
      <c r="J210" s="215" t="str">
        <f t="shared" si="11"/>
        <v>-</v>
      </c>
    </row>
    <row r="211" spans="1:10" hidden="1" outlineLevel="1" x14ac:dyDescent="0.3">
      <c r="A211" s="41" t="s">
        <v>581</v>
      </c>
      <c r="B211" s="223"/>
      <c r="C211" s="210"/>
      <c r="D211" s="32"/>
      <c r="E211" s="33" t="str">
        <f>"400-5101-00"</f>
        <v>400-5101-00</v>
      </c>
      <c r="F211" s="33" t="str">
        <f>"Salaries and Wages - Service/Installation Canada"</f>
        <v>Salaries and Wages - Service/Installation Canada</v>
      </c>
      <c r="G211" s="31">
        <v>0</v>
      </c>
      <c r="H211" s="36">
        <v>0</v>
      </c>
      <c r="I211" s="199">
        <f t="shared" si="10"/>
        <v>0</v>
      </c>
      <c r="J211" s="215" t="str">
        <f t="shared" si="11"/>
        <v>-</v>
      </c>
    </row>
    <row r="212" spans="1:10" hidden="1" outlineLevel="1" x14ac:dyDescent="0.3">
      <c r="A212" s="41" t="s">
        <v>581</v>
      </c>
      <c r="B212" s="223"/>
      <c r="C212" s="210"/>
      <c r="D212" s="32"/>
      <c r="E212" s="33" t="str">
        <f>"400-5110-00"</f>
        <v>400-5110-00</v>
      </c>
      <c r="F212" s="33" t="str">
        <f>"Overtime Pay - Service/Installation US"</f>
        <v>Overtime Pay - Service/Installation US</v>
      </c>
      <c r="G212" s="31">
        <v>0</v>
      </c>
      <c r="H212" s="36">
        <v>0</v>
      </c>
      <c r="I212" s="199">
        <f t="shared" si="10"/>
        <v>0</v>
      </c>
      <c r="J212" s="215" t="str">
        <f t="shared" si="11"/>
        <v>-</v>
      </c>
    </row>
    <row r="213" spans="1:10" hidden="1" outlineLevel="1" x14ac:dyDescent="0.3">
      <c r="A213" s="41" t="s">
        <v>581</v>
      </c>
      <c r="B213" s="223"/>
      <c r="C213" s="210"/>
      <c r="D213" s="32"/>
      <c r="E213" s="33" t="str">
        <f>"400-5111-00"</f>
        <v>400-5111-00</v>
      </c>
      <c r="F213" s="33" t="str">
        <f>"Overtime Pay - Service/Installation Canada"</f>
        <v>Overtime Pay - Service/Installation Canada</v>
      </c>
      <c r="G213" s="31">
        <v>0</v>
      </c>
      <c r="H213" s="36">
        <v>0</v>
      </c>
      <c r="I213" s="199">
        <f t="shared" si="10"/>
        <v>0</v>
      </c>
      <c r="J213" s="215" t="str">
        <f t="shared" si="11"/>
        <v>-</v>
      </c>
    </row>
    <row r="214" spans="1:10" hidden="1" outlineLevel="1" x14ac:dyDescent="0.3">
      <c r="A214" s="41" t="s">
        <v>581</v>
      </c>
      <c r="B214" s="223"/>
      <c r="C214" s="210"/>
      <c r="D214" s="32"/>
      <c r="E214" s="33" t="str">
        <f>"400-5120-00"</f>
        <v>400-5120-00</v>
      </c>
      <c r="F214" s="33" t="str">
        <f>"Bonuses - Services/Installation US"</f>
        <v>Bonuses - Services/Installation US</v>
      </c>
      <c r="G214" s="31">
        <v>0</v>
      </c>
      <c r="H214" s="36">
        <v>0</v>
      </c>
      <c r="I214" s="199">
        <f t="shared" si="10"/>
        <v>0</v>
      </c>
      <c r="J214" s="215" t="str">
        <f t="shared" si="11"/>
        <v>-</v>
      </c>
    </row>
    <row r="215" spans="1:10" hidden="1" outlineLevel="1" x14ac:dyDescent="0.3">
      <c r="A215" s="41" t="s">
        <v>581</v>
      </c>
      <c r="B215" s="223"/>
      <c r="C215" s="210"/>
      <c r="D215" s="32"/>
      <c r="E215" s="33" t="str">
        <f>"400-5121-00"</f>
        <v>400-5121-00</v>
      </c>
      <c r="F215" s="33" t="str">
        <f>"Bonuses - Services/Installation Canada"</f>
        <v>Bonuses - Services/Installation Canada</v>
      </c>
      <c r="G215" s="31">
        <v>0</v>
      </c>
      <c r="H215" s="36">
        <v>0</v>
      </c>
      <c r="I215" s="199">
        <f t="shared" si="10"/>
        <v>0</v>
      </c>
      <c r="J215" s="215" t="str">
        <f t="shared" si="11"/>
        <v>-</v>
      </c>
    </row>
    <row r="216" spans="1:10" hidden="1" outlineLevel="1" x14ac:dyDescent="0.3">
      <c r="A216" s="41" t="s">
        <v>581</v>
      </c>
      <c r="B216" s="223"/>
      <c r="C216" s="210"/>
      <c r="D216" s="32"/>
      <c r="E216" s="33" t="str">
        <f>"400-5130-00"</f>
        <v>400-5130-00</v>
      </c>
      <c r="F216" s="33" t="str">
        <f>"Commissions - Service/Installation US"</f>
        <v>Commissions - Service/Installation US</v>
      </c>
      <c r="G216" s="31">
        <v>0</v>
      </c>
      <c r="H216" s="36">
        <v>0</v>
      </c>
      <c r="I216" s="199">
        <f t="shared" si="10"/>
        <v>0</v>
      </c>
      <c r="J216" s="215" t="str">
        <f t="shared" si="11"/>
        <v>-</v>
      </c>
    </row>
    <row r="217" spans="1:10" hidden="1" outlineLevel="1" x14ac:dyDescent="0.3">
      <c r="A217" s="41" t="s">
        <v>581</v>
      </c>
      <c r="B217" s="223"/>
      <c r="C217" s="210"/>
      <c r="D217" s="32"/>
      <c r="E217" s="33" t="str">
        <f>"400-5131-00"</f>
        <v>400-5131-00</v>
      </c>
      <c r="F217" s="33" t="str">
        <f>"Commissions - Service/Installation Canada"</f>
        <v>Commissions - Service/Installation Canada</v>
      </c>
      <c r="G217" s="31">
        <v>0</v>
      </c>
      <c r="H217" s="36">
        <v>0</v>
      </c>
      <c r="I217" s="199">
        <f t="shared" si="10"/>
        <v>0</v>
      </c>
      <c r="J217" s="215" t="str">
        <f t="shared" si="11"/>
        <v>-</v>
      </c>
    </row>
    <row r="218" spans="1:10" hidden="1" outlineLevel="1" x14ac:dyDescent="0.3">
      <c r="A218" s="41" t="s">
        <v>581</v>
      </c>
      <c r="B218" s="223"/>
      <c r="C218" s="210"/>
      <c r="D218" s="32"/>
      <c r="E218" s="33" t="str">
        <f>"400-5140-00"</f>
        <v>400-5140-00</v>
      </c>
      <c r="F218" s="33" t="str">
        <f>"Profit Sharing - Service/Installation US"</f>
        <v>Profit Sharing - Service/Installation US</v>
      </c>
      <c r="G218" s="31">
        <v>0</v>
      </c>
      <c r="H218" s="36">
        <v>0</v>
      </c>
      <c r="I218" s="199">
        <f t="shared" si="10"/>
        <v>0</v>
      </c>
      <c r="J218" s="215" t="str">
        <f t="shared" si="11"/>
        <v>-</v>
      </c>
    </row>
    <row r="219" spans="1:10" hidden="1" outlineLevel="1" x14ac:dyDescent="0.3">
      <c r="A219" s="41" t="s">
        <v>581</v>
      </c>
      <c r="B219" s="223"/>
      <c r="C219" s="210"/>
      <c r="D219" s="32"/>
      <c r="E219" s="33" t="str">
        <f>"400-5141-00"</f>
        <v>400-5141-00</v>
      </c>
      <c r="F219" s="33" t="str">
        <f>"Profit Sharing - Service/Installation Canada"</f>
        <v>Profit Sharing - Service/Installation Canada</v>
      </c>
      <c r="G219" s="31">
        <v>0</v>
      </c>
      <c r="H219" s="36">
        <v>0</v>
      </c>
      <c r="I219" s="199">
        <f t="shared" si="10"/>
        <v>0</v>
      </c>
      <c r="J219" s="215" t="str">
        <f t="shared" si="11"/>
        <v>-</v>
      </c>
    </row>
    <row r="220" spans="1:10" hidden="1" outlineLevel="1" x14ac:dyDescent="0.3">
      <c r="A220" s="41" t="s">
        <v>581</v>
      </c>
      <c r="B220" s="223"/>
      <c r="C220" s="210"/>
      <c r="D220" s="32"/>
      <c r="E220" s="33" t="str">
        <f>"500-5100-00"</f>
        <v>500-5100-00</v>
      </c>
      <c r="F220" s="33" t="str">
        <f>"Salaries and Wages - Consulting/Training US"</f>
        <v>Salaries and Wages - Consulting/Training US</v>
      </c>
      <c r="G220" s="31">
        <v>0</v>
      </c>
      <c r="H220" s="36">
        <v>0</v>
      </c>
      <c r="I220" s="199">
        <f t="shared" si="10"/>
        <v>0</v>
      </c>
      <c r="J220" s="215" t="str">
        <f t="shared" si="11"/>
        <v>-</v>
      </c>
    </row>
    <row r="221" spans="1:10" hidden="1" outlineLevel="1" x14ac:dyDescent="0.3">
      <c r="A221" s="41" t="s">
        <v>581</v>
      </c>
      <c r="B221" s="223"/>
      <c r="C221" s="210"/>
      <c r="D221" s="32"/>
      <c r="E221" s="33" t="str">
        <f>"500-5101-00"</f>
        <v>500-5101-00</v>
      </c>
      <c r="F221" s="33" t="str">
        <f>"Salaries and Wages - Consulting/Training Canada"</f>
        <v>Salaries and Wages - Consulting/Training Canada</v>
      </c>
      <c r="G221" s="31">
        <v>0</v>
      </c>
      <c r="H221" s="36">
        <v>0</v>
      </c>
      <c r="I221" s="199">
        <f t="shared" si="10"/>
        <v>0</v>
      </c>
      <c r="J221" s="215" t="str">
        <f t="shared" si="11"/>
        <v>-</v>
      </c>
    </row>
    <row r="222" spans="1:10" hidden="1" outlineLevel="1" x14ac:dyDescent="0.3">
      <c r="A222" s="41" t="s">
        <v>581</v>
      </c>
      <c r="B222" s="223"/>
      <c r="C222" s="210"/>
      <c r="D222" s="32"/>
      <c r="E222" s="33" t="str">
        <f>"500-5110-00"</f>
        <v>500-5110-00</v>
      </c>
      <c r="F222" s="33" t="str">
        <f>"Overtime Pay - Consulting/Training US"</f>
        <v>Overtime Pay - Consulting/Training US</v>
      </c>
      <c r="G222" s="31">
        <v>-12509.87</v>
      </c>
      <c r="H222" s="36">
        <v>0</v>
      </c>
      <c r="I222" s="199">
        <f t="shared" si="10"/>
        <v>-12509.87</v>
      </c>
      <c r="J222" s="215" t="str">
        <f t="shared" si="11"/>
        <v>∞</v>
      </c>
    </row>
    <row r="223" spans="1:10" hidden="1" outlineLevel="1" x14ac:dyDescent="0.3">
      <c r="A223" s="41" t="s">
        <v>581</v>
      </c>
      <c r="B223" s="223"/>
      <c r="C223" s="210"/>
      <c r="D223" s="32"/>
      <c r="E223" s="33" t="str">
        <f>"500-5111-00"</f>
        <v>500-5111-00</v>
      </c>
      <c r="F223" s="33" t="str">
        <f>"Overtime Pay - Consulting/Training Canada"</f>
        <v>Overtime Pay - Consulting/Training Canada</v>
      </c>
      <c r="G223" s="31">
        <v>0</v>
      </c>
      <c r="H223" s="36">
        <v>0</v>
      </c>
      <c r="I223" s="199">
        <f t="shared" si="10"/>
        <v>0</v>
      </c>
      <c r="J223" s="215" t="str">
        <f t="shared" si="11"/>
        <v>-</v>
      </c>
    </row>
    <row r="224" spans="1:10" hidden="1" outlineLevel="1" x14ac:dyDescent="0.3">
      <c r="A224" s="41" t="s">
        <v>581</v>
      </c>
      <c r="B224" s="223"/>
      <c r="C224" s="210"/>
      <c r="D224" s="32"/>
      <c r="E224" s="33" t="str">
        <f>"500-5120-00"</f>
        <v>500-5120-00</v>
      </c>
      <c r="F224" s="33" t="str">
        <f>"Bonuses - Consulting/Training US"</f>
        <v>Bonuses - Consulting/Training US</v>
      </c>
      <c r="G224" s="31">
        <v>0</v>
      </c>
      <c r="H224" s="36">
        <v>0</v>
      </c>
      <c r="I224" s="199">
        <f t="shared" si="10"/>
        <v>0</v>
      </c>
      <c r="J224" s="215" t="str">
        <f t="shared" si="11"/>
        <v>-</v>
      </c>
    </row>
    <row r="225" spans="1:10" hidden="1" outlineLevel="1" x14ac:dyDescent="0.3">
      <c r="A225" s="41" t="s">
        <v>581</v>
      </c>
      <c r="B225" s="223"/>
      <c r="C225" s="210"/>
      <c r="D225" s="32"/>
      <c r="E225" s="33" t="str">
        <f>"500-5121-00"</f>
        <v>500-5121-00</v>
      </c>
      <c r="F225" s="33" t="str">
        <f>"Bonuses - Consulting/Training Canada"</f>
        <v>Bonuses - Consulting/Training Canada</v>
      </c>
      <c r="G225" s="31">
        <v>0</v>
      </c>
      <c r="H225" s="36">
        <v>0</v>
      </c>
      <c r="I225" s="199">
        <f t="shared" si="10"/>
        <v>0</v>
      </c>
      <c r="J225" s="215" t="str">
        <f t="shared" si="11"/>
        <v>-</v>
      </c>
    </row>
    <row r="226" spans="1:10" hidden="1" outlineLevel="1" x14ac:dyDescent="0.3">
      <c r="A226" s="41" t="s">
        <v>581</v>
      </c>
      <c r="B226" s="223"/>
      <c r="C226" s="210"/>
      <c r="D226" s="32"/>
      <c r="E226" s="33" t="str">
        <f>"500-5130-00"</f>
        <v>500-5130-00</v>
      </c>
      <c r="F226" s="33" t="str">
        <f>"Commissions - Consulting/Training US"</f>
        <v>Commissions - Consulting/Training US</v>
      </c>
      <c r="G226" s="31">
        <v>0</v>
      </c>
      <c r="H226" s="36">
        <v>0</v>
      </c>
      <c r="I226" s="199">
        <f t="shared" si="10"/>
        <v>0</v>
      </c>
      <c r="J226" s="215" t="str">
        <f t="shared" si="11"/>
        <v>-</v>
      </c>
    </row>
    <row r="227" spans="1:10" hidden="1" outlineLevel="1" x14ac:dyDescent="0.3">
      <c r="A227" s="41" t="s">
        <v>581</v>
      </c>
      <c r="B227" s="223"/>
      <c r="C227" s="210"/>
      <c r="D227" s="32"/>
      <c r="E227" s="33" t="str">
        <f>"500-5131-00"</f>
        <v>500-5131-00</v>
      </c>
      <c r="F227" s="33" t="str">
        <f>"Commissions - Consulting/Training Canada"</f>
        <v>Commissions - Consulting/Training Canada</v>
      </c>
      <c r="G227" s="31">
        <v>0</v>
      </c>
      <c r="H227" s="36">
        <v>0</v>
      </c>
      <c r="I227" s="199">
        <f t="shared" si="10"/>
        <v>0</v>
      </c>
      <c r="J227" s="215" t="str">
        <f t="shared" si="11"/>
        <v>-</v>
      </c>
    </row>
    <row r="228" spans="1:10" hidden="1" outlineLevel="1" x14ac:dyDescent="0.3">
      <c r="A228" s="41" t="s">
        <v>581</v>
      </c>
      <c r="B228" s="223"/>
      <c r="C228" s="210"/>
      <c r="D228" s="32"/>
      <c r="E228" s="33" t="str">
        <f>"500-5140-00"</f>
        <v>500-5140-00</v>
      </c>
      <c r="F228" s="33" t="str">
        <f>"Profit Sharing - Consulting/Training US"</f>
        <v>Profit Sharing - Consulting/Training US</v>
      </c>
      <c r="G228" s="31">
        <v>0</v>
      </c>
      <c r="H228" s="36">
        <v>0</v>
      </c>
      <c r="I228" s="199">
        <f t="shared" si="10"/>
        <v>0</v>
      </c>
      <c r="J228" s="215" t="str">
        <f t="shared" si="11"/>
        <v>-</v>
      </c>
    </row>
    <row r="229" spans="1:10" hidden="1" outlineLevel="1" x14ac:dyDescent="0.3">
      <c r="A229" s="41" t="s">
        <v>581</v>
      </c>
      <c r="B229" s="223"/>
      <c r="C229" s="210"/>
      <c r="D229" s="32"/>
      <c r="E229" s="33" t="str">
        <f>"500-5141-00"</f>
        <v>500-5141-00</v>
      </c>
      <c r="F229" s="33" t="str">
        <f>"Profit Sharing - Consulting/Training Canada"</f>
        <v>Profit Sharing - Consulting/Training Canada</v>
      </c>
      <c r="G229" s="31">
        <v>0</v>
      </c>
      <c r="H229" s="36">
        <v>0</v>
      </c>
      <c r="I229" s="199">
        <f t="shared" si="10"/>
        <v>0</v>
      </c>
      <c r="J229" s="215" t="str">
        <f t="shared" si="11"/>
        <v>-</v>
      </c>
    </row>
    <row r="230" spans="1:10" hidden="1" outlineLevel="1" x14ac:dyDescent="0.3">
      <c r="A230" s="41" t="s">
        <v>581</v>
      </c>
      <c r="B230" s="223"/>
      <c r="C230" s="210"/>
      <c r="D230" s="32"/>
      <c r="E230" s="33" t="str">
        <f>"600-5100-00"</f>
        <v>600-5100-00</v>
      </c>
      <c r="F230" s="33" t="str">
        <f>"Salaries and Wages - Purchasing/Receiving"</f>
        <v>Salaries and Wages - Purchasing/Receiving</v>
      </c>
      <c r="G230" s="31">
        <v>0</v>
      </c>
      <c r="H230" s="36">
        <v>0</v>
      </c>
      <c r="I230" s="199">
        <f t="shared" si="10"/>
        <v>0</v>
      </c>
      <c r="J230" s="215" t="str">
        <f t="shared" si="11"/>
        <v>-</v>
      </c>
    </row>
    <row r="231" spans="1:10" hidden="1" outlineLevel="1" x14ac:dyDescent="0.3">
      <c r="A231" s="41" t="s">
        <v>581</v>
      </c>
      <c r="B231" s="223"/>
      <c r="C231" s="210"/>
      <c r="D231" s="32"/>
      <c r="E231" s="33" t="str">
        <f>"600-5110-00"</f>
        <v>600-5110-00</v>
      </c>
      <c r="F231" s="33" t="str">
        <f>"Overtime Pay - Purchasing/Receiving"</f>
        <v>Overtime Pay - Purchasing/Receiving</v>
      </c>
      <c r="G231" s="31">
        <v>0</v>
      </c>
      <c r="H231" s="36">
        <v>0</v>
      </c>
      <c r="I231" s="199">
        <f t="shared" si="10"/>
        <v>0</v>
      </c>
      <c r="J231" s="215" t="str">
        <f t="shared" si="11"/>
        <v>-</v>
      </c>
    </row>
    <row r="232" spans="1:10" hidden="1" outlineLevel="1" x14ac:dyDescent="0.3">
      <c r="A232" s="41" t="s">
        <v>581</v>
      </c>
      <c r="B232" s="223"/>
      <c r="C232" s="210"/>
      <c r="D232" s="32"/>
      <c r="E232" s="33" t="str">
        <f>"600-5120-00"</f>
        <v>600-5120-00</v>
      </c>
      <c r="F232" s="33" t="str">
        <f>"Bonuses - Purchasing/Receiving"</f>
        <v>Bonuses - Purchasing/Receiving</v>
      </c>
      <c r="G232" s="31">
        <v>0</v>
      </c>
      <c r="H232" s="36">
        <v>0</v>
      </c>
      <c r="I232" s="199">
        <f t="shared" si="10"/>
        <v>0</v>
      </c>
      <c r="J232" s="215" t="str">
        <f t="shared" si="11"/>
        <v>-</v>
      </c>
    </row>
    <row r="233" spans="1:10" hidden="1" outlineLevel="1" x14ac:dyDescent="0.3">
      <c r="A233" s="41" t="s">
        <v>581</v>
      </c>
      <c r="B233" s="223"/>
      <c r="C233" s="210"/>
      <c r="D233" s="32"/>
      <c r="E233" s="33" t="str">
        <f>"600-5140-00"</f>
        <v>600-5140-00</v>
      </c>
      <c r="F233" s="33" t="str">
        <f>"Profit Sharing - Purchasing/Receiving"</f>
        <v>Profit Sharing - Purchasing/Receiving</v>
      </c>
      <c r="G233" s="31">
        <v>0</v>
      </c>
      <c r="H233" s="36">
        <v>0</v>
      </c>
      <c r="I233" s="199">
        <f t="shared" si="10"/>
        <v>0</v>
      </c>
      <c r="J233" s="215" t="str">
        <f t="shared" si="11"/>
        <v>-</v>
      </c>
    </row>
    <row r="234" spans="1:10" hidden="1" outlineLevel="1" x14ac:dyDescent="0.3">
      <c r="A234" s="41"/>
      <c r="B234" s="223"/>
      <c r="C234" s="210"/>
      <c r="D234" s="32"/>
      <c r="E234" s="27"/>
      <c r="F234" s="27"/>
      <c r="G234" s="34"/>
      <c r="H234" s="35"/>
      <c r="I234" s="200"/>
      <c r="J234" s="214"/>
    </row>
    <row r="235" spans="1:10" collapsed="1" x14ac:dyDescent="0.3">
      <c r="A235" s="41"/>
      <c r="B235" s="222">
        <v>37</v>
      </c>
      <c r="C235" s="210"/>
      <c r="D235" s="27" t="str">
        <f>"Other Employee Expenses"</f>
        <v>Other Employee Expenses</v>
      </c>
      <c r="E235" s="27"/>
      <c r="F235" s="27"/>
      <c r="G235" s="30">
        <f>SUBTOTAL(9,G236:G254)</f>
        <v>-10109.85</v>
      </c>
      <c r="H235" s="30">
        <f>SUBTOTAL(9,H236:H254)</f>
        <v>-11500</v>
      </c>
      <c r="I235" s="201">
        <f>G235-H235</f>
        <v>1390.1499999999996</v>
      </c>
      <c r="J235" s="214">
        <f>IF(G235=0,"-",IF(H235=0,"∞",(G235-H235)/H235))</f>
        <v>-0.12088260869565214</v>
      </c>
    </row>
    <row r="236" spans="1:10" hidden="1" outlineLevel="1" x14ac:dyDescent="0.3">
      <c r="A236" s="41"/>
      <c r="B236" s="223"/>
      <c r="C236" s="210"/>
      <c r="D236" s="32"/>
      <c r="E236" s="33" t="str">
        <f>"100-5150-00"</f>
        <v>100-5150-00</v>
      </c>
      <c r="F236" s="33" t="str">
        <f>"Employee Benefits - Administration"</f>
        <v>Employee Benefits - Administration</v>
      </c>
      <c r="G236" s="31">
        <v>-3019.85</v>
      </c>
      <c r="H236" s="36">
        <v>-3000</v>
      </c>
      <c r="I236" s="199">
        <f>G236-H236</f>
        <v>-19.849999999999909</v>
      </c>
      <c r="J236" s="215">
        <f>IF(G236=0,"-",IF(H236=0,"∞",(G236-H236)/H236))</f>
        <v>6.6166666666666362E-3</v>
      </c>
    </row>
    <row r="237" spans="1:10" hidden="1" outlineLevel="1" x14ac:dyDescent="0.3">
      <c r="A237" s="41" t="s">
        <v>581</v>
      </c>
      <c r="B237" s="223"/>
      <c r="C237" s="210"/>
      <c r="D237" s="32"/>
      <c r="E237" s="33" t="str">
        <f>"100-5160-00"</f>
        <v>100-5160-00</v>
      </c>
      <c r="F237" s="33" t="str">
        <f>"Health Insurance Expense - Administration"</f>
        <v>Health Insurance Expense - Administration</v>
      </c>
      <c r="G237" s="31">
        <v>0</v>
      </c>
      <c r="H237" s="36">
        <v>0</v>
      </c>
      <c r="I237" s="199">
        <f t="shared" ref="I237:I253" si="12">G237-H237</f>
        <v>0</v>
      </c>
      <c r="J237" s="215" t="str">
        <f t="shared" ref="J237:J253" si="13">IF(G237=0,"-",IF(H237=0,"∞",(G237-H237)/H237))</f>
        <v>-</v>
      </c>
    </row>
    <row r="238" spans="1:10" hidden="1" outlineLevel="1" x14ac:dyDescent="0.3">
      <c r="A238" s="41" t="s">
        <v>581</v>
      </c>
      <c r="B238" s="223"/>
      <c r="C238" s="210"/>
      <c r="D238" s="32"/>
      <c r="E238" s="33" t="str">
        <f>"100-6100-00"</f>
        <v>100-6100-00</v>
      </c>
      <c r="F238" s="33" t="str">
        <f>"Training - Administration"</f>
        <v>Training - Administration</v>
      </c>
      <c r="G238" s="31">
        <v>-1500</v>
      </c>
      <c r="H238" s="36">
        <v>-1500</v>
      </c>
      <c r="I238" s="199">
        <f t="shared" si="12"/>
        <v>0</v>
      </c>
      <c r="J238" s="215">
        <f t="shared" si="13"/>
        <v>0</v>
      </c>
    </row>
    <row r="239" spans="1:10" hidden="1" outlineLevel="1" x14ac:dyDescent="0.3">
      <c r="A239" s="41" t="s">
        <v>581</v>
      </c>
      <c r="B239" s="223"/>
      <c r="C239" s="210"/>
      <c r="D239" s="32"/>
      <c r="E239" s="33" t="str">
        <f>"200-5150-00"</f>
        <v>200-5150-00</v>
      </c>
      <c r="F239" s="33" t="str">
        <f>"Employee Benefits - Accounting"</f>
        <v>Employee Benefits - Accounting</v>
      </c>
      <c r="G239" s="31">
        <v>0</v>
      </c>
      <c r="H239" s="36">
        <v>0</v>
      </c>
      <c r="I239" s="199">
        <f t="shared" si="12"/>
        <v>0</v>
      </c>
      <c r="J239" s="215" t="str">
        <f t="shared" si="13"/>
        <v>-</v>
      </c>
    </row>
    <row r="240" spans="1:10" hidden="1" outlineLevel="1" x14ac:dyDescent="0.3">
      <c r="A240" s="41" t="s">
        <v>581</v>
      </c>
      <c r="B240" s="223"/>
      <c r="C240" s="210"/>
      <c r="D240" s="32"/>
      <c r="E240" s="33" t="str">
        <f>"200-5160-00"</f>
        <v>200-5160-00</v>
      </c>
      <c r="F240" s="33" t="str">
        <f>"Health Insurance Expense - Accounting"</f>
        <v>Health Insurance Expense - Accounting</v>
      </c>
      <c r="G240" s="31">
        <v>0</v>
      </c>
      <c r="H240" s="36">
        <v>0</v>
      </c>
      <c r="I240" s="199">
        <f t="shared" si="12"/>
        <v>0</v>
      </c>
      <c r="J240" s="215" t="str">
        <f t="shared" si="13"/>
        <v>-</v>
      </c>
    </row>
    <row r="241" spans="1:10" hidden="1" outlineLevel="1" x14ac:dyDescent="0.3">
      <c r="A241" s="41" t="s">
        <v>581</v>
      </c>
      <c r="B241" s="223"/>
      <c r="C241" s="210"/>
      <c r="D241" s="32"/>
      <c r="E241" s="33" t="str">
        <f>"200-6100-00"</f>
        <v>200-6100-00</v>
      </c>
      <c r="F241" s="33" t="str">
        <f>"Training - Accounting"</f>
        <v>Training - Accounting</v>
      </c>
      <c r="G241" s="31">
        <v>-500</v>
      </c>
      <c r="H241" s="36">
        <v>-500</v>
      </c>
      <c r="I241" s="199">
        <f t="shared" si="12"/>
        <v>0</v>
      </c>
      <c r="J241" s="215">
        <f t="shared" si="13"/>
        <v>0</v>
      </c>
    </row>
    <row r="242" spans="1:10" hidden="1" outlineLevel="1" x14ac:dyDescent="0.3">
      <c r="A242" s="41" t="s">
        <v>581</v>
      </c>
      <c r="B242" s="223"/>
      <c r="C242" s="210"/>
      <c r="D242" s="32"/>
      <c r="E242" s="33" t="str">
        <f>"300-5150-00"</f>
        <v>300-5150-00</v>
      </c>
      <c r="F242" s="33" t="str">
        <f>"Employee Benefits - Sales"</f>
        <v>Employee Benefits - Sales</v>
      </c>
      <c r="G242" s="31">
        <v>0</v>
      </c>
      <c r="H242" s="36">
        <v>0</v>
      </c>
      <c r="I242" s="199">
        <f t="shared" si="12"/>
        <v>0</v>
      </c>
      <c r="J242" s="215" t="str">
        <f t="shared" si="13"/>
        <v>-</v>
      </c>
    </row>
    <row r="243" spans="1:10" hidden="1" outlineLevel="1" x14ac:dyDescent="0.3">
      <c r="A243" s="41" t="s">
        <v>581</v>
      </c>
      <c r="B243" s="223"/>
      <c r="C243" s="210"/>
      <c r="D243" s="32"/>
      <c r="E243" s="33" t="str">
        <f>"300-5160-00"</f>
        <v>300-5160-00</v>
      </c>
      <c r="F243" s="33" t="str">
        <f>"Health Insurance Expense - Sales"</f>
        <v>Health Insurance Expense - Sales</v>
      </c>
      <c r="G243" s="31">
        <v>0</v>
      </c>
      <c r="H243" s="36">
        <v>0</v>
      </c>
      <c r="I243" s="199">
        <f t="shared" si="12"/>
        <v>0</v>
      </c>
      <c r="J243" s="215" t="str">
        <f t="shared" si="13"/>
        <v>-</v>
      </c>
    </row>
    <row r="244" spans="1:10" hidden="1" outlineLevel="1" x14ac:dyDescent="0.3">
      <c r="A244" s="41" t="s">
        <v>581</v>
      </c>
      <c r="B244" s="223"/>
      <c r="C244" s="210"/>
      <c r="D244" s="32"/>
      <c r="E244" s="33" t="str">
        <f>"300-6100-00"</f>
        <v>300-6100-00</v>
      </c>
      <c r="F244" s="33" t="str">
        <f>"Training - Sales"</f>
        <v>Training - Sales</v>
      </c>
      <c r="G244" s="31">
        <v>-1520</v>
      </c>
      <c r="H244" s="36">
        <v>-1500</v>
      </c>
      <c r="I244" s="199">
        <f t="shared" si="12"/>
        <v>-20</v>
      </c>
      <c r="J244" s="215">
        <f t="shared" si="13"/>
        <v>1.3333333333333334E-2</v>
      </c>
    </row>
    <row r="245" spans="1:10" hidden="1" outlineLevel="1" x14ac:dyDescent="0.3">
      <c r="A245" s="41" t="s">
        <v>581</v>
      </c>
      <c r="B245" s="223"/>
      <c r="C245" s="210"/>
      <c r="D245" s="32"/>
      <c r="E245" s="33" t="str">
        <f>"400-5150-00"</f>
        <v>400-5150-00</v>
      </c>
      <c r="F245" s="33" t="str">
        <f>"Employee Benefits - Service/Installation"</f>
        <v>Employee Benefits - Service/Installation</v>
      </c>
      <c r="G245" s="31">
        <v>0</v>
      </c>
      <c r="H245" s="36">
        <v>0</v>
      </c>
      <c r="I245" s="199">
        <f t="shared" si="12"/>
        <v>0</v>
      </c>
      <c r="J245" s="215" t="str">
        <f t="shared" si="13"/>
        <v>-</v>
      </c>
    </row>
    <row r="246" spans="1:10" hidden="1" outlineLevel="1" x14ac:dyDescent="0.3">
      <c r="A246" s="41" t="s">
        <v>581</v>
      </c>
      <c r="B246" s="223"/>
      <c r="C246" s="210"/>
      <c r="D246" s="32"/>
      <c r="E246" s="33" t="str">
        <f>"400-5160-00"</f>
        <v>400-5160-00</v>
      </c>
      <c r="F246" s="33" t="str">
        <f>"Health Insurance Expense - Service/Installation"</f>
        <v>Health Insurance Expense - Service/Installation</v>
      </c>
      <c r="G246" s="31">
        <v>0</v>
      </c>
      <c r="H246" s="36">
        <v>0</v>
      </c>
      <c r="I246" s="199">
        <f t="shared" si="12"/>
        <v>0</v>
      </c>
      <c r="J246" s="215" t="str">
        <f t="shared" si="13"/>
        <v>-</v>
      </c>
    </row>
    <row r="247" spans="1:10" hidden="1" outlineLevel="1" x14ac:dyDescent="0.3">
      <c r="A247" s="41" t="s">
        <v>581</v>
      </c>
      <c r="B247" s="223"/>
      <c r="C247" s="210"/>
      <c r="D247" s="32"/>
      <c r="E247" s="33" t="str">
        <f>"400-6100-00"</f>
        <v>400-6100-00</v>
      </c>
      <c r="F247" s="33" t="str">
        <f>"Training - Service/installation"</f>
        <v>Training - Service/installation</v>
      </c>
      <c r="G247" s="31">
        <v>-3570</v>
      </c>
      <c r="H247" s="36">
        <v>-5000</v>
      </c>
      <c r="I247" s="199">
        <f t="shared" si="12"/>
        <v>1430</v>
      </c>
      <c r="J247" s="215">
        <f t="shared" si="13"/>
        <v>-0.28599999999999998</v>
      </c>
    </row>
    <row r="248" spans="1:10" hidden="1" outlineLevel="1" x14ac:dyDescent="0.3">
      <c r="A248" s="41" t="s">
        <v>581</v>
      </c>
      <c r="B248" s="223"/>
      <c r="C248" s="210"/>
      <c r="D248" s="32"/>
      <c r="E248" s="33" t="str">
        <f>"500-5150-00"</f>
        <v>500-5150-00</v>
      </c>
      <c r="F248" s="33" t="str">
        <f>"Employee Benefits - Consulting/Training"</f>
        <v>Employee Benefits - Consulting/Training</v>
      </c>
      <c r="G248" s="31">
        <v>0</v>
      </c>
      <c r="H248" s="36">
        <v>0</v>
      </c>
      <c r="I248" s="199">
        <f t="shared" si="12"/>
        <v>0</v>
      </c>
      <c r="J248" s="215" t="str">
        <f t="shared" si="13"/>
        <v>-</v>
      </c>
    </row>
    <row r="249" spans="1:10" hidden="1" outlineLevel="1" x14ac:dyDescent="0.3">
      <c r="A249" s="41" t="s">
        <v>581</v>
      </c>
      <c r="B249" s="223"/>
      <c r="C249" s="210"/>
      <c r="D249" s="32"/>
      <c r="E249" s="33" t="str">
        <f>"500-5160-00"</f>
        <v>500-5160-00</v>
      </c>
      <c r="F249" s="33" t="str">
        <f>"Health Insurance Expense - Consulting/Training"</f>
        <v>Health Insurance Expense - Consulting/Training</v>
      </c>
      <c r="G249" s="31">
        <v>0</v>
      </c>
      <c r="H249" s="36">
        <v>0</v>
      </c>
      <c r="I249" s="199">
        <f t="shared" si="12"/>
        <v>0</v>
      </c>
      <c r="J249" s="215" t="str">
        <f t="shared" si="13"/>
        <v>-</v>
      </c>
    </row>
    <row r="250" spans="1:10" hidden="1" outlineLevel="1" x14ac:dyDescent="0.3">
      <c r="A250" s="41" t="s">
        <v>581</v>
      </c>
      <c r="B250" s="223"/>
      <c r="C250" s="210"/>
      <c r="D250" s="32"/>
      <c r="E250" s="33" t="str">
        <f>"500-6100-00"</f>
        <v>500-6100-00</v>
      </c>
      <c r="F250" s="33" t="str">
        <f>"Training - Consulting/Training"</f>
        <v>Training - Consulting/Training</v>
      </c>
      <c r="G250" s="31">
        <v>0</v>
      </c>
      <c r="H250" s="36">
        <v>0</v>
      </c>
      <c r="I250" s="199">
        <f t="shared" si="12"/>
        <v>0</v>
      </c>
      <c r="J250" s="215" t="str">
        <f t="shared" si="13"/>
        <v>-</v>
      </c>
    </row>
    <row r="251" spans="1:10" hidden="1" outlineLevel="1" x14ac:dyDescent="0.3">
      <c r="A251" s="41" t="s">
        <v>581</v>
      </c>
      <c r="B251" s="223"/>
      <c r="C251" s="210"/>
      <c r="D251" s="32"/>
      <c r="E251" s="33" t="str">
        <f>"600-5150-00"</f>
        <v>600-5150-00</v>
      </c>
      <c r="F251" s="33" t="str">
        <f>"Employee Benefits - Purchasing/Receiving"</f>
        <v>Employee Benefits - Purchasing/Receiving</v>
      </c>
      <c r="G251" s="31">
        <v>0</v>
      </c>
      <c r="H251" s="36">
        <v>0</v>
      </c>
      <c r="I251" s="199">
        <f t="shared" si="12"/>
        <v>0</v>
      </c>
      <c r="J251" s="215" t="str">
        <f t="shared" si="13"/>
        <v>-</v>
      </c>
    </row>
    <row r="252" spans="1:10" hidden="1" outlineLevel="1" x14ac:dyDescent="0.3">
      <c r="A252" s="41" t="s">
        <v>581</v>
      </c>
      <c r="B252" s="223"/>
      <c r="C252" s="210"/>
      <c r="D252" s="32"/>
      <c r="E252" s="33" t="str">
        <f>"600-5160-00"</f>
        <v>600-5160-00</v>
      </c>
      <c r="F252" s="33" t="str">
        <f>"Health Insurance Expense - Purchasing/Receiving"</f>
        <v>Health Insurance Expense - Purchasing/Receiving</v>
      </c>
      <c r="G252" s="31">
        <v>0</v>
      </c>
      <c r="H252" s="36">
        <v>0</v>
      </c>
      <c r="I252" s="199">
        <f t="shared" si="12"/>
        <v>0</v>
      </c>
      <c r="J252" s="215" t="str">
        <f t="shared" si="13"/>
        <v>-</v>
      </c>
    </row>
    <row r="253" spans="1:10" hidden="1" outlineLevel="1" x14ac:dyDescent="0.3">
      <c r="A253" s="41" t="s">
        <v>581</v>
      </c>
      <c r="B253" s="223"/>
      <c r="C253" s="210"/>
      <c r="D253" s="32"/>
      <c r="E253" s="33" t="str">
        <f>"600-6100-00"</f>
        <v>600-6100-00</v>
      </c>
      <c r="F253" s="33" t="str">
        <f>"Training - Purchasing/Receiving"</f>
        <v>Training - Purchasing/Receiving</v>
      </c>
      <c r="G253" s="31">
        <v>0</v>
      </c>
      <c r="H253" s="36">
        <v>0</v>
      </c>
      <c r="I253" s="199">
        <f t="shared" si="12"/>
        <v>0</v>
      </c>
      <c r="J253" s="215" t="str">
        <f t="shared" si="13"/>
        <v>-</v>
      </c>
    </row>
    <row r="254" spans="1:10" hidden="1" outlineLevel="1" x14ac:dyDescent="0.3">
      <c r="A254" s="41"/>
      <c r="B254" s="223"/>
      <c r="C254" s="210"/>
      <c r="D254" s="32"/>
      <c r="E254" s="27"/>
      <c r="F254" s="27"/>
      <c r="G254" s="34"/>
      <c r="H254" s="35"/>
      <c r="I254" s="200"/>
      <c r="J254" s="214"/>
    </row>
    <row r="255" spans="1:10" collapsed="1" x14ac:dyDescent="0.3">
      <c r="A255" s="41"/>
      <c r="B255" s="222">
        <v>40</v>
      </c>
      <c r="C255" s="210"/>
      <c r="D255" s="27" t="str">
        <f>"Depreciation Expense"</f>
        <v>Depreciation Expense</v>
      </c>
      <c r="E255" s="27"/>
      <c r="F255" s="27"/>
      <c r="G255" s="30">
        <f>SUBTOTAL(9,G256:G260)</f>
        <v>-20445.240000000002</v>
      </c>
      <c r="H255" s="30">
        <f>SUBTOTAL(9,H256:H260)</f>
        <v>-20449</v>
      </c>
      <c r="I255" s="201">
        <f>G255-H255</f>
        <v>3.7599999999983993</v>
      </c>
      <c r="J255" s="214">
        <f>IF(G255=0,"-",IF(H255=0,"∞",(G255-H255)/H255))</f>
        <v>-1.8387207198388182E-4</v>
      </c>
    </row>
    <row r="256" spans="1:10" hidden="1" outlineLevel="1" x14ac:dyDescent="0.3">
      <c r="A256" s="41"/>
      <c r="B256" s="223"/>
      <c r="C256" s="210"/>
      <c r="D256" s="32"/>
      <c r="E256" s="33" t="str">
        <f>"000-6200-00"</f>
        <v>000-6200-00</v>
      </c>
      <c r="F256" s="33" t="str">
        <f>"Depreciation Expense - Furniture &amp; Fixtures"</f>
        <v>Depreciation Expense - Furniture &amp; Fixtures</v>
      </c>
      <c r="G256" s="31">
        <v>-3624.64</v>
      </c>
      <c r="H256" s="36">
        <v>-3625</v>
      </c>
      <c r="I256" s="199">
        <f>G256-H256</f>
        <v>0.36000000000012733</v>
      </c>
      <c r="J256" s="215">
        <f>IF(G256=0,"-",IF(H256=0,"∞",(G256-H256)/H256))</f>
        <v>-9.9310344827621328E-5</v>
      </c>
    </row>
    <row r="257" spans="1:10" hidden="1" outlineLevel="1" x14ac:dyDescent="0.3">
      <c r="A257" s="41" t="s">
        <v>581</v>
      </c>
      <c r="B257" s="223"/>
      <c r="C257" s="210"/>
      <c r="D257" s="32"/>
      <c r="E257" s="33" t="str">
        <f>"000-6210-00"</f>
        <v>000-6210-00</v>
      </c>
      <c r="F257" s="33" t="str">
        <f>"Depreciation Expense - Computer Equipment"</f>
        <v>Depreciation Expense - Computer Equipment</v>
      </c>
      <c r="G257" s="31">
        <v>-1888.43</v>
      </c>
      <c r="H257" s="36">
        <v>-1890</v>
      </c>
      <c r="I257" s="199">
        <f t="shared" ref="I257:I259" si="14">G257-H257</f>
        <v>1.5699999999999363</v>
      </c>
      <c r="J257" s="215">
        <f t="shared" ref="J257:J259" si="15">IF(G257=0,"-",IF(H257=0,"∞",(G257-H257)/H257))</f>
        <v>-8.3068783068779696E-4</v>
      </c>
    </row>
    <row r="258" spans="1:10" hidden="1" outlineLevel="1" x14ac:dyDescent="0.3">
      <c r="A258" s="41" t="s">
        <v>581</v>
      </c>
      <c r="B258" s="223"/>
      <c r="C258" s="210"/>
      <c r="D258" s="32"/>
      <c r="E258" s="33" t="str">
        <f>"000-6220-00"</f>
        <v>000-6220-00</v>
      </c>
      <c r="F258" s="33" t="str">
        <f>"Depreciation Expense - Machinery &amp; Equipment"</f>
        <v>Depreciation Expense - Machinery &amp; Equipment</v>
      </c>
      <c r="G258" s="31">
        <v>-14098.84</v>
      </c>
      <c r="H258" s="36">
        <v>-14100</v>
      </c>
      <c r="I258" s="199">
        <f t="shared" si="14"/>
        <v>1.1599999999998545</v>
      </c>
      <c r="J258" s="215">
        <f t="shared" si="15"/>
        <v>-8.2269503546088975E-5</v>
      </c>
    </row>
    <row r="259" spans="1:10" hidden="1" outlineLevel="1" x14ac:dyDescent="0.3">
      <c r="A259" s="41" t="s">
        <v>581</v>
      </c>
      <c r="B259" s="223"/>
      <c r="C259" s="210"/>
      <c r="D259" s="32"/>
      <c r="E259" s="33" t="str">
        <f>"000-6230-00"</f>
        <v>000-6230-00</v>
      </c>
      <c r="F259" s="33" t="str">
        <f>"Depreciation Expense - Fleet Vehicles"</f>
        <v>Depreciation Expense - Fleet Vehicles</v>
      </c>
      <c r="G259" s="31">
        <v>-833.33</v>
      </c>
      <c r="H259" s="36">
        <v>-834</v>
      </c>
      <c r="I259" s="199">
        <f t="shared" si="14"/>
        <v>0.66999999999995907</v>
      </c>
      <c r="J259" s="215">
        <f t="shared" si="15"/>
        <v>-8.0335731414863201E-4</v>
      </c>
    </row>
    <row r="260" spans="1:10" hidden="1" outlineLevel="1" x14ac:dyDescent="0.3">
      <c r="A260" s="41"/>
      <c r="B260" s="223"/>
      <c r="C260" s="210"/>
      <c r="D260" s="32"/>
      <c r="E260" s="27"/>
      <c r="F260" s="27"/>
      <c r="G260" s="34"/>
      <c r="H260" s="35"/>
      <c r="I260" s="200"/>
      <c r="J260" s="214"/>
    </row>
    <row r="261" spans="1:10" collapsed="1" x14ac:dyDescent="0.3">
      <c r="A261" s="41"/>
      <c r="B261" s="222">
        <v>47</v>
      </c>
      <c r="C261" s="210"/>
      <c r="D261" s="27" t="str">
        <f>"Amortization of Intangible Assets"</f>
        <v>Amortization of Intangible Assets</v>
      </c>
      <c r="E261" s="27"/>
      <c r="F261" s="27"/>
      <c r="G261" s="30">
        <f>SUBTOTAL(9,G262:G263)</f>
        <v>-982.92</v>
      </c>
      <c r="H261" s="30">
        <f>SUBTOTAL(9,H262:H263)</f>
        <v>-983</v>
      </c>
      <c r="I261" s="201">
        <f>G261-H261</f>
        <v>8.0000000000040927E-2</v>
      </c>
      <c r="J261" s="214">
        <f>IF(G261=0,"-",IF(H261=0,"∞",(G261-H261)/H261))</f>
        <v>-8.1383519837274589E-5</v>
      </c>
    </row>
    <row r="262" spans="1:10" hidden="1" outlineLevel="1" x14ac:dyDescent="0.3">
      <c r="A262" s="41"/>
      <c r="B262" s="223"/>
      <c r="C262" s="210"/>
      <c r="D262" s="32"/>
      <c r="E262" s="33" t="str">
        <f>"000-6300-00"</f>
        <v>000-6300-00</v>
      </c>
      <c r="F262" s="33" t="str">
        <f>"Amortization - Software"</f>
        <v>Amortization - Software</v>
      </c>
      <c r="G262" s="31">
        <v>-982.92</v>
      </c>
      <c r="H262" s="36">
        <v>-983</v>
      </c>
      <c r="I262" s="199">
        <f>G262-H262</f>
        <v>8.0000000000040927E-2</v>
      </c>
      <c r="J262" s="215">
        <f>IF(G262=0,"-",IF(H262=0,"∞",(G262-H262)/H262))</f>
        <v>-8.1383519837274589E-5</v>
      </c>
    </row>
    <row r="263" spans="1:10" hidden="1" outlineLevel="1" x14ac:dyDescent="0.3">
      <c r="A263" s="41"/>
      <c r="B263" s="223"/>
      <c r="C263" s="210"/>
      <c r="D263" s="32"/>
      <c r="E263" s="27"/>
      <c r="F263" s="27"/>
      <c r="G263" s="34"/>
      <c r="H263" s="35"/>
      <c r="I263" s="200"/>
      <c r="J263" s="214"/>
    </row>
    <row r="264" spans="1:10" x14ac:dyDescent="0.3">
      <c r="A264" s="41"/>
      <c r="B264" s="223"/>
      <c r="C264" s="210"/>
      <c r="D264" s="231"/>
      <c r="E264" s="38"/>
      <c r="F264" s="38" t="s">
        <v>24</v>
      </c>
      <c r="G264" s="39">
        <f>SUBTOTAL(9,G93:G263)</f>
        <v>-815986.98999999987</v>
      </c>
      <c r="H264" s="39">
        <f>SUBTOTAL(9,H93:H263)</f>
        <v>-820122</v>
      </c>
      <c r="I264" s="204">
        <f>G264-H264</f>
        <v>4135.0100000001257</v>
      </c>
      <c r="J264" s="216">
        <f>IF(G264=0,"-",IF(H264=0,"∞",(G264-H264)/H264))</f>
        <v>-5.0419449789179237E-3</v>
      </c>
    </row>
    <row r="265" spans="1:10" x14ac:dyDescent="0.3">
      <c r="A265" s="41"/>
      <c r="B265" s="224"/>
      <c r="D265" s="232"/>
      <c r="E265" s="233"/>
      <c r="F265" s="240" t="s">
        <v>25</v>
      </c>
      <c r="G265" s="237">
        <f>G88+G264</f>
        <v>282702.82000000065</v>
      </c>
      <c r="H265" s="237">
        <f>H88+H264</f>
        <v>210278</v>
      </c>
      <c r="I265" s="235">
        <f>G265-H265</f>
        <v>72424.820000000647</v>
      </c>
      <c r="J265" s="236">
        <f>IF(G265=0,"-",IF(H265=0,"∞",(G265-H265)/H265))</f>
        <v>0.34442414327699827</v>
      </c>
    </row>
    <row r="266" spans="1:10" x14ac:dyDescent="0.3">
      <c r="A266" s="41"/>
      <c r="B266" s="224"/>
      <c r="D266" s="42"/>
      <c r="E266" s="42"/>
      <c r="F266" s="42"/>
      <c r="G266" s="28"/>
      <c r="H266" s="29"/>
      <c r="I266" s="205"/>
      <c r="J266" s="217"/>
    </row>
    <row r="267" spans="1:10" ht="18.75" x14ac:dyDescent="0.3">
      <c r="A267" s="41"/>
      <c r="B267" s="224"/>
      <c r="D267" s="26" t="s">
        <v>88</v>
      </c>
      <c r="G267" s="34"/>
      <c r="H267" s="35"/>
      <c r="I267" s="200"/>
      <c r="J267" s="214"/>
    </row>
    <row r="268" spans="1:10" x14ac:dyDescent="0.3">
      <c r="A268" s="41"/>
      <c r="B268" s="224"/>
      <c r="G268" s="34"/>
      <c r="H268" s="35"/>
      <c r="I268" s="200"/>
      <c r="J268" s="214"/>
    </row>
    <row r="269" spans="1:10" collapsed="1" x14ac:dyDescent="0.3">
      <c r="A269" s="41"/>
      <c r="B269" s="222">
        <v>43</v>
      </c>
      <c r="C269" s="210"/>
      <c r="D269" s="27" t="str">
        <f>"Other Income"</f>
        <v>Other Income</v>
      </c>
      <c r="E269" s="27"/>
      <c r="F269" s="27"/>
      <c r="G269" s="30">
        <f>SUBTOTAL(9,G270:G304)</f>
        <v>1911.24</v>
      </c>
      <c r="H269" s="30">
        <f>SUBTOTAL(9,H270:H304)</f>
        <v>2050</v>
      </c>
      <c r="I269" s="201">
        <f>G269-H269</f>
        <v>-138.76</v>
      </c>
      <c r="J269" s="214">
        <f>IF(G269=0,"-",IF(H269=0,"∞",(G269-H269)/H269))</f>
        <v>-6.7687804878048777E-2</v>
      </c>
    </row>
    <row r="270" spans="1:10" hidden="1" outlineLevel="1" x14ac:dyDescent="0.3">
      <c r="A270" s="41"/>
      <c r="B270" s="223"/>
      <c r="C270" s="210"/>
      <c r="D270" s="32"/>
      <c r="E270" s="33" t="str">
        <f>"000-7010-00"</f>
        <v>000-7010-00</v>
      </c>
      <c r="F270" s="33" t="str">
        <f>"Finance Charge Income"</f>
        <v>Finance Charge Income</v>
      </c>
      <c r="G270" s="31">
        <v>25</v>
      </c>
      <c r="H270" s="36">
        <v>50</v>
      </c>
      <c r="I270" s="199">
        <f>G270-H270</f>
        <v>-25</v>
      </c>
      <c r="J270" s="215">
        <f>IF(G270=0,"-",IF(H270=0,"∞",(G270-H270)/H270))</f>
        <v>-0.5</v>
      </c>
    </row>
    <row r="271" spans="1:10" hidden="1" outlineLevel="1" x14ac:dyDescent="0.3">
      <c r="A271" s="41" t="s">
        <v>581</v>
      </c>
      <c r="B271" s="223"/>
      <c r="C271" s="210"/>
      <c r="D271" s="32"/>
      <c r="E271" s="33" t="str">
        <f>"000-7020-00"</f>
        <v>000-7020-00</v>
      </c>
      <c r="F271" s="33" t="str">
        <f>"Interest Income"</f>
        <v>Interest Income</v>
      </c>
      <c r="G271" s="31">
        <v>909.16</v>
      </c>
      <c r="H271" s="36">
        <v>1000</v>
      </c>
      <c r="I271" s="199">
        <f t="shared" ref="I271:I303" si="16">G271-H271</f>
        <v>-90.840000000000032</v>
      </c>
      <c r="J271" s="215">
        <f t="shared" ref="J271:J303" si="17">IF(G271=0,"-",IF(H271=0,"∞",(G271-H271)/H271))</f>
        <v>-9.0840000000000032E-2</v>
      </c>
    </row>
    <row r="272" spans="1:10" hidden="1" outlineLevel="1" x14ac:dyDescent="0.3">
      <c r="A272" s="41" t="s">
        <v>581</v>
      </c>
      <c r="B272" s="223"/>
      <c r="C272" s="210"/>
      <c r="D272" s="32"/>
      <c r="E272" s="33" t="str">
        <f>"000-7040-00"</f>
        <v>000-7040-00</v>
      </c>
      <c r="F272" s="33" t="str">
        <f>"Miscellaneous Income"</f>
        <v>Miscellaneous Income</v>
      </c>
      <c r="G272" s="31">
        <v>977.08</v>
      </c>
      <c r="H272" s="36">
        <v>1000</v>
      </c>
      <c r="I272" s="199">
        <f t="shared" si="16"/>
        <v>-22.919999999999959</v>
      </c>
      <c r="J272" s="215">
        <f t="shared" si="17"/>
        <v>-2.2919999999999958E-2</v>
      </c>
    </row>
    <row r="273" spans="1:10" hidden="1" outlineLevel="1" x14ac:dyDescent="0.3">
      <c r="A273" s="41" t="s">
        <v>581</v>
      </c>
      <c r="B273" s="223"/>
      <c r="C273" s="210"/>
      <c r="D273" s="32"/>
      <c r="E273" s="33" t="str">
        <f>"000-7041-00"</f>
        <v>000-7041-00</v>
      </c>
      <c r="F273" s="33" t="str">
        <f>"Freight Income"</f>
        <v>Freight Income</v>
      </c>
      <c r="G273" s="31">
        <v>0</v>
      </c>
      <c r="H273" s="36">
        <v>0</v>
      </c>
      <c r="I273" s="199">
        <f t="shared" si="16"/>
        <v>0</v>
      </c>
      <c r="J273" s="215" t="str">
        <f t="shared" si="17"/>
        <v>-</v>
      </c>
    </row>
    <row r="274" spans="1:10" hidden="1" outlineLevel="1" x14ac:dyDescent="0.3">
      <c r="A274" s="41" t="s">
        <v>581</v>
      </c>
      <c r="B274" s="223"/>
      <c r="C274" s="210"/>
      <c r="D274" s="32"/>
      <c r="E274" s="33" t="str">
        <f>"000-7100-00"</f>
        <v>000-7100-00</v>
      </c>
      <c r="F274" s="33" t="str">
        <f>"Realized Gain on MC Transactions"</f>
        <v>Realized Gain on MC Transactions</v>
      </c>
      <c r="G274" s="31">
        <v>0</v>
      </c>
      <c r="H274" s="36">
        <v>0</v>
      </c>
      <c r="I274" s="199">
        <f t="shared" si="16"/>
        <v>0</v>
      </c>
      <c r="J274" s="215" t="str">
        <f t="shared" si="17"/>
        <v>-</v>
      </c>
    </row>
    <row r="275" spans="1:10" hidden="1" outlineLevel="1" x14ac:dyDescent="0.3">
      <c r="A275" s="41" t="s">
        <v>581</v>
      </c>
      <c r="B275" s="223"/>
      <c r="C275" s="210"/>
      <c r="D275" s="32"/>
      <c r="E275" s="33" t="str">
        <f>"000-7101-00"</f>
        <v>000-7101-00</v>
      </c>
      <c r="F275" s="33" t="str">
        <f>"Realized Gain on MC Transactions - Z - C$ - SELL"</f>
        <v>Realized Gain on MC Transactions - Z - C$ - SELL</v>
      </c>
      <c r="G275" s="31">
        <v>0</v>
      </c>
      <c r="H275" s="36">
        <v>0</v>
      </c>
      <c r="I275" s="199">
        <f t="shared" si="16"/>
        <v>0</v>
      </c>
      <c r="J275" s="215" t="str">
        <f t="shared" si="17"/>
        <v>-</v>
      </c>
    </row>
    <row r="276" spans="1:10" hidden="1" outlineLevel="1" x14ac:dyDescent="0.3">
      <c r="A276" s="41" t="s">
        <v>581</v>
      </c>
      <c r="B276" s="223"/>
      <c r="C276" s="210"/>
      <c r="D276" s="32"/>
      <c r="E276" s="33" t="str">
        <f>"000-7102-00"</f>
        <v>000-7102-00</v>
      </c>
      <c r="F276" s="33" t="str">
        <f>"Realized Gain on MC Transactions - Z - C$ - BUY"</f>
        <v>Realized Gain on MC Transactions - Z - C$ - BUY</v>
      </c>
      <c r="G276" s="31">
        <v>0</v>
      </c>
      <c r="H276" s="36">
        <v>0</v>
      </c>
      <c r="I276" s="199">
        <f t="shared" si="16"/>
        <v>0</v>
      </c>
      <c r="J276" s="215" t="str">
        <f t="shared" si="17"/>
        <v>-</v>
      </c>
    </row>
    <row r="277" spans="1:10" hidden="1" outlineLevel="1" x14ac:dyDescent="0.3">
      <c r="A277" s="41" t="s">
        <v>581</v>
      </c>
      <c r="B277" s="223"/>
      <c r="C277" s="210"/>
      <c r="D277" s="32"/>
      <c r="E277" s="33" t="str">
        <f>"000-7103-00"</f>
        <v>000-7103-00</v>
      </c>
      <c r="F277" s="33" t="str">
        <f>"Realized Gain on MC Transactions - Z - C$ - AVG"</f>
        <v>Realized Gain on MC Transactions - Z - C$ - AVG</v>
      </c>
      <c r="G277" s="31">
        <v>0</v>
      </c>
      <c r="H277" s="36">
        <v>0</v>
      </c>
      <c r="I277" s="199">
        <f t="shared" si="16"/>
        <v>0</v>
      </c>
      <c r="J277" s="215" t="str">
        <f t="shared" si="17"/>
        <v>-</v>
      </c>
    </row>
    <row r="278" spans="1:10" hidden="1" outlineLevel="1" x14ac:dyDescent="0.3">
      <c r="A278" s="41" t="s">
        <v>581</v>
      </c>
      <c r="B278" s="223"/>
      <c r="C278" s="210"/>
      <c r="D278" s="32"/>
      <c r="E278" s="33" t="str">
        <f>"000-7200-00"</f>
        <v>000-7200-00</v>
      </c>
      <c r="F278" s="33" t="str">
        <f>"Unrealized Gain on MC Transactions"</f>
        <v>Unrealized Gain on MC Transactions</v>
      </c>
      <c r="G278" s="31">
        <v>0</v>
      </c>
      <c r="H278" s="36">
        <v>0</v>
      </c>
      <c r="I278" s="199">
        <f t="shared" si="16"/>
        <v>0</v>
      </c>
      <c r="J278" s="215" t="str">
        <f t="shared" si="17"/>
        <v>-</v>
      </c>
    </row>
    <row r="279" spans="1:10" hidden="1" outlineLevel="1" x14ac:dyDescent="0.3">
      <c r="A279" s="41" t="s">
        <v>581</v>
      </c>
      <c r="B279" s="223"/>
      <c r="C279" s="210"/>
      <c r="D279" s="32"/>
      <c r="E279" s="33" t="str">
        <f>"000-7201-00"</f>
        <v>000-7201-00</v>
      </c>
      <c r="F279" s="33" t="str">
        <f>"Unrealized Gain on MC Transactions-Canada"</f>
        <v>Unrealized Gain on MC Transactions-Canada</v>
      </c>
      <c r="G279" s="31">
        <v>0</v>
      </c>
      <c r="H279" s="36">
        <v>0</v>
      </c>
      <c r="I279" s="199">
        <f t="shared" si="16"/>
        <v>0</v>
      </c>
      <c r="J279" s="215" t="str">
        <f t="shared" si="17"/>
        <v>-</v>
      </c>
    </row>
    <row r="280" spans="1:10" hidden="1" outlineLevel="1" x14ac:dyDescent="0.3">
      <c r="A280" s="41" t="s">
        <v>581</v>
      </c>
      <c r="B280" s="223"/>
      <c r="C280" s="210"/>
      <c r="D280" s="32"/>
      <c r="E280" s="33" t="str">
        <f>"000-7202-00"</f>
        <v>000-7202-00</v>
      </c>
      <c r="F280" s="33" t="str">
        <f>"Unrealized Gain on MC Transactions - Australia"</f>
        <v>Unrealized Gain on MC Transactions - Australia</v>
      </c>
      <c r="G280" s="31">
        <v>0</v>
      </c>
      <c r="H280" s="36">
        <v>0</v>
      </c>
      <c r="I280" s="199">
        <f t="shared" si="16"/>
        <v>0</v>
      </c>
      <c r="J280" s="215" t="str">
        <f t="shared" si="17"/>
        <v>-</v>
      </c>
    </row>
    <row r="281" spans="1:10" hidden="1" outlineLevel="1" x14ac:dyDescent="0.3">
      <c r="A281" s="41" t="s">
        <v>581</v>
      </c>
      <c r="B281" s="223"/>
      <c r="C281" s="210"/>
      <c r="D281" s="32"/>
      <c r="E281" s="33" t="str">
        <f>"000-7203-00"</f>
        <v>000-7203-00</v>
      </c>
      <c r="F281" s="33" t="str">
        <f>"Unrealized Gain on MC Transactions - New Zealand"</f>
        <v>Unrealized Gain on MC Transactions - New Zealand</v>
      </c>
      <c r="G281" s="31">
        <v>0</v>
      </c>
      <c r="H281" s="36">
        <v>0</v>
      </c>
      <c r="I281" s="199">
        <f t="shared" si="16"/>
        <v>0</v>
      </c>
      <c r="J281" s="215" t="str">
        <f t="shared" si="17"/>
        <v>-</v>
      </c>
    </row>
    <row r="282" spans="1:10" hidden="1" outlineLevel="1" x14ac:dyDescent="0.3">
      <c r="A282" s="41" t="s">
        <v>581</v>
      </c>
      <c r="B282" s="223"/>
      <c r="C282" s="210"/>
      <c r="D282" s="32"/>
      <c r="E282" s="33" t="str">
        <f>"000-7204-00"</f>
        <v>000-7204-00</v>
      </c>
      <c r="F282" s="33" t="str">
        <f>"Unrealized Gain on MC Transactions - Germany"</f>
        <v>Unrealized Gain on MC Transactions - Germany</v>
      </c>
      <c r="G282" s="31">
        <v>0</v>
      </c>
      <c r="H282" s="36">
        <v>0</v>
      </c>
      <c r="I282" s="199">
        <f t="shared" si="16"/>
        <v>0</v>
      </c>
      <c r="J282" s="215" t="str">
        <f t="shared" si="17"/>
        <v>-</v>
      </c>
    </row>
    <row r="283" spans="1:10" hidden="1" outlineLevel="1" x14ac:dyDescent="0.3">
      <c r="A283" s="41" t="s">
        <v>581</v>
      </c>
      <c r="B283" s="223"/>
      <c r="C283" s="210"/>
      <c r="D283" s="32"/>
      <c r="E283" s="33" t="str">
        <f>"000-7205-00"</f>
        <v>000-7205-00</v>
      </c>
      <c r="F283" s="33" t="str">
        <f>"Unrealized Gain on MC Transactions - United Kingdo"</f>
        <v>Unrealized Gain on MC Transactions - United Kingdo</v>
      </c>
      <c r="G283" s="31">
        <v>0</v>
      </c>
      <c r="H283" s="36">
        <v>0</v>
      </c>
      <c r="I283" s="199">
        <f t="shared" si="16"/>
        <v>0</v>
      </c>
      <c r="J283" s="215" t="str">
        <f t="shared" si="17"/>
        <v>-</v>
      </c>
    </row>
    <row r="284" spans="1:10" hidden="1" outlineLevel="1" x14ac:dyDescent="0.3">
      <c r="A284" s="41" t="s">
        <v>581</v>
      </c>
      <c r="B284" s="223"/>
      <c r="C284" s="210"/>
      <c r="D284" s="32"/>
      <c r="E284" s="33" t="str">
        <f>"000-7206-00"</f>
        <v>000-7206-00</v>
      </c>
      <c r="F284" s="33" t="str">
        <f>"Unrealized Gain on MC Transactions - South Africa"</f>
        <v>Unrealized Gain on MC Transactions - South Africa</v>
      </c>
      <c r="G284" s="31">
        <v>0</v>
      </c>
      <c r="H284" s="36">
        <v>0</v>
      </c>
      <c r="I284" s="199">
        <f t="shared" si="16"/>
        <v>0</v>
      </c>
      <c r="J284" s="215" t="str">
        <f t="shared" si="17"/>
        <v>-</v>
      </c>
    </row>
    <row r="285" spans="1:10" hidden="1" outlineLevel="1" x14ac:dyDescent="0.3">
      <c r="A285" s="41" t="s">
        <v>581</v>
      </c>
      <c r="B285" s="223"/>
      <c r="C285" s="210"/>
      <c r="D285" s="32"/>
      <c r="E285" s="33" t="str">
        <f>"000-7207-00"</f>
        <v>000-7207-00</v>
      </c>
      <c r="F285" s="33" t="str">
        <f>"Unrealized Gain on MC Transactions - Singapore"</f>
        <v>Unrealized Gain on MC Transactions - Singapore</v>
      </c>
      <c r="G285" s="31">
        <v>0</v>
      </c>
      <c r="H285" s="36">
        <v>0</v>
      </c>
      <c r="I285" s="199">
        <f t="shared" si="16"/>
        <v>0</v>
      </c>
      <c r="J285" s="215" t="str">
        <f t="shared" si="17"/>
        <v>-</v>
      </c>
    </row>
    <row r="286" spans="1:10" hidden="1" outlineLevel="1" x14ac:dyDescent="0.3">
      <c r="A286" s="41" t="s">
        <v>581</v>
      </c>
      <c r="B286" s="223"/>
      <c r="C286" s="210"/>
      <c r="D286" s="32"/>
      <c r="E286" s="33" t="str">
        <f>"000-7300-00"</f>
        <v>000-7300-00</v>
      </c>
      <c r="F286" s="33" t="str">
        <f>"Rounding Writeoff due to MC Trx"</f>
        <v>Rounding Writeoff due to MC Trx</v>
      </c>
      <c r="G286" s="31">
        <v>0</v>
      </c>
      <c r="H286" s="36">
        <v>0</v>
      </c>
      <c r="I286" s="199">
        <f t="shared" si="16"/>
        <v>0</v>
      </c>
      <c r="J286" s="215" t="str">
        <f t="shared" si="17"/>
        <v>-</v>
      </c>
    </row>
    <row r="287" spans="1:10" hidden="1" outlineLevel="1" x14ac:dyDescent="0.3">
      <c r="A287" s="41" t="s">
        <v>581</v>
      </c>
      <c r="B287" s="223"/>
      <c r="C287" s="210"/>
      <c r="D287" s="32"/>
      <c r="E287" s="33" t="str">
        <f>"000-7301-00"</f>
        <v>000-7301-00</v>
      </c>
      <c r="F287" s="33" t="str">
        <f>"Rounding Writeoff - Canada"</f>
        <v>Rounding Writeoff - Canada</v>
      </c>
      <c r="G287" s="31">
        <v>0</v>
      </c>
      <c r="H287" s="36">
        <v>0</v>
      </c>
      <c r="I287" s="199">
        <f t="shared" si="16"/>
        <v>0</v>
      </c>
      <c r="J287" s="215" t="str">
        <f t="shared" si="17"/>
        <v>-</v>
      </c>
    </row>
    <row r="288" spans="1:10" hidden="1" outlineLevel="1" x14ac:dyDescent="0.3">
      <c r="A288" s="41" t="s">
        <v>581</v>
      </c>
      <c r="B288" s="223"/>
      <c r="C288" s="210"/>
      <c r="D288" s="32"/>
      <c r="E288" s="33" t="str">
        <f>"000-7302-00"</f>
        <v>000-7302-00</v>
      </c>
      <c r="F288" s="33" t="str">
        <f>"Rounding Writeoff - Australia"</f>
        <v>Rounding Writeoff - Australia</v>
      </c>
      <c r="G288" s="31">
        <v>0</v>
      </c>
      <c r="H288" s="36">
        <v>0</v>
      </c>
      <c r="I288" s="199">
        <f t="shared" si="16"/>
        <v>0</v>
      </c>
      <c r="J288" s="215" t="str">
        <f t="shared" si="17"/>
        <v>-</v>
      </c>
    </row>
    <row r="289" spans="1:10" hidden="1" outlineLevel="1" x14ac:dyDescent="0.3">
      <c r="A289" s="41" t="s">
        <v>581</v>
      </c>
      <c r="B289" s="223"/>
      <c r="C289" s="210"/>
      <c r="D289" s="32"/>
      <c r="E289" s="33" t="str">
        <f>"000-7303-00"</f>
        <v>000-7303-00</v>
      </c>
      <c r="F289" s="33" t="str">
        <f>"Rounding Writeoff - New Zealand"</f>
        <v>Rounding Writeoff - New Zealand</v>
      </c>
      <c r="G289" s="31">
        <v>0</v>
      </c>
      <c r="H289" s="36">
        <v>0</v>
      </c>
      <c r="I289" s="199">
        <f t="shared" si="16"/>
        <v>0</v>
      </c>
      <c r="J289" s="215" t="str">
        <f t="shared" si="17"/>
        <v>-</v>
      </c>
    </row>
    <row r="290" spans="1:10" hidden="1" outlineLevel="1" x14ac:dyDescent="0.3">
      <c r="A290" s="41" t="s">
        <v>581</v>
      </c>
      <c r="B290" s="223"/>
      <c r="C290" s="210"/>
      <c r="D290" s="32"/>
      <c r="E290" s="33" t="str">
        <f>"000-7304-00"</f>
        <v>000-7304-00</v>
      </c>
      <c r="F290" s="33" t="str">
        <f>"Rounding Writeoff - Germany"</f>
        <v>Rounding Writeoff - Germany</v>
      </c>
      <c r="G290" s="31">
        <v>0</v>
      </c>
      <c r="H290" s="36">
        <v>0</v>
      </c>
      <c r="I290" s="199">
        <f t="shared" si="16"/>
        <v>0</v>
      </c>
      <c r="J290" s="215" t="str">
        <f t="shared" si="17"/>
        <v>-</v>
      </c>
    </row>
    <row r="291" spans="1:10" hidden="1" outlineLevel="1" x14ac:dyDescent="0.3">
      <c r="A291" s="41" t="s">
        <v>581</v>
      </c>
      <c r="B291" s="223"/>
      <c r="C291" s="210"/>
      <c r="D291" s="32"/>
      <c r="E291" s="33" t="str">
        <f>"000-7305-00"</f>
        <v>000-7305-00</v>
      </c>
      <c r="F291" s="33" t="str">
        <f>"Rounding Writeoff - United Kingdom"</f>
        <v>Rounding Writeoff - United Kingdom</v>
      </c>
      <c r="G291" s="31">
        <v>0</v>
      </c>
      <c r="H291" s="36">
        <v>0</v>
      </c>
      <c r="I291" s="199">
        <f t="shared" si="16"/>
        <v>0</v>
      </c>
      <c r="J291" s="215" t="str">
        <f t="shared" si="17"/>
        <v>-</v>
      </c>
    </row>
    <row r="292" spans="1:10" hidden="1" outlineLevel="1" x14ac:dyDescent="0.3">
      <c r="A292" s="41" t="s">
        <v>581</v>
      </c>
      <c r="B292" s="223"/>
      <c r="C292" s="210"/>
      <c r="D292" s="32"/>
      <c r="E292" s="33" t="str">
        <f>"000-7306-00"</f>
        <v>000-7306-00</v>
      </c>
      <c r="F292" s="33" t="str">
        <f>"Rounding Writeoff - South Africa"</f>
        <v>Rounding Writeoff - South Africa</v>
      </c>
      <c r="G292" s="31">
        <v>0</v>
      </c>
      <c r="H292" s="36">
        <v>0</v>
      </c>
      <c r="I292" s="199">
        <f t="shared" si="16"/>
        <v>0</v>
      </c>
      <c r="J292" s="215" t="str">
        <f t="shared" si="17"/>
        <v>-</v>
      </c>
    </row>
    <row r="293" spans="1:10" hidden="1" outlineLevel="1" x14ac:dyDescent="0.3">
      <c r="A293" s="41" t="s">
        <v>581</v>
      </c>
      <c r="B293" s="223"/>
      <c r="C293" s="210"/>
      <c r="D293" s="32"/>
      <c r="E293" s="33" t="str">
        <f>"000-7307-00"</f>
        <v>000-7307-00</v>
      </c>
      <c r="F293" s="33" t="str">
        <f>"Rounding Writeoff - Singapore"</f>
        <v>Rounding Writeoff - Singapore</v>
      </c>
      <c r="G293" s="31">
        <v>0</v>
      </c>
      <c r="H293" s="36">
        <v>0</v>
      </c>
      <c r="I293" s="199">
        <f t="shared" si="16"/>
        <v>0</v>
      </c>
      <c r="J293" s="215" t="str">
        <f t="shared" si="17"/>
        <v>-</v>
      </c>
    </row>
    <row r="294" spans="1:10" hidden="1" outlineLevel="1" x14ac:dyDescent="0.3">
      <c r="A294" s="41" t="s">
        <v>581</v>
      </c>
      <c r="B294" s="223"/>
      <c r="C294" s="210"/>
      <c r="D294" s="32"/>
      <c r="E294" s="33" t="str">
        <f>"000-7400-00"</f>
        <v>000-7400-00</v>
      </c>
      <c r="F294" s="33" t="str">
        <f>"Rounding Difference due to MC Trx"</f>
        <v>Rounding Difference due to MC Trx</v>
      </c>
      <c r="G294" s="31">
        <v>0</v>
      </c>
      <c r="H294" s="36">
        <v>0</v>
      </c>
      <c r="I294" s="199">
        <f t="shared" si="16"/>
        <v>0</v>
      </c>
      <c r="J294" s="215" t="str">
        <f t="shared" si="17"/>
        <v>-</v>
      </c>
    </row>
    <row r="295" spans="1:10" hidden="1" outlineLevel="1" x14ac:dyDescent="0.3">
      <c r="A295" s="41" t="s">
        <v>581</v>
      </c>
      <c r="B295" s="223"/>
      <c r="C295" s="210"/>
      <c r="D295" s="32"/>
      <c r="E295" s="33" t="str">
        <f>"000-7401-00"</f>
        <v>000-7401-00</v>
      </c>
      <c r="F295" s="33" t="str">
        <f>"Rounding Difference - Canada"</f>
        <v>Rounding Difference - Canada</v>
      </c>
      <c r="G295" s="31">
        <v>0</v>
      </c>
      <c r="H295" s="36">
        <v>0</v>
      </c>
      <c r="I295" s="199">
        <f t="shared" si="16"/>
        <v>0</v>
      </c>
      <c r="J295" s="215" t="str">
        <f t="shared" si="17"/>
        <v>-</v>
      </c>
    </row>
    <row r="296" spans="1:10" hidden="1" outlineLevel="1" x14ac:dyDescent="0.3">
      <c r="A296" s="41" t="s">
        <v>581</v>
      </c>
      <c r="B296" s="223"/>
      <c r="C296" s="210"/>
      <c r="D296" s="32"/>
      <c r="E296" s="33" t="str">
        <f>"000-7402-00"</f>
        <v>000-7402-00</v>
      </c>
      <c r="F296" s="33" t="str">
        <f>"Rounding Difference - Australia"</f>
        <v>Rounding Difference - Australia</v>
      </c>
      <c r="G296" s="31">
        <v>0</v>
      </c>
      <c r="H296" s="36">
        <v>0</v>
      </c>
      <c r="I296" s="199">
        <f t="shared" si="16"/>
        <v>0</v>
      </c>
      <c r="J296" s="215" t="str">
        <f t="shared" si="17"/>
        <v>-</v>
      </c>
    </row>
    <row r="297" spans="1:10" hidden="1" outlineLevel="1" x14ac:dyDescent="0.3">
      <c r="A297" s="41" t="s">
        <v>581</v>
      </c>
      <c r="B297" s="223"/>
      <c r="C297" s="210"/>
      <c r="D297" s="32"/>
      <c r="E297" s="33" t="str">
        <f>"000-7403-00"</f>
        <v>000-7403-00</v>
      </c>
      <c r="F297" s="33" t="str">
        <f>"Rounding Difference - New Zealand"</f>
        <v>Rounding Difference - New Zealand</v>
      </c>
      <c r="G297" s="31">
        <v>0</v>
      </c>
      <c r="H297" s="36">
        <v>0</v>
      </c>
      <c r="I297" s="199">
        <f t="shared" si="16"/>
        <v>0</v>
      </c>
      <c r="J297" s="215" t="str">
        <f t="shared" si="17"/>
        <v>-</v>
      </c>
    </row>
    <row r="298" spans="1:10" hidden="1" outlineLevel="1" x14ac:dyDescent="0.3">
      <c r="A298" s="41" t="s">
        <v>581</v>
      </c>
      <c r="B298" s="223"/>
      <c r="C298" s="210"/>
      <c r="D298" s="32"/>
      <c r="E298" s="33" t="str">
        <f>"000-7404-00"</f>
        <v>000-7404-00</v>
      </c>
      <c r="F298" s="33" t="str">
        <f>"Rounding Difference - Germany"</f>
        <v>Rounding Difference - Germany</v>
      </c>
      <c r="G298" s="31">
        <v>0</v>
      </c>
      <c r="H298" s="36">
        <v>0</v>
      </c>
      <c r="I298" s="199">
        <f t="shared" si="16"/>
        <v>0</v>
      </c>
      <c r="J298" s="215" t="str">
        <f t="shared" si="17"/>
        <v>-</v>
      </c>
    </row>
    <row r="299" spans="1:10" hidden="1" outlineLevel="1" x14ac:dyDescent="0.3">
      <c r="A299" s="41" t="s">
        <v>581</v>
      </c>
      <c r="B299" s="223"/>
      <c r="C299" s="210"/>
      <c r="D299" s="32"/>
      <c r="E299" s="33" t="str">
        <f>"000-7405-00"</f>
        <v>000-7405-00</v>
      </c>
      <c r="F299" s="33" t="str">
        <f>"Rounding Difference - United Kingdom"</f>
        <v>Rounding Difference - United Kingdom</v>
      </c>
      <c r="G299" s="31">
        <v>0</v>
      </c>
      <c r="H299" s="36">
        <v>0</v>
      </c>
      <c r="I299" s="199">
        <f t="shared" si="16"/>
        <v>0</v>
      </c>
      <c r="J299" s="215" t="str">
        <f t="shared" si="17"/>
        <v>-</v>
      </c>
    </row>
    <row r="300" spans="1:10" hidden="1" outlineLevel="1" x14ac:dyDescent="0.3">
      <c r="A300" s="41" t="s">
        <v>581</v>
      </c>
      <c r="B300" s="223"/>
      <c r="C300" s="210"/>
      <c r="D300" s="32"/>
      <c r="E300" s="33" t="str">
        <f>"000-7406-00"</f>
        <v>000-7406-00</v>
      </c>
      <c r="F300" s="33" t="str">
        <f>"Rounding Difference - South Africa"</f>
        <v>Rounding Difference - South Africa</v>
      </c>
      <c r="G300" s="31">
        <v>0</v>
      </c>
      <c r="H300" s="36">
        <v>0</v>
      </c>
      <c r="I300" s="199">
        <f t="shared" si="16"/>
        <v>0</v>
      </c>
      <c r="J300" s="215" t="str">
        <f t="shared" si="17"/>
        <v>-</v>
      </c>
    </row>
    <row r="301" spans="1:10" hidden="1" outlineLevel="1" x14ac:dyDescent="0.3">
      <c r="A301" s="41" t="s">
        <v>581</v>
      </c>
      <c r="B301" s="223"/>
      <c r="C301" s="210"/>
      <c r="D301" s="32"/>
      <c r="E301" s="33" t="str">
        <f>"000-7407-00"</f>
        <v>000-7407-00</v>
      </c>
      <c r="F301" s="33" t="str">
        <f>"Rounding Difference - Singapore"</f>
        <v>Rounding Difference - Singapore</v>
      </c>
      <c r="G301" s="31">
        <v>0</v>
      </c>
      <c r="H301" s="36">
        <v>0</v>
      </c>
      <c r="I301" s="199">
        <f t="shared" si="16"/>
        <v>0</v>
      </c>
      <c r="J301" s="215" t="str">
        <f t="shared" si="17"/>
        <v>-</v>
      </c>
    </row>
    <row r="302" spans="1:10" hidden="1" outlineLevel="1" x14ac:dyDescent="0.3">
      <c r="A302" s="41" t="s">
        <v>581</v>
      </c>
      <c r="B302" s="223"/>
      <c r="C302" s="210"/>
      <c r="D302" s="32"/>
      <c r="E302" s="33" t="str">
        <f>"000-8030-00"</f>
        <v>000-8030-00</v>
      </c>
      <c r="F302" s="33" t="str">
        <f>"Gain or Loss on Sale of Assets"</f>
        <v>Gain or Loss on Sale of Assets</v>
      </c>
      <c r="G302" s="31">
        <v>0</v>
      </c>
      <c r="H302" s="36">
        <v>0</v>
      </c>
      <c r="I302" s="199">
        <f t="shared" si="16"/>
        <v>0</v>
      </c>
      <c r="J302" s="215" t="str">
        <f t="shared" si="17"/>
        <v>-</v>
      </c>
    </row>
    <row r="303" spans="1:10" hidden="1" outlineLevel="1" x14ac:dyDescent="0.3">
      <c r="A303" s="41" t="s">
        <v>581</v>
      </c>
      <c r="B303" s="223"/>
      <c r="C303" s="210"/>
      <c r="D303" s="32"/>
      <c r="E303" s="33" t="str">
        <f>"000-8610-00"</f>
        <v>000-8610-00</v>
      </c>
      <c r="F303" s="33" t="str">
        <f>"Project Deferred Revenue"</f>
        <v>Project Deferred Revenue</v>
      </c>
      <c r="G303" s="31">
        <v>0</v>
      </c>
      <c r="H303" s="36">
        <v>0</v>
      </c>
      <c r="I303" s="199">
        <f t="shared" si="16"/>
        <v>0</v>
      </c>
      <c r="J303" s="215" t="str">
        <f t="shared" si="17"/>
        <v>-</v>
      </c>
    </row>
    <row r="304" spans="1:10" hidden="1" outlineLevel="1" x14ac:dyDescent="0.3">
      <c r="A304" s="41"/>
      <c r="B304" s="223"/>
      <c r="C304" s="210"/>
      <c r="D304" s="32"/>
      <c r="E304" s="27"/>
      <c r="F304" s="27"/>
      <c r="G304" s="34"/>
      <c r="H304" s="35"/>
      <c r="I304" s="200"/>
      <c r="J304" s="214"/>
    </row>
    <row r="305" spans="1:10" collapsed="1" x14ac:dyDescent="0.3">
      <c r="A305" s="41"/>
      <c r="B305" s="222">
        <v>42</v>
      </c>
      <c r="C305" s="210"/>
      <c r="D305" s="27" t="str">
        <f>"Other Expenses"</f>
        <v>Other Expenses</v>
      </c>
      <c r="E305" s="27"/>
      <c r="F305" s="27"/>
      <c r="G305" s="30">
        <f>SUBTOTAL(9,G306:G325)</f>
        <v>-2195.77</v>
      </c>
      <c r="H305" s="30">
        <f>SUBTOTAL(9,H306:H325)</f>
        <v>-2200</v>
      </c>
      <c r="I305" s="201">
        <f>G305-H305</f>
        <v>4.2300000000000182</v>
      </c>
      <c r="J305" s="214">
        <f>IF(G305=0,"-",IF(H305=0,"∞",(G305-H305)/H305))</f>
        <v>-1.922727272727281E-3</v>
      </c>
    </row>
    <row r="306" spans="1:10" hidden="1" outlineLevel="1" x14ac:dyDescent="0.3">
      <c r="A306" s="41"/>
      <c r="B306" s="223"/>
      <c r="C306" s="210"/>
      <c r="D306" s="32"/>
      <c r="E306" s="33" t="str">
        <f>"000-4731-00"</f>
        <v>000-4731-00</v>
      </c>
      <c r="F306" s="33" t="str">
        <f>"Withholding offset"</f>
        <v>Withholding offset</v>
      </c>
      <c r="G306" s="31">
        <v>0</v>
      </c>
      <c r="H306" s="36">
        <v>0</v>
      </c>
      <c r="I306" s="199">
        <f>G306-H306</f>
        <v>0</v>
      </c>
      <c r="J306" s="215" t="str">
        <f>IF(G306=0,"-",IF(H306=0,"∞",(G306-H306)/H306))</f>
        <v>-</v>
      </c>
    </row>
    <row r="307" spans="1:10" hidden="1" outlineLevel="1" x14ac:dyDescent="0.3">
      <c r="A307" s="41" t="s">
        <v>581</v>
      </c>
      <c r="B307" s="223"/>
      <c r="C307" s="210"/>
      <c r="D307" s="32"/>
      <c r="E307" s="33" t="str">
        <f>"000-4740-00"</f>
        <v>000-4740-00</v>
      </c>
      <c r="F307" s="33" t="str">
        <f>"Assembly Variance"</f>
        <v>Assembly Variance</v>
      </c>
      <c r="G307" s="31">
        <v>0</v>
      </c>
      <c r="H307" s="36">
        <v>0</v>
      </c>
      <c r="I307" s="199">
        <f t="shared" ref="I307:I324" si="18">G307-H307</f>
        <v>0</v>
      </c>
      <c r="J307" s="215" t="str">
        <f t="shared" ref="J307:J324" si="19">IF(G307=0,"-",IF(H307=0,"∞",(G307-H307)/H307))</f>
        <v>-</v>
      </c>
    </row>
    <row r="308" spans="1:10" hidden="1" outlineLevel="1" x14ac:dyDescent="0.3">
      <c r="A308" s="41" t="s">
        <v>581</v>
      </c>
      <c r="B308" s="223"/>
      <c r="C308" s="210"/>
      <c r="D308" s="32"/>
      <c r="E308" s="33" t="str">
        <f>"000-5615-00"</f>
        <v>000-5615-00</v>
      </c>
      <c r="F308" s="33" t="str">
        <f>"Floor Stock Expense"</f>
        <v>Floor Stock Expense</v>
      </c>
      <c r="G308" s="31">
        <v>0</v>
      </c>
      <c r="H308" s="36">
        <v>0</v>
      </c>
      <c r="I308" s="199">
        <f t="shared" si="18"/>
        <v>0</v>
      </c>
      <c r="J308" s="215" t="str">
        <f t="shared" si="19"/>
        <v>-</v>
      </c>
    </row>
    <row r="309" spans="1:10" hidden="1" outlineLevel="1" x14ac:dyDescent="0.3">
      <c r="A309" s="41" t="s">
        <v>581</v>
      </c>
      <c r="B309" s="223"/>
      <c r="C309" s="210"/>
      <c r="D309" s="32"/>
      <c r="E309" s="33" t="str">
        <f>"000-5700-00"</f>
        <v>000-5700-00</v>
      </c>
      <c r="F309" s="33" t="str">
        <f>"Non-Inventoried Purchase Item"</f>
        <v>Non-Inventoried Purchase Item</v>
      </c>
      <c r="G309" s="31">
        <v>0</v>
      </c>
      <c r="H309" s="36">
        <v>0</v>
      </c>
      <c r="I309" s="199">
        <f t="shared" si="18"/>
        <v>0</v>
      </c>
      <c r="J309" s="215" t="str">
        <f t="shared" si="19"/>
        <v>-</v>
      </c>
    </row>
    <row r="310" spans="1:10" hidden="1" outlineLevel="1" x14ac:dyDescent="0.3">
      <c r="A310" s="41" t="s">
        <v>581</v>
      </c>
      <c r="B310" s="223"/>
      <c r="C310" s="210"/>
      <c r="D310" s="32"/>
      <c r="E310" s="33" t="str">
        <f>"000-6780-00"</f>
        <v>000-6780-00</v>
      </c>
      <c r="F310" s="33" t="str">
        <f>"Miscellaneous Expense"</f>
        <v>Miscellaneous Expense</v>
      </c>
      <c r="G310" s="31">
        <v>-161.19999999999999</v>
      </c>
      <c r="H310" s="36">
        <v>-200</v>
      </c>
      <c r="I310" s="199">
        <f t="shared" si="18"/>
        <v>38.800000000000011</v>
      </c>
      <c r="J310" s="215">
        <f t="shared" si="19"/>
        <v>-0.19400000000000006</v>
      </c>
    </row>
    <row r="311" spans="1:10" hidden="1" outlineLevel="1" x14ac:dyDescent="0.3">
      <c r="A311" s="41" t="s">
        <v>581</v>
      </c>
      <c r="B311" s="223"/>
      <c r="C311" s="210"/>
      <c r="D311" s="32"/>
      <c r="E311" s="33" t="str">
        <f>"000-8010-00"</f>
        <v>000-8010-00</v>
      </c>
      <c r="F311" s="33" t="str">
        <f>"Finance Charge Expense"</f>
        <v>Finance Charge Expense</v>
      </c>
      <c r="G311" s="31">
        <v>0</v>
      </c>
      <c r="H311" s="36">
        <v>0</v>
      </c>
      <c r="I311" s="199">
        <f t="shared" si="18"/>
        <v>0</v>
      </c>
      <c r="J311" s="215" t="str">
        <f t="shared" si="19"/>
        <v>-</v>
      </c>
    </row>
    <row r="312" spans="1:10" hidden="1" outlineLevel="1" x14ac:dyDescent="0.3">
      <c r="A312" s="41" t="s">
        <v>581</v>
      </c>
      <c r="B312" s="223"/>
      <c r="C312" s="210"/>
      <c r="D312" s="32"/>
      <c r="E312" s="33" t="str">
        <f>"000-8020-00"</f>
        <v>000-8020-00</v>
      </c>
      <c r="F312" s="33" t="str">
        <f>"Interest Expense"</f>
        <v>Interest Expense</v>
      </c>
      <c r="G312" s="31">
        <v>-2034.57</v>
      </c>
      <c r="H312" s="36">
        <v>-2000</v>
      </c>
      <c r="I312" s="199">
        <f t="shared" si="18"/>
        <v>-34.569999999999936</v>
      </c>
      <c r="J312" s="215">
        <f t="shared" si="19"/>
        <v>1.7284999999999967E-2</v>
      </c>
    </row>
    <row r="313" spans="1:10" hidden="1" outlineLevel="1" x14ac:dyDescent="0.3">
      <c r="A313" s="41" t="s">
        <v>581</v>
      </c>
      <c r="B313" s="223"/>
      <c r="C313" s="210"/>
      <c r="D313" s="32"/>
      <c r="E313" s="33" t="str">
        <f>"000-8200-00"</f>
        <v>000-8200-00</v>
      </c>
      <c r="F313" s="33" t="str">
        <f>"Realized Loss on MC Transactions"</f>
        <v>Realized Loss on MC Transactions</v>
      </c>
      <c r="G313" s="31">
        <v>0</v>
      </c>
      <c r="H313" s="36">
        <v>0</v>
      </c>
      <c r="I313" s="199">
        <f t="shared" si="18"/>
        <v>0</v>
      </c>
      <c r="J313" s="215" t="str">
        <f t="shared" si="19"/>
        <v>-</v>
      </c>
    </row>
    <row r="314" spans="1:10" hidden="1" outlineLevel="1" x14ac:dyDescent="0.3">
      <c r="A314" s="41" t="s">
        <v>581</v>
      </c>
      <c r="B314" s="223"/>
      <c r="C314" s="210"/>
      <c r="D314" s="32"/>
      <c r="E314" s="33" t="str">
        <f>"000-8201-00"</f>
        <v>000-8201-00</v>
      </c>
      <c r="F314" s="33" t="str">
        <f>"Realized Loss on MC Transactions - Z - C$ - SELL"</f>
        <v>Realized Loss on MC Transactions - Z - C$ - SELL</v>
      </c>
      <c r="G314" s="31">
        <v>0</v>
      </c>
      <c r="H314" s="36">
        <v>0</v>
      </c>
      <c r="I314" s="199">
        <f t="shared" si="18"/>
        <v>0</v>
      </c>
      <c r="J314" s="215" t="str">
        <f t="shared" si="19"/>
        <v>-</v>
      </c>
    </row>
    <row r="315" spans="1:10" hidden="1" outlineLevel="1" x14ac:dyDescent="0.3">
      <c r="A315" s="41" t="s">
        <v>581</v>
      </c>
      <c r="B315" s="223"/>
      <c r="C315" s="210"/>
      <c r="D315" s="32"/>
      <c r="E315" s="33" t="str">
        <f>"000-8202-00"</f>
        <v>000-8202-00</v>
      </c>
      <c r="F315" s="33" t="str">
        <f>"Realized Loss on MC Transactions - Z - C$ - BUY"</f>
        <v>Realized Loss on MC Transactions - Z - C$ - BUY</v>
      </c>
      <c r="G315" s="31">
        <v>0</v>
      </c>
      <c r="H315" s="36">
        <v>0</v>
      </c>
      <c r="I315" s="199">
        <f t="shared" si="18"/>
        <v>0</v>
      </c>
      <c r="J315" s="215" t="str">
        <f t="shared" si="19"/>
        <v>-</v>
      </c>
    </row>
    <row r="316" spans="1:10" hidden="1" outlineLevel="1" x14ac:dyDescent="0.3">
      <c r="A316" s="41" t="s">
        <v>581</v>
      </c>
      <c r="B316" s="223"/>
      <c r="C316" s="210"/>
      <c r="D316" s="32"/>
      <c r="E316" s="33" t="str">
        <f>"000-8203-00"</f>
        <v>000-8203-00</v>
      </c>
      <c r="F316" s="33" t="str">
        <f>"Realized Loss on MC Transactions - Z - C$ - AVG"</f>
        <v>Realized Loss on MC Transactions - Z - C$ - AVG</v>
      </c>
      <c r="G316" s="31">
        <v>0</v>
      </c>
      <c r="H316" s="36">
        <v>0</v>
      </c>
      <c r="I316" s="199">
        <f t="shared" si="18"/>
        <v>0</v>
      </c>
      <c r="J316" s="215" t="str">
        <f t="shared" si="19"/>
        <v>-</v>
      </c>
    </row>
    <row r="317" spans="1:10" hidden="1" outlineLevel="1" x14ac:dyDescent="0.3">
      <c r="A317" s="41" t="s">
        <v>581</v>
      </c>
      <c r="B317" s="223"/>
      <c r="C317" s="210"/>
      <c r="D317" s="32"/>
      <c r="E317" s="33" t="str">
        <f>"000-8300-00"</f>
        <v>000-8300-00</v>
      </c>
      <c r="F317" s="33" t="str">
        <f>"Unrealized Loss on MC Transactions"</f>
        <v>Unrealized Loss on MC Transactions</v>
      </c>
      <c r="G317" s="31">
        <v>0</v>
      </c>
      <c r="H317" s="36">
        <v>0</v>
      </c>
      <c r="I317" s="199">
        <f t="shared" si="18"/>
        <v>0</v>
      </c>
      <c r="J317" s="215" t="str">
        <f t="shared" si="19"/>
        <v>-</v>
      </c>
    </row>
    <row r="318" spans="1:10" hidden="1" outlineLevel="1" x14ac:dyDescent="0.3">
      <c r="A318" s="41" t="s">
        <v>581</v>
      </c>
      <c r="B318" s="223"/>
      <c r="C318" s="210"/>
      <c r="D318" s="32"/>
      <c r="E318" s="33" t="str">
        <f>"000-8301-00"</f>
        <v>000-8301-00</v>
      </c>
      <c r="F318" s="33" t="str">
        <f>"Unrealized Loss on MC Transactions - Canada"</f>
        <v>Unrealized Loss on MC Transactions - Canada</v>
      </c>
      <c r="G318" s="31">
        <v>0</v>
      </c>
      <c r="H318" s="36">
        <v>0</v>
      </c>
      <c r="I318" s="199">
        <f t="shared" si="18"/>
        <v>0</v>
      </c>
      <c r="J318" s="215" t="str">
        <f t="shared" si="19"/>
        <v>-</v>
      </c>
    </row>
    <row r="319" spans="1:10" hidden="1" outlineLevel="1" x14ac:dyDescent="0.3">
      <c r="A319" s="41" t="s">
        <v>581</v>
      </c>
      <c r="B319" s="223"/>
      <c r="C319" s="210"/>
      <c r="D319" s="32"/>
      <c r="E319" s="33" t="str">
        <f>"000-8302-00"</f>
        <v>000-8302-00</v>
      </c>
      <c r="F319" s="33" t="str">
        <f>"Unrealized Loss on MC Transactions - Australia"</f>
        <v>Unrealized Loss on MC Transactions - Australia</v>
      </c>
      <c r="G319" s="31">
        <v>0</v>
      </c>
      <c r="H319" s="36">
        <v>0</v>
      </c>
      <c r="I319" s="199">
        <f t="shared" si="18"/>
        <v>0</v>
      </c>
      <c r="J319" s="215" t="str">
        <f t="shared" si="19"/>
        <v>-</v>
      </c>
    </row>
    <row r="320" spans="1:10" hidden="1" outlineLevel="1" x14ac:dyDescent="0.3">
      <c r="A320" s="41" t="s">
        <v>581</v>
      </c>
      <c r="B320" s="223"/>
      <c r="C320" s="210"/>
      <c r="D320" s="32"/>
      <c r="E320" s="33" t="str">
        <f>"000-8303-00"</f>
        <v>000-8303-00</v>
      </c>
      <c r="F320" s="33" t="str">
        <f>"Unrealized Loss on MC Transactions - New Zealand"</f>
        <v>Unrealized Loss on MC Transactions - New Zealand</v>
      </c>
      <c r="G320" s="31">
        <v>0</v>
      </c>
      <c r="H320" s="36">
        <v>0</v>
      </c>
      <c r="I320" s="199">
        <f t="shared" si="18"/>
        <v>0</v>
      </c>
      <c r="J320" s="215" t="str">
        <f t="shared" si="19"/>
        <v>-</v>
      </c>
    </row>
    <row r="321" spans="1:10" hidden="1" outlineLevel="1" x14ac:dyDescent="0.3">
      <c r="A321" s="41" t="s">
        <v>581</v>
      </c>
      <c r="B321" s="223"/>
      <c r="C321" s="210"/>
      <c r="D321" s="32"/>
      <c r="E321" s="33" t="str">
        <f>"000-8304-00"</f>
        <v>000-8304-00</v>
      </c>
      <c r="F321" s="33" t="str">
        <f>"Unrealized Loss on MC Transactions - Germany"</f>
        <v>Unrealized Loss on MC Transactions - Germany</v>
      </c>
      <c r="G321" s="31">
        <v>0</v>
      </c>
      <c r="H321" s="36">
        <v>0</v>
      </c>
      <c r="I321" s="199">
        <f t="shared" si="18"/>
        <v>0</v>
      </c>
      <c r="J321" s="215" t="str">
        <f t="shared" si="19"/>
        <v>-</v>
      </c>
    </row>
    <row r="322" spans="1:10" hidden="1" outlineLevel="1" x14ac:dyDescent="0.3">
      <c r="A322" s="41" t="s">
        <v>581</v>
      </c>
      <c r="B322" s="223"/>
      <c r="C322" s="210"/>
      <c r="D322" s="32"/>
      <c r="E322" s="33" t="str">
        <f>"000-8305-00"</f>
        <v>000-8305-00</v>
      </c>
      <c r="F322" s="33" t="str">
        <f>"Unrealized Loss on MC Transactions - United Kingdo"</f>
        <v>Unrealized Loss on MC Transactions - United Kingdo</v>
      </c>
      <c r="G322" s="31">
        <v>0</v>
      </c>
      <c r="H322" s="36">
        <v>0</v>
      </c>
      <c r="I322" s="199">
        <f t="shared" si="18"/>
        <v>0</v>
      </c>
      <c r="J322" s="215" t="str">
        <f t="shared" si="19"/>
        <v>-</v>
      </c>
    </row>
    <row r="323" spans="1:10" hidden="1" outlineLevel="1" x14ac:dyDescent="0.3">
      <c r="A323" s="41" t="s">
        <v>581</v>
      </c>
      <c r="B323" s="223"/>
      <c r="C323" s="210"/>
      <c r="D323" s="32"/>
      <c r="E323" s="33" t="str">
        <f>"000-8306-00"</f>
        <v>000-8306-00</v>
      </c>
      <c r="F323" s="33" t="str">
        <f>"Unrealized Loss on MC Transactions - South Africa"</f>
        <v>Unrealized Loss on MC Transactions - South Africa</v>
      </c>
      <c r="G323" s="31">
        <v>0</v>
      </c>
      <c r="H323" s="36">
        <v>0</v>
      </c>
      <c r="I323" s="199">
        <f t="shared" si="18"/>
        <v>0</v>
      </c>
      <c r="J323" s="215" t="str">
        <f t="shared" si="19"/>
        <v>-</v>
      </c>
    </row>
    <row r="324" spans="1:10" hidden="1" outlineLevel="1" x14ac:dyDescent="0.3">
      <c r="A324" s="41" t="s">
        <v>581</v>
      </c>
      <c r="B324" s="223"/>
      <c r="C324" s="210"/>
      <c r="D324" s="32"/>
      <c r="E324" s="33" t="str">
        <f>"000-8307-00"</f>
        <v>000-8307-00</v>
      </c>
      <c r="F324" s="33" t="str">
        <f>"Unrealized Loss on MC Transactions - Singapore"</f>
        <v>Unrealized Loss on MC Transactions - Singapore</v>
      </c>
      <c r="G324" s="31">
        <v>0</v>
      </c>
      <c r="H324" s="36">
        <v>0</v>
      </c>
      <c r="I324" s="199">
        <f t="shared" si="18"/>
        <v>0</v>
      </c>
      <c r="J324" s="215" t="str">
        <f t="shared" si="19"/>
        <v>-</v>
      </c>
    </row>
    <row r="325" spans="1:10" hidden="1" outlineLevel="1" x14ac:dyDescent="0.3">
      <c r="A325" s="41"/>
      <c r="B325" s="223"/>
      <c r="C325" s="210"/>
      <c r="D325" s="32"/>
      <c r="E325" s="27"/>
      <c r="F325" s="27"/>
      <c r="G325" s="34"/>
      <c r="H325" s="35"/>
      <c r="I325" s="200"/>
      <c r="J325" s="214"/>
    </row>
    <row r="326" spans="1:10" x14ac:dyDescent="0.3">
      <c r="A326" s="41"/>
      <c r="B326" s="224"/>
      <c r="D326" s="231"/>
      <c r="E326" s="38"/>
      <c r="F326" s="239" t="s">
        <v>89</v>
      </c>
      <c r="G326" s="39">
        <f>SUBTOTAL(9,G269:G325)</f>
        <v>-284.52999999999997</v>
      </c>
      <c r="H326" s="39">
        <f>SUBTOTAL(9,H269:H325)</f>
        <v>-150</v>
      </c>
      <c r="I326" s="204">
        <f>G326-H326</f>
        <v>-134.52999999999997</v>
      </c>
      <c r="J326" s="216">
        <f>IF(G326=0,"-",IF(H326=0,"∞",(G326-H326)/H326))</f>
        <v>0.89686666666666648</v>
      </c>
    </row>
    <row r="327" spans="1:10" x14ac:dyDescent="0.3">
      <c r="A327" s="41"/>
      <c r="B327" s="224"/>
      <c r="D327" s="232"/>
      <c r="E327" s="233"/>
      <c r="F327" s="233" t="s">
        <v>139</v>
      </c>
      <c r="G327" s="237">
        <f>G265+G326</f>
        <v>282418.29000000062</v>
      </c>
      <c r="H327" s="237">
        <f>H265+H326</f>
        <v>210128</v>
      </c>
      <c r="I327" s="235">
        <f>G327-H327</f>
        <v>72290.290000000619</v>
      </c>
      <c r="J327" s="236">
        <f>IF(G327=0,"-",IF(H327=0,"∞",(G327-H327)/H327))</f>
        <v>0.34402978184725796</v>
      </c>
    </row>
    <row r="328" spans="1:10" x14ac:dyDescent="0.3">
      <c r="A328" s="41"/>
      <c r="B328" s="224"/>
      <c r="D328" s="42"/>
      <c r="E328" s="42"/>
      <c r="F328" s="42"/>
      <c r="G328" s="28"/>
      <c r="H328" s="29"/>
      <c r="I328" s="205"/>
      <c r="J328" s="217"/>
    </row>
    <row r="329" spans="1:10" ht="18.75" x14ac:dyDescent="0.3">
      <c r="A329" s="41"/>
      <c r="B329" s="224"/>
      <c r="D329" s="26" t="s">
        <v>26</v>
      </c>
      <c r="G329" s="34"/>
      <c r="H329" s="35"/>
      <c r="I329" s="200"/>
      <c r="J329" s="214"/>
    </row>
    <row r="330" spans="1:10" x14ac:dyDescent="0.3">
      <c r="A330" s="41"/>
      <c r="B330" s="224"/>
      <c r="G330" s="34"/>
      <c r="H330" s="35"/>
      <c r="I330" s="200"/>
      <c r="J330" s="214"/>
    </row>
    <row r="331" spans="1:10" collapsed="1" x14ac:dyDescent="0.3">
      <c r="A331" s="41"/>
      <c r="B331" s="222">
        <v>39</v>
      </c>
      <c r="C331" s="210"/>
      <c r="D331" s="27" t="str">
        <f>"Tax Expense"</f>
        <v>Tax Expense</v>
      </c>
      <c r="E331" s="27"/>
      <c r="F331" s="27"/>
      <c r="G331" s="30">
        <f>SUBTOTAL(9,G332:G354)</f>
        <v>-7740.41</v>
      </c>
      <c r="H331" s="30">
        <f>SUBTOTAL(9,H332:H354)</f>
        <v>-8935</v>
      </c>
      <c r="I331" s="199">
        <f>G331-H331</f>
        <v>1194.5900000000001</v>
      </c>
      <c r="J331" s="214">
        <f>IF(G331=0,"-",IF(H331=0,"∞",(G331-H331)/H331))</f>
        <v>-0.13369781757134863</v>
      </c>
    </row>
    <row r="332" spans="1:10" hidden="1" outlineLevel="1" x14ac:dyDescent="0.3">
      <c r="A332" s="41"/>
      <c r="B332" s="223"/>
      <c r="C332" s="210"/>
      <c r="D332" s="32"/>
      <c r="E332" s="33" t="str">
        <f>"000-5200-00"</f>
        <v>000-5200-00</v>
      </c>
      <c r="F332" s="33" t="str">
        <f>"CPP Expense"</f>
        <v>CPP Expense</v>
      </c>
      <c r="G332" s="31">
        <v>0</v>
      </c>
      <c r="H332" s="36">
        <v>0</v>
      </c>
      <c r="I332" s="199">
        <f>G332-H332</f>
        <v>0</v>
      </c>
      <c r="J332" s="215" t="str">
        <f>IF(G332=0,"-",IF(H332=0,"∞",(G332-H332)/H332))</f>
        <v>-</v>
      </c>
    </row>
    <row r="333" spans="1:10" hidden="1" outlineLevel="1" x14ac:dyDescent="0.3">
      <c r="A333" s="41" t="s">
        <v>581</v>
      </c>
      <c r="B333" s="223"/>
      <c r="C333" s="210"/>
      <c r="D333" s="32"/>
      <c r="E333" s="33" t="str">
        <f>"000-5210-00"</f>
        <v>000-5210-00</v>
      </c>
      <c r="F333" s="33" t="str">
        <f>"QPP Expense"</f>
        <v>QPP Expense</v>
      </c>
      <c r="G333" s="31">
        <v>0</v>
      </c>
      <c r="H333" s="36">
        <v>0</v>
      </c>
      <c r="I333" s="199">
        <f t="shared" ref="I333:I353" si="20">G333-H333</f>
        <v>0</v>
      </c>
      <c r="J333" s="215" t="str">
        <f t="shared" ref="J333:J353" si="21">IF(G333=0,"-",IF(H333=0,"∞",(G333-H333)/H333))</f>
        <v>-</v>
      </c>
    </row>
    <row r="334" spans="1:10" hidden="1" outlineLevel="1" x14ac:dyDescent="0.3">
      <c r="A334" s="41" t="s">
        <v>581</v>
      </c>
      <c r="B334" s="223"/>
      <c r="C334" s="210"/>
      <c r="D334" s="32"/>
      <c r="E334" s="33" t="str">
        <f>"000-5220-00"</f>
        <v>000-5220-00</v>
      </c>
      <c r="F334" s="33" t="str">
        <f>"UIC Expense"</f>
        <v>UIC Expense</v>
      </c>
      <c r="G334" s="31">
        <v>0</v>
      </c>
      <c r="H334" s="36">
        <v>0</v>
      </c>
      <c r="I334" s="199">
        <f t="shared" si="20"/>
        <v>0</v>
      </c>
      <c r="J334" s="215" t="str">
        <f t="shared" si="21"/>
        <v>-</v>
      </c>
    </row>
    <row r="335" spans="1:10" hidden="1" outlineLevel="1" x14ac:dyDescent="0.3">
      <c r="A335" s="41" t="s">
        <v>581</v>
      </c>
      <c r="B335" s="223"/>
      <c r="C335" s="210"/>
      <c r="D335" s="32"/>
      <c r="E335" s="33" t="str">
        <f>"000-5300-00"</f>
        <v>000-5300-00</v>
      </c>
      <c r="F335" s="33" t="str">
        <f>"SUTA Tax Expense"</f>
        <v>SUTA Tax Expense</v>
      </c>
      <c r="G335" s="31">
        <v>0</v>
      </c>
      <c r="H335" s="36">
        <v>0</v>
      </c>
      <c r="I335" s="199">
        <f t="shared" si="20"/>
        <v>0</v>
      </c>
      <c r="J335" s="215" t="str">
        <f t="shared" si="21"/>
        <v>-</v>
      </c>
    </row>
    <row r="336" spans="1:10" hidden="1" outlineLevel="1" x14ac:dyDescent="0.3">
      <c r="A336" s="41" t="s">
        <v>581</v>
      </c>
      <c r="B336" s="223"/>
      <c r="C336" s="210"/>
      <c r="D336" s="32"/>
      <c r="E336" s="33" t="str">
        <f>"000-5400-00"</f>
        <v>000-5400-00</v>
      </c>
      <c r="F336" s="33" t="str">
        <f>"FUTA Tax Expense"</f>
        <v>FUTA Tax Expense</v>
      </c>
      <c r="G336" s="31">
        <v>0</v>
      </c>
      <c r="H336" s="36">
        <v>0</v>
      </c>
      <c r="I336" s="199">
        <f t="shared" si="20"/>
        <v>0</v>
      </c>
      <c r="J336" s="215" t="str">
        <f t="shared" si="21"/>
        <v>-</v>
      </c>
    </row>
    <row r="337" spans="1:10" hidden="1" outlineLevel="1" x14ac:dyDescent="0.3">
      <c r="A337" s="41" t="s">
        <v>581</v>
      </c>
      <c r="B337" s="223"/>
      <c r="C337" s="210"/>
      <c r="D337" s="32"/>
      <c r="E337" s="33" t="str">
        <f>"000-5500-00"</f>
        <v>000-5500-00</v>
      </c>
      <c r="F337" s="33" t="str">
        <f>"Workers Compensation Tax Expense"</f>
        <v>Workers Compensation Tax Expense</v>
      </c>
      <c r="G337" s="31">
        <v>0</v>
      </c>
      <c r="H337" s="36">
        <v>0</v>
      </c>
      <c r="I337" s="199">
        <f t="shared" si="20"/>
        <v>0</v>
      </c>
      <c r="J337" s="215" t="str">
        <f t="shared" si="21"/>
        <v>-</v>
      </c>
    </row>
    <row r="338" spans="1:10" hidden="1" outlineLevel="1" x14ac:dyDescent="0.3">
      <c r="A338" s="41" t="s">
        <v>581</v>
      </c>
      <c r="B338" s="223"/>
      <c r="C338" s="210"/>
      <c r="D338" s="32"/>
      <c r="E338" s="33" t="str">
        <f>"000-6630-00"</f>
        <v>000-6630-00</v>
      </c>
      <c r="F338" s="33" t="str">
        <f>"IL State Sales Tax Expense"</f>
        <v>IL State Sales Tax Expense</v>
      </c>
      <c r="G338" s="31">
        <v>-10.65</v>
      </c>
      <c r="H338" s="36">
        <v>-120</v>
      </c>
      <c r="I338" s="199">
        <f t="shared" si="20"/>
        <v>109.35</v>
      </c>
      <c r="J338" s="215">
        <f t="shared" si="21"/>
        <v>-0.91125</v>
      </c>
    </row>
    <row r="339" spans="1:10" hidden="1" outlineLevel="1" x14ac:dyDescent="0.3">
      <c r="A339" s="41" t="s">
        <v>581</v>
      </c>
      <c r="B339" s="223"/>
      <c r="C339" s="210"/>
      <c r="D339" s="32"/>
      <c r="E339" s="33" t="str">
        <f>"000-6635-00"</f>
        <v>000-6635-00</v>
      </c>
      <c r="F339" s="33" t="str">
        <f>"Import Tax Expense"</f>
        <v>Import Tax Expense</v>
      </c>
      <c r="G339" s="31">
        <v>0</v>
      </c>
      <c r="H339" s="36">
        <v>0</v>
      </c>
      <c r="I339" s="199">
        <f t="shared" si="20"/>
        <v>0</v>
      </c>
      <c r="J339" s="215" t="str">
        <f t="shared" si="21"/>
        <v>-</v>
      </c>
    </row>
    <row r="340" spans="1:10" hidden="1" outlineLevel="1" x14ac:dyDescent="0.3">
      <c r="A340" s="41" t="s">
        <v>581</v>
      </c>
      <c r="B340" s="223"/>
      <c r="C340" s="210"/>
      <c r="D340" s="32"/>
      <c r="E340" s="33" t="str">
        <f>"000-6640-00"</f>
        <v>000-6640-00</v>
      </c>
      <c r="F340" s="33" t="str">
        <f>"Chicago City Sales Tax Expense"</f>
        <v>Chicago City Sales Tax Expense</v>
      </c>
      <c r="G340" s="31">
        <v>-3.73</v>
      </c>
      <c r="H340" s="36">
        <v>-15</v>
      </c>
      <c r="I340" s="199">
        <f t="shared" si="20"/>
        <v>11.27</v>
      </c>
      <c r="J340" s="215">
        <f t="shared" si="21"/>
        <v>-0.7513333333333333</v>
      </c>
    </row>
    <row r="341" spans="1:10" hidden="1" outlineLevel="1" x14ac:dyDescent="0.3">
      <c r="A341" s="41" t="s">
        <v>581</v>
      </c>
      <c r="B341" s="223"/>
      <c r="C341" s="210"/>
      <c r="D341" s="32"/>
      <c r="E341" s="33" t="str">
        <f>"000-6650-00"</f>
        <v>000-6650-00</v>
      </c>
      <c r="F341" s="33" t="str">
        <f>"Australia Sales Tax Expense"</f>
        <v>Australia Sales Tax Expense</v>
      </c>
      <c r="G341" s="31">
        <v>-1296.9100000000001</v>
      </c>
      <c r="H341" s="36">
        <v>-1300</v>
      </c>
      <c r="I341" s="199">
        <f t="shared" si="20"/>
        <v>3.0899999999999181</v>
      </c>
      <c r="J341" s="215">
        <f t="shared" si="21"/>
        <v>-2.3769230769230139E-3</v>
      </c>
    </row>
    <row r="342" spans="1:10" hidden="1" outlineLevel="1" x14ac:dyDescent="0.3">
      <c r="A342" s="41" t="s">
        <v>581</v>
      </c>
      <c r="B342" s="223"/>
      <c r="C342" s="210"/>
      <c r="D342" s="32"/>
      <c r="E342" s="33" t="str">
        <f>"000-6651-00"</f>
        <v>000-6651-00</v>
      </c>
      <c r="F342" s="33" t="str">
        <f>"PST Expense"</f>
        <v>PST Expense</v>
      </c>
      <c r="G342" s="31">
        <v>0</v>
      </c>
      <c r="H342" s="36">
        <v>0</v>
      </c>
      <c r="I342" s="199">
        <f t="shared" si="20"/>
        <v>0</v>
      </c>
      <c r="J342" s="215" t="str">
        <f t="shared" si="21"/>
        <v>-</v>
      </c>
    </row>
    <row r="343" spans="1:10" hidden="1" outlineLevel="1" x14ac:dyDescent="0.3">
      <c r="A343" s="41" t="s">
        <v>581</v>
      </c>
      <c r="B343" s="223"/>
      <c r="C343" s="210"/>
      <c r="D343" s="32"/>
      <c r="E343" s="33" t="str">
        <f>"000-6652-00"</f>
        <v>000-6652-00</v>
      </c>
      <c r="F343" s="33" t="str">
        <f>"PPS Expense"</f>
        <v>PPS Expense</v>
      </c>
      <c r="G343" s="31">
        <v>0</v>
      </c>
      <c r="H343" s="36">
        <v>0</v>
      </c>
      <c r="I343" s="199">
        <f t="shared" si="20"/>
        <v>0</v>
      </c>
      <c r="J343" s="215" t="str">
        <f t="shared" si="21"/>
        <v>-</v>
      </c>
    </row>
    <row r="344" spans="1:10" hidden="1" outlineLevel="1" x14ac:dyDescent="0.3">
      <c r="A344" s="41" t="s">
        <v>581</v>
      </c>
      <c r="B344" s="223"/>
      <c r="C344" s="210"/>
      <c r="D344" s="32"/>
      <c r="E344" s="33" t="str">
        <f>"000-6660-00"</f>
        <v>000-6660-00</v>
      </c>
      <c r="F344" s="33" t="str">
        <f>"PST Expense"</f>
        <v>PST Expense</v>
      </c>
      <c r="G344" s="31">
        <v>0</v>
      </c>
      <c r="H344" s="36">
        <v>0</v>
      </c>
      <c r="I344" s="199">
        <f t="shared" si="20"/>
        <v>0</v>
      </c>
      <c r="J344" s="215" t="str">
        <f t="shared" si="21"/>
        <v>-</v>
      </c>
    </row>
    <row r="345" spans="1:10" hidden="1" outlineLevel="1" x14ac:dyDescent="0.3">
      <c r="A345" s="41" t="s">
        <v>581</v>
      </c>
      <c r="B345" s="223"/>
      <c r="C345" s="210"/>
      <c r="D345" s="32"/>
      <c r="E345" s="33" t="str">
        <f>"000-6661-00"</f>
        <v>000-6661-00</v>
      </c>
      <c r="F345" s="33" t="str">
        <f>"QST Expense"</f>
        <v>QST Expense</v>
      </c>
      <c r="G345" s="31">
        <v>0</v>
      </c>
      <c r="H345" s="36">
        <v>0</v>
      </c>
      <c r="I345" s="199">
        <f t="shared" si="20"/>
        <v>0</v>
      </c>
      <c r="J345" s="215" t="str">
        <f t="shared" si="21"/>
        <v>-</v>
      </c>
    </row>
    <row r="346" spans="1:10" hidden="1" outlineLevel="1" x14ac:dyDescent="0.3">
      <c r="A346" s="41" t="s">
        <v>581</v>
      </c>
      <c r="B346" s="223"/>
      <c r="C346" s="210"/>
      <c r="D346" s="32"/>
      <c r="E346" s="33" t="str">
        <f>"000-8100-00"</f>
        <v>000-8100-00</v>
      </c>
      <c r="F346" s="33" t="str">
        <f>"Federal Income Taxes"</f>
        <v>Federal Income Taxes</v>
      </c>
      <c r="G346" s="31">
        <v>0</v>
      </c>
      <c r="H346" s="36">
        <v>0</v>
      </c>
      <c r="I346" s="199">
        <f t="shared" si="20"/>
        <v>0</v>
      </c>
      <c r="J346" s="215" t="str">
        <f t="shared" si="21"/>
        <v>-</v>
      </c>
    </row>
    <row r="347" spans="1:10" hidden="1" outlineLevel="1" x14ac:dyDescent="0.3">
      <c r="A347" s="41" t="s">
        <v>581</v>
      </c>
      <c r="B347" s="223"/>
      <c r="C347" s="210"/>
      <c r="D347" s="32"/>
      <c r="E347" s="33" t="str">
        <f>"000-8110-00"</f>
        <v>000-8110-00</v>
      </c>
      <c r="F347" s="33" t="str">
        <f>"State Income Taxes"</f>
        <v>State Income Taxes</v>
      </c>
      <c r="G347" s="31">
        <v>0</v>
      </c>
      <c r="H347" s="36">
        <v>0</v>
      </c>
      <c r="I347" s="199">
        <f t="shared" si="20"/>
        <v>0</v>
      </c>
      <c r="J347" s="215" t="str">
        <f t="shared" si="21"/>
        <v>-</v>
      </c>
    </row>
    <row r="348" spans="1:10" hidden="1" outlineLevel="1" x14ac:dyDescent="0.3">
      <c r="A348" s="41" t="s">
        <v>581</v>
      </c>
      <c r="B348" s="223"/>
      <c r="C348" s="210"/>
      <c r="D348" s="32"/>
      <c r="E348" s="33" t="str">
        <f>"100-5170-00"</f>
        <v>100-5170-00</v>
      </c>
      <c r="F348" s="33" t="str">
        <f>"Payroll Taxes - Administration"</f>
        <v>Payroll Taxes - Administration</v>
      </c>
      <c r="G348" s="31">
        <v>-1218.6099999999999</v>
      </c>
      <c r="H348" s="36">
        <v>-4200</v>
      </c>
      <c r="I348" s="199">
        <f t="shared" si="20"/>
        <v>2981.3900000000003</v>
      </c>
      <c r="J348" s="215">
        <f t="shared" si="21"/>
        <v>-0.70985476190476193</v>
      </c>
    </row>
    <row r="349" spans="1:10" hidden="1" outlineLevel="1" x14ac:dyDescent="0.3">
      <c r="A349" s="41" t="s">
        <v>581</v>
      </c>
      <c r="B349" s="223"/>
      <c r="C349" s="210"/>
      <c r="D349" s="32"/>
      <c r="E349" s="33" t="str">
        <f>"200-5170-00"</f>
        <v>200-5170-00</v>
      </c>
      <c r="F349" s="33" t="str">
        <f>"Payroll Taxes - Accounting"</f>
        <v>Payroll Taxes - Accounting</v>
      </c>
      <c r="G349" s="31">
        <v>-5210.51</v>
      </c>
      <c r="H349" s="36">
        <v>-3300</v>
      </c>
      <c r="I349" s="199">
        <f t="shared" si="20"/>
        <v>-1910.5100000000002</v>
      </c>
      <c r="J349" s="215">
        <f t="shared" si="21"/>
        <v>0.57894242424242426</v>
      </c>
    </row>
    <row r="350" spans="1:10" hidden="1" outlineLevel="1" x14ac:dyDescent="0.3">
      <c r="A350" s="41" t="s">
        <v>581</v>
      </c>
      <c r="B350" s="223"/>
      <c r="C350" s="210"/>
      <c r="D350" s="32"/>
      <c r="E350" s="33" t="str">
        <f>"300-5170-00"</f>
        <v>300-5170-00</v>
      </c>
      <c r="F350" s="33" t="str">
        <f>"Payroll Taxes - Sales"</f>
        <v>Payroll Taxes - Sales</v>
      </c>
      <c r="G350" s="31">
        <v>0</v>
      </c>
      <c r="H350" s="36">
        <v>0</v>
      </c>
      <c r="I350" s="199">
        <f t="shared" si="20"/>
        <v>0</v>
      </c>
      <c r="J350" s="215" t="str">
        <f t="shared" si="21"/>
        <v>-</v>
      </c>
    </row>
    <row r="351" spans="1:10" hidden="1" outlineLevel="1" x14ac:dyDescent="0.3">
      <c r="A351" s="41" t="s">
        <v>581</v>
      </c>
      <c r="B351" s="223"/>
      <c r="C351" s="210"/>
      <c r="D351" s="32"/>
      <c r="E351" s="33" t="str">
        <f>"400-5170-00"</f>
        <v>400-5170-00</v>
      </c>
      <c r="F351" s="33" t="str">
        <f>"Payroll Taxes - Service/Installation"</f>
        <v>Payroll Taxes - Service/Installation</v>
      </c>
      <c r="G351" s="31">
        <v>0</v>
      </c>
      <c r="H351" s="36">
        <v>0</v>
      </c>
      <c r="I351" s="199">
        <f t="shared" si="20"/>
        <v>0</v>
      </c>
      <c r="J351" s="215" t="str">
        <f t="shared" si="21"/>
        <v>-</v>
      </c>
    </row>
    <row r="352" spans="1:10" hidden="1" outlineLevel="1" x14ac:dyDescent="0.3">
      <c r="A352" s="41" t="s">
        <v>581</v>
      </c>
      <c r="B352" s="223"/>
      <c r="C352" s="210"/>
      <c r="D352" s="32"/>
      <c r="E352" s="33" t="str">
        <f>"500-5170-00"</f>
        <v>500-5170-00</v>
      </c>
      <c r="F352" s="33" t="str">
        <f>"Payroll Taxes - Consulting/Training"</f>
        <v>Payroll Taxes - Consulting/Training</v>
      </c>
      <c r="G352" s="31">
        <v>0</v>
      </c>
      <c r="H352" s="36">
        <v>0</v>
      </c>
      <c r="I352" s="199">
        <f t="shared" si="20"/>
        <v>0</v>
      </c>
      <c r="J352" s="215" t="str">
        <f t="shared" si="21"/>
        <v>-</v>
      </c>
    </row>
    <row r="353" spans="1:10" hidden="1" outlineLevel="1" x14ac:dyDescent="0.3">
      <c r="A353" s="41" t="s">
        <v>581</v>
      </c>
      <c r="B353" s="223"/>
      <c r="C353" s="210"/>
      <c r="D353" s="32"/>
      <c r="E353" s="33" t="str">
        <f>"600-5170-00"</f>
        <v>600-5170-00</v>
      </c>
      <c r="F353" s="33" t="str">
        <f>"Payroll Taxes - Purchasing/Receiving"</f>
        <v>Payroll Taxes - Purchasing/Receiving</v>
      </c>
      <c r="G353" s="31">
        <v>0</v>
      </c>
      <c r="H353" s="36">
        <v>0</v>
      </c>
      <c r="I353" s="199">
        <f t="shared" si="20"/>
        <v>0</v>
      </c>
      <c r="J353" s="215" t="str">
        <f t="shared" si="21"/>
        <v>-</v>
      </c>
    </row>
    <row r="354" spans="1:10" hidden="1" outlineLevel="1" x14ac:dyDescent="0.3">
      <c r="A354" s="41"/>
      <c r="B354" s="223"/>
      <c r="C354" s="210"/>
      <c r="D354" s="32"/>
      <c r="E354" s="27"/>
      <c r="F354" s="27"/>
      <c r="G354" s="34"/>
      <c r="H354" s="35"/>
      <c r="I354" s="200"/>
      <c r="J354" s="214"/>
    </row>
    <row r="355" spans="1:10" ht="19.5" thickBot="1" x14ac:dyDescent="0.35">
      <c r="A355" s="41"/>
      <c r="B355" s="224"/>
      <c r="D355" s="238"/>
      <c r="E355" s="43"/>
      <c r="F355" s="43" t="s">
        <v>27</v>
      </c>
      <c r="G355" s="44">
        <f>SUBTOTAL(9,G331:G354)</f>
        <v>-7740.41</v>
      </c>
      <c r="H355" s="44">
        <f>SUBTOTAL(9,H331:H354)</f>
        <v>-8935</v>
      </c>
      <c r="I355" s="206">
        <f>G355-H355</f>
        <v>1194.5900000000001</v>
      </c>
      <c r="J355" s="218">
        <f>IF(G355=0,"-",IF(H355=0,"∞",(G355-H355)/H355))</f>
        <v>-0.13369781757134863</v>
      </c>
    </row>
    <row r="356" spans="1:10" ht="17.25" thickTop="1" x14ac:dyDescent="0.3"/>
  </sheetData>
  <mergeCells count="1">
    <mergeCell ref="B3:B8"/>
  </mergeCells>
  <conditionalFormatting sqref="J9:J11 J68:J70 J265:J270 J55:J57 J66 J87:J97 J194:J196 J234:J236 J254:J256 J260:J263 J304:J306 J325:J332 J354:J355">
    <cfRule type="expression" dxfId="12" priority="394">
      <formula>IF($I9&lt;0,"True","False")</formula>
    </cfRule>
  </conditionalFormatting>
  <conditionalFormatting sqref="J264">
    <cfRule type="expression" dxfId="11" priority="371">
      <formula>IF($I264&lt;0,"True","False")</formula>
    </cfRule>
  </conditionalFormatting>
  <conditionalFormatting sqref="J67">
    <cfRule type="expression" dxfId="10" priority="372">
      <formula>IF($I67&lt;0,"True","False")</formula>
    </cfRule>
  </conditionalFormatting>
  <conditionalFormatting sqref="J12:J54">
    <cfRule type="expression" dxfId="9" priority="10">
      <formula>IF($I12&lt;0,"True","False")</formula>
    </cfRule>
  </conditionalFormatting>
  <conditionalFormatting sqref="J58:J65">
    <cfRule type="expression" dxfId="8" priority="9">
      <formula>IF($I58&lt;0,"True","False")</formula>
    </cfRule>
  </conditionalFormatting>
  <conditionalFormatting sqref="J71:J86">
    <cfRule type="expression" dxfId="7" priority="8">
      <formula>IF($I71&lt;0,"True","False")</formula>
    </cfRule>
  </conditionalFormatting>
  <conditionalFormatting sqref="J98:J193">
    <cfRule type="expression" dxfId="6" priority="7">
      <formula>IF($I98&lt;0,"True","False")</formula>
    </cfRule>
  </conditionalFormatting>
  <conditionalFormatting sqref="J197:J233">
    <cfRule type="expression" dxfId="5" priority="6">
      <formula>IF($I197&lt;0,"True","False")</formula>
    </cfRule>
  </conditionalFormatting>
  <conditionalFormatting sqref="J237:J253">
    <cfRule type="expression" dxfId="4" priority="5">
      <formula>IF($I237&lt;0,"True","False")</formula>
    </cfRule>
  </conditionalFormatting>
  <conditionalFormatting sqref="J257:J259">
    <cfRule type="expression" dxfId="3" priority="4">
      <formula>IF($I257&lt;0,"True","False")</formula>
    </cfRule>
  </conditionalFormatting>
  <conditionalFormatting sqref="J271:J303">
    <cfRule type="expression" dxfId="2" priority="3">
      <formula>IF($I271&lt;0,"True","False")</formula>
    </cfRule>
  </conditionalFormatting>
  <conditionalFormatting sqref="J307:J324">
    <cfRule type="expression" dxfId="1" priority="2">
      <formula>IF($I307&lt;0,"True","False")</formula>
    </cfRule>
  </conditionalFormatting>
  <conditionalFormatting sqref="J333:J353">
    <cfRule type="expression" dxfId="0" priority="1">
      <formula>IF($I333&lt;0,"True","False")</formula>
    </cfRule>
  </conditionalFormatting>
  <pageMargins left="0.25" right="0.25" top="0.75" bottom="0.75" header="0.3" footer="0.3"/>
  <pageSetup scale="51"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N278"/>
  <sheetViews>
    <sheetView showGridLines="0" topLeftCell="D2" zoomScale="80" zoomScaleNormal="80" workbookViewId="0"/>
  </sheetViews>
  <sheetFormatPr defaultRowHeight="16.5" outlineLevelRow="1" x14ac:dyDescent="0.3"/>
  <cols>
    <col min="1" max="2" width="9" hidden="1" customWidth="1"/>
    <col min="3" max="3" width="18.125" hidden="1" customWidth="1"/>
    <col min="4" max="4" width="4" customWidth="1"/>
    <col min="6" max="8" width="9" hidden="1" customWidth="1"/>
    <col min="9" max="9" width="50.625" bestFit="1" customWidth="1"/>
    <col min="10" max="10" width="18.25" bestFit="1" customWidth="1"/>
    <col min="12" max="14" width="18.625" customWidth="1"/>
  </cols>
  <sheetData>
    <row r="1" spans="1:14" hidden="1" x14ac:dyDescent="0.3">
      <c r="A1" s="82" t="s">
        <v>3566</v>
      </c>
      <c r="B1" s="83" t="s">
        <v>157</v>
      </c>
      <c r="C1" s="243" t="s">
        <v>11</v>
      </c>
      <c r="D1" s="83"/>
      <c r="E1" s="83"/>
      <c r="F1" s="83" t="s">
        <v>11</v>
      </c>
      <c r="G1" s="83" t="s">
        <v>11</v>
      </c>
      <c r="H1" s="83" t="s">
        <v>11</v>
      </c>
      <c r="I1" s="83" t="s">
        <v>40</v>
      </c>
      <c r="J1" s="83" t="s">
        <v>40</v>
      </c>
      <c r="K1" s="83"/>
      <c r="L1" s="83"/>
      <c r="M1" s="83"/>
      <c r="N1" s="84"/>
    </row>
    <row r="2" spans="1:14" x14ac:dyDescent="0.3">
      <c r="A2" s="40"/>
      <c r="B2" s="219"/>
      <c r="C2" s="243"/>
      <c r="N2" s="46"/>
    </row>
    <row r="3" spans="1:14" ht="18.75" x14ac:dyDescent="0.3">
      <c r="A3" s="41"/>
      <c r="B3" s="219"/>
      <c r="C3" s="243"/>
      <c r="E3" s="79" t="s">
        <v>30</v>
      </c>
      <c r="F3" s="47"/>
      <c r="G3" s="48"/>
      <c r="H3" s="49"/>
      <c r="I3" s="50"/>
      <c r="J3" s="47"/>
      <c r="K3" s="48"/>
      <c r="L3" s="77" t="s">
        <v>9</v>
      </c>
      <c r="M3" s="77"/>
      <c r="N3" s="78" t="str">
        <f>End_Date</f>
        <v>1/31/2014</v>
      </c>
    </row>
    <row r="4" spans="1:14" x14ac:dyDescent="0.3">
      <c r="A4" s="41"/>
      <c r="B4" s="219"/>
      <c r="C4" s="279" t="s">
        <v>156</v>
      </c>
      <c r="E4" s="51"/>
      <c r="F4" s="51"/>
      <c r="G4" s="51"/>
      <c r="H4" s="52"/>
      <c r="I4" s="51"/>
      <c r="J4" s="51"/>
      <c r="K4" s="51"/>
      <c r="L4" s="80" t="s">
        <v>41</v>
      </c>
      <c r="M4" s="80"/>
      <c r="N4" s="81">
        <f ca="1">TODAY()</f>
        <v>43370</v>
      </c>
    </row>
    <row r="5" spans="1:14" ht="18.75" x14ac:dyDescent="0.3">
      <c r="A5" s="41"/>
      <c r="B5" s="219"/>
      <c r="C5" s="279"/>
      <c r="E5" s="53"/>
      <c r="F5" s="54"/>
      <c r="G5" s="51"/>
      <c r="H5" s="52"/>
      <c r="I5" s="51"/>
      <c r="J5" s="51"/>
      <c r="K5" s="51"/>
      <c r="L5" s="51"/>
      <c r="M5" s="51"/>
      <c r="N5" s="51"/>
    </row>
    <row r="6" spans="1:14" ht="18.75" customHeight="1" x14ac:dyDescent="0.3">
      <c r="A6" s="41"/>
      <c r="B6" s="219"/>
      <c r="C6" s="279"/>
      <c r="E6" s="53"/>
      <c r="F6" s="54"/>
      <c r="G6" s="51"/>
      <c r="H6" s="52"/>
      <c r="I6" s="51"/>
      <c r="J6" s="51"/>
      <c r="K6" s="51"/>
      <c r="N6" s="46"/>
    </row>
    <row r="7" spans="1:14" x14ac:dyDescent="0.3">
      <c r="A7" s="41"/>
      <c r="B7" s="219"/>
      <c r="C7" s="279"/>
      <c r="E7" s="53"/>
      <c r="G7" s="51"/>
      <c r="H7" s="52"/>
      <c r="I7" s="51"/>
      <c r="J7" s="51"/>
      <c r="K7" s="51"/>
      <c r="L7" s="276" t="s">
        <v>31</v>
      </c>
      <c r="M7" s="277"/>
      <c r="N7" s="278"/>
    </row>
    <row r="8" spans="1:14" ht="18.75" x14ac:dyDescent="0.3">
      <c r="A8" s="41"/>
      <c r="B8" s="219"/>
      <c r="C8" s="279"/>
      <c r="E8" s="54"/>
      <c r="F8" s="54"/>
      <c r="G8" s="51"/>
      <c r="H8" s="52"/>
      <c r="I8" s="51"/>
      <c r="J8" s="51"/>
      <c r="K8" s="51"/>
      <c r="L8" s="55" t="s">
        <v>32</v>
      </c>
      <c r="M8" s="56" t="s">
        <v>33</v>
      </c>
      <c r="N8" s="57"/>
    </row>
    <row r="9" spans="1:14" x14ac:dyDescent="0.3">
      <c r="A9" s="41"/>
      <c r="B9" s="219"/>
      <c r="C9" s="279"/>
      <c r="E9" s="51"/>
      <c r="F9" s="51"/>
      <c r="G9" s="51"/>
      <c r="H9" s="52"/>
      <c r="I9" s="51"/>
      <c r="J9" s="51"/>
      <c r="K9" s="51"/>
      <c r="L9" s="55" t="s">
        <v>34</v>
      </c>
      <c r="M9" s="56" t="s">
        <v>35</v>
      </c>
      <c r="N9" s="57" t="s">
        <v>36</v>
      </c>
    </row>
    <row r="10" spans="1:14" ht="18.75" x14ac:dyDescent="0.3">
      <c r="A10" s="41"/>
      <c r="B10" s="219"/>
      <c r="C10" s="243"/>
      <c r="E10" s="89" t="s">
        <v>37</v>
      </c>
      <c r="F10" s="51"/>
      <c r="G10" s="58"/>
      <c r="H10" s="59"/>
      <c r="I10" s="51"/>
      <c r="J10" s="51"/>
      <c r="K10" s="51"/>
      <c r="L10" s="60">
        <f>$J$109</f>
        <v>2859737.06</v>
      </c>
      <c r="M10" s="61">
        <f>$J$135</f>
        <v>1245567.1600000001</v>
      </c>
      <c r="N10" s="62"/>
    </row>
    <row r="11" spans="1:14" x14ac:dyDescent="0.3">
      <c r="A11" s="41"/>
      <c r="B11" s="219"/>
      <c r="C11" s="243"/>
      <c r="E11" s="63"/>
      <c r="F11" s="51"/>
      <c r="G11" s="58"/>
      <c r="H11" s="59"/>
      <c r="I11" s="51"/>
      <c r="J11" s="51"/>
      <c r="K11" s="51"/>
      <c r="L11" s="64">
        <f>$J$244</f>
        <v>2096088.7499999995</v>
      </c>
      <c r="M11" s="65">
        <f>$J$253</f>
        <v>326890.95</v>
      </c>
      <c r="N11" s="66">
        <f>$J$271</f>
        <v>1682324.52</v>
      </c>
    </row>
    <row r="12" spans="1:14" x14ac:dyDescent="0.3">
      <c r="A12" s="41"/>
      <c r="B12" s="219"/>
      <c r="C12" s="243"/>
      <c r="E12" s="88" t="s">
        <v>45</v>
      </c>
      <c r="F12" s="51"/>
      <c r="G12" s="58"/>
      <c r="H12" s="59"/>
      <c r="I12" s="51"/>
      <c r="J12" s="51"/>
      <c r="K12" s="51"/>
      <c r="L12" s="55" t="s">
        <v>37</v>
      </c>
      <c r="M12" s="56"/>
      <c r="N12" s="57"/>
    </row>
    <row r="13" spans="1:14" collapsed="1" x14ac:dyDescent="0.3">
      <c r="A13" s="41"/>
      <c r="B13" s="219"/>
      <c r="C13" s="244">
        <v>1</v>
      </c>
      <c r="E13" s="51" t="str">
        <f>"Cash"</f>
        <v>Cash</v>
      </c>
      <c r="J13" s="67">
        <f>SUBTOTAL(9,J14:J26)</f>
        <v>760666.12</v>
      </c>
      <c r="L13" s="68" t="s">
        <v>39</v>
      </c>
      <c r="M13" s="69"/>
      <c r="N13" s="70"/>
    </row>
    <row r="14" spans="1:14" hidden="1" outlineLevel="1" x14ac:dyDescent="0.3">
      <c r="A14" s="41"/>
      <c r="B14" s="219"/>
      <c r="C14" s="243"/>
      <c r="E14" s="71" t="str">
        <f>"000-1100-00"</f>
        <v>000-1100-00</v>
      </c>
      <c r="F14" s="72" t="str">
        <f t="shared" ref="F14:F25" si="0">"000"</f>
        <v>000</v>
      </c>
      <c r="G14" s="72" t="str">
        <f>"1100"</f>
        <v>1100</v>
      </c>
      <c r="H14" s="72" t="str">
        <f t="shared" ref="H14:H25" si="1">"00"</f>
        <v>00</v>
      </c>
      <c r="I14" s="72" t="str">
        <f>"Cash - Operating Account"</f>
        <v>Cash - Operating Account</v>
      </c>
      <c r="J14" s="73">
        <v>580519.66</v>
      </c>
    </row>
    <row r="15" spans="1:14" hidden="1" outlineLevel="1" x14ac:dyDescent="0.3">
      <c r="A15" s="41" t="s">
        <v>581</v>
      </c>
      <c r="B15" s="219"/>
      <c r="C15" s="243"/>
      <c r="E15" s="71" t="str">
        <f>"000-1101-00"</f>
        <v>000-1101-00</v>
      </c>
      <c r="F15" s="72" t="str">
        <f t="shared" si="0"/>
        <v>000</v>
      </c>
      <c r="G15" s="72" t="str">
        <f>"1101"</f>
        <v>1101</v>
      </c>
      <c r="H15" s="72" t="str">
        <f t="shared" si="1"/>
        <v>00</v>
      </c>
      <c r="I15" s="72" t="str">
        <f>"Cash in Bank - Canada"</f>
        <v>Cash in Bank - Canada</v>
      </c>
      <c r="J15" s="73">
        <v>8957.84</v>
      </c>
    </row>
    <row r="16" spans="1:14" hidden="1" outlineLevel="1" x14ac:dyDescent="0.3">
      <c r="A16" s="41" t="s">
        <v>581</v>
      </c>
      <c r="B16" s="219"/>
      <c r="C16" s="243"/>
      <c r="E16" s="71" t="str">
        <f>"000-1102-00"</f>
        <v>000-1102-00</v>
      </c>
      <c r="F16" s="72" t="str">
        <f t="shared" si="0"/>
        <v>000</v>
      </c>
      <c r="G16" s="72" t="str">
        <f>"1102"</f>
        <v>1102</v>
      </c>
      <c r="H16" s="72" t="str">
        <f t="shared" si="1"/>
        <v>00</v>
      </c>
      <c r="I16" s="72" t="str">
        <f>"Cash in Bank - Australia"</f>
        <v>Cash in Bank - Australia</v>
      </c>
      <c r="J16" s="73">
        <v>18302.169999999998</v>
      </c>
    </row>
    <row r="17" spans="1:10" hidden="1" outlineLevel="1" x14ac:dyDescent="0.3">
      <c r="A17" s="41" t="s">
        <v>581</v>
      </c>
      <c r="B17" s="219"/>
      <c r="C17" s="243"/>
      <c r="E17" s="71" t="str">
        <f>"000-1103-00"</f>
        <v>000-1103-00</v>
      </c>
      <c r="F17" s="72" t="str">
        <f t="shared" si="0"/>
        <v>000</v>
      </c>
      <c r="G17" s="72" t="str">
        <f>"1103"</f>
        <v>1103</v>
      </c>
      <c r="H17" s="72" t="str">
        <f t="shared" si="1"/>
        <v>00</v>
      </c>
      <c r="I17" s="72" t="str">
        <f>"Cash in Bank - New Zealand"</f>
        <v>Cash in Bank - New Zealand</v>
      </c>
      <c r="J17" s="73">
        <v>6007.94</v>
      </c>
    </row>
    <row r="18" spans="1:10" hidden="1" outlineLevel="1" x14ac:dyDescent="0.3">
      <c r="A18" s="41" t="s">
        <v>581</v>
      </c>
      <c r="B18" s="219"/>
      <c r="C18" s="243"/>
      <c r="E18" s="71" t="str">
        <f>"000-1104-00"</f>
        <v>000-1104-00</v>
      </c>
      <c r="F18" s="72" t="str">
        <f t="shared" si="0"/>
        <v>000</v>
      </c>
      <c r="G18" s="72" t="str">
        <f>"1104"</f>
        <v>1104</v>
      </c>
      <c r="H18" s="72" t="str">
        <f t="shared" si="1"/>
        <v>00</v>
      </c>
      <c r="I18" s="72" t="str">
        <f>"Cash in Bank - Germany"</f>
        <v>Cash in Bank - Germany</v>
      </c>
      <c r="J18" s="73">
        <v>0</v>
      </c>
    </row>
    <row r="19" spans="1:10" hidden="1" outlineLevel="1" x14ac:dyDescent="0.3">
      <c r="A19" s="41" t="s">
        <v>581</v>
      </c>
      <c r="B19" s="219"/>
      <c r="C19" s="243"/>
      <c r="E19" s="71" t="str">
        <f>"000-1105-00"</f>
        <v>000-1105-00</v>
      </c>
      <c r="F19" s="72" t="str">
        <f t="shared" si="0"/>
        <v>000</v>
      </c>
      <c r="G19" s="72" t="str">
        <f>"1105"</f>
        <v>1105</v>
      </c>
      <c r="H19" s="72" t="str">
        <f t="shared" si="1"/>
        <v>00</v>
      </c>
      <c r="I19" s="72" t="str">
        <f>"Cash in Bank - United Kingdom"</f>
        <v>Cash in Bank - United Kingdom</v>
      </c>
      <c r="J19" s="73">
        <v>12697.77</v>
      </c>
    </row>
    <row r="20" spans="1:10" hidden="1" outlineLevel="1" x14ac:dyDescent="0.3">
      <c r="A20" s="41" t="s">
        <v>581</v>
      </c>
      <c r="B20" s="219"/>
      <c r="C20" s="243"/>
      <c r="E20" s="71" t="str">
        <f>"000-1106-00"</f>
        <v>000-1106-00</v>
      </c>
      <c r="F20" s="72" t="str">
        <f t="shared" si="0"/>
        <v>000</v>
      </c>
      <c r="G20" s="72" t="str">
        <f>"1106"</f>
        <v>1106</v>
      </c>
      <c r="H20" s="72" t="str">
        <f t="shared" si="1"/>
        <v>00</v>
      </c>
      <c r="I20" s="72" t="str">
        <f>"Cash in Bank - South Africa"</f>
        <v>Cash in Bank - South Africa</v>
      </c>
      <c r="J20" s="73">
        <v>7501.9</v>
      </c>
    </row>
    <row r="21" spans="1:10" hidden="1" outlineLevel="1" x14ac:dyDescent="0.3">
      <c r="A21" s="41" t="s">
        <v>581</v>
      </c>
      <c r="B21" s="219"/>
      <c r="C21" s="243"/>
      <c r="E21" s="71" t="str">
        <f>"000-1107-00"</f>
        <v>000-1107-00</v>
      </c>
      <c r="F21" s="72" t="str">
        <f t="shared" si="0"/>
        <v>000</v>
      </c>
      <c r="G21" s="72" t="str">
        <f>"1107"</f>
        <v>1107</v>
      </c>
      <c r="H21" s="72" t="str">
        <f t="shared" si="1"/>
        <v>00</v>
      </c>
      <c r="I21" s="72" t="str">
        <f>"Cash in Bank - Singapore"</f>
        <v>Cash in Bank - Singapore</v>
      </c>
      <c r="J21" s="73">
        <v>6963.24</v>
      </c>
    </row>
    <row r="22" spans="1:10" hidden="1" outlineLevel="1" x14ac:dyDescent="0.3">
      <c r="A22" s="41" t="s">
        <v>581</v>
      </c>
      <c r="B22" s="219"/>
      <c r="C22" s="243"/>
      <c r="E22" s="71" t="str">
        <f>"000-1110-00"</f>
        <v>000-1110-00</v>
      </c>
      <c r="F22" s="72" t="str">
        <f t="shared" si="0"/>
        <v>000</v>
      </c>
      <c r="G22" s="72" t="str">
        <f>"1110"</f>
        <v>1110</v>
      </c>
      <c r="H22" s="72" t="str">
        <f t="shared" si="1"/>
        <v>00</v>
      </c>
      <c r="I22" s="72" t="str">
        <f>"Cash - Payroll"</f>
        <v>Cash - Payroll</v>
      </c>
      <c r="J22" s="73">
        <v>119050.74</v>
      </c>
    </row>
    <row r="23" spans="1:10" hidden="1" outlineLevel="1" x14ac:dyDescent="0.3">
      <c r="A23" s="41" t="s">
        <v>581</v>
      </c>
      <c r="B23" s="219"/>
      <c r="C23" s="243"/>
      <c r="E23" s="71" t="str">
        <f>"000-1120-00"</f>
        <v>000-1120-00</v>
      </c>
      <c r="F23" s="72" t="str">
        <f t="shared" si="0"/>
        <v>000</v>
      </c>
      <c r="G23" s="72" t="str">
        <f>"1120"</f>
        <v>1120</v>
      </c>
      <c r="H23" s="72" t="str">
        <f t="shared" si="1"/>
        <v>00</v>
      </c>
      <c r="I23" s="72" t="str">
        <f>"Cash - Flex Benefits Program"</f>
        <v>Cash - Flex Benefits Program</v>
      </c>
      <c r="J23" s="73">
        <v>345.32</v>
      </c>
    </row>
    <row r="24" spans="1:10" hidden="1" outlineLevel="1" x14ac:dyDescent="0.3">
      <c r="A24" s="41" t="s">
        <v>581</v>
      </c>
      <c r="B24" s="219"/>
      <c r="C24" s="243"/>
      <c r="E24" s="71" t="str">
        <f>"000-1130-00"</f>
        <v>000-1130-00</v>
      </c>
      <c r="F24" s="72" t="str">
        <f t="shared" si="0"/>
        <v>000</v>
      </c>
      <c r="G24" s="72" t="str">
        <f>"1130"</f>
        <v>1130</v>
      </c>
      <c r="H24" s="72" t="str">
        <f t="shared" si="1"/>
        <v>00</v>
      </c>
      <c r="I24" s="72" t="str">
        <f>"Petty Cash"</f>
        <v>Petty Cash</v>
      </c>
      <c r="J24" s="73">
        <v>319.54000000000002</v>
      </c>
    </row>
    <row r="25" spans="1:10" hidden="1" outlineLevel="1" x14ac:dyDescent="0.3">
      <c r="A25" s="41" t="s">
        <v>581</v>
      </c>
      <c r="B25" s="219"/>
      <c r="C25" s="243"/>
      <c r="E25" s="71" t="str">
        <f>"000-1190-00"</f>
        <v>000-1190-00</v>
      </c>
      <c r="F25" s="72" t="str">
        <f t="shared" si="0"/>
        <v>000</v>
      </c>
      <c r="G25" s="72" t="str">
        <f>"1190"</f>
        <v>1190</v>
      </c>
      <c r="H25" s="72" t="str">
        <f t="shared" si="1"/>
        <v>00</v>
      </c>
      <c r="I25" s="72" t="str">
        <f>"Cash Suspense"</f>
        <v>Cash Suspense</v>
      </c>
      <c r="J25" s="73">
        <v>0</v>
      </c>
    </row>
    <row r="26" spans="1:10" hidden="1" outlineLevel="1" x14ac:dyDescent="0.3">
      <c r="A26" s="41"/>
      <c r="B26" s="219"/>
      <c r="C26" s="243"/>
      <c r="E26" s="71"/>
      <c r="F26" s="72"/>
      <c r="G26" s="72"/>
      <c r="H26" s="72"/>
      <c r="J26" s="74"/>
    </row>
    <row r="27" spans="1:10" collapsed="1" x14ac:dyDescent="0.3">
      <c r="A27" s="41"/>
      <c r="B27" s="219"/>
      <c r="C27" s="244">
        <v>2</v>
      </c>
      <c r="E27" s="51" t="str">
        <f>"Short-Term Investments"</f>
        <v>Short-Term Investments</v>
      </c>
      <c r="J27" s="67">
        <f>SUBTOTAL(9,J28:J29)</f>
        <v>16316.12</v>
      </c>
    </row>
    <row r="28" spans="1:10" hidden="1" outlineLevel="1" x14ac:dyDescent="0.3">
      <c r="A28" s="41"/>
      <c r="B28" s="219"/>
      <c r="C28" s="243"/>
      <c r="E28" s="71" t="str">
        <f>"000-1140-00"</f>
        <v>000-1140-00</v>
      </c>
      <c r="F28" s="72" t="str">
        <f>"000"</f>
        <v>000</v>
      </c>
      <c r="G28" s="72" t="str">
        <f>"1140"</f>
        <v>1140</v>
      </c>
      <c r="H28" s="72" t="str">
        <f>"00"</f>
        <v>00</v>
      </c>
      <c r="I28" s="72" t="str">
        <f>"Savings"</f>
        <v>Savings</v>
      </c>
      <c r="J28" s="73">
        <v>16316.12</v>
      </c>
    </row>
    <row r="29" spans="1:10" hidden="1" outlineLevel="1" x14ac:dyDescent="0.3">
      <c r="A29" s="41"/>
      <c r="B29" s="219"/>
      <c r="C29" s="243"/>
      <c r="E29" s="71"/>
      <c r="F29" s="72"/>
      <c r="G29" s="72"/>
      <c r="H29" s="72"/>
      <c r="J29" s="74"/>
    </row>
    <row r="30" spans="1:10" collapsed="1" x14ac:dyDescent="0.3">
      <c r="A30" s="41"/>
      <c r="B30" s="219"/>
      <c r="C30" s="244">
        <v>3</v>
      </c>
      <c r="E30" s="51" t="str">
        <f>"Accounts Receivable"</f>
        <v>Accounts Receivable</v>
      </c>
      <c r="J30" s="67">
        <f>SUBTOTAL(9,J31:J51)</f>
        <v>1755239.54</v>
      </c>
    </row>
    <row r="31" spans="1:10" hidden="1" outlineLevel="1" x14ac:dyDescent="0.3">
      <c r="A31" s="41"/>
      <c r="B31" s="219"/>
      <c r="C31" s="243"/>
      <c r="E31" s="71" t="str">
        <f>"000-1200-00"</f>
        <v>000-1200-00</v>
      </c>
      <c r="F31" s="72" t="str">
        <f t="shared" ref="F31:F50" si="2">"000"</f>
        <v>000</v>
      </c>
      <c r="G31" s="72" t="str">
        <f>"1200"</f>
        <v>1200</v>
      </c>
      <c r="H31" s="72" t="str">
        <f>"00"</f>
        <v>00</v>
      </c>
      <c r="I31" s="72" t="str">
        <f>"Accounts Receivable"</f>
        <v>Accounts Receivable</v>
      </c>
      <c r="J31" s="73">
        <v>1715030.25</v>
      </c>
    </row>
    <row r="32" spans="1:10" hidden="1" outlineLevel="1" x14ac:dyDescent="0.3">
      <c r="A32" s="41" t="s">
        <v>581</v>
      </c>
      <c r="B32" s="219"/>
      <c r="C32" s="243"/>
      <c r="E32" s="71" t="str">
        <f>"000-1205-00"</f>
        <v>000-1205-00</v>
      </c>
      <c r="F32" s="72" t="str">
        <f t="shared" si="2"/>
        <v>000</v>
      </c>
      <c r="G32" s="72" t="str">
        <f>"1205"</f>
        <v>1205</v>
      </c>
      <c r="H32" s="72" t="str">
        <f>"00"</f>
        <v>00</v>
      </c>
      <c r="I32" s="72" t="str">
        <f>"Sales Discounts Available"</f>
        <v>Sales Discounts Available</v>
      </c>
      <c r="J32" s="73">
        <v>3871.03</v>
      </c>
    </row>
    <row r="33" spans="1:10" hidden="1" outlineLevel="1" x14ac:dyDescent="0.3">
      <c r="A33" s="41" t="s">
        <v>581</v>
      </c>
      <c r="B33" s="219"/>
      <c r="C33" s="243"/>
      <c r="E33" s="71" t="str">
        <f>"000-1210-00"</f>
        <v>000-1210-00</v>
      </c>
      <c r="F33" s="72" t="str">
        <f t="shared" si="2"/>
        <v>000</v>
      </c>
      <c r="G33" s="72" t="str">
        <f>"1210"</f>
        <v>1210</v>
      </c>
      <c r="H33" s="72" t="str">
        <f>"00"</f>
        <v>00</v>
      </c>
      <c r="I33" s="72" t="str">
        <f>"Allowance for Doubtful Accounts"</f>
        <v>Allowance for Doubtful Accounts</v>
      </c>
      <c r="J33" s="73">
        <v>-45963.3</v>
      </c>
    </row>
    <row r="34" spans="1:10" hidden="1" outlineLevel="1" x14ac:dyDescent="0.3">
      <c r="A34" s="41" t="s">
        <v>581</v>
      </c>
      <c r="B34" s="219"/>
      <c r="C34" s="243"/>
      <c r="E34" s="71" t="str">
        <f>"000-1220-00"</f>
        <v>000-1220-00</v>
      </c>
      <c r="F34" s="72" t="str">
        <f t="shared" si="2"/>
        <v>000</v>
      </c>
      <c r="G34" s="72" t="str">
        <f>"1220"</f>
        <v>1220</v>
      </c>
      <c r="H34" s="72" t="str">
        <f>"00"</f>
        <v>00</v>
      </c>
      <c r="I34" s="72" t="str">
        <f>"Credit Card Receivable"</f>
        <v>Credit Card Receivable</v>
      </c>
      <c r="J34" s="73">
        <v>0</v>
      </c>
    </row>
    <row r="35" spans="1:10" hidden="1" outlineLevel="1" x14ac:dyDescent="0.3">
      <c r="A35" s="41" t="s">
        <v>581</v>
      </c>
      <c r="B35" s="219"/>
      <c r="C35" s="243"/>
      <c r="E35" s="71" t="str">
        <f>"000-1220-01"</f>
        <v>000-1220-01</v>
      </c>
      <c r="F35" s="72" t="str">
        <f t="shared" si="2"/>
        <v>000</v>
      </c>
      <c r="G35" s="72" t="str">
        <f>"1220"</f>
        <v>1220</v>
      </c>
      <c r="H35" s="72" t="str">
        <f>"01"</f>
        <v>01</v>
      </c>
      <c r="I35" s="72" t="str">
        <f>"Credit Card Receivable-AmericaCharge"</f>
        <v>Credit Card Receivable-AmericaCharge</v>
      </c>
      <c r="J35" s="73">
        <v>22500</v>
      </c>
    </row>
    <row r="36" spans="1:10" hidden="1" outlineLevel="1" x14ac:dyDescent="0.3">
      <c r="A36" s="41" t="s">
        <v>581</v>
      </c>
      <c r="B36" s="219"/>
      <c r="C36" s="243"/>
      <c r="E36" s="71" t="str">
        <f>"000-1220-02"</f>
        <v>000-1220-02</v>
      </c>
      <c r="F36" s="72" t="str">
        <f t="shared" si="2"/>
        <v>000</v>
      </c>
      <c r="G36" s="72" t="str">
        <f>"1220"</f>
        <v>1220</v>
      </c>
      <c r="H36" s="72" t="str">
        <f>"02"</f>
        <v>02</v>
      </c>
      <c r="I36" s="72" t="str">
        <f>"Credit Card Receivable-Retail"</f>
        <v>Credit Card Receivable-Retail</v>
      </c>
      <c r="J36" s="73">
        <v>0</v>
      </c>
    </row>
    <row r="37" spans="1:10" hidden="1" outlineLevel="1" x14ac:dyDescent="0.3">
      <c r="A37" s="41" t="s">
        <v>581</v>
      </c>
      <c r="B37" s="219"/>
      <c r="C37" s="243"/>
      <c r="E37" s="71" t="str">
        <f>"000-1220-03"</f>
        <v>000-1220-03</v>
      </c>
      <c r="F37" s="72" t="str">
        <f t="shared" si="2"/>
        <v>000</v>
      </c>
      <c r="G37" s="72" t="str">
        <f>"1220"</f>
        <v>1220</v>
      </c>
      <c r="H37" s="72" t="str">
        <f>"03"</f>
        <v>03</v>
      </c>
      <c r="I37" s="72" t="str">
        <f>"Credit Card Receivable-Gold"</f>
        <v>Credit Card Receivable-Gold</v>
      </c>
      <c r="J37" s="73">
        <v>0</v>
      </c>
    </row>
    <row r="38" spans="1:10" hidden="1" outlineLevel="1" x14ac:dyDescent="0.3">
      <c r="A38" s="41" t="s">
        <v>581</v>
      </c>
      <c r="B38" s="219"/>
      <c r="C38" s="243"/>
      <c r="E38" s="71" t="str">
        <f>"000-1220-04"</f>
        <v>000-1220-04</v>
      </c>
      <c r="F38" s="72" t="str">
        <f t="shared" si="2"/>
        <v>000</v>
      </c>
      <c r="G38" s="72" t="str">
        <f>"1220"</f>
        <v>1220</v>
      </c>
      <c r="H38" s="72" t="str">
        <f>"04"</f>
        <v>04</v>
      </c>
      <c r="I38" s="72" t="str">
        <f>"Credit Card Receivable-Platinum"</f>
        <v>Credit Card Receivable-Platinum</v>
      </c>
      <c r="J38" s="73">
        <v>0</v>
      </c>
    </row>
    <row r="39" spans="1:10" hidden="1" outlineLevel="1" x14ac:dyDescent="0.3">
      <c r="A39" s="41" t="s">
        <v>581</v>
      </c>
      <c r="B39" s="219"/>
      <c r="C39" s="243"/>
      <c r="E39" s="71" t="str">
        <f>"000-1230-00"</f>
        <v>000-1230-00</v>
      </c>
      <c r="F39" s="72" t="str">
        <f t="shared" si="2"/>
        <v>000</v>
      </c>
      <c r="G39" s="72" t="str">
        <f>"1230"</f>
        <v>1230</v>
      </c>
      <c r="H39" s="72" t="str">
        <f t="shared" ref="H39:H50" si="3">"00"</f>
        <v>00</v>
      </c>
      <c r="I39" s="72" t="str">
        <f>"Interest Receivable"</f>
        <v>Interest Receivable</v>
      </c>
      <c r="J39" s="73">
        <v>250</v>
      </c>
    </row>
    <row r="40" spans="1:10" hidden="1" outlineLevel="1" x14ac:dyDescent="0.3">
      <c r="A40" s="41" t="s">
        <v>581</v>
      </c>
      <c r="B40" s="219"/>
      <c r="C40" s="243"/>
      <c r="E40" s="71" t="str">
        <f>"000-1250-00"</f>
        <v>000-1250-00</v>
      </c>
      <c r="F40" s="72" t="str">
        <f t="shared" si="2"/>
        <v>000</v>
      </c>
      <c r="G40" s="72" t="str">
        <f>"1250"</f>
        <v>1250</v>
      </c>
      <c r="H40" s="72" t="str">
        <f t="shared" si="3"/>
        <v>00</v>
      </c>
      <c r="I40" s="72" t="str">
        <f>"Other Receivables"</f>
        <v>Other Receivables</v>
      </c>
      <c r="J40" s="73">
        <v>0</v>
      </c>
    </row>
    <row r="41" spans="1:10" hidden="1" outlineLevel="1" x14ac:dyDescent="0.3">
      <c r="A41" s="41" t="s">
        <v>581</v>
      </c>
      <c r="B41" s="219"/>
      <c r="C41" s="243"/>
      <c r="E41" s="71" t="str">
        <f>"000-1260-00"</f>
        <v>000-1260-00</v>
      </c>
      <c r="F41" s="72" t="str">
        <f t="shared" si="2"/>
        <v>000</v>
      </c>
      <c r="G41" s="72" t="str">
        <f>"1260"</f>
        <v>1260</v>
      </c>
      <c r="H41" s="72" t="str">
        <f t="shared" si="3"/>
        <v>00</v>
      </c>
      <c r="I41" s="72" t="str">
        <f>"Employee Advances"</f>
        <v>Employee Advances</v>
      </c>
      <c r="J41" s="73">
        <v>250</v>
      </c>
    </row>
    <row r="42" spans="1:10" hidden="1" outlineLevel="1" x14ac:dyDescent="0.3">
      <c r="A42" s="41" t="s">
        <v>581</v>
      </c>
      <c r="B42" s="219"/>
      <c r="C42" s="243"/>
      <c r="E42" s="71" t="str">
        <f>"000-1270-00"</f>
        <v>000-1270-00</v>
      </c>
      <c r="F42" s="72" t="str">
        <f t="shared" si="2"/>
        <v>000</v>
      </c>
      <c r="G42" s="72" t="str">
        <f>"1270"</f>
        <v>1270</v>
      </c>
      <c r="H42" s="72" t="str">
        <f t="shared" si="3"/>
        <v>00</v>
      </c>
      <c r="I42" s="72" t="str">
        <f>"Accounts Receivable-MC Trx"</f>
        <v>Accounts Receivable-MC Trx</v>
      </c>
      <c r="J42" s="73">
        <v>0</v>
      </c>
    </row>
    <row r="43" spans="1:10" hidden="1" outlineLevel="1" x14ac:dyDescent="0.3">
      <c r="A43" s="41" t="s">
        <v>581</v>
      </c>
      <c r="B43" s="219"/>
      <c r="C43" s="243"/>
      <c r="E43" s="71" t="str">
        <f>"000-1271-00"</f>
        <v>000-1271-00</v>
      </c>
      <c r="F43" s="72" t="str">
        <f t="shared" si="2"/>
        <v>000</v>
      </c>
      <c r="G43" s="72" t="str">
        <f>"1271"</f>
        <v>1271</v>
      </c>
      <c r="H43" s="72" t="str">
        <f t="shared" si="3"/>
        <v>00</v>
      </c>
      <c r="I43" s="72" t="str">
        <f>"Accounts Receivable - Canada"</f>
        <v>Accounts Receivable - Canada</v>
      </c>
      <c r="J43" s="73">
        <v>26757.58</v>
      </c>
    </row>
    <row r="44" spans="1:10" hidden="1" outlineLevel="1" x14ac:dyDescent="0.3">
      <c r="A44" s="41" t="s">
        <v>581</v>
      </c>
      <c r="B44" s="219"/>
      <c r="C44" s="243"/>
      <c r="E44" s="71" t="str">
        <f>"000-1272-00"</f>
        <v>000-1272-00</v>
      </c>
      <c r="F44" s="72" t="str">
        <f t="shared" si="2"/>
        <v>000</v>
      </c>
      <c r="G44" s="72" t="str">
        <f>"1272"</f>
        <v>1272</v>
      </c>
      <c r="H44" s="72" t="str">
        <f t="shared" si="3"/>
        <v>00</v>
      </c>
      <c r="I44" s="72" t="str">
        <f>"Accounts Receivables - Australia"</f>
        <v>Accounts Receivables - Australia</v>
      </c>
      <c r="J44" s="73">
        <v>11164.46</v>
      </c>
    </row>
    <row r="45" spans="1:10" hidden="1" outlineLevel="1" x14ac:dyDescent="0.3">
      <c r="A45" s="41" t="s">
        <v>581</v>
      </c>
      <c r="B45" s="219"/>
      <c r="C45" s="243"/>
      <c r="E45" s="71" t="str">
        <f>"000-1273-00"</f>
        <v>000-1273-00</v>
      </c>
      <c r="F45" s="72" t="str">
        <f t="shared" si="2"/>
        <v>000</v>
      </c>
      <c r="G45" s="72" t="str">
        <f>"1273"</f>
        <v>1273</v>
      </c>
      <c r="H45" s="72" t="str">
        <f t="shared" si="3"/>
        <v>00</v>
      </c>
      <c r="I45" s="72" t="str">
        <f>"Accounts Receivable - New Zealand"</f>
        <v>Accounts Receivable - New Zealand</v>
      </c>
      <c r="J45" s="73">
        <v>9381.7900000000009</v>
      </c>
    </row>
    <row r="46" spans="1:10" hidden="1" outlineLevel="1" x14ac:dyDescent="0.3">
      <c r="A46" s="41" t="s">
        <v>581</v>
      </c>
      <c r="B46" s="219"/>
      <c r="C46" s="243"/>
      <c r="E46" s="71" t="str">
        <f>"000-1274-00"</f>
        <v>000-1274-00</v>
      </c>
      <c r="F46" s="72" t="str">
        <f t="shared" si="2"/>
        <v>000</v>
      </c>
      <c r="G46" s="72" t="str">
        <f>"1274"</f>
        <v>1274</v>
      </c>
      <c r="H46" s="72" t="str">
        <f t="shared" si="3"/>
        <v>00</v>
      </c>
      <c r="I46" s="72" t="str">
        <f>"Accounts Receivable - Germany"</f>
        <v>Accounts Receivable - Germany</v>
      </c>
      <c r="J46" s="73">
        <v>0</v>
      </c>
    </row>
    <row r="47" spans="1:10" hidden="1" outlineLevel="1" x14ac:dyDescent="0.3">
      <c r="A47" s="41" t="s">
        <v>581</v>
      </c>
      <c r="B47" s="219"/>
      <c r="C47" s="243"/>
      <c r="E47" s="71" t="str">
        <f>"000-1275-00"</f>
        <v>000-1275-00</v>
      </c>
      <c r="F47" s="72" t="str">
        <f t="shared" si="2"/>
        <v>000</v>
      </c>
      <c r="G47" s="72" t="str">
        <f>"1275"</f>
        <v>1275</v>
      </c>
      <c r="H47" s="72" t="str">
        <f t="shared" si="3"/>
        <v>00</v>
      </c>
      <c r="I47" s="72" t="str">
        <f>"Accounts Receivable - United Kingdom"</f>
        <v>Accounts Receivable - United Kingdom</v>
      </c>
      <c r="J47" s="73">
        <v>2003.24</v>
      </c>
    </row>
    <row r="48" spans="1:10" hidden="1" outlineLevel="1" x14ac:dyDescent="0.3">
      <c r="A48" s="41" t="s">
        <v>581</v>
      </c>
      <c r="B48" s="219"/>
      <c r="C48" s="243"/>
      <c r="E48" s="71" t="str">
        <f>"000-1276-00"</f>
        <v>000-1276-00</v>
      </c>
      <c r="F48" s="72" t="str">
        <f t="shared" si="2"/>
        <v>000</v>
      </c>
      <c r="G48" s="72" t="str">
        <f>"1276"</f>
        <v>1276</v>
      </c>
      <c r="H48" s="72" t="str">
        <f t="shared" si="3"/>
        <v>00</v>
      </c>
      <c r="I48" s="72" t="str">
        <f>"Accounts Receivable - South Africa"</f>
        <v>Accounts Receivable - South Africa</v>
      </c>
      <c r="J48" s="73">
        <v>6772.78</v>
      </c>
    </row>
    <row r="49" spans="1:10" hidden="1" outlineLevel="1" x14ac:dyDescent="0.3">
      <c r="A49" s="41" t="s">
        <v>581</v>
      </c>
      <c r="B49" s="219"/>
      <c r="C49" s="243"/>
      <c r="E49" s="71" t="str">
        <f>"000-1277-00"</f>
        <v>000-1277-00</v>
      </c>
      <c r="F49" s="72" t="str">
        <f t="shared" si="2"/>
        <v>000</v>
      </c>
      <c r="G49" s="72" t="str">
        <f>"1277"</f>
        <v>1277</v>
      </c>
      <c r="H49" s="72" t="str">
        <f t="shared" si="3"/>
        <v>00</v>
      </c>
      <c r="I49" s="72" t="str">
        <f>"Accounts Receivable - Singapore"</f>
        <v>Accounts Receivable - Singapore</v>
      </c>
      <c r="J49" s="73">
        <v>3221.71</v>
      </c>
    </row>
    <row r="50" spans="1:10" hidden="1" outlineLevel="1" x14ac:dyDescent="0.3">
      <c r="A50" s="41" t="s">
        <v>581</v>
      </c>
      <c r="B50" s="219"/>
      <c r="C50" s="243"/>
      <c r="E50" s="71" t="str">
        <f>"000-1280-00"</f>
        <v>000-1280-00</v>
      </c>
      <c r="F50" s="72" t="str">
        <f t="shared" si="2"/>
        <v>000</v>
      </c>
      <c r="G50" s="72" t="str">
        <f>"1280"</f>
        <v>1280</v>
      </c>
      <c r="H50" s="72" t="str">
        <f t="shared" si="3"/>
        <v>00</v>
      </c>
      <c r="I50" s="72" t="str">
        <f>"Unbilled Accounts Receivable"</f>
        <v>Unbilled Accounts Receivable</v>
      </c>
      <c r="J50" s="73">
        <v>0</v>
      </c>
    </row>
    <row r="51" spans="1:10" hidden="1" outlineLevel="1" x14ac:dyDescent="0.3">
      <c r="A51" s="41"/>
      <c r="B51" s="219"/>
      <c r="C51" s="243"/>
      <c r="E51" s="71"/>
      <c r="F51" s="72"/>
      <c r="G51" s="72"/>
      <c r="H51" s="72"/>
      <c r="J51" s="74"/>
    </row>
    <row r="52" spans="1:10" collapsed="1" x14ac:dyDescent="0.3">
      <c r="A52" s="41"/>
      <c r="B52" s="219"/>
      <c r="C52" s="244">
        <v>4</v>
      </c>
      <c r="E52" s="51" t="str">
        <f>"Notes Receivable"</f>
        <v>Notes Receivable</v>
      </c>
      <c r="J52" s="67">
        <f>SUBTOTAL(9,J53:J54)</f>
        <v>5000</v>
      </c>
    </row>
    <row r="53" spans="1:10" hidden="1" outlineLevel="1" x14ac:dyDescent="0.3">
      <c r="A53" s="41"/>
      <c r="B53" s="219"/>
      <c r="C53" s="243"/>
      <c r="E53" s="71" t="str">
        <f>"000-1240-00"</f>
        <v>000-1240-00</v>
      </c>
      <c r="F53" s="72" t="str">
        <f>"000"</f>
        <v>000</v>
      </c>
      <c r="G53" s="72" t="str">
        <f>"1240"</f>
        <v>1240</v>
      </c>
      <c r="H53" s="72" t="str">
        <f>"00"</f>
        <v>00</v>
      </c>
      <c r="I53" s="72" t="str">
        <f>"Notes Receivable"</f>
        <v>Notes Receivable</v>
      </c>
      <c r="J53" s="73">
        <v>5000</v>
      </c>
    </row>
    <row r="54" spans="1:10" hidden="1" outlineLevel="1" x14ac:dyDescent="0.3">
      <c r="A54" s="41"/>
      <c r="B54" s="219"/>
      <c r="C54" s="243"/>
      <c r="E54" s="71"/>
      <c r="F54" s="72"/>
      <c r="G54" s="72"/>
      <c r="H54" s="72"/>
      <c r="J54" s="74"/>
    </row>
    <row r="55" spans="1:10" collapsed="1" x14ac:dyDescent="0.3">
      <c r="A55" s="41"/>
      <c r="B55" s="219"/>
      <c r="C55" s="244">
        <v>5</v>
      </c>
      <c r="E55" s="51" t="str">
        <f>"Inventory"</f>
        <v>Inventory</v>
      </c>
      <c r="J55" s="67">
        <f>SUBTOTAL(9,J56:J84)</f>
        <v>291028.69</v>
      </c>
    </row>
    <row r="56" spans="1:10" hidden="1" outlineLevel="1" x14ac:dyDescent="0.3">
      <c r="A56" s="41"/>
      <c r="B56" s="219"/>
      <c r="C56" s="243"/>
      <c r="E56" s="71" t="str">
        <f>"000-1300-01"</f>
        <v>000-1300-01</v>
      </c>
      <c r="F56" s="72" t="str">
        <f t="shared" ref="F56:F83" si="4">"000"</f>
        <v>000</v>
      </c>
      <c r="G56" s="72" t="str">
        <f>"1300"</f>
        <v>1300</v>
      </c>
      <c r="H56" s="72" t="str">
        <f>"01"</f>
        <v>01</v>
      </c>
      <c r="I56" s="72" t="str">
        <f>"Inventory - Retail/Parts"</f>
        <v>Inventory - Retail/Parts</v>
      </c>
      <c r="J56" s="73">
        <v>165807.84</v>
      </c>
    </row>
    <row r="57" spans="1:10" hidden="1" outlineLevel="1" x14ac:dyDescent="0.3">
      <c r="A57" s="41" t="s">
        <v>581</v>
      </c>
      <c r="B57" s="219"/>
      <c r="C57" s="243"/>
      <c r="E57" s="71" t="str">
        <f>"000-1300-02"</f>
        <v>000-1300-02</v>
      </c>
      <c r="F57" s="72" t="str">
        <f t="shared" si="4"/>
        <v>000</v>
      </c>
      <c r="G57" s="72" t="str">
        <f>"1300"</f>
        <v>1300</v>
      </c>
      <c r="H57" s="72" t="str">
        <f>"02"</f>
        <v>02</v>
      </c>
      <c r="I57" s="72" t="str">
        <f>"Inventory - Finished Goods"</f>
        <v>Inventory - Finished Goods</v>
      </c>
      <c r="J57" s="73">
        <v>62606.91</v>
      </c>
    </row>
    <row r="58" spans="1:10" hidden="1" outlineLevel="1" x14ac:dyDescent="0.3">
      <c r="A58" s="41" t="s">
        <v>581</v>
      </c>
      <c r="B58" s="219"/>
      <c r="C58" s="243"/>
      <c r="E58" s="71" t="str">
        <f>"000-1310-01"</f>
        <v>000-1310-01</v>
      </c>
      <c r="F58" s="72" t="str">
        <f t="shared" si="4"/>
        <v>000</v>
      </c>
      <c r="G58" s="72" t="str">
        <f>"1310"</f>
        <v>1310</v>
      </c>
      <c r="H58" s="72" t="str">
        <f>"01"</f>
        <v>01</v>
      </c>
      <c r="I58" s="72" t="str">
        <f>"Inventory Warehouse - Retail/Parts"</f>
        <v>Inventory Warehouse - Retail/Parts</v>
      </c>
      <c r="J58" s="73">
        <v>62613.94</v>
      </c>
    </row>
    <row r="59" spans="1:10" hidden="1" outlineLevel="1" x14ac:dyDescent="0.3">
      <c r="A59" s="41" t="s">
        <v>581</v>
      </c>
      <c r="B59" s="219"/>
      <c r="C59" s="243"/>
      <c r="E59" s="71" t="str">
        <f>"000-1312-00"</f>
        <v>000-1312-00</v>
      </c>
      <c r="F59" s="72" t="str">
        <f t="shared" si="4"/>
        <v>000</v>
      </c>
      <c r="G59" s="72" t="str">
        <f>"1312"</f>
        <v>1312</v>
      </c>
      <c r="H59" s="72" t="str">
        <f>"00"</f>
        <v>00</v>
      </c>
      <c r="I59" s="72" t="str">
        <f>"Inventory Offset"</f>
        <v>Inventory Offset</v>
      </c>
      <c r="J59" s="73">
        <v>0</v>
      </c>
    </row>
    <row r="60" spans="1:10" hidden="1" outlineLevel="1" x14ac:dyDescent="0.3">
      <c r="A60" s="41" t="s">
        <v>581</v>
      </c>
      <c r="B60" s="219"/>
      <c r="C60" s="243"/>
      <c r="E60" s="71" t="str">
        <f>"000-1320-01"</f>
        <v>000-1320-01</v>
      </c>
      <c r="F60" s="72" t="str">
        <f t="shared" si="4"/>
        <v>000</v>
      </c>
      <c r="G60" s="72" t="str">
        <f>"1320"</f>
        <v>1320</v>
      </c>
      <c r="H60" s="72" t="str">
        <f>"01"</f>
        <v>01</v>
      </c>
      <c r="I60" s="72" t="str">
        <f>"Non-inventoried item"</f>
        <v>Non-inventoried item</v>
      </c>
      <c r="J60" s="73">
        <v>0</v>
      </c>
    </row>
    <row r="61" spans="1:10" hidden="1" outlineLevel="1" x14ac:dyDescent="0.3">
      <c r="A61" s="41" t="s">
        <v>581</v>
      </c>
      <c r="B61" s="219"/>
      <c r="C61" s="243"/>
      <c r="E61" s="71" t="str">
        <f>"000-1330-01"</f>
        <v>000-1330-01</v>
      </c>
      <c r="F61" s="72" t="str">
        <f t="shared" si="4"/>
        <v>000</v>
      </c>
      <c r="G61" s="72" t="str">
        <f>"1330"</f>
        <v>1330</v>
      </c>
      <c r="H61" s="72" t="str">
        <f>"01"</f>
        <v>01</v>
      </c>
      <c r="I61" s="72" t="str">
        <f>"Inventory Returns - Retail/Parts"</f>
        <v>Inventory Returns - Retail/Parts</v>
      </c>
      <c r="J61" s="73">
        <v>0</v>
      </c>
    </row>
    <row r="62" spans="1:10" hidden="1" outlineLevel="1" x14ac:dyDescent="0.3">
      <c r="A62" s="41" t="s">
        <v>581</v>
      </c>
      <c r="B62" s="219"/>
      <c r="C62" s="243"/>
      <c r="E62" s="71" t="str">
        <f>"000-1330-02"</f>
        <v>000-1330-02</v>
      </c>
      <c r="F62" s="72" t="str">
        <f t="shared" si="4"/>
        <v>000</v>
      </c>
      <c r="G62" s="72" t="str">
        <f>"1330"</f>
        <v>1330</v>
      </c>
      <c r="H62" s="72" t="str">
        <f>"02"</f>
        <v>02</v>
      </c>
      <c r="I62" s="72" t="str">
        <f>"Inventory Returns - Finished Goods"</f>
        <v>Inventory Returns - Finished Goods</v>
      </c>
      <c r="J62" s="73">
        <v>0</v>
      </c>
    </row>
    <row r="63" spans="1:10" hidden="1" outlineLevel="1" x14ac:dyDescent="0.3">
      <c r="A63" s="41" t="s">
        <v>581</v>
      </c>
      <c r="B63" s="219"/>
      <c r="C63" s="243"/>
      <c r="E63" s="71" t="str">
        <f>"000-1330-03"</f>
        <v>000-1330-03</v>
      </c>
      <c r="F63" s="72" t="str">
        <f t="shared" si="4"/>
        <v>000</v>
      </c>
      <c r="G63" s="72" t="str">
        <f>"1330"</f>
        <v>1330</v>
      </c>
      <c r="H63" s="72" t="str">
        <f>"03"</f>
        <v>03</v>
      </c>
      <c r="I63" s="72" t="str">
        <f>"Inventory Returns - Warehouse"</f>
        <v>Inventory Returns - Warehouse</v>
      </c>
      <c r="J63" s="73">
        <v>0</v>
      </c>
    </row>
    <row r="64" spans="1:10" hidden="1" outlineLevel="1" x14ac:dyDescent="0.3">
      <c r="A64" s="41" t="s">
        <v>581</v>
      </c>
      <c r="B64" s="219"/>
      <c r="C64" s="243"/>
      <c r="E64" s="71" t="str">
        <f>"000-1350-02"</f>
        <v>000-1350-02</v>
      </c>
      <c r="F64" s="72" t="str">
        <f t="shared" si="4"/>
        <v>000</v>
      </c>
      <c r="G64" s="72" t="str">
        <f t="shared" ref="G64:G71" si="5">"1350"</f>
        <v>1350</v>
      </c>
      <c r="H64" s="72" t="str">
        <f>"02"</f>
        <v>02</v>
      </c>
      <c r="I64" s="72" t="str">
        <f>"Inventory - Mat. Fixed OH"</f>
        <v>Inventory - Mat. Fixed OH</v>
      </c>
      <c r="J64" s="73">
        <v>0</v>
      </c>
    </row>
    <row r="65" spans="1:10" hidden="1" outlineLevel="1" x14ac:dyDescent="0.3">
      <c r="A65" s="41" t="s">
        <v>581</v>
      </c>
      <c r="B65" s="219"/>
      <c r="C65" s="243"/>
      <c r="E65" s="71" t="str">
        <f>"000-1350-03"</f>
        <v>000-1350-03</v>
      </c>
      <c r="F65" s="72" t="str">
        <f t="shared" si="4"/>
        <v>000</v>
      </c>
      <c r="G65" s="72" t="str">
        <f t="shared" si="5"/>
        <v>1350</v>
      </c>
      <c r="H65" s="72" t="str">
        <f>"03"</f>
        <v>03</v>
      </c>
      <c r="I65" s="72" t="str">
        <f>"Inventory - Mat. Var. OH"</f>
        <v>Inventory - Mat. Var. OH</v>
      </c>
      <c r="J65" s="73">
        <v>0</v>
      </c>
    </row>
    <row r="66" spans="1:10" hidden="1" outlineLevel="1" x14ac:dyDescent="0.3">
      <c r="A66" s="41" t="s">
        <v>581</v>
      </c>
      <c r="B66" s="219"/>
      <c r="C66" s="243"/>
      <c r="E66" s="71" t="str">
        <f>"000-1350-04"</f>
        <v>000-1350-04</v>
      </c>
      <c r="F66" s="72" t="str">
        <f t="shared" si="4"/>
        <v>000</v>
      </c>
      <c r="G66" s="72" t="str">
        <f t="shared" si="5"/>
        <v>1350</v>
      </c>
      <c r="H66" s="72" t="str">
        <f>"04"</f>
        <v>04</v>
      </c>
      <c r="I66" s="72" t="str">
        <f>"Inventory - Labor"</f>
        <v>Inventory - Labor</v>
      </c>
      <c r="J66" s="73">
        <v>0</v>
      </c>
    </row>
    <row r="67" spans="1:10" hidden="1" outlineLevel="1" x14ac:dyDescent="0.3">
      <c r="A67" s="41" t="s">
        <v>581</v>
      </c>
      <c r="B67" s="219"/>
      <c r="C67" s="243"/>
      <c r="E67" s="71" t="str">
        <f>"000-1350-05"</f>
        <v>000-1350-05</v>
      </c>
      <c r="F67" s="72" t="str">
        <f t="shared" si="4"/>
        <v>000</v>
      </c>
      <c r="G67" s="72" t="str">
        <f t="shared" si="5"/>
        <v>1350</v>
      </c>
      <c r="H67" s="72" t="str">
        <f>"05"</f>
        <v>05</v>
      </c>
      <c r="I67" s="72" t="str">
        <f>"Inventory - Labor Fixed OH"</f>
        <v>Inventory - Labor Fixed OH</v>
      </c>
      <c r="J67" s="73">
        <v>0</v>
      </c>
    </row>
    <row r="68" spans="1:10" hidden="1" outlineLevel="1" x14ac:dyDescent="0.3">
      <c r="A68" s="41" t="s">
        <v>581</v>
      </c>
      <c r="B68" s="219"/>
      <c r="C68" s="243"/>
      <c r="E68" s="71" t="str">
        <f>"000-1350-06"</f>
        <v>000-1350-06</v>
      </c>
      <c r="F68" s="72" t="str">
        <f t="shared" si="4"/>
        <v>000</v>
      </c>
      <c r="G68" s="72" t="str">
        <f t="shared" si="5"/>
        <v>1350</v>
      </c>
      <c r="H68" s="72" t="str">
        <f>"06"</f>
        <v>06</v>
      </c>
      <c r="I68" s="72" t="str">
        <f>"Inventory - Labor Var. OH"</f>
        <v>Inventory - Labor Var. OH</v>
      </c>
      <c r="J68" s="73">
        <v>0</v>
      </c>
    </row>
    <row r="69" spans="1:10" hidden="1" outlineLevel="1" x14ac:dyDescent="0.3">
      <c r="A69" s="41" t="s">
        <v>581</v>
      </c>
      <c r="B69" s="219"/>
      <c r="C69" s="243"/>
      <c r="E69" s="71" t="str">
        <f>"000-1350-07"</f>
        <v>000-1350-07</v>
      </c>
      <c r="F69" s="72" t="str">
        <f t="shared" si="4"/>
        <v>000</v>
      </c>
      <c r="G69" s="72" t="str">
        <f t="shared" si="5"/>
        <v>1350</v>
      </c>
      <c r="H69" s="72" t="str">
        <f>"07"</f>
        <v>07</v>
      </c>
      <c r="I69" s="72" t="str">
        <f>"Inventory - Machine"</f>
        <v>Inventory - Machine</v>
      </c>
      <c r="J69" s="73">
        <v>0</v>
      </c>
    </row>
    <row r="70" spans="1:10" hidden="1" outlineLevel="1" x14ac:dyDescent="0.3">
      <c r="A70" s="41" t="s">
        <v>581</v>
      </c>
      <c r="B70" s="219"/>
      <c r="C70" s="243"/>
      <c r="E70" s="71" t="str">
        <f>"000-1350-08"</f>
        <v>000-1350-08</v>
      </c>
      <c r="F70" s="72" t="str">
        <f t="shared" si="4"/>
        <v>000</v>
      </c>
      <c r="G70" s="72" t="str">
        <f t="shared" si="5"/>
        <v>1350</v>
      </c>
      <c r="H70" s="72" t="str">
        <f>"08"</f>
        <v>08</v>
      </c>
      <c r="I70" s="72" t="str">
        <f>"Inventory - Mach. Fixed OH"</f>
        <v>Inventory - Mach. Fixed OH</v>
      </c>
      <c r="J70" s="73">
        <v>0</v>
      </c>
    </row>
    <row r="71" spans="1:10" hidden="1" outlineLevel="1" x14ac:dyDescent="0.3">
      <c r="A71" s="41" t="s">
        <v>581</v>
      </c>
      <c r="B71" s="219"/>
      <c r="C71" s="243"/>
      <c r="E71" s="71" t="str">
        <f>"000-1350-09"</f>
        <v>000-1350-09</v>
      </c>
      <c r="F71" s="72" t="str">
        <f t="shared" si="4"/>
        <v>000</v>
      </c>
      <c r="G71" s="72" t="str">
        <f t="shared" si="5"/>
        <v>1350</v>
      </c>
      <c r="H71" s="72" t="str">
        <f>"09"</f>
        <v>09</v>
      </c>
      <c r="I71" s="72" t="str">
        <f>"Inventory - Mach. Var. OH"</f>
        <v>Inventory - Mach. Var. OH</v>
      </c>
      <c r="J71" s="73">
        <v>0</v>
      </c>
    </row>
    <row r="72" spans="1:10" hidden="1" outlineLevel="1" x14ac:dyDescent="0.3">
      <c r="A72" s="41" t="s">
        <v>581</v>
      </c>
      <c r="B72" s="219"/>
      <c r="C72" s="243"/>
      <c r="E72" s="71" t="str">
        <f>"000-1390-00"</f>
        <v>000-1390-00</v>
      </c>
      <c r="F72" s="72" t="str">
        <f t="shared" si="4"/>
        <v>000</v>
      </c>
      <c r="G72" s="72" t="str">
        <f>"1390"</f>
        <v>1390</v>
      </c>
      <c r="H72" s="72" t="str">
        <f>"00"</f>
        <v>00</v>
      </c>
      <c r="I72" s="72" t="str">
        <f>"Standard Cost Revaluation"</f>
        <v>Standard Cost Revaluation</v>
      </c>
      <c r="J72" s="73">
        <v>0</v>
      </c>
    </row>
    <row r="73" spans="1:10" hidden="1" outlineLevel="1" x14ac:dyDescent="0.3">
      <c r="A73" s="41" t="s">
        <v>581</v>
      </c>
      <c r="B73" s="219"/>
      <c r="C73" s="243"/>
      <c r="E73" s="71" t="str">
        <f>"000-2735-00"</f>
        <v>000-2735-00</v>
      </c>
      <c r="F73" s="72" t="str">
        <f t="shared" si="4"/>
        <v>000</v>
      </c>
      <c r="G73" s="72" t="str">
        <f>"2735"</f>
        <v>2735</v>
      </c>
      <c r="H73" s="72" t="str">
        <f>"00"</f>
        <v>00</v>
      </c>
      <c r="I73" s="72" t="str">
        <f>"Purchases Clearing Acct for Inventory"</f>
        <v>Purchases Clearing Acct for Inventory</v>
      </c>
      <c r="J73" s="73">
        <v>0</v>
      </c>
    </row>
    <row r="74" spans="1:10" hidden="1" outlineLevel="1" x14ac:dyDescent="0.3">
      <c r="A74" s="41" t="s">
        <v>581</v>
      </c>
      <c r="B74" s="219"/>
      <c r="C74" s="243"/>
      <c r="E74" s="71" t="str">
        <f>"000-4750-01"</f>
        <v>000-4750-01</v>
      </c>
      <c r="F74" s="72" t="str">
        <f t="shared" si="4"/>
        <v>000</v>
      </c>
      <c r="G74" s="72" t="str">
        <f t="shared" ref="G74:G82" si="6">"4750"</f>
        <v>4750</v>
      </c>
      <c r="H74" s="72" t="str">
        <f>"01"</f>
        <v>01</v>
      </c>
      <c r="I74" s="72" t="str">
        <f>"Variance - Material"</f>
        <v>Variance - Material</v>
      </c>
      <c r="J74" s="73">
        <v>0</v>
      </c>
    </row>
    <row r="75" spans="1:10" hidden="1" outlineLevel="1" x14ac:dyDescent="0.3">
      <c r="A75" s="41" t="s">
        <v>581</v>
      </c>
      <c r="B75" s="219"/>
      <c r="C75" s="243"/>
      <c r="E75" s="71" t="str">
        <f>"000-4750-02"</f>
        <v>000-4750-02</v>
      </c>
      <c r="F75" s="72" t="str">
        <f t="shared" si="4"/>
        <v>000</v>
      </c>
      <c r="G75" s="72" t="str">
        <f t="shared" si="6"/>
        <v>4750</v>
      </c>
      <c r="H75" s="72" t="str">
        <f>"02"</f>
        <v>02</v>
      </c>
      <c r="I75" s="72" t="str">
        <f>"Variance - Mat. Fixed OH"</f>
        <v>Variance - Mat. Fixed OH</v>
      </c>
      <c r="J75" s="73">
        <v>0</v>
      </c>
    </row>
    <row r="76" spans="1:10" hidden="1" outlineLevel="1" x14ac:dyDescent="0.3">
      <c r="A76" s="41" t="s">
        <v>581</v>
      </c>
      <c r="B76" s="219"/>
      <c r="C76" s="243"/>
      <c r="E76" s="71" t="str">
        <f>"000-4750-03"</f>
        <v>000-4750-03</v>
      </c>
      <c r="F76" s="72" t="str">
        <f t="shared" si="4"/>
        <v>000</v>
      </c>
      <c r="G76" s="72" t="str">
        <f t="shared" si="6"/>
        <v>4750</v>
      </c>
      <c r="H76" s="72" t="str">
        <f>"03"</f>
        <v>03</v>
      </c>
      <c r="I76" s="72" t="str">
        <f>"Variance - Mat. Var. OH"</f>
        <v>Variance - Mat. Var. OH</v>
      </c>
      <c r="J76" s="73">
        <v>0</v>
      </c>
    </row>
    <row r="77" spans="1:10" hidden="1" outlineLevel="1" x14ac:dyDescent="0.3">
      <c r="A77" s="41" t="s">
        <v>581</v>
      </c>
      <c r="B77" s="219"/>
      <c r="C77" s="243"/>
      <c r="E77" s="71" t="str">
        <f>"000-4750-04"</f>
        <v>000-4750-04</v>
      </c>
      <c r="F77" s="72" t="str">
        <f t="shared" si="4"/>
        <v>000</v>
      </c>
      <c r="G77" s="72" t="str">
        <f t="shared" si="6"/>
        <v>4750</v>
      </c>
      <c r="H77" s="72" t="str">
        <f>"04"</f>
        <v>04</v>
      </c>
      <c r="I77" s="72" t="str">
        <f>"Variance - Labor"</f>
        <v>Variance - Labor</v>
      </c>
      <c r="J77" s="73">
        <v>0</v>
      </c>
    </row>
    <row r="78" spans="1:10" hidden="1" outlineLevel="1" x14ac:dyDescent="0.3">
      <c r="A78" s="41" t="s">
        <v>581</v>
      </c>
      <c r="B78" s="219"/>
      <c r="C78" s="243"/>
      <c r="E78" s="71" t="str">
        <f>"000-4750-05"</f>
        <v>000-4750-05</v>
      </c>
      <c r="F78" s="72" t="str">
        <f t="shared" si="4"/>
        <v>000</v>
      </c>
      <c r="G78" s="72" t="str">
        <f t="shared" si="6"/>
        <v>4750</v>
      </c>
      <c r="H78" s="72" t="str">
        <f>"05"</f>
        <v>05</v>
      </c>
      <c r="I78" s="72" t="str">
        <f>"Variance - Labor Fixed OH"</f>
        <v>Variance - Labor Fixed OH</v>
      </c>
      <c r="J78" s="73">
        <v>0</v>
      </c>
    </row>
    <row r="79" spans="1:10" hidden="1" outlineLevel="1" x14ac:dyDescent="0.3">
      <c r="A79" s="41" t="s">
        <v>581</v>
      </c>
      <c r="B79" s="219"/>
      <c r="C79" s="243"/>
      <c r="E79" s="71" t="str">
        <f>"000-4750-06"</f>
        <v>000-4750-06</v>
      </c>
      <c r="F79" s="72" t="str">
        <f t="shared" si="4"/>
        <v>000</v>
      </c>
      <c r="G79" s="72" t="str">
        <f t="shared" si="6"/>
        <v>4750</v>
      </c>
      <c r="H79" s="72" t="str">
        <f>"06"</f>
        <v>06</v>
      </c>
      <c r="I79" s="72" t="str">
        <f>"Variance - Labor Var. OH"</f>
        <v>Variance - Labor Var. OH</v>
      </c>
      <c r="J79" s="73">
        <v>0</v>
      </c>
    </row>
    <row r="80" spans="1:10" hidden="1" outlineLevel="1" x14ac:dyDescent="0.3">
      <c r="A80" s="41" t="s">
        <v>581</v>
      </c>
      <c r="B80" s="219"/>
      <c r="C80" s="243"/>
      <c r="E80" s="71" t="str">
        <f>"000-4750-07"</f>
        <v>000-4750-07</v>
      </c>
      <c r="F80" s="72" t="str">
        <f t="shared" si="4"/>
        <v>000</v>
      </c>
      <c r="G80" s="72" t="str">
        <f t="shared" si="6"/>
        <v>4750</v>
      </c>
      <c r="H80" s="72" t="str">
        <f>"07"</f>
        <v>07</v>
      </c>
      <c r="I80" s="72" t="str">
        <f>"Variance - Machine"</f>
        <v>Variance - Machine</v>
      </c>
      <c r="J80" s="73">
        <v>0</v>
      </c>
    </row>
    <row r="81" spans="1:10" hidden="1" outlineLevel="1" x14ac:dyDescent="0.3">
      <c r="A81" s="41" t="s">
        <v>581</v>
      </c>
      <c r="B81" s="219"/>
      <c r="C81" s="243"/>
      <c r="E81" s="71" t="str">
        <f>"000-4750-08"</f>
        <v>000-4750-08</v>
      </c>
      <c r="F81" s="72" t="str">
        <f t="shared" si="4"/>
        <v>000</v>
      </c>
      <c r="G81" s="72" t="str">
        <f t="shared" si="6"/>
        <v>4750</v>
      </c>
      <c r="H81" s="72" t="str">
        <f>"08"</f>
        <v>08</v>
      </c>
      <c r="I81" s="72" t="str">
        <f>"Variance - Mach. Fixed OH"</f>
        <v>Variance - Mach. Fixed OH</v>
      </c>
      <c r="J81" s="73">
        <v>0</v>
      </c>
    </row>
    <row r="82" spans="1:10" hidden="1" outlineLevel="1" x14ac:dyDescent="0.3">
      <c r="A82" s="41" t="s">
        <v>581</v>
      </c>
      <c r="B82" s="219"/>
      <c r="C82" s="243"/>
      <c r="E82" s="71" t="str">
        <f>"000-4750-09"</f>
        <v>000-4750-09</v>
      </c>
      <c r="F82" s="72" t="str">
        <f t="shared" si="4"/>
        <v>000</v>
      </c>
      <c r="G82" s="72" t="str">
        <f t="shared" si="6"/>
        <v>4750</v>
      </c>
      <c r="H82" s="72" t="str">
        <f>"09"</f>
        <v>09</v>
      </c>
      <c r="I82" s="72" t="str">
        <f>"Variance - Mach. Var OH"</f>
        <v>Variance - Mach. Var OH</v>
      </c>
      <c r="J82" s="73">
        <v>0</v>
      </c>
    </row>
    <row r="83" spans="1:10" hidden="1" outlineLevel="1" x14ac:dyDescent="0.3">
      <c r="A83" s="41" t="s">
        <v>581</v>
      </c>
      <c r="B83" s="219"/>
      <c r="C83" s="243"/>
      <c r="E83" s="71" t="str">
        <f>"000-7410-00"</f>
        <v>000-7410-00</v>
      </c>
      <c r="F83" s="72" t="str">
        <f t="shared" si="4"/>
        <v>000</v>
      </c>
      <c r="G83" s="72" t="str">
        <f>"7410"</f>
        <v>7410</v>
      </c>
      <c r="H83" s="72" t="str">
        <f>"00"</f>
        <v>00</v>
      </c>
      <c r="I83" s="72" t="str">
        <f>"MFG Rounding"</f>
        <v>MFG Rounding</v>
      </c>
      <c r="J83" s="73">
        <v>0</v>
      </c>
    </row>
    <row r="84" spans="1:10" hidden="1" outlineLevel="1" x14ac:dyDescent="0.3">
      <c r="A84" s="41"/>
      <c r="B84" s="219"/>
      <c r="C84" s="243"/>
      <c r="E84" s="71"/>
      <c r="F84" s="72"/>
      <c r="G84" s="72"/>
      <c r="H84" s="72"/>
      <c r="J84" s="74"/>
    </row>
    <row r="85" spans="1:10" collapsed="1" x14ac:dyDescent="0.3">
      <c r="A85" s="41"/>
      <c r="B85" s="219"/>
      <c r="C85" s="244">
        <v>6</v>
      </c>
      <c r="E85" s="51" t="str">
        <f>"Work in Process"</f>
        <v>Work in Process</v>
      </c>
      <c r="J85" s="67">
        <f>SUBTOTAL(9,J86:J104)</f>
        <v>0</v>
      </c>
    </row>
    <row r="86" spans="1:10" hidden="1" outlineLevel="1" x14ac:dyDescent="0.3">
      <c r="A86" s="41"/>
      <c r="B86" s="219"/>
      <c r="C86" s="243"/>
      <c r="E86" s="71" t="str">
        <f>"000-1340-01"</f>
        <v>000-1340-01</v>
      </c>
      <c r="F86" s="72" t="str">
        <f t="shared" ref="F86:F103" si="7">"000"</f>
        <v>000</v>
      </c>
      <c r="G86" s="72" t="str">
        <f>"1340"</f>
        <v>1340</v>
      </c>
      <c r="H86" s="72" t="str">
        <f>"01"</f>
        <v>01</v>
      </c>
      <c r="I86" s="72" t="str">
        <f>"Work in Progress"</f>
        <v>Work in Progress</v>
      </c>
      <c r="J86" s="73">
        <v>0</v>
      </c>
    </row>
    <row r="87" spans="1:10" hidden="1" outlineLevel="1" x14ac:dyDescent="0.3">
      <c r="A87" s="41" t="s">
        <v>581</v>
      </c>
      <c r="B87" s="219"/>
      <c r="C87" s="243"/>
      <c r="E87" s="71" t="str">
        <f>"000-1360-01"</f>
        <v>000-1360-01</v>
      </c>
      <c r="F87" s="72" t="str">
        <f t="shared" si="7"/>
        <v>000</v>
      </c>
      <c r="G87" s="72" t="str">
        <f t="shared" ref="G87:G95" si="8">"1360"</f>
        <v>1360</v>
      </c>
      <c r="H87" s="72" t="str">
        <f>"01"</f>
        <v>01</v>
      </c>
      <c r="I87" s="72" t="str">
        <f>"WIP - Material"</f>
        <v>WIP - Material</v>
      </c>
      <c r="J87" s="73">
        <v>0</v>
      </c>
    </row>
    <row r="88" spans="1:10" hidden="1" outlineLevel="1" x14ac:dyDescent="0.3">
      <c r="A88" s="41" t="s">
        <v>581</v>
      </c>
      <c r="B88" s="219"/>
      <c r="C88" s="243"/>
      <c r="E88" s="71" t="str">
        <f>"000-1360-02"</f>
        <v>000-1360-02</v>
      </c>
      <c r="F88" s="72" t="str">
        <f t="shared" si="7"/>
        <v>000</v>
      </c>
      <c r="G88" s="72" t="str">
        <f t="shared" si="8"/>
        <v>1360</v>
      </c>
      <c r="H88" s="72" t="str">
        <f>"02"</f>
        <v>02</v>
      </c>
      <c r="I88" s="72" t="str">
        <f>"WIP - Material Fixed OH"</f>
        <v>WIP - Material Fixed OH</v>
      </c>
      <c r="J88" s="73">
        <v>0</v>
      </c>
    </row>
    <row r="89" spans="1:10" hidden="1" outlineLevel="1" x14ac:dyDescent="0.3">
      <c r="A89" s="41" t="s">
        <v>581</v>
      </c>
      <c r="B89" s="219"/>
      <c r="C89" s="243"/>
      <c r="E89" s="71" t="str">
        <f>"000-1360-03"</f>
        <v>000-1360-03</v>
      </c>
      <c r="F89" s="72" t="str">
        <f t="shared" si="7"/>
        <v>000</v>
      </c>
      <c r="G89" s="72" t="str">
        <f t="shared" si="8"/>
        <v>1360</v>
      </c>
      <c r="H89" s="72" t="str">
        <f>"03"</f>
        <v>03</v>
      </c>
      <c r="I89" s="72" t="str">
        <f>"WIP - Material Var. OH"</f>
        <v>WIP - Material Var. OH</v>
      </c>
      <c r="J89" s="73">
        <v>0</v>
      </c>
    </row>
    <row r="90" spans="1:10" hidden="1" outlineLevel="1" x14ac:dyDescent="0.3">
      <c r="A90" s="41" t="s">
        <v>581</v>
      </c>
      <c r="B90" s="219"/>
      <c r="C90" s="243"/>
      <c r="E90" s="71" t="str">
        <f>"000-1360-04"</f>
        <v>000-1360-04</v>
      </c>
      <c r="F90" s="72" t="str">
        <f t="shared" si="7"/>
        <v>000</v>
      </c>
      <c r="G90" s="72" t="str">
        <f t="shared" si="8"/>
        <v>1360</v>
      </c>
      <c r="H90" s="72" t="str">
        <f>"04"</f>
        <v>04</v>
      </c>
      <c r="I90" s="72" t="str">
        <f>"WIP - Labor"</f>
        <v>WIP - Labor</v>
      </c>
      <c r="J90" s="73">
        <v>0</v>
      </c>
    </row>
    <row r="91" spans="1:10" hidden="1" outlineLevel="1" x14ac:dyDescent="0.3">
      <c r="A91" s="41" t="s">
        <v>581</v>
      </c>
      <c r="B91" s="219"/>
      <c r="C91" s="243"/>
      <c r="E91" s="71" t="str">
        <f>"000-1360-05"</f>
        <v>000-1360-05</v>
      </c>
      <c r="F91" s="72" t="str">
        <f t="shared" si="7"/>
        <v>000</v>
      </c>
      <c r="G91" s="72" t="str">
        <f t="shared" si="8"/>
        <v>1360</v>
      </c>
      <c r="H91" s="72" t="str">
        <f>"05"</f>
        <v>05</v>
      </c>
      <c r="I91" s="72" t="str">
        <f>"WIP - Labor Fixed OH"</f>
        <v>WIP - Labor Fixed OH</v>
      </c>
      <c r="J91" s="73">
        <v>0</v>
      </c>
    </row>
    <row r="92" spans="1:10" hidden="1" outlineLevel="1" x14ac:dyDescent="0.3">
      <c r="A92" s="41" t="s">
        <v>581</v>
      </c>
      <c r="B92" s="219"/>
      <c r="C92" s="243"/>
      <c r="E92" s="71" t="str">
        <f>"000-1360-06"</f>
        <v>000-1360-06</v>
      </c>
      <c r="F92" s="72" t="str">
        <f t="shared" si="7"/>
        <v>000</v>
      </c>
      <c r="G92" s="72" t="str">
        <f t="shared" si="8"/>
        <v>1360</v>
      </c>
      <c r="H92" s="72" t="str">
        <f>"06"</f>
        <v>06</v>
      </c>
      <c r="I92" s="72" t="str">
        <f>"WIP - Labor Var. OH"</f>
        <v>WIP - Labor Var. OH</v>
      </c>
      <c r="J92" s="73">
        <v>0</v>
      </c>
    </row>
    <row r="93" spans="1:10" hidden="1" outlineLevel="1" x14ac:dyDescent="0.3">
      <c r="A93" s="41" t="s">
        <v>581</v>
      </c>
      <c r="B93" s="219"/>
      <c r="C93" s="243"/>
      <c r="E93" s="71" t="str">
        <f>"000-1360-07"</f>
        <v>000-1360-07</v>
      </c>
      <c r="F93" s="72" t="str">
        <f t="shared" si="7"/>
        <v>000</v>
      </c>
      <c r="G93" s="72" t="str">
        <f t="shared" si="8"/>
        <v>1360</v>
      </c>
      <c r="H93" s="72" t="str">
        <f>"07"</f>
        <v>07</v>
      </c>
      <c r="I93" s="72" t="str">
        <f>"WIP - Machine"</f>
        <v>WIP - Machine</v>
      </c>
      <c r="J93" s="73">
        <v>0</v>
      </c>
    </row>
    <row r="94" spans="1:10" hidden="1" outlineLevel="1" x14ac:dyDescent="0.3">
      <c r="A94" s="41" t="s">
        <v>581</v>
      </c>
      <c r="B94" s="219"/>
      <c r="C94" s="243"/>
      <c r="E94" s="71" t="str">
        <f>"000-1360-08"</f>
        <v>000-1360-08</v>
      </c>
      <c r="F94" s="72" t="str">
        <f t="shared" si="7"/>
        <v>000</v>
      </c>
      <c r="G94" s="72" t="str">
        <f t="shared" si="8"/>
        <v>1360</v>
      </c>
      <c r="H94" s="72" t="str">
        <f>"08"</f>
        <v>08</v>
      </c>
      <c r="I94" s="72" t="str">
        <f>"WIP - Machine Fixed OH"</f>
        <v>WIP - Machine Fixed OH</v>
      </c>
      <c r="J94" s="73">
        <v>0</v>
      </c>
    </row>
    <row r="95" spans="1:10" hidden="1" outlineLevel="1" x14ac:dyDescent="0.3">
      <c r="A95" s="41" t="s">
        <v>581</v>
      </c>
      <c r="B95" s="219"/>
      <c r="C95" s="243"/>
      <c r="E95" s="71" t="str">
        <f>"000-1360-09"</f>
        <v>000-1360-09</v>
      </c>
      <c r="F95" s="72" t="str">
        <f t="shared" si="7"/>
        <v>000</v>
      </c>
      <c r="G95" s="72" t="str">
        <f t="shared" si="8"/>
        <v>1360</v>
      </c>
      <c r="H95" s="72" t="str">
        <f>"09"</f>
        <v>09</v>
      </c>
      <c r="I95" s="72" t="str">
        <f>"WIP - Machine Var. OH"</f>
        <v>WIP - Machine Var. OH</v>
      </c>
      <c r="J95" s="73">
        <v>0</v>
      </c>
    </row>
    <row r="96" spans="1:10" hidden="1" outlineLevel="1" x14ac:dyDescent="0.3">
      <c r="A96" s="41" t="s">
        <v>581</v>
      </c>
      <c r="B96" s="219"/>
      <c r="C96" s="243"/>
      <c r="E96" s="71" t="str">
        <f>"000-1370-01"</f>
        <v>000-1370-01</v>
      </c>
      <c r="F96" s="72" t="str">
        <f t="shared" si="7"/>
        <v>000</v>
      </c>
      <c r="G96" s="72" t="str">
        <f>"1370"</f>
        <v>1370</v>
      </c>
      <c r="H96" s="72" t="str">
        <f>"01"</f>
        <v>01</v>
      </c>
      <c r="I96" s="72" t="str">
        <f>"Applied - Material Fixed OH"</f>
        <v>Applied - Material Fixed OH</v>
      </c>
      <c r="J96" s="73">
        <v>0</v>
      </c>
    </row>
    <row r="97" spans="1:10" hidden="1" outlineLevel="1" x14ac:dyDescent="0.3">
      <c r="A97" s="41" t="s">
        <v>581</v>
      </c>
      <c r="B97" s="219"/>
      <c r="C97" s="243"/>
      <c r="E97" s="71" t="str">
        <f>"000-1370-02"</f>
        <v>000-1370-02</v>
      </c>
      <c r="F97" s="72" t="str">
        <f t="shared" si="7"/>
        <v>000</v>
      </c>
      <c r="G97" s="72" t="str">
        <f>"1370"</f>
        <v>1370</v>
      </c>
      <c r="H97" s="72" t="str">
        <f>"02"</f>
        <v>02</v>
      </c>
      <c r="I97" s="72" t="str">
        <f>"Applied - Material Var. OH"</f>
        <v>Applied - Material Var. OH</v>
      </c>
      <c r="J97" s="73">
        <v>0</v>
      </c>
    </row>
    <row r="98" spans="1:10" hidden="1" outlineLevel="1" x14ac:dyDescent="0.3">
      <c r="A98" s="41" t="s">
        <v>581</v>
      </c>
      <c r="B98" s="219"/>
      <c r="C98" s="243"/>
      <c r="E98" s="71" t="str">
        <f>"000-1380-04"</f>
        <v>000-1380-04</v>
      </c>
      <c r="F98" s="72" t="str">
        <f t="shared" si="7"/>
        <v>000</v>
      </c>
      <c r="G98" s="72" t="str">
        <f t="shared" ref="G98:G103" si="9">"1380"</f>
        <v>1380</v>
      </c>
      <c r="H98" s="72" t="str">
        <f>"04"</f>
        <v>04</v>
      </c>
      <c r="I98" s="72" t="str">
        <f>"Labor Applied"</f>
        <v>Labor Applied</v>
      </c>
      <c r="J98" s="73">
        <v>0</v>
      </c>
    </row>
    <row r="99" spans="1:10" hidden="1" outlineLevel="1" x14ac:dyDescent="0.3">
      <c r="A99" s="41" t="s">
        <v>581</v>
      </c>
      <c r="B99" s="219"/>
      <c r="C99" s="243"/>
      <c r="E99" s="71" t="str">
        <f>"000-1380-05"</f>
        <v>000-1380-05</v>
      </c>
      <c r="F99" s="72" t="str">
        <f t="shared" si="7"/>
        <v>000</v>
      </c>
      <c r="G99" s="72" t="str">
        <f t="shared" si="9"/>
        <v>1380</v>
      </c>
      <c r="H99" s="72" t="str">
        <f>"05"</f>
        <v>05</v>
      </c>
      <c r="I99" s="72" t="str">
        <f>"Applied - Labor Fixed OH"</f>
        <v>Applied - Labor Fixed OH</v>
      </c>
      <c r="J99" s="73">
        <v>0</v>
      </c>
    </row>
    <row r="100" spans="1:10" hidden="1" outlineLevel="1" x14ac:dyDescent="0.3">
      <c r="A100" s="41" t="s">
        <v>581</v>
      </c>
      <c r="B100" s="219"/>
      <c r="C100" s="243"/>
      <c r="E100" s="71" t="str">
        <f>"000-1380-06"</f>
        <v>000-1380-06</v>
      </c>
      <c r="F100" s="72" t="str">
        <f t="shared" si="7"/>
        <v>000</v>
      </c>
      <c r="G100" s="72" t="str">
        <f t="shared" si="9"/>
        <v>1380</v>
      </c>
      <c r="H100" s="72" t="str">
        <f>"06"</f>
        <v>06</v>
      </c>
      <c r="I100" s="72" t="str">
        <f>"Applied - Labor Var. OH"</f>
        <v>Applied - Labor Var. OH</v>
      </c>
      <c r="J100" s="73">
        <v>0</v>
      </c>
    </row>
    <row r="101" spans="1:10" hidden="1" outlineLevel="1" x14ac:dyDescent="0.3">
      <c r="A101" s="41" t="s">
        <v>581</v>
      </c>
      <c r="B101" s="219"/>
      <c r="C101" s="243"/>
      <c r="E101" s="71" t="str">
        <f>"000-1380-07"</f>
        <v>000-1380-07</v>
      </c>
      <c r="F101" s="72" t="str">
        <f t="shared" si="7"/>
        <v>000</v>
      </c>
      <c r="G101" s="72" t="str">
        <f t="shared" si="9"/>
        <v>1380</v>
      </c>
      <c r="H101" s="72" t="str">
        <f>"07"</f>
        <v>07</v>
      </c>
      <c r="I101" s="72" t="str">
        <f>"Machine - Applied"</f>
        <v>Machine - Applied</v>
      </c>
      <c r="J101" s="73">
        <v>0</v>
      </c>
    </row>
    <row r="102" spans="1:10" hidden="1" outlineLevel="1" x14ac:dyDescent="0.3">
      <c r="A102" s="41" t="s">
        <v>581</v>
      </c>
      <c r="B102" s="219"/>
      <c r="C102" s="243"/>
      <c r="E102" s="71" t="str">
        <f>"000-1380-08"</f>
        <v>000-1380-08</v>
      </c>
      <c r="F102" s="72" t="str">
        <f t="shared" si="7"/>
        <v>000</v>
      </c>
      <c r="G102" s="72" t="str">
        <f t="shared" si="9"/>
        <v>1380</v>
      </c>
      <c r="H102" s="72" t="str">
        <f>"08"</f>
        <v>08</v>
      </c>
      <c r="I102" s="72" t="str">
        <f>"Applied - Mach. Fixed OH"</f>
        <v>Applied - Mach. Fixed OH</v>
      </c>
      <c r="J102" s="73">
        <v>0</v>
      </c>
    </row>
    <row r="103" spans="1:10" hidden="1" outlineLevel="1" x14ac:dyDescent="0.3">
      <c r="A103" s="41" t="s">
        <v>581</v>
      </c>
      <c r="B103" s="219"/>
      <c r="C103" s="243"/>
      <c r="E103" s="71" t="str">
        <f>"000-1380-09"</f>
        <v>000-1380-09</v>
      </c>
      <c r="F103" s="72" t="str">
        <f t="shared" si="7"/>
        <v>000</v>
      </c>
      <c r="G103" s="72" t="str">
        <f t="shared" si="9"/>
        <v>1380</v>
      </c>
      <c r="H103" s="72" t="str">
        <f>"09"</f>
        <v>09</v>
      </c>
      <c r="I103" s="72" t="str">
        <f>"Applied - Mach. Var. OH"</f>
        <v>Applied - Mach. Var. OH</v>
      </c>
      <c r="J103" s="73">
        <v>0</v>
      </c>
    </row>
    <row r="104" spans="1:10" hidden="1" outlineLevel="1" x14ac:dyDescent="0.3">
      <c r="A104" s="41"/>
      <c r="B104" s="219"/>
      <c r="C104" s="243"/>
      <c r="E104" s="71"/>
      <c r="F104" s="72"/>
      <c r="G104" s="72"/>
      <c r="H104" s="72"/>
      <c r="J104" s="74"/>
    </row>
    <row r="105" spans="1:10" collapsed="1" x14ac:dyDescent="0.3">
      <c r="A105" s="41"/>
      <c r="B105" s="219"/>
      <c r="C105" s="244">
        <v>7</v>
      </c>
      <c r="E105" s="51" t="str">
        <f>"Prepaid Expenses"</f>
        <v>Prepaid Expenses</v>
      </c>
      <c r="J105" s="67">
        <f>SUBTOTAL(9,J106:J108)</f>
        <v>31486.59</v>
      </c>
    </row>
    <row r="106" spans="1:10" hidden="1" outlineLevel="1" x14ac:dyDescent="0.3">
      <c r="A106" s="41"/>
      <c r="B106" s="219"/>
      <c r="C106" s="243"/>
      <c r="E106" s="71" t="str">
        <f>"000-1400-00"</f>
        <v>000-1400-00</v>
      </c>
      <c r="F106" s="72" t="str">
        <f>"000"</f>
        <v>000</v>
      </c>
      <c r="G106" s="72" t="str">
        <f>"1400"</f>
        <v>1400</v>
      </c>
      <c r="H106" s="72" t="str">
        <f>"00"</f>
        <v>00</v>
      </c>
      <c r="I106" s="72" t="str">
        <f>"Prepaid Expenses"</f>
        <v>Prepaid Expenses</v>
      </c>
      <c r="J106" s="73">
        <v>0</v>
      </c>
    </row>
    <row r="107" spans="1:10" hidden="1" outlineLevel="1" x14ac:dyDescent="0.3">
      <c r="A107" s="41" t="s">
        <v>581</v>
      </c>
      <c r="B107" s="219"/>
      <c r="C107" s="243"/>
      <c r="E107" s="71" t="str">
        <f>"000-1410-00"</f>
        <v>000-1410-00</v>
      </c>
      <c r="F107" s="72" t="str">
        <f>"000"</f>
        <v>000</v>
      </c>
      <c r="G107" s="72" t="str">
        <f>"1410"</f>
        <v>1410</v>
      </c>
      <c r="H107" s="72" t="str">
        <f>"00"</f>
        <v>00</v>
      </c>
      <c r="I107" s="72" t="str">
        <f>"Prepaid Insurance"</f>
        <v>Prepaid Insurance</v>
      </c>
      <c r="J107" s="73">
        <v>31486.59</v>
      </c>
    </row>
    <row r="108" spans="1:10" hidden="1" outlineLevel="1" x14ac:dyDescent="0.3">
      <c r="A108" s="41"/>
      <c r="B108" s="219"/>
      <c r="C108" s="243"/>
      <c r="E108" s="71"/>
      <c r="F108" s="72"/>
      <c r="G108" s="72"/>
      <c r="H108" s="72"/>
      <c r="J108" s="74"/>
    </row>
    <row r="109" spans="1:10" x14ac:dyDescent="0.3">
      <c r="A109" s="41"/>
      <c r="B109" s="219"/>
      <c r="C109" s="243"/>
      <c r="F109" s="87"/>
      <c r="G109" s="87"/>
      <c r="H109" s="85"/>
      <c r="I109" s="85" t="s">
        <v>44</v>
      </c>
      <c r="J109" s="86">
        <f>SUBTOTAL(9,J13:J108)</f>
        <v>2859737.06</v>
      </c>
    </row>
    <row r="110" spans="1:10" x14ac:dyDescent="0.3">
      <c r="A110" s="41"/>
      <c r="B110" s="219"/>
      <c r="C110" s="243"/>
    </row>
    <row r="111" spans="1:10" x14ac:dyDescent="0.3">
      <c r="A111" s="41"/>
      <c r="B111" s="219"/>
      <c r="C111" s="243"/>
      <c r="E111" s="88" t="s">
        <v>46</v>
      </c>
    </row>
    <row r="112" spans="1:10" collapsed="1" x14ac:dyDescent="0.3">
      <c r="A112" s="41"/>
      <c r="B112" s="219"/>
      <c r="C112" s="244">
        <v>9</v>
      </c>
      <c r="E112" s="51" t="str">
        <f>"Property, Plant and Equipment"</f>
        <v>Property, Plant and Equipment</v>
      </c>
      <c r="J112" s="67">
        <f>SUBTOTAL(9,J113:J120)</f>
        <v>2141975.5</v>
      </c>
    </row>
    <row r="113" spans="1:10" hidden="1" outlineLevel="1" x14ac:dyDescent="0.3">
      <c r="A113" s="41"/>
      <c r="B113" s="219"/>
      <c r="C113" s="243"/>
      <c r="E113" s="71" t="str">
        <f>"000-1500-00"</f>
        <v>000-1500-00</v>
      </c>
      <c r="F113" s="72" t="str">
        <f t="shared" ref="F113:F119" si="10">"000"</f>
        <v>000</v>
      </c>
      <c r="G113" s="72" t="str">
        <f>"1500"</f>
        <v>1500</v>
      </c>
      <c r="H113" s="72" t="str">
        <f t="shared" ref="H113:H119" si="11">"00"</f>
        <v>00</v>
      </c>
      <c r="I113" s="72" t="str">
        <f>"Furniture &amp; Fixtures"</f>
        <v>Furniture &amp; Fixtures</v>
      </c>
      <c r="J113" s="73">
        <v>543695.97</v>
      </c>
    </row>
    <row r="114" spans="1:10" hidden="1" outlineLevel="1" x14ac:dyDescent="0.3">
      <c r="A114" s="41" t="s">
        <v>581</v>
      </c>
      <c r="B114" s="219"/>
      <c r="C114" s="243"/>
      <c r="E114" s="71" t="str">
        <f>"000-1510-00"</f>
        <v>000-1510-00</v>
      </c>
      <c r="F114" s="72" t="str">
        <f t="shared" si="10"/>
        <v>000</v>
      </c>
      <c r="G114" s="72" t="str">
        <f>"1510"</f>
        <v>1510</v>
      </c>
      <c r="H114" s="72" t="str">
        <f t="shared" si="11"/>
        <v>00</v>
      </c>
      <c r="I114" s="72" t="str">
        <f>"Computer Equipment"</f>
        <v>Computer Equipment</v>
      </c>
      <c r="J114" s="73">
        <v>125895.23</v>
      </c>
    </row>
    <row r="115" spans="1:10" hidden="1" outlineLevel="1" x14ac:dyDescent="0.3">
      <c r="A115" s="41" t="s">
        <v>581</v>
      </c>
      <c r="B115" s="219"/>
      <c r="C115" s="243"/>
      <c r="E115" s="71" t="str">
        <f>"000-1520-00"</f>
        <v>000-1520-00</v>
      </c>
      <c r="F115" s="72" t="str">
        <f t="shared" si="10"/>
        <v>000</v>
      </c>
      <c r="G115" s="72" t="str">
        <f>"1520"</f>
        <v>1520</v>
      </c>
      <c r="H115" s="72" t="str">
        <f t="shared" si="11"/>
        <v>00</v>
      </c>
      <c r="I115" s="72" t="str">
        <f>"Machinery &amp; Equipment"</f>
        <v>Machinery &amp; Equipment</v>
      </c>
      <c r="J115" s="73">
        <v>1409884.3</v>
      </c>
    </row>
    <row r="116" spans="1:10" hidden="1" outlineLevel="1" x14ac:dyDescent="0.3">
      <c r="A116" s="41" t="s">
        <v>581</v>
      </c>
      <c r="B116" s="219"/>
      <c r="C116" s="243"/>
      <c r="E116" s="71" t="str">
        <f>"000-1530-00"</f>
        <v>000-1530-00</v>
      </c>
      <c r="F116" s="72" t="str">
        <f t="shared" si="10"/>
        <v>000</v>
      </c>
      <c r="G116" s="72" t="str">
        <f>"1530"</f>
        <v>1530</v>
      </c>
      <c r="H116" s="72" t="str">
        <f t="shared" si="11"/>
        <v>00</v>
      </c>
      <c r="I116" s="72" t="str">
        <f>"Fleet Vehicles"</f>
        <v>Fleet Vehicles</v>
      </c>
      <c r="J116" s="73">
        <v>62500</v>
      </c>
    </row>
    <row r="117" spans="1:10" hidden="1" outlineLevel="1" x14ac:dyDescent="0.3">
      <c r="A117" s="41" t="s">
        <v>581</v>
      </c>
      <c r="B117" s="219"/>
      <c r="C117" s="243"/>
      <c r="E117" s="71" t="str">
        <f>"000-1590-00"</f>
        <v>000-1590-00</v>
      </c>
      <c r="F117" s="72" t="str">
        <f t="shared" si="10"/>
        <v>000</v>
      </c>
      <c r="G117" s="72" t="str">
        <f>"1590"</f>
        <v>1590</v>
      </c>
      <c r="H117" s="72" t="str">
        <f t="shared" si="11"/>
        <v>00</v>
      </c>
      <c r="I117" s="72" t="str">
        <f>"FA Clearing"</f>
        <v>FA Clearing</v>
      </c>
      <c r="J117" s="73">
        <v>0</v>
      </c>
    </row>
    <row r="118" spans="1:10" hidden="1" outlineLevel="1" x14ac:dyDescent="0.3">
      <c r="A118" s="41" t="s">
        <v>581</v>
      </c>
      <c r="B118" s="219"/>
      <c r="C118" s="243"/>
      <c r="E118" s="71" t="str">
        <f>"000-1700-00"</f>
        <v>000-1700-00</v>
      </c>
      <c r="F118" s="72" t="str">
        <f t="shared" si="10"/>
        <v>000</v>
      </c>
      <c r="G118" s="72" t="str">
        <f>"1700"</f>
        <v>1700</v>
      </c>
      <c r="H118" s="72" t="str">
        <f t="shared" si="11"/>
        <v>00</v>
      </c>
      <c r="I118" s="72" t="str">
        <f>"Leasehold Improvement Costs"</f>
        <v>Leasehold Improvement Costs</v>
      </c>
      <c r="J118" s="73">
        <v>0</v>
      </c>
    </row>
    <row r="119" spans="1:10" hidden="1" outlineLevel="1" x14ac:dyDescent="0.3">
      <c r="A119" s="41" t="s">
        <v>581</v>
      </c>
      <c r="B119" s="219"/>
      <c r="C119" s="243"/>
      <c r="E119" s="71" t="str">
        <f>"000-1710-00"</f>
        <v>000-1710-00</v>
      </c>
      <c r="F119" s="72" t="str">
        <f t="shared" si="10"/>
        <v>000</v>
      </c>
      <c r="G119" s="72" t="str">
        <f>"1710"</f>
        <v>1710</v>
      </c>
      <c r="H119" s="72" t="str">
        <f t="shared" si="11"/>
        <v>00</v>
      </c>
      <c r="I119" s="72" t="str">
        <f>"Amortized Leasehold Improvements"</f>
        <v>Amortized Leasehold Improvements</v>
      </c>
      <c r="J119" s="73">
        <v>0</v>
      </c>
    </row>
    <row r="120" spans="1:10" hidden="1" outlineLevel="1" x14ac:dyDescent="0.3">
      <c r="A120" s="41"/>
      <c r="B120" s="219"/>
      <c r="C120" s="243"/>
      <c r="E120" s="71"/>
      <c r="F120" s="72"/>
      <c r="G120" s="72"/>
      <c r="H120" s="72"/>
      <c r="J120" s="74"/>
    </row>
    <row r="121" spans="1:10" collapsed="1" x14ac:dyDescent="0.3">
      <c r="A121" s="41"/>
      <c r="B121" s="219"/>
      <c r="C121" s="244">
        <v>10</v>
      </c>
      <c r="E121" s="51" t="str">
        <f>"Accumulated Depreciation"</f>
        <v>Accumulated Depreciation</v>
      </c>
      <c r="J121" s="67">
        <f>SUBTOTAL(9,J122:J126)</f>
        <v>-927506.89</v>
      </c>
    </row>
    <row r="122" spans="1:10" hidden="1" outlineLevel="1" x14ac:dyDescent="0.3">
      <c r="A122" s="41"/>
      <c r="B122" s="219"/>
      <c r="C122" s="243"/>
      <c r="E122" s="71" t="str">
        <f>"000-1505-00"</f>
        <v>000-1505-00</v>
      </c>
      <c r="F122" s="72" t="str">
        <f>"000"</f>
        <v>000</v>
      </c>
      <c r="G122" s="72" t="str">
        <f>"1505"</f>
        <v>1505</v>
      </c>
      <c r="H122" s="72" t="str">
        <f>"00"</f>
        <v>00</v>
      </c>
      <c r="I122" s="72" t="str">
        <f>"Accumulated Depreciation-Furniture &amp; Fixtures"</f>
        <v>Accumulated Depreciation-Furniture &amp; Fixtures</v>
      </c>
      <c r="J122" s="73">
        <v>-204639.25</v>
      </c>
    </row>
    <row r="123" spans="1:10" hidden="1" outlineLevel="1" x14ac:dyDescent="0.3">
      <c r="A123" s="41" t="s">
        <v>581</v>
      </c>
      <c r="B123" s="219"/>
      <c r="C123" s="243"/>
      <c r="E123" s="71" t="str">
        <f>"000-1515-00"</f>
        <v>000-1515-00</v>
      </c>
      <c r="F123" s="72" t="str">
        <f>"000"</f>
        <v>000</v>
      </c>
      <c r="G123" s="72" t="str">
        <f>"1515"</f>
        <v>1515</v>
      </c>
      <c r="H123" s="72" t="str">
        <f>"00"</f>
        <v>00</v>
      </c>
      <c r="I123" s="72" t="str">
        <f>"Accumulated Depreciation-Computer Equipment"</f>
        <v>Accumulated Depreciation-Computer Equipment</v>
      </c>
      <c r="J123" s="73">
        <v>-48788.79</v>
      </c>
    </row>
    <row r="124" spans="1:10" hidden="1" outlineLevel="1" x14ac:dyDescent="0.3">
      <c r="A124" s="41" t="s">
        <v>581</v>
      </c>
      <c r="B124" s="219"/>
      <c r="C124" s="243"/>
      <c r="E124" s="71" t="str">
        <f>"000-1525-00"</f>
        <v>000-1525-00</v>
      </c>
      <c r="F124" s="72" t="str">
        <f>"000"</f>
        <v>000</v>
      </c>
      <c r="G124" s="72" t="str">
        <f>"1525"</f>
        <v>1525</v>
      </c>
      <c r="H124" s="72" t="str">
        <f>"00"</f>
        <v>00</v>
      </c>
      <c r="I124" s="72" t="str">
        <f>"Accumulated Depreciation-Machinery &amp; Equipment"</f>
        <v>Accumulated Depreciation-Machinery &amp; Equipment</v>
      </c>
      <c r="J124" s="73">
        <v>-654177.22</v>
      </c>
    </row>
    <row r="125" spans="1:10" hidden="1" outlineLevel="1" x14ac:dyDescent="0.3">
      <c r="A125" s="41" t="s">
        <v>581</v>
      </c>
      <c r="B125" s="219"/>
      <c r="C125" s="243"/>
      <c r="E125" s="71" t="str">
        <f>"000-1535-00"</f>
        <v>000-1535-00</v>
      </c>
      <c r="F125" s="72" t="str">
        <f>"000"</f>
        <v>000</v>
      </c>
      <c r="G125" s="72" t="str">
        <f>"1535"</f>
        <v>1535</v>
      </c>
      <c r="H125" s="72" t="str">
        <f>"00"</f>
        <v>00</v>
      </c>
      <c r="I125" s="72" t="str">
        <f>"Accumulated Depreciation-Fleet Vehicles"</f>
        <v>Accumulated Depreciation-Fleet Vehicles</v>
      </c>
      <c r="J125" s="73">
        <v>-19901.63</v>
      </c>
    </row>
    <row r="126" spans="1:10" hidden="1" outlineLevel="1" x14ac:dyDescent="0.3">
      <c r="A126" s="41"/>
      <c r="B126" s="219"/>
      <c r="C126" s="243"/>
      <c r="E126" s="71"/>
      <c r="F126" s="72"/>
      <c r="G126" s="72"/>
      <c r="H126" s="72"/>
      <c r="J126" s="74"/>
    </row>
    <row r="127" spans="1:10" collapsed="1" x14ac:dyDescent="0.3">
      <c r="A127" s="41"/>
      <c r="B127" s="219"/>
      <c r="C127" s="244">
        <v>11</v>
      </c>
      <c r="E127" s="51" t="str">
        <f>"Intangible Assets"</f>
        <v>Intangible Assets</v>
      </c>
      <c r="J127" s="67">
        <f>SUBTOTAL(9,J128:J130)</f>
        <v>31098.550000000003</v>
      </c>
    </row>
    <row r="128" spans="1:10" hidden="1" outlineLevel="1" x14ac:dyDescent="0.3">
      <c r="A128" s="41"/>
      <c r="B128" s="219"/>
      <c r="C128" s="243"/>
      <c r="E128" s="71" t="str">
        <f>"000-1600-00"</f>
        <v>000-1600-00</v>
      </c>
      <c r="F128" s="72" t="str">
        <f>"000"</f>
        <v>000</v>
      </c>
      <c r="G128" s="72" t="str">
        <f>"1600"</f>
        <v>1600</v>
      </c>
      <c r="H128" s="72" t="str">
        <f>"00"</f>
        <v>00</v>
      </c>
      <c r="I128" s="72" t="str">
        <f>"Computer Software"</f>
        <v>Computer Software</v>
      </c>
      <c r="J128" s="73">
        <v>58975.48</v>
      </c>
    </row>
    <row r="129" spans="1:10" hidden="1" outlineLevel="1" x14ac:dyDescent="0.3">
      <c r="A129" s="41" t="s">
        <v>581</v>
      </c>
      <c r="B129" s="219"/>
      <c r="C129" s="243"/>
      <c r="E129" s="71" t="str">
        <f>"000-1610-00"</f>
        <v>000-1610-00</v>
      </c>
      <c r="F129" s="72" t="str">
        <f>"000"</f>
        <v>000</v>
      </c>
      <c r="G129" s="72" t="str">
        <f>"1610"</f>
        <v>1610</v>
      </c>
      <c r="H129" s="72" t="str">
        <f>"00"</f>
        <v>00</v>
      </c>
      <c r="I129" s="72" t="str">
        <f>"Amortized Software Costs"</f>
        <v>Amortized Software Costs</v>
      </c>
      <c r="J129" s="73">
        <v>-27876.93</v>
      </c>
    </row>
    <row r="130" spans="1:10" hidden="1" outlineLevel="1" x14ac:dyDescent="0.3">
      <c r="A130" s="41"/>
      <c r="B130" s="219"/>
      <c r="C130" s="243"/>
      <c r="E130" s="71"/>
      <c r="F130" s="72"/>
      <c r="G130" s="72"/>
      <c r="H130" s="72"/>
      <c r="J130" s="74"/>
    </row>
    <row r="131" spans="1:10" collapsed="1" x14ac:dyDescent="0.3">
      <c r="A131" s="41"/>
      <c r="B131" s="219"/>
      <c r="C131" s="244">
        <v>12</v>
      </c>
      <c r="E131" s="51" t="str">
        <f>"Other Assets"</f>
        <v>Other Assets</v>
      </c>
      <c r="J131" s="67">
        <f>SUBTOTAL(9,J132:J134)</f>
        <v>0</v>
      </c>
    </row>
    <row r="132" spans="1:10" hidden="1" outlineLevel="1" x14ac:dyDescent="0.3">
      <c r="A132" s="41"/>
      <c r="B132" s="219"/>
      <c r="C132" s="243"/>
      <c r="E132" s="71" t="str">
        <f>"000-1800-00"</f>
        <v>000-1800-00</v>
      </c>
      <c r="F132" s="72" t="str">
        <f>"000"</f>
        <v>000</v>
      </c>
      <c r="G132" s="72" t="str">
        <f>"1800"</f>
        <v>1800</v>
      </c>
      <c r="H132" s="72" t="str">
        <f>"00"</f>
        <v>00</v>
      </c>
      <c r="I132" s="72" t="str">
        <f>"Revaluation Offset for Fin. Revaluation"</f>
        <v>Revaluation Offset for Fin. Revaluation</v>
      </c>
      <c r="J132" s="73">
        <v>0</v>
      </c>
    </row>
    <row r="133" spans="1:10" hidden="1" outlineLevel="1" x14ac:dyDescent="0.3">
      <c r="A133" s="41" t="s">
        <v>581</v>
      </c>
      <c r="B133" s="219"/>
      <c r="C133" s="243"/>
      <c r="E133" s="71" t="str">
        <f>"000-8510-00"</f>
        <v>000-8510-00</v>
      </c>
      <c r="F133" s="72" t="str">
        <f>"000"</f>
        <v>000</v>
      </c>
      <c r="G133" s="72" t="str">
        <f>"8510"</f>
        <v>8510</v>
      </c>
      <c r="H133" s="72" t="str">
        <f>"00"</f>
        <v>00</v>
      </c>
      <c r="I133" s="72" t="str">
        <f>"Earnings in Excess of Billings"</f>
        <v>Earnings in Excess of Billings</v>
      </c>
      <c r="J133" s="73">
        <v>0</v>
      </c>
    </row>
    <row r="134" spans="1:10" hidden="1" outlineLevel="1" x14ac:dyDescent="0.3">
      <c r="A134" s="41"/>
      <c r="B134" s="219"/>
      <c r="C134" s="243"/>
      <c r="E134" s="71"/>
      <c r="F134" s="72"/>
      <c r="G134" s="72"/>
      <c r="H134" s="72"/>
      <c r="J134" s="74"/>
    </row>
    <row r="135" spans="1:10" x14ac:dyDescent="0.3">
      <c r="A135" s="41"/>
      <c r="B135" s="219"/>
      <c r="C135" s="243"/>
      <c r="F135" s="87"/>
      <c r="G135" s="87"/>
      <c r="H135" s="85"/>
      <c r="I135" s="85" t="s">
        <v>47</v>
      </c>
      <c r="J135" s="86">
        <f>SUBTOTAL(9,J112:J134)</f>
        <v>1245567.1600000001</v>
      </c>
    </row>
    <row r="136" spans="1:10" x14ac:dyDescent="0.3">
      <c r="A136" s="41"/>
      <c r="B136" s="219"/>
      <c r="C136" s="243"/>
    </row>
    <row r="137" spans="1:10" ht="18.75" x14ac:dyDescent="0.3">
      <c r="A137" s="41"/>
      <c r="B137" s="219"/>
      <c r="C137" s="243"/>
      <c r="E137" s="92" t="s">
        <v>48</v>
      </c>
      <c r="F137" s="93"/>
      <c r="G137" s="93"/>
      <c r="H137" s="93"/>
      <c r="I137" s="93"/>
      <c r="J137" s="93">
        <f>SUBTOTAL(9,J13:J136)</f>
        <v>4105304.2200000007</v>
      </c>
    </row>
    <row r="138" spans="1:10" x14ac:dyDescent="0.3">
      <c r="A138" s="41"/>
      <c r="B138" s="219"/>
      <c r="C138" s="243"/>
    </row>
    <row r="139" spans="1:10" x14ac:dyDescent="0.3">
      <c r="A139" s="41"/>
      <c r="B139" s="219"/>
      <c r="C139" s="243"/>
    </row>
    <row r="140" spans="1:10" ht="18.75" x14ac:dyDescent="0.3">
      <c r="A140" s="41"/>
      <c r="B140" s="219"/>
      <c r="C140" s="243"/>
      <c r="E140" s="89" t="s">
        <v>49</v>
      </c>
    </row>
    <row r="141" spans="1:10" x14ac:dyDescent="0.3">
      <c r="A141" s="41"/>
      <c r="B141" s="219"/>
      <c r="C141" s="243"/>
    </row>
    <row r="142" spans="1:10" x14ac:dyDescent="0.3">
      <c r="A142" s="41"/>
      <c r="B142" s="219"/>
      <c r="C142" s="243"/>
      <c r="E142" s="88" t="s">
        <v>50</v>
      </c>
    </row>
    <row r="143" spans="1:10" collapsed="1" x14ac:dyDescent="0.3">
      <c r="A143" s="41"/>
      <c r="B143" s="219"/>
      <c r="C143" s="244">
        <v>13</v>
      </c>
      <c r="E143" s="51" t="str">
        <f>"Accounts Payable"</f>
        <v>Accounts Payable</v>
      </c>
      <c r="J143" s="67">
        <f>SUBTOTAL(9,J144:J179)</f>
        <v>1872230.79</v>
      </c>
    </row>
    <row r="144" spans="1:10" hidden="1" outlineLevel="1" x14ac:dyDescent="0.3">
      <c r="A144" s="41"/>
      <c r="B144" s="219"/>
      <c r="C144" s="243"/>
      <c r="E144" s="71" t="str">
        <f>"000-2100-00"</f>
        <v>000-2100-00</v>
      </c>
      <c r="F144" s="72" t="str">
        <f t="shared" ref="F144:F178" si="12">"000"</f>
        <v>000</v>
      </c>
      <c r="G144" s="72" t="str">
        <f>"2100"</f>
        <v>2100</v>
      </c>
      <c r="H144" s="72" t="str">
        <f>"00"</f>
        <v>00</v>
      </c>
      <c r="I144" s="72" t="str">
        <f>"Accounts Payable"</f>
        <v>Accounts Payable</v>
      </c>
      <c r="J144" s="73">
        <v>1666406.25</v>
      </c>
    </row>
    <row r="145" spans="1:10" hidden="1" outlineLevel="1" x14ac:dyDescent="0.3">
      <c r="A145" s="41" t="s">
        <v>581</v>
      </c>
      <c r="B145" s="219"/>
      <c r="C145" s="243"/>
      <c r="E145" s="71" t="str">
        <f>"000-2101-00"</f>
        <v>000-2101-00</v>
      </c>
      <c r="F145" s="72" t="str">
        <f t="shared" si="12"/>
        <v>000</v>
      </c>
      <c r="G145" s="72" t="str">
        <f t="shared" ref="G145:G152" si="13">"2101"</f>
        <v>2101</v>
      </c>
      <c r="H145" s="72" t="str">
        <f>"00"</f>
        <v>00</v>
      </c>
      <c r="I145" s="72" t="str">
        <f>"Accounts Payable-MC Trx"</f>
        <v>Accounts Payable-MC Trx</v>
      </c>
      <c r="J145" s="73">
        <v>0</v>
      </c>
    </row>
    <row r="146" spans="1:10" hidden="1" outlineLevel="1" x14ac:dyDescent="0.3">
      <c r="A146" s="41" t="s">
        <v>581</v>
      </c>
      <c r="B146" s="219"/>
      <c r="C146" s="243"/>
      <c r="E146" s="71" t="str">
        <f>"000-2101-01"</f>
        <v>000-2101-01</v>
      </c>
      <c r="F146" s="72" t="str">
        <f t="shared" si="12"/>
        <v>000</v>
      </c>
      <c r="G146" s="72" t="str">
        <f t="shared" si="13"/>
        <v>2101</v>
      </c>
      <c r="H146" s="72" t="str">
        <f>"01"</f>
        <v>01</v>
      </c>
      <c r="I146" s="72" t="str">
        <f>"Accounts Payable - Canada"</f>
        <v>Accounts Payable - Canada</v>
      </c>
      <c r="J146" s="73">
        <v>1124.67</v>
      </c>
    </row>
    <row r="147" spans="1:10" hidden="1" outlineLevel="1" x14ac:dyDescent="0.3">
      <c r="A147" s="41" t="s">
        <v>581</v>
      </c>
      <c r="B147" s="219"/>
      <c r="C147" s="243"/>
      <c r="E147" s="71" t="str">
        <f>"000-2101-02"</f>
        <v>000-2101-02</v>
      </c>
      <c r="F147" s="72" t="str">
        <f t="shared" si="12"/>
        <v>000</v>
      </c>
      <c r="G147" s="72" t="str">
        <f t="shared" si="13"/>
        <v>2101</v>
      </c>
      <c r="H147" s="72" t="str">
        <f>"02"</f>
        <v>02</v>
      </c>
      <c r="I147" s="72" t="str">
        <f>"Accounts Payable - Australia"</f>
        <v>Accounts Payable - Australia</v>
      </c>
      <c r="J147" s="73">
        <v>-270.01</v>
      </c>
    </row>
    <row r="148" spans="1:10" hidden="1" outlineLevel="1" x14ac:dyDescent="0.3">
      <c r="A148" s="41" t="s">
        <v>581</v>
      </c>
      <c r="B148" s="219"/>
      <c r="C148" s="243"/>
      <c r="E148" s="71" t="str">
        <f>"000-2101-03"</f>
        <v>000-2101-03</v>
      </c>
      <c r="F148" s="72" t="str">
        <f t="shared" si="12"/>
        <v>000</v>
      </c>
      <c r="G148" s="72" t="str">
        <f t="shared" si="13"/>
        <v>2101</v>
      </c>
      <c r="H148" s="72" t="str">
        <f>"03"</f>
        <v>03</v>
      </c>
      <c r="I148" s="72" t="str">
        <f>"Accounts Payable - New Zealand"</f>
        <v>Accounts Payable - New Zealand</v>
      </c>
      <c r="J148" s="73">
        <v>4583.18</v>
      </c>
    </row>
    <row r="149" spans="1:10" hidden="1" outlineLevel="1" x14ac:dyDescent="0.3">
      <c r="A149" s="41" t="s">
        <v>581</v>
      </c>
      <c r="B149" s="219"/>
      <c r="C149" s="243"/>
      <c r="E149" s="71" t="str">
        <f>"000-2101-04"</f>
        <v>000-2101-04</v>
      </c>
      <c r="F149" s="72" t="str">
        <f t="shared" si="12"/>
        <v>000</v>
      </c>
      <c r="G149" s="72" t="str">
        <f t="shared" si="13"/>
        <v>2101</v>
      </c>
      <c r="H149" s="72" t="str">
        <f>"04"</f>
        <v>04</v>
      </c>
      <c r="I149" s="72" t="str">
        <f>"Accounts Payable - Germany"</f>
        <v>Accounts Payable - Germany</v>
      </c>
      <c r="J149" s="73">
        <v>0</v>
      </c>
    </row>
    <row r="150" spans="1:10" hidden="1" outlineLevel="1" x14ac:dyDescent="0.3">
      <c r="A150" s="41" t="s">
        <v>581</v>
      </c>
      <c r="B150" s="219"/>
      <c r="C150" s="243"/>
      <c r="E150" s="71" t="str">
        <f>"000-2101-05"</f>
        <v>000-2101-05</v>
      </c>
      <c r="F150" s="72" t="str">
        <f t="shared" si="12"/>
        <v>000</v>
      </c>
      <c r="G150" s="72" t="str">
        <f t="shared" si="13"/>
        <v>2101</v>
      </c>
      <c r="H150" s="72" t="str">
        <f>"05"</f>
        <v>05</v>
      </c>
      <c r="I150" s="72" t="str">
        <f>"Accounts Payable - United Kingdom"</f>
        <v>Accounts Payable - United Kingdom</v>
      </c>
      <c r="J150" s="73">
        <v>-1476.18</v>
      </c>
    </row>
    <row r="151" spans="1:10" hidden="1" outlineLevel="1" x14ac:dyDescent="0.3">
      <c r="A151" s="41" t="s">
        <v>581</v>
      </c>
      <c r="B151" s="219"/>
      <c r="C151" s="243"/>
      <c r="E151" s="71" t="str">
        <f>"000-2101-06"</f>
        <v>000-2101-06</v>
      </c>
      <c r="F151" s="72" t="str">
        <f t="shared" si="12"/>
        <v>000</v>
      </c>
      <c r="G151" s="72" t="str">
        <f t="shared" si="13"/>
        <v>2101</v>
      </c>
      <c r="H151" s="72" t="str">
        <f>"06"</f>
        <v>06</v>
      </c>
      <c r="I151" s="72" t="str">
        <f>"Accounts Payable - South Africa"</f>
        <v>Accounts Payable - South Africa</v>
      </c>
      <c r="J151" s="73">
        <v>2741.87</v>
      </c>
    </row>
    <row r="152" spans="1:10" hidden="1" outlineLevel="1" x14ac:dyDescent="0.3">
      <c r="A152" s="41" t="s">
        <v>581</v>
      </c>
      <c r="B152" s="219"/>
      <c r="C152" s="243"/>
      <c r="E152" s="71" t="str">
        <f>"000-2101-07"</f>
        <v>000-2101-07</v>
      </c>
      <c r="F152" s="72" t="str">
        <f t="shared" si="12"/>
        <v>000</v>
      </c>
      <c r="G152" s="72" t="str">
        <f t="shared" si="13"/>
        <v>2101</v>
      </c>
      <c r="H152" s="72" t="str">
        <f>"07"</f>
        <v>07</v>
      </c>
      <c r="I152" s="72" t="str">
        <f>"Accounts Payable - Singapore"</f>
        <v>Accounts Payable - Singapore</v>
      </c>
      <c r="J152" s="73">
        <v>3119.01</v>
      </c>
    </row>
    <row r="153" spans="1:10" hidden="1" outlineLevel="1" x14ac:dyDescent="0.3">
      <c r="A153" s="41" t="s">
        <v>581</v>
      </c>
      <c r="B153" s="219"/>
      <c r="C153" s="243"/>
      <c r="E153" s="71" t="str">
        <f>"000-2105-00"</f>
        <v>000-2105-00</v>
      </c>
      <c r="F153" s="72" t="str">
        <f t="shared" si="12"/>
        <v>000</v>
      </c>
      <c r="G153" s="72" t="str">
        <f>"2105"</f>
        <v>2105</v>
      </c>
      <c r="H153" s="72" t="str">
        <f t="shared" ref="H153:H176" si="14">"00"</f>
        <v>00</v>
      </c>
      <c r="I153" s="72" t="str">
        <f>"Purchases Discounts Available"</f>
        <v>Purchases Discounts Available</v>
      </c>
      <c r="J153" s="73">
        <v>5374.07</v>
      </c>
    </row>
    <row r="154" spans="1:10" hidden="1" outlineLevel="1" x14ac:dyDescent="0.3">
      <c r="A154" s="41" t="s">
        <v>581</v>
      </c>
      <c r="B154" s="219"/>
      <c r="C154" s="243"/>
      <c r="E154" s="71" t="str">
        <f>"000-2110-00"</f>
        <v>000-2110-00</v>
      </c>
      <c r="F154" s="72" t="str">
        <f t="shared" si="12"/>
        <v>000</v>
      </c>
      <c r="G154" s="72" t="str">
        <f>"2110"</f>
        <v>2110</v>
      </c>
      <c r="H154" s="72" t="str">
        <f t="shared" si="14"/>
        <v>00</v>
      </c>
      <c r="I154" s="72" t="str">
        <f>"Accrued Expenses"</f>
        <v>Accrued Expenses</v>
      </c>
      <c r="J154" s="73">
        <v>24500</v>
      </c>
    </row>
    <row r="155" spans="1:10" hidden="1" outlineLevel="1" x14ac:dyDescent="0.3">
      <c r="A155" s="41" t="s">
        <v>581</v>
      </c>
      <c r="B155" s="219"/>
      <c r="C155" s="243"/>
      <c r="E155" s="71" t="str">
        <f>"000-2111-00"</f>
        <v>000-2111-00</v>
      </c>
      <c r="F155" s="72" t="str">
        <f t="shared" si="12"/>
        <v>000</v>
      </c>
      <c r="G155" s="72" t="str">
        <f>"2111"</f>
        <v>2111</v>
      </c>
      <c r="H155" s="72" t="str">
        <f t="shared" si="14"/>
        <v>00</v>
      </c>
      <c r="I155" s="72" t="str">
        <f>"Accrued Purchases"</f>
        <v>Accrued Purchases</v>
      </c>
      <c r="J155" s="73">
        <v>0</v>
      </c>
    </row>
    <row r="156" spans="1:10" hidden="1" outlineLevel="1" x14ac:dyDescent="0.3">
      <c r="A156" s="41" t="s">
        <v>581</v>
      </c>
      <c r="B156" s="219"/>
      <c r="C156" s="243"/>
      <c r="E156" s="71" t="str">
        <f>"000-2115-00"</f>
        <v>000-2115-00</v>
      </c>
      <c r="F156" s="72" t="str">
        <f t="shared" si="12"/>
        <v>000</v>
      </c>
      <c r="G156" s="72" t="str">
        <f>"2115"</f>
        <v>2115</v>
      </c>
      <c r="H156" s="72" t="str">
        <f t="shared" si="14"/>
        <v>00</v>
      </c>
      <c r="I156" s="72" t="str">
        <f>"Unearned Income"</f>
        <v>Unearned Income</v>
      </c>
      <c r="J156" s="73">
        <v>0</v>
      </c>
    </row>
    <row r="157" spans="1:10" hidden="1" outlineLevel="1" x14ac:dyDescent="0.3">
      <c r="A157" s="41" t="s">
        <v>581</v>
      </c>
      <c r="B157" s="219"/>
      <c r="C157" s="243"/>
      <c r="E157" s="71" t="str">
        <f>"000-2120-00"</f>
        <v>000-2120-00</v>
      </c>
      <c r="F157" s="72" t="str">
        <f t="shared" si="12"/>
        <v>000</v>
      </c>
      <c r="G157" s="72" t="str">
        <f>"2120"</f>
        <v>2120</v>
      </c>
      <c r="H157" s="72" t="str">
        <f t="shared" si="14"/>
        <v>00</v>
      </c>
      <c r="I157" s="72" t="str">
        <f>"Commissions Payable"</f>
        <v>Commissions Payable</v>
      </c>
      <c r="J157" s="73">
        <v>96543.14</v>
      </c>
    </row>
    <row r="158" spans="1:10" hidden="1" outlineLevel="1" x14ac:dyDescent="0.3">
      <c r="A158" s="41" t="s">
        <v>581</v>
      </c>
      <c r="B158" s="219"/>
      <c r="C158" s="243"/>
      <c r="E158" s="71" t="str">
        <f>"000-2130-00"</f>
        <v>000-2130-00</v>
      </c>
      <c r="F158" s="72" t="str">
        <f t="shared" si="12"/>
        <v>000</v>
      </c>
      <c r="G158" s="72" t="str">
        <f>"2130"</f>
        <v>2130</v>
      </c>
      <c r="H158" s="72" t="str">
        <f t="shared" si="14"/>
        <v>00</v>
      </c>
      <c r="I158" s="72" t="str">
        <f>"Bonuses Payable"</f>
        <v>Bonuses Payable</v>
      </c>
      <c r="J158" s="73">
        <v>0</v>
      </c>
    </row>
    <row r="159" spans="1:10" hidden="1" outlineLevel="1" x14ac:dyDescent="0.3">
      <c r="A159" s="41" t="s">
        <v>581</v>
      </c>
      <c r="B159" s="219"/>
      <c r="C159" s="243"/>
      <c r="E159" s="71" t="str">
        <f>"000-2140-00"</f>
        <v>000-2140-00</v>
      </c>
      <c r="F159" s="72" t="str">
        <f t="shared" si="12"/>
        <v>000</v>
      </c>
      <c r="G159" s="72" t="str">
        <f>"2140"</f>
        <v>2140</v>
      </c>
      <c r="H159" s="72" t="str">
        <f t="shared" si="14"/>
        <v>00</v>
      </c>
      <c r="I159" s="72" t="str">
        <f>"Accrued Vacation Payable"</f>
        <v>Accrued Vacation Payable</v>
      </c>
      <c r="J159" s="73">
        <v>18806.7</v>
      </c>
    </row>
    <row r="160" spans="1:10" hidden="1" outlineLevel="1" x14ac:dyDescent="0.3">
      <c r="A160" s="41" t="s">
        <v>581</v>
      </c>
      <c r="B160" s="219"/>
      <c r="C160" s="243"/>
      <c r="E160" s="71" t="str">
        <f>"000-2150-00"</f>
        <v>000-2150-00</v>
      </c>
      <c r="F160" s="72" t="str">
        <f t="shared" si="12"/>
        <v>000</v>
      </c>
      <c r="G160" s="72" t="str">
        <f>"2150"</f>
        <v>2150</v>
      </c>
      <c r="H160" s="72" t="str">
        <f t="shared" si="14"/>
        <v>00</v>
      </c>
      <c r="I160" s="72" t="str">
        <f>"Taxable Benefits Payable"</f>
        <v>Taxable Benefits Payable</v>
      </c>
      <c r="J160" s="73">
        <v>4019.85</v>
      </c>
    </row>
    <row r="161" spans="1:10" hidden="1" outlineLevel="1" x14ac:dyDescent="0.3">
      <c r="A161" s="41" t="s">
        <v>581</v>
      </c>
      <c r="B161" s="219"/>
      <c r="C161" s="243"/>
      <c r="E161" s="71" t="str">
        <f>"000-2200-00"</f>
        <v>000-2200-00</v>
      </c>
      <c r="F161" s="72" t="str">
        <f t="shared" si="12"/>
        <v>000</v>
      </c>
      <c r="G161" s="72" t="str">
        <f>"2200"</f>
        <v>2200</v>
      </c>
      <c r="H161" s="72" t="str">
        <f t="shared" si="14"/>
        <v>00</v>
      </c>
      <c r="I161" s="72" t="str">
        <f>"Payroll Deductions Payable"</f>
        <v>Payroll Deductions Payable</v>
      </c>
      <c r="J161" s="73">
        <v>3207.86</v>
      </c>
    </row>
    <row r="162" spans="1:10" hidden="1" outlineLevel="1" x14ac:dyDescent="0.3">
      <c r="A162" s="41" t="s">
        <v>581</v>
      </c>
      <c r="B162" s="219"/>
      <c r="C162" s="243"/>
      <c r="E162" s="71" t="str">
        <f>"000-2210-00"</f>
        <v>000-2210-00</v>
      </c>
      <c r="F162" s="72" t="str">
        <f t="shared" si="12"/>
        <v>000</v>
      </c>
      <c r="G162" s="72" t="str">
        <f>"2210"</f>
        <v>2210</v>
      </c>
      <c r="H162" s="72" t="str">
        <f t="shared" si="14"/>
        <v>00</v>
      </c>
      <c r="I162" s="72" t="str">
        <f>"401(k) Payable"</f>
        <v>401(k) Payable</v>
      </c>
      <c r="J162" s="73">
        <v>0</v>
      </c>
    </row>
    <row r="163" spans="1:10" hidden="1" outlineLevel="1" x14ac:dyDescent="0.3">
      <c r="A163" s="41" t="s">
        <v>581</v>
      </c>
      <c r="B163" s="219"/>
      <c r="C163" s="243"/>
      <c r="E163" s="71" t="str">
        <f>"000-2220-00"</f>
        <v>000-2220-00</v>
      </c>
      <c r="F163" s="72" t="str">
        <f t="shared" si="12"/>
        <v>000</v>
      </c>
      <c r="G163" s="72" t="str">
        <f>"2220"</f>
        <v>2220</v>
      </c>
      <c r="H163" s="72" t="str">
        <f t="shared" si="14"/>
        <v>00</v>
      </c>
      <c r="I163" s="72" t="str">
        <f>"Insurance Premiums Payable"</f>
        <v>Insurance Premiums Payable</v>
      </c>
      <c r="J163" s="73">
        <v>0</v>
      </c>
    </row>
    <row r="164" spans="1:10" hidden="1" outlineLevel="1" x14ac:dyDescent="0.3">
      <c r="A164" s="41" t="s">
        <v>581</v>
      </c>
      <c r="B164" s="219"/>
      <c r="C164" s="243"/>
      <c r="E164" s="71" t="str">
        <f>"000-2230-00"</f>
        <v>000-2230-00</v>
      </c>
      <c r="F164" s="72" t="str">
        <f t="shared" si="12"/>
        <v>000</v>
      </c>
      <c r="G164" s="72" t="str">
        <f>"2230"</f>
        <v>2230</v>
      </c>
      <c r="H164" s="72" t="str">
        <f t="shared" si="14"/>
        <v>00</v>
      </c>
      <c r="I164" s="72" t="str">
        <f>"Medical Reimbursement Payable"</f>
        <v>Medical Reimbursement Payable</v>
      </c>
      <c r="J164" s="73">
        <v>-364.62</v>
      </c>
    </row>
    <row r="165" spans="1:10" hidden="1" outlineLevel="1" x14ac:dyDescent="0.3">
      <c r="A165" s="41" t="s">
        <v>581</v>
      </c>
      <c r="B165" s="219"/>
      <c r="C165" s="243"/>
      <c r="E165" s="71" t="str">
        <f>"000-2240-00"</f>
        <v>000-2240-00</v>
      </c>
      <c r="F165" s="72" t="str">
        <f t="shared" si="12"/>
        <v>000</v>
      </c>
      <c r="G165" s="72" t="str">
        <f>"2240"</f>
        <v>2240</v>
      </c>
      <c r="H165" s="72" t="str">
        <f t="shared" si="14"/>
        <v>00</v>
      </c>
      <c r="I165" s="72" t="str">
        <f>"Dependent Care Payable"</f>
        <v>Dependent Care Payable</v>
      </c>
      <c r="J165" s="73">
        <v>-1085</v>
      </c>
    </row>
    <row r="166" spans="1:10" hidden="1" outlineLevel="1" x14ac:dyDescent="0.3">
      <c r="A166" s="41" t="s">
        <v>581</v>
      </c>
      <c r="B166" s="219"/>
      <c r="C166" s="243"/>
      <c r="E166" s="71" t="str">
        <f>"000-2250-00"</f>
        <v>000-2250-00</v>
      </c>
      <c r="F166" s="72" t="str">
        <f t="shared" si="12"/>
        <v>000</v>
      </c>
      <c r="G166" s="72" t="str">
        <f>"2250"</f>
        <v>2250</v>
      </c>
      <c r="H166" s="72" t="str">
        <f t="shared" si="14"/>
        <v>00</v>
      </c>
      <c r="I166" s="72" t="str">
        <f>"Employee Benefits Payable"</f>
        <v>Employee Benefits Payable</v>
      </c>
      <c r="J166" s="73">
        <v>0</v>
      </c>
    </row>
    <row r="167" spans="1:10" hidden="1" outlineLevel="1" x14ac:dyDescent="0.3">
      <c r="A167" s="41" t="s">
        <v>581</v>
      </c>
      <c r="B167" s="219"/>
      <c r="C167" s="243"/>
      <c r="E167" s="71" t="str">
        <f>"000-2260-00"</f>
        <v>000-2260-00</v>
      </c>
      <c r="F167" s="72" t="str">
        <f t="shared" si="12"/>
        <v>000</v>
      </c>
      <c r="G167" s="72" t="str">
        <f>"2260"</f>
        <v>2260</v>
      </c>
      <c r="H167" s="72" t="str">
        <f t="shared" si="14"/>
        <v>00</v>
      </c>
      <c r="I167" s="72" t="str">
        <f>"Union Dues Payable - 1"</f>
        <v>Union Dues Payable - 1</v>
      </c>
      <c r="J167" s="73">
        <v>0</v>
      </c>
    </row>
    <row r="168" spans="1:10" hidden="1" outlineLevel="1" x14ac:dyDescent="0.3">
      <c r="A168" s="41" t="s">
        <v>581</v>
      </c>
      <c r="B168" s="219"/>
      <c r="C168" s="243"/>
      <c r="E168" s="71" t="str">
        <f>"000-2261-00"</f>
        <v>000-2261-00</v>
      </c>
      <c r="F168" s="72" t="str">
        <f t="shared" si="12"/>
        <v>000</v>
      </c>
      <c r="G168" s="72" t="str">
        <f>"2261"</f>
        <v>2261</v>
      </c>
      <c r="H168" s="72" t="str">
        <f t="shared" si="14"/>
        <v>00</v>
      </c>
      <c r="I168" s="72" t="str">
        <f>"Union Dues Payable - 2"</f>
        <v>Union Dues Payable - 2</v>
      </c>
      <c r="J168" s="73">
        <v>0</v>
      </c>
    </row>
    <row r="169" spans="1:10" hidden="1" outlineLevel="1" x14ac:dyDescent="0.3">
      <c r="A169" s="41" t="s">
        <v>581</v>
      </c>
      <c r="B169" s="219"/>
      <c r="C169" s="243"/>
      <c r="E169" s="71" t="str">
        <f>"000-2410-00"</f>
        <v>000-2410-00</v>
      </c>
      <c r="F169" s="72" t="str">
        <f t="shared" si="12"/>
        <v>000</v>
      </c>
      <c r="G169" s="72" t="str">
        <f>"2410"</f>
        <v>2410</v>
      </c>
      <c r="H169" s="72" t="str">
        <f t="shared" si="14"/>
        <v>00</v>
      </c>
      <c r="I169" s="72" t="str">
        <f>"Freight Payable"</f>
        <v>Freight Payable</v>
      </c>
      <c r="J169" s="73">
        <v>0</v>
      </c>
    </row>
    <row r="170" spans="1:10" hidden="1" outlineLevel="1" x14ac:dyDescent="0.3">
      <c r="A170" s="41" t="s">
        <v>581</v>
      </c>
      <c r="B170" s="219"/>
      <c r="C170" s="243"/>
      <c r="E170" s="71" t="str">
        <f>"000-2420-00"</f>
        <v>000-2420-00</v>
      </c>
      <c r="F170" s="72" t="str">
        <f t="shared" si="12"/>
        <v>000</v>
      </c>
      <c r="G170" s="72" t="str">
        <f>"2420"</f>
        <v>2420</v>
      </c>
      <c r="H170" s="72" t="str">
        <f t="shared" si="14"/>
        <v>00</v>
      </c>
      <c r="I170" s="72" t="str">
        <f>"Brokerage Fees Payable"</f>
        <v>Brokerage Fees Payable</v>
      </c>
      <c r="J170" s="73">
        <v>0</v>
      </c>
    </row>
    <row r="171" spans="1:10" hidden="1" outlineLevel="1" x14ac:dyDescent="0.3">
      <c r="A171" s="41" t="s">
        <v>581</v>
      </c>
      <c r="B171" s="219"/>
      <c r="C171" s="243"/>
      <c r="E171" s="71" t="str">
        <f>"000-2430-00"</f>
        <v>000-2430-00</v>
      </c>
      <c r="F171" s="72" t="str">
        <f t="shared" si="12"/>
        <v>000</v>
      </c>
      <c r="G171" s="72" t="str">
        <f>"2430"</f>
        <v>2430</v>
      </c>
      <c r="H171" s="72" t="str">
        <f t="shared" si="14"/>
        <v>00</v>
      </c>
      <c r="I171" s="72" t="str">
        <f>"Miscellaneous Payable"</f>
        <v>Miscellaneous Payable</v>
      </c>
      <c r="J171" s="73">
        <v>0</v>
      </c>
    </row>
    <row r="172" spans="1:10" hidden="1" outlineLevel="1" x14ac:dyDescent="0.3">
      <c r="A172" s="41" t="s">
        <v>581</v>
      </c>
      <c r="B172" s="219"/>
      <c r="C172" s="243"/>
      <c r="E172" s="71" t="str">
        <f>"000-2700-00"</f>
        <v>000-2700-00</v>
      </c>
      <c r="F172" s="72" t="str">
        <f t="shared" si="12"/>
        <v>000</v>
      </c>
      <c r="G172" s="72" t="str">
        <f>"2700"</f>
        <v>2700</v>
      </c>
      <c r="H172" s="72" t="str">
        <f t="shared" si="14"/>
        <v>00</v>
      </c>
      <c r="I172" s="72" t="str">
        <f>"Line of Credit-Accounts Recievable"</f>
        <v>Line of Credit-Accounts Recievable</v>
      </c>
      <c r="J172" s="73">
        <v>0</v>
      </c>
    </row>
    <row r="173" spans="1:10" hidden="1" outlineLevel="1" x14ac:dyDescent="0.3">
      <c r="A173" s="41" t="s">
        <v>581</v>
      </c>
      <c r="B173" s="219"/>
      <c r="C173" s="243"/>
      <c r="E173" s="71" t="str">
        <f>"000-2710-00"</f>
        <v>000-2710-00</v>
      </c>
      <c r="F173" s="72" t="str">
        <f t="shared" si="12"/>
        <v>000</v>
      </c>
      <c r="G173" s="72" t="str">
        <f>"2710"</f>
        <v>2710</v>
      </c>
      <c r="H173" s="72" t="str">
        <f t="shared" si="14"/>
        <v>00</v>
      </c>
      <c r="I173" s="72" t="str">
        <f>"Operating Line of Credit"</f>
        <v>Operating Line of Credit</v>
      </c>
      <c r="J173" s="73">
        <v>15000</v>
      </c>
    </row>
    <row r="174" spans="1:10" hidden="1" outlineLevel="1" x14ac:dyDescent="0.3">
      <c r="A174" s="41" t="s">
        <v>581</v>
      </c>
      <c r="B174" s="219"/>
      <c r="C174" s="243"/>
      <c r="E174" s="71" t="str">
        <f>"000-2720-00"</f>
        <v>000-2720-00</v>
      </c>
      <c r="F174" s="72" t="str">
        <f t="shared" si="12"/>
        <v>000</v>
      </c>
      <c r="G174" s="72" t="str">
        <f>"2720"</f>
        <v>2720</v>
      </c>
      <c r="H174" s="72" t="str">
        <f t="shared" si="14"/>
        <v>00</v>
      </c>
      <c r="I174" s="72" t="str">
        <f>"Client Deposits"</f>
        <v>Client Deposits</v>
      </c>
      <c r="J174" s="73">
        <v>30000</v>
      </c>
    </row>
    <row r="175" spans="1:10" hidden="1" outlineLevel="1" x14ac:dyDescent="0.3">
      <c r="A175" s="41" t="s">
        <v>581</v>
      </c>
      <c r="B175" s="219"/>
      <c r="C175" s="243"/>
      <c r="E175" s="71" t="str">
        <f>"000-2730-00"</f>
        <v>000-2730-00</v>
      </c>
      <c r="F175" s="72" t="str">
        <f t="shared" si="12"/>
        <v>000</v>
      </c>
      <c r="G175" s="72" t="str">
        <f>"2730"</f>
        <v>2730</v>
      </c>
      <c r="H175" s="72" t="str">
        <f t="shared" si="14"/>
        <v>00</v>
      </c>
      <c r="I175" s="72" t="str">
        <f>"Purchases Clearing Account"</f>
        <v>Purchases Clearing Account</v>
      </c>
      <c r="J175" s="73">
        <v>0</v>
      </c>
    </row>
    <row r="176" spans="1:10" hidden="1" outlineLevel="1" x14ac:dyDescent="0.3">
      <c r="A176" s="41" t="s">
        <v>581</v>
      </c>
      <c r="B176" s="219"/>
      <c r="C176" s="243"/>
      <c r="E176" s="71" t="str">
        <f>"000-2950-00"</f>
        <v>000-2950-00</v>
      </c>
      <c r="F176" s="72" t="str">
        <f t="shared" si="12"/>
        <v>000</v>
      </c>
      <c r="G176" s="72" t="str">
        <f>"2950"</f>
        <v>2950</v>
      </c>
      <c r="H176" s="72" t="str">
        <f t="shared" si="14"/>
        <v>00</v>
      </c>
      <c r="I176" s="72" t="str">
        <f>"PPV - Realized"</f>
        <v>PPV - Realized</v>
      </c>
      <c r="J176" s="73">
        <v>0</v>
      </c>
    </row>
    <row r="177" spans="1:10" hidden="1" outlineLevel="1" x14ac:dyDescent="0.3">
      <c r="A177" s="41" t="s">
        <v>581</v>
      </c>
      <c r="B177" s="219"/>
      <c r="C177" s="243"/>
      <c r="E177" s="71" t="str">
        <f>"000-2950-01"</f>
        <v>000-2950-01</v>
      </c>
      <c r="F177" s="72" t="str">
        <f t="shared" si="12"/>
        <v>000</v>
      </c>
      <c r="G177" s="72" t="str">
        <f>"2950"</f>
        <v>2950</v>
      </c>
      <c r="H177" s="72" t="str">
        <f>"01"</f>
        <v>01</v>
      </c>
      <c r="I177" s="72" t="str">
        <f>"PPV - Unrealized"</f>
        <v>PPV - Unrealized</v>
      </c>
      <c r="J177" s="73">
        <v>0</v>
      </c>
    </row>
    <row r="178" spans="1:10" hidden="1" outlineLevel="1" x14ac:dyDescent="0.3">
      <c r="A178" s="41" t="s">
        <v>581</v>
      </c>
      <c r="B178" s="219"/>
      <c r="C178" s="243"/>
      <c r="E178" s="71" t="str">
        <f>"000-4730-00"</f>
        <v>000-4730-00</v>
      </c>
      <c r="F178" s="72" t="str">
        <f t="shared" si="12"/>
        <v>000</v>
      </c>
      <c r="G178" s="72" t="str">
        <f>"4730"</f>
        <v>4730</v>
      </c>
      <c r="H178" s="72" t="str">
        <f>"00"</f>
        <v>00</v>
      </c>
      <c r="I178" s="72" t="str">
        <f>"Purchase Price Variance - Unrealized"</f>
        <v>Purchase Price Variance - Unrealized</v>
      </c>
      <c r="J178" s="73">
        <v>0</v>
      </c>
    </row>
    <row r="179" spans="1:10" hidden="1" outlineLevel="1" x14ac:dyDescent="0.3">
      <c r="A179" s="41"/>
      <c r="B179" s="219"/>
      <c r="C179" s="243"/>
      <c r="E179" s="71"/>
      <c r="F179" s="72"/>
      <c r="G179" s="72"/>
      <c r="H179" s="72"/>
      <c r="J179" s="74"/>
    </row>
    <row r="180" spans="1:10" collapsed="1" x14ac:dyDescent="0.3">
      <c r="A180" s="41"/>
      <c r="B180" s="219"/>
      <c r="C180" s="244">
        <v>14</v>
      </c>
      <c r="E180" s="51" t="str">
        <f>"Notes Payable"</f>
        <v>Notes Payable</v>
      </c>
      <c r="J180" s="67">
        <f>SUBTOTAL(9,J181:J184)</f>
        <v>11458.1</v>
      </c>
    </row>
    <row r="181" spans="1:10" hidden="1" outlineLevel="1" x14ac:dyDescent="0.3">
      <c r="A181" s="41"/>
      <c r="B181" s="219"/>
      <c r="C181" s="243"/>
      <c r="E181" s="71" t="str">
        <f>"000-2800-00"</f>
        <v>000-2800-00</v>
      </c>
      <c r="F181" s="72" t="str">
        <f>"000"</f>
        <v>000</v>
      </c>
      <c r="G181" s="72" t="str">
        <f>"2800"</f>
        <v>2800</v>
      </c>
      <c r="H181" s="72" t="str">
        <f>"00"</f>
        <v>00</v>
      </c>
      <c r="I181" s="72" t="str">
        <f>"Current N/P on Vehicles"</f>
        <v>Current N/P on Vehicles</v>
      </c>
      <c r="J181" s="73">
        <v>1041.6600000000001</v>
      </c>
    </row>
    <row r="182" spans="1:10" hidden="1" outlineLevel="1" x14ac:dyDescent="0.3">
      <c r="A182" s="41" t="s">
        <v>581</v>
      </c>
      <c r="B182" s="219"/>
      <c r="C182" s="243"/>
      <c r="E182" s="71" t="str">
        <f>"000-2810-00"</f>
        <v>000-2810-00</v>
      </c>
      <c r="F182" s="72" t="str">
        <f>"000"</f>
        <v>000</v>
      </c>
      <c r="G182" s="72" t="str">
        <f>"2810"</f>
        <v>2810</v>
      </c>
      <c r="H182" s="72" t="str">
        <f>"00"</f>
        <v>00</v>
      </c>
      <c r="I182" s="72" t="str">
        <f>"Current N/P to Banks"</f>
        <v>Current N/P to Banks</v>
      </c>
      <c r="J182" s="73">
        <v>0</v>
      </c>
    </row>
    <row r="183" spans="1:10" hidden="1" outlineLevel="1" x14ac:dyDescent="0.3">
      <c r="A183" s="41" t="s">
        <v>581</v>
      </c>
      <c r="B183" s="219"/>
      <c r="C183" s="243"/>
      <c r="E183" s="71" t="str">
        <f>"000-2820-00"</f>
        <v>000-2820-00</v>
      </c>
      <c r="F183" s="72" t="str">
        <f>"000"</f>
        <v>000</v>
      </c>
      <c r="G183" s="72" t="str">
        <f>"2820"</f>
        <v>2820</v>
      </c>
      <c r="H183" s="72" t="str">
        <f>"00"</f>
        <v>00</v>
      </c>
      <c r="I183" s="72" t="str">
        <f>"Current N/P to Stockholders"</f>
        <v>Current N/P to Stockholders</v>
      </c>
      <c r="J183" s="73">
        <v>10416.44</v>
      </c>
    </row>
    <row r="184" spans="1:10" hidden="1" outlineLevel="1" x14ac:dyDescent="0.3">
      <c r="A184" s="41"/>
      <c r="B184" s="219"/>
      <c r="C184" s="243"/>
      <c r="E184" s="71"/>
      <c r="F184" s="72"/>
      <c r="G184" s="72"/>
      <c r="H184" s="72"/>
      <c r="J184" s="74"/>
    </row>
    <row r="185" spans="1:10" collapsed="1" x14ac:dyDescent="0.3">
      <c r="A185" s="41"/>
      <c r="B185" s="219"/>
      <c r="C185" s="244">
        <v>16</v>
      </c>
      <c r="E185" s="51" t="str">
        <f>"Taxes Payable"</f>
        <v>Taxes Payable</v>
      </c>
      <c r="J185" s="67">
        <f>SUBTOTAL(9,J186:J229)</f>
        <v>213138.83</v>
      </c>
    </row>
    <row r="186" spans="1:10" hidden="1" outlineLevel="1" x14ac:dyDescent="0.3">
      <c r="A186" s="41"/>
      <c r="B186" s="219"/>
      <c r="C186" s="243"/>
      <c r="E186" s="71" t="str">
        <f>"000-2161-00"</f>
        <v>000-2161-00</v>
      </c>
      <c r="F186" s="72" t="str">
        <f t="shared" ref="F186:F228" si="15">"000"</f>
        <v>000</v>
      </c>
      <c r="G186" s="72" t="str">
        <f>"2161"</f>
        <v>2161</v>
      </c>
      <c r="H186" s="72" t="str">
        <f t="shared" ref="H186:H228" si="16">"00"</f>
        <v>00</v>
      </c>
      <c r="I186" s="72" t="str">
        <f>"IL State Withholding Payable"</f>
        <v>IL State Withholding Payable</v>
      </c>
      <c r="J186" s="73">
        <v>3044.33</v>
      </c>
    </row>
    <row r="187" spans="1:10" hidden="1" outlineLevel="1" x14ac:dyDescent="0.3">
      <c r="A187" s="41" t="s">
        <v>581</v>
      </c>
      <c r="B187" s="219"/>
      <c r="C187" s="243"/>
      <c r="E187" s="71" t="str">
        <f>"000-2162-00"</f>
        <v>000-2162-00</v>
      </c>
      <c r="F187" s="72" t="str">
        <f t="shared" si="15"/>
        <v>000</v>
      </c>
      <c r="G187" s="72" t="str">
        <f>"2162"</f>
        <v>2162</v>
      </c>
      <c r="H187" s="72" t="str">
        <f t="shared" si="16"/>
        <v>00</v>
      </c>
      <c r="I187" s="72" t="str">
        <f>"NE State Witholding Payable"</f>
        <v>NE State Witholding Payable</v>
      </c>
      <c r="J187" s="73">
        <v>0</v>
      </c>
    </row>
    <row r="188" spans="1:10" hidden="1" outlineLevel="1" x14ac:dyDescent="0.3">
      <c r="A188" s="41" t="s">
        <v>581</v>
      </c>
      <c r="B188" s="219"/>
      <c r="C188" s="243"/>
      <c r="E188" s="71" t="str">
        <f>"000-2163-00"</f>
        <v>000-2163-00</v>
      </c>
      <c r="F188" s="72" t="str">
        <f t="shared" si="15"/>
        <v>000</v>
      </c>
      <c r="G188" s="72" t="str">
        <f>"2163"</f>
        <v>2163</v>
      </c>
      <c r="H188" s="72" t="str">
        <f t="shared" si="16"/>
        <v>00</v>
      </c>
      <c r="I188" s="72" t="str">
        <f>"IN State Witholding Payable"</f>
        <v>IN State Witholding Payable</v>
      </c>
      <c r="J188" s="73">
        <v>0</v>
      </c>
    </row>
    <row r="189" spans="1:10" hidden="1" outlineLevel="1" x14ac:dyDescent="0.3">
      <c r="A189" s="41" t="s">
        <v>581</v>
      </c>
      <c r="B189" s="219"/>
      <c r="C189" s="243"/>
      <c r="E189" s="71" t="str">
        <f>"000-2164-00"</f>
        <v>000-2164-00</v>
      </c>
      <c r="F189" s="72" t="str">
        <f t="shared" si="15"/>
        <v>000</v>
      </c>
      <c r="G189" s="72" t="str">
        <f>"2164"</f>
        <v>2164</v>
      </c>
      <c r="H189" s="72" t="str">
        <f t="shared" si="16"/>
        <v>00</v>
      </c>
      <c r="I189" s="72" t="str">
        <f>"MN State Withholding Payable"</f>
        <v>MN State Withholding Payable</v>
      </c>
      <c r="J189" s="73">
        <v>102.63</v>
      </c>
    </row>
    <row r="190" spans="1:10" hidden="1" outlineLevel="1" x14ac:dyDescent="0.3">
      <c r="A190" s="41" t="s">
        <v>581</v>
      </c>
      <c r="B190" s="219"/>
      <c r="C190" s="243"/>
      <c r="E190" s="71" t="str">
        <f>"000-2165-00"</f>
        <v>000-2165-00</v>
      </c>
      <c r="F190" s="72" t="str">
        <f t="shared" si="15"/>
        <v>000</v>
      </c>
      <c r="G190" s="72" t="str">
        <f>"2165"</f>
        <v>2165</v>
      </c>
      <c r="H190" s="72" t="str">
        <f t="shared" si="16"/>
        <v>00</v>
      </c>
      <c r="I190" s="72" t="str">
        <f>"MO State Withholding Payable"</f>
        <v>MO State Withholding Payable</v>
      </c>
      <c r="J190" s="73">
        <v>0</v>
      </c>
    </row>
    <row r="191" spans="1:10" hidden="1" outlineLevel="1" x14ac:dyDescent="0.3">
      <c r="A191" s="41" t="s">
        <v>581</v>
      </c>
      <c r="B191" s="219"/>
      <c r="C191" s="243"/>
      <c r="E191" s="71" t="str">
        <f>"000-2166-00"</f>
        <v>000-2166-00</v>
      </c>
      <c r="F191" s="72" t="str">
        <f t="shared" si="15"/>
        <v>000</v>
      </c>
      <c r="G191" s="72" t="str">
        <f>"2166"</f>
        <v>2166</v>
      </c>
      <c r="H191" s="72" t="str">
        <f t="shared" si="16"/>
        <v>00</v>
      </c>
      <c r="I191" s="72" t="str">
        <f>"Bloomington City Withholding Tax Payable"</f>
        <v>Bloomington City Withholding Tax Payable</v>
      </c>
      <c r="J191" s="73">
        <v>0</v>
      </c>
    </row>
    <row r="192" spans="1:10" hidden="1" outlineLevel="1" x14ac:dyDescent="0.3">
      <c r="A192" s="41" t="s">
        <v>581</v>
      </c>
      <c r="B192" s="219"/>
      <c r="C192" s="243"/>
      <c r="E192" s="71" t="str">
        <f>"000-2170-00"</f>
        <v>000-2170-00</v>
      </c>
      <c r="F192" s="72" t="str">
        <f t="shared" si="15"/>
        <v>000</v>
      </c>
      <c r="G192" s="72" t="str">
        <f>"2170"</f>
        <v>2170</v>
      </c>
      <c r="H192" s="72" t="str">
        <f t="shared" si="16"/>
        <v>00</v>
      </c>
      <c r="I192" s="72" t="str">
        <f>"Federal Withholding Payable"</f>
        <v>Federal Withholding Payable</v>
      </c>
      <c r="J192" s="73">
        <v>25587.06</v>
      </c>
    </row>
    <row r="193" spans="1:10" hidden="1" outlineLevel="1" x14ac:dyDescent="0.3">
      <c r="A193" s="41" t="s">
        <v>581</v>
      </c>
      <c r="B193" s="219"/>
      <c r="C193" s="243"/>
      <c r="E193" s="71" t="str">
        <f>"000-2175-00"</f>
        <v>000-2175-00</v>
      </c>
      <c r="F193" s="72" t="str">
        <f t="shared" si="15"/>
        <v>000</v>
      </c>
      <c r="G193" s="72" t="str">
        <f>"2175"</f>
        <v>2175</v>
      </c>
      <c r="H193" s="72" t="str">
        <f t="shared" si="16"/>
        <v>00</v>
      </c>
      <c r="I193" s="72" t="str">
        <f>"FICA Payable"</f>
        <v>FICA Payable</v>
      </c>
      <c r="J193" s="73">
        <v>0</v>
      </c>
    </row>
    <row r="194" spans="1:10" hidden="1" outlineLevel="1" x14ac:dyDescent="0.3">
      <c r="A194" s="41" t="s">
        <v>581</v>
      </c>
      <c r="B194" s="219"/>
      <c r="C194" s="243"/>
      <c r="E194" s="71" t="str">
        <f>"000-2180-00"</f>
        <v>000-2180-00</v>
      </c>
      <c r="F194" s="72" t="str">
        <f t="shared" si="15"/>
        <v>000</v>
      </c>
      <c r="G194" s="72" t="str">
        <f>"2180"</f>
        <v>2180</v>
      </c>
      <c r="H194" s="72" t="str">
        <f t="shared" si="16"/>
        <v>00</v>
      </c>
      <c r="I194" s="72" t="str">
        <f>"FUTA Payable"</f>
        <v>FUTA Payable</v>
      </c>
      <c r="J194" s="73">
        <v>0</v>
      </c>
    </row>
    <row r="195" spans="1:10" hidden="1" outlineLevel="1" x14ac:dyDescent="0.3">
      <c r="A195" s="41" t="s">
        <v>581</v>
      </c>
      <c r="B195" s="219"/>
      <c r="C195" s="243"/>
      <c r="E195" s="71" t="str">
        <f>"000-2191-00"</f>
        <v>000-2191-00</v>
      </c>
      <c r="F195" s="72" t="str">
        <f t="shared" si="15"/>
        <v>000</v>
      </c>
      <c r="G195" s="72" t="str">
        <f>"2191"</f>
        <v>2191</v>
      </c>
      <c r="H195" s="72" t="str">
        <f t="shared" si="16"/>
        <v>00</v>
      </c>
      <c r="I195" s="72" t="str">
        <f>"IL State SUTA Payable"</f>
        <v>IL State SUTA Payable</v>
      </c>
      <c r="J195" s="73">
        <v>0</v>
      </c>
    </row>
    <row r="196" spans="1:10" hidden="1" outlineLevel="1" x14ac:dyDescent="0.3">
      <c r="A196" s="41" t="s">
        <v>581</v>
      </c>
      <c r="B196" s="219"/>
      <c r="C196" s="243"/>
      <c r="E196" s="71" t="str">
        <f>"000-2192-00"</f>
        <v>000-2192-00</v>
      </c>
      <c r="F196" s="72" t="str">
        <f t="shared" si="15"/>
        <v>000</v>
      </c>
      <c r="G196" s="72" t="str">
        <f>"2192"</f>
        <v>2192</v>
      </c>
      <c r="H196" s="72" t="str">
        <f t="shared" si="16"/>
        <v>00</v>
      </c>
      <c r="I196" s="72" t="str">
        <f>"NE State SUTA Payable"</f>
        <v>NE State SUTA Payable</v>
      </c>
      <c r="J196" s="73">
        <v>0</v>
      </c>
    </row>
    <row r="197" spans="1:10" hidden="1" outlineLevel="1" x14ac:dyDescent="0.3">
      <c r="A197" s="41" t="s">
        <v>581</v>
      </c>
      <c r="B197" s="219"/>
      <c r="C197" s="243"/>
      <c r="E197" s="71" t="str">
        <f>"000-2193-00"</f>
        <v>000-2193-00</v>
      </c>
      <c r="F197" s="72" t="str">
        <f t="shared" si="15"/>
        <v>000</v>
      </c>
      <c r="G197" s="72" t="str">
        <f>"2193"</f>
        <v>2193</v>
      </c>
      <c r="H197" s="72" t="str">
        <f t="shared" si="16"/>
        <v>00</v>
      </c>
      <c r="I197" s="72" t="str">
        <f>"IN State SUTA Payable"</f>
        <v>IN State SUTA Payable</v>
      </c>
      <c r="J197" s="73">
        <v>0</v>
      </c>
    </row>
    <row r="198" spans="1:10" hidden="1" outlineLevel="1" x14ac:dyDescent="0.3">
      <c r="A198" s="41" t="s">
        <v>581</v>
      </c>
      <c r="B198" s="219"/>
      <c r="C198" s="243"/>
      <c r="E198" s="71" t="str">
        <f>"000-2194-00"</f>
        <v>000-2194-00</v>
      </c>
      <c r="F198" s="72" t="str">
        <f t="shared" si="15"/>
        <v>000</v>
      </c>
      <c r="G198" s="72" t="str">
        <f>"2194"</f>
        <v>2194</v>
      </c>
      <c r="H198" s="72" t="str">
        <f t="shared" si="16"/>
        <v>00</v>
      </c>
      <c r="I198" s="72" t="str">
        <f>"MN State SUTA Payable"</f>
        <v>MN State SUTA Payable</v>
      </c>
      <c r="J198" s="73">
        <v>0</v>
      </c>
    </row>
    <row r="199" spans="1:10" hidden="1" outlineLevel="1" x14ac:dyDescent="0.3">
      <c r="A199" s="41" t="s">
        <v>581</v>
      </c>
      <c r="B199" s="219"/>
      <c r="C199" s="243"/>
      <c r="E199" s="71" t="str">
        <f>"000-2195-00"</f>
        <v>000-2195-00</v>
      </c>
      <c r="F199" s="72" t="str">
        <f t="shared" si="15"/>
        <v>000</v>
      </c>
      <c r="G199" s="72" t="str">
        <f>"2195"</f>
        <v>2195</v>
      </c>
      <c r="H199" s="72" t="str">
        <f t="shared" si="16"/>
        <v>00</v>
      </c>
      <c r="I199" s="72" t="str">
        <f>"MO State SUTA Payable"</f>
        <v>MO State SUTA Payable</v>
      </c>
      <c r="J199" s="73">
        <v>0</v>
      </c>
    </row>
    <row r="200" spans="1:10" hidden="1" outlineLevel="1" x14ac:dyDescent="0.3">
      <c r="A200" s="41" t="s">
        <v>581</v>
      </c>
      <c r="B200" s="219"/>
      <c r="C200" s="243"/>
      <c r="E200" s="71" t="str">
        <f>"000-2270-00"</f>
        <v>000-2270-00</v>
      </c>
      <c r="F200" s="72" t="str">
        <f t="shared" si="15"/>
        <v>000</v>
      </c>
      <c r="G200" s="72" t="str">
        <f>"2270"</f>
        <v>2270</v>
      </c>
      <c r="H200" s="72" t="str">
        <f t="shared" si="16"/>
        <v>00</v>
      </c>
      <c r="I200" s="72" t="str">
        <f>"IL Workers Compensation Payable"</f>
        <v>IL Workers Compensation Payable</v>
      </c>
      <c r="J200" s="73">
        <v>0</v>
      </c>
    </row>
    <row r="201" spans="1:10" hidden="1" outlineLevel="1" x14ac:dyDescent="0.3">
      <c r="A201" s="41" t="s">
        <v>581</v>
      </c>
      <c r="B201" s="219"/>
      <c r="C201" s="243"/>
      <c r="E201" s="71" t="str">
        <f>"000-2271-00"</f>
        <v>000-2271-00</v>
      </c>
      <c r="F201" s="72" t="str">
        <f t="shared" si="15"/>
        <v>000</v>
      </c>
      <c r="G201" s="72" t="str">
        <f>"2271"</f>
        <v>2271</v>
      </c>
      <c r="H201" s="72" t="str">
        <f t="shared" si="16"/>
        <v>00</v>
      </c>
      <c r="I201" s="72" t="str">
        <f>"NE Workers Compensation Payable"</f>
        <v>NE Workers Compensation Payable</v>
      </c>
      <c r="J201" s="73">
        <v>0</v>
      </c>
    </row>
    <row r="202" spans="1:10" hidden="1" outlineLevel="1" x14ac:dyDescent="0.3">
      <c r="A202" s="41" t="s">
        <v>581</v>
      </c>
      <c r="B202" s="219"/>
      <c r="C202" s="243"/>
      <c r="E202" s="71" t="str">
        <f>"000-2272-00"</f>
        <v>000-2272-00</v>
      </c>
      <c r="F202" s="72" t="str">
        <f t="shared" si="15"/>
        <v>000</v>
      </c>
      <c r="G202" s="72" t="str">
        <f>"2272"</f>
        <v>2272</v>
      </c>
      <c r="H202" s="72" t="str">
        <f t="shared" si="16"/>
        <v>00</v>
      </c>
      <c r="I202" s="72" t="str">
        <f>"IN Workers Compensation Payable"</f>
        <v>IN Workers Compensation Payable</v>
      </c>
      <c r="J202" s="73">
        <v>0</v>
      </c>
    </row>
    <row r="203" spans="1:10" hidden="1" outlineLevel="1" x14ac:dyDescent="0.3">
      <c r="A203" s="41" t="s">
        <v>581</v>
      </c>
      <c r="B203" s="219"/>
      <c r="C203" s="243"/>
      <c r="E203" s="71" t="str">
        <f>"000-2273-00"</f>
        <v>000-2273-00</v>
      </c>
      <c r="F203" s="72" t="str">
        <f t="shared" si="15"/>
        <v>000</v>
      </c>
      <c r="G203" s="72" t="str">
        <f>"2273"</f>
        <v>2273</v>
      </c>
      <c r="H203" s="72" t="str">
        <f t="shared" si="16"/>
        <v>00</v>
      </c>
      <c r="I203" s="72" t="str">
        <f>"MN Workers Compensation Payable"</f>
        <v>MN Workers Compensation Payable</v>
      </c>
      <c r="J203" s="73">
        <v>0</v>
      </c>
    </row>
    <row r="204" spans="1:10" hidden="1" outlineLevel="1" x14ac:dyDescent="0.3">
      <c r="A204" s="41" t="s">
        <v>581</v>
      </c>
      <c r="B204" s="219"/>
      <c r="C204" s="243"/>
      <c r="E204" s="71" t="str">
        <f>"000-2274-00"</f>
        <v>000-2274-00</v>
      </c>
      <c r="F204" s="72" t="str">
        <f t="shared" si="15"/>
        <v>000</v>
      </c>
      <c r="G204" s="72" t="str">
        <f>"2274"</f>
        <v>2274</v>
      </c>
      <c r="H204" s="72" t="str">
        <f t="shared" si="16"/>
        <v>00</v>
      </c>
      <c r="I204" s="72" t="str">
        <f>"MO Workers compensation Payable"</f>
        <v>MO Workers compensation Payable</v>
      </c>
      <c r="J204" s="73">
        <v>0</v>
      </c>
    </row>
    <row r="205" spans="1:10" hidden="1" outlineLevel="1" x14ac:dyDescent="0.3">
      <c r="A205" s="41" t="s">
        <v>581</v>
      </c>
      <c r="B205" s="219"/>
      <c r="C205" s="243"/>
      <c r="E205" s="71" t="str">
        <f>"000-2275-00"</f>
        <v>000-2275-00</v>
      </c>
      <c r="F205" s="72" t="str">
        <f t="shared" si="15"/>
        <v>000</v>
      </c>
      <c r="G205" s="72" t="str">
        <f>"2275"</f>
        <v>2275</v>
      </c>
      <c r="H205" s="72" t="str">
        <f t="shared" si="16"/>
        <v>00</v>
      </c>
      <c r="I205" s="72" t="str">
        <f>"Ontario Workers Compensation Payable"</f>
        <v>Ontario Workers Compensation Payable</v>
      </c>
      <c r="J205" s="73">
        <v>0</v>
      </c>
    </row>
    <row r="206" spans="1:10" hidden="1" outlineLevel="1" x14ac:dyDescent="0.3">
      <c r="A206" s="41" t="s">
        <v>581</v>
      </c>
      <c r="B206" s="219"/>
      <c r="C206" s="243"/>
      <c r="E206" s="71" t="str">
        <f>"000-2276-00"</f>
        <v>000-2276-00</v>
      </c>
      <c r="F206" s="72" t="str">
        <f t="shared" si="15"/>
        <v>000</v>
      </c>
      <c r="G206" s="72" t="str">
        <f>"2276"</f>
        <v>2276</v>
      </c>
      <c r="H206" s="72" t="str">
        <f t="shared" si="16"/>
        <v>00</v>
      </c>
      <c r="I206" s="72" t="str">
        <f>"Alberta Workers Compensation Payable"</f>
        <v>Alberta Workers Compensation Payable</v>
      </c>
      <c r="J206" s="73">
        <v>0</v>
      </c>
    </row>
    <row r="207" spans="1:10" hidden="1" outlineLevel="1" x14ac:dyDescent="0.3">
      <c r="A207" s="41" t="s">
        <v>581</v>
      </c>
      <c r="B207" s="219"/>
      <c r="C207" s="243"/>
      <c r="E207" s="71" t="str">
        <f>"000-2277-00"</f>
        <v>000-2277-00</v>
      </c>
      <c r="F207" s="72" t="str">
        <f t="shared" si="15"/>
        <v>000</v>
      </c>
      <c r="G207" s="72" t="str">
        <f>"2277"</f>
        <v>2277</v>
      </c>
      <c r="H207" s="72" t="str">
        <f t="shared" si="16"/>
        <v>00</v>
      </c>
      <c r="I207" s="72" t="str">
        <f>"Quebec Workers Compensation Payable"</f>
        <v>Quebec Workers Compensation Payable</v>
      </c>
      <c r="J207" s="73">
        <v>0</v>
      </c>
    </row>
    <row r="208" spans="1:10" hidden="1" outlineLevel="1" x14ac:dyDescent="0.3">
      <c r="A208" s="41" t="s">
        <v>581</v>
      </c>
      <c r="B208" s="219"/>
      <c r="C208" s="243"/>
      <c r="E208" s="71" t="str">
        <f>"000-2280-00"</f>
        <v>000-2280-00</v>
      </c>
      <c r="F208" s="72" t="str">
        <f t="shared" si="15"/>
        <v>000</v>
      </c>
      <c r="G208" s="72" t="str">
        <f>"2280"</f>
        <v>2280</v>
      </c>
      <c r="H208" s="72" t="str">
        <f t="shared" si="16"/>
        <v>00</v>
      </c>
      <c r="I208" s="72" t="str">
        <f>"RRSP Payable"</f>
        <v>RRSP Payable</v>
      </c>
      <c r="J208" s="73">
        <v>1078.8900000000001</v>
      </c>
    </row>
    <row r="209" spans="1:10" hidden="1" outlineLevel="1" x14ac:dyDescent="0.3">
      <c r="A209" s="41" t="s">
        <v>581</v>
      </c>
      <c r="B209" s="219"/>
      <c r="C209" s="243"/>
      <c r="E209" s="71" t="str">
        <f>"000-2281-00"</f>
        <v>000-2281-00</v>
      </c>
      <c r="F209" s="72" t="str">
        <f t="shared" si="15"/>
        <v>000</v>
      </c>
      <c r="G209" s="72" t="str">
        <f>"2281"</f>
        <v>2281</v>
      </c>
      <c r="H209" s="72" t="str">
        <f t="shared" si="16"/>
        <v>00</v>
      </c>
      <c r="I209" s="72" t="str">
        <f>"CPP Payable"</f>
        <v>CPP Payable</v>
      </c>
      <c r="J209" s="73">
        <v>0</v>
      </c>
    </row>
    <row r="210" spans="1:10" hidden="1" outlineLevel="1" x14ac:dyDescent="0.3">
      <c r="A210" s="41" t="s">
        <v>581</v>
      </c>
      <c r="B210" s="219"/>
      <c r="C210" s="243"/>
      <c r="E210" s="71" t="str">
        <f>"000-2282-00"</f>
        <v>000-2282-00</v>
      </c>
      <c r="F210" s="72" t="str">
        <f t="shared" si="15"/>
        <v>000</v>
      </c>
      <c r="G210" s="72" t="str">
        <f>"2282"</f>
        <v>2282</v>
      </c>
      <c r="H210" s="72" t="str">
        <f t="shared" si="16"/>
        <v>00</v>
      </c>
      <c r="I210" s="72" t="str">
        <f>"QPP Payable"</f>
        <v>QPP Payable</v>
      </c>
      <c r="J210" s="73">
        <v>0</v>
      </c>
    </row>
    <row r="211" spans="1:10" hidden="1" outlineLevel="1" x14ac:dyDescent="0.3">
      <c r="A211" s="41" t="s">
        <v>581</v>
      </c>
      <c r="B211" s="219"/>
      <c r="C211" s="243"/>
      <c r="E211" s="71" t="str">
        <f>"000-2283-00"</f>
        <v>000-2283-00</v>
      </c>
      <c r="F211" s="72" t="str">
        <f t="shared" si="15"/>
        <v>000</v>
      </c>
      <c r="G211" s="72" t="str">
        <f>"2283"</f>
        <v>2283</v>
      </c>
      <c r="H211" s="72" t="str">
        <f t="shared" si="16"/>
        <v>00</v>
      </c>
      <c r="I211" s="72" t="str">
        <f>"UIC Payable"</f>
        <v>UIC Payable</v>
      </c>
      <c r="J211" s="73">
        <v>0</v>
      </c>
    </row>
    <row r="212" spans="1:10" hidden="1" outlineLevel="1" x14ac:dyDescent="0.3">
      <c r="A212" s="41" t="s">
        <v>581</v>
      </c>
      <c r="B212" s="219"/>
      <c r="C212" s="243"/>
      <c r="E212" s="71" t="str">
        <f>"000-2284-00"</f>
        <v>000-2284-00</v>
      </c>
      <c r="F212" s="72" t="str">
        <f t="shared" si="15"/>
        <v>000</v>
      </c>
      <c r="G212" s="72" t="str">
        <f>"2284"</f>
        <v>2284</v>
      </c>
      <c r="H212" s="72" t="str">
        <f t="shared" si="16"/>
        <v>00</v>
      </c>
      <c r="I212" s="72" t="str">
        <f>"Quebec Withholding Payable"</f>
        <v>Quebec Withholding Payable</v>
      </c>
      <c r="J212" s="73">
        <v>0</v>
      </c>
    </row>
    <row r="213" spans="1:10" hidden="1" outlineLevel="1" x14ac:dyDescent="0.3">
      <c r="A213" s="41" t="s">
        <v>581</v>
      </c>
      <c r="B213" s="219"/>
      <c r="C213" s="243"/>
      <c r="E213" s="71" t="str">
        <f>"000-2300-00"</f>
        <v>000-2300-00</v>
      </c>
      <c r="F213" s="72" t="str">
        <f t="shared" si="15"/>
        <v>000</v>
      </c>
      <c r="G213" s="72" t="str">
        <f>"2300"</f>
        <v>2300</v>
      </c>
      <c r="H213" s="72" t="str">
        <f t="shared" si="16"/>
        <v>00</v>
      </c>
      <c r="I213" s="72" t="str">
        <f>"IL State Sales Tax Payable"</f>
        <v>IL State Sales Tax Payable</v>
      </c>
      <c r="J213" s="73">
        <v>54337.54</v>
      </c>
    </row>
    <row r="214" spans="1:10" hidden="1" outlineLevel="1" x14ac:dyDescent="0.3">
      <c r="A214" s="41" t="s">
        <v>581</v>
      </c>
      <c r="B214" s="219"/>
      <c r="C214" s="243"/>
      <c r="E214" s="71" t="str">
        <f>"000-2310-00"</f>
        <v>000-2310-00</v>
      </c>
      <c r="F214" s="72" t="str">
        <f t="shared" si="15"/>
        <v>000</v>
      </c>
      <c r="G214" s="72" t="str">
        <f>"2310"</f>
        <v>2310</v>
      </c>
      <c r="H214" s="72" t="str">
        <f t="shared" si="16"/>
        <v>00</v>
      </c>
      <c r="I214" s="72" t="str">
        <f>"Chicago City Sales Tax Payable"</f>
        <v>Chicago City Sales Tax Payable</v>
      </c>
      <c r="J214" s="73">
        <v>9023.51</v>
      </c>
    </row>
    <row r="215" spans="1:10" hidden="1" outlineLevel="1" x14ac:dyDescent="0.3">
      <c r="A215" s="41" t="s">
        <v>581</v>
      </c>
      <c r="B215" s="219"/>
      <c r="C215" s="243"/>
      <c r="E215" s="71" t="str">
        <f>"000-2311-00"</f>
        <v>000-2311-00</v>
      </c>
      <c r="F215" s="72" t="str">
        <f t="shared" si="15"/>
        <v>000</v>
      </c>
      <c r="G215" s="72" t="str">
        <f>"2311"</f>
        <v>2311</v>
      </c>
      <c r="H215" s="72" t="str">
        <f t="shared" si="16"/>
        <v>00</v>
      </c>
      <c r="I215" s="72" t="str">
        <f>"Springfield City Tax Payable"</f>
        <v>Springfield City Tax Payable</v>
      </c>
      <c r="J215" s="73">
        <v>0</v>
      </c>
    </row>
    <row r="216" spans="1:10" hidden="1" outlineLevel="1" x14ac:dyDescent="0.3">
      <c r="A216" s="41" t="s">
        <v>581</v>
      </c>
      <c r="B216" s="219"/>
      <c r="C216" s="243"/>
      <c r="E216" s="71" t="str">
        <f>"000-2315-00"</f>
        <v>000-2315-00</v>
      </c>
      <c r="F216" s="72" t="str">
        <f t="shared" si="15"/>
        <v>000</v>
      </c>
      <c r="G216" s="72" t="str">
        <f>"2315"</f>
        <v>2315</v>
      </c>
      <c r="H216" s="72" t="str">
        <f t="shared" si="16"/>
        <v>00</v>
      </c>
      <c r="I216" s="72" t="str">
        <f>"Export/Duty Tax Payable"</f>
        <v>Export/Duty Tax Payable</v>
      </c>
      <c r="J216" s="73">
        <v>0</v>
      </c>
    </row>
    <row r="217" spans="1:10" hidden="1" outlineLevel="1" x14ac:dyDescent="0.3">
      <c r="A217" s="41" t="s">
        <v>581</v>
      </c>
      <c r="B217" s="219"/>
      <c r="C217" s="243"/>
      <c r="E217" s="71" t="str">
        <f>"000-2320-00"</f>
        <v>000-2320-00</v>
      </c>
      <c r="F217" s="72" t="str">
        <f t="shared" si="15"/>
        <v>000</v>
      </c>
      <c r="G217" s="72" t="str">
        <f>"2320"</f>
        <v>2320</v>
      </c>
      <c r="H217" s="72" t="str">
        <f t="shared" si="16"/>
        <v>00</v>
      </c>
      <c r="I217" s="72" t="str">
        <f>"GST Collected-Canada"</f>
        <v>GST Collected-Canada</v>
      </c>
      <c r="J217" s="73">
        <v>21116.89</v>
      </c>
    </row>
    <row r="218" spans="1:10" hidden="1" outlineLevel="1" x14ac:dyDescent="0.3">
      <c r="A218" s="41" t="s">
        <v>581</v>
      </c>
      <c r="B218" s="219"/>
      <c r="C218" s="243"/>
      <c r="E218" s="71" t="str">
        <f>"000-2321-00"</f>
        <v>000-2321-00</v>
      </c>
      <c r="F218" s="72" t="str">
        <f t="shared" si="15"/>
        <v>000</v>
      </c>
      <c r="G218" s="72" t="str">
        <f>"2321"</f>
        <v>2321</v>
      </c>
      <c r="H218" s="72" t="str">
        <f t="shared" si="16"/>
        <v>00</v>
      </c>
      <c r="I218" s="72" t="str">
        <f>"GST Input Tax Credit-Canada"</f>
        <v>GST Input Tax Credit-Canada</v>
      </c>
      <c r="J218" s="73">
        <v>-21153.56</v>
      </c>
    </row>
    <row r="219" spans="1:10" hidden="1" outlineLevel="1" x14ac:dyDescent="0.3">
      <c r="A219" s="41" t="s">
        <v>581</v>
      </c>
      <c r="B219" s="219"/>
      <c r="C219" s="243"/>
      <c r="E219" s="71" t="str">
        <f>"000-2322-00"</f>
        <v>000-2322-00</v>
      </c>
      <c r="F219" s="72" t="str">
        <f t="shared" si="15"/>
        <v>000</v>
      </c>
      <c r="G219" s="72" t="str">
        <f>"2322"</f>
        <v>2322</v>
      </c>
      <c r="H219" s="72" t="str">
        <f t="shared" si="16"/>
        <v>00</v>
      </c>
      <c r="I219" s="72" t="str">
        <f>"PST Payable"</f>
        <v>PST Payable</v>
      </c>
      <c r="J219" s="73">
        <v>0</v>
      </c>
    </row>
    <row r="220" spans="1:10" hidden="1" outlineLevel="1" x14ac:dyDescent="0.3">
      <c r="A220" s="41" t="s">
        <v>581</v>
      </c>
      <c r="B220" s="219"/>
      <c r="C220" s="243"/>
      <c r="E220" s="71" t="str">
        <f>"000-2323-00"</f>
        <v>000-2323-00</v>
      </c>
      <c r="F220" s="72" t="str">
        <f t="shared" si="15"/>
        <v>000</v>
      </c>
      <c r="G220" s="72" t="str">
        <f>"2323"</f>
        <v>2323</v>
      </c>
      <c r="H220" s="72" t="str">
        <f t="shared" si="16"/>
        <v>00</v>
      </c>
      <c r="I220" s="72" t="str">
        <f>"QST Payable"</f>
        <v>QST Payable</v>
      </c>
      <c r="J220" s="73">
        <v>0</v>
      </c>
    </row>
    <row r="221" spans="1:10" hidden="1" outlineLevel="1" x14ac:dyDescent="0.3">
      <c r="A221" s="41" t="s">
        <v>581</v>
      </c>
      <c r="B221" s="219"/>
      <c r="C221" s="243"/>
      <c r="E221" s="71" t="str">
        <f>"000-2330-00"</f>
        <v>000-2330-00</v>
      </c>
      <c r="F221" s="72" t="str">
        <f t="shared" si="15"/>
        <v>000</v>
      </c>
      <c r="G221" s="72" t="str">
        <f>"2330"</f>
        <v>2330</v>
      </c>
      <c r="H221" s="72" t="str">
        <f t="shared" si="16"/>
        <v>00</v>
      </c>
      <c r="I221" s="72" t="str">
        <f>"Australia Sales Tax Payable"</f>
        <v>Australia Sales Tax Payable</v>
      </c>
      <c r="J221" s="73">
        <v>10428.15</v>
      </c>
    </row>
    <row r="222" spans="1:10" hidden="1" outlineLevel="1" x14ac:dyDescent="0.3">
      <c r="A222" s="41" t="s">
        <v>581</v>
      </c>
      <c r="B222" s="219"/>
      <c r="C222" s="243"/>
      <c r="E222" s="71" t="str">
        <f>"000-2340-00"</f>
        <v>000-2340-00</v>
      </c>
      <c r="F222" s="72" t="str">
        <f t="shared" si="15"/>
        <v>000</v>
      </c>
      <c r="G222" s="72" t="str">
        <f>"2340"</f>
        <v>2340</v>
      </c>
      <c r="H222" s="72" t="str">
        <f t="shared" si="16"/>
        <v>00</v>
      </c>
      <c r="I222" s="72" t="str">
        <f>"GST Collected -New Zealand"</f>
        <v>GST Collected -New Zealand</v>
      </c>
      <c r="J222" s="73">
        <v>2953.19</v>
      </c>
    </row>
    <row r="223" spans="1:10" hidden="1" outlineLevel="1" x14ac:dyDescent="0.3">
      <c r="A223" s="41" t="s">
        <v>581</v>
      </c>
      <c r="B223" s="219"/>
      <c r="C223" s="243"/>
      <c r="E223" s="71" t="str">
        <f>"000-2341-00"</f>
        <v>000-2341-00</v>
      </c>
      <c r="F223" s="72" t="str">
        <f t="shared" si="15"/>
        <v>000</v>
      </c>
      <c r="G223" s="72" t="str">
        <f>"2341"</f>
        <v>2341</v>
      </c>
      <c r="H223" s="72" t="str">
        <f t="shared" si="16"/>
        <v>00</v>
      </c>
      <c r="I223" s="72" t="str">
        <f>"GST Input Tax Credit-New Zealand"</f>
        <v>GST Input Tax Credit-New Zealand</v>
      </c>
      <c r="J223" s="73">
        <v>-1250</v>
      </c>
    </row>
    <row r="224" spans="1:10" hidden="1" outlineLevel="1" x14ac:dyDescent="0.3">
      <c r="A224" s="41" t="s">
        <v>581</v>
      </c>
      <c r="B224" s="219"/>
      <c r="C224" s="243"/>
      <c r="E224" s="71" t="str">
        <f>"000-2350-00"</f>
        <v>000-2350-00</v>
      </c>
      <c r="F224" s="72" t="str">
        <f t="shared" si="15"/>
        <v>000</v>
      </c>
      <c r="G224" s="72" t="str">
        <f>"2350"</f>
        <v>2350</v>
      </c>
      <c r="H224" s="72" t="str">
        <f t="shared" si="16"/>
        <v>00</v>
      </c>
      <c r="I224" s="72" t="str">
        <f>"VAT Collected-UK"</f>
        <v>VAT Collected-UK</v>
      </c>
      <c r="J224" s="73">
        <v>0</v>
      </c>
    </row>
    <row r="225" spans="1:10" hidden="1" outlineLevel="1" x14ac:dyDescent="0.3">
      <c r="A225" s="41" t="s">
        <v>581</v>
      </c>
      <c r="B225" s="219"/>
      <c r="C225" s="243"/>
      <c r="E225" s="71" t="str">
        <f>"000-2351-00"</f>
        <v>000-2351-00</v>
      </c>
      <c r="F225" s="72" t="str">
        <f t="shared" si="15"/>
        <v>000</v>
      </c>
      <c r="G225" s="72" t="str">
        <f>"2351"</f>
        <v>2351</v>
      </c>
      <c r="H225" s="72" t="str">
        <f t="shared" si="16"/>
        <v>00</v>
      </c>
      <c r="I225" s="72" t="str">
        <f>"VAT Paid-UK"</f>
        <v>VAT Paid-UK</v>
      </c>
      <c r="J225" s="73">
        <v>0</v>
      </c>
    </row>
    <row r="226" spans="1:10" hidden="1" outlineLevel="1" x14ac:dyDescent="0.3">
      <c r="A226" s="41" t="s">
        <v>581</v>
      </c>
      <c r="B226" s="219"/>
      <c r="C226" s="243"/>
      <c r="E226" s="71" t="str">
        <f>"000-2600-00"</f>
        <v>000-2600-00</v>
      </c>
      <c r="F226" s="72" t="str">
        <f t="shared" si="15"/>
        <v>000</v>
      </c>
      <c r="G226" s="72" t="str">
        <f>"2600"</f>
        <v>2600</v>
      </c>
      <c r="H226" s="72" t="str">
        <f t="shared" si="16"/>
        <v>00</v>
      </c>
      <c r="I226" s="72" t="str">
        <f>"Federal Income Tax Payable"</f>
        <v>Federal Income Tax Payable</v>
      </c>
      <c r="J226" s="73">
        <v>107870.2</v>
      </c>
    </row>
    <row r="227" spans="1:10" hidden="1" outlineLevel="1" x14ac:dyDescent="0.3">
      <c r="A227" s="41" t="s">
        <v>581</v>
      </c>
      <c r="B227" s="219"/>
      <c r="C227" s="243"/>
      <c r="E227" s="71" t="str">
        <f>"000-2610-00"</f>
        <v>000-2610-00</v>
      </c>
      <c r="F227" s="72" t="str">
        <f t="shared" si="15"/>
        <v>000</v>
      </c>
      <c r="G227" s="72" t="str">
        <f>"2610"</f>
        <v>2610</v>
      </c>
      <c r="H227" s="72" t="str">
        <f t="shared" si="16"/>
        <v>00</v>
      </c>
      <c r="I227" s="72" t="str">
        <f>"IL Income Tax Payable"</f>
        <v>IL Income Tax Payable</v>
      </c>
      <c r="J227" s="73">
        <v>0</v>
      </c>
    </row>
    <row r="228" spans="1:10" hidden="1" outlineLevel="1" x14ac:dyDescent="0.3">
      <c r="A228" s="41" t="s">
        <v>581</v>
      </c>
      <c r="B228" s="219"/>
      <c r="C228" s="243"/>
      <c r="E228" s="71" t="str">
        <f>"000-2940-00"</f>
        <v>000-2940-00</v>
      </c>
      <c r="F228" s="72" t="str">
        <f t="shared" si="15"/>
        <v>000</v>
      </c>
      <c r="G228" s="72" t="str">
        <f>"2940"</f>
        <v>2940</v>
      </c>
      <c r="H228" s="72" t="str">
        <f t="shared" si="16"/>
        <v>00</v>
      </c>
      <c r="I228" s="72" t="str">
        <f>"Deferred Income Taxes"</f>
        <v>Deferred Income Taxes</v>
      </c>
      <c r="J228" s="73">
        <v>0</v>
      </c>
    </row>
    <row r="229" spans="1:10" hidden="1" outlineLevel="1" x14ac:dyDescent="0.3">
      <c r="A229" s="41"/>
      <c r="B229" s="219"/>
      <c r="C229" s="243"/>
      <c r="E229" s="71"/>
      <c r="F229" s="72"/>
      <c r="G229" s="72"/>
      <c r="H229" s="72"/>
      <c r="J229" s="74"/>
    </row>
    <row r="230" spans="1:10" collapsed="1" x14ac:dyDescent="0.3">
      <c r="A230" s="41"/>
      <c r="B230" s="219"/>
      <c r="C230" s="244">
        <v>17</v>
      </c>
      <c r="E230" s="51" t="str">
        <f>"Interest Payable"</f>
        <v>Interest Payable</v>
      </c>
      <c r="J230" s="67">
        <f>SUBTOTAL(9,J231:J232)</f>
        <v>-738.97</v>
      </c>
    </row>
    <row r="231" spans="1:10" hidden="1" outlineLevel="1" x14ac:dyDescent="0.3">
      <c r="A231" s="41"/>
      <c r="B231" s="219"/>
      <c r="C231" s="243"/>
      <c r="E231" s="71" t="str">
        <f>"000-2500-00"</f>
        <v>000-2500-00</v>
      </c>
      <c r="F231" s="72" t="str">
        <f>"000"</f>
        <v>000</v>
      </c>
      <c r="G231" s="72" t="str">
        <f>"2500"</f>
        <v>2500</v>
      </c>
      <c r="H231" s="72" t="str">
        <f>"00"</f>
        <v>00</v>
      </c>
      <c r="I231" s="72" t="str">
        <f>"Interest Payable"</f>
        <v>Interest Payable</v>
      </c>
      <c r="J231" s="73">
        <v>-738.97</v>
      </c>
    </row>
    <row r="232" spans="1:10" hidden="1" outlineLevel="1" x14ac:dyDescent="0.3">
      <c r="A232" s="41"/>
      <c r="B232" s="219"/>
      <c r="C232" s="243"/>
      <c r="E232" s="71"/>
      <c r="F232" s="72"/>
      <c r="G232" s="72"/>
      <c r="H232" s="72"/>
      <c r="J232" s="74"/>
    </row>
    <row r="233" spans="1:10" collapsed="1" x14ac:dyDescent="0.3">
      <c r="A233" s="41"/>
      <c r="B233" s="219"/>
      <c r="C233" s="244">
        <v>18</v>
      </c>
      <c r="E233" s="51" t="str">
        <f>"Dividends Payable"</f>
        <v>Dividends Payable</v>
      </c>
      <c r="J233" s="67">
        <f>SUBTOTAL(9,J234:J235)</f>
        <v>0</v>
      </c>
    </row>
    <row r="234" spans="1:10" hidden="1" outlineLevel="1" x14ac:dyDescent="0.3">
      <c r="A234" s="41"/>
      <c r="B234" s="219"/>
      <c r="C234" s="243"/>
      <c r="E234" s="71" t="str">
        <f>"000-2400-00"</f>
        <v>000-2400-00</v>
      </c>
      <c r="F234" s="72" t="str">
        <f>"000"</f>
        <v>000</v>
      </c>
      <c r="G234" s="72" t="str">
        <f>"2400"</f>
        <v>2400</v>
      </c>
      <c r="H234" s="72" t="str">
        <f>"00"</f>
        <v>00</v>
      </c>
      <c r="I234" s="72" t="str">
        <f>"Dividends Payable"</f>
        <v>Dividends Payable</v>
      </c>
      <c r="J234" s="73">
        <v>0</v>
      </c>
    </row>
    <row r="235" spans="1:10" hidden="1" outlineLevel="1" x14ac:dyDescent="0.3">
      <c r="A235" s="41"/>
      <c r="B235" s="219"/>
      <c r="C235" s="243"/>
      <c r="E235" s="71"/>
      <c r="F235" s="72"/>
      <c r="G235" s="72"/>
      <c r="H235" s="72"/>
      <c r="J235" s="74"/>
    </row>
    <row r="236" spans="1:10" collapsed="1" x14ac:dyDescent="0.3">
      <c r="A236" s="41"/>
      <c r="B236" s="219"/>
      <c r="C236" s="244">
        <v>21</v>
      </c>
      <c r="E236" s="51" t="str">
        <f>"Other Current Liabilities"</f>
        <v>Other Current Liabilities</v>
      </c>
      <c r="J236" s="67">
        <f>SUBTOTAL(9,J237:J242)</f>
        <v>0</v>
      </c>
    </row>
    <row r="237" spans="1:10" hidden="1" outlineLevel="1" x14ac:dyDescent="0.3">
      <c r="A237" s="41"/>
      <c r="B237" s="219"/>
      <c r="C237" s="243"/>
      <c r="E237" s="71" t="str">
        <f>"000-2014-01"</f>
        <v>000-2014-01</v>
      </c>
      <c r="F237" s="72" t="str">
        <f>"000"</f>
        <v>000</v>
      </c>
      <c r="G237" s="72" t="str">
        <f>"2014"</f>
        <v>2014</v>
      </c>
      <c r="H237" s="72" t="str">
        <f>"01"</f>
        <v>01</v>
      </c>
      <c r="I237" s="72" t="str">
        <f>"Contra Accounts for Costs"</f>
        <v>Contra Accounts for Costs</v>
      </c>
      <c r="J237" s="73">
        <v>0</v>
      </c>
    </row>
    <row r="238" spans="1:10" hidden="1" outlineLevel="1" x14ac:dyDescent="0.3">
      <c r="A238" s="41" t="s">
        <v>581</v>
      </c>
      <c r="B238" s="219"/>
      <c r="C238" s="243"/>
      <c r="E238" s="71" t="str">
        <f>"000-2740-00"</f>
        <v>000-2740-00</v>
      </c>
      <c r="F238" s="72" t="str">
        <f>"000"</f>
        <v>000</v>
      </c>
      <c r="G238" s="72" t="str">
        <f>"2740"</f>
        <v>2740</v>
      </c>
      <c r="H238" s="72" t="str">
        <f>"00"</f>
        <v>00</v>
      </c>
      <c r="I238" s="72" t="str">
        <f>"Advances from Customers"</f>
        <v>Advances from Customers</v>
      </c>
      <c r="J238" s="73">
        <v>0</v>
      </c>
    </row>
    <row r="239" spans="1:10" hidden="1" outlineLevel="1" x14ac:dyDescent="0.3">
      <c r="A239" s="41" t="s">
        <v>581</v>
      </c>
      <c r="B239" s="219"/>
      <c r="C239" s="243"/>
      <c r="E239" s="71" t="str">
        <f>"000-4800-00"</f>
        <v>000-4800-00</v>
      </c>
      <c r="F239" s="72" t="str">
        <f>"000"</f>
        <v>000</v>
      </c>
      <c r="G239" s="72" t="str">
        <f>"4800"</f>
        <v>4800</v>
      </c>
      <c r="H239" s="72" t="str">
        <f>"00"</f>
        <v>00</v>
      </c>
      <c r="I239" s="72" t="str">
        <f>"Overhead"</f>
        <v>Overhead</v>
      </c>
      <c r="J239" s="73">
        <v>0</v>
      </c>
    </row>
    <row r="240" spans="1:10" hidden="1" outlineLevel="1" x14ac:dyDescent="0.3">
      <c r="A240" s="41" t="s">
        <v>581</v>
      </c>
      <c r="B240" s="219"/>
      <c r="C240" s="243"/>
      <c r="E240" s="71" t="str">
        <f>"000-6900-00"</f>
        <v>000-6900-00</v>
      </c>
      <c r="F240" s="72" t="str">
        <f>"000"</f>
        <v>000</v>
      </c>
      <c r="G240" s="72" t="str">
        <f>"6900"</f>
        <v>6900</v>
      </c>
      <c r="H240" s="72" t="str">
        <f>"00"</f>
        <v>00</v>
      </c>
      <c r="I240" s="72" t="str">
        <f>"Project Losses"</f>
        <v>Project Losses</v>
      </c>
      <c r="J240" s="73">
        <v>0</v>
      </c>
    </row>
    <row r="241" spans="1:10" hidden="1" outlineLevel="1" x14ac:dyDescent="0.3">
      <c r="A241" s="41" t="s">
        <v>581</v>
      </c>
      <c r="B241" s="219"/>
      <c r="C241" s="243"/>
      <c r="E241" s="71" t="str">
        <f>"000-8410-00"</f>
        <v>000-8410-00</v>
      </c>
      <c r="F241" s="72" t="str">
        <f>"000"</f>
        <v>000</v>
      </c>
      <c r="G241" s="72" t="str">
        <f>"8410"</f>
        <v>8410</v>
      </c>
      <c r="H241" s="72" t="str">
        <f>"00"</f>
        <v>00</v>
      </c>
      <c r="I241" s="72" t="str">
        <f>"Billings in Excess of Earnings"</f>
        <v>Billings in Excess of Earnings</v>
      </c>
      <c r="J241" s="73">
        <v>0</v>
      </c>
    </row>
    <row r="242" spans="1:10" hidden="1" outlineLevel="1" x14ac:dyDescent="0.3">
      <c r="A242" s="41"/>
      <c r="B242" s="219"/>
      <c r="C242" s="243"/>
      <c r="E242" s="71"/>
      <c r="F242" s="72"/>
      <c r="G242" s="72"/>
      <c r="H242" s="72"/>
      <c r="J242" s="74"/>
    </row>
    <row r="243" spans="1:10" x14ac:dyDescent="0.3">
      <c r="A243" s="41"/>
      <c r="B243" s="219"/>
      <c r="C243" s="243"/>
    </row>
    <row r="244" spans="1:10" x14ac:dyDescent="0.3">
      <c r="A244" s="41"/>
      <c r="B244" s="219"/>
      <c r="C244" s="243"/>
      <c r="F244" s="87"/>
      <c r="G244" s="87"/>
      <c r="H244" s="85"/>
      <c r="I244" s="85" t="s">
        <v>51</v>
      </c>
      <c r="J244" s="86">
        <f>SUBTOTAL(9,J143:J243)</f>
        <v>2096088.7499999995</v>
      </c>
    </row>
    <row r="245" spans="1:10" x14ac:dyDescent="0.3">
      <c r="A245" s="41"/>
      <c r="B245" s="219"/>
      <c r="C245" s="243"/>
    </row>
    <row r="246" spans="1:10" x14ac:dyDescent="0.3">
      <c r="A246" s="41"/>
      <c r="B246" s="219"/>
      <c r="C246" s="243"/>
      <c r="E246" s="88" t="s">
        <v>52</v>
      </c>
    </row>
    <row r="247" spans="1:10" collapsed="1" x14ac:dyDescent="0.3">
      <c r="A247" s="41"/>
      <c r="B247" s="219"/>
      <c r="C247" s="244">
        <v>22</v>
      </c>
      <c r="E247" s="51" t="str">
        <f>"Long-Term Debt"</f>
        <v>Long-Term Debt</v>
      </c>
      <c r="J247" s="67">
        <f>SUBTOTAL(9,J248:J252)</f>
        <v>326890.95</v>
      </c>
    </row>
    <row r="248" spans="1:10" hidden="1" outlineLevel="1" x14ac:dyDescent="0.3">
      <c r="A248" s="41"/>
      <c r="B248" s="219"/>
      <c r="C248" s="243"/>
      <c r="E248" s="71" t="str">
        <f>"000-2900-00"</f>
        <v>000-2900-00</v>
      </c>
      <c r="F248" s="72" t="str">
        <f>"000"</f>
        <v>000</v>
      </c>
      <c r="G248" s="72" t="str">
        <f>"2900"</f>
        <v>2900</v>
      </c>
      <c r="H248" s="72" t="str">
        <f>"00"</f>
        <v>00</v>
      </c>
      <c r="I248" s="72" t="str">
        <f>"Notes Payable on Vehicles"</f>
        <v>Notes Payable on Vehicles</v>
      </c>
      <c r="J248" s="73">
        <v>32292.76</v>
      </c>
    </row>
    <row r="249" spans="1:10" hidden="1" outlineLevel="1" x14ac:dyDescent="0.3">
      <c r="A249" s="41" t="s">
        <v>581</v>
      </c>
      <c r="B249" s="219"/>
      <c r="C249" s="243"/>
      <c r="E249" s="71" t="str">
        <f>"000-2910-00"</f>
        <v>000-2910-00</v>
      </c>
      <c r="F249" s="72" t="str">
        <f>"000"</f>
        <v>000</v>
      </c>
      <c r="G249" s="72" t="str">
        <f>"2910"</f>
        <v>2910</v>
      </c>
      <c r="H249" s="72" t="str">
        <f>"00"</f>
        <v>00</v>
      </c>
      <c r="I249" s="72" t="str">
        <f>"Notes Payable to Banks"</f>
        <v>Notes Payable to Banks</v>
      </c>
      <c r="J249" s="73">
        <v>0</v>
      </c>
    </row>
    <row r="250" spans="1:10" hidden="1" outlineLevel="1" x14ac:dyDescent="0.3">
      <c r="A250" s="41" t="s">
        <v>581</v>
      </c>
      <c r="B250" s="219"/>
      <c r="C250" s="243"/>
      <c r="E250" s="71" t="str">
        <f>"000-2920-00"</f>
        <v>000-2920-00</v>
      </c>
      <c r="F250" s="72" t="str">
        <f>"000"</f>
        <v>000</v>
      </c>
      <c r="G250" s="72" t="str">
        <f>"2920"</f>
        <v>2920</v>
      </c>
      <c r="H250" s="72" t="str">
        <f>"00"</f>
        <v>00</v>
      </c>
      <c r="I250" s="72" t="str">
        <f>"Notes Payable to Stockholders"</f>
        <v>Notes Payable to Stockholders</v>
      </c>
      <c r="J250" s="73">
        <v>20835.16</v>
      </c>
    </row>
    <row r="251" spans="1:10" hidden="1" outlineLevel="1" x14ac:dyDescent="0.3">
      <c r="A251" s="41" t="s">
        <v>581</v>
      </c>
      <c r="B251" s="219"/>
      <c r="C251" s="243"/>
      <c r="E251" s="71" t="str">
        <f>"000-2930-00"</f>
        <v>000-2930-00</v>
      </c>
      <c r="F251" s="72" t="str">
        <f>"000"</f>
        <v>000</v>
      </c>
      <c r="G251" s="72" t="str">
        <f>"2930"</f>
        <v>2930</v>
      </c>
      <c r="H251" s="72" t="str">
        <f>"00"</f>
        <v>00</v>
      </c>
      <c r="I251" s="72" t="str">
        <f>"Capital Leases Payable"</f>
        <v>Capital Leases Payable</v>
      </c>
      <c r="J251" s="73">
        <v>273763.03000000003</v>
      </c>
    </row>
    <row r="252" spans="1:10" hidden="1" outlineLevel="1" x14ac:dyDescent="0.3">
      <c r="A252" s="41"/>
      <c r="B252" s="219"/>
      <c r="C252" s="243"/>
      <c r="E252" s="71"/>
      <c r="F252" s="72"/>
      <c r="G252" s="72"/>
      <c r="H252" s="72"/>
      <c r="J252" s="74"/>
    </row>
    <row r="253" spans="1:10" x14ac:dyDescent="0.3">
      <c r="A253" s="41"/>
      <c r="B253" s="219"/>
      <c r="C253" s="243"/>
      <c r="F253" s="87"/>
      <c r="G253" s="87"/>
      <c r="H253" s="85"/>
      <c r="I253" s="85" t="s">
        <v>53</v>
      </c>
      <c r="J253" s="86">
        <f>SUBTOTAL(9,J247:J252)</f>
        <v>326890.95</v>
      </c>
    </row>
    <row r="254" spans="1:10" x14ac:dyDescent="0.3">
      <c r="A254" s="41"/>
      <c r="B254" s="219"/>
      <c r="C254" s="243"/>
    </row>
    <row r="255" spans="1:10" x14ac:dyDescent="0.3">
      <c r="A255" s="41"/>
      <c r="B255" s="219"/>
      <c r="C255" s="243"/>
    </row>
    <row r="256" spans="1:10" ht="18.75" x14ac:dyDescent="0.3">
      <c r="A256" s="41"/>
      <c r="B256" s="219"/>
      <c r="C256" s="243"/>
      <c r="E256" s="90" t="s">
        <v>54</v>
      </c>
      <c r="F256" s="91"/>
      <c r="G256" s="91"/>
      <c r="H256" s="91"/>
      <c r="I256" s="91"/>
      <c r="J256" s="91">
        <f>J244+J253</f>
        <v>2422979.6999999997</v>
      </c>
    </row>
    <row r="257" spans="1:10" x14ac:dyDescent="0.3">
      <c r="A257" s="41"/>
      <c r="B257" s="219"/>
      <c r="C257" s="243"/>
    </row>
    <row r="258" spans="1:10" ht="18.75" x14ac:dyDescent="0.3">
      <c r="A258" s="41"/>
      <c r="B258" s="219"/>
      <c r="C258" s="243"/>
      <c r="E258" s="89" t="s">
        <v>55</v>
      </c>
    </row>
    <row r="259" spans="1:10" collapsed="1" x14ac:dyDescent="0.3">
      <c r="A259" s="41"/>
      <c r="B259" s="219"/>
      <c r="C259" s="243">
        <v>23</v>
      </c>
      <c r="E259" s="51" t="str">
        <f>"Common Stock"</f>
        <v>Common Stock</v>
      </c>
      <c r="J259" s="67">
        <f>SUBTOTAL(9,J260:J261)</f>
        <v>782469</v>
      </c>
    </row>
    <row r="260" spans="1:10" hidden="1" outlineLevel="1" x14ac:dyDescent="0.3">
      <c r="A260" s="41"/>
      <c r="B260" s="219"/>
      <c r="C260" s="243"/>
      <c r="E260" s="71" t="str">
        <f>"000-3010-00"</f>
        <v>000-3010-00</v>
      </c>
      <c r="F260" s="72" t="str">
        <f>"000"</f>
        <v>000</v>
      </c>
      <c r="G260" s="72" t="str">
        <f>"3010"</f>
        <v>3010</v>
      </c>
      <c r="H260" s="72" t="str">
        <f>"00"</f>
        <v>00</v>
      </c>
      <c r="I260" s="72" t="str">
        <f>"Common Stock"</f>
        <v>Common Stock</v>
      </c>
      <c r="J260" s="73">
        <v>782469</v>
      </c>
    </row>
    <row r="261" spans="1:10" hidden="1" outlineLevel="1" x14ac:dyDescent="0.3">
      <c r="A261" s="41"/>
      <c r="B261" s="219"/>
      <c r="C261" s="243"/>
      <c r="E261" s="71"/>
      <c r="F261" s="72"/>
      <c r="G261" s="72"/>
      <c r="H261" s="72"/>
      <c r="J261" s="74"/>
    </row>
    <row r="262" spans="1:10" collapsed="1" x14ac:dyDescent="0.3">
      <c r="A262" s="41"/>
      <c r="B262" s="219"/>
      <c r="C262" s="243">
        <v>25</v>
      </c>
      <c r="E262" s="51" t="str">
        <f>"Additional Paid-in Capital - Common"</f>
        <v>Additional Paid-in Capital - Common</v>
      </c>
      <c r="J262" s="67">
        <f>SUBTOTAL(9,J263:J264)</f>
        <v>200652.92</v>
      </c>
    </row>
    <row r="263" spans="1:10" hidden="1" outlineLevel="1" x14ac:dyDescent="0.3">
      <c r="A263" s="41"/>
      <c r="B263" s="219"/>
      <c r="C263" s="243"/>
      <c r="E263" s="71" t="str">
        <f>"000-3020-00"</f>
        <v>000-3020-00</v>
      </c>
      <c r="F263" s="72" t="str">
        <f>"000"</f>
        <v>000</v>
      </c>
      <c r="G263" s="72" t="str">
        <f>"3020"</f>
        <v>3020</v>
      </c>
      <c r="H263" s="72" t="str">
        <f>"00"</f>
        <v>00</v>
      </c>
      <c r="I263" s="72" t="str">
        <f>"Additional Paid-In Capital-Common Stock"</f>
        <v>Additional Paid-In Capital-Common Stock</v>
      </c>
      <c r="J263" s="73">
        <v>200652.92</v>
      </c>
    </row>
    <row r="264" spans="1:10" hidden="1" outlineLevel="1" x14ac:dyDescent="0.3">
      <c r="A264" s="41"/>
      <c r="B264" s="219"/>
      <c r="C264" s="243"/>
      <c r="E264" s="71"/>
      <c r="F264" s="72"/>
      <c r="G264" s="72"/>
      <c r="H264" s="72"/>
      <c r="J264" s="74"/>
    </row>
    <row r="265" spans="1:10" collapsed="1" x14ac:dyDescent="0.3">
      <c r="A265" s="41"/>
      <c r="B265" s="219"/>
      <c r="C265" s="243">
        <v>27</v>
      </c>
      <c r="E265" s="51" t="str">
        <f>"Retained Earnings"</f>
        <v>Retained Earnings</v>
      </c>
      <c r="J265" s="67">
        <f>SUBTOTAL(9,J266:J270)</f>
        <v>699202.6</v>
      </c>
    </row>
    <row r="266" spans="1:10" hidden="1" outlineLevel="1" x14ac:dyDescent="0.3">
      <c r="A266" s="41"/>
      <c r="B266" s="219"/>
      <c r="C266" s="243"/>
      <c r="E266" s="71" t="str">
        <f>"000-3030-00"</f>
        <v>000-3030-00</v>
      </c>
      <c r="F266" s="72" t="str">
        <f>"000"</f>
        <v>000</v>
      </c>
      <c r="G266" s="72" t="str">
        <f>"3030"</f>
        <v>3030</v>
      </c>
      <c r="H266" s="72" t="str">
        <f>"00"</f>
        <v>00</v>
      </c>
      <c r="I266" s="72" t="str">
        <f>"Retained Earnings"</f>
        <v>Retained Earnings</v>
      </c>
      <c r="J266" s="73">
        <v>424524.72</v>
      </c>
    </row>
    <row r="267" spans="1:10" hidden="1" outlineLevel="1" x14ac:dyDescent="0.3">
      <c r="A267" s="41" t="s">
        <v>581</v>
      </c>
      <c r="B267" s="219"/>
      <c r="C267" s="243"/>
      <c r="E267" s="71" t="str">
        <f>"000-8710-00"</f>
        <v>000-8710-00</v>
      </c>
      <c r="F267" s="72" t="str">
        <f>"000"</f>
        <v>000</v>
      </c>
      <c r="G267" s="72" t="str">
        <f>"8710"</f>
        <v>8710</v>
      </c>
      <c r="H267" s="72" t="str">
        <f>"00"</f>
        <v>00</v>
      </c>
      <c r="I267" s="72" t="str">
        <f>"Retentions Account Receivable"</f>
        <v>Retentions Account Receivable</v>
      </c>
      <c r="J267" s="73">
        <v>0</v>
      </c>
    </row>
    <row r="268" spans="1:10" hidden="1" outlineLevel="1" x14ac:dyDescent="0.3">
      <c r="A268" s="41"/>
      <c r="B268" s="219"/>
      <c r="C268" s="243"/>
      <c r="E268" s="71"/>
      <c r="F268" s="72"/>
      <c r="G268" s="72"/>
      <c r="H268" s="72"/>
      <c r="I268" s="72"/>
      <c r="J268" s="73"/>
    </row>
    <row r="269" spans="1:10" x14ac:dyDescent="0.3">
      <c r="A269" s="41"/>
      <c r="B269" s="219"/>
      <c r="C269" s="243" t="s">
        <v>61</v>
      </c>
      <c r="E269" s="71" t="s">
        <v>60</v>
      </c>
      <c r="F269" s="72"/>
      <c r="G269" s="72"/>
      <c r="H269" s="72"/>
      <c r="I269" s="72"/>
      <c r="J269" s="94">
        <v>274677.88</v>
      </c>
    </row>
    <row r="270" spans="1:10" x14ac:dyDescent="0.3">
      <c r="A270" s="41"/>
      <c r="B270" s="219"/>
      <c r="C270" s="243"/>
      <c r="E270" s="71"/>
      <c r="F270" s="72"/>
      <c r="G270" s="72"/>
      <c r="H270" s="72"/>
      <c r="J270" s="74"/>
    </row>
    <row r="271" spans="1:10" ht="18.75" x14ac:dyDescent="0.3">
      <c r="A271" s="219"/>
      <c r="B271" s="219"/>
      <c r="C271" s="243"/>
      <c r="E271" s="90" t="s">
        <v>56</v>
      </c>
      <c r="F271" s="91"/>
      <c r="G271" s="91"/>
      <c r="H271" s="91"/>
      <c r="I271" s="91"/>
      <c r="J271" s="91">
        <f>SUBTOTAL(9,J259:J270)</f>
        <v>1682324.52</v>
      </c>
    </row>
    <row r="272" spans="1:10" x14ac:dyDescent="0.3">
      <c r="A272" s="219"/>
      <c r="B272" s="219"/>
      <c r="C272" s="243"/>
    </row>
    <row r="273" spans="1:10" ht="18.75" x14ac:dyDescent="0.3">
      <c r="A273" s="219"/>
      <c r="B273" s="219"/>
      <c r="C273" s="219"/>
      <c r="E273" s="92" t="s">
        <v>57</v>
      </c>
      <c r="F273" s="93"/>
      <c r="G273" s="93"/>
      <c r="H273" s="93"/>
      <c r="I273" s="93"/>
      <c r="J273" s="93">
        <f>J256+J271</f>
        <v>4105304.2199999997</v>
      </c>
    </row>
    <row r="274" spans="1:10" x14ac:dyDescent="0.3">
      <c r="A274" s="219"/>
      <c r="B274" s="219"/>
      <c r="C274" s="219"/>
    </row>
    <row r="275" spans="1:10" s="248" customFormat="1" ht="82.5" hidden="1" x14ac:dyDescent="0.3">
      <c r="A275" s="245"/>
      <c r="B275" s="246" t="str">
        <f>IF(J137=J273,"Hide","Show")</f>
        <v>Hide</v>
      </c>
      <c r="C275" s="247" t="s">
        <v>159</v>
      </c>
      <c r="E275" s="249" t="s">
        <v>158</v>
      </c>
    </row>
    <row r="276" spans="1:10" x14ac:dyDescent="0.3">
      <c r="A276" s="219"/>
      <c r="B276" s="219"/>
      <c r="C276" s="219"/>
    </row>
    <row r="277" spans="1:10" x14ac:dyDescent="0.3">
      <c r="A277" s="219"/>
      <c r="B277" s="219"/>
      <c r="C277" s="219"/>
    </row>
    <row r="278" spans="1:10" x14ac:dyDescent="0.3">
      <c r="A278" s="219"/>
      <c r="B278" s="219"/>
      <c r="C278" s="219"/>
    </row>
  </sheetData>
  <mergeCells count="2">
    <mergeCell ref="L7:N7"/>
    <mergeCell ref="C4:C9"/>
  </mergeCells>
  <pageMargins left="0.25" right="0.25" top="0.75" bottom="0.75" header="0.3" footer="0.3"/>
  <pageSetup scale="59" fitToHeight="0"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topLeftCell="B2" workbookViewId="0"/>
  </sheetViews>
  <sheetFormatPr defaultRowHeight="16.5" x14ac:dyDescent="0.3"/>
  <cols>
    <col min="1" max="1" width="9" hidden="1" customWidth="1"/>
    <col min="3" max="3" width="24.5" customWidth="1"/>
    <col min="4" max="4" width="12.5" bestFit="1" customWidth="1"/>
    <col min="5" max="5" width="28.625" bestFit="1" customWidth="1"/>
    <col min="6" max="6" width="17.25" customWidth="1"/>
    <col min="7" max="7" width="12.125" bestFit="1" customWidth="1"/>
    <col min="8" max="8" width="10.25" bestFit="1" customWidth="1"/>
    <col min="9" max="9" width="17.5" bestFit="1" customWidth="1"/>
    <col min="10" max="10" width="19.125" bestFit="1" customWidth="1"/>
    <col min="12" max="12" width="9.25" bestFit="1" customWidth="1"/>
  </cols>
  <sheetData>
    <row r="1" spans="1:10" hidden="1" x14ac:dyDescent="0.3">
      <c r="A1" t="s">
        <v>3568</v>
      </c>
    </row>
    <row r="3" spans="1:10" x14ac:dyDescent="0.3">
      <c r="C3" t="s">
        <v>146</v>
      </c>
    </row>
    <row r="5" spans="1:10" x14ac:dyDescent="0.3">
      <c r="C5" s="187" t="s">
        <v>148</v>
      </c>
      <c r="D5" s="181"/>
      <c r="E5" s="181"/>
      <c r="F5" s="181"/>
      <c r="G5" s="181"/>
      <c r="H5" s="181"/>
      <c r="I5" s="181"/>
      <c r="J5" s="181"/>
    </row>
    <row r="6" spans="1:10" x14ac:dyDescent="0.3">
      <c r="C6" s="181" t="s">
        <v>149</v>
      </c>
      <c r="D6" s="181"/>
      <c r="E6" s="181"/>
      <c r="F6" s="181"/>
      <c r="G6" s="181"/>
      <c r="H6" s="181"/>
      <c r="I6" s="181"/>
      <c r="J6" s="181"/>
    </row>
    <row r="7" spans="1:10" x14ac:dyDescent="0.3">
      <c r="C7" s="181" t="s">
        <v>147</v>
      </c>
      <c r="D7" s="181"/>
      <c r="E7" s="181"/>
      <c r="F7" s="181"/>
      <c r="G7" s="181"/>
      <c r="H7" s="181"/>
      <c r="I7" s="181"/>
      <c r="J7" s="181"/>
    </row>
    <row r="8" spans="1:10" x14ac:dyDescent="0.3">
      <c r="C8" s="181" t="s">
        <v>150</v>
      </c>
      <c r="D8" s="181"/>
      <c r="E8" s="181"/>
      <c r="F8" s="181"/>
      <c r="G8" s="181"/>
      <c r="H8" s="181"/>
      <c r="I8" s="181"/>
      <c r="J8" s="181"/>
    </row>
    <row r="9" spans="1:10" ht="16.5" customHeight="1" x14ac:dyDescent="0.3"/>
    <row r="10" spans="1:10" x14ac:dyDescent="0.3">
      <c r="C10" s="95" t="s">
        <v>66</v>
      </c>
      <c r="D10" s="95" t="s">
        <v>92</v>
      </c>
      <c r="E10" s="95" t="s">
        <v>67</v>
      </c>
      <c r="F10" s="95" t="s">
        <v>68</v>
      </c>
      <c r="G10" s="95" t="s">
        <v>69</v>
      </c>
      <c r="H10" s="95" t="s">
        <v>16</v>
      </c>
      <c r="I10" s="95" t="s">
        <v>70</v>
      </c>
      <c r="J10" s="95" t="s">
        <v>71</v>
      </c>
    </row>
    <row r="11" spans="1:10" x14ac:dyDescent="0.3">
      <c r="C11" s="179" t="s">
        <v>72</v>
      </c>
      <c r="D11" s="182">
        <v>1</v>
      </c>
      <c r="E11" s="183" t="s">
        <v>38</v>
      </c>
      <c r="F11" s="103">
        <f>2859737.06*$D11</f>
        <v>2859737.06</v>
      </c>
      <c r="G11" s="96"/>
      <c r="H11" s="96"/>
      <c r="I11" s="96"/>
      <c r="J11" s="97"/>
    </row>
    <row r="12" spans="1:10" x14ac:dyDescent="0.3">
      <c r="C12" s="179" t="s">
        <v>73</v>
      </c>
      <c r="D12" s="182">
        <v>1</v>
      </c>
      <c r="E12" s="183" t="s">
        <v>62</v>
      </c>
      <c r="F12" s="103">
        <f>1245567.16*$D12</f>
        <v>1245567.1599999999</v>
      </c>
      <c r="G12" s="98">
        <f>-21428.16*$D12</f>
        <v>-21428.16</v>
      </c>
      <c r="H12" s="96"/>
      <c r="I12" s="99">
        <f>F12-(G12/2)</f>
        <v>1256281.24</v>
      </c>
      <c r="J12" s="97"/>
    </row>
    <row r="13" spans="1:10" x14ac:dyDescent="0.3">
      <c r="C13" s="180" t="s">
        <v>91</v>
      </c>
      <c r="D13" s="184">
        <v>1</v>
      </c>
      <c r="E13" s="185" t="s">
        <v>82</v>
      </c>
      <c r="F13" s="103">
        <f>4105304.22*$D13</f>
        <v>4105304.22</v>
      </c>
      <c r="G13" s="98">
        <f>741022.47*$D13</f>
        <v>741022.47</v>
      </c>
      <c r="H13" s="96"/>
      <c r="I13" s="99">
        <f>F13-(G13/2)</f>
        <v>3734792.9850000003</v>
      </c>
      <c r="J13" s="96"/>
    </row>
    <row r="14" spans="1:10" x14ac:dyDescent="0.3">
      <c r="C14" s="179" t="s">
        <v>74</v>
      </c>
      <c r="D14" s="186">
        <v>-1</v>
      </c>
      <c r="E14" s="183" t="s">
        <v>63</v>
      </c>
      <c r="F14" s="103">
        <f>-2096088.75*$D14</f>
        <v>2096088.75</v>
      </c>
      <c r="G14" s="96"/>
      <c r="H14" s="96"/>
      <c r="I14" s="96"/>
      <c r="J14" s="97"/>
    </row>
    <row r="15" spans="1:10" x14ac:dyDescent="0.3">
      <c r="C15" s="179">
        <v>22</v>
      </c>
      <c r="D15" s="186">
        <v>-1</v>
      </c>
      <c r="E15" s="183" t="s">
        <v>64</v>
      </c>
      <c r="F15" s="103">
        <f>-326890.95*$D15</f>
        <v>326890.95</v>
      </c>
      <c r="G15" s="96"/>
      <c r="H15" s="96"/>
      <c r="I15" s="96"/>
      <c r="J15" s="96"/>
    </row>
    <row r="16" spans="1:10" x14ac:dyDescent="0.3">
      <c r="C16" s="179" t="s">
        <v>120</v>
      </c>
      <c r="D16" s="186">
        <v>-1</v>
      </c>
      <c r="E16" s="183" t="s">
        <v>83</v>
      </c>
      <c r="F16" s="103">
        <f>-2422979.7*$D16</f>
        <v>2422979.7000000002</v>
      </c>
      <c r="G16" s="96"/>
      <c r="H16" s="96"/>
      <c r="I16" s="96"/>
      <c r="J16" s="96"/>
    </row>
    <row r="17" spans="3:12" x14ac:dyDescent="0.3">
      <c r="C17" s="179" t="s">
        <v>153</v>
      </c>
      <c r="D17" s="186">
        <v>-1</v>
      </c>
      <c r="E17" s="183" t="s">
        <v>75</v>
      </c>
      <c r="F17" s="103">
        <f>-1682324.52*$D17</f>
        <v>1682324.52</v>
      </c>
      <c r="G17" s="96"/>
      <c r="H17" s="96"/>
      <c r="I17" s="96"/>
      <c r="J17" s="96"/>
    </row>
    <row r="18" spans="3:12" x14ac:dyDescent="0.3">
      <c r="C18" s="179" t="s">
        <v>152</v>
      </c>
      <c r="D18" s="186">
        <v>-1</v>
      </c>
      <c r="E18" s="183" t="s">
        <v>84</v>
      </c>
      <c r="F18" s="103">
        <f>-4105304.22*$D18</f>
        <v>4105304.22</v>
      </c>
      <c r="G18" s="96"/>
      <c r="H18" s="96"/>
      <c r="I18" s="96"/>
      <c r="J18" s="96"/>
    </row>
    <row r="19" spans="3:12" x14ac:dyDescent="0.3">
      <c r="C19" s="179" t="s">
        <v>61</v>
      </c>
      <c r="D19" s="186">
        <v>-1</v>
      </c>
      <c r="E19" s="183" t="s">
        <v>86</v>
      </c>
      <c r="F19" s="104"/>
      <c r="G19" s="102">
        <f>-274677.88*$D19</f>
        <v>274677.88</v>
      </c>
      <c r="H19" s="102">
        <f>-201193*$D19</f>
        <v>201193</v>
      </c>
      <c r="I19" s="96"/>
      <c r="J19" s="96"/>
    </row>
    <row r="20" spans="3:12" x14ac:dyDescent="0.3">
      <c r="C20" s="179">
        <v>5</v>
      </c>
      <c r="D20" s="186">
        <v>1</v>
      </c>
      <c r="E20" s="183" t="s">
        <v>59</v>
      </c>
      <c r="F20" s="103">
        <f>291028.69*$D20</f>
        <v>291028.69</v>
      </c>
      <c r="G20" s="98">
        <f>-96632.51*$D20</f>
        <v>-96632.51</v>
      </c>
      <c r="H20" s="96"/>
      <c r="I20" s="99">
        <f>F20-(G20/2)</f>
        <v>339344.94500000001</v>
      </c>
      <c r="J20" s="96"/>
    </row>
    <row r="21" spans="3:12" x14ac:dyDescent="0.3">
      <c r="C21" s="179">
        <v>3</v>
      </c>
      <c r="D21" s="186">
        <v>1</v>
      </c>
      <c r="E21" s="183" t="s">
        <v>76</v>
      </c>
      <c r="F21" s="103">
        <f>1755239.54*$D21</f>
        <v>1755239.54</v>
      </c>
      <c r="G21" s="96"/>
      <c r="H21" s="96"/>
      <c r="I21" s="96"/>
      <c r="J21" s="96"/>
    </row>
    <row r="22" spans="3:12" x14ac:dyDescent="0.3">
      <c r="C22" s="179" t="s">
        <v>77</v>
      </c>
      <c r="D22" s="186">
        <v>-1</v>
      </c>
      <c r="E22" s="183" t="s">
        <v>78</v>
      </c>
      <c r="F22" s="103">
        <f>-11458.1*$D22</f>
        <v>11458.1</v>
      </c>
      <c r="G22" s="96"/>
      <c r="H22" s="96"/>
      <c r="I22" s="96"/>
      <c r="J22" s="96"/>
    </row>
    <row r="23" spans="3:12" x14ac:dyDescent="0.3">
      <c r="C23" s="179">
        <v>13</v>
      </c>
      <c r="D23" s="186">
        <v>-1</v>
      </c>
      <c r="E23" s="183" t="s">
        <v>58</v>
      </c>
      <c r="F23" s="103">
        <f>-1872230.79*$D23</f>
        <v>1872230.79</v>
      </c>
      <c r="G23" s="96"/>
      <c r="H23" s="96"/>
      <c r="I23" s="96"/>
      <c r="J23" s="96"/>
      <c r="L23" s="100"/>
    </row>
    <row r="24" spans="3:12" x14ac:dyDescent="0.3">
      <c r="C24" s="180"/>
      <c r="D24" s="186"/>
      <c r="E24" s="183"/>
      <c r="F24" s="96"/>
      <c r="G24" s="96"/>
      <c r="H24" s="96"/>
      <c r="I24" s="96"/>
      <c r="J24" s="96"/>
      <c r="L24" s="100"/>
    </row>
    <row r="25" spans="3:12" x14ac:dyDescent="0.3">
      <c r="C25" s="180" t="s">
        <v>79</v>
      </c>
      <c r="D25" s="186">
        <v>-1</v>
      </c>
      <c r="E25" s="183" t="s">
        <v>80</v>
      </c>
      <c r="F25" s="96"/>
      <c r="G25" s="102">
        <f>-1677971.77*$D25</f>
        <v>1677971.77</v>
      </c>
      <c r="H25" s="102">
        <f>-1691000*$D25</f>
        <v>1691000</v>
      </c>
      <c r="I25" s="96"/>
      <c r="J25" s="102">
        <f>IF(Days_in_Period=365,G25,(365/(Days_in_Period)*G25))</f>
        <v>19756764.388709676</v>
      </c>
      <c r="L25" s="100"/>
    </row>
    <row r="26" spans="3:12" x14ac:dyDescent="0.3">
      <c r="C26" s="180">
        <v>33</v>
      </c>
      <c r="D26" s="186">
        <v>1</v>
      </c>
      <c r="E26" s="183" t="s">
        <v>29</v>
      </c>
      <c r="F26" s="96"/>
      <c r="G26" s="102">
        <f>579281.96*$D26</f>
        <v>579281.96</v>
      </c>
      <c r="H26" s="96"/>
      <c r="I26" s="96"/>
      <c r="J26" s="102">
        <f>IF(Days_in_Period=365,G26,(365/(Days_in_Period)*G26))</f>
        <v>6820577.9161290312</v>
      </c>
      <c r="L26" s="71"/>
    </row>
    <row r="27" spans="3:12" x14ac:dyDescent="0.3">
      <c r="C27" s="180" t="s">
        <v>90</v>
      </c>
      <c r="D27" s="186">
        <v>1</v>
      </c>
      <c r="E27" s="183" t="s">
        <v>87</v>
      </c>
      <c r="F27" s="96"/>
      <c r="G27" s="102">
        <f>815986.99*$D27</f>
        <v>815986.99</v>
      </c>
      <c r="H27" s="96"/>
      <c r="I27" s="96"/>
      <c r="J27" s="96"/>
      <c r="L27" s="71"/>
    </row>
    <row r="28" spans="3:12" x14ac:dyDescent="0.3">
      <c r="C28" s="180" t="s">
        <v>145</v>
      </c>
      <c r="D28" s="186">
        <v>-1</v>
      </c>
      <c r="E28" s="183" t="s">
        <v>144</v>
      </c>
      <c r="F28" s="96"/>
      <c r="G28" s="102">
        <f>-282702.82*$D28</f>
        <v>282702.82</v>
      </c>
      <c r="H28" s="96"/>
      <c r="I28" s="96"/>
      <c r="J28" s="96"/>
      <c r="L28" s="71"/>
    </row>
    <row r="29" spans="3:12" x14ac:dyDescent="0.3">
      <c r="C29" s="180">
        <v>42</v>
      </c>
      <c r="D29" s="186">
        <v>1</v>
      </c>
      <c r="E29" s="183" t="s">
        <v>28</v>
      </c>
      <c r="F29" s="96"/>
      <c r="G29" s="102">
        <f>2195.77*$D29</f>
        <v>2195.77</v>
      </c>
      <c r="H29" s="96"/>
      <c r="I29" s="96"/>
      <c r="J29" s="96"/>
      <c r="L29" s="71"/>
    </row>
    <row r="30" spans="3:12" x14ac:dyDescent="0.3">
      <c r="C30" s="180" t="s">
        <v>141</v>
      </c>
      <c r="D30" s="186">
        <v>-1</v>
      </c>
      <c r="E30" s="183" t="s">
        <v>140</v>
      </c>
      <c r="F30" s="96"/>
      <c r="G30" s="102">
        <f>-282418.29*$D30</f>
        <v>282418.28999999998</v>
      </c>
      <c r="H30" s="96"/>
      <c r="I30" s="96"/>
      <c r="J30" s="102">
        <f>IF(Days_in_Period=365,G30,(365/(Days_in_Period)*G30))</f>
        <v>3325247.6080645155</v>
      </c>
      <c r="L30" s="71"/>
    </row>
    <row r="31" spans="3:12" x14ac:dyDescent="0.3">
      <c r="C31" s="180" t="s">
        <v>143</v>
      </c>
      <c r="D31" s="186">
        <v>-1</v>
      </c>
      <c r="E31" s="183" t="s">
        <v>142</v>
      </c>
      <c r="F31" s="96"/>
      <c r="G31" s="102">
        <f>-274677.88*$D31</f>
        <v>274677.88</v>
      </c>
      <c r="H31" s="96"/>
      <c r="I31" s="96"/>
      <c r="J31" s="102">
        <f>IF(Days_in_Period=365,G31,(365/(Days_in_Period)*G31))</f>
        <v>3234110.522580645</v>
      </c>
      <c r="L31" s="71"/>
    </row>
    <row r="32" spans="3:12" x14ac:dyDescent="0.3">
      <c r="C32" s="180">
        <v>40</v>
      </c>
      <c r="D32" s="186">
        <v>1</v>
      </c>
      <c r="E32" s="183" t="s">
        <v>81</v>
      </c>
      <c r="F32" s="96"/>
      <c r="G32" s="102">
        <f>20445.24*$D32</f>
        <v>20445.240000000002</v>
      </c>
      <c r="H32" s="96"/>
      <c r="I32" s="96"/>
      <c r="J32" s="102">
        <f>IF(Days_in_Period=365,G32,(365/(Days_in_Period)*G32))</f>
        <v>240726.21290322582</v>
      </c>
      <c r="L32" s="71"/>
    </row>
    <row r="33" spans="3:10" x14ac:dyDescent="0.3">
      <c r="C33" s="180" t="s">
        <v>121</v>
      </c>
      <c r="D33" s="186">
        <v>-1</v>
      </c>
      <c r="E33" s="183" t="s">
        <v>85</v>
      </c>
      <c r="F33" s="96"/>
      <c r="G33" s="102">
        <f>-1098689.81*$D33</f>
        <v>1098689.81</v>
      </c>
      <c r="H33" s="102">
        <f>-1030400*$D33</f>
        <v>1030400</v>
      </c>
      <c r="I33" s="96"/>
      <c r="J33" s="96"/>
    </row>
    <row r="34" spans="3:10" x14ac:dyDescent="0.3">
      <c r="C34" s="71"/>
      <c r="D34" s="71"/>
      <c r="J34" s="101"/>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heetViews>
  <sheetFormatPr defaultRowHeight="16.5" x14ac:dyDescent="0.3"/>
  <sheetData>
    <row r="1" spans="1:7" x14ac:dyDescent="0.3">
      <c r="A1" s="250" t="s">
        <v>3546</v>
      </c>
      <c r="C1" s="250" t="s">
        <v>0</v>
      </c>
      <c r="D1" s="250" t="s">
        <v>1</v>
      </c>
      <c r="E1" s="250" t="s">
        <v>2</v>
      </c>
    </row>
    <row r="3" spans="1:7" x14ac:dyDescent="0.3">
      <c r="C3" s="250" t="s">
        <v>3</v>
      </c>
      <c r="D3" s="250" t="s">
        <v>1</v>
      </c>
    </row>
    <row r="4" spans="1:7" x14ac:dyDescent="0.3">
      <c r="A4" s="250" t="s">
        <v>4</v>
      </c>
      <c r="C4" s="250" t="s">
        <v>5</v>
      </c>
      <c r="D4" s="250" t="s">
        <v>168</v>
      </c>
      <c r="E4" s="250" t="s">
        <v>169</v>
      </c>
      <c r="F4" s="250" t="s">
        <v>6</v>
      </c>
      <c r="G4" s="250" t="s">
        <v>170</v>
      </c>
    </row>
    <row r="5" spans="1:7" x14ac:dyDescent="0.3">
      <c r="A5" s="250" t="s">
        <v>4</v>
      </c>
      <c r="C5" s="250" t="s">
        <v>7</v>
      </c>
      <c r="D5" s="250" t="s">
        <v>171</v>
      </c>
      <c r="F5" s="250" t="s">
        <v>8</v>
      </c>
      <c r="G5" s="250" t="s">
        <v>172</v>
      </c>
    </row>
    <row r="6" spans="1:7" x14ac:dyDescent="0.3">
      <c r="A6" s="250" t="s">
        <v>4</v>
      </c>
      <c r="C6" s="250" t="s">
        <v>9</v>
      </c>
      <c r="D6" s="250" t="s">
        <v>173</v>
      </c>
    </row>
    <row r="11" spans="1:7" ht="409.5" x14ac:dyDescent="0.3">
      <c r="C11" s="251" t="s">
        <v>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heetViews>
  <sheetFormatPr defaultRowHeight="16.5" x14ac:dyDescent="0.3"/>
  <sheetData>
    <row r="1" spans="1:7" x14ac:dyDescent="0.3">
      <c r="A1" s="250" t="s">
        <v>3546</v>
      </c>
      <c r="C1" s="250" t="s">
        <v>0</v>
      </c>
      <c r="D1" s="250" t="s">
        <v>1</v>
      </c>
      <c r="E1" s="250" t="s">
        <v>2</v>
      </c>
    </row>
    <row r="3" spans="1:7" x14ac:dyDescent="0.3">
      <c r="C3" s="250" t="s">
        <v>3</v>
      </c>
      <c r="D3" s="250" t="s">
        <v>1</v>
      </c>
    </row>
    <row r="4" spans="1:7" x14ac:dyDescent="0.3">
      <c r="A4" s="250" t="s">
        <v>4</v>
      </c>
      <c r="C4" s="250" t="s">
        <v>5</v>
      </c>
      <c r="D4" s="250" t="s">
        <v>168</v>
      </c>
      <c r="E4" s="250" t="s">
        <v>169</v>
      </c>
      <c r="F4" s="250" t="s">
        <v>6</v>
      </c>
      <c r="G4" s="250" t="s">
        <v>170</v>
      </c>
    </row>
    <row r="5" spans="1:7" x14ac:dyDescent="0.3">
      <c r="A5" s="250" t="s">
        <v>4</v>
      </c>
      <c r="C5" s="250" t="s">
        <v>7</v>
      </c>
      <c r="D5" s="250" t="s">
        <v>171</v>
      </c>
      <c r="F5" s="250" t="s">
        <v>8</v>
      </c>
      <c r="G5" s="250" t="s">
        <v>172</v>
      </c>
    </row>
    <row r="6" spans="1:7" x14ac:dyDescent="0.3">
      <c r="A6" s="250" t="s">
        <v>4</v>
      </c>
      <c r="C6" s="250" t="s">
        <v>9</v>
      </c>
      <c r="D6" s="250" t="s">
        <v>173</v>
      </c>
    </row>
    <row r="11" spans="1:7" ht="409.5" x14ac:dyDescent="0.3">
      <c r="C11" s="251" t="s">
        <v>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39</vt:i4>
      </vt:variant>
    </vt:vector>
  </HeadingPairs>
  <TitlesOfParts>
    <vt:vector size="46" baseType="lpstr">
      <vt:lpstr>Read Me</vt:lpstr>
      <vt:lpstr>Options</vt:lpstr>
      <vt:lpstr>Scorecard</vt:lpstr>
      <vt:lpstr>Overview</vt:lpstr>
      <vt:lpstr>P&amp;L</vt:lpstr>
      <vt:lpstr>Balance Sheet</vt:lpstr>
      <vt:lpstr>Account Ranges</vt:lpstr>
      <vt:lpstr>Accounts_Payable</vt:lpstr>
      <vt:lpstr>Accounts_Receivable</vt:lpstr>
      <vt:lpstr>Annualized_Revenue</vt:lpstr>
      <vt:lpstr>Budget_Name</vt:lpstr>
      <vt:lpstr>Budgeted_Gross_Profit</vt:lpstr>
      <vt:lpstr>Budgeted_Net_Income</vt:lpstr>
      <vt:lpstr>Budgeted_Revenue</vt:lpstr>
      <vt:lpstr>COGS</vt:lpstr>
      <vt:lpstr>COGS_Annualized</vt:lpstr>
      <vt:lpstr>Current_Assets</vt:lpstr>
      <vt:lpstr>Current_Liabilities</vt:lpstr>
      <vt:lpstr>DateFilter</vt:lpstr>
      <vt:lpstr>Days_in_Period</vt:lpstr>
      <vt:lpstr>Depreciation</vt:lpstr>
      <vt:lpstr>Depreciation_Annualized</vt:lpstr>
      <vt:lpstr>EAT</vt:lpstr>
      <vt:lpstr>EAT_Annualized</vt:lpstr>
      <vt:lpstr>EBT</vt:lpstr>
      <vt:lpstr>EBT_Annualized</vt:lpstr>
      <vt:lpstr>End_Date</vt:lpstr>
      <vt:lpstr>Equity</vt:lpstr>
      <vt:lpstr>Fixed_Assets</vt:lpstr>
      <vt:lpstr>Fixed_Assets_Average</vt:lpstr>
      <vt:lpstr>Gross_Profit</vt:lpstr>
      <vt:lpstr>Interest_Expense</vt:lpstr>
      <vt:lpstr>Inventory</vt:lpstr>
      <vt:lpstr>Inventory_Average</vt:lpstr>
      <vt:lpstr>Long_Term_Liabilities</vt:lpstr>
      <vt:lpstr>Net_Income_for_Period</vt:lpstr>
      <vt:lpstr>Operating_Expenses</vt:lpstr>
      <vt:lpstr>Operating_Income</vt:lpstr>
      <vt:lpstr>Revenue</vt:lpstr>
      <vt:lpstr>Short_Term_Loans</vt:lpstr>
      <vt:lpstr>Start_Date</vt:lpstr>
      <vt:lpstr>Total_Assets</vt:lpstr>
      <vt:lpstr>Total_Assets_Average</vt:lpstr>
      <vt:lpstr>Total_Liabilities</vt:lpstr>
      <vt:lpstr>Total_Liabilities_and_Equity</vt:lpstr>
      <vt:lpstr>Working_Capital</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Company Overview</dc:title>
  <dc:subject>Jet Reports</dc:subject>
  <dc:creator>Stephen J. Little</dc:creator>
  <dc:description>Profit and loss statement and balance sheet.</dc:description>
  <cp:lastModifiedBy>Kim R. Duey</cp:lastModifiedBy>
  <cp:lastPrinted>2013-04-16T16:37:57Z</cp:lastPrinted>
  <dcterms:created xsi:type="dcterms:W3CDTF">2013-04-11T20:52:55Z</dcterms:created>
  <dcterms:modified xsi:type="dcterms:W3CDTF">2018-09-27T13:55:36Z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