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3850" windowHeight="9660"/>
  </bookViews>
  <sheets>
    <sheet name="Read Me" sheetId="69" r:id="rId1"/>
    <sheet name="Options" sheetId="1" state="hidden" r:id="rId2"/>
    <sheet name="Employee Payroll Transactions" sheetId="2" r:id="rId3"/>
    <sheet name="Sheet2" sheetId="70" state="veryHidden" r:id="rId4"/>
    <sheet name="Sheet3" sheetId="71" state="veryHidden" r:id="rId5"/>
    <sheet name="Sheet4" sheetId="72" state="veryHidden" r:id="rId6"/>
    <sheet name="Sheet5" sheetId="73" state="veryHidden" r:id="rId7"/>
    <sheet name="Sheet6" sheetId="74" state="veryHidden" r:id="rId8"/>
    <sheet name="Sheet7" sheetId="75" state="veryHidden" r:id="rId9"/>
  </sheets>
  <definedNames>
    <definedName name="CHEKDATE">Options!$D$5</definedName>
    <definedName name="EMPLCLAS">Options!$D$6</definedName>
    <definedName name="EMPLOYID">Options!$D$7</definedName>
    <definedName name="PAYROLCD">Options!$D$8</definedName>
    <definedName name="STATECD">Options!$D$9</definedName>
  </definedNames>
  <calcPr calcId="162913"/>
</workbook>
</file>

<file path=xl/calcChain.xml><?xml version="1.0" encoding="utf-8"?>
<calcChain xmlns="http://schemas.openxmlformats.org/spreadsheetml/2006/main">
  <c r="D12" i="2" l="1"/>
  <c r="E12" i="2" s="1"/>
  <c r="E13" i="2" s="1"/>
  <c r="E14" i="2" s="1"/>
  <c r="E15" i="2" s="1"/>
  <c r="F12" i="2"/>
  <c r="G13" i="2"/>
  <c r="G14" i="2" s="1"/>
  <c r="G15" i="2" s="1"/>
  <c r="H13" i="2"/>
  <c r="I13" i="2"/>
  <c r="J13" i="2"/>
  <c r="D13" i="2" s="1"/>
  <c r="D14" i="2" s="1"/>
  <c r="D15" i="2" s="1"/>
  <c r="K14" i="2"/>
  <c r="L14" i="2"/>
  <c r="L15" i="2" s="1"/>
  <c r="M14" i="2"/>
  <c r="K15" i="2"/>
  <c r="K16" i="2" s="1"/>
  <c r="K17" i="2" s="1"/>
  <c r="K18" i="2" s="1"/>
  <c r="K19" i="2" s="1"/>
  <c r="K20" i="2" s="1"/>
  <c r="K21" i="2" s="1"/>
  <c r="O15" i="2"/>
  <c r="Q15" i="2"/>
  <c r="O16" i="2"/>
  <c r="Q16" i="2"/>
  <c r="O17" i="2"/>
  <c r="Q17" i="2"/>
  <c r="O18" i="2"/>
  <c r="Q18" i="2"/>
  <c r="O19" i="2"/>
  <c r="Q19" i="2"/>
  <c r="O20" i="2"/>
  <c r="Q20" i="2"/>
  <c r="O21" i="2"/>
  <c r="Q21" i="2"/>
  <c r="R21" i="2"/>
  <c r="K22" i="2"/>
  <c r="K23" i="2" s="1"/>
  <c r="N23" i="2" s="1"/>
  <c r="T23" i="2"/>
  <c r="K24" i="2"/>
  <c r="K25" i="2" s="1"/>
  <c r="M24" i="2"/>
  <c r="L24" i="2" s="1"/>
  <c r="L25" i="2" s="1"/>
  <c r="O25" i="2"/>
  <c r="Q25" i="2"/>
  <c r="O26" i="2"/>
  <c r="Q26" i="2"/>
  <c r="O27" i="2"/>
  <c r="Q27" i="2"/>
  <c r="O28" i="2"/>
  <c r="Q28" i="2"/>
  <c r="O29" i="2"/>
  <c r="Q29" i="2"/>
  <c r="O30" i="2"/>
  <c r="Q30" i="2"/>
  <c r="O31" i="2"/>
  <c r="Q31" i="2"/>
  <c r="R31" i="2"/>
  <c r="T33" i="2"/>
  <c r="K34" i="2"/>
  <c r="M34" i="2"/>
  <c r="L34" i="2" s="1"/>
  <c r="L35" i="2" s="1"/>
  <c r="K35" i="2"/>
  <c r="K36" i="2" s="1"/>
  <c r="K37" i="2" s="1"/>
  <c r="K38" i="2" s="1"/>
  <c r="K39" i="2" s="1"/>
  <c r="K40" i="2" s="1"/>
  <c r="K41" i="2" s="1"/>
  <c r="O35" i="2"/>
  <c r="Q35" i="2"/>
  <c r="O36" i="2"/>
  <c r="Q36" i="2"/>
  <c r="O37" i="2"/>
  <c r="Q37" i="2"/>
  <c r="O38" i="2"/>
  <c r="Q38" i="2"/>
  <c r="O39" i="2"/>
  <c r="Q39" i="2"/>
  <c r="O40" i="2"/>
  <c r="Q40" i="2"/>
  <c r="O41" i="2"/>
  <c r="Q41" i="2"/>
  <c r="R41" i="2"/>
  <c r="T43" i="2"/>
  <c r="K44" i="2"/>
  <c r="K45" i="2" s="1"/>
  <c r="M44" i="2"/>
  <c r="L44" i="2" s="1"/>
  <c r="L45" i="2" s="1"/>
  <c r="O45" i="2"/>
  <c r="Q45" i="2"/>
  <c r="O46" i="2"/>
  <c r="Q46" i="2"/>
  <c r="O47" i="2"/>
  <c r="Q47" i="2"/>
  <c r="O48" i="2"/>
  <c r="Q48" i="2"/>
  <c r="O49" i="2"/>
  <c r="Q49" i="2"/>
  <c r="O50" i="2"/>
  <c r="Q50" i="2"/>
  <c r="O51" i="2"/>
  <c r="Q51" i="2"/>
  <c r="R51" i="2"/>
  <c r="O52" i="2"/>
  <c r="Q52" i="2"/>
  <c r="R52" i="2"/>
  <c r="T54" i="2"/>
  <c r="K55" i="2"/>
  <c r="K56" i="2" s="1"/>
  <c r="M55" i="2"/>
  <c r="L55" i="2" s="1"/>
  <c r="L56" i="2" s="1"/>
  <c r="O56" i="2"/>
  <c r="Q56" i="2"/>
  <c r="O57" i="2"/>
  <c r="Q57" i="2"/>
  <c r="O58" i="2"/>
  <c r="Q58" i="2"/>
  <c r="O59" i="2"/>
  <c r="Q59" i="2"/>
  <c r="O60" i="2"/>
  <c r="Q60" i="2"/>
  <c r="O61" i="2"/>
  <c r="Q61" i="2"/>
  <c r="O62" i="2"/>
  <c r="Q62" i="2"/>
  <c r="R62" i="2"/>
  <c r="O63" i="2"/>
  <c r="Q63" i="2"/>
  <c r="R63" i="2"/>
  <c r="T65" i="2"/>
  <c r="K66" i="2"/>
  <c r="K67" i="2" s="1"/>
  <c r="M66" i="2"/>
  <c r="L66" i="2" s="1"/>
  <c r="L67" i="2" s="1"/>
  <c r="O67" i="2"/>
  <c r="Q67" i="2"/>
  <c r="O68" i="2"/>
  <c r="Q68" i="2"/>
  <c r="O69" i="2"/>
  <c r="Q69" i="2"/>
  <c r="O70" i="2"/>
  <c r="Q70" i="2"/>
  <c r="O71" i="2"/>
  <c r="Q71" i="2"/>
  <c r="O72" i="2"/>
  <c r="Q72" i="2"/>
  <c r="O73" i="2"/>
  <c r="Q73" i="2"/>
  <c r="R73" i="2"/>
  <c r="T75" i="2"/>
  <c r="T77" i="2"/>
  <c r="D78" i="2"/>
  <c r="D79" i="2" s="1"/>
  <c r="D80" i="2" s="1"/>
  <c r="H78" i="2"/>
  <c r="G78" i="2" s="1"/>
  <c r="G79" i="2" s="1"/>
  <c r="G80" i="2" s="1"/>
  <c r="I78" i="2"/>
  <c r="J78" i="2"/>
  <c r="K79" i="2"/>
  <c r="M79" i="2"/>
  <c r="L79" i="2" s="1"/>
  <c r="L80" i="2" s="1"/>
  <c r="K80" i="2"/>
  <c r="K86" i="2" s="1"/>
  <c r="K87" i="2" s="1"/>
  <c r="N87" i="2" s="1"/>
  <c r="O80" i="2"/>
  <c r="Q80" i="2"/>
  <c r="O81" i="2"/>
  <c r="Q81" i="2"/>
  <c r="O82" i="2"/>
  <c r="Q82" i="2"/>
  <c r="O83" i="2"/>
  <c r="Q83" i="2"/>
  <c r="O84" i="2"/>
  <c r="Q84" i="2"/>
  <c r="O85" i="2"/>
  <c r="Q85" i="2"/>
  <c r="R85" i="2"/>
  <c r="T87" i="2"/>
  <c r="K88" i="2"/>
  <c r="K89" i="2" s="1"/>
  <c r="L88" i="2"/>
  <c r="L89" i="2" s="1"/>
  <c r="M88" i="2"/>
  <c r="O89" i="2"/>
  <c r="Q89" i="2"/>
  <c r="O90" i="2"/>
  <c r="Q90" i="2"/>
  <c r="O91" i="2"/>
  <c r="Q91" i="2"/>
  <c r="O92" i="2"/>
  <c r="Q92" i="2"/>
  <c r="O93" i="2"/>
  <c r="Q93" i="2"/>
  <c r="O94" i="2"/>
  <c r="Q94" i="2"/>
  <c r="R94" i="2"/>
  <c r="T96" i="2"/>
  <c r="K97" i="2"/>
  <c r="M97" i="2"/>
  <c r="L97" i="2" s="1"/>
  <c r="L98" i="2" s="1"/>
  <c r="L99" i="2" s="1"/>
  <c r="L100" i="2" s="1"/>
  <c r="L101" i="2" s="1"/>
  <c r="L102" i="2" s="1"/>
  <c r="L103" i="2" s="1"/>
  <c r="L104" i="2" s="1"/>
  <c r="K98" i="2"/>
  <c r="K99" i="2" s="1"/>
  <c r="K100" i="2" s="1"/>
  <c r="K101" i="2" s="1"/>
  <c r="K102" i="2" s="1"/>
  <c r="K103" i="2" s="1"/>
  <c r="K104" i="2" s="1"/>
  <c r="O98" i="2"/>
  <c r="Q98" i="2"/>
  <c r="O99" i="2"/>
  <c r="Q99" i="2"/>
  <c r="O100" i="2"/>
  <c r="Q100" i="2"/>
  <c r="R100" i="2"/>
  <c r="O101" i="2"/>
  <c r="Q101" i="2"/>
  <c r="O102" i="2"/>
  <c r="Q102" i="2"/>
  <c r="O103" i="2"/>
  <c r="Q103" i="2"/>
  <c r="O104" i="2"/>
  <c r="Q104" i="2"/>
  <c r="R104" i="2"/>
  <c r="T106" i="2"/>
  <c r="K107" i="2"/>
  <c r="K108" i="2" s="1"/>
  <c r="K109" i="2" s="1"/>
  <c r="L107" i="2"/>
  <c r="L108" i="2" s="1"/>
  <c r="M107" i="2"/>
  <c r="O108" i="2"/>
  <c r="Q108" i="2"/>
  <c r="O109" i="2"/>
  <c r="Q109" i="2"/>
  <c r="K110" i="2"/>
  <c r="K111" i="2" s="1"/>
  <c r="K112" i="2" s="1"/>
  <c r="K113" i="2" s="1"/>
  <c r="O110" i="2"/>
  <c r="Q110" i="2"/>
  <c r="O111" i="2"/>
  <c r="Q111" i="2"/>
  <c r="O112" i="2"/>
  <c r="Q112" i="2"/>
  <c r="O113" i="2"/>
  <c r="Q113" i="2"/>
  <c r="R113" i="2"/>
  <c r="K114" i="2"/>
  <c r="K115" i="2" s="1"/>
  <c r="N115" i="2"/>
  <c r="T115" i="2"/>
  <c r="K116" i="2"/>
  <c r="M116" i="2"/>
  <c r="L116" i="2" s="1"/>
  <c r="K117" i="2"/>
  <c r="K118" i="2" s="1"/>
  <c r="K119" i="2" s="1"/>
  <c r="L117" i="2"/>
  <c r="O117" i="2"/>
  <c r="Q117" i="2"/>
  <c r="O118" i="2"/>
  <c r="Q118" i="2"/>
  <c r="O119" i="2"/>
  <c r="Q119" i="2"/>
  <c r="K120" i="2"/>
  <c r="O120" i="2"/>
  <c r="Q120" i="2"/>
  <c r="K121" i="2"/>
  <c r="K122" i="2" s="1"/>
  <c r="O121" i="2"/>
  <c r="Q121" i="2"/>
  <c r="O122" i="2"/>
  <c r="Q122" i="2"/>
  <c r="R122" i="2"/>
  <c r="K123" i="2"/>
  <c r="K124" i="2" s="1"/>
  <c r="N124" i="2" s="1"/>
  <c r="T124" i="2"/>
  <c r="K125" i="2"/>
  <c r="K126" i="2" s="1"/>
  <c r="K127" i="2" s="1"/>
  <c r="K128" i="2" s="1"/>
  <c r="K129" i="2" s="1"/>
  <c r="K130" i="2" s="1"/>
  <c r="K131" i="2" s="1"/>
  <c r="L125" i="2"/>
  <c r="L126" i="2" s="1"/>
  <c r="L127" i="2" s="1"/>
  <c r="L128" i="2" s="1"/>
  <c r="L129" i="2" s="1"/>
  <c r="L130" i="2" s="1"/>
  <c r="L131" i="2" s="1"/>
  <c r="M125" i="2"/>
  <c r="O126" i="2"/>
  <c r="Q126" i="2"/>
  <c r="O127" i="2"/>
  <c r="Q127" i="2"/>
  <c r="O128" i="2"/>
  <c r="Q128" i="2"/>
  <c r="O129" i="2"/>
  <c r="Q129" i="2"/>
  <c r="O130" i="2"/>
  <c r="Q130" i="2"/>
  <c r="O131" i="2"/>
  <c r="Q131" i="2"/>
  <c r="R131" i="2"/>
  <c r="K132" i="2"/>
  <c r="K133" i="2" s="1"/>
  <c r="N133" i="2" s="1"/>
  <c r="T133" i="2"/>
  <c r="T135" i="2"/>
  <c r="H136" i="2"/>
  <c r="G136" i="2" s="1"/>
  <c r="I136" i="2"/>
  <c r="J136" i="2"/>
  <c r="D136" i="2" s="1"/>
  <c r="D137" i="2" s="1"/>
  <c r="D138" i="2" s="1"/>
  <c r="G137" i="2"/>
  <c r="K137" i="2"/>
  <c r="M137" i="2"/>
  <c r="L137" i="2" s="1"/>
  <c r="L138" i="2" s="1"/>
  <c r="G138" i="2"/>
  <c r="K138" i="2"/>
  <c r="K145" i="2" s="1"/>
  <c r="O138" i="2"/>
  <c r="Q138" i="2"/>
  <c r="K139" i="2"/>
  <c r="K140" i="2" s="1"/>
  <c r="K141" i="2" s="1"/>
  <c r="O139" i="2"/>
  <c r="Q139" i="2"/>
  <c r="O140" i="2"/>
  <c r="Q140" i="2"/>
  <c r="O141" i="2"/>
  <c r="Q141" i="2"/>
  <c r="K142" i="2"/>
  <c r="K143" i="2" s="1"/>
  <c r="K144" i="2" s="1"/>
  <c r="O142" i="2"/>
  <c r="Q142" i="2"/>
  <c r="O143" i="2"/>
  <c r="Q143" i="2"/>
  <c r="O144" i="2"/>
  <c r="Q144" i="2"/>
  <c r="R144" i="2"/>
  <c r="K146" i="2"/>
  <c r="N146" i="2" s="1"/>
  <c r="T146" i="2"/>
  <c r="K147" i="2"/>
  <c r="M147" i="2"/>
  <c r="L147" i="2" s="1"/>
  <c r="L148" i="2" s="1"/>
  <c r="K148" i="2"/>
  <c r="K149" i="2" s="1"/>
  <c r="K150" i="2" s="1"/>
  <c r="K151" i="2" s="1"/>
  <c r="K152" i="2" s="1"/>
  <c r="K153" i="2" s="1"/>
  <c r="K154" i="2" s="1"/>
  <c r="O148" i="2"/>
  <c r="Q148" i="2"/>
  <c r="O149" i="2"/>
  <c r="Q149" i="2"/>
  <c r="O150" i="2"/>
  <c r="Q150" i="2"/>
  <c r="O151" i="2"/>
  <c r="Q151" i="2"/>
  <c r="O152" i="2"/>
  <c r="Q152" i="2"/>
  <c r="O153" i="2"/>
  <c r="Q153" i="2"/>
  <c r="O154" i="2"/>
  <c r="Q154" i="2"/>
  <c r="R154" i="2"/>
  <c r="T156" i="2"/>
  <c r="K157" i="2"/>
  <c r="K158" i="2" s="1"/>
  <c r="K165" i="2" s="1"/>
  <c r="K166" i="2" s="1"/>
  <c r="N166" i="2" s="1"/>
  <c r="L157" i="2"/>
  <c r="L158" i="2" s="1"/>
  <c r="M157" i="2"/>
  <c r="O158" i="2"/>
  <c r="Q158" i="2"/>
  <c r="O159" i="2"/>
  <c r="Q159" i="2"/>
  <c r="O160" i="2"/>
  <c r="Q160" i="2"/>
  <c r="O161" i="2"/>
  <c r="Q161" i="2"/>
  <c r="O162" i="2"/>
  <c r="Q162" i="2"/>
  <c r="O163" i="2"/>
  <c r="Q163" i="2"/>
  <c r="O164" i="2"/>
  <c r="Q164" i="2"/>
  <c r="R164" i="2"/>
  <c r="T166" i="2"/>
  <c r="K167" i="2"/>
  <c r="K168" i="2" s="1"/>
  <c r="K169" i="2" s="1"/>
  <c r="K170" i="2" s="1"/>
  <c r="K171" i="2" s="1"/>
  <c r="K172" i="2" s="1"/>
  <c r="K173" i="2" s="1"/>
  <c r="M167" i="2"/>
  <c r="L167" i="2" s="1"/>
  <c r="L168" i="2" s="1"/>
  <c r="O168" i="2"/>
  <c r="Q168" i="2"/>
  <c r="O169" i="2"/>
  <c r="Q169" i="2"/>
  <c r="O170" i="2"/>
  <c r="Q170" i="2"/>
  <c r="O171" i="2"/>
  <c r="Q171" i="2"/>
  <c r="O172" i="2"/>
  <c r="Q172" i="2"/>
  <c r="O173" i="2"/>
  <c r="Q173" i="2"/>
  <c r="K174" i="2"/>
  <c r="O174" i="2"/>
  <c r="Q174" i="2"/>
  <c r="R174" i="2"/>
  <c r="T176" i="2"/>
  <c r="K177" i="2"/>
  <c r="K178" i="2" s="1"/>
  <c r="L177" i="2"/>
  <c r="M177" i="2"/>
  <c r="L178" i="2"/>
  <c r="L179" i="2" s="1"/>
  <c r="L180" i="2" s="1"/>
  <c r="L181" i="2" s="1"/>
  <c r="O178" i="2"/>
  <c r="Q178" i="2"/>
  <c r="O179" i="2"/>
  <c r="Q179" i="2"/>
  <c r="O180" i="2"/>
  <c r="Q180" i="2"/>
  <c r="O181" i="2"/>
  <c r="Q181" i="2"/>
  <c r="L182" i="2"/>
  <c r="L183" i="2" s="1"/>
  <c r="L184" i="2" s="1"/>
  <c r="O182" i="2"/>
  <c r="Q182" i="2"/>
  <c r="O183" i="2"/>
  <c r="Q183" i="2"/>
  <c r="O184" i="2"/>
  <c r="Q184" i="2"/>
  <c r="R184" i="2"/>
  <c r="T186" i="2"/>
  <c r="K187" i="2"/>
  <c r="M187" i="2"/>
  <c r="L187" i="2" s="1"/>
  <c r="L188" i="2" s="1"/>
  <c r="K188" i="2"/>
  <c r="O188" i="2"/>
  <c r="Q188" i="2"/>
  <c r="O189" i="2"/>
  <c r="Q189" i="2"/>
  <c r="O190" i="2"/>
  <c r="Q190" i="2"/>
  <c r="O191" i="2"/>
  <c r="Q191" i="2"/>
  <c r="O192" i="2"/>
  <c r="Q192" i="2"/>
  <c r="O193" i="2"/>
  <c r="Q193" i="2"/>
  <c r="O194" i="2"/>
  <c r="Q194" i="2"/>
  <c r="R194" i="2"/>
  <c r="T196" i="2"/>
  <c r="T198" i="2"/>
  <c r="G199" i="2"/>
  <c r="G200" i="2" s="1"/>
  <c r="H199" i="2"/>
  <c r="I199" i="2"/>
  <c r="J199" i="2"/>
  <c r="D199" i="2" s="1"/>
  <c r="D200" i="2"/>
  <c r="D201" i="2" s="1"/>
  <c r="D202" i="2" s="1"/>
  <c r="D203" i="2" s="1"/>
  <c r="D204" i="2" s="1"/>
  <c r="D205" i="2" s="1"/>
  <c r="D206" i="2" s="1"/>
  <c r="K200" i="2"/>
  <c r="L200" i="2"/>
  <c r="L201" i="2" s="1"/>
  <c r="L207" i="2" s="1"/>
  <c r="L208" i="2" s="1"/>
  <c r="M208" i="2" s="1"/>
  <c r="M200" i="2"/>
  <c r="G201" i="2"/>
  <c r="K201" i="2"/>
  <c r="O201" i="2"/>
  <c r="Q201" i="2"/>
  <c r="K202" i="2"/>
  <c r="K203" i="2" s="1"/>
  <c r="K204" i="2" s="1"/>
  <c r="K205" i="2" s="1"/>
  <c r="L202" i="2"/>
  <c r="L203" i="2" s="1"/>
  <c r="L204" i="2" s="1"/>
  <c r="L205" i="2" s="1"/>
  <c r="L206" i="2" s="1"/>
  <c r="O202" i="2"/>
  <c r="Q202" i="2"/>
  <c r="O203" i="2"/>
  <c r="Q203" i="2"/>
  <c r="O204" i="2"/>
  <c r="Q204" i="2"/>
  <c r="O205" i="2"/>
  <c r="Q205" i="2"/>
  <c r="K206" i="2"/>
  <c r="O206" i="2"/>
  <c r="Q206" i="2"/>
  <c r="R206" i="2"/>
  <c r="K207" i="2"/>
  <c r="K208" i="2"/>
  <c r="N208" i="2"/>
  <c r="T208" i="2"/>
  <c r="K209" i="2"/>
  <c r="K210" i="2" s="1"/>
  <c r="L209" i="2"/>
  <c r="M209" i="2"/>
  <c r="L210" i="2"/>
  <c r="O210" i="2"/>
  <c r="Q210" i="2"/>
  <c r="O211" i="2"/>
  <c r="Q211" i="2"/>
  <c r="O212" i="2"/>
  <c r="Q212" i="2"/>
  <c r="R212" i="2"/>
  <c r="O213" i="2"/>
  <c r="Q213" i="2"/>
  <c r="O214" i="2"/>
  <c r="Q214" i="2"/>
  <c r="O215" i="2"/>
  <c r="Q215" i="2"/>
  <c r="O216" i="2"/>
  <c r="Q216" i="2"/>
  <c r="R216" i="2"/>
  <c r="T218" i="2"/>
  <c r="K219" i="2"/>
  <c r="K220" i="2" s="1"/>
  <c r="K226" i="2" s="1"/>
  <c r="K227" i="2" s="1"/>
  <c r="N227" i="2" s="1"/>
  <c r="L219" i="2"/>
  <c r="L220" i="2" s="1"/>
  <c r="M219" i="2"/>
  <c r="O220" i="2"/>
  <c r="Q220" i="2"/>
  <c r="K221" i="2"/>
  <c r="K222" i="2" s="1"/>
  <c r="K223" i="2" s="1"/>
  <c r="K224" i="2" s="1"/>
  <c r="K225" i="2" s="1"/>
  <c r="O221" i="2"/>
  <c r="Q221" i="2"/>
  <c r="O222" i="2"/>
  <c r="Q222" i="2"/>
  <c r="O223" i="2"/>
  <c r="Q223" i="2"/>
  <c r="O224" i="2"/>
  <c r="Q224" i="2"/>
  <c r="O225" i="2"/>
  <c r="Q225" i="2"/>
  <c r="R225" i="2"/>
  <c r="T227" i="2"/>
  <c r="T256" i="2" s="1"/>
  <c r="K228" i="2"/>
  <c r="M228" i="2"/>
  <c r="L228" i="2" s="1"/>
  <c r="K229" i="2"/>
  <c r="L229" i="2"/>
  <c r="L230" i="2" s="1"/>
  <c r="L231" i="2" s="1"/>
  <c r="L232" i="2" s="1"/>
  <c r="L233" i="2" s="1"/>
  <c r="L234" i="2" s="1"/>
  <c r="O229" i="2"/>
  <c r="Q229" i="2"/>
  <c r="K230" i="2"/>
  <c r="O230" i="2"/>
  <c r="Q230" i="2"/>
  <c r="K231" i="2"/>
  <c r="K232" i="2" s="1"/>
  <c r="K233" i="2" s="1"/>
  <c r="K234" i="2" s="1"/>
  <c r="O231" i="2"/>
  <c r="Q231" i="2"/>
  <c r="O232" i="2"/>
  <c r="Q232" i="2"/>
  <c r="O233" i="2"/>
  <c r="Q233" i="2"/>
  <c r="O234" i="2"/>
  <c r="Q234" i="2"/>
  <c r="R234" i="2"/>
  <c r="K235" i="2"/>
  <c r="L235" i="2"/>
  <c r="L236" i="2" s="1"/>
  <c r="M236" i="2" s="1"/>
  <c r="K236" i="2"/>
  <c r="N236" i="2" s="1"/>
  <c r="T236" i="2"/>
  <c r="K237" i="2"/>
  <c r="L237" i="2"/>
  <c r="L238" i="2" s="1"/>
  <c r="L244" i="2" s="1"/>
  <c r="L245" i="2" s="1"/>
  <c r="M245" i="2" s="1"/>
  <c r="M237" i="2"/>
  <c r="K238" i="2"/>
  <c r="O238" i="2"/>
  <c r="Q238" i="2"/>
  <c r="K239" i="2"/>
  <c r="O239" i="2"/>
  <c r="Q239" i="2"/>
  <c r="K240" i="2"/>
  <c r="K241" i="2" s="1"/>
  <c r="K242" i="2" s="1"/>
  <c r="K243" i="2" s="1"/>
  <c r="O240" i="2"/>
  <c r="Q240" i="2"/>
  <c r="O241" i="2"/>
  <c r="Q241" i="2"/>
  <c r="O242" i="2"/>
  <c r="Q242" i="2"/>
  <c r="O243" i="2"/>
  <c r="Q243" i="2"/>
  <c r="R243" i="2"/>
  <c r="K244" i="2"/>
  <c r="K245" i="2" s="1"/>
  <c r="N245" i="2" s="1"/>
  <c r="T245" i="2"/>
  <c r="K246" i="2"/>
  <c r="K247" i="2" s="1"/>
  <c r="M246" i="2"/>
  <c r="L246" i="2" s="1"/>
  <c r="L247" i="2" s="1"/>
  <c r="O247" i="2"/>
  <c r="Q247" i="2"/>
  <c r="O248" i="2"/>
  <c r="Q248" i="2"/>
  <c r="O249" i="2"/>
  <c r="Q249" i="2"/>
  <c r="O250" i="2"/>
  <c r="Q250" i="2"/>
  <c r="O251" i="2"/>
  <c r="Q251" i="2"/>
  <c r="O252" i="2"/>
  <c r="Q252" i="2"/>
  <c r="R252" i="2"/>
  <c r="T254" i="2"/>
  <c r="F258" i="2"/>
  <c r="T258" i="2"/>
  <c r="D259" i="2"/>
  <c r="E259" i="2" s="1"/>
  <c r="E260" i="2" s="1"/>
  <c r="E261" i="2" s="1"/>
  <c r="E262" i="2" s="1"/>
  <c r="F259" i="2"/>
  <c r="H260" i="2"/>
  <c r="G260" i="2" s="1"/>
  <c r="G261" i="2" s="1"/>
  <c r="G262" i="2" s="1"/>
  <c r="I260" i="2"/>
  <c r="J260" i="2"/>
  <c r="D260" i="2" s="1"/>
  <c r="D261" i="2" s="1"/>
  <c r="D262" i="2" s="1"/>
  <c r="K261" i="2"/>
  <c r="K262" i="2" s="1"/>
  <c r="M261" i="2"/>
  <c r="L261" i="2" s="1"/>
  <c r="L262" i="2" s="1"/>
  <c r="O262" i="2"/>
  <c r="Q262" i="2"/>
  <c r="O263" i="2"/>
  <c r="Q263" i="2"/>
  <c r="O264" i="2"/>
  <c r="Q264" i="2"/>
  <c r="O265" i="2"/>
  <c r="Q265" i="2"/>
  <c r="O266" i="2"/>
  <c r="Q266" i="2"/>
  <c r="O267" i="2"/>
  <c r="Q267" i="2"/>
  <c r="R267" i="2"/>
  <c r="T269" i="2"/>
  <c r="K270" i="2"/>
  <c r="M270" i="2"/>
  <c r="L270" i="2" s="1"/>
  <c r="L271" i="2" s="1"/>
  <c r="K271" i="2"/>
  <c r="K277" i="2" s="1"/>
  <c r="K278" i="2" s="1"/>
  <c r="N278" i="2" s="1"/>
  <c r="O271" i="2"/>
  <c r="Q271" i="2"/>
  <c r="K272" i="2"/>
  <c r="K273" i="2" s="1"/>
  <c r="K274" i="2" s="1"/>
  <c r="K275" i="2" s="1"/>
  <c r="K276" i="2" s="1"/>
  <c r="O272" i="2"/>
  <c r="Q272" i="2"/>
  <c r="O273" i="2"/>
  <c r="Q273" i="2"/>
  <c r="O274" i="2"/>
  <c r="Q274" i="2"/>
  <c r="O275" i="2"/>
  <c r="Q275" i="2"/>
  <c r="O276" i="2"/>
  <c r="Q276" i="2"/>
  <c r="R276" i="2"/>
  <c r="T278" i="2"/>
  <c r="K279" i="2"/>
  <c r="M279" i="2"/>
  <c r="L279" i="2" s="1"/>
  <c r="K280" i="2"/>
  <c r="K287" i="2" s="1"/>
  <c r="K288" i="2" s="1"/>
  <c r="N288" i="2" s="1"/>
  <c r="L280" i="2"/>
  <c r="O280" i="2"/>
  <c r="Q280" i="2"/>
  <c r="O281" i="2"/>
  <c r="Q281" i="2"/>
  <c r="O282" i="2"/>
  <c r="Q282" i="2"/>
  <c r="R282" i="2"/>
  <c r="O283" i="2"/>
  <c r="Q283" i="2"/>
  <c r="O284" i="2"/>
  <c r="Q284" i="2"/>
  <c r="O285" i="2"/>
  <c r="Q285" i="2"/>
  <c r="O286" i="2"/>
  <c r="Q286" i="2"/>
  <c r="R286" i="2"/>
  <c r="T288" i="2"/>
  <c r="K289" i="2"/>
  <c r="K290" i="2" s="1"/>
  <c r="K291" i="2" s="1"/>
  <c r="K292" i="2" s="1"/>
  <c r="K293" i="2" s="1"/>
  <c r="K294" i="2" s="1"/>
  <c r="L289" i="2"/>
  <c r="L290" i="2" s="1"/>
  <c r="M289" i="2"/>
  <c r="O290" i="2"/>
  <c r="Q290" i="2"/>
  <c r="O291" i="2"/>
  <c r="Q291" i="2"/>
  <c r="O292" i="2"/>
  <c r="Q292" i="2"/>
  <c r="O293" i="2"/>
  <c r="Q293" i="2"/>
  <c r="O294" i="2"/>
  <c r="Q294" i="2"/>
  <c r="K295" i="2"/>
  <c r="O295" i="2"/>
  <c r="Q295" i="2"/>
  <c r="R295" i="2"/>
  <c r="T297" i="2"/>
  <c r="K298" i="2"/>
  <c r="K299" i="2" s="1"/>
  <c r="M298" i="2"/>
  <c r="L298" i="2" s="1"/>
  <c r="L299" i="2" s="1"/>
  <c r="L300" i="2" s="1"/>
  <c r="L301" i="2" s="1"/>
  <c r="L302" i="2" s="1"/>
  <c r="O299" i="2"/>
  <c r="Q299" i="2"/>
  <c r="O300" i="2"/>
  <c r="Q300" i="2"/>
  <c r="O301" i="2"/>
  <c r="Q301" i="2"/>
  <c r="O302" i="2"/>
  <c r="Q302" i="2"/>
  <c r="L303" i="2"/>
  <c r="L304" i="2" s="1"/>
  <c r="O303" i="2"/>
  <c r="Q303" i="2"/>
  <c r="O304" i="2"/>
  <c r="Q304" i="2"/>
  <c r="R304" i="2"/>
  <c r="L305" i="2"/>
  <c r="L306" i="2" s="1"/>
  <c r="M306" i="2" s="1"/>
  <c r="T306" i="2"/>
  <c r="T317" i="2" s="1"/>
  <c r="K307" i="2"/>
  <c r="M307" i="2"/>
  <c r="L307" i="2" s="1"/>
  <c r="L308" i="2" s="1"/>
  <c r="K308" i="2"/>
  <c r="K314" i="2" s="1"/>
  <c r="K315" i="2" s="1"/>
  <c r="N315" i="2" s="1"/>
  <c r="O308" i="2"/>
  <c r="Q308" i="2"/>
  <c r="K309" i="2"/>
  <c r="K310" i="2" s="1"/>
  <c r="K311" i="2" s="1"/>
  <c r="K312" i="2" s="1"/>
  <c r="K313" i="2" s="1"/>
  <c r="O309" i="2"/>
  <c r="Q309" i="2"/>
  <c r="O310" i="2"/>
  <c r="Q310" i="2"/>
  <c r="O311" i="2"/>
  <c r="Q311" i="2"/>
  <c r="O312" i="2"/>
  <c r="Q312" i="2"/>
  <c r="O313" i="2"/>
  <c r="Q313" i="2"/>
  <c r="R313" i="2"/>
  <c r="T315" i="2"/>
  <c r="D318" i="2"/>
  <c r="H318" i="2"/>
  <c r="G318" i="2" s="1"/>
  <c r="I318" i="2"/>
  <c r="J318" i="2"/>
  <c r="D319" i="2"/>
  <c r="D320" i="2" s="1"/>
  <c r="D321" i="2" s="1"/>
  <c r="D322" i="2" s="1"/>
  <c r="D323" i="2" s="1"/>
  <c r="D324" i="2" s="1"/>
  <c r="D325" i="2" s="1"/>
  <c r="G319" i="2"/>
  <c r="G320" i="2" s="1"/>
  <c r="K319" i="2"/>
  <c r="M319" i="2"/>
  <c r="L319" i="2" s="1"/>
  <c r="K320" i="2"/>
  <c r="K326" i="2" s="1"/>
  <c r="L320" i="2"/>
  <c r="O320" i="2"/>
  <c r="Q320" i="2"/>
  <c r="O321" i="2"/>
  <c r="Q321" i="2"/>
  <c r="O322" i="2"/>
  <c r="Q322" i="2"/>
  <c r="O323" i="2"/>
  <c r="Q323" i="2"/>
  <c r="O324" i="2"/>
  <c r="Q324" i="2"/>
  <c r="O325" i="2"/>
  <c r="Q325" i="2"/>
  <c r="R325" i="2"/>
  <c r="D326" i="2"/>
  <c r="D327" i="2" s="1"/>
  <c r="D328" i="2" s="1"/>
  <c r="D329" i="2" s="1"/>
  <c r="K327" i="2"/>
  <c r="N327" i="2" s="1"/>
  <c r="T327" i="2"/>
  <c r="K328" i="2"/>
  <c r="K329" i="2" s="1"/>
  <c r="K330" i="2" s="1"/>
  <c r="K331" i="2" s="1"/>
  <c r="K332" i="2" s="1"/>
  <c r="K333" i="2" s="1"/>
  <c r="L328" i="2"/>
  <c r="M328" i="2"/>
  <c r="L329" i="2"/>
  <c r="O329" i="2"/>
  <c r="Q329" i="2"/>
  <c r="O330" i="2"/>
  <c r="Q330" i="2"/>
  <c r="O331" i="2"/>
  <c r="Q331" i="2"/>
  <c r="O332" i="2"/>
  <c r="Q332" i="2"/>
  <c r="O333" i="2"/>
  <c r="Q333" i="2"/>
  <c r="K334" i="2"/>
  <c r="O334" i="2"/>
  <c r="Q334" i="2"/>
  <c r="R334" i="2"/>
  <c r="K335" i="2"/>
  <c r="K336" i="2" s="1"/>
  <c r="N336" i="2" s="1"/>
  <c r="T336" i="2"/>
  <c r="K337" i="2"/>
  <c r="K338" i="2" s="1"/>
  <c r="K339" i="2" s="1"/>
  <c r="K340" i="2" s="1"/>
  <c r="K341" i="2" s="1"/>
  <c r="K342" i="2" s="1"/>
  <c r="K343" i="2" s="1"/>
  <c r="L337" i="2"/>
  <c r="L338" i="2" s="1"/>
  <c r="M337" i="2"/>
  <c r="O338" i="2"/>
  <c r="Q338" i="2"/>
  <c r="O339" i="2"/>
  <c r="Q339" i="2"/>
  <c r="O340" i="2"/>
  <c r="Q340" i="2"/>
  <c r="O341" i="2"/>
  <c r="Q341" i="2"/>
  <c r="O342" i="2"/>
  <c r="Q342" i="2"/>
  <c r="O343" i="2"/>
  <c r="Q343" i="2"/>
  <c r="R343" i="2"/>
  <c r="T345" i="2"/>
  <c r="K346" i="2"/>
  <c r="M346" i="2"/>
  <c r="L346" i="2" s="1"/>
  <c r="L347" i="2" s="1"/>
  <c r="K347" i="2"/>
  <c r="O347" i="2"/>
  <c r="Q347" i="2"/>
  <c r="L348" i="2"/>
  <c r="L349" i="2" s="1"/>
  <c r="L350" i="2" s="1"/>
  <c r="O348" i="2"/>
  <c r="Q348" i="2"/>
  <c r="O349" i="2"/>
  <c r="Q349" i="2"/>
  <c r="O350" i="2"/>
  <c r="Q350" i="2"/>
  <c r="L351" i="2"/>
  <c r="L352" i="2" s="1"/>
  <c r="O351" i="2"/>
  <c r="Q351" i="2"/>
  <c r="O352" i="2"/>
  <c r="Q352" i="2"/>
  <c r="R352" i="2"/>
  <c r="L353" i="2"/>
  <c r="L354" i="2" s="1"/>
  <c r="M354" i="2" s="1"/>
  <c r="T354" i="2"/>
  <c r="K355" i="2"/>
  <c r="K356" i="2" s="1"/>
  <c r="K362" i="2" s="1"/>
  <c r="K363" i="2" s="1"/>
  <c r="N363" i="2" s="1"/>
  <c r="L355" i="2"/>
  <c r="M355" i="2"/>
  <c r="L356" i="2"/>
  <c r="L362" i="2" s="1"/>
  <c r="L363" i="2" s="1"/>
  <c r="O356" i="2"/>
  <c r="Q356" i="2"/>
  <c r="K357" i="2"/>
  <c r="O357" i="2"/>
  <c r="Q357" i="2"/>
  <c r="K358" i="2"/>
  <c r="K359" i="2" s="1"/>
  <c r="K360" i="2" s="1"/>
  <c r="K361" i="2" s="1"/>
  <c r="O358" i="2"/>
  <c r="Q358" i="2"/>
  <c r="O359" i="2"/>
  <c r="Q359" i="2"/>
  <c r="O360" i="2"/>
  <c r="Q360" i="2"/>
  <c r="O361" i="2"/>
  <c r="Q361" i="2"/>
  <c r="R361" i="2"/>
  <c r="M363" i="2"/>
  <c r="T363" i="2"/>
  <c r="K364" i="2"/>
  <c r="M364" i="2"/>
  <c r="L364" i="2" s="1"/>
  <c r="L365" i="2" s="1"/>
  <c r="K365" i="2"/>
  <c r="O365" i="2"/>
  <c r="Q365" i="2"/>
  <c r="O366" i="2"/>
  <c r="Q366" i="2"/>
  <c r="O367" i="2"/>
  <c r="Q367" i="2"/>
  <c r="O368" i="2"/>
  <c r="Q368" i="2"/>
  <c r="O369" i="2"/>
  <c r="Q369" i="2"/>
  <c r="O370" i="2"/>
  <c r="Q370" i="2"/>
  <c r="R370" i="2"/>
  <c r="T372" i="2"/>
  <c r="K373" i="2"/>
  <c r="K374" i="2" s="1"/>
  <c r="L373" i="2"/>
  <c r="L374" i="2" s="1"/>
  <c r="M373" i="2"/>
  <c r="O374" i="2"/>
  <c r="Q374" i="2"/>
  <c r="O375" i="2"/>
  <c r="Q375" i="2"/>
  <c r="R375" i="2"/>
  <c r="T377" i="2"/>
  <c r="K378" i="2"/>
  <c r="M378" i="2"/>
  <c r="L378" i="2" s="1"/>
  <c r="L379" i="2" s="1"/>
  <c r="L381" i="2" s="1"/>
  <c r="L382" i="2" s="1"/>
  <c r="M382" i="2" s="1"/>
  <c r="K379" i="2"/>
  <c r="O379" i="2"/>
  <c r="Q379" i="2"/>
  <c r="O380" i="2"/>
  <c r="Q380" i="2"/>
  <c r="R380" i="2"/>
  <c r="T382" i="2"/>
  <c r="H385" i="2"/>
  <c r="G385" i="2" s="1"/>
  <c r="G386" i="2" s="1"/>
  <c r="G387" i="2" s="1"/>
  <c r="G393" i="2" s="1"/>
  <c r="G394" i="2" s="1"/>
  <c r="G441" i="2" s="1"/>
  <c r="G442" i="2" s="1"/>
  <c r="H442" i="2" s="1"/>
  <c r="I385" i="2"/>
  <c r="J385" i="2"/>
  <c r="D385" i="2" s="1"/>
  <c r="D386" i="2"/>
  <c r="D387" i="2" s="1"/>
  <c r="K386" i="2"/>
  <c r="K387" i="2" s="1"/>
  <c r="K393" i="2" s="1"/>
  <c r="K394" i="2" s="1"/>
  <c r="N394" i="2" s="1"/>
  <c r="M386" i="2"/>
  <c r="L386" i="2" s="1"/>
  <c r="L387" i="2" s="1"/>
  <c r="O387" i="2"/>
  <c r="Q387" i="2"/>
  <c r="G388" i="2"/>
  <c r="G389" i="2" s="1"/>
  <c r="G390" i="2" s="1"/>
  <c r="G391" i="2" s="1"/>
  <c r="G392" i="2" s="1"/>
  <c r="O388" i="2"/>
  <c r="Q388" i="2"/>
  <c r="O389" i="2"/>
  <c r="Q389" i="2"/>
  <c r="O390" i="2"/>
  <c r="Q390" i="2"/>
  <c r="O391" i="2"/>
  <c r="Q391" i="2"/>
  <c r="O392" i="2"/>
  <c r="Q392" i="2"/>
  <c r="R392" i="2"/>
  <c r="T394" i="2"/>
  <c r="K395" i="2"/>
  <c r="M395" i="2"/>
  <c r="L395" i="2" s="1"/>
  <c r="L396" i="2" s="1"/>
  <c r="L397" i="2" s="1"/>
  <c r="L398" i="2" s="1"/>
  <c r="L399" i="2" s="1"/>
  <c r="L400" i="2" s="1"/>
  <c r="L401" i="2" s="1"/>
  <c r="L402" i="2" s="1"/>
  <c r="K396" i="2"/>
  <c r="O396" i="2"/>
  <c r="Q396" i="2"/>
  <c r="O397" i="2"/>
  <c r="Q397" i="2"/>
  <c r="O398" i="2"/>
  <c r="Q398" i="2"/>
  <c r="R398" i="2"/>
  <c r="O399" i="2"/>
  <c r="Q399" i="2"/>
  <c r="O400" i="2"/>
  <c r="Q400" i="2"/>
  <c r="O401" i="2"/>
  <c r="Q401" i="2"/>
  <c r="O402" i="2"/>
  <c r="Q402" i="2"/>
  <c r="R402" i="2"/>
  <c r="L403" i="2"/>
  <c r="L404" i="2" s="1"/>
  <c r="M404" i="2" s="1"/>
  <c r="T404" i="2"/>
  <c r="K405" i="2"/>
  <c r="K406" i="2" s="1"/>
  <c r="K407" i="2" s="1"/>
  <c r="K408" i="2" s="1"/>
  <c r="K409" i="2" s="1"/>
  <c r="K410" i="2" s="1"/>
  <c r="K411" i="2" s="1"/>
  <c r="L405" i="2"/>
  <c r="L406" i="2" s="1"/>
  <c r="M405" i="2"/>
  <c r="O406" i="2"/>
  <c r="Q406" i="2"/>
  <c r="O407" i="2"/>
  <c r="Q407" i="2"/>
  <c r="O408" i="2"/>
  <c r="Q408" i="2"/>
  <c r="O409" i="2"/>
  <c r="Q409" i="2"/>
  <c r="O410" i="2"/>
  <c r="Q410" i="2"/>
  <c r="O411" i="2"/>
  <c r="Q411" i="2"/>
  <c r="R411" i="2"/>
  <c r="K412" i="2"/>
  <c r="K413" i="2" s="1"/>
  <c r="N413" i="2" s="1"/>
  <c r="T413" i="2"/>
  <c r="K414" i="2"/>
  <c r="L414" i="2"/>
  <c r="L415" i="2" s="1"/>
  <c r="L416" i="2" s="1"/>
  <c r="L417" i="2" s="1"/>
  <c r="L418" i="2" s="1"/>
  <c r="L419" i="2" s="1"/>
  <c r="L420" i="2" s="1"/>
  <c r="M414" i="2"/>
  <c r="K415" i="2"/>
  <c r="K416" i="2" s="1"/>
  <c r="K417" i="2" s="1"/>
  <c r="O415" i="2"/>
  <c r="Q415" i="2"/>
  <c r="O416" i="2"/>
  <c r="Q416" i="2"/>
  <c r="O417" i="2"/>
  <c r="Q417" i="2"/>
  <c r="K418" i="2"/>
  <c r="K419" i="2" s="1"/>
  <c r="K420" i="2" s="1"/>
  <c r="O418" i="2"/>
  <c r="Q418" i="2"/>
  <c r="O419" i="2"/>
  <c r="Q419" i="2"/>
  <c r="O420" i="2"/>
  <c r="Q420" i="2"/>
  <c r="R420" i="2"/>
  <c r="K421" i="2"/>
  <c r="K422" i="2" s="1"/>
  <c r="N422" i="2" s="1"/>
  <c r="L421" i="2"/>
  <c r="L422" i="2" s="1"/>
  <c r="M422" i="2" s="1"/>
  <c r="T422" i="2"/>
  <c r="K423" i="2"/>
  <c r="K424" i="2" s="1"/>
  <c r="K430" i="2" s="1"/>
  <c r="K431" i="2" s="1"/>
  <c r="N431" i="2" s="1"/>
  <c r="M423" i="2"/>
  <c r="L423" i="2" s="1"/>
  <c r="L424" i="2" s="1"/>
  <c r="O424" i="2"/>
  <c r="Q424" i="2"/>
  <c r="K425" i="2"/>
  <c r="K426" i="2" s="1"/>
  <c r="K427" i="2" s="1"/>
  <c r="K428" i="2" s="1"/>
  <c r="K429" i="2" s="1"/>
  <c r="O425" i="2"/>
  <c r="Q425" i="2"/>
  <c r="O426" i="2"/>
  <c r="Q426" i="2"/>
  <c r="O427" i="2"/>
  <c r="Q427" i="2"/>
  <c r="O428" i="2"/>
  <c r="Q428" i="2"/>
  <c r="O429" i="2"/>
  <c r="Q429" i="2"/>
  <c r="R429" i="2"/>
  <c r="T431" i="2"/>
  <c r="K432" i="2"/>
  <c r="M432" i="2"/>
  <c r="L432" i="2" s="1"/>
  <c r="L433" i="2" s="1"/>
  <c r="L439" i="2" s="1"/>
  <c r="K433" i="2"/>
  <c r="O433" i="2"/>
  <c r="Q433" i="2"/>
  <c r="O434" i="2"/>
  <c r="Q434" i="2"/>
  <c r="O435" i="2"/>
  <c r="Q435" i="2"/>
  <c r="O436" i="2"/>
  <c r="Q436" i="2"/>
  <c r="O437" i="2"/>
  <c r="Q437" i="2"/>
  <c r="O438" i="2"/>
  <c r="Q438" i="2"/>
  <c r="R438" i="2"/>
  <c r="L440" i="2"/>
  <c r="M440" i="2" s="1"/>
  <c r="T440" i="2"/>
  <c r="D443" i="2"/>
  <c r="D444" i="2" s="1"/>
  <c r="D445" i="2" s="1"/>
  <c r="D453" i="2" s="1"/>
  <c r="D454" i="2" s="1"/>
  <c r="G443" i="2"/>
  <c r="G444" i="2" s="1"/>
  <c r="G445" i="2" s="1"/>
  <c r="H443" i="2"/>
  <c r="I443" i="2"/>
  <c r="J443" i="2"/>
  <c r="K444" i="2"/>
  <c r="K445" i="2" s="1"/>
  <c r="L444" i="2"/>
  <c r="L445" i="2" s="1"/>
  <c r="L446" i="2" s="1"/>
  <c r="L447" i="2" s="1"/>
  <c r="L448" i="2" s="1"/>
  <c r="L449" i="2" s="1"/>
  <c r="L450" i="2" s="1"/>
  <c r="M444" i="2"/>
  <c r="O445" i="2"/>
  <c r="Q445" i="2"/>
  <c r="D446" i="2"/>
  <c r="O446" i="2"/>
  <c r="Q446" i="2"/>
  <c r="D447" i="2"/>
  <c r="D448" i="2" s="1"/>
  <c r="D449" i="2" s="1"/>
  <c r="D450" i="2" s="1"/>
  <c r="D451" i="2" s="1"/>
  <c r="D452" i="2" s="1"/>
  <c r="O447" i="2"/>
  <c r="Q447" i="2"/>
  <c r="R447" i="2"/>
  <c r="O448" i="2"/>
  <c r="Q448" i="2"/>
  <c r="O449" i="2"/>
  <c r="Q449" i="2"/>
  <c r="O450" i="2"/>
  <c r="Q450" i="2"/>
  <c r="L451" i="2"/>
  <c r="L452" i="2" s="1"/>
  <c r="O451" i="2"/>
  <c r="Q451" i="2"/>
  <c r="O452" i="2"/>
  <c r="Q452" i="2"/>
  <c r="R452" i="2"/>
  <c r="T454" i="2"/>
  <c r="K455" i="2"/>
  <c r="K456" i="2" s="1"/>
  <c r="K463" i="2" s="1"/>
  <c r="M455" i="2"/>
  <c r="L455" i="2" s="1"/>
  <c r="L456" i="2" s="1"/>
  <c r="O456" i="2"/>
  <c r="Q456" i="2"/>
  <c r="K457" i="2"/>
  <c r="K458" i="2" s="1"/>
  <c r="K459" i="2" s="1"/>
  <c r="K460" i="2" s="1"/>
  <c r="K461" i="2" s="1"/>
  <c r="K462" i="2" s="1"/>
  <c r="O457" i="2"/>
  <c r="Q457" i="2"/>
  <c r="O458" i="2"/>
  <c r="Q458" i="2"/>
  <c r="O459" i="2"/>
  <c r="Q459" i="2"/>
  <c r="O460" i="2"/>
  <c r="Q460" i="2"/>
  <c r="O461" i="2"/>
  <c r="Q461" i="2"/>
  <c r="O462" i="2"/>
  <c r="Q462" i="2"/>
  <c r="R462" i="2"/>
  <c r="K464" i="2"/>
  <c r="N464" i="2" s="1"/>
  <c r="T464" i="2"/>
  <c r="K465" i="2"/>
  <c r="K466" i="2" s="1"/>
  <c r="M465" i="2"/>
  <c r="L465" i="2" s="1"/>
  <c r="L466" i="2" s="1"/>
  <c r="O466" i="2"/>
  <c r="Q466" i="2"/>
  <c r="O467" i="2"/>
  <c r="Q467" i="2"/>
  <c r="O468" i="2"/>
  <c r="Q468" i="2"/>
  <c r="O469" i="2"/>
  <c r="Q469" i="2"/>
  <c r="O470" i="2"/>
  <c r="Q470" i="2"/>
  <c r="O471" i="2"/>
  <c r="Q471" i="2"/>
  <c r="O472" i="2"/>
  <c r="Q472" i="2"/>
  <c r="R472" i="2"/>
  <c r="T474" i="2"/>
  <c r="K475" i="2"/>
  <c r="K476" i="2" s="1"/>
  <c r="L475" i="2"/>
  <c r="L476" i="2" s="1"/>
  <c r="L477" i="2" s="1"/>
  <c r="L478" i="2" s="1"/>
  <c r="L479" i="2" s="1"/>
  <c r="L480" i="2" s="1"/>
  <c r="L481" i="2" s="1"/>
  <c r="L482" i="2" s="1"/>
  <c r="M475" i="2"/>
  <c r="O476" i="2"/>
  <c r="Q476" i="2"/>
  <c r="O477" i="2"/>
  <c r="Q477" i="2"/>
  <c r="O478" i="2"/>
  <c r="Q478" i="2"/>
  <c r="O479" i="2"/>
  <c r="Q479" i="2"/>
  <c r="O480" i="2"/>
  <c r="Q480" i="2"/>
  <c r="O481" i="2"/>
  <c r="Q481" i="2"/>
  <c r="O482" i="2"/>
  <c r="Q482" i="2"/>
  <c r="R482" i="2"/>
  <c r="L483" i="2"/>
  <c r="L484" i="2" s="1"/>
  <c r="M484" i="2" s="1"/>
  <c r="T484" i="2"/>
  <c r="K485" i="2"/>
  <c r="M485" i="2"/>
  <c r="L485" i="2" s="1"/>
  <c r="L486" i="2" s="1"/>
  <c r="L494" i="2" s="1"/>
  <c r="L495" i="2" s="1"/>
  <c r="M495" i="2" s="1"/>
  <c r="K486" i="2"/>
  <c r="K494" i="2" s="1"/>
  <c r="O486" i="2"/>
  <c r="Q486" i="2"/>
  <c r="K487" i="2"/>
  <c r="K488" i="2" s="1"/>
  <c r="K489" i="2" s="1"/>
  <c r="K490" i="2" s="1"/>
  <c r="K491" i="2" s="1"/>
  <c r="K492" i="2" s="1"/>
  <c r="K493" i="2" s="1"/>
  <c r="L487" i="2"/>
  <c r="L488" i="2" s="1"/>
  <c r="L489" i="2" s="1"/>
  <c r="L490" i="2" s="1"/>
  <c r="L491" i="2" s="1"/>
  <c r="L492" i="2" s="1"/>
  <c r="L493" i="2" s="1"/>
  <c r="O487" i="2"/>
  <c r="Q487" i="2"/>
  <c r="O488" i="2"/>
  <c r="Q488" i="2"/>
  <c r="O489" i="2"/>
  <c r="Q489" i="2"/>
  <c r="O490" i="2"/>
  <c r="Q490" i="2"/>
  <c r="O491" i="2"/>
  <c r="Q491" i="2"/>
  <c r="O492" i="2"/>
  <c r="Q492" i="2"/>
  <c r="R492" i="2"/>
  <c r="O493" i="2"/>
  <c r="Q493" i="2"/>
  <c r="R493" i="2"/>
  <c r="K495" i="2"/>
  <c r="N495" i="2" s="1"/>
  <c r="T495" i="2"/>
  <c r="K496" i="2"/>
  <c r="K497" i="2" s="1"/>
  <c r="L496" i="2"/>
  <c r="L497" i="2" s="1"/>
  <c r="L498" i="2" s="1"/>
  <c r="L499" i="2" s="1"/>
  <c r="L500" i="2" s="1"/>
  <c r="L501" i="2" s="1"/>
  <c r="L502" i="2" s="1"/>
  <c r="L503" i="2" s="1"/>
  <c r="M496" i="2"/>
  <c r="O497" i="2"/>
  <c r="Q497" i="2"/>
  <c r="O498" i="2"/>
  <c r="Q498" i="2"/>
  <c r="O499" i="2"/>
  <c r="Q499" i="2"/>
  <c r="O500" i="2"/>
  <c r="Q500" i="2"/>
  <c r="O501" i="2"/>
  <c r="Q501" i="2"/>
  <c r="O502" i="2"/>
  <c r="Q502" i="2"/>
  <c r="O503" i="2"/>
  <c r="Q503" i="2"/>
  <c r="R503" i="2"/>
  <c r="L504" i="2"/>
  <c r="L505" i="2" s="1"/>
  <c r="M505" i="2" s="1"/>
  <c r="T505" i="2"/>
  <c r="F509" i="2"/>
  <c r="D510" i="2"/>
  <c r="E510" i="2"/>
  <c r="E511" i="2" s="1"/>
  <c r="E512" i="2" s="1"/>
  <c r="F510" i="2"/>
  <c r="H511" i="2"/>
  <c r="G511" i="2" s="1"/>
  <c r="G512" i="2" s="1"/>
  <c r="I511" i="2"/>
  <c r="J511" i="2"/>
  <c r="D511" i="2" s="1"/>
  <c r="D512" i="2" s="1"/>
  <c r="K512" i="2"/>
  <c r="M512" i="2"/>
  <c r="L512" i="2" s="1"/>
  <c r="L513" i="2" s="1"/>
  <c r="L514" i="2" s="1"/>
  <c r="D513" i="2"/>
  <c r="E513" i="2"/>
  <c r="G513" i="2"/>
  <c r="G519" i="2" s="1"/>
  <c r="G520" i="2" s="1"/>
  <c r="K513" i="2"/>
  <c r="O513" i="2"/>
  <c r="Q513" i="2"/>
  <c r="G514" i="2"/>
  <c r="G515" i="2" s="1"/>
  <c r="G516" i="2" s="1"/>
  <c r="G517" i="2" s="1"/>
  <c r="G518" i="2" s="1"/>
  <c r="K514" i="2"/>
  <c r="K515" i="2" s="1"/>
  <c r="K516" i="2" s="1"/>
  <c r="K517" i="2" s="1"/>
  <c r="K518" i="2" s="1"/>
  <c r="O514" i="2"/>
  <c r="Q514" i="2"/>
  <c r="L515" i="2"/>
  <c r="O515" i="2"/>
  <c r="Q515" i="2"/>
  <c r="L516" i="2"/>
  <c r="O516" i="2"/>
  <c r="Q516" i="2"/>
  <c r="L517" i="2"/>
  <c r="L518" i="2" s="1"/>
  <c r="O517" i="2"/>
  <c r="Q517" i="2"/>
  <c r="O518" i="2"/>
  <c r="Q518" i="2"/>
  <c r="R518" i="2"/>
  <c r="K519" i="2"/>
  <c r="K520" i="2" s="1"/>
  <c r="N520" i="2" s="1"/>
  <c r="L519" i="2"/>
  <c r="L520" i="2" s="1"/>
  <c r="M520" i="2" s="1"/>
  <c r="T520" i="2"/>
  <c r="K521" i="2"/>
  <c r="L521" i="2"/>
  <c r="M521" i="2"/>
  <c r="K522" i="2"/>
  <c r="L522" i="2"/>
  <c r="L523" i="2" s="1"/>
  <c r="L524" i="2" s="1"/>
  <c r="O522" i="2"/>
  <c r="Q522" i="2"/>
  <c r="K523" i="2"/>
  <c r="K524" i="2" s="1"/>
  <c r="K525" i="2" s="1"/>
  <c r="K526" i="2" s="1"/>
  <c r="K527" i="2" s="1"/>
  <c r="O523" i="2"/>
  <c r="Q523" i="2"/>
  <c r="O524" i="2"/>
  <c r="Q524" i="2"/>
  <c r="L525" i="2"/>
  <c r="L526" i="2" s="1"/>
  <c r="L527" i="2" s="1"/>
  <c r="O525" i="2"/>
  <c r="Q525" i="2"/>
  <c r="O526" i="2"/>
  <c r="Q526" i="2"/>
  <c r="O527" i="2"/>
  <c r="Q527" i="2"/>
  <c r="R527" i="2"/>
  <c r="K528" i="2"/>
  <c r="K529" i="2" s="1"/>
  <c r="N529" i="2" s="1"/>
  <c r="T529" i="2"/>
  <c r="K530" i="2"/>
  <c r="M530" i="2"/>
  <c r="L530" i="2" s="1"/>
  <c r="L531" i="2" s="1"/>
  <c r="K531" i="2"/>
  <c r="O531" i="2"/>
  <c r="Q531" i="2"/>
  <c r="O532" i="2"/>
  <c r="Q532" i="2"/>
  <c r="O533" i="2"/>
  <c r="Q533" i="2"/>
  <c r="O534" i="2"/>
  <c r="Q534" i="2"/>
  <c r="O535" i="2"/>
  <c r="Q535" i="2"/>
  <c r="O536" i="2"/>
  <c r="Q536" i="2"/>
  <c r="R536" i="2"/>
  <c r="T538" i="2"/>
  <c r="K539" i="2"/>
  <c r="K540" i="2" s="1"/>
  <c r="K541" i="2" s="1"/>
  <c r="K542" i="2" s="1"/>
  <c r="K543" i="2" s="1"/>
  <c r="K544" i="2" s="1"/>
  <c r="L539" i="2"/>
  <c r="L540" i="2" s="1"/>
  <c r="M539" i="2"/>
  <c r="O540" i="2"/>
  <c r="Q540" i="2"/>
  <c r="O541" i="2"/>
  <c r="Q541" i="2"/>
  <c r="O542" i="2"/>
  <c r="Q542" i="2"/>
  <c r="O543" i="2"/>
  <c r="Q543" i="2"/>
  <c r="O544" i="2"/>
  <c r="Q544" i="2"/>
  <c r="K545" i="2"/>
  <c r="O545" i="2"/>
  <c r="Q545" i="2"/>
  <c r="R545" i="2"/>
  <c r="K546" i="2"/>
  <c r="K547" i="2" s="1"/>
  <c r="N547" i="2"/>
  <c r="T547" i="2"/>
  <c r="K548" i="2"/>
  <c r="M548" i="2"/>
  <c r="L548" i="2" s="1"/>
  <c r="L549" i="2" s="1"/>
  <c r="K549" i="2"/>
  <c r="O549" i="2"/>
  <c r="Q549" i="2"/>
  <c r="L550" i="2"/>
  <c r="L551" i="2" s="1"/>
  <c r="L552" i="2" s="1"/>
  <c r="O550" i="2"/>
  <c r="Q550" i="2"/>
  <c r="O551" i="2"/>
  <c r="Q551" i="2"/>
  <c r="O552" i="2"/>
  <c r="Q552" i="2"/>
  <c r="L553" i="2"/>
  <c r="L554" i="2" s="1"/>
  <c r="O553" i="2"/>
  <c r="Q553" i="2"/>
  <c r="O554" i="2"/>
  <c r="Q554" i="2"/>
  <c r="R554" i="2"/>
  <c r="L555" i="2"/>
  <c r="O555" i="2"/>
  <c r="Q555" i="2"/>
  <c r="R555" i="2"/>
  <c r="L556" i="2"/>
  <c r="L557" i="2" s="1"/>
  <c r="M557" i="2" s="1"/>
  <c r="T557" i="2"/>
  <c r="K558" i="2"/>
  <c r="K559" i="2" s="1"/>
  <c r="K565" i="2" s="1"/>
  <c r="K566" i="2" s="1"/>
  <c r="N566" i="2" s="1"/>
  <c r="L558" i="2"/>
  <c r="L559" i="2" s="1"/>
  <c r="M558" i="2"/>
  <c r="O559" i="2"/>
  <c r="Q559" i="2"/>
  <c r="K560" i="2"/>
  <c r="O560" i="2"/>
  <c r="Q560" i="2"/>
  <c r="K561" i="2"/>
  <c r="K562" i="2" s="1"/>
  <c r="K563" i="2" s="1"/>
  <c r="K564" i="2" s="1"/>
  <c r="O561" i="2"/>
  <c r="Q561" i="2"/>
  <c r="O562" i="2"/>
  <c r="Q562" i="2"/>
  <c r="O563" i="2"/>
  <c r="Q563" i="2"/>
  <c r="O564" i="2"/>
  <c r="Q564" i="2"/>
  <c r="R564" i="2"/>
  <c r="T566" i="2"/>
  <c r="K567" i="2"/>
  <c r="M567" i="2"/>
  <c r="L567" i="2" s="1"/>
  <c r="K568" i="2"/>
  <c r="L568" i="2"/>
  <c r="L569" i="2" s="1"/>
  <c r="O568" i="2"/>
  <c r="Q568" i="2"/>
  <c r="O569" i="2"/>
  <c r="Q569" i="2"/>
  <c r="R569" i="2"/>
  <c r="L570" i="2"/>
  <c r="L571" i="2" s="1"/>
  <c r="M571" i="2" s="1"/>
  <c r="T571" i="2"/>
  <c r="K572" i="2"/>
  <c r="K573" i="2" s="1"/>
  <c r="L572" i="2"/>
  <c r="L573" i="2" s="1"/>
  <c r="M572" i="2"/>
  <c r="O573" i="2"/>
  <c r="Q573" i="2"/>
  <c r="K574" i="2"/>
  <c r="O574" i="2"/>
  <c r="Q574" i="2"/>
  <c r="R574" i="2"/>
  <c r="K575" i="2"/>
  <c r="K576" i="2" s="1"/>
  <c r="N576" i="2" s="1"/>
  <c r="T576" i="2"/>
  <c r="H579" i="2"/>
  <c r="G579" i="2" s="1"/>
  <c r="G580" i="2" s="1"/>
  <c r="G581" i="2" s="1"/>
  <c r="I579" i="2"/>
  <c r="J579" i="2"/>
  <c r="D579" i="2" s="1"/>
  <c r="D580" i="2" s="1"/>
  <c r="K580" i="2"/>
  <c r="M580" i="2"/>
  <c r="L580" i="2" s="1"/>
  <c r="L581" i="2" s="1"/>
  <c r="L587" i="2" s="1"/>
  <c r="L588" i="2" s="1"/>
  <c r="M588" i="2" s="1"/>
  <c r="D581" i="2"/>
  <c r="K581" i="2"/>
  <c r="O581" i="2"/>
  <c r="Q581" i="2"/>
  <c r="O582" i="2"/>
  <c r="Q582" i="2"/>
  <c r="O583" i="2"/>
  <c r="Q583" i="2"/>
  <c r="O584" i="2"/>
  <c r="Q584" i="2"/>
  <c r="O585" i="2"/>
  <c r="Q585" i="2"/>
  <c r="O586" i="2"/>
  <c r="Q586" i="2"/>
  <c r="R586" i="2"/>
  <c r="T588" i="2"/>
  <c r="K589" i="2"/>
  <c r="K590" i="2" s="1"/>
  <c r="K596" i="2" s="1"/>
  <c r="K597" i="2" s="1"/>
  <c r="N597" i="2" s="1"/>
  <c r="L589" i="2"/>
  <c r="L590" i="2" s="1"/>
  <c r="M589" i="2"/>
  <c r="O590" i="2"/>
  <c r="Q590" i="2"/>
  <c r="O591" i="2"/>
  <c r="Q591" i="2"/>
  <c r="O592" i="2"/>
  <c r="Q592" i="2"/>
  <c r="O593" i="2"/>
  <c r="Q593" i="2"/>
  <c r="O594" i="2"/>
  <c r="Q594" i="2"/>
  <c r="O595" i="2"/>
  <c r="Q595" i="2"/>
  <c r="R595" i="2"/>
  <c r="T597" i="2"/>
  <c r="K598" i="2"/>
  <c r="M598" i="2"/>
  <c r="L598" i="2" s="1"/>
  <c r="L599" i="2" s="1"/>
  <c r="L605" i="2" s="1"/>
  <c r="L606" i="2" s="1"/>
  <c r="M606" i="2" s="1"/>
  <c r="K599" i="2"/>
  <c r="O599" i="2"/>
  <c r="Q599" i="2"/>
  <c r="O600" i="2"/>
  <c r="Q600" i="2"/>
  <c r="O601" i="2"/>
  <c r="Q601" i="2"/>
  <c r="O602" i="2"/>
  <c r="Q602" i="2"/>
  <c r="O603" i="2"/>
  <c r="Q603" i="2"/>
  <c r="O604" i="2"/>
  <c r="Q604" i="2"/>
  <c r="R604" i="2"/>
  <c r="T606" i="2"/>
  <c r="T646" i="2" s="1"/>
  <c r="K607" i="2"/>
  <c r="K608" i="2" s="1"/>
  <c r="K609" i="2" s="1"/>
  <c r="K610" i="2" s="1"/>
  <c r="K611" i="2" s="1"/>
  <c r="K612" i="2" s="1"/>
  <c r="K613" i="2" s="1"/>
  <c r="L607" i="2"/>
  <c r="L608" i="2" s="1"/>
  <c r="M607" i="2"/>
  <c r="O608" i="2"/>
  <c r="Q608" i="2"/>
  <c r="O609" i="2"/>
  <c r="Q609" i="2"/>
  <c r="O610" i="2"/>
  <c r="Q610" i="2"/>
  <c r="O611" i="2"/>
  <c r="Q611" i="2"/>
  <c r="O612" i="2"/>
  <c r="Q612" i="2"/>
  <c r="O613" i="2"/>
  <c r="Q613" i="2"/>
  <c r="R613" i="2"/>
  <c r="K614" i="2"/>
  <c r="K615" i="2" s="1"/>
  <c r="N615" i="2" s="1"/>
  <c r="T615" i="2"/>
  <c r="K616" i="2"/>
  <c r="L616" i="2"/>
  <c r="L617" i="2" s="1"/>
  <c r="L618" i="2" s="1"/>
  <c r="L619" i="2" s="1"/>
  <c r="L620" i="2" s="1"/>
  <c r="L621" i="2" s="1"/>
  <c r="L622" i="2" s="1"/>
  <c r="L623" i="2" s="1"/>
  <c r="M616" i="2"/>
  <c r="K617" i="2"/>
  <c r="K618" i="2" s="1"/>
  <c r="K619" i="2" s="1"/>
  <c r="K620" i="2" s="1"/>
  <c r="K621" i="2" s="1"/>
  <c r="K622" i="2" s="1"/>
  <c r="K623" i="2" s="1"/>
  <c r="O617" i="2"/>
  <c r="Q617" i="2"/>
  <c r="O618" i="2"/>
  <c r="Q618" i="2"/>
  <c r="O619" i="2"/>
  <c r="Q619" i="2"/>
  <c r="O620" i="2"/>
  <c r="Q620" i="2"/>
  <c r="O621" i="2"/>
  <c r="Q621" i="2"/>
  <c r="O622" i="2"/>
  <c r="Q622" i="2"/>
  <c r="R622" i="2"/>
  <c r="O623" i="2"/>
  <c r="Q623" i="2"/>
  <c r="R623" i="2"/>
  <c r="K624" i="2"/>
  <c r="K625" i="2" s="1"/>
  <c r="N625" i="2" s="1"/>
  <c r="T625" i="2"/>
  <c r="K626" i="2"/>
  <c r="K627" i="2" s="1"/>
  <c r="K633" i="2" s="1"/>
  <c r="K634" i="2" s="1"/>
  <c r="N634" i="2" s="1"/>
  <c r="L626" i="2"/>
  <c r="L627" i="2" s="1"/>
  <c r="M626" i="2"/>
  <c r="O627" i="2"/>
  <c r="Q627" i="2"/>
  <c r="K628" i="2"/>
  <c r="K629" i="2" s="1"/>
  <c r="K630" i="2" s="1"/>
  <c r="K631" i="2" s="1"/>
  <c r="K632" i="2" s="1"/>
  <c r="O628" i="2"/>
  <c r="Q628" i="2"/>
  <c r="O629" i="2"/>
  <c r="Q629" i="2"/>
  <c r="O630" i="2"/>
  <c r="Q630" i="2"/>
  <c r="O631" i="2"/>
  <c r="Q631" i="2"/>
  <c r="O632" i="2"/>
  <c r="Q632" i="2"/>
  <c r="R632" i="2"/>
  <c r="T634" i="2"/>
  <c r="K635" i="2"/>
  <c r="K636" i="2" s="1"/>
  <c r="K637" i="2" s="1"/>
  <c r="M635" i="2"/>
  <c r="L635" i="2" s="1"/>
  <c r="L636" i="2" s="1"/>
  <c r="O636" i="2"/>
  <c r="Q636" i="2"/>
  <c r="O637" i="2"/>
  <c r="Q637" i="2"/>
  <c r="R637" i="2"/>
  <c r="K638" i="2"/>
  <c r="K639" i="2" s="1"/>
  <c r="N639" i="2" s="1"/>
  <c r="T639" i="2"/>
  <c r="K640" i="2"/>
  <c r="L640" i="2"/>
  <c r="L641" i="2" s="1"/>
  <c r="M640" i="2"/>
  <c r="K641" i="2"/>
  <c r="O641" i="2"/>
  <c r="Q641" i="2"/>
  <c r="L642" i="2"/>
  <c r="O642" i="2"/>
  <c r="Q642" i="2"/>
  <c r="R642" i="2"/>
  <c r="L643" i="2"/>
  <c r="L644" i="2" s="1"/>
  <c r="M644" i="2" s="1"/>
  <c r="T644" i="2"/>
  <c r="D647" i="2"/>
  <c r="D648" i="2" s="1"/>
  <c r="D649" i="2" s="1"/>
  <c r="H647" i="2"/>
  <c r="G647" i="2" s="1"/>
  <c r="G648" i="2" s="1"/>
  <c r="G649" i="2" s="1"/>
  <c r="I647" i="2"/>
  <c r="J647" i="2"/>
  <c r="K648" i="2"/>
  <c r="M648" i="2"/>
  <c r="L648" i="2" s="1"/>
  <c r="L649" i="2" s="1"/>
  <c r="K649" i="2"/>
  <c r="K656" i="2" s="1"/>
  <c r="K657" i="2" s="1"/>
  <c r="N657" i="2" s="1"/>
  <c r="O649" i="2"/>
  <c r="Q649" i="2"/>
  <c r="O650" i="2"/>
  <c r="Q650" i="2"/>
  <c r="O651" i="2"/>
  <c r="Q651" i="2"/>
  <c r="O652" i="2"/>
  <c r="Q652" i="2"/>
  <c r="O653" i="2"/>
  <c r="Q653" i="2"/>
  <c r="O654" i="2"/>
  <c r="Q654" i="2"/>
  <c r="O655" i="2"/>
  <c r="Q655" i="2"/>
  <c r="R655" i="2"/>
  <c r="T657" i="2"/>
  <c r="K658" i="2"/>
  <c r="K659" i="2" s="1"/>
  <c r="M658" i="2"/>
  <c r="L658" i="2" s="1"/>
  <c r="L659" i="2" s="1"/>
  <c r="O659" i="2"/>
  <c r="Q659" i="2"/>
  <c r="O660" i="2"/>
  <c r="Q660" i="2"/>
  <c r="O661" i="2"/>
  <c r="Q661" i="2"/>
  <c r="O662" i="2"/>
  <c r="Q662" i="2"/>
  <c r="O663" i="2"/>
  <c r="Q663" i="2"/>
  <c r="O664" i="2"/>
  <c r="Q664" i="2"/>
  <c r="O665" i="2"/>
  <c r="Q665" i="2"/>
  <c r="R665" i="2"/>
  <c r="T667" i="2"/>
  <c r="T709" i="2" s="1"/>
  <c r="K668" i="2"/>
  <c r="K669" i="2" s="1"/>
  <c r="K676" i="2" s="1"/>
  <c r="K677" i="2" s="1"/>
  <c r="N677" i="2" s="1"/>
  <c r="M668" i="2"/>
  <c r="L668" i="2" s="1"/>
  <c r="L669" i="2" s="1"/>
  <c r="O669" i="2"/>
  <c r="Q669" i="2"/>
  <c r="K670" i="2"/>
  <c r="K671" i="2" s="1"/>
  <c r="K672" i="2" s="1"/>
  <c r="K673" i="2" s="1"/>
  <c r="K674" i="2" s="1"/>
  <c r="K675" i="2" s="1"/>
  <c r="O670" i="2"/>
  <c r="Q670" i="2"/>
  <c r="O671" i="2"/>
  <c r="Q671" i="2"/>
  <c r="O672" i="2"/>
  <c r="Q672" i="2"/>
  <c r="O673" i="2"/>
  <c r="Q673" i="2"/>
  <c r="O674" i="2"/>
  <c r="Q674" i="2"/>
  <c r="O675" i="2"/>
  <c r="Q675" i="2"/>
  <c r="R675" i="2"/>
  <c r="T677" i="2"/>
  <c r="K678" i="2"/>
  <c r="K679" i="2" s="1"/>
  <c r="K680" i="2" s="1"/>
  <c r="K681" i="2" s="1"/>
  <c r="K682" i="2" s="1"/>
  <c r="K683" i="2" s="1"/>
  <c r="K684" i="2" s="1"/>
  <c r="K685" i="2" s="1"/>
  <c r="M678" i="2"/>
  <c r="L678" i="2" s="1"/>
  <c r="L679" i="2" s="1"/>
  <c r="O679" i="2"/>
  <c r="Q679" i="2"/>
  <c r="O680" i="2"/>
  <c r="Q680" i="2"/>
  <c r="O681" i="2"/>
  <c r="Q681" i="2"/>
  <c r="O682" i="2"/>
  <c r="Q682" i="2"/>
  <c r="O683" i="2"/>
  <c r="Q683" i="2"/>
  <c r="O684" i="2"/>
  <c r="Q684" i="2"/>
  <c r="O685" i="2"/>
  <c r="Q685" i="2"/>
  <c r="R685" i="2"/>
  <c r="K686" i="2"/>
  <c r="K687" i="2" s="1"/>
  <c r="N687" i="2" s="1"/>
  <c r="T687" i="2"/>
  <c r="K688" i="2"/>
  <c r="K689" i="2" s="1"/>
  <c r="M688" i="2"/>
  <c r="L688" i="2" s="1"/>
  <c r="L689" i="2" s="1"/>
  <c r="O689" i="2"/>
  <c r="Q689" i="2"/>
  <c r="O690" i="2"/>
  <c r="Q690" i="2"/>
  <c r="O691" i="2"/>
  <c r="Q691" i="2"/>
  <c r="O692" i="2"/>
  <c r="Q692" i="2"/>
  <c r="O693" i="2"/>
  <c r="Q693" i="2"/>
  <c r="O694" i="2"/>
  <c r="Q694" i="2"/>
  <c r="O695" i="2"/>
  <c r="Q695" i="2"/>
  <c r="R695" i="2"/>
  <c r="T697" i="2"/>
  <c r="K698" i="2"/>
  <c r="M698" i="2"/>
  <c r="L698" i="2" s="1"/>
  <c r="L699" i="2" s="1"/>
  <c r="L706" i="2" s="1"/>
  <c r="K699" i="2"/>
  <c r="O699" i="2"/>
  <c r="Q699" i="2"/>
  <c r="O700" i="2"/>
  <c r="Q700" i="2"/>
  <c r="O701" i="2"/>
  <c r="Q701" i="2"/>
  <c r="O702" i="2"/>
  <c r="Q702" i="2"/>
  <c r="O703" i="2"/>
  <c r="Q703" i="2"/>
  <c r="O704" i="2"/>
  <c r="Q704" i="2"/>
  <c r="O705" i="2"/>
  <c r="Q705" i="2"/>
  <c r="R705" i="2"/>
  <c r="L707" i="2"/>
  <c r="M707" i="2" s="1"/>
  <c r="T707" i="2"/>
  <c r="D710" i="2"/>
  <c r="D711" i="2" s="1"/>
  <c r="D712" i="2" s="1"/>
  <c r="G710" i="2"/>
  <c r="G711" i="2" s="1"/>
  <c r="G712" i="2" s="1"/>
  <c r="G713" i="2" s="1"/>
  <c r="G714" i="2" s="1"/>
  <c r="G715" i="2" s="1"/>
  <c r="G716" i="2" s="1"/>
  <c r="G717" i="2" s="1"/>
  <c r="H710" i="2"/>
  <c r="I710" i="2"/>
  <c r="J710" i="2"/>
  <c r="K711" i="2"/>
  <c r="K712" i="2" s="1"/>
  <c r="L711" i="2"/>
  <c r="L712" i="2" s="1"/>
  <c r="M711" i="2"/>
  <c r="O712" i="2"/>
  <c r="Q712" i="2"/>
  <c r="O713" i="2"/>
  <c r="Q713" i="2"/>
  <c r="O714" i="2"/>
  <c r="Q714" i="2"/>
  <c r="O715" i="2"/>
  <c r="Q715" i="2"/>
  <c r="O716" i="2"/>
  <c r="Q716" i="2"/>
  <c r="O717" i="2"/>
  <c r="Q717" i="2"/>
  <c r="R717" i="2"/>
  <c r="T719" i="2"/>
  <c r="K720" i="2"/>
  <c r="K721" i="2" s="1"/>
  <c r="K722" i="2" s="1"/>
  <c r="K723" i="2" s="1"/>
  <c r="L720" i="2"/>
  <c r="L721" i="2" s="1"/>
  <c r="M720" i="2"/>
  <c r="O721" i="2"/>
  <c r="Q721" i="2"/>
  <c r="O722" i="2"/>
  <c r="Q722" i="2"/>
  <c r="O723" i="2"/>
  <c r="Q723" i="2"/>
  <c r="K724" i="2"/>
  <c r="K725" i="2" s="1"/>
  <c r="K726" i="2" s="1"/>
  <c r="O724" i="2"/>
  <c r="Q724" i="2"/>
  <c r="O725" i="2"/>
  <c r="Q725" i="2"/>
  <c r="O726" i="2"/>
  <c r="Q726" i="2"/>
  <c r="R726" i="2"/>
  <c r="K727" i="2"/>
  <c r="K728" i="2" s="1"/>
  <c r="N728" i="2"/>
  <c r="T728" i="2"/>
  <c r="K729" i="2"/>
  <c r="K730" i="2" s="1"/>
  <c r="K736" i="2" s="1"/>
  <c r="K737" i="2" s="1"/>
  <c r="N737" i="2" s="1"/>
  <c r="M729" i="2"/>
  <c r="L729" i="2" s="1"/>
  <c r="L730" i="2" s="1"/>
  <c r="O730" i="2"/>
  <c r="Q730" i="2"/>
  <c r="K731" i="2"/>
  <c r="O731" i="2"/>
  <c r="Q731" i="2"/>
  <c r="K732" i="2"/>
  <c r="K733" i="2" s="1"/>
  <c r="K734" i="2" s="1"/>
  <c r="K735" i="2" s="1"/>
  <c r="O732" i="2"/>
  <c r="Q732" i="2"/>
  <c r="O733" i="2"/>
  <c r="Q733" i="2"/>
  <c r="O734" i="2"/>
  <c r="Q734" i="2"/>
  <c r="O735" i="2"/>
  <c r="Q735" i="2"/>
  <c r="R735" i="2"/>
  <c r="T737" i="2"/>
  <c r="K738" i="2"/>
  <c r="M738" i="2"/>
  <c r="L738" i="2" s="1"/>
  <c r="L739" i="2" s="1"/>
  <c r="K739" i="2"/>
  <c r="O739" i="2"/>
  <c r="Q739" i="2"/>
  <c r="O740" i="2"/>
  <c r="Q740" i="2"/>
  <c r="O741" i="2"/>
  <c r="Q741" i="2"/>
  <c r="O742" i="2"/>
  <c r="Q742" i="2"/>
  <c r="O743" i="2"/>
  <c r="Q743" i="2"/>
  <c r="O744" i="2"/>
  <c r="Q744" i="2"/>
  <c r="R744" i="2"/>
  <c r="T746" i="2"/>
  <c r="K747" i="2"/>
  <c r="K748" i="2" s="1"/>
  <c r="K749" i="2" s="1"/>
  <c r="K750" i="2" s="1"/>
  <c r="K751" i="2" s="1"/>
  <c r="K752" i="2" s="1"/>
  <c r="K753" i="2" s="1"/>
  <c r="L747" i="2"/>
  <c r="L748" i="2" s="1"/>
  <c r="M747" i="2"/>
  <c r="O748" i="2"/>
  <c r="Q748" i="2"/>
  <c r="O749" i="2"/>
  <c r="Q749" i="2"/>
  <c r="O750" i="2"/>
  <c r="Q750" i="2"/>
  <c r="O751" i="2"/>
  <c r="Q751" i="2"/>
  <c r="O752" i="2"/>
  <c r="Q752" i="2"/>
  <c r="O753" i="2"/>
  <c r="Q753" i="2"/>
  <c r="R753" i="2"/>
  <c r="K754" i="2"/>
  <c r="O754" i="2"/>
  <c r="Q754" i="2"/>
  <c r="R754" i="2"/>
  <c r="T756" i="2"/>
  <c r="K757" i="2"/>
  <c r="K758" i="2" s="1"/>
  <c r="K759" i="2" s="1"/>
  <c r="K760" i="2" s="1"/>
  <c r="L757" i="2"/>
  <c r="L758" i="2" s="1"/>
  <c r="L759" i="2" s="1"/>
  <c r="L760" i="2" s="1"/>
  <c r="L761" i="2" s="1"/>
  <c r="L762" i="2" s="1"/>
  <c r="L763" i="2" s="1"/>
  <c r="M757" i="2"/>
  <c r="O758" i="2"/>
  <c r="Q758" i="2"/>
  <c r="O759" i="2"/>
  <c r="Q759" i="2"/>
  <c r="O760" i="2"/>
  <c r="Q760" i="2"/>
  <c r="K761" i="2"/>
  <c r="O761" i="2"/>
  <c r="Q761" i="2"/>
  <c r="K762" i="2"/>
  <c r="K763" i="2" s="1"/>
  <c r="O762" i="2"/>
  <c r="Q762" i="2"/>
  <c r="O763" i="2"/>
  <c r="Q763" i="2"/>
  <c r="R763" i="2"/>
  <c r="T765" i="2"/>
  <c r="T777" i="2" s="1"/>
  <c r="K766" i="2"/>
  <c r="M766" i="2"/>
  <c r="L766" i="2" s="1"/>
  <c r="L767" i="2" s="1"/>
  <c r="K767" i="2"/>
  <c r="O767" i="2"/>
  <c r="Q767" i="2"/>
  <c r="K768" i="2"/>
  <c r="O768" i="2"/>
  <c r="Q768" i="2"/>
  <c r="R768" i="2"/>
  <c r="K769" i="2"/>
  <c r="K770" i="2" s="1"/>
  <c r="N770" i="2"/>
  <c r="T770" i="2"/>
  <c r="K771" i="2"/>
  <c r="K772" i="2" s="1"/>
  <c r="L771" i="2"/>
  <c r="L772" i="2" s="1"/>
  <c r="M771" i="2"/>
  <c r="O772" i="2"/>
  <c r="Q772" i="2"/>
  <c r="O773" i="2"/>
  <c r="Q773" i="2"/>
  <c r="R773" i="2"/>
  <c r="T775" i="2"/>
  <c r="D778" i="2"/>
  <c r="D779" i="2" s="1"/>
  <c r="D780" i="2" s="1"/>
  <c r="D781" i="2" s="1"/>
  <c r="G778" i="2"/>
  <c r="G779" i="2" s="1"/>
  <c r="G780" i="2" s="1"/>
  <c r="H778" i="2"/>
  <c r="I778" i="2"/>
  <c r="J778" i="2"/>
  <c r="K779" i="2"/>
  <c r="K780" i="2" s="1"/>
  <c r="L779" i="2"/>
  <c r="L780" i="2" s="1"/>
  <c r="M779" i="2"/>
  <c r="O780" i="2"/>
  <c r="Q780" i="2"/>
  <c r="O781" i="2"/>
  <c r="Q781" i="2"/>
  <c r="D782" i="2"/>
  <c r="O782" i="2"/>
  <c r="Q782" i="2"/>
  <c r="D783" i="2"/>
  <c r="D784" i="2" s="1"/>
  <c r="D785" i="2" s="1"/>
  <c r="O783" i="2"/>
  <c r="Q783" i="2"/>
  <c r="O784" i="2"/>
  <c r="Q784" i="2"/>
  <c r="O785" i="2"/>
  <c r="Q785" i="2"/>
  <c r="R785" i="2"/>
  <c r="D786" i="2"/>
  <c r="D787" i="2" s="1"/>
  <c r="T787" i="2"/>
  <c r="K788" i="2"/>
  <c r="K789" i="2" s="1"/>
  <c r="K790" i="2" s="1"/>
  <c r="K791" i="2" s="1"/>
  <c r="M788" i="2"/>
  <c r="L788" i="2" s="1"/>
  <c r="L789" i="2" s="1"/>
  <c r="O789" i="2"/>
  <c r="Q789" i="2"/>
  <c r="O790" i="2"/>
  <c r="Q790" i="2"/>
  <c r="O791" i="2"/>
  <c r="Q791" i="2"/>
  <c r="K792" i="2"/>
  <c r="O792" i="2"/>
  <c r="Q792" i="2"/>
  <c r="K793" i="2"/>
  <c r="K794" i="2" s="1"/>
  <c r="O793" i="2"/>
  <c r="Q793" i="2"/>
  <c r="O794" i="2"/>
  <c r="Q794" i="2"/>
  <c r="R794" i="2"/>
  <c r="K795" i="2"/>
  <c r="K796" i="2" s="1"/>
  <c r="N796" i="2" s="1"/>
  <c r="T796" i="2"/>
  <c r="T845" i="2" s="1"/>
  <c r="K797" i="2"/>
  <c r="M797" i="2"/>
  <c r="L797" i="2" s="1"/>
  <c r="L798" i="2" s="1"/>
  <c r="L799" i="2" s="1"/>
  <c r="K798" i="2"/>
  <c r="O798" i="2"/>
  <c r="Q798" i="2"/>
  <c r="K799" i="2"/>
  <c r="K800" i="2" s="1"/>
  <c r="K801" i="2" s="1"/>
  <c r="K802" i="2" s="1"/>
  <c r="K803" i="2" s="1"/>
  <c r="O799" i="2"/>
  <c r="Q799" i="2"/>
  <c r="L800" i="2"/>
  <c r="O800" i="2"/>
  <c r="Q800" i="2"/>
  <c r="L801" i="2"/>
  <c r="L802" i="2" s="1"/>
  <c r="L803" i="2" s="1"/>
  <c r="O801" i="2"/>
  <c r="Q801" i="2"/>
  <c r="O802" i="2"/>
  <c r="Q802" i="2"/>
  <c r="O803" i="2"/>
  <c r="Q803" i="2"/>
  <c r="R803" i="2"/>
  <c r="K804" i="2"/>
  <c r="L804" i="2"/>
  <c r="L805" i="2" s="1"/>
  <c r="M805" i="2" s="1"/>
  <c r="K805" i="2"/>
  <c r="N805" i="2" s="1"/>
  <c r="T805" i="2"/>
  <c r="K806" i="2"/>
  <c r="M806" i="2"/>
  <c r="L806" i="2" s="1"/>
  <c r="L807" i="2" s="1"/>
  <c r="K807" i="2"/>
  <c r="K813" i="2" s="1"/>
  <c r="O807" i="2"/>
  <c r="Q807" i="2"/>
  <c r="O808" i="2"/>
  <c r="Q808" i="2"/>
  <c r="O809" i="2"/>
  <c r="Q809" i="2"/>
  <c r="O810" i="2"/>
  <c r="Q810" i="2"/>
  <c r="O811" i="2"/>
  <c r="Q811" i="2"/>
  <c r="O812" i="2"/>
  <c r="Q812" i="2"/>
  <c r="R812" i="2"/>
  <c r="K814" i="2"/>
  <c r="N814" i="2" s="1"/>
  <c r="T814" i="2"/>
  <c r="K815" i="2"/>
  <c r="L815" i="2"/>
  <c r="L816" i="2" s="1"/>
  <c r="M815" i="2"/>
  <c r="K816" i="2"/>
  <c r="K817" i="2" s="1"/>
  <c r="K818" i="2" s="1"/>
  <c r="K819" i="2" s="1"/>
  <c r="K820" i="2" s="1"/>
  <c r="K821" i="2" s="1"/>
  <c r="K822" i="2" s="1"/>
  <c r="O816" i="2"/>
  <c r="Q816" i="2"/>
  <c r="O817" i="2"/>
  <c r="Q817" i="2"/>
  <c r="O818" i="2"/>
  <c r="Q818" i="2"/>
  <c r="O819" i="2"/>
  <c r="Q819" i="2"/>
  <c r="O820" i="2"/>
  <c r="Q820" i="2"/>
  <c r="O821" i="2"/>
  <c r="Q821" i="2"/>
  <c r="R821" i="2"/>
  <c r="O822" i="2"/>
  <c r="Q822" i="2"/>
  <c r="R822" i="2"/>
  <c r="T824" i="2"/>
  <c r="K825" i="2"/>
  <c r="K826" i="2" s="1"/>
  <c r="K827" i="2" s="1"/>
  <c r="K828" i="2" s="1"/>
  <c r="L825" i="2"/>
  <c r="L826" i="2" s="1"/>
  <c r="L827" i="2" s="1"/>
  <c r="L828" i="2" s="1"/>
  <c r="L829" i="2" s="1"/>
  <c r="L830" i="2" s="1"/>
  <c r="L831" i="2" s="1"/>
  <c r="M825" i="2"/>
  <c r="O826" i="2"/>
  <c r="Q826" i="2"/>
  <c r="O827" i="2"/>
  <c r="Q827" i="2"/>
  <c r="O828" i="2"/>
  <c r="Q828" i="2"/>
  <c r="K829" i="2"/>
  <c r="O829" i="2"/>
  <c r="Q829" i="2"/>
  <c r="K830" i="2"/>
  <c r="K831" i="2" s="1"/>
  <c r="O830" i="2"/>
  <c r="Q830" i="2"/>
  <c r="O831" i="2"/>
  <c r="Q831" i="2"/>
  <c r="R831" i="2"/>
  <c r="K832" i="2"/>
  <c r="L832" i="2"/>
  <c r="L833" i="2" s="1"/>
  <c r="M833" i="2" s="1"/>
  <c r="K833" i="2"/>
  <c r="N833" i="2" s="1"/>
  <c r="T833" i="2"/>
  <c r="K834" i="2"/>
  <c r="K835" i="2" s="1"/>
  <c r="L834" i="2"/>
  <c r="L835" i="2" s="1"/>
  <c r="M834" i="2"/>
  <c r="O835" i="2"/>
  <c r="Q835" i="2"/>
  <c r="O836" i="2"/>
  <c r="Q836" i="2"/>
  <c r="R836" i="2"/>
  <c r="T838" i="2"/>
  <c r="K839" i="2"/>
  <c r="M839" i="2"/>
  <c r="L839" i="2" s="1"/>
  <c r="L840" i="2" s="1"/>
  <c r="K840" i="2"/>
  <c r="K841" i="2" s="1"/>
  <c r="O840" i="2"/>
  <c r="Q840" i="2"/>
  <c r="O841" i="2"/>
  <c r="Q841" i="2"/>
  <c r="R841" i="2"/>
  <c r="T843" i="2"/>
  <c r="G846" i="2"/>
  <c r="G847" i="2" s="1"/>
  <c r="G848" i="2" s="1"/>
  <c r="G849" i="2" s="1"/>
  <c r="G850" i="2" s="1"/>
  <c r="G851" i="2" s="1"/>
  <c r="G852" i="2" s="1"/>
  <c r="G853" i="2" s="1"/>
  <c r="H846" i="2"/>
  <c r="I846" i="2"/>
  <c r="J846" i="2"/>
  <c r="D846" i="2" s="1"/>
  <c r="D847" i="2" s="1"/>
  <c r="D848" i="2" s="1"/>
  <c r="K847" i="2"/>
  <c r="K848" i="2" s="1"/>
  <c r="L847" i="2"/>
  <c r="L848" i="2" s="1"/>
  <c r="M847" i="2"/>
  <c r="O848" i="2"/>
  <c r="Q848" i="2"/>
  <c r="O849" i="2"/>
  <c r="Q849" i="2"/>
  <c r="O850" i="2"/>
  <c r="Q850" i="2"/>
  <c r="O851" i="2"/>
  <c r="Q851" i="2"/>
  <c r="O852" i="2"/>
  <c r="Q852" i="2"/>
  <c r="O853" i="2"/>
  <c r="Q853" i="2"/>
  <c r="R853" i="2"/>
  <c r="T855" i="2"/>
  <c r="K856" i="2"/>
  <c r="M856" i="2"/>
  <c r="L856" i="2" s="1"/>
  <c r="L857" i="2" s="1"/>
  <c r="L858" i="2" s="1"/>
  <c r="L859" i="2" s="1"/>
  <c r="L860" i="2" s="1"/>
  <c r="L861" i="2" s="1"/>
  <c r="K857" i="2"/>
  <c r="K863" i="2" s="1"/>
  <c r="K864" i="2" s="1"/>
  <c r="N864" i="2" s="1"/>
  <c r="O857" i="2"/>
  <c r="Q857" i="2"/>
  <c r="O858" i="2"/>
  <c r="Q858" i="2"/>
  <c r="O859" i="2"/>
  <c r="Q859" i="2"/>
  <c r="O860" i="2"/>
  <c r="Q860" i="2"/>
  <c r="O861" i="2"/>
  <c r="Q861" i="2"/>
  <c r="L862" i="2"/>
  <c r="O862" i="2"/>
  <c r="Q862" i="2"/>
  <c r="R862" i="2"/>
  <c r="L863" i="2"/>
  <c r="L864" i="2" s="1"/>
  <c r="M864" i="2" s="1"/>
  <c r="T864" i="2"/>
  <c r="T912" i="2" s="1"/>
  <c r="K865" i="2"/>
  <c r="K866" i="2" s="1"/>
  <c r="L865" i="2"/>
  <c r="L866" i="2" s="1"/>
  <c r="M865" i="2"/>
  <c r="O866" i="2"/>
  <c r="Q866" i="2"/>
  <c r="O867" i="2"/>
  <c r="Q867" i="2"/>
  <c r="O868" i="2"/>
  <c r="Q868" i="2"/>
  <c r="O869" i="2"/>
  <c r="Q869" i="2"/>
  <c r="O870" i="2"/>
  <c r="Q870" i="2"/>
  <c r="O871" i="2"/>
  <c r="Q871" i="2"/>
  <c r="R871" i="2"/>
  <c r="T873" i="2"/>
  <c r="K874" i="2"/>
  <c r="M874" i="2"/>
  <c r="L874" i="2" s="1"/>
  <c r="L875" i="2" s="1"/>
  <c r="L881" i="2" s="1"/>
  <c r="L882" i="2" s="1"/>
  <c r="M882" i="2" s="1"/>
  <c r="K875" i="2"/>
  <c r="O875" i="2"/>
  <c r="Q875" i="2"/>
  <c r="O876" i="2"/>
  <c r="Q876" i="2"/>
  <c r="O877" i="2"/>
  <c r="Q877" i="2"/>
  <c r="O878" i="2"/>
  <c r="Q878" i="2"/>
  <c r="O879" i="2"/>
  <c r="Q879" i="2"/>
  <c r="O880" i="2"/>
  <c r="Q880" i="2"/>
  <c r="R880" i="2"/>
  <c r="T882" i="2"/>
  <c r="K883" i="2"/>
  <c r="K884" i="2" s="1"/>
  <c r="L883" i="2"/>
  <c r="L884" i="2" s="1"/>
  <c r="M883" i="2"/>
  <c r="O884" i="2"/>
  <c r="Q884" i="2"/>
  <c r="O885" i="2"/>
  <c r="Q885" i="2"/>
  <c r="O886" i="2"/>
  <c r="Q886" i="2"/>
  <c r="O887" i="2"/>
  <c r="Q887" i="2"/>
  <c r="O888" i="2"/>
  <c r="Q888" i="2"/>
  <c r="O889" i="2"/>
  <c r="Q889" i="2"/>
  <c r="R889" i="2"/>
  <c r="T891" i="2"/>
  <c r="K892" i="2"/>
  <c r="M892" i="2"/>
  <c r="L892" i="2" s="1"/>
  <c r="L893" i="2" s="1"/>
  <c r="L894" i="2" s="1"/>
  <c r="L895" i="2" s="1"/>
  <c r="L896" i="2" s="1"/>
  <c r="L897" i="2" s="1"/>
  <c r="K893" i="2"/>
  <c r="K899" i="2" s="1"/>
  <c r="K900" i="2" s="1"/>
  <c r="N900" i="2" s="1"/>
  <c r="O893" i="2"/>
  <c r="Q893" i="2"/>
  <c r="O894" i="2"/>
  <c r="Q894" i="2"/>
  <c r="O895" i="2"/>
  <c r="Q895" i="2"/>
  <c r="O896" i="2"/>
  <c r="Q896" i="2"/>
  <c r="O897" i="2"/>
  <c r="Q897" i="2"/>
  <c r="L898" i="2"/>
  <c r="O898" i="2"/>
  <c r="Q898" i="2"/>
  <c r="R898" i="2"/>
  <c r="L899" i="2"/>
  <c r="L900" i="2" s="1"/>
  <c r="M900" i="2" s="1"/>
  <c r="T900" i="2"/>
  <c r="K901" i="2"/>
  <c r="K902" i="2" s="1"/>
  <c r="L901" i="2"/>
  <c r="L902" i="2" s="1"/>
  <c r="M901" i="2"/>
  <c r="O902" i="2"/>
  <c r="Q902" i="2"/>
  <c r="O903" i="2"/>
  <c r="Q903" i="2"/>
  <c r="R903" i="2"/>
  <c r="T905" i="2"/>
  <c r="K906" i="2"/>
  <c r="M906" i="2"/>
  <c r="L906" i="2" s="1"/>
  <c r="L907" i="2" s="1"/>
  <c r="K907" i="2"/>
  <c r="K908" i="2" s="1"/>
  <c r="O907" i="2"/>
  <c r="Q907" i="2"/>
  <c r="O908" i="2"/>
  <c r="Q908" i="2"/>
  <c r="R908" i="2"/>
  <c r="T910" i="2"/>
  <c r="F914" i="2"/>
  <c r="D915" i="2"/>
  <c r="E915" i="2"/>
  <c r="E916" i="2" s="1"/>
  <c r="E917" i="2" s="1"/>
  <c r="E918" i="2" s="1"/>
  <c r="F915" i="2"/>
  <c r="G916" i="2"/>
  <c r="G917" i="2" s="1"/>
  <c r="G918" i="2" s="1"/>
  <c r="H916" i="2"/>
  <c r="I916" i="2"/>
  <c r="J916" i="2"/>
  <c r="D916" i="2" s="1"/>
  <c r="D917" i="2" s="1"/>
  <c r="D918" i="2" s="1"/>
  <c r="K917" i="2"/>
  <c r="L917" i="2"/>
  <c r="L918" i="2" s="1"/>
  <c r="M917" i="2"/>
  <c r="K918" i="2"/>
  <c r="O918" i="2"/>
  <c r="Q918" i="2"/>
  <c r="K919" i="2"/>
  <c r="K920" i="2" s="1"/>
  <c r="K921" i="2" s="1"/>
  <c r="K922" i="2" s="1"/>
  <c r="O919" i="2"/>
  <c r="Q919" i="2"/>
  <c r="O920" i="2"/>
  <c r="Q920" i="2"/>
  <c r="O921" i="2"/>
  <c r="Q921" i="2"/>
  <c r="O922" i="2"/>
  <c r="Q922" i="2"/>
  <c r="K923" i="2"/>
  <c r="O923" i="2"/>
  <c r="Q923" i="2"/>
  <c r="R923" i="2"/>
  <c r="K924" i="2"/>
  <c r="K925" i="2" s="1"/>
  <c r="N925" i="2" s="1"/>
  <c r="T925" i="2"/>
  <c r="K926" i="2"/>
  <c r="K927" i="2" s="1"/>
  <c r="L926" i="2"/>
  <c r="M926" i="2"/>
  <c r="L927" i="2"/>
  <c r="O927" i="2"/>
  <c r="Q927" i="2"/>
  <c r="O928" i="2"/>
  <c r="Q928" i="2"/>
  <c r="O929" i="2"/>
  <c r="Q929" i="2"/>
  <c r="O930" i="2"/>
  <c r="Q930" i="2"/>
  <c r="O931" i="2"/>
  <c r="Q931" i="2"/>
  <c r="O932" i="2"/>
  <c r="Q932" i="2"/>
  <c r="R932" i="2"/>
  <c r="T934" i="2"/>
  <c r="K935" i="2"/>
  <c r="K936" i="2" s="1"/>
  <c r="K942" i="2" s="1"/>
  <c r="K943" i="2" s="1"/>
  <c r="N943" i="2" s="1"/>
  <c r="L935" i="2"/>
  <c r="L936" i="2" s="1"/>
  <c r="M935" i="2"/>
  <c r="O936" i="2"/>
  <c r="Q936" i="2"/>
  <c r="K937" i="2"/>
  <c r="K938" i="2" s="1"/>
  <c r="K939" i="2" s="1"/>
  <c r="K940" i="2" s="1"/>
  <c r="K941" i="2" s="1"/>
  <c r="O937" i="2"/>
  <c r="Q937" i="2"/>
  <c r="O938" i="2"/>
  <c r="Q938" i="2"/>
  <c r="O939" i="2"/>
  <c r="Q939" i="2"/>
  <c r="O940" i="2"/>
  <c r="Q940" i="2"/>
  <c r="O941" i="2"/>
  <c r="Q941" i="2"/>
  <c r="R941" i="2"/>
  <c r="T943" i="2"/>
  <c r="T974" i="2" s="1"/>
  <c r="K944" i="2"/>
  <c r="K945" i="2" s="1"/>
  <c r="M944" i="2"/>
  <c r="L944" i="2" s="1"/>
  <c r="L945" i="2"/>
  <c r="O945" i="2"/>
  <c r="Q945" i="2"/>
  <c r="O946" i="2"/>
  <c r="Q946" i="2"/>
  <c r="O947" i="2"/>
  <c r="Q947" i="2"/>
  <c r="R947" i="2"/>
  <c r="O948" i="2"/>
  <c r="Q948" i="2"/>
  <c r="O949" i="2"/>
  <c r="Q949" i="2"/>
  <c r="O950" i="2"/>
  <c r="Q950" i="2"/>
  <c r="O951" i="2"/>
  <c r="Q951" i="2"/>
  <c r="R951" i="2"/>
  <c r="T953" i="2"/>
  <c r="K954" i="2"/>
  <c r="L954" i="2"/>
  <c r="L955" i="2" s="1"/>
  <c r="L962" i="2" s="1"/>
  <c r="L963" i="2" s="1"/>
  <c r="M963" i="2" s="1"/>
  <c r="M954" i="2"/>
  <c r="K955" i="2"/>
  <c r="O955" i="2"/>
  <c r="Q955" i="2"/>
  <c r="K956" i="2"/>
  <c r="K957" i="2" s="1"/>
  <c r="K958" i="2" s="1"/>
  <c r="K959" i="2" s="1"/>
  <c r="L956" i="2"/>
  <c r="L957" i="2" s="1"/>
  <c r="L958" i="2" s="1"/>
  <c r="L959" i="2" s="1"/>
  <c r="L960" i="2" s="1"/>
  <c r="L961" i="2" s="1"/>
  <c r="O956" i="2"/>
  <c r="Q956" i="2"/>
  <c r="O957" i="2"/>
  <c r="Q957" i="2"/>
  <c r="O958" i="2"/>
  <c r="Q958" i="2"/>
  <c r="O959" i="2"/>
  <c r="Q959" i="2"/>
  <c r="K960" i="2"/>
  <c r="K961" i="2" s="1"/>
  <c r="O960" i="2"/>
  <c r="Q960" i="2"/>
  <c r="R960" i="2"/>
  <c r="O961" i="2"/>
  <c r="Q961" i="2"/>
  <c r="R961" i="2"/>
  <c r="K962" i="2"/>
  <c r="K963" i="2" s="1"/>
  <c r="N963" i="2" s="1"/>
  <c r="T963" i="2"/>
  <c r="K964" i="2"/>
  <c r="K965" i="2" s="1"/>
  <c r="L964" i="2"/>
  <c r="M964" i="2"/>
  <c r="L965" i="2"/>
  <c r="L971" i="2" s="1"/>
  <c r="L972" i="2" s="1"/>
  <c r="M972" i="2" s="1"/>
  <c r="O965" i="2"/>
  <c r="Q965" i="2"/>
  <c r="O966" i="2"/>
  <c r="Q966" i="2"/>
  <c r="O967" i="2"/>
  <c r="Q967" i="2"/>
  <c r="O968" i="2"/>
  <c r="Q968" i="2"/>
  <c r="O969" i="2"/>
  <c r="Q969" i="2"/>
  <c r="O970" i="2"/>
  <c r="Q970" i="2"/>
  <c r="R970" i="2"/>
  <c r="T972" i="2"/>
  <c r="H975" i="2"/>
  <c r="G975" i="2" s="1"/>
  <c r="G976" i="2" s="1"/>
  <c r="G977" i="2" s="1"/>
  <c r="G978" i="2" s="1"/>
  <c r="G979" i="2" s="1"/>
  <c r="G980" i="2" s="1"/>
  <c r="G981" i="2" s="1"/>
  <c r="G982" i="2" s="1"/>
  <c r="I975" i="2"/>
  <c r="J975" i="2"/>
  <c r="D975" i="2" s="1"/>
  <c r="D976" i="2"/>
  <c r="D977" i="2" s="1"/>
  <c r="K976" i="2"/>
  <c r="K977" i="2" s="1"/>
  <c r="L976" i="2"/>
  <c r="L977" i="2" s="1"/>
  <c r="L978" i="2" s="1"/>
  <c r="M976" i="2"/>
  <c r="O977" i="2"/>
  <c r="Q977" i="2"/>
  <c r="K978" i="2"/>
  <c r="K979" i="2" s="1"/>
  <c r="K980" i="2" s="1"/>
  <c r="K981" i="2" s="1"/>
  <c r="K982" i="2" s="1"/>
  <c r="O978" i="2"/>
  <c r="Q978" i="2"/>
  <c r="L979" i="2"/>
  <c r="L980" i="2" s="1"/>
  <c r="L981" i="2" s="1"/>
  <c r="L982" i="2" s="1"/>
  <c r="O979" i="2"/>
  <c r="Q979" i="2"/>
  <c r="O980" i="2"/>
  <c r="Q980" i="2"/>
  <c r="O981" i="2"/>
  <c r="Q981" i="2"/>
  <c r="O982" i="2"/>
  <c r="Q982" i="2"/>
  <c r="R982" i="2"/>
  <c r="G983" i="2"/>
  <c r="G984" i="2" s="1"/>
  <c r="K983" i="2"/>
  <c r="K984" i="2" s="1"/>
  <c r="L983" i="2"/>
  <c r="L984" i="2" s="1"/>
  <c r="M984" i="2" s="1"/>
  <c r="N984" i="2"/>
  <c r="T984" i="2"/>
  <c r="K985" i="2"/>
  <c r="K986" i="2" s="1"/>
  <c r="M985" i="2"/>
  <c r="L985" i="2" s="1"/>
  <c r="L986" i="2" s="1"/>
  <c r="O986" i="2"/>
  <c r="Q986" i="2"/>
  <c r="O987" i="2"/>
  <c r="Q987" i="2"/>
  <c r="O988" i="2"/>
  <c r="Q988" i="2"/>
  <c r="O989" i="2"/>
  <c r="Q989" i="2"/>
  <c r="O990" i="2"/>
  <c r="Q990" i="2"/>
  <c r="O991" i="2"/>
  <c r="Q991" i="2"/>
  <c r="R991" i="2"/>
  <c r="T993" i="2"/>
  <c r="K994" i="2"/>
  <c r="L994" i="2"/>
  <c r="L995" i="2" s="1"/>
  <c r="L1001" i="2" s="1"/>
  <c r="L1002" i="2" s="1"/>
  <c r="M1002" i="2" s="1"/>
  <c r="M994" i="2"/>
  <c r="K995" i="2"/>
  <c r="K996" i="2" s="1"/>
  <c r="K997" i="2" s="1"/>
  <c r="K998" i="2" s="1"/>
  <c r="K999" i="2" s="1"/>
  <c r="K1000" i="2" s="1"/>
  <c r="O995" i="2"/>
  <c r="Q995" i="2"/>
  <c r="O996" i="2"/>
  <c r="Q996" i="2"/>
  <c r="O997" i="2"/>
  <c r="Q997" i="2"/>
  <c r="O998" i="2"/>
  <c r="Q998" i="2"/>
  <c r="O999" i="2"/>
  <c r="Q999" i="2"/>
  <c r="O1000" i="2"/>
  <c r="Q1000" i="2"/>
  <c r="R1000" i="2"/>
  <c r="K1001" i="2"/>
  <c r="K1002" i="2" s="1"/>
  <c r="N1002" i="2" s="1"/>
  <c r="T1002" i="2"/>
  <c r="K1003" i="2"/>
  <c r="K1004" i="2" s="1"/>
  <c r="L1003" i="2"/>
  <c r="M1003" i="2"/>
  <c r="L1004" i="2"/>
  <c r="L1010" i="2" s="1"/>
  <c r="O1004" i="2"/>
  <c r="Q1004" i="2"/>
  <c r="L1005" i="2"/>
  <c r="L1006" i="2" s="1"/>
  <c r="L1007" i="2" s="1"/>
  <c r="L1008" i="2" s="1"/>
  <c r="L1009" i="2" s="1"/>
  <c r="O1005" i="2"/>
  <c r="Q1005" i="2"/>
  <c r="O1006" i="2"/>
  <c r="Q1006" i="2"/>
  <c r="O1007" i="2"/>
  <c r="Q1007" i="2"/>
  <c r="O1008" i="2"/>
  <c r="Q1008" i="2"/>
  <c r="O1009" i="2"/>
  <c r="Q1009" i="2"/>
  <c r="R1009" i="2"/>
  <c r="L1011" i="2"/>
  <c r="M1011" i="2"/>
  <c r="T1011" i="2"/>
  <c r="K1012" i="2"/>
  <c r="M1012" i="2"/>
  <c r="L1012" i="2" s="1"/>
  <c r="L1013" i="2" s="1"/>
  <c r="L1019" i="2" s="1"/>
  <c r="L1020" i="2" s="1"/>
  <c r="M1020" i="2" s="1"/>
  <c r="K1013" i="2"/>
  <c r="O1013" i="2"/>
  <c r="Q1013" i="2"/>
  <c r="L1014" i="2"/>
  <c r="L1015" i="2" s="1"/>
  <c r="L1016" i="2" s="1"/>
  <c r="L1017" i="2" s="1"/>
  <c r="L1018" i="2" s="1"/>
  <c r="O1014" i="2"/>
  <c r="Q1014" i="2"/>
  <c r="O1015" i="2"/>
  <c r="Q1015" i="2"/>
  <c r="O1016" i="2"/>
  <c r="Q1016" i="2"/>
  <c r="O1017" i="2"/>
  <c r="Q1017" i="2"/>
  <c r="O1018" i="2"/>
  <c r="Q1018" i="2"/>
  <c r="R1018" i="2"/>
  <c r="T1020" i="2"/>
  <c r="K1021" i="2"/>
  <c r="K1022" i="2" s="1"/>
  <c r="L1021" i="2"/>
  <c r="M1021" i="2"/>
  <c r="L1022" i="2"/>
  <c r="L1028" i="2" s="1"/>
  <c r="L1029" i="2" s="1"/>
  <c r="O1022" i="2"/>
  <c r="Q1022" i="2"/>
  <c r="L1023" i="2"/>
  <c r="L1024" i="2" s="1"/>
  <c r="L1025" i="2" s="1"/>
  <c r="L1026" i="2" s="1"/>
  <c r="L1027" i="2" s="1"/>
  <c r="O1023" i="2"/>
  <c r="Q1023" i="2"/>
  <c r="O1024" i="2"/>
  <c r="Q1024" i="2"/>
  <c r="O1025" i="2"/>
  <c r="Q1025" i="2"/>
  <c r="O1026" i="2"/>
  <c r="Q1026" i="2"/>
  <c r="O1027" i="2"/>
  <c r="Q1027" i="2"/>
  <c r="R1027" i="2"/>
  <c r="M1029" i="2"/>
  <c r="T1029" i="2"/>
  <c r="K1030" i="2"/>
  <c r="K1031" i="2" s="1"/>
  <c r="M1030" i="2"/>
  <c r="L1030" i="2" s="1"/>
  <c r="L1031" i="2" s="1"/>
  <c r="O1031" i="2"/>
  <c r="Q1031" i="2"/>
  <c r="O1032" i="2"/>
  <c r="Q1032" i="2"/>
  <c r="R1032" i="2"/>
  <c r="T1034" i="2"/>
  <c r="K1035" i="2"/>
  <c r="K1036" i="2" s="1"/>
  <c r="L1035" i="2"/>
  <c r="M1035" i="2"/>
  <c r="L1036" i="2"/>
  <c r="L1037" i="2" s="1"/>
  <c r="O1036" i="2"/>
  <c r="Q1036" i="2"/>
  <c r="O1037" i="2"/>
  <c r="Q1037" i="2"/>
  <c r="R1037" i="2"/>
  <c r="T1039" i="2"/>
  <c r="T1041" i="2"/>
  <c r="H1042" i="2"/>
  <c r="G1042" i="2" s="1"/>
  <c r="G1043" i="2" s="1"/>
  <c r="G1044" i="2" s="1"/>
  <c r="I1042" i="2"/>
  <c r="J1042" i="2"/>
  <c r="D1042" i="2" s="1"/>
  <c r="D1043" i="2" s="1"/>
  <c r="D1044" i="2" s="1"/>
  <c r="D1045" i="2" s="1"/>
  <c r="D1046" i="2" s="1"/>
  <c r="D1047" i="2" s="1"/>
  <c r="D1048" i="2" s="1"/>
  <c r="K1043" i="2"/>
  <c r="M1043" i="2"/>
  <c r="L1043" i="2" s="1"/>
  <c r="L1044" i="2" s="1"/>
  <c r="L1050" i="2" s="1"/>
  <c r="L1051" i="2" s="1"/>
  <c r="M1051" i="2" s="1"/>
  <c r="K1044" i="2"/>
  <c r="O1044" i="2"/>
  <c r="Q1044" i="2"/>
  <c r="L1045" i="2"/>
  <c r="L1046" i="2" s="1"/>
  <c r="L1047" i="2" s="1"/>
  <c r="L1048" i="2" s="1"/>
  <c r="L1049" i="2" s="1"/>
  <c r="O1045" i="2"/>
  <c r="Q1045" i="2"/>
  <c r="O1046" i="2"/>
  <c r="Q1046" i="2"/>
  <c r="O1047" i="2"/>
  <c r="Q1047" i="2"/>
  <c r="O1048" i="2"/>
  <c r="Q1048" i="2"/>
  <c r="D1049" i="2"/>
  <c r="O1049" i="2"/>
  <c r="Q1049" i="2"/>
  <c r="R1049" i="2"/>
  <c r="D1050" i="2"/>
  <c r="D1051" i="2" s="1"/>
  <c r="T1051" i="2"/>
  <c r="K1052" i="2"/>
  <c r="K1053" i="2" s="1"/>
  <c r="L1052" i="2"/>
  <c r="M1052" i="2"/>
  <c r="L1053" i="2"/>
  <c r="L1059" i="2" s="1"/>
  <c r="L1060" i="2" s="1"/>
  <c r="O1053" i="2"/>
  <c r="Q1053" i="2"/>
  <c r="O1054" i="2"/>
  <c r="Q1054" i="2"/>
  <c r="O1055" i="2"/>
  <c r="Q1055" i="2"/>
  <c r="O1056" i="2"/>
  <c r="Q1056" i="2"/>
  <c r="O1057" i="2"/>
  <c r="Q1057" i="2"/>
  <c r="O1058" i="2"/>
  <c r="Q1058" i="2"/>
  <c r="R1058" i="2"/>
  <c r="M1060" i="2"/>
  <c r="T1060" i="2"/>
  <c r="K1061" i="2"/>
  <c r="K1062" i="2" s="1"/>
  <c r="M1061" i="2"/>
  <c r="L1061" i="2" s="1"/>
  <c r="L1062" i="2" s="1"/>
  <c r="L1063" i="2" s="1"/>
  <c r="L1064" i="2" s="1"/>
  <c r="L1065" i="2" s="1"/>
  <c r="L1066" i="2" s="1"/>
  <c r="O1062" i="2"/>
  <c r="Q1062" i="2"/>
  <c r="O1063" i="2"/>
  <c r="Q1063" i="2"/>
  <c r="O1064" i="2"/>
  <c r="Q1064" i="2"/>
  <c r="O1065" i="2"/>
  <c r="Q1065" i="2"/>
  <c r="O1066" i="2"/>
  <c r="Q1066" i="2"/>
  <c r="L1067" i="2"/>
  <c r="O1067" i="2"/>
  <c r="Q1067" i="2"/>
  <c r="R1067" i="2"/>
  <c r="L1068" i="2"/>
  <c r="L1069" i="2" s="1"/>
  <c r="M1069" i="2" s="1"/>
  <c r="T1069" i="2"/>
  <c r="T1099" i="2" s="1"/>
  <c r="K1070" i="2"/>
  <c r="K1071" i="2" s="1"/>
  <c r="M1070" i="2"/>
  <c r="L1070" i="2" s="1"/>
  <c r="L1071" i="2" s="1"/>
  <c r="O1071" i="2"/>
  <c r="Q1071" i="2"/>
  <c r="O1072" i="2"/>
  <c r="Q1072" i="2"/>
  <c r="O1073" i="2"/>
  <c r="Q1073" i="2"/>
  <c r="R1073" i="2"/>
  <c r="O1074" i="2"/>
  <c r="Q1074" i="2"/>
  <c r="O1075" i="2"/>
  <c r="Q1075" i="2"/>
  <c r="O1076" i="2"/>
  <c r="Q1076" i="2"/>
  <c r="O1077" i="2"/>
  <c r="Q1077" i="2"/>
  <c r="R1077" i="2"/>
  <c r="T1079" i="2"/>
  <c r="K1080" i="2"/>
  <c r="M1080" i="2"/>
  <c r="L1080" i="2" s="1"/>
  <c r="L1081" i="2" s="1"/>
  <c r="L1087" i="2" s="1"/>
  <c r="L1088" i="2" s="1"/>
  <c r="M1088" i="2" s="1"/>
  <c r="K1081" i="2"/>
  <c r="O1081" i="2"/>
  <c r="Q1081" i="2"/>
  <c r="L1082" i="2"/>
  <c r="L1083" i="2" s="1"/>
  <c r="L1084" i="2" s="1"/>
  <c r="L1085" i="2" s="1"/>
  <c r="L1086" i="2" s="1"/>
  <c r="O1082" i="2"/>
  <c r="Q1082" i="2"/>
  <c r="O1083" i="2"/>
  <c r="Q1083" i="2"/>
  <c r="O1084" i="2"/>
  <c r="Q1084" i="2"/>
  <c r="O1085" i="2"/>
  <c r="Q1085" i="2"/>
  <c r="O1086" i="2"/>
  <c r="Q1086" i="2"/>
  <c r="R1086" i="2"/>
  <c r="T1088" i="2"/>
  <c r="K1089" i="2"/>
  <c r="K1090" i="2" s="1"/>
  <c r="L1089" i="2"/>
  <c r="M1089" i="2"/>
  <c r="L1090" i="2"/>
  <c r="L1096" i="2" s="1"/>
  <c r="L1097" i="2" s="1"/>
  <c r="M1097" i="2" s="1"/>
  <c r="O1090" i="2"/>
  <c r="Q1090" i="2"/>
  <c r="L1091" i="2"/>
  <c r="L1092" i="2" s="1"/>
  <c r="L1093" i="2" s="1"/>
  <c r="L1094" i="2" s="1"/>
  <c r="L1095" i="2" s="1"/>
  <c r="O1091" i="2"/>
  <c r="Q1091" i="2"/>
  <c r="O1092" i="2"/>
  <c r="Q1092" i="2"/>
  <c r="O1093" i="2"/>
  <c r="Q1093" i="2"/>
  <c r="O1094" i="2"/>
  <c r="Q1094" i="2"/>
  <c r="O1095" i="2"/>
  <c r="Q1095" i="2"/>
  <c r="R1095" i="2"/>
  <c r="T1097" i="2"/>
  <c r="D1100" i="2"/>
  <c r="D1101" i="2" s="1"/>
  <c r="D1102" i="2" s="1"/>
  <c r="D1108" i="2" s="1"/>
  <c r="D1109" i="2" s="1"/>
  <c r="H1100" i="2"/>
  <c r="G1100" i="2" s="1"/>
  <c r="G1101" i="2" s="1"/>
  <c r="G1102" i="2" s="1"/>
  <c r="I1100" i="2"/>
  <c r="J1100" i="2"/>
  <c r="K1101" i="2"/>
  <c r="K1102" i="2" s="1"/>
  <c r="M1101" i="2"/>
  <c r="L1101" i="2" s="1"/>
  <c r="L1102" i="2" s="1"/>
  <c r="L1103" i="2" s="1"/>
  <c r="L1104" i="2" s="1"/>
  <c r="L1105" i="2" s="1"/>
  <c r="L1106" i="2" s="1"/>
  <c r="L1107" i="2" s="1"/>
  <c r="O1102" i="2"/>
  <c r="Q1102" i="2"/>
  <c r="D1103" i="2"/>
  <c r="D1104" i="2" s="1"/>
  <c r="D1105" i="2" s="1"/>
  <c r="D1106" i="2" s="1"/>
  <c r="D1107" i="2" s="1"/>
  <c r="O1103" i="2"/>
  <c r="Q1103" i="2"/>
  <c r="O1104" i="2"/>
  <c r="Q1104" i="2"/>
  <c r="O1105" i="2"/>
  <c r="Q1105" i="2"/>
  <c r="O1106" i="2"/>
  <c r="Q1106" i="2"/>
  <c r="O1107" i="2"/>
  <c r="Q1107" i="2"/>
  <c r="R1107" i="2"/>
  <c r="L1108" i="2"/>
  <c r="L1109" i="2" s="1"/>
  <c r="M1109" i="2" s="1"/>
  <c r="T1109" i="2"/>
  <c r="K1110" i="2"/>
  <c r="M1110" i="2"/>
  <c r="L1110" i="2" s="1"/>
  <c r="L1111" i="2" s="1"/>
  <c r="L1112" i="2" s="1"/>
  <c r="L1113" i="2" s="1"/>
  <c r="K1111" i="2"/>
  <c r="O1111" i="2"/>
  <c r="Q1111" i="2"/>
  <c r="K1112" i="2"/>
  <c r="O1112" i="2"/>
  <c r="Q1112" i="2"/>
  <c r="K1113" i="2"/>
  <c r="K1114" i="2" s="1"/>
  <c r="O1113" i="2"/>
  <c r="Q1113" i="2"/>
  <c r="L1114" i="2"/>
  <c r="L1115" i="2" s="1"/>
  <c r="L1116" i="2" s="1"/>
  <c r="O1114" i="2"/>
  <c r="Q1114" i="2"/>
  <c r="K1115" i="2"/>
  <c r="K1116" i="2" s="1"/>
  <c r="O1115" i="2"/>
  <c r="Q1115" i="2"/>
  <c r="O1116" i="2"/>
  <c r="Q1116" i="2"/>
  <c r="R1116" i="2"/>
  <c r="K1117" i="2"/>
  <c r="K1118" i="2" s="1"/>
  <c r="N1118" i="2" s="1"/>
  <c r="L1117" i="2"/>
  <c r="L1118" i="2" s="1"/>
  <c r="M1118" i="2" s="1"/>
  <c r="T1118" i="2"/>
  <c r="K1119" i="2"/>
  <c r="L1119" i="2"/>
  <c r="M1119" i="2"/>
  <c r="K1120" i="2"/>
  <c r="K1126" i="2" s="1"/>
  <c r="L1120" i="2"/>
  <c r="O1120" i="2"/>
  <c r="Q1120" i="2"/>
  <c r="L1121" i="2"/>
  <c r="O1121" i="2"/>
  <c r="Q1121" i="2"/>
  <c r="L1122" i="2"/>
  <c r="L1123" i="2" s="1"/>
  <c r="L1124" i="2" s="1"/>
  <c r="L1125" i="2" s="1"/>
  <c r="O1122" i="2"/>
  <c r="Q1122" i="2"/>
  <c r="O1123" i="2"/>
  <c r="Q1123" i="2"/>
  <c r="O1124" i="2"/>
  <c r="Q1124" i="2"/>
  <c r="O1125" i="2"/>
  <c r="Q1125" i="2"/>
  <c r="R1125" i="2"/>
  <c r="L1126" i="2"/>
  <c r="K1127" i="2"/>
  <c r="N1127" i="2" s="1"/>
  <c r="L1127" i="2"/>
  <c r="M1127" i="2" s="1"/>
  <c r="T1127" i="2"/>
  <c r="K1128" i="2"/>
  <c r="L1128" i="2"/>
  <c r="M1128" i="2"/>
  <c r="K1129" i="2"/>
  <c r="L1129" i="2"/>
  <c r="L1135" i="2" s="1"/>
  <c r="O1129" i="2"/>
  <c r="Q1129" i="2"/>
  <c r="O1130" i="2"/>
  <c r="Q1130" i="2"/>
  <c r="O1131" i="2"/>
  <c r="Q1131" i="2"/>
  <c r="O1132" i="2"/>
  <c r="Q1132" i="2"/>
  <c r="O1133" i="2"/>
  <c r="Q1133" i="2"/>
  <c r="O1134" i="2"/>
  <c r="Q1134" i="2"/>
  <c r="R1134" i="2"/>
  <c r="L1136" i="2"/>
  <c r="M1136" i="2" s="1"/>
  <c r="T1136" i="2"/>
  <c r="K1137" i="2"/>
  <c r="K1138" i="2" s="1"/>
  <c r="K1139" i="2" s="1"/>
  <c r="K1140" i="2" s="1"/>
  <c r="K1141" i="2" s="1"/>
  <c r="K1142" i="2" s="1"/>
  <c r="K1143" i="2" s="1"/>
  <c r="L1137" i="2"/>
  <c r="L1138" i="2" s="1"/>
  <c r="M1137" i="2"/>
  <c r="O1138" i="2"/>
  <c r="Q1138" i="2"/>
  <c r="O1139" i="2"/>
  <c r="Q1139" i="2"/>
  <c r="O1140" i="2"/>
  <c r="Q1140" i="2"/>
  <c r="O1141" i="2"/>
  <c r="Q1141" i="2"/>
  <c r="O1142" i="2"/>
  <c r="Q1142" i="2"/>
  <c r="O1143" i="2"/>
  <c r="Q1143" i="2"/>
  <c r="R1143" i="2"/>
  <c r="K1144" i="2"/>
  <c r="K1145" i="2" s="1"/>
  <c r="N1145" i="2" s="1"/>
  <c r="T1145" i="2"/>
  <c r="K1146" i="2"/>
  <c r="M1146" i="2"/>
  <c r="L1146" i="2" s="1"/>
  <c r="L1147" i="2" s="1"/>
  <c r="K1147" i="2"/>
  <c r="O1147" i="2"/>
  <c r="Q1147" i="2"/>
  <c r="K1148" i="2"/>
  <c r="O1148" i="2"/>
  <c r="Q1148" i="2"/>
  <c r="K1149" i="2"/>
  <c r="K1150" i="2" s="1"/>
  <c r="K1151" i="2" s="1"/>
  <c r="K1152" i="2" s="1"/>
  <c r="O1149" i="2"/>
  <c r="Q1149" i="2"/>
  <c r="O1150" i="2"/>
  <c r="Q1150" i="2"/>
  <c r="O1151" i="2"/>
  <c r="Q1151" i="2"/>
  <c r="O1152" i="2"/>
  <c r="Q1152" i="2"/>
  <c r="R1152" i="2"/>
  <c r="K1153" i="2"/>
  <c r="K1154" i="2" s="1"/>
  <c r="N1154" i="2"/>
  <c r="T1154" i="2"/>
  <c r="K1155" i="2"/>
  <c r="M1155" i="2"/>
  <c r="L1155" i="2" s="1"/>
  <c r="L1156" i="2" s="1"/>
  <c r="L1158" i="2" s="1"/>
  <c r="L1159" i="2" s="1"/>
  <c r="M1159" i="2" s="1"/>
  <c r="K1156" i="2"/>
  <c r="K1158" i="2" s="1"/>
  <c r="K1159" i="2" s="1"/>
  <c r="N1159" i="2" s="1"/>
  <c r="O1156" i="2"/>
  <c r="Q1156" i="2"/>
  <c r="O1157" i="2"/>
  <c r="Q1157" i="2"/>
  <c r="R1157" i="2"/>
  <c r="T1159" i="2"/>
  <c r="K1160" i="2"/>
  <c r="M1160" i="2"/>
  <c r="L1160" i="2" s="1"/>
  <c r="L1161" i="2" s="1"/>
  <c r="K1161" i="2"/>
  <c r="K1162" i="2" s="1"/>
  <c r="O1161" i="2"/>
  <c r="Q1161" i="2"/>
  <c r="O1162" i="2"/>
  <c r="Q1162" i="2"/>
  <c r="R1162" i="2"/>
  <c r="K1163" i="2"/>
  <c r="K1164" i="2"/>
  <c r="N1164" i="2" s="1"/>
  <c r="T1164" i="2"/>
  <c r="D1167" i="2"/>
  <c r="D1168" i="2" s="1"/>
  <c r="D1169" i="2" s="1"/>
  <c r="D1176" i="2" s="1"/>
  <c r="D1177" i="2" s="1"/>
  <c r="G1167" i="2"/>
  <c r="G1168" i="2" s="1"/>
  <c r="G1169" i="2" s="1"/>
  <c r="H1167" i="2"/>
  <c r="I1167" i="2"/>
  <c r="J1167" i="2"/>
  <c r="K1168" i="2"/>
  <c r="K1169" i="2" s="1"/>
  <c r="K1170" i="2" s="1"/>
  <c r="K1171" i="2" s="1"/>
  <c r="K1172" i="2" s="1"/>
  <c r="M1168" i="2"/>
  <c r="L1168" i="2" s="1"/>
  <c r="L1169" i="2" s="1"/>
  <c r="O1169" i="2"/>
  <c r="Q1169" i="2"/>
  <c r="D1170" i="2"/>
  <c r="D1171" i="2" s="1"/>
  <c r="O1170" i="2"/>
  <c r="Q1170" i="2"/>
  <c r="O1171" i="2"/>
  <c r="Q1171" i="2"/>
  <c r="D1172" i="2"/>
  <c r="D1173" i="2" s="1"/>
  <c r="D1174" i="2" s="1"/>
  <c r="D1175" i="2" s="1"/>
  <c r="O1172" i="2"/>
  <c r="Q1172" i="2"/>
  <c r="K1173" i="2"/>
  <c r="K1174" i="2" s="1"/>
  <c r="K1175" i="2" s="1"/>
  <c r="O1173" i="2"/>
  <c r="Q1173" i="2"/>
  <c r="O1174" i="2"/>
  <c r="Q1174" i="2"/>
  <c r="O1175" i="2"/>
  <c r="Q1175" i="2"/>
  <c r="R1175" i="2"/>
  <c r="K1176" i="2"/>
  <c r="K1177" i="2" s="1"/>
  <c r="N1177" i="2" s="1"/>
  <c r="T1177" i="2"/>
  <c r="K1178" i="2"/>
  <c r="M1178" i="2"/>
  <c r="L1178" i="2" s="1"/>
  <c r="L1179" i="2" s="1"/>
  <c r="K1179" i="2"/>
  <c r="K1186" i="2" s="1"/>
  <c r="O1179" i="2"/>
  <c r="Q1179" i="2"/>
  <c r="K1180" i="2"/>
  <c r="O1180" i="2"/>
  <c r="Q1180" i="2"/>
  <c r="K1181" i="2"/>
  <c r="K1182" i="2" s="1"/>
  <c r="K1183" i="2" s="1"/>
  <c r="K1184" i="2" s="1"/>
  <c r="K1185" i="2" s="1"/>
  <c r="O1181" i="2"/>
  <c r="Q1181" i="2"/>
  <c r="O1182" i="2"/>
  <c r="Q1182" i="2"/>
  <c r="O1183" i="2"/>
  <c r="Q1183" i="2"/>
  <c r="O1184" i="2"/>
  <c r="Q1184" i="2"/>
  <c r="O1185" i="2"/>
  <c r="Q1185" i="2"/>
  <c r="R1185" i="2"/>
  <c r="K1187" i="2"/>
  <c r="N1187" i="2" s="1"/>
  <c r="T1187" i="2"/>
  <c r="K1188" i="2"/>
  <c r="L1188" i="2"/>
  <c r="M1188" i="2"/>
  <c r="K1189" i="2"/>
  <c r="L1189" i="2"/>
  <c r="O1189" i="2"/>
  <c r="Q1189" i="2"/>
  <c r="L1190" i="2"/>
  <c r="O1190" i="2"/>
  <c r="Q1190" i="2"/>
  <c r="L1191" i="2"/>
  <c r="L1192" i="2" s="1"/>
  <c r="L1193" i="2" s="1"/>
  <c r="L1194" i="2" s="1"/>
  <c r="L1195" i="2" s="1"/>
  <c r="L1196" i="2" s="1"/>
  <c r="O1191" i="2"/>
  <c r="Q1191" i="2"/>
  <c r="R1191" i="2"/>
  <c r="O1192" i="2"/>
  <c r="Q1192" i="2"/>
  <c r="O1193" i="2"/>
  <c r="Q1193" i="2"/>
  <c r="O1194" i="2"/>
  <c r="Q1194" i="2"/>
  <c r="O1195" i="2"/>
  <c r="Q1195" i="2"/>
  <c r="O1196" i="2"/>
  <c r="Q1196" i="2"/>
  <c r="R1196" i="2"/>
  <c r="L1197" i="2"/>
  <c r="L1198" i="2"/>
  <c r="M1198" i="2" s="1"/>
  <c r="T1198" i="2"/>
  <c r="K1199" i="2"/>
  <c r="K1200" i="2" s="1"/>
  <c r="K1201" i="2" s="1"/>
  <c r="M1199" i="2"/>
  <c r="L1199" i="2" s="1"/>
  <c r="L1200" i="2" s="1"/>
  <c r="O1200" i="2"/>
  <c r="Q1200" i="2"/>
  <c r="O1201" i="2"/>
  <c r="Q1201" i="2"/>
  <c r="K1202" i="2"/>
  <c r="K1203" i="2" s="1"/>
  <c r="K1204" i="2" s="1"/>
  <c r="K1205" i="2" s="1"/>
  <c r="O1202" i="2"/>
  <c r="Q1202" i="2"/>
  <c r="O1203" i="2"/>
  <c r="Q1203" i="2"/>
  <c r="O1204" i="2"/>
  <c r="Q1204" i="2"/>
  <c r="O1205" i="2"/>
  <c r="Q1205" i="2"/>
  <c r="K1206" i="2"/>
  <c r="O1206" i="2"/>
  <c r="Q1206" i="2"/>
  <c r="R1206" i="2"/>
  <c r="K1207" i="2"/>
  <c r="K1208" i="2" s="1"/>
  <c r="N1208" i="2"/>
  <c r="T1208" i="2"/>
  <c r="K1209" i="2"/>
  <c r="L1209" i="2"/>
  <c r="M1209" i="2"/>
  <c r="K1210" i="2"/>
  <c r="K1217" i="2" s="1"/>
  <c r="K1218" i="2" s="1"/>
  <c r="N1218" i="2" s="1"/>
  <c r="L1210" i="2"/>
  <c r="L1211" i="2" s="1"/>
  <c r="L1212" i="2" s="1"/>
  <c r="O1210" i="2"/>
  <c r="Q1210" i="2"/>
  <c r="O1211" i="2"/>
  <c r="Q1211" i="2"/>
  <c r="O1212" i="2"/>
  <c r="Q1212" i="2"/>
  <c r="L1213" i="2"/>
  <c r="L1214" i="2" s="1"/>
  <c r="L1215" i="2" s="1"/>
  <c r="O1213" i="2"/>
  <c r="Q1213" i="2"/>
  <c r="O1214" i="2"/>
  <c r="Q1214" i="2"/>
  <c r="O1215" i="2"/>
  <c r="Q1215" i="2"/>
  <c r="L1216" i="2"/>
  <c r="O1216" i="2"/>
  <c r="Q1216" i="2"/>
  <c r="R1216" i="2"/>
  <c r="L1217" i="2"/>
  <c r="L1218" i="2" s="1"/>
  <c r="M1218" i="2" s="1"/>
  <c r="T1218" i="2"/>
  <c r="K1219" i="2"/>
  <c r="K1220" i="2" s="1"/>
  <c r="K1227" i="2" s="1"/>
  <c r="M1219" i="2"/>
  <c r="L1219" i="2" s="1"/>
  <c r="L1220" i="2" s="1"/>
  <c r="O1220" i="2"/>
  <c r="Q1220" i="2"/>
  <c r="O1221" i="2"/>
  <c r="Q1221" i="2"/>
  <c r="O1222" i="2"/>
  <c r="Q1222" i="2"/>
  <c r="O1223" i="2"/>
  <c r="Q1223" i="2"/>
  <c r="O1224" i="2"/>
  <c r="Q1224" i="2"/>
  <c r="O1225" i="2"/>
  <c r="Q1225" i="2"/>
  <c r="O1226" i="2"/>
  <c r="Q1226" i="2"/>
  <c r="R1226" i="2"/>
  <c r="K1228" i="2"/>
  <c r="N1228" i="2" s="1"/>
  <c r="T1228" i="2"/>
  <c r="T1230" i="2"/>
  <c r="D1231" i="2"/>
  <c r="D1232" i="2" s="1"/>
  <c r="D1233" i="2" s="1"/>
  <c r="G1231" i="2"/>
  <c r="H1231" i="2"/>
  <c r="I1231" i="2"/>
  <c r="J1231" i="2"/>
  <c r="G1232" i="2"/>
  <c r="G1233" i="2" s="1"/>
  <c r="G1234" i="2" s="1"/>
  <c r="G1235" i="2" s="1"/>
  <c r="G1236" i="2" s="1"/>
  <c r="G1237" i="2" s="1"/>
  <c r="G1238" i="2" s="1"/>
  <c r="K1232" i="2"/>
  <c r="K1233" i="2" s="1"/>
  <c r="L1232" i="2"/>
  <c r="M1232" i="2"/>
  <c r="L1233" i="2"/>
  <c r="L1239" i="2" s="1"/>
  <c r="L1240" i="2" s="1"/>
  <c r="M1240" i="2" s="1"/>
  <c r="O1233" i="2"/>
  <c r="Q1233" i="2"/>
  <c r="L1234" i="2"/>
  <c r="L1235" i="2" s="1"/>
  <c r="L1236" i="2" s="1"/>
  <c r="L1237" i="2" s="1"/>
  <c r="L1238" i="2" s="1"/>
  <c r="O1234" i="2"/>
  <c r="Q1234" i="2"/>
  <c r="O1235" i="2"/>
  <c r="Q1235" i="2"/>
  <c r="O1236" i="2"/>
  <c r="Q1236" i="2"/>
  <c r="O1237" i="2"/>
  <c r="Q1237" i="2"/>
  <c r="O1238" i="2"/>
  <c r="Q1238" i="2"/>
  <c r="R1238" i="2"/>
  <c r="G1239" i="2"/>
  <c r="G1240" i="2" s="1"/>
  <c r="T1240" i="2"/>
  <c r="K1241" i="2"/>
  <c r="K1242" i="2" s="1"/>
  <c r="M1241" i="2"/>
  <c r="L1241" i="2" s="1"/>
  <c r="L1242" i="2" s="1"/>
  <c r="L1243" i="2" s="1"/>
  <c r="L1244" i="2" s="1"/>
  <c r="L1245" i="2" s="1"/>
  <c r="L1246" i="2" s="1"/>
  <c r="L1247" i="2" s="1"/>
  <c r="L1248" i="2" s="1"/>
  <c r="O1242" i="2"/>
  <c r="Q1242" i="2"/>
  <c r="O1243" i="2"/>
  <c r="Q1243" i="2"/>
  <c r="O1244" i="2"/>
  <c r="Q1244" i="2"/>
  <c r="R1244" i="2"/>
  <c r="O1245" i="2"/>
  <c r="Q1245" i="2"/>
  <c r="O1246" i="2"/>
  <c r="Q1246" i="2"/>
  <c r="O1247" i="2"/>
  <c r="Q1247" i="2"/>
  <c r="O1248" i="2"/>
  <c r="Q1248" i="2"/>
  <c r="R1248" i="2"/>
  <c r="L1249" i="2"/>
  <c r="L1250" i="2" s="1"/>
  <c r="M1250" i="2" s="1"/>
  <c r="T1250" i="2"/>
  <c r="K1251" i="2"/>
  <c r="K1252" i="2" s="1"/>
  <c r="M1251" i="2"/>
  <c r="L1251" i="2" s="1"/>
  <c r="L1252" i="2" s="1"/>
  <c r="O1252" i="2"/>
  <c r="Q1252" i="2"/>
  <c r="O1253" i="2"/>
  <c r="Q1253" i="2"/>
  <c r="O1254" i="2"/>
  <c r="Q1254" i="2"/>
  <c r="O1255" i="2"/>
  <c r="Q1255" i="2"/>
  <c r="O1256" i="2"/>
  <c r="Q1256" i="2"/>
  <c r="O1257" i="2"/>
  <c r="Q1257" i="2"/>
  <c r="R1257" i="2"/>
  <c r="T1259" i="2"/>
  <c r="K1260" i="2"/>
  <c r="L1260" i="2"/>
  <c r="L1261" i="2" s="1"/>
  <c r="L1267" i="2" s="1"/>
  <c r="L1268" i="2" s="1"/>
  <c r="M1268" i="2" s="1"/>
  <c r="M1260" i="2"/>
  <c r="K1261" i="2"/>
  <c r="O1261" i="2"/>
  <c r="Q1261" i="2"/>
  <c r="O1262" i="2"/>
  <c r="Q1262" i="2"/>
  <c r="O1263" i="2"/>
  <c r="Q1263" i="2"/>
  <c r="O1264" i="2"/>
  <c r="Q1264" i="2"/>
  <c r="O1265" i="2"/>
  <c r="Q1265" i="2"/>
  <c r="O1266" i="2"/>
  <c r="Q1266" i="2"/>
  <c r="R1266" i="2"/>
  <c r="T1268" i="2"/>
  <c r="K1269" i="2"/>
  <c r="K1270" i="2" s="1"/>
  <c r="L1269" i="2"/>
  <c r="M1269" i="2"/>
  <c r="L1270" i="2"/>
  <c r="L1276" i="2" s="1"/>
  <c r="L1277" i="2" s="1"/>
  <c r="M1277" i="2" s="1"/>
  <c r="O1270" i="2"/>
  <c r="Q1270" i="2"/>
  <c r="L1271" i="2"/>
  <c r="L1272" i="2" s="1"/>
  <c r="L1273" i="2" s="1"/>
  <c r="L1274" i="2" s="1"/>
  <c r="L1275" i="2" s="1"/>
  <c r="O1271" i="2"/>
  <c r="Q1271" i="2"/>
  <c r="O1272" i="2"/>
  <c r="Q1272" i="2"/>
  <c r="O1273" i="2"/>
  <c r="Q1273" i="2"/>
  <c r="O1274" i="2"/>
  <c r="Q1274" i="2"/>
  <c r="O1275" i="2"/>
  <c r="Q1275" i="2"/>
  <c r="R1275" i="2"/>
  <c r="T1277" i="2"/>
  <c r="K1278" i="2"/>
  <c r="K1279" i="2" s="1"/>
  <c r="M1278" i="2"/>
  <c r="L1278" i="2" s="1"/>
  <c r="L1279" i="2" s="1"/>
  <c r="L1280" i="2" s="1"/>
  <c r="L1281" i="2" s="1"/>
  <c r="L1282" i="2" s="1"/>
  <c r="L1283" i="2" s="1"/>
  <c r="L1284" i="2" s="1"/>
  <c r="O1279" i="2"/>
  <c r="Q1279" i="2"/>
  <c r="O1280" i="2"/>
  <c r="Q1280" i="2"/>
  <c r="O1281" i="2"/>
  <c r="Q1281" i="2"/>
  <c r="O1282" i="2"/>
  <c r="Q1282" i="2"/>
  <c r="O1283" i="2"/>
  <c r="Q1283" i="2"/>
  <c r="O1284" i="2"/>
  <c r="Q1284" i="2"/>
  <c r="R1284" i="2"/>
  <c r="T1286" i="2"/>
  <c r="H1289" i="2"/>
  <c r="G1289" i="2" s="1"/>
  <c r="G1290" i="2" s="1"/>
  <c r="G1291" i="2" s="1"/>
  <c r="I1289" i="2"/>
  <c r="J1289" i="2"/>
  <c r="D1289" i="2" s="1"/>
  <c r="D1290" i="2" s="1"/>
  <c r="D1291" i="2" s="1"/>
  <c r="K1290" i="2"/>
  <c r="M1290" i="2"/>
  <c r="L1290" i="2" s="1"/>
  <c r="L1291" i="2" s="1"/>
  <c r="K1291" i="2"/>
  <c r="K1292" i="2" s="1"/>
  <c r="K1293" i="2" s="1"/>
  <c r="K1294" i="2" s="1"/>
  <c r="K1295" i="2" s="1"/>
  <c r="K1296" i="2" s="1"/>
  <c r="K1297" i="2" s="1"/>
  <c r="O1291" i="2"/>
  <c r="Q1291" i="2"/>
  <c r="O1292" i="2"/>
  <c r="Q1292" i="2"/>
  <c r="O1293" i="2"/>
  <c r="Q1293" i="2"/>
  <c r="O1294" i="2"/>
  <c r="Q1294" i="2"/>
  <c r="O1295" i="2"/>
  <c r="Q1295" i="2"/>
  <c r="O1296" i="2"/>
  <c r="Q1296" i="2"/>
  <c r="O1297" i="2"/>
  <c r="Q1297" i="2"/>
  <c r="R1297" i="2"/>
  <c r="K1298" i="2"/>
  <c r="K1299" i="2" s="1"/>
  <c r="N1299" i="2" s="1"/>
  <c r="T1299" i="2"/>
  <c r="K1300" i="2"/>
  <c r="M1300" i="2"/>
  <c r="L1300" i="2" s="1"/>
  <c r="K1301" i="2"/>
  <c r="K1308" i="2" s="1"/>
  <c r="K1309" i="2" s="1"/>
  <c r="N1309" i="2" s="1"/>
  <c r="L1301" i="2"/>
  <c r="O1301" i="2"/>
  <c r="Q1301" i="2"/>
  <c r="K1302" i="2"/>
  <c r="K1303" i="2" s="1"/>
  <c r="K1304" i="2" s="1"/>
  <c r="K1305" i="2" s="1"/>
  <c r="K1306" i="2" s="1"/>
  <c r="K1307" i="2" s="1"/>
  <c r="O1302" i="2"/>
  <c r="Q1302" i="2"/>
  <c r="O1303" i="2"/>
  <c r="Q1303" i="2"/>
  <c r="O1304" i="2"/>
  <c r="Q1304" i="2"/>
  <c r="O1305" i="2"/>
  <c r="Q1305" i="2"/>
  <c r="O1306" i="2"/>
  <c r="Q1306" i="2"/>
  <c r="O1307" i="2"/>
  <c r="Q1307" i="2"/>
  <c r="R1307" i="2"/>
  <c r="T1309" i="2"/>
  <c r="K1310" i="2"/>
  <c r="K1311" i="2" s="1"/>
  <c r="M1310" i="2"/>
  <c r="L1310" i="2" s="1"/>
  <c r="L1311" i="2" s="1"/>
  <c r="O1311" i="2"/>
  <c r="Q1311" i="2"/>
  <c r="O1312" i="2"/>
  <c r="Q1312" i="2"/>
  <c r="O1313" i="2"/>
  <c r="Q1313" i="2"/>
  <c r="O1314" i="2"/>
  <c r="Q1314" i="2"/>
  <c r="O1315" i="2"/>
  <c r="Q1315" i="2"/>
  <c r="O1316" i="2"/>
  <c r="Q1316" i="2"/>
  <c r="O1317" i="2"/>
  <c r="Q1317" i="2"/>
  <c r="R1317" i="2"/>
  <c r="T1319" i="2"/>
  <c r="K1320" i="2"/>
  <c r="K1321" i="2" s="1"/>
  <c r="M1320" i="2"/>
  <c r="L1320" i="2" s="1"/>
  <c r="L1321" i="2" s="1"/>
  <c r="O1321" i="2"/>
  <c r="Q1321" i="2"/>
  <c r="O1322" i="2"/>
  <c r="Q1322" i="2"/>
  <c r="O1323" i="2"/>
  <c r="Q1323" i="2"/>
  <c r="O1324" i="2"/>
  <c r="Q1324" i="2"/>
  <c r="O1325" i="2"/>
  <c r="Q1325" i="2"/>
  <c r="O1326" i="2"/>
  <c r="Q1326" i="2"/>
  <c r="O1327" i="2"/>
  <c r="Q1327" i="2"/>
  <c r="R1327" i="2"/>
  <c r="T1329" i="2"/>
  <c r="K1330" i="2"/>
  <c r="K1331" i="2" s="1"/>
  <c r="M1330" i="2"/>
  <c r="L1330" i="2" s="1"/>
  <c r="L1331" i="2" s="1"/>
  <c r="O1331" i="2"/>
  <c r="Q1331" i="2"/>
  <c r="O1332" i="2"/>
  <c r="Q1332" i="2"/>
  <c r="O1333" i="2"/>
  <c r="Q1333" i="2"/>
  <c r="O1334" i="2"/>
  <c r="Q1334" i="2"/>
  <c r="O1335" i="2"/>
  <c r="Q1335" i="2"/>
  <c r="O1336" i="2"/>
  <c r="Q1336" i="2"/>
  <c r="O1337" i="2"/>
  <c r="Q1337" i="2"/>
  <c r="R1337" i="2"/>
  <c r="T1339" i="2"/>
  <c r="K1340" i="2"/>
  <c r="L1340" i="2"/>
  <c r="L1341" i="2" s="1"/>
  <c r="L1342" i="2" s="1"/>
  <c r="L1343" i="2" s="1"/>
  <c r="L1344" i="2" s="1"/>
  <c r="M1340" i="2"/>
  <c r="K1341" i="2"/>
  <c r="K1342" i="2" s="1"/>
  <c r="K1343" i="2" s="1"/>
  <c r="O1341" i="2"/>
  <c r="Q1341" i="2"/>
  <c r="O1342" i="2"/>
  <c r="Q1342" i="2"/>
  <c r="O1343" i="2"/>
  <c r="Q1343" i="2"/>
  <c r="K1344" i="2"/>
  <c r="K1345" i="2" s="1"/>
  <c r="K1346" i="2" s="1"/>
  <c r="K1347" i="2" s="1"/>
  <c r="O1344" i="2"/>
  <c r="Q1344" i="2"/>
  <c r="L1345" i="2"/>
  <c r="L1346" i="2" s="1"/>
  <c r="O1345" i="2"/>
  <c r="Q1345" i="2"/>
  <c r="O1346" i="2"/>
  <c r="Q1346" i="2"/>
  <c r="L1347" i="2"/>
  <c r="O1347" i="2"/>
  <c r="Q1347" i="2"/>
  <c r="R1347" i="2"/>
  <c r="L1348" i="2"/>
  <c r="L1349" i="2" s="1"/>
  <c r="M1349" i="2" s="1"/>
  <c r="T1349" i="2"/>
  <c r="T1351" i="2" s="1"/>
  <c r="G1352" i="2"/>
  <c r="G1353" i="2" s="1"/>
  <c r="G1354" i="2" s="1"/>
  <c r="G1360" i="2" s="1"/>
  <c r="G1361" i="2" s="1"/>
  <c r="G1362" i="2" s="1"/>
  <c r="G1363" i="2" s="1"/>
  <c r="G1364" i="2" s="1"/>
  <c r="G1365" i="2" s="1"/>
  <c r="G1366" i="2" s="1"/>
  <c r="G1367" i="2" s="1"/>
  <c r="G1368" i="2" s="1"/>
  <c r="G1369" i="2" s="1"/>
  <c r="H1352" i="2"/>
  <c r="I1352" i="2"/>
  <c r="J1352" i="2"/>
  <c r="D1352" i="2" s="1"/>
  <c r="D1353" i="2" s="1"/>
  <c r="D1354" i="2" s="1"/>
  <c r="D1355" i="2" s="1"/>
  <c r="D1356" i="2" s="1"/>
  <c r="D1357" i="2" s="1"/>
  <c r="D1358" i="2" s="1"/>
  <c r="K1353" i="2"/>
  <c r="L1353" i="2"/>
  <c r="L1354" i="2" s="1"/>
  <c r="M1353" i="2"/>
  <c r="K1354" i="2"/>
  <c r="O1354" i="2"/>
  <c r="Q1354" i="2"/>
  <c r="G1355" i="2"/>
  <c r="G1356" i="2" s="1"/>
  <c r="G1357" i="2" s="1"/>
  <c r="G1358" i="2" s="1"/>
  <c r="G1359" i="2" s="1"/>
  <c r="O1355" i="2"/>
  <c r="Q1355" i="2"/>
  <c r="O1356" i="2"/>
  <c r="Q1356" i="2"/>
  <c r="O1357" i="2"/>
  <c r="Q1357" i="2"/>
  <c r="O1358" i="2"/>
  <c r="Q1358" i="2"/>
  <c r="D1359" i="2"/>
  <c r="O1359" i="2"/>
  <c r="Q1359" i="2"/>
  <c r="R1359" i="2"/>
  <c r="D1360" i="2"/>
  <c r="D1361" i="2" s="1"/>
  <c r="D1362" i="2" s="1"/>
  <c r="D1363" i="2" s="1"/>
  <c r="D1364" i="2" s="1"/>
  <c r="D1365" i="2" s="1"/>
  <c r="D1366" i="2" s="1"/>
  <c r="T1361" i="2"/>
  <c r="K1362" i="2"/>
  <c r="K1363" i="2" s="1"/>
  <c r="M1362" i="2"/>
  <c r="L1362" i="2" s="1"/>
  <c r="L1363" i="2" s="1"/>
  <c r="L1370" i="2" s="1"/>
  <c r="L1371" i="2" s="1"/>
  <c r="O1363" i="2"/>
  <c r="Q1363" i="2"/>
  <c r="L1364" i="2"/>
  <c r="L1365" i="2" s="1"/>
  <c r="L1366" i="2" s="1"/>
  <c r="L1367" i="2" s="1"/>
  <c r="L1368" i="2" s="1"/>
  <c r="L1369" i="2" s="1"/>
  <c r="O1364" i="2"/>
  <c r="Q1364" i="2"/>
  <c r="O1365" i="2"/>
  <c r="Q1365" i="2"/>
  <c r="R1365" i="2"/>
  <c r="O1366" i="2"/>
  <c r="Q1366" i="2"/>
  <c r="D1367" i="2"/>
  <c r="D1368" i="2" s="1"/>
  <c r="D1369" i="2" s="1"/>
  <c r="O1367" i="2"/>
  <c r="Q1367" i="2"/>
  <c r="O1368" i="2"/>
  <c r="Q1368" i="2"/>
  <c r="O1369" i="2"/>
  <c r="Q1369" i="2"/>
  <c r="R1369" i="2"/>
  <c r="G1370" i="2"/>
  <c r="G1371" i="2" s="1"/>
  <c r="G1372" i="2" s="1"/>
  <c r="G1373" i="2" s="1"/>
  <c r="G1374" i="2" s="1"/>
  <c r="G1375" i="2" s="1"/>
  <c r="G1376" i="2" s="1"/>
  <c r="G1377" i="2" s="1"/>
  <c r="G1378" i="2" s="1"/>
  <c r="M1371" i="2"/>
  <c r="T1371" i="2"/>
  <c r="K1372" i="2"/>
  <c r="K1373" i="2" s="1"/>
  <c r="M1372" i="2"/>
  <c r="L1372" i="2" s="1"/>
  <c r="L1373" i="2" s="1"/>
  <c r="L1374" i="2" s="1"/>
  <c r="L1375" i="2" s="1"/>
  <c r="L1376" i="2" s="1"/>
  <c r="L1377" i="2" s="1"/>
  <c r="L1378" i="2" s="1"/>
  <c r="O1373" i="2"/>
  <c r="Q1373" i="2"/>
  <c r="O1374" i="2"/>
  <c r="Q1374" i="2"/>
  <c r="O1375" i="2"/>
  <c r="Q1375" i="2"/>
  <c r="O1376" i="2"/>
  <c r="Q1376" i="2"/>
  <c r="O1377" i="2"/>
  <c r="Q1377" i="2"/>
  <c r="O1378" i="2"/>
  <c r="Q1378" i="2"/>
  <c r="R1378" i="2"/>
  <c r="L1379" i="2"/>
  <c r="L1380" i="2" s="1"/>
  <c r="M1380" i="2" s="1"/>
  <c r="T1380" i="2"/>
  <c r="K1381" i="2"/>
  <c r="M1381" i="2"/>
  <c r="L1381" i="2" s="1"/>
  <c r="L1382" i="2" s="1"/>
  <c r="L1383" i="2" s="1"/>
  <c r="L1384" i="2" s="1"/>
  <c r="L1385" i="2" s="1"/>
  <c r="L1386" i="2" s="1"/>
  <c r="L1387" i="2" s="1"/>
  <c r="K1382" i="2"/>
  <c r="O1382" i="2"/>
  <c r="Q1382" i="2"/>
  <c r="K1383" i="2"/>
  <c r="O1383" i="2"/>
  <c r="Q1383" i="2"/>
  <c r="K1384" i="2"/>
  <c r="K1385" i="2" s="1"/>
  <c r="O1384" i="2"/>
  <c r="Q1384" i="2"/>
  <c r="O1385" i="2"/>
  <c r="Q1385" i="2"/>
  <c r="K1386" i="2"/>
  <c r="K1387" i="2" s="1"/>
  <c r="O1386" i="2"/>
  <c r="Q1386" i="2"/>
  <c r="O1387" i="2"/>
  <c r="Q1387" i="2"/>
  <c r="R1387" i="2"/>
  <c r="K1388" i="2"/>
  <c r="L1388" i="2"/>
  <c r="L1389" i="2" s="1"/>
  <c r="M1389" i="2" s="1"/>
  <c r="K1389" i="2"/>
  <c r="N1389" i="2" s="1"/>
  <c r="T1389" i="2"/>
  <c r="K1390" i="2"/>
  <c r="L1390" i="2"/>
  <c r="L1391" i="2" s="1"/>
  <c r="L1398" i="2" s="1"/>
  <c r="L1399" i="2" s="1"/>
  <c r="M1399" i="2" s="1"/>
  <c r="M1390" i="2"/>
  <c r="K1391" i="2"/>
  <c r="O1391" i="2"/>
  <c r="Q1391" i="2"/>
  <c r="O1392" i="2"/>
  <c r="Q1392" i="2"/>
  <c r="O1393" i="2"/>
  <c r="Q1393" i="2"/>
  <c r="O1394" i="2"/>
  <c r="Q1394" i="2"/>
  <c r="O1395" i="2"/>
  <c r="Q1395" i="2"/>
  <c r="O1396" i="2"/>
  <c r="Q1396" i="2"/>
  <c r="R1396" i="2"/>
  <c r="O1397" i="2"/>
  <c r="Q1397" i="2"/>
  <c r="R1397" i="2"/>
  <c r="T1399" i="2"/>
  <c r="K1400" i="2"/>
  <c r="L1400" i="2"/>
  <c r="M1400" i="2"/>
  <c r="K1401" i="2"/>
  <c r="L1401" i="2"/>
  <c r="L1407" i="2" s="1"/>
  <c r="O1401" i="2"/>
  <c r="Q1401" i="2"/>
  <c r="L1402" i="2"/>
  <c r="L1403" i="2" s="1"/>
  <c r="L1404" i="2" s="1"/>
  <c r="L1405" i="2" s="1"/>
  <c r="L1406" i="2" s="1"/>
  <c r="O1402" i="2"/>
  <c r="Q1402" i="2"/>
  <c r="O1403" i="2"/>
  <c r="Q1403" i="2"/>
  <c r="O1404" i="2"/>
  <c r="Q1404" i="2"/>
  <c r="O1405" i="2"/>
  <c r="Q1405" i="2"/>
  <c r="O1406" i="2"/>
  <c r="Q1406" i="2"/>
  <c r="R1406" i="2"/>
  <c r="L1408" i="2"/>
  <c r="M1408" i="2"/>
  <c r="T1408" i="2"/>
  <c r="K1409" i="2"/>
  <c r="K1410" i="2" s="1"/>
  <c r="L1409" i="2"/>
  <c r="L1410" i="2" s="1"/>
  <c r="M1409" i="2"/>
  <c r="O1410" i="2"/>
  <c r="Q1410" i="2"/>
  <c r="K1411" i="2"/>
  <c r="O1411" i="2"/>
  <c r="Q1411" i="2"/>
  <c r="R1411" i="2"/>
  <c r="K1412" i="2"/>
  <c r="K1413" i="2"/>
  <c r="N1413" i="2" s="1"/>
  <c r="T1413" i="2"/>
  <c r="K1414" i="2"/>
  <c r="M1414" i="2"/>
  <c r="L1414" i="2" s="1"/>
  <c r="L1415" i="2" s="1"/>
  <c r="K1415" i="2"/>
  <c r="O1415" i="2"/>
  <c r="Q1415" i="2"/>
  <c r="O1416" i="2"/>
  <c r="Q1416" i="2"/>
  <c r="R1416" i="2"/>
  <c r="T1418" i="2"/>
  <c r="G1419" i="2"/>
  <c r="G1420" i="2"/>
  <c r="H1420" i="2" s="1"/>
  <c r="T1420" i="2"/>
  <c r="H1421" i="2"/>
  <c r="G1421" i="2" s="1"/>
  <c r="G1422" i="2" s="1"/>
  <c r="G1423" i="2" s="1"/>
  <c r="I1421" i="2"/>
  <c r="J1421" i="2"/>
  <c r="D1421" i="2" s="1"/>
  <c r="D1422" i="2" s="1"/>
  <c r="D1423" i="2" s="1"/>
  <c r="D1424" i="2" s="1"/>
  <c r="D1425" i="2" s="1"/>
  <c r="D1426" i="2" s="1"/>
  <c r="D1427" i="2" s="1"/>
  <c r="K1422" i="2"/>
  <c r="M1422" i="2"/>
  <c r="L1422" i="2" s="1"/>
  <c r="L1423" i="2" s="1"/>
  <c r="L1429" i="2" s="1"/>
  <c r="L1430" i="2" s="1"/>
  <c r="M1430" i="2" s="1"/>
  <c r="K1423" i="2"/>
  <c r="O1423" i="2"/>
  <c r="Q1423" i="2"/>
  <c r="L1424" i="2"/>
  <c r="L1425" i="2" s="1"/>
  <c r="L1426" i="2" s="1"/>
  <c r="L1427" i="2" s="1"/>
  <c r="L1428" i="2" s="1"/>
  <c r="O1424" i="2"/>
  <c r="Q1424" i="2"/>
  <c r="O1425" i="2"/>
  <c r="Q1425" i="2"/>
  <c r="O1426" i="2"/>
  <c r="Q1426" i="2"/>
  <c r="O1427" i="2"/>
  <c r="Q1427" i="2"/>
  <c r="D1428" i="2"/>
  <c r="O1428" i="2"/>
  <c r="Q1428" i="2"/>
  <c r="R1428" i="2"/>
  <c r="D1429" i="2"/>
  <c r="D1430" i="2" s="1"/>
  <c r="T1430" i="2"/>
  <c r="K1431" i="2"/>
  <c r="K1432" i="2" s="1"/>
  <c r="M1431" i="2"/>
  <c r="L1431" i="2" s="1"/>
  <c r="L1432" i="2" s="1"/>
  <c r="O1432" i="2"/>
  <c r="Q1432" i="2"/>
  <c r="O1433" i="2"/>
  <c r="Q1433" i="2"/>
  <c r="O1434" i="2"/>
  <c r="Q1434" i="2"/>
  <c r="O1435" i="2"/>
  <c r="Q1435" i="2"/>
  <c r="O1436" i="2"/>
  <c r="Q1436" i="2"/>
  <c r="O1437" i="2"/>
  <c r="Q1437" i="2"/>
  <c r="R1437" i="2"/>
  <c r="T1439" i="2"/>
  <c r="K1440" i="2"/>
  <c r="K1441" i="2" s="1"/>
  <c r="M1440" i="2"/>
  <c r="L1440" i="2" s="1"/>
  <c r="L1441" i="2" s="1"/>
  <c r="L1442" i="2" s="1"/>
  <c r="L1443" i="2" s="1"/>
  <c r="L1444" i="2" s="1"/>
  <c r="L1445" i="2" s="1"/>
  <c r="L1446" i="2" s="1"/>
  <c r="O1441" i="2"/>
  <c r="Q1441" i="2"/>
  <c r="O1442" i="2"/>
  <c r="Q1442" i="2"/>
  <c r="O1443" i="2"/>
  <c r="Q1443" i="2"/>
  <c r="O1444" i="2"/>
  <c r="Q1444" i="2"/>
  <c r="O1445" i="2"/>
  <c r="Q1445" i="2"/>
  <c r="O1446" i="2"/>
  <c r="Q1446" i="2"/>
  <c r="R1446" i="2"/>
  <c r="L1447" i="2"/>
  <c r="L1448" i="2" s="1"/>
  <c r="M1448" i="2" s="1"/>
  <c r="T1448" i="2"/>
  <c r="T1477" i="2" s="1"/>
  <c r="K1449" i="2"/>
  <c r="M1449" i="2"/>
  <c r="L1449" i="2" s="1"/>
  <c r="L1450" i="2" s="1"/>
  <c r="K1450" i="2"/>
  <c r="K1451" i="2" s="1"/>
  <c r="K1452" i="2" s="1"/>
  <c r="K1453" i="2" s="1"/>
  <c r="K1454" i="2" s="1"/>
  <c r="K1455" i="2" s="1"/>
  <c r="O1450" i="2"/>
  <c r="Q1450" i="2"/>
  <c r="O1451" i="2"/>
  <c r="Q1451" i="2"/>
  <c r="O1452" i="2"/>
  <c r="Q1452" i="2"/>
  <c r="O1453" i="2"/>
  <c r="Q1453" i="2"/>
  <c r="O1454" i="2"/>
  <c r="Q1454" i="2"/>
  <c r="O1455" i="2"/>
  <c r="Q1455" i="2"/>
  <c r="R1455" i="2"/>
  <c r="T1457" i="2"/>
  <c r="K1458" i="2"/>
  <c r="M1458" i="2"/>
  <c r="L1458" i="2" s="1"/>
  <c r="L1459" i="2" s="1"/>
  <c r="L1465" i="2" s="1"/>
  <c r="L1466" i="2" s="1"/>
  <c r="M1466" i="2" s="1"/>
  <c r="K1459" i="2"/>
  <c r="O1459" i="2"/>
  <c r="Q1459" i="2"/>
  <c r="O1460" i="2"/>
  <c r="Q1460" i="2"/>
  <c r="O1461" i="2"/>
  <c r="Q1461" i="2"/>
  <c r="O1462" i="2"/>
  <c r="Q1462" i="2"/>
  <c r="O1463" i="2"/>
  <c r="Q1463" i="2"/>
  <c r="O1464" i="2"/>
  <c r="Q1464" i="2"/>
  <c r="R1464" i="2"/>
  <c r="T1466" i="2"/>
  <c r="K1467" i="2"/>
  <c r="K1468" i="2" s="1"/>
  <c r="M1467" i="2"/>
  <c r="L1467" i="2" s="1"/>
  <c r="L1468" i="2" s="1"/>
  <c r="O1468" i="2"/>
  <c r="Q1468" i="2"/>
  <c r="O1469" i="2"/>
  <c r="Q1469" i="2"/>
  <c r="O1470" i="2"/>
  <c r="Q1470" i="2"/>
  <c r="O1471" i="2"/>
  <c r="Q1471" i="2"/>
  <c r="O1472" i="2"/>
  <c r="Q1472" i="2"/>
  <c r="O1473" i="2"/>
  <c r="Q1473" i="2"/>
  <c r="R1473" i="2"/>
  <c r="T1475" i="2"/>
  <c r="H1478" i="2"/>
  <c r="G1478" i="2" s="1"/>
  <c r="G1479" i="2" s="1"/>
  <c r="G1480" i="2" s="1"/>
  <c r="I1478" i="2"/>
  <c r="J1478" i="2"/>
  <c r="D1478" i="2" s="1"/>
  <c r="D1479" i="2" s="1"/>
  <c r="D1480" i="2" s="1"/>
  <c r="D1487" i="2" s="1"/>
  <c r="K1479" i="2"/>
  <c r="K1480" i="2" s="1"/>
  <c r="M1479" i="2"/>
  <c r="L1479" i="2" s="1"/>
  <c r="L1480" i="2" s="1"/>
  <c r="O1480" i="2"/>
  <c r="Q1480" i="2"/>
  <c r="D1481" i="2"/>
  <c r="D1482" i="2" s="1"/>
  <c r="D1483" i="2" s="1"/>
  <c r="D1484" i="2" s="1"/>
  <c r="D1485" i="2" s="1"/>
  <c r="D1486" i="2" s="1"/>
  <c r="O1481" i="2"/>
  <c r="Q1481" i="2"/>
  <c r="O1482" i="2"/>
  <c r="Q1482" i="2"/>
  <c r="O1483" i="2"/>
  <c r="Q1483" i="2"/>
  <c r="O1484" i="2"/>
  <c r="Q1484" i="2"/>
  <c r="O1485" i="2"/>
  <c r="Q1485" i="2"/>
  <c r="O1486" i="2"/>
  <c r="Q1486" i="2"/>
  <c r="R1486" i="2"/>
  <c r="D1488" i="2"/>
  <c r="D1549" i="2" s="1"/>
  <c r="T1488" i="2"/>
  <c r="D1489" i="2"/>
  <c r="D1490" i="2" s="1"/>
  <c r="D1491" i="2" s="1"/>
  <c r="D1492" i="2" s="1"/>
  <c r="D1493" i="2" s="1"/>
  <c r="D1494" i="2" s="1"/>
  <c r="D1495" i="2" s="1"/>
  <c r="D1496" i="2" s="1"/>
  <c r="K1489" i="2"/>
  <c r="L1489" i="2"/>
  <c r="L1490" i="2" s="1"/>
  <c r="M1489" i="2"/>
  <c r="K1490" i="2"/>
  <c r="O1490" i="2"/>
  <c r="Q1490" i="2"/>
  <c r="K1491" i="2"/>
  <c r="K1492" i="2" s="1"/>
  <c r="K1493" i="2" s="1"/>
  <c r="K1494" i="2" s="1"/>
  <c r="K1495" i="2" s="1"/>
  <c r="K1496" i="2" s="1"/>
  <c r="O1491" i="2"/>
  <c r="Q1491" i="2"/>
  <c r="O1492" i="2"/>
  <c r="Q1492" i="2"/>
  <c r="O1493" i="2"/>
  <c r="Q1493" i="2"/>
  <c r="O1494" i="2"/>
  <c r="Q1494" i="2"/>
  <c r="O1495" i="2"/>
  <c r="Q1495" i="2"/>
  <c r="O1496" i="2"/>
  <c r="Q1496" i="2"/>
  <c r="R1496" i="2"/>
  <c r="D1497" i="2"/>
  <c r="D1498" i="2" s="1"/>
  <c r="D1499" i="2" s="1"/>
  <c r="D1500" i="2" s="1"/>
  <c r="K1497" i="2"/>
  <c r="K1498" i="2"/>
  <c r="N1498" i="2" s="1"/>
  <c r="T1498" i="2"/>
  <c r="K1499" i="2"/>
  <c r="K1500" i="2" s="1"/>
  <c r="K1501" i="2" s="1"/>
  <c r="K1502" i="2" s="1"/>
  <c r="K1503" i="2" s="1"/>
  <c r="K1504" i="2" s="1"/>
  <c r="K1505" i="2" s="1"/>
  <c r="M1499" i="2"/>
  <c r="L1499" i="2" s="1"/>
  <c r="L1500" i="2" s="1"/>
  <c r="O1500" i="2"/>
  <c r="Q1500" i="2"/>
  <c r="O1501" i="2"/>
  <c r="Q1501" i="2"/>
  <c r="O1502" i="2"/>
  <c r="Q1502" i="2"/>
  <c r="O1503" i="2"/>
  <c r="Q1503" i="2"/>
  <c r="O1504" i="2"/>
  <c r="Q1504" i="2"/>
  <c r="O1505" i="2"/>
  <c r="Q1505" i="2"/>
  <c r="K1506" i="2"/>
  <c r="O1506" i="2"/>
  <c r="Q1506" i="2"/>
  <c r="R1506" i="2"/>
  <c r="K1507" i="2"/>
  <c r="K1508" i="2" s="1"/>
  <c r="N1508" i="2"/>
  <c r="T1508" i="2"/>
  <c r="K1509" i="2"/>
  <c r="L1509" i="2"/>
  <c r="L1510" i="2" s="1"/>
  <c r="M1509" i="2"/>
  <c r="K1510" i="2"/>
  <c r="O1510" i="2"/>
  <c r="Q1510" i="2"/>
  <c r="K1511" i="2"/>
  <c r="K1512" i="2" s="1"/>
  <c r="O1511" i="2"/>
  <c r="Q1511" i="2"/>
  <c r="O1512" i="2"/>
  <c r="Q1512" i="2"/>
  <c r="K1513" i="2"/>
  <c r="K1514" i="2" s="1"/>
  <c r="K1515" i="2" s="1"/>
  <c r="K1516" i="2" s="1"/>
  <c r="O1513" i="2"/>
  <c r="Q1513" i="2"/>
  <c r="O1514" i="2"/>
  <c r="Q1514" i="2"/>
  <c r="O1515" i="2"/>
  <c r="Q1515" i="2"/>
  <c r="O1516" i="2"/>
  <c r="Q1516" i="2"/>
  <c r="R1516" i="2"/>
  <c r="K1517" i="2"/>
  <c r="K1518" i="2"/>
  <c r="N1518" i="2" s="1"/>
  <c r="T1518" i="2"/>
  <c r="K1519" i="2"/>
  <c r="M1519" i="2"/>
  <c r="L1519" i="2" s="1"/>
  <c r="L1520" i="2" s="1"/>
  <c r="L1527" i="2" s="1"/>
  <c r="K1520" i="2"/>
  <c r="O1520" i="2"/>
  <c r="Q1520" i="2"/>
  <c r="O1521" i="2"/>
  <c r="Q1521" i="2"/>
  <c r="O1522" i="2"/>
  <c r="Q1522" i="2"/>
  <c r="O1523" i="2"/>
  <c r="Q1523" i="2"/>
  <c r="O1524" i="2"/>
  <c r="Q1524" i="2"/>
  <c r="O1525" i="2"/>
  <c r="Q1525" i="2"/>
  <c r="O1526" i="2"/>
  <c r="Q1526" i="2"/>
  <c r="R1526" i="2"/>
  <c r="L1528" i="2"/>
  <c r="M1528" i="2" s="1"/>
  <c r="T1528" i="2"/>
  <c r="K1529" i="2"/>
  <c r="K1530" i="2" s="1"/>
  <c r="L1529" i="2"/>
  <c r="L1530" i="2" s="1"/>
  <c r="L1531" i="2" s="1"/>
  <c r="L1532" i="2" s="1"/>
  <c r="L1533" i="2" s="1"/>
  <c r="L1534" i="2" s="1"/>
  <c r="L1535" i="2" s="1"/>
  <c r="M1529" i="2"/>
  <c r="O1530" i="2"/>
  <c r="Q1530" i="2"/>
  <c r="O1531" i="2"/>
  <c r="Q1531" i="2"/>
  <c r="O1532" i="2"/>
  <c r="Q1532" i="2"/>
  <c r="O1533" i="2"/>
  <c r="Q1533" i="2"/>
  <c r="O1534" i="2"/>
  <c r="Q1534" i="2"/>
  <c r="O1535" i="2"/>
  <c r="Q1535" i="2"/>
  <c r="L1536" i="2"/>
  <c r="O1536" i="2"/>
  <c r="Q1536" i="2"/>
  <c r="R1536" i="2"/>
  <c r="L1537" i="2"/>
  <c r="L1538" i="2" s="1"/>
  <c r="M1538" i="2" s="1"/>
  <c r="T1538" i="2"/>
  <c r="T1550" i="2" s="1"/>
  <c r="K1539" i="2"/>
  <c r="M1539" i="2"/>
  <c r="L1539" i="2" s="1"/>
  <c r="L1540" i="2" s="1"/>
  <c r="K1540" i="2"/>
  <c r="K1541" i="2" s="1"/>
  <c r="O1540" i="2"/>
  <c r="Q1540" i="2"/>
  <c r="O1541" i="2"/>
  <c r="Q1541" i="2"/>
  <c r="R1541" i="2"/>
  <c r="T1543" i="2"/>
  <c r="K1544" i="2"/>
  <c r="K1545" i="2" s="1"/>
  <c r="M1544" i="2"/>
  <c r="L1544" i="2" s="1"/>
  <c r="L1545" i="2" s="1"/>
  <c r="O1545" i="2"/>
  <c r="Q1545" i="2"/>
  <c r="O1546" i="2"/>
  <c r="Q1546" i="2"/>
  <c r="R1546" i="2"/>
  <c r="T1548" i="2"/>
  <c r="D1550" i="2"/>
  <c r="J1550" i="2" s="1"/>
  <c r="F1552" i="2"/>
  <c r="D1553" i="2"/>
  <c r="E1553" i="2"/>
  <c r="E1554" i="2" s="1"/>
  <c r="E1555" i="2" s="1"/>
  <c r="E1556" i="2" s="1"/>
  <c r="F1553" i="2"/>
  <c r="D1554" i="2"/>
  <c r="D1555" i="2" s="1"/>
  <c r="D1556" i="2" s="1"/>
  <c r="G1554" i="2"/>
  <c r="G1555" i="2" s="1"/>
  <c r="G1556" i="2" s="1"/>
  <c r="H1554" i="2"/>
  <c r="I1554" i="2"/>
  <c r="J1554" i="2"/>
  <c r="K1555" i="2"/>
  <c r="L1555" i="2"/>
  <c r="L1556" i="2" s="1"/>
  <c r="M1555" i="2"/>
  <c r="K1556" i="2"/>
  <c r="O1556" i="2"/>
  <c r="Q1556" i="2"/>
  <c r="K1557" i="2"/>
  <c r="K1558" i="2" s="1"/>
  <c r="K1559" i="2" s="1"/>
  <c r="K1560" i="2" s="1"/>
  <c r="O1557" i="2"/>
  <c r="Q1557" i="2"/>
  <c r="O1558" i="2"/>
  <c r="Q1558" i="2"/>
  <c r="O1559" i="2"/>
  <c r="Q1559" i="2"/>
  <c r="O1560" i="2"/>
  <c r="Q1560" i="2"/>
  <c r="K1561" i="2"/>
  <c r="K1562" i="2" s="1"/>
  <c r="O1561" i="2"/>
  <c r="Q1561" i="2"/>
  <c r="O1562" i="2"/>
  <c r="Q1562" i="2"/>
  <c r="R1562" i="2"/>
  <c r="K1563" i="2"/>
  <c r="K1564" i="2"/>
  <c r="N1564" i="2" s="1"/>
  <c r="T1564" i="2"/>
  <c r="T1626" i="2" s="1"/>
  <c r="K1565" i="2"/>
  <c r="M1565" i="2"/>
  <c r="L1565" i="2" s="1"/>
  <c r="L1566" i="2" s="1"/>
  <c r="K1566" i="2"/>
  <c r="K1567" i="2" s="1"/>
  <c r="O1566" i="2"/>
  <c r="Q1566" i="2"/>
  <c r="O1567" i="2"/>
  <c r="Q1567" i="2"/>
  <c r="K1568" i="2"/>
  <c r="K1569" i="2" s="1"/>
  <c r="K1570" i="2" s="1"/>
  <c r="K1571" i="2" s="1"/>
  <c r="K1572" i="2" s="1"/>
  <c r="O1568" i="2"/>
  <c r="Q1568" i="2"/>
  <c r="O1569" i="2"/>
  <c r="Q1569" i="2"/>
  <c r="O1570" i="2"/>
  <c r="Q1570" i="2"/>
  <c r="O1571" i="2"/>
  <c r="Q1571" i="2"/>
  <c r="O1572" i="2"/>
  <c r="Q1572" i="2"/>
  <c r="R1572" i="2"/>
  <c r="T1574" i="2"/>
  <c r="K1575" i="2"/>
  <c r="L1575" i="2"/>
  <c r="M1575" i="2"/>
  <c r="K1576" i="2"/>
  <c r="L1576" i="2"/>
  <c r="O1576" i="2"/>
  <c r="Q1576" i="2"/>
  <c r="K1577" i="2"/>
  <c r="K1578" i="2" s="1"/>
  <c r="K1579" i="2" s="1"/>
  <c r="K1580" i="2" s="1"/>
  <c r="K1581" i="2" s="1"/>
  <c r="K1582" i="2" s="1"/>
  <c r="O1577" i="2"/>
  <c r="Q1577" i="2"/>
  <c r="O1578" i="2"/>
  <c r="Q1578" i="2"/>
  <c r="O1579" i="2"/>
  <c r="Q1579" i="2"/>
  <c r="O1580" i="2"/>
  <c r="Q1580" i="2"/>
  <c r="O1581" i="2"/>
  <c r="Q1581" i="2"/>
  <c r="O1582" i="2"/>
  <c r="Q1582" i="2"/>
  <c r="R1582" i="2"/>
  <c r="K1583" i="2"/>
  <c r="K1584" i="2"/>
  <c r="N1584" i="2" s="1"/>
  <c r="T1584" i="2"/>
  <c r="K1585" i="2"/>
  <c r="K1586" i="2" s="1"/>
  <c r="K1587" i="2" s="1"/>
  <c r="K1588" i="2" s="1"/>
  <c r="K1589" i="2" s="1"/>
  <c r="M1585" i="2"/>
  <c r="L1585" i="2" s="1"/>
  <c r="L1586" i="2" s="1"/>
  <c r="O1586" i="2"/>
  <c r="Q1586" i="2"/>
  <c r="O1587" i="2"/>
  <c r="Q1587" i="2"/>
  <c r="O1588" i="2"/>
  <c r="Q1588" i="2"/>
  <c r="O1589" i="2"/>
  <c r="Q1589" i="2"/>
  <c r="K1590" i="2"/>
  <c r="K1591" i="2" s="1"/>
  <c r="K1592" i="2" s="1"/>
  <c r="O1590" i="2"/>
  <c r="Q1590" i="2"/>
  <c r="O1591" i="2"/>
  <c r="Q1591" i="2"/>
  <c r="O1592" i="2"/>
  <c r="Q1592" i="2"/>
  <c r="R1592" i="2"/>
  <c r="K1593" i="2"/>
  <c r="K1594" i="2" s="1"/>
  <c r="N1594" i="2" s="1"/>
  <c r="T1594" i="2"/>
  <c r="K1595" i="2"/>
  <c r="K1596" i="2" s="1"/>
  <c r="K1603" i="2" s="1"/>
  <c r="K1604" i="2" s="1"/>
  <c r="N1604" i="2" s="1"/>
  <c r="L1595" i="2"/>
  <c r="M1595" i="2"/>
  <c r="L1596" i="2"/>
  <c r="L1597" i="2" s="1"/>
  <c r="O1596" i="2"/>
  <c r="Q1596" i="2"/>
  <c r="O1597" i="2"/>
  <c r="Q1597" i="2"/>
  <c r="L1598" i="2"/>
  <c r="L1599" i="2" s="1"/>
  <c r="O1598" i="2"/>
  <c r="Q1598" i="2"/>
  <c r="O1599" i="2"/>
  <c r="Q1599" i="2"/>
  <c r="L1600" i="2"/>
  <c r="L1601" i="2" s="1"/>
  <c r="L1602" i="2" s="1"/>
  <c r="O1600" i="2"/>
  <c r="Q1600" i="2"/>
  <c r="O1601" i="2"/>
  <c r="Q1601" i="2"/>
  <c r="O1602" i="2"/>
  <c r="Q1602" i="2"/>
  <c r="R1602" i="2"/>
  <c r="T1604" i="2"/>
  <c r="K1605" i="2"/>
  <c r="M1605" i="2"/>
  <c r="L1605" i="2" s="1"/>
  <c r="L1606" i="2" s="1"/>
  <c r="L1613" i="2" s="1"/>
  <c r="K1606" i="2"/>
  <c r="K1607" i="2" s="1"/>
  <c r="K1608" i="2" s="1"/>
  <c r="K1609" i="2" s="1"/>
  <c r="K1610" i="2" s="1"/>
  <c r="K1611" i="2" s="1"/>
  <c r="K1612" i="2" s="1"/>
  <c r="O1606" i="2"/>
  <c r="Q1606" i="2"/>
  <c r="O1607" i="2"/>
  <c r="Q1607" i="2"/>
  <c r="O1608" i="2"/>
  <c r="Q1608" i="2"/>
  <c r="O1609" i="2"/>
  <c r="Q1609" i="2"/>
  <c r="O1610" i="2"/>
  <c r="Q1610" i="2"/>
  <c r="O1611" i="2"/>
  <c r="Q1611" i="2"/>
  <c r="O1612" i="2"/>
  <c r="Q1612" i="2"/>
  <c r="R1612" i="2"/>
  <c r="L1614" i="2"/>
  <c r="M1614" i="2" s="1"/>
  <c r="T1614" i="2"/>
  <c r="K1615" i="2"/>
  <c r="K1616" i="2" s="1"/>
  <c r="L1615" i="2"/>
  <c r="L1616" i="2" s="1"/>
  <c r="M1615" i="2"/>
  <c r="O1616" i="2"/>
  <c r="Q1616" i="2"/>
  <c r="K1617" i="2"/>
  <c r="O1617" i="2"/>
  <c r="Q1617" i="2"/>
  <c r="R1617" i="2"/>
  <c r="K1618" i="2"/>
  <c r="K1619" i="2" s="1"/>
  <c r="N1619" i="2" s="1"/>
  <c r="T1619" i="2"/>
  <c r="K1620" i="2"/>
  <c r="L1620" i="2"/>
  <c r="L1621" i="2" s="1"/>
  <c r="M1620" i="2"/>
  <c r="K1621" i="2"/>
  <c r="O1621" i="2"/>
  <c r="Q1621" i="2"/>
  <c r="K1622" i="2"/>
  <c r="O1622" i="2"/>
  <c r="Q1622" i="2"/>
  <c r="R1622" i="2"/>
  <c r="K1623" i="2"/>
  <c r="K1624" i="2" s="1"/>
  <c r="N1624" i="2"/>
  <c r="T1624" i="2"/>
  <c r="D1627" i="2"/>
  <c r="D1628" i="2" s="1"/>
  <c r="D1629" i="2" s="1"/>
  <c r="G1627" i="2"/>
  <c r="G1628" i="2" s="1"/>
  <c r="G1629" i="2" s="1"/>
  <c r="H1627" i="2"/>
  <c r="I1627" i="2"/>
  <c r="J1627" i="2"/>
  <c r="K1628" i="2"/>
  <c r="L1628" i="2"/>
  <c r="L1629" i="2" s="1"/>
  <c r="M1628" i="2"/>
  <c r="K1629" i="2"/>
  <c r="O1629" i="2"/>
  <c r="Q1629" i="2"/>
  <c r="K1630" i="2"/>
  <c r="K1631" i="2" s="1"/>
  <c r="K1632" i="2" s="1"/>
  <c r="K1633" i="2" s="1"/>
  <c r="K1634" i="2" s="1"/>
  <c r="K1635" i="2" s="1"/>
  <c r="O1630" i="2"/>
  <c r="Q1630" i="2"/>
  <c r="O1631" i="2"/>
  <c r="Q1631" i="2"/>
  <c r="O1632" i="2"/>
  <c r="Q1632" i="2"/>
  <c r="O1633" i="2"/>
  <c r="Q1633" i="2"/>
  <c r="O1634" i="2"/>
  <c r="Q1634" i="2"/>
  <c r="O1635" i="2"/>
  <c r="Q1635" i="2"/>
  <c r="R1635" i="2"/>
  <c r="K1636" i="2"/>
  <c r="K1637" i="2"/>
  <c r="N1637" i="2" s="1"/>
  <c r="T1637" i="2"/>
  <c r="K1638" i="2"/>
  <c r="M1638" i="2"/>
  <c r="L1638" i="2" s="1"/>
  <c r="L1639" i="2" s="1"/>
  <c r="K1639" i="2"/>
  <c r="K1640" i="2" s="1"/>
  <c r="O1639" i="2"/>
  <c r="Q1639" i="2"/>
  <c r="L1640" i="2"/>
  <c r="L1641" i="2" s="1"/>
  <c r="L1642" i="2" s="1"/>
  <c r="L1643" i="2" s="1"/>
  <c r="L1644" i="2" s="1"/>
  <c r="L1645" i="2" s="1"/>
  <c r="O1640" i="2"/>
  <c r="Q1640" i="2"/>
  <c r="K1641" i="2"/>
  <c r="K1642" i="2" s="1"/>
  <c r="K1643" i="2" s="1"/>
  <c r="K1644" i="2" s="1"/>
  <c r="K1645" i="2" s="1"/>
  <c r="O1641" i="2"/>
  <c r="Q1641" i="2"/>
  <c r="O1642" i="2"/>
  <c r="Q1642" i="2"/>
  <c r="O1643" i="2"/>
  <c r="Q1643" i="2"/>
  <c r="O1644" i="2"/>
  <c r="Q1644" i="2"/>
  <c r="O1645" i="2"/>
  <c r="Q1645" i="2"/>
  <c r="R1645" i="2"/>
  <c r="L1646" i="2"/>
  <c r="L1647" i="2"/>
  <c r="M1647" i="2"/>
  <c r="T1647" i="2"/>
  <c r="K1648" i="2"/>
  <c r="K1649" i="2" s="1"/>
  <c r="M1648" i="2"/>
  <c r="L1648" i="2" s="1"/>
  <c r="L1649" i="2" s="1"/>
  <c r="O1649" i="2"/>
  <c r="Q1649" i="2"/>
  <c r="O1650" i="2"/>
  <c r="Q1650" i="2"/>
  <c r="O1651" i="2"/>
  <c r="Q1651" i="2"/>
  <c r="R1651" i="2"/>
  <c r="O1652" i="2"/>
  <c r="Q1652" i="2"/>
  <c r="O1653" i="2"/>
  <c r="Q1653" i="2"/>
  <c r="O1654" i="2"/>
  <c r="Q1654" i="2"/>
  <c r="O1655" i="2"/>
  <c r="Q1655" i="2"/>
  <c r="O1656" i="2"/>
  <c r="Q1656" i="2"/>
  <c r="R1656" i="2"/>
  <c r="T1658" i="2"/>
  <c r="K1659" i="2"/>
  <c r="K1660" i="2" s="1"/>
  <c r="L1659" i="2"/>
  <c r="L1660" i="2" s="1"/>
  <c r="M1659" i="2"/>
  <c r="O1660" i="2"/>
  <c r="Q1660" i="2"/>
  <c r="O1661" i="2"/>
  <c r="Q1661" i="2"/>
  <c r="O1662" i="2"/>
  <c r="Q1662" i="2"/>
  <c r="O1663" i="2"/>
  <c r="Q1663" i="2"/>
  <c r="O1664" i="2"/>
  <c r="Q1664" i="2"/>
  <c r="O1665" i="2"/>
  <c r="Q1665" i="2"/>
  <c r="O1666" i="2"/>
  <c r="Q1666" i="2"/>
  <c r="R1666" i="2"/>
  <c r="T1668" i="2"/>
  <c r="K1669" i="2"/>
  <c r="K1670" i="2" s="1"/>
  <c r="M1669" i="2"/>
  <c r="L1669" i="2" s="1"/>
  <c r="L1670" i="2" s="1"/>
  <c r="O1670" i="2"/>
  <c r="Q1670" i="2"/>
  <c r="O1671" i="2"/>
  <c r="Q1671" i="2"/>
  <c r="O1672" i="2"/>
  <c r="Q1672" i="2"/>
  <c r="O1673" i="2"/>
  <c r="Q1673" i="2"/>
  <c r="O1674" i="2"/>
  <c r="Q1674" i="2"/>
  <c r="O1675" i="2"/>
  <c r="Q1675" i="2"/>
  <c r="O1676" i="2"/>
  <c r="Q1676" i="2"/>
  <c r="R1676" i="2"/>
  <c r="T1678" i="2"/>
  <c r="K1679" i="2"/>
  <c r="L1679" i="2"/>
  <c r="L1680" i="2" s="1"/>
  <c r="M1679" i="2"/>
  <c r="K1680" i="2"/>
  <c r="K1681" i="2" s="1"/>
  <c r="K1682" i="2" s="1"/>
  <c r="K1683" i="2" s="1"/>
  <c r="K1684" i="2" s="1"/>
  <c r="K1685" i="2" s="1"/>
  <c r="K1686" i="2" s="1"/>
  <c r="O1680" i="2"/>
  <c r="Q1680" i="2"/>
  <c r="O1681" i="2"/>
  <c r="Q1681" i="2"/>
  <c r="O1682" i="2"/>
  <c r="Q1682" i="2"/>
  <c r="O1683" i="2"/>
  <c r="Q1683" i="2"/>
  <c r="O1684" i="2"/>
  <c r="Q1684" i="2"/>
  <c r="O1685" i="2"/>
  <c r="Q1685" i="2"/>
  <c r="O1686" i="2"/>
  <c r="Q1686" i="2"/>
  <c r="R1686" i="2"/>
  <c r="T1688" i="2"/>
  <c r="T1690" i="2"/>
  <c r="G1691" i="2"/>
  <c r="G1692" i="2" s="1"/>
  <c r="G1693" i="2" s="1"/>
  <c r="H1691" i="2"/>
  <c r="I1691" i="2"/>
  <c r="J1691" i="2"/>
  <c r="D1691" i="2" s="1"/>
  <c r="D1692" i="2" s="1"/>
  <c r="D1693" i="2" s="1"/>
  <c r="K1692" i="2"/>
  <c r="L1692" i="2"/>
  <c r="L1693" i="2" s="1"/>
  <c r="M1692" i="2"/>
  <c r="K1693" i="2"/>
  <c r="K1701" i="2" s="1"/>
  <c r="K1702" i="2" s="1"/>
  <c r="N1702" i="2" s="1"/>
  <c r="O1693" i="2"/>
  <c r="Q1693" i="2"/>
  <c r="O1694" i="2"/>
  <c r="Q1694" i="2"/>
  <c r="O1695" i="2"/>
  <c r="Q1695" i="2"/>
  <c r="R1695" i="2"/>
  <c r="O1696" i="2"/>
  <c r="Q1696" i="2"/>
  <c r="O1697" i="2"/>
  <c r="Q1697" i="2"/>
  <c r="O1698" i="2"/>
  <c r="Q1698" i="2"/>
  <c r="O1699" i="2"/>
  <c r="Q1699" i="2"/>
  <c r="O1700" i="2"/>
  <c r="Q1700" i="2"/>
  <c r="R1700" i="2"/>
  <c r="T1702" i="2"/>
  <c r="K1703" i="2"/>
  <c r="K1704" i="2" s="1"/>
  <c r="L1703" i="2"/>
  <c r="L1704" i="2" s="1"/>
  <c r="M1703" i="2"/>
  <c r="O1704" i="2"/>
  <c r="Q1704" i="2"/>
  <c r="O1705" i="2"/>
  <c r="Q1705" i="2"/>
  <c r="O1706" i="2"/>
  <c r="Q1706" i="2"/>
  <c r="O1707" i="2"/>
  <c r="Q1707" i="2"/>
  <c r="O1708" i="2"/>
  <c r="Q1708" i="2"/>
  <c r="O1709" i="2"/>
  <c r="Q1709" i="2"/>
  <c r="O1710" i="2"/>
  <c r="Q1710" i="2"/>
  <c r="R1710" i="2"/>
  <c r="T1712" i="2"/>
  <c r="T1754" i="2" s="1"/>
  <c r="K1713" i="2"/>
  <c r="K1714" i="2" s="1"/>
  <c r="M1713" i="2"/>
  <c r="L1713" i="2" s="1"/>
  <c r="L1714" i="2" s="1"/>
  <c r="O1714" i="2"/>
  <c r="Q1714" i="2"/>
  <c r="O1715" i="2"/>
  <c r="Q1715" i="2"/>
  <c r="O1716" i="2"/>
  <c r="Q1716" i="2"/>
  <c r="O1717" i="2"/>
  <c r="Q1717" i="2"/>
  <c r="O1718" i="2"/>
  <c r="Q1718" i="2"/>
  <c r="O1719" i="2"/>
  <c r="Q1719" i="2"/>
  <c r="O1720" i="2"/>
  <c r="Q1720" i="2"/>
  <c r="R1720" i="2"/>
  <c r="T1722" i="2"/>
  <c r="K1723" i="2"/>
  <c r="M1723" i="2"/>
  <c r="L1723" i="2" s="1"/>
  <c r="L1724" i="2" s="1"/>
  <c r="K1724" i="2"/>
  <c r="K1731" i="2" s="1"/>
  <c r="K1732" i="2" s="1"/>
  <c r="N1732" i="2" s="1"/>
  <c r="O1724" i="2"/>
  <c r="Q1724" i="2"/>
  <c r="K1725" i="2"/>
  <c r="K1726" i="2" s="1"/>
  <c r="K1727" i="2" s="1"/>
  <c r="K1728" i="2" s="1"/>
  <c r="K1729" i="2" s="1"/>
  <c r="K1730" i="2" s="1"/>
  <c r="O1725" i="2"/>
  <c r="Q1725" i="2"/>
  <c r="O1726" i="2"/>
  <c r="Q1726" i="2"/>
  <c r="O1727" i="2"/>
  <c r="Q1727" i="2"/>
  <c r="O1728" i="2"/>
  <c r="Q1728" i="2"/>
  <c r="O1729" i="2"/>
  <c r="Q1729" i="2"/>
  <c r="O1730" i="2"/>
  <c r="Q1730" i="2"/>
  <c r="R1730" i="2"/>
  <c r="T1732" i="2"/>
  <c r="K1733" i="2"/>
  <c r="K1734" i="2" s="1"/>
  <c r="M1733" i="2"/>
  <c r="L1733" i="2" s="1"/>
  <c r="L1734" i="2" s="1"/>
  <c r="O1734" i="2"/>
  <c r="Q1734" i="2"/>
  <c r="O1735" i="2"/>
  <c r="Q1735" i="2"/>
  <c r="O1736" i="2"/>
  <c r="Q1736" i="2"/>
  <c r="O1737" i="2"/>
  <c r="Q1737" i="2"/>
  <c r="O1738" i="2"/>
  <c r="Q1738" i="2"/>
  <c r="O1739" i="2"/>
  <c r="Q1739" i="2"/>
  <c r="O1740" i="2"/>
  <c r="Q1740" i="2"/>
  <c r="R1740" i="2"/>
  <c r="T1742" i="2"/>
  <c r="K1743" i="2"/>
  <c r="K1744" i="2" s="1"/>
  <c r="M1743" i="2"/>
  <c r="L1743" i="2" s="1"/>
  <c r="L1744" i="2" s="1"/>
  <c r="O1744" i="2"/>
  <c r="Q1744" i="2"/>
  <c r="O1745" i="2"/>
  <c r="Q1745" i="2"/>
  <c r="O1746" i="2"/>
  <c r="Q1746" i="2"/>
  <c r="O1747" i="2"/>
  <c r="Q1747" i="2"/>
  <c r="O1748" i="2"/>
  <c r="Q1748" i="2"/>
  <c r="O1749" i="2"/>
  <c r="Q1749" i="2"/>
  <c r="O1750" i="2"/>
  <c r="Q1750" i="2"/>
  <c r="R1750" i="2"/>
  <c r="T1752" i="2"/>
  <c r="D1755" i="2"/>
  <c r="D1756" i="2" s="1"/>
  <c r="D1757" i="2" s="1"/>
  <c r="H1755" i="2"/>
  <c r="G1755" i="2" s="1"/>
  <c r="G1756" i="2" s="1"/>
  <c r="G1757" i="2" s="1"/>
  <c r="I1755" i="2"/>
  <c r="J1755" i="2"/>
  <c r="K1756" i="2"/>
  <c r="K1757" i="2" s="1"/>
  <c r="M1756" i="2"/>
  <c r="L1756" i="2" s="1"/>
  <c r="L1757" i="2" s="1"/>
  <c r="O1757" i="2"/>
  <c r="Q1757" i="2"/>
  <c r="O1758" i="2"/>
  <c r="Q1758" i="2"/>
  <c r="O1759" i="2"/>
  <c r="Q1759" i="2"/>
  <c r="R1759" i="2"/>
  <c r="O1760" i="2"/>
  <c r="Q1760" i="2"/>
  <c r="O1761" i="2"/>
  <c r="Q1761" i="2"/>
  <c r="O1762" i="2"/>
  <c r="Q1762" i="2"/>
  <c r="O1763" i="2"/>
  <c r="Q1763" i="2"/>
  <c r="O1764" i="2"/>
  <c r="Q1764" i="2"/>
  <c r="R1764" i="2"/>
  <c r="T1766" i="2"/>
  <c r="K1767" i="2"/>
  <c r="L1767" i="2"/>
  <c r="L1768" i="2" s="1"/>
  <c r="M1767" i="2"/>
  <c r="K1768" i="2"/>
  <c r="K1769" i="2" s="1"/>
  <c r="K1770" i="2" s="1"/>
  <c r="K1771" i="2" s="1"/>
  <c r="K1772" i="2" s="1"/>
  <c r="K1773" i="2" s="1"/>
  <c r="K1774" i="2" s="1"/>
  <c r="O1768" i="2"/>
  <c r="Q1768" i="2"/>
  <c r="O1769" i="2"/>
  <c r="Q1769" i="2"/>
  <c r="O1770" i="2"/>
  <c r="Q1770" i="2"/>
  <c r="O1771" i="2"/>
  <c r="Q1771" i="2"/>
  <c r="O1772" i="2"/>
  <c r="Q1772" i="2"/>
  <c r="O1773" i="2"/>
  <c r="Q1773" i="2"/>
  <c r="O1774" i="2"/>
  <c r="Q1774" i="2"/>
  <c r="R1774" i="2"/>
  <c r="T1776" i="2"/>
  <c r="K1777" i="2"/>
  <c r="L1777" i="2"/>
  <c r="L1778" i="2" s="1"/>
  <c r="M1777" i="2"/>
  <c r="K1778" i="2"/>
  <c r="K1785" i="2" s="1"/>
  <c r="K1786" i="2" s="1"/>
  <c r="N1786" i="2" s="1"/>
  <c r="O1778" i="2"/>
  <c r="Q1778" i="2"/>
  <c r="O1779" i="2"/>
  <c r="Q1779" i="2"/>
  <c r="O1780" i="2"/>
  <c r="Q1780" i="2"/>
  <c r="O1781" i="2"/>
  <c r="Q1781" i="2"/>
  <c r="O1782" i="2"/>
  <c r="Q1782" i="2"/>
  <c r="O1783" i="2"/>
  <c r="Q1783" i="2"/>
  <c r="O1784" i="2"/>
  <c r="Q1784" i="2"/>
  <c r="R1784" i="2"/>
  <c r="T1786" i="2"/>
  <c r="K1787" i="2"/>
  <c r="K1788" i="2" s="1"/>
  <c r="L1787" i="2"/>
  <c r="L1788" i="2" s="1"/>
  <c r="M1787" i="2"/>
  <c r="O1788" i="2"/>
  <c r="Q1788" i="2"/>
  <c r="O1789" i="2"/>
  <c r="Q1789" i="2"/>
  <c r="O1790" i="2"/>
  <c r="Q1790" i="2"/>
  <c r="O1791" i="2"/>
  <c r="Q1791" i="2"/>
  <c r="O1792" i="2"/>
  <c r="Q1792" i="2"/>
  <c r="O1793" i="2"/>
  <c r="Q1793" i="2"/>
  <c r="O1794" i="2"/>
  <c r="Q1794" i="2"/>
  <c r="R1794" i="2"/>
  <c r="T1796" i="2"/>
  <c r="K1797" i="2"/>
  <c r="K1798" i="2" s="1"/>
  <c r="M1797" i="2"/>
  <c r="L1797" i="2" s="1"/>
  <c r="L1798" i="2" s="1"/>
  <c r="O1798" i="2"/>
  <c r="Q1798" i="2"/>
  <c r="O1799" i="2"/>
  <c r="Q1799" i="2"/>
  <c r="O1800" i="2"/>
  <c r="Q1800" i="2"/>
  <c r="O1801" i="2"/>
  <c r="Q1801" i="2"/>
  <c r="O1802" i="2"/>
  <c r="Q1802" i="2"/>
  <c r="O1803" i="2"/>
  <c r="Q1803" i="2"/>
  <c r="O1804" i="2"/>
  <c r="Q1804" i="2"/>
  <c r="R1804" i="2"/>
  <c r="T1806" i="2"/>
  <c r="K1807" i="2"/>
  <c r="M1807" i="2"/>
  <c r="L1807" i="2" s="1"/>
  <c r="L1808" i="2" s="1"/>
  <c r="L1809" i="2" s="1"/>
  <c r="L1810" i="2" s="1"/>
  <c r="L1811" i="2" s="1"/>
  <c r="L1812" i="2" s="1"/>
  <c r="L1813" i="2" s="1"/>
  <c r="L1814" i="2" s="1"/>
  <c r="K1808" i="2"/>
  <c r="O1808" i="2"/>
  <c r="Q1808" i="2"/>
  <c r="K1809" i="2"/>
  <c r="K1810" i="2" s="1"/>
  <c r="K1811" i="2" s="1"/>
  <c r="K1812" i="2" s="1"/>
  <c r="K1813" i="2" s="1"/>
  <c r="K1814" i="2" s="1"/>
  <c r="O1809" i="2"/>
  <c r="Q1809" i="2"/>
  <c r="O1810" i="2"/>
  <c r="Q1810" i="2"/>
  <c r="O1811" i="2"/>
  <c r="Q1811" i="2"/>
  <c r="O1812" i="2"/>
  <c r="Q1812" i="2"/>
  <c r="O1813" i="2"/>
  <c r="Q1813" i="2"/>
  <c r="O1814" i="2"/>
  <c r="Q1814" i="2"/>
  <c r="R1814" i="2"/>
  <c r="E6" i="1"/>
  <c r="E7" i="1"/>
  <c r="E8" i="1"/>
  <c r="E9" i="1"/>
  <c r="C443" i="2"/>
  <c r="C444" i="2" s="1"/>
  <c r="C445" i="2" s="1"/>
  <c r="C385" i="2"/>
  <c r="C386" i="2" s="1"/>
  <c r="C387" i="2" s="1"/>
  <c r="C318" i="2"/>
  <c r="C319" i="2" s="1"/>
  <c r="C320" i="2" s="1"/>
  <c r="C846" i="2"/>
  <c r="C847" i="2" s="1"/>
  <c r="C848" i="2" s="1"/>
  <c r="C778" i="2"/>
  <c r="C779" i="2" s="1"/>
  <c r="C780" i="2" s="1"/>
  <c r="C710" i="2"/>
  <c r="C711" i="2" s="1"/>
  <c r="C712" i="2" s="1"/>
  <c r="C647" i="2"/>
  <c r="C648" i="2" s="1"/>
  <c r="C649" i="2" s="1"/>
  <c r="C579" i="2"/>
  <c r="C580" i="2" s="1"/>
  <c r="C581" i="2" s="1"/>
  <c r="C1421" i="2"/>
  <c r="C1422" i="2" s="1"/>
  <c r="C1423" i="2" s="1"/>
  <c r="C1478" i="2"/>
  <c r="C1479" i="2" s="1"/>
  <c r="C1480" i="2" s="1"/>
  <c r="C1352" i="2"/>
  <c r="C1353" i="2" s="1"/>
  <c r="C1354" i="2" s="1"/>
  <c r="C1289" i="2"/>
  <c r="C1290" i="2" s="1"/>
  <c r="C1291" i="2" s="1"/>
  <c r="C1231" i="2"/>
  <c r="C1232" i="2" s="1"/>
  <c r="C1233" i="2" s="1"/>
  <c r="C1167" i="2"/>
  <c r="C1168" i="2" s="1"/>
  <c r="C1169" i="2" s="1"/>
  <c r="C1100" i="2"/>
  <c r="C1101" i="2" s="1"/>
  <c r="C1102" i="2" s="1"/>
  <c r="C1042" i="2"/>
  <c r="C1043" i="2" s="1"/>
  <c r="C1044" i="2" s="1"/>
  <c r="C975" i="2"/>
  <c r="C976" i="2" s="1"/>
  <c r="C977" i="2" s="1"/>
  <c r="C1755" i="2"/>
  <c r="C1756" i="2" s="1"/>
  <c r="C1757" i="2" s="1"/>
  <c r="C1691" i="2"/>
  <c r="C1692" i="2" s="1"/>
  <c r="C1693" i="2" s="1"/>
  <c r="C199" i="2"/>
  <c r="C200" i="2" s="1"/>
  <c r="C201" i="2" s="1"/>
  <c r="C207" i="2" s="1"/>
  <c r="C208" i="2" s="1"/>
  <c r="C255" i="2" s="1"/>
  <c r="C256" i="2" s="1"/>
  <c r="I256" i="2" s="1"/>
  <c r="C136" i="2"/>
  <c r="C137" i="2" s="1"/>
  <c r="C138" i="2" s="1"/>
  <c r="C145" i="2" s="1"/>
  <c r="C146" i="2" s="1"/>
  <c r="C197" i="2" s="1"/>
  <c r="C198" i="2" s="1"/>
  <c r="I198" i="2" s="1"/>
  <c r="C78" i="2"/>
  <c r="C79" i="2" s="1"/>
  <c r="C80" i="2" s="1"/>
  <c r="F1820" i="2"/>
  <c r="H8" i="2"/>
  <c r="H7" i="2"/>
  <c r="H5" i="2"/>
  <c r="D7" i="1"/>
  <c r="H6" i="2" s="1"/>
  <c r="D5" i="1"/>
  <c r="H4" i="2" s="1"/>
  <c r="K1715" i="2" l="1"/>
  <c r="K1716" i="2" s="1"/>
  <c r="K1717" i="2" s="1"/>
  <c r="K1718" i="2" s="1"/>
  <c r="K1719" i="2" s="1"/>
  <c r="K1720" i="2" s="1"/>
  <c r="K1721" i="2"/>
  <c r="K1722" i="2" s="1"/>
  <c r="N1722" i="2" s="1"/>
  <c r="L1799" i="2"/>
  <c r="L1800" i="2" s="1"/>
  <c r="L1801" i="2" s="1"/>
  <c r="L1802" i="2" s="1"/>
  <c r="L1803" i="2" s="1"/>
  <c r="L1804" i="2" s="1"/>
  <c r="L1805" i="2"/>
  <c r="L1806" i="2" s="1"/>
  <c r="M1806" i="2" s="1"/>
  <c r="L1765" i="2"/>
  <c r="L1766" i="2" s="1"/>
  <c r="M1766" i="2" s="1"/>
  <c r="L1758" i="2"/>
  <c r="L1759" i="2" s="1"/>
  <c r="L1760" i="2" s="1"/>
  <c r="L1761" i="2" s="1"/>
  <c r="L1762" i="2" s="1"/>
  <c r="L1763" i="2" s="1"/>
  <c r="L1764" i="2" s="1"/>
  <c r="L1735" i="2"/>
  <c r="L1736" i="2" s="1"/>
  <c r="L1737" i="2" s="1"/>
  <c r="L1738" i="2" s="1"/>
  <c r="L1739" i="2" s="1"/>
  <c r="L1740" i="2" s="1"/>
  <c r="L1741" i="2"/>
  <c r="L1742" i="2" s="1"/>
  <c r="M1742" i="2" s="1"/>
  <c r="L1701" i="2"/>
  <c r="L1702" i="2" s="1"/>
  <c r="M1702" i="2" s="1"/>
  <c r="L1694" i="2"/>
  <c r="L1695" i="2" s="1"/>
  <c r="L1696" i="2" s="1"/>
  <c r="L1697" i="2" s="1"/>
  <c r="L1698" i="2" s="1"/>
  <c r="L1699" i="2" s="1"/>
  <c r="L1700" i="2" s="1"/>
  <c r="D1630" i="2"/>
  <c r="D1631" i="2" s="1"/>
  <c r="D1632" i="2" s="1"/>
  <c r="D1633" i="2" s="1"/>
  <c r="D1634" i="2" s="1"/>
  <c r="D1635" i="2" s="1"/>
  <c r="D1636" i="2"/>
  <c r="D1637" i="2" s="1"/>
  <c r="L1557" i="2"/>
  <c r="L1558" i="2" s="1"/>
  <c r="L1559" i="2" s="1"/>
  <c r="L1560" i="2" s="1"/>
  <c r="L1561" i="2" s="1"/>
  <c r="L1562" i="2" s="1"/>
  <c r="L1563" i="2"/>
  <c r="L1564" i="2" s="1"/>
  <c r="M1564" i="2" s="1"/>
  <c r="L1785" i="2"/>
  <c r="L1786" i="2" s="1"/>
  <c r="M1786" i="2" s="1"/>
  <c r="L1779" i="2"/>
  <c r="L1780" i="2" s="1"/>
  <c r="L1781" i="2" s="1"/>
  <c r="L1782" i="2" s="1"/>
  <c r="L1783" i="2" s="1"/>
  <c r="L1784" i="2" s="1"/>
  <c r="K1735" i="2"/>
  <c r="K1736" i="2" s="1"/>
  <c r="K1737" i="2" s="1"/>
  <c r="K1738" i="2" s="1"/>
  <c r="K1739" i="2" s="1"/>
  <c r="K1740" i="2" s="1"/>
  <c r="K1741" i="2"/>
  <c r="K1742" i="2" s="1"/>
  <c r="N1742" i="2" s="1"/>
  <c r="K1705" i="2"/>
  <c r="K1706" i="2" s="1"/>
  <c r="K1707" i="2" s="1"/>
  <c r="K1708" i="2" s="1"/>
  <c r="K1709" i="2" s="1"/>
  <c r="K1710" i="2" s="1"/>
  <c r="K1711" i="2"/>
  <c r="K1712" i="2" s="1"/>
  <c r="N1712" i="2" s="1"/>
  <c r="D1694" i="2"/>
  <c r="D1695" i="2" s="1"/>
  <c r="D1696" i="2" s="1"/>
  <c r="D1697" i="2" s="1"/>
  <c r="D1698" i="2" s="1"/>
  <c r="D1699" i="2" s="1"/>
  <c r="D1700" i="2" s="1"/>
  <c r="D1701" i="2"/>
  <c r="D1702" i="2" s="1"/>
  <c r="L1630" i="2"/>
  <c r="L1631" i="2" s="1"/>
  <c r="L1632" i="2" s="1"/>
  <c r="L1633" i="2" s="1"/>
  <c r="L1634" i="2" s="1"/>
  <c r="L1635" i="2" s="1"/>
  <c r="L1636" i="2"/>
  <c r="L1637" i="2" s="1"/>
  <c r="M1637" i="2" s="1"/>
  <c r="K1667" i="2"/>
  <c r="K1668" i="2" s="1"/>
  <c r="N1668" i="2" s="1"/>
  <c r="K1661" i="2"/>
  <c r="K1662" i="2" s="1"/>
  <c r="K1663" i="2" s="1"/>
  <c r="K1664" i="2" s="1"/>
  <c r="K1665" i="2" s="1"/>
  <c r="K1666" i="2" s="1"/>
  <c r="K1765" i="2"/>
  <c r="K1766" i="2" s="1"/>
  <c r="N1766" i="2" s="1"/>
  <c r="K1758" i="2"/>
  <c r="K1759" i="2" s="1"/>
  <c r="K1760" i="2" s="1"/>
  <c r="K1761" i="2" s="1"/>
  <c r="K1762" i="2" s="1"/>
  <c r="K1763" i="2" s="1"/>
  <c r="K1764" i="2" s="1"/>
  <c r="L1789" i="2"/>
  <c r="L1790" i="2" s="1"/>
  <c r="L1791" i="2" s="1"/>
  <c r="L1792" i="2" s="1"/>
  <c r="L1793" i="2" s="1"/>
  <c r="L1794" i="2" s="1"/>
  <c r="L1795" i="2"/>
  <c r="L1796" i="2" s="1"/>
  <c r="M1796" i="2" s="1"/>
  <c r="L1775" i="2"/>
  <c r="L1776" i="2" s="1"/>
  <c r="M1776" i="2" s="1"/>
  <c r="L1769" i="2"/>
  <c r="L1770" i="2" s="1"/>
  <c r="L1771" i="2" s="1"/>
  <c r="L1772" i="2" s="1"/>
  <c r="L1773" i="2" s="1"/>
  <c r="L1774" i="2" s="1"/>
  <c r="L1677" i="2"/>
  <c r="L1678" i="2" s="1"/>
  <c r="M1678" i="2" s="1"/>
  <c r="L1671" i="2"/>
  <c r="L1672" i="2" s="1"/>
  <c r="L1673" i="2" s="1"/>
  <c r="L1674" i="2" s="1"/>
  <c r="L1675" i="2" s="1"/>
  <c r="L1676" i="2" s="1"/>
  <c r="L1650" i="2"/>
  <c r="L1651" i="2" s="1"/>
  <c r="L1652" i="2" s="1"/>
  <c r="L1653" i="2" s="1"/>
  <c r="L1654" i="2" s="1"/>
  <c r="L1655" i="2" s="1"/>
  <c r="L1656" i="2" s="1"/>
  <c r="L1657" i="2"/>
  <c r="L1658" i="2" s="1"/>
  <c r="M1658" i="2" s="1"/>
  <c r="K1799" i="2"/>
  <c r="K1800" i="2" s="1"/>
  <c r="K1801" i="2" s="1"/>
  <c r="K1802" i="2" s="1"/>
  <c r="K1803" i="2" s="1"/>
  <c r="K1804" i="2" s="1"/>
  <c r="K1805" i="2"/>
  <c r="K1806" i="2" s="1"/>
  <c r="N1806" i="2" s="1"/>
  <c r="L1711" i="2"/>
  <c r="L1712" i="2" s="1"/>
  <c r="M1712" i="2" s="1"/>
  <c r="L1705" i="2"/>
  <c r="L1706" i="2" s="1"/>
  <c r="L1707" i="2" s="1"/>
  <c r="L1708" i="2" s="1"/>
  <c r="L1709" i="2" s="1"/>
  <c r="L1710" i="2" s="1"/>
  <c r="G1758" i="2"/>
  <c r="G1759" i="2" s="1"/>
  <c r="G1760" i="2" s="1"/>
  <c r="G1761" i="2" s="1"/>
  <c r="G1762" i="2" s="1"/>
  <c r="G1763" i="2" s="1"/>
  <c r="G1764" i="2" s="1"/>
  <c r="G1765" i="2"/>
  <c r="G1766" i="2" s="1"/>
  <c r="G1767" i="2" s="1"/>
  <c r="G1768" i="2" s="1"/>
  <c r="L1731" i="2"/>
  <c r="L1732" i="2" s="1"/>
  <c r="M1732" i="2" s="1"/>
  <c r="L1725" i="2"/>
  <c r="L1726" i="2" s="1"/>
  <c r="L1727" i="2" s="1"/>
  <c r="L1728" i="2" s="1"/>
  <c r="L1729" i="2" s="1"/>
  <c r="L1730" i="2" s="1"/>
  <c r="K1671" i="2"/>
  <c r="K1672" i="2" s="1"/>
  <c r="K1673" i="2" s="1"/>
  <c r="K1674" i="2" s="1"/>
  <c r="K1675" i="2" s="1"/>
  <c r="K1676" i="2" s="1"/>
  <c r="K1677" i="2"/>
  <c r="K1678" i="2" s="1"/>
  <c r="N1678" i="2" s="1"/>
  <c r="K1650" i="2"/>
  <c r="K1651" i="2" s="1"/>
  <c r="K1652" i="2" s="1"/>
  <c r="K1653" i="2" s="1"/>
  <c r="K1654" i="2" s="1"/>
  <c r="K1655" i="2" s="1"/>
  <c r="K1656" i="2" s="1"/>
  <c r="K1657" i="2"/>
  <c r="K1658" i="2" s="1"/>
  <c r="N1658" i="2" s="1"/>
  <c r="L1622" i="2"/>
  <c r="L1623" i="2"/>
  <c r="L1624" i="2" s="1"/>
  <c r="M1624" i="2" s="1"/>
  <c r="D1758" i="2"/>
  <c r="D1759" i="2" s="1"/>
  <c r="D1760" i="2" s="1"/>
  <c r="D1761" i="2" s="1"/>
  <c r="D1762" i="2" s="1"/>
  <c r="D1763" i="2" s="1"/>
  <c r="D1764" i="2" s="1"/>
  <c r="D1765" i="2"/>
  <c r="D1766" i="2" s="1"/>
  <c r="D1767" i="2" s="1"/>
  <c r="D1768" i="2" s="1"/>
  <c r="G1701" i="2"/>
  <c r="G1702" i="2" s="1"/>
  <c r="G1694" i="2"/>
  <c r="G1695" i="2" s="1"/>
  <c r="G1696" i="2" s="1"/>
  <c r="G1697" i="2" s="1"/>
  <c r="G1698" i="2" s="1"/>
  <c r="G1699" i="2" s="1"/>
  <c r="G1700" i="2" s="1"/>
  <c r="K1751" i="2"/>
  <c r="K1752" i="2" s="1"/>
  <c r="N1752" i="2" s="1"/>
  <c r="K1745" i="2"/>
  <c r="K1746" i="2" s="1"/>
  <c r="K1747" i="2" s="1"/>
  <c r="K1748" i="2" s="1"/>
  <c r="K1749" i="2" s="1"/>
  <c r="K1750" i="2" s="1"/>
  <c r="G1630" i="2"/>
  <c r="G1631" i="2" s="1"/>
  <c r="G1632" i="2" s="1"/>
  <c r="G1633" i="2" s="1"/>
  <c r="G1634" i="2" s="1"/>
  <c r="G1635" i="2" s="1"/>
  <c r="G1636" i="2"/>
  <c r="G1637" i="2" s="1"/>
  <c r="L1681" i="2"/>
  <c r="L1682" i="2" s="1"/>
  <c r="L1683" i="2" s="1"/>
  <c r="L1684" i="2" s="1"/>
  <c r="L1685" i="2" s="1"/>
  <c r="L1686" i="2" s="1"/>
  <c r="L1687" i="2"/>
  <c r="L1688" i="2" s="1"/>
  <c r="M1688" i="2" s="1"/>
  <c r="K1789" i="2"/>
  <c r="K1790" i="2" s="1"/>
  <c r="K1791" i="2" s="1"/>
  <c r="K1792" i="2" s="1"/>
  <c r="K1793" i="2" s="1"/>
  <c r="K1794" i="2" s="1"/>
  <c r="K1795" i="2"/>
  <c r="K1796" i="2" s="1"/>
  <c r="N1796" i="2" s="1"/>
  <c r="L1745" i="2"/>
  <c r="L1746" i="2" s="1"/>
  <c r="L1747" i="2" s="1"/>
  <c r="L1748" i="2" s="1"/>
  <c r="L1749" i="2" s="1"/>
  <c r="L1750" i="2" s="1"/>
  <c r="L1751" i="2"/>
  <c r="L1752" i="2" s="1"/>
  <c r="M1752" i="2" s="1"/>
  <c r="L1715" i="2"/>
  <c r="L1716" i="2" s="1"/>
  <c r="L1717" i="2" s="1"/>
  <c r="L1718" i="2" s="1"/>
  <c r="L1719" i="2" s="1"/>
  <c r="L1720" i="2" s="1"/>
  <c r="L1721" i="2"/>
  <c r="L1722" i="2" s="1"/>
  <c r="M1722" i="2" s="1"/>
  <c r="L1661" i="2"/>
  <c r="L1662" i="2" s="1"/>
  <c r="L1663" i="2" s="1"/>
  <c r="L1664" i="2" s="1"/>
  <c r="L1665" i="2" s="1"/>
  <c r="L1666" i="2" s="1"/>
  <c r="L1667" i="2"/>
  <c r="L1668" i="2" s="1"/>
  <c r="M1668" i="2" s="1"/>
  <c r="G1557" i="2"/>
  <c r="G1558" i="2" s="1"/>
  <c r="G1559" i="2" s="1"/>
  <c r="G1560" i="2" s="1"/>
  <c r="G1561" i="2" s="1"/>
  <c r="G1562" i="2" s="1"/>
  <c r="G1563" i="2"/>
  <c r="G1564" i="2" s="1"/>
  <c r="K1779" i="2"/>
  <c r="K1780" i="2" s="1"/>
  <c r="K1781" i="2" s="1"/>
  <c r="K1782" i="2" s="1"/>
  <c r="K1783" i="2" s="1"/>
  <c r="K1784" i="2" s="1"/>
  <c r="K1694" i="2"/>
  <c r="K1695" i="2" s="1"/>
  <c r="K1696" i="2" s="1"/>
  <c r="K1697" i="2" s="1"/>
  <c r="K1698" i="2" s="1"/>
  <c r="K1699" i="2" s="1"/>
  <c r="K1700" i="2" s="1"/>
  <c r="D1557" i="2"/>
  <c r="D1558" i="2" s="1"/>
  <c r="D1559" i="2" s="1"/>
  <c r="D1560" i="2" s="1"/>
  <c r="D1561" i="2" s="1"/>
  <c r="D1562" i="2" s="1"/>
  <c r="D1563" i="2"/>
  <c r="D1564" i="2" s="1"/>
  <c r="L1546" i="2"/>
  <c r="L1547" i="2"/>
  <c r="L1548" i="2" s="1"/>
  <c r="M1548" i="2" s="1"/>
  <c r="L1481" i="2"/>
  <c r="L1482" i="2" s="1"/>
  <c r="L1483" i="2" s="1"/>
  <c r="L1484" i="2" s="1"/>
  <c r="L1485" i="2" s="1"/>
  <c r="L1486" i="2" s="1"/>
  <c r="L1487" i="2"/>
  <c r="L1488" i="2" s="1"/>
  <c r="M1488" i="2" s="1"/>
  <c r="L1438" i="2"/>
  <c r="L1439" i="2" s="1"/>
  <c r="M1439" i="2" s="1"/>
  <c r="L1433" i="2"/>
  <c r="L1434" i="2" s="1"/>
  <c r="L1435" i="2" s="1"/>
  <c r="L1436" i="2" s="1"/>
  <c r="L1437" i="2" s="1"/>
  <c r="L1416" i="2"/>
  <c r="L1417" i="2"/>
  <c r="L1418" i="2" s="1"/>
  <c r="M1418" i="2" s="1"/>
  <c r="K1546" i="2"/>
  <c r="K1547" i="2"/>
  <c r="K1548" i="2" s="1"/>
  <c r="N1548" i="2" s="1"/>
  <c r="D1501" i="2"/>
  <c r="D1502" i="2" s="1"/>
  <c r="D1503" i="2" s="1"/>
  <c r="D1504" i="2" s="1"/>
  <c r="D1505" i="2" s="1"/>
  <c r="D1506" i="2" s="1"/>
  <c r="D1507" i="2"/>
  <c r="D1508" i="2" s="1"/>
  <c r="D1509" i="2" s="1"/>
  <c r="D1510" i="2" s="1"/>
  <c r="K1481" i="2"/>
  <c r="K1482" i="2" s="1"/>
  <c r="K1483" i="2" s="1"/>
  <c r="K1484" i="2" s="1"/>
  <c r="K1485" i="2" s="1"/>
  <c r="K1486" i="2" s="1"/>
  <c r="K1487" i="2"/>
  <c r="K1488" i="2" s="1"/>
  <c r="N1488" i="2" s="1"/>
  <c r="L1474" i="2"/>
  <c r="L1475" i="2" s="1"/>
  <c r="M1475" i="2" s="1"/>
  <c r="L1469" i="2"/>
  <c r="L1470" i="2" s="1"/>
  <c r="L1471" i="2" s="1"/>
  <c r="L1472" i="2" s="1"/>
  <c r="L1473" i="2" s="1"/>
  <c r="K1438" i="2"/>
  <c r="K1439" i="2" s="1"/>
  <c r="N1439" i="2" s="1"/>
  <c r="K1433" i="2"/>
  <c r="K1434" i="2" s="1"/>
  <c r="K1435" i="2" s="1"/>
  <c r="K1436" i="2" s="1"/>
  <c r="K1437" i="2" s="1"/>
  <c r="K1531" i="2"/>
  <c r="K1532" i="2" s="1"/>
  <c r="K1533" i="2" s="1"/>
  <c r="K1534" i="2" s="1"/>
  <c r="K1535" i="2" s="1"/>
  <c r="K1536" i="2" s="1"/>
  <c r="K1537" i="2"/>
  <c r="K1538" i="2" s="1"/>
  <c r="N1538" i="2" s="1"/>
  <c r="K1775" i="2"/>
  <c r="K1776" i="2" s="1"/>
  <c r="N1776" i="2" s="1"/>
  <c r="K1687" i="2"/>
  <c r="K1688" i="2" s="1"/>
  <c r="N1688" i="2" s="1"/>
  <c r="K1613" i="2"/>
  <c r="K1614" i="2" s="1"/>
  <c r="N1614" i="2" s="1"/>
  <c r="L1583" i="2"/>
  <c r="L1584" i="2" s="1"/>
  <c r="M1584" i="2" s="1"/>
  <c r="L1577" i="2"/>
  <c r="L1578" i="2" s="1"/>
  <c r="L1579" i="2" s="1"/>
  <c r="L1580" i="2" s="1"/>
  <c r="L1581" i="2" s="1"/>
  <c r="L1582" i="2" s="1"/>
  <c r="E1557" i="2"/>
  <c r="E1558" i="2" s="1"/>
  <c r="E1559" i="2" s="1"/>
  <c r="E1560" i="2" s="1"/>
  <c r="E1561" i="2" s="1"/>
  <c r="E1562" i="2" s="1"/>
  <c r="E1563" i="2"/>
  <c r="E1564" i="2" s="1"/>
  <c r="L1521" i="2"/>
  <c r="L1522" i="2" s="1"/>
  <c r="L1523" i="2" s="1"/>
  <c r="L1524" i="2" s="1"/>
  <c r="L1525" i="2" s="1"/>
  <c r="L1526" i="2" s="1"/>
  <c r="K1474" i="2"/>
  <c r="K1475" i="2" s="1"/>
  <c r="N1475" i="2" s="1"/>
  <c r="K1469" i="2"/>
  <c r="K1470" i="2" s="1"/>
  <c r="K1471" i="2" s="1"/>
  <c r="K1472" i="2" s="1"/>
  <c r="K1473" i="2" s="1"/>
  <c r="L1460" i="2"/>
  <c r="L1461" i="2" s="1"/>
  <c r="L1462" i="2" s="1"/>
  <c r="L1463" i="2" s="1"/>
  <c r="L1464" i="2" s="1"/>
  <c r="G1429" i="2"/>
  <c r="G1430" i="2" s="1"/>
  <c r="G1424" i="2"/>
  <c r="G1425" i="2" s="1"/>
  <c r="G1426" i="2" s="1"/>
  <c r="G1427" i="2" s="1"/>
  <c r="G1428" i="2" s="1"/>
  <c r="L1360" i="2"/>
  <c r="L1361" i="2" s="1"/>
  <c r="M1361" i="2" s="1"/>
  <c r="L1355" i="2"/>
  <c r="L1356" i="2" s="1"/>
  <c r="L1357" i="2" s="1"/>
  <c r="L1358" i="2" s="1"/>
  <c r="L1359" i="2" s="1"/>
  <c r="L1491" i="2"/>
  <c r="L1492" i="2" s="1"/>
  <c r="L1493" i="2" s="1"/>
  <c r="L1494" i="2" s="1"/>
  <c r="L1495" i="2" s="1"/>
  <c r="L1496" i="2" s="1"/>
  <c r="L1497" i="2"/>
  <c r="L1498" i="2" s="1"/>
  <c r="M1498" i="2" s="1"/>
  <c r="L1617" i="2"/>
  <c r="L1618" i="2"/>
  <c r="L1619" i="2" s="1"/>
  <c r="M1619" i="2" s="1"/>
  <c r="L1607" i="2"/>
  <c r="L1608" i="2" s="1"/>
  <c r="L1609" i="2" s="1"/>
  <c r="L1610" i="2" s="1"/>
  <c r="L1611" i="2" s="1"/>
  <c r="L1612" i="2" s="1"/>
  <c r="K1332" i="2"/>
  <c r="K1333" i="2" s="1"/>
  <c r="K1334" i="2" s="1"/>
  <c r="K1335" i="2" s="1"/>
  <c r="K1336" i="2" s="1"/>
  <c r="K1337" i="2" s="1"/>
  <c r="K1338" i="2"/>
  <c r="K1339" i="2" s="1"/>
  <c r="N1339" i="2" s="1"/>
  <c r="L1308" i="2"/>
  <c r="L1309" i="2" s="1"/>
  <c r="M1309" i="2" s="1"/>
  <c r="L1302" i="2"/>
  <c r="L1303" i="2" s="1"/>
  <c r="L1304" i="2" s="1"/>
  <c r="L1305" i="2" s="1"/>
  <c r="L1306" i="2" s="1"/>
  <c r="L1307" i="2" s="1"/>
  <c r="G1287" i="2"/>
  <c r="G1288" i="2" s="1"/>
  <c r="H1288" i="2" s="1"/>
  <c r="G1241" i="2"/>
  <c r="G1242" i="2" s="1"/>
  <c r="L1312" i="2"/>
  <c r="L1313" i="2" s="1"/>
  <c r="L1314" i="2" s="1"/>
  <c r="L1315" i="2" s="1"/>
  <c r="L1316" i="2" s="1"/>
  <c r="L1317" i="2" s="1"/>
  <c r="L1318" i="2"/>
  <c r="L1319" i="2" s="1"/>
  <c r="M1319" i="2" s="1"/>
  <c r="L1511" i="2"/>
  <c r="L1512" i="2" s="1"/>
  <c r="L1513" i="2" s="1"/>
  <c r="L1514" i="2" s="1"/>
  <c r="L1515" i="2" s="1"/>
  <c r="L1516" i="2" s="1"/>
  <c r="L1517" i="2"/>
  <c r="L1518" i="2" s="1"/>
  <c r="M1518" i="2" s="1"/>
  <c r="L1507" i="2"/>
  <c r="L1508" i="2" s="1"/>
  <c r="M1508" i="2" s="1"/>
  <c r="L1501" i="2"/>
  <c r="L1502" i="2" s="1"/>
  <c r="L1503" i="2" s="1"/>
  <c r="L1504" i="2" s="1"/>
  <c r="L1505" i="2" s="1"/>
  <c r="L1506" i="2" s="1"/>
  <c r="G1481" i="2"/>
  <c r="G1482" i="2" s="1"/>
  <c r="G1483" i="2" s="1"/>
  <c r="G1484" i="2" s="1"/>
  <c r="G1485" i="2" s="1"/>
  <c r="G1486" i="2" s="1"/>
  <c r="G1487" i="2"/>
  <c r="G1488" i="2" s="1"/>
  <c r="K1442" i="2"/>
  <c r="K1443" i="2" s="1"/>
  <c r="K1444" i="2" s="1"/>
  <c r="K1445" i="2" s="1"/>
  <c r="K1446" i="2" s="1"/>
  <c r="K1447" i="2"/>
  <c r="K1448" i="2" s="1"/>
  <c r="N1448" i="2" s="1"/>
  <c r="D1476" i="2"/>
  <c r="D1477" i="2" s="1"/>
  <c r="J1477" i="2" s="1"/>
  <c r="D1431" i="2"/>
  <c r="D1432" i="2" s="1"/>
  <c r="K1429" i="2"/>
  <c r="K1430" i="2" s="1"/>
  <c r="N1430" i="2" s="1"/>
  <c r="K1424" i="2"/>
  <c r="K1425" i="2" s="1"/>
  <c r="K1426" i="2" s="1"/>
  <c r="K1427" i="2" s="1"/>
  <c r="K1428" i="2" s="1"/>
  <c r="L1170" i="2"/>
  <c r="L1171" i="2" s="1"/>
  <c r="L1172" i="2" s="1"/>
  <c r="L1173" i="2" s="1"/>
  <c r="L1174" i="2" s="1"/>
  <c r="L1175" i="2" s="1"/>
  <c r="L1176" i="2"/>
  <c r="L1177" i="2" s="1"/>
  <c r="M1177" i="2" s="1"/>
  <c r="L1587" i="2"/>
  <c r="L1588" i="2" s="1"/>
  <c r="L1589" i="2" s="1"/>
  <c r="L1590" i="2" s="1"/>
  <c r="L1591" i="2" s="1"/>
  <c r="L1592" i="2" s="1"/>
  <c r="L1593" i="2"/>
  <c r="L1594" i="2" s="1"/>
  <c r="M1594" i="2" s="1"/>
  <c r="L1541" i="2"/>
  <c r="L1542" i="2"/>
  <c r="L1543" i="2" s="1"/>
  <c r="M1543" i="2" s="1"/>
  <c r="K1527" i="2"/>
  <c r="K1528" i="2" s="1"/>
  <c r="N1528" i="2" s="1"/>
  <c r="K1521" i="2"/>
  <c r="K1522" i="2" s="1"/>
  <c r="K1523" i="2" s="1"/>
  <c r="K1524" i="2" s="1"/>
  <c r="K1525" i="2" s="1"/>
  <c r="K1526" i="2" s="1"/>
  <c r="K1465" i="2"/>
  <c r="K1466" i="2" s="1"/>
  <c r="N1466" i="2" s="1"/>
  <c r="K1460" i="2"/>
  <c r="K1461" i="2" s="1"/>
  <c r="K1462" i="2" s="1"/>
  <c r="K1463" i="2" s="1"/>
  <c r="K1464" i="2" s="1"/>
  <c r="L1451" i="2"/>
  <c r="L1452" i="2" s="1"/>
  <c r="L1453" i="2" s="1"/>
  <c r="L1454" i="2" s="1"/>
  <c r="L1455" i="2" s="1"/>
  <c r="L1456" i="2"/>
  <c r="L1457" i="2" s="1"/>
  <c r="M1457" i="2" s="1"/>
  <c r="K1370" i="2"/>
  <c r="K1371" i="2" s="1"/>
  <c r="N1371" i="2" s="1"/>
  <c r="K1364" i="2"/>
  <c r="K1365" i="2" s="1"/>
  <c r="K1366" i="2" s="1"/>
  <c r="K1367" i="2" s="1"/>
  <c r="K1368" i="2" s="1"/>
  <c r="K1369" i="2" s="1"/>
  <c r="G1298" i="2"/>
  <c r="G1299" i="2" s="1"/>
  <c r="G1292" i="2"/>
  <c r="G1293" i="2" s="1"/>
  <c r="G1294" i="2" s="1"/>
  <c r="G1295" i="2" s="1"/>
  <c r="G1296" i="2" s="1"/>
  <c r="G1297" i="2" s="1"/>
  <c r="K1646" i="2"/>
  <c r="K1647" i="2" s="1"/>
  <c r="N1647" i="2" s="1"/>
  <c r="K1597" i="2"/>
  <c r="K1598" i="2" s="1"/>
  <c r="K1599" i="2" s="1"/>
  <c r="K1600" i="2" s="1"/>
  <c r="K1601" i="2" s="1"/>
  <c r="K1602" i="2" s="1"/>
  <c r="L1567" i="2"/>
  <c r="L1568" i="2" s="1"/>
  <c r="L1569" i="2" s="1"/>
  <c r="L1570" i="2" s="1"/>
  <c r="L1571" i="2" s="1"/>
  <c r="L1572" i="2" s="1"/>
  <c r="L1573" i="2"/>
  <c r="L1574" i="2" s="1"/>
  <c r="M1574" i="2" s="1"/>
  <c r="K1374" i="2"/>
  <c r="K1375" i="2" s="1"/>
  <c r="K1376" i="2" s="1"/>
  <c r="K1377" i="2" s="1"/>
  <c r="K1378" i="2" s="1"/>
  <c r="K1379" i="2"/>
  <c r="K1380" i="2" s="1"/>
  <c r="N1380" i="2" s="1"/>
  <c r="K1328" i="2"/>
  <c r="K1329" i="2" s="1"/>
  <c r="N1329" i="2" s="1"/>
  <c r="K1322" i="2"/>
  <c r="K1323" i="2" s="1"/>
  <c r="K1324" i="2" s="1"/>
  <c r="K1325" i="2" s="1"/>
  <c r="K1326" i="2" s="1"/>
  <c r="K1327" i="2" s="1"/>
  <c r="D1419" i="2"/>
  <c r="D1420" i="2" s="1"/>
  <c r="J1420" i="2" s="1"/>
  <c r="K1398" i="2"/>
  <c r="K1399" i="2" s="1"/>
  <c r="N1399" i="2" s="1"/>
  <c r="K1392" i="2"/>
  <c r="K1393" i="2" s="1"/>
  <c r="K1394" i="2" s="1"/>
  <c r="K1395" i="2" s="1"/>
  <c r="K1396" i="2" s="1"/>
  <c r="K1397" i="2" s="1"/>
  <c r="G1379" i="2"/>
  <c r="G1380" i="2" s="1"/>
  <c r="G1381" i="2" s="1"/>
  <c r="G1382" i="2" s="1"/>
  <c r="K1312" i="2"/>
  <c r="K1313" i="2" s="1"/>
  <c r="K1314" i="2" s="1"/>
  <c r="K1315" i="2" s="1"/>
  <c r="K1316" i="2" s="1"/>
  <c r="K1317" i="2" s="1"/>
  <c r="K1318" i="2"/>
  <c r="K1319" i="2" s="1"/>
  <c r="N1319" i="2" s="1"/>
  <c r="K1221" i="2"/>
  <c r="K1222" i="2" s="1"/>
  <c r="K1223" i="2" s="1"/>
  <c r="K1224" i="2" s="1"/>
  <c r="K1225" i="2" s="1"/>
  <c r="K1226" i="2" s="1"/>
  <c r="K1063" i="2"/>
  <c r="K1064" i="2" s="1"/>
  <c r="K1065" i="2" s="1"/>
  <c r="K1066" i="2" s="1"/>
  <c r="K1067" i="2" s="1"/>
  <c r="K1068" i="2"/>
  <c r="K1069" i="2" s="1"/>
  <c r="N1069" i="2" s="1"/>
  <c r="L937" i="2"/>
  <c r="L938" i="2" s="1"/>
  <c r="L939" i="2" s="1"/>
  <c r="L940" i="2" s="1"/>
  <c r="L941" i="2" s="1"/>
  <c r="L942" i="2"/>
  <c r="L943" i="2" s="1"/>
  <c r="M943" i="2" s="1"/>
  <c r="L1411" i="2"/>
  <c r="L1412" i="2"/>
  <c r="L1413" i="2" s="1"/>
  <c r="M1413" i="2" s="1"/>
  <c r="K1407" i="2"/>
  <c r="K1408" i="2" s="1"/>
  <c r="N1408" i="2" s="1"/>
  <c r="K1402" i="2"/>
  <c r="K1403" i="2" s="1"/>
  <c r="K1404" i="2" s="1"/>
  <c r="K1405" i="2" s="1"/>
  <c r="K1406" i="2" s="1"/>
  <c r="K1267" i="2"/>
  <c r="K1268" i="2" s="1"/>
  <c r="N1268" i="2" s="1"/>
  <c r="K1262" i="2"/>
  <c r="K1263" i="2" s="1"/>
  <c r="K1264" i="2" s="1"/>
  <c r="K1265" i="2" s="1"/>
  <c r="K1266" i="2" s="1"/>
  <c r="L1253" i="2"/>
  <c r="L1254" i="2" s="1"/>
  <c r="L1255" i="2" s="1"/>
  <c r="L1256" i="2" s="1"/>
  <c r="L1257" i="2" s="1"/>
  <c r="L1258" i="2"/>
  <c r="L1259" i="2" s="1"/>
  <c r="M1259" i="2" s="1"/>
  <c r="L1180" i="2"/>
  <c r="L1181" i="2" s="1"/>
  <c r="L1182" i="2" s="1"/>
  <c r="L1183" i="2" s="1"/>
  <c r="L1184" i="2" s="1"/>
  <c r="L1185" i="2" s="1"/>
  <c r="L1186" i="2"/>
  <c r="L1187" i="2" s="1"/>
  <c r="M1187" i="2" s="1"/>
  <c r="L1162" i="2"/>
  <c r="L1163" i="2"/>
  <c r="L1164" i="2" s="1"/>
  <c r="M1164" i="2" s="1"/>
  <c r="K1456" i="2"/>
  <c r="K1457" i="2" s="1"/>
  <c r="N1457" i="2" s="1"/>
  <c r="L1285" i="2"/>
  <c r="L1286" i="2" s="1"/>
  <c r="M1286" i="2" s="1"/>
  <c r="K1253" i="2"/>
  <c r="K1254" i="2" s="1"/>
  <c r="K1255" i="2" s="1"/>
  <c r="K1256" i="2" s="1"/>
  <c r="K1257" i="2" s="1"/>
  <c r="K1258" i="2"/>
  <c r="K1259" i="2" s="1"/>
  <c r="N1259" i="2" s="1"/>
  <c r="L1148" i="2"/>
  <c r="L1149" i="2" s="1"/>
  <c r="L1150" i="2" s="1"/>
  <c r="L1151" i="2" s="1"/>
  <c r="L1152" i="2" s="1"/>
  <c r="L1153" i="2"/>
  <c r="L1154" i="2" s="1"/>
  <c r="M1154" i="2" s="1"/>
  <c r="K1135" i="2"/>
  <c r="K1136" i="2" s="1"/>
  <c r="N1136" i="2" s="1"/>
  <c r="K1130" i="2"/>
  <c r="K1131" i="2" s="1"/>
  <c r="K1132" i="2" s="1"/>
  <c r="K1133" i="2" s="1"/>
  <c r="K1134" i="2" s="1"/>
  <c r="G1050" i="2"/>
  <c r="G1051" i="2" s="1"/>
  <c r="G1045" i="2"/>
  <c r="G1046" i="2" s="1"/>
  <c r="G1047" i="2" s="1"/>
  <c r="G1048" i="2" s="1"/>
  <c r="G1049" i="2" s="1"/>
  <c r="K1028" i="2"/>
  <c r="K1029" i="2" s="1"/>
  <c r="N1029" i="2" s="1"/>
  <c r="K1023" i="2"/>
  <c r="K1024" i="2" s="1"/>
  <c r="K1025" i="2" s="1"/>
  <c r="K1026" i="2" s="1"/>
  <c r="K1027" i="2" s="1"/>
  <c r="K966" i="2"/>
  <c r="K967" i="2" s="1"/>
  <c r="K968" i="2" s="1"/>
  <c r="K969" i="2" s="1"/>
  <c r="K970" i="2" s="1"/>
  <c r="K971" i="2"/>
  <c r="K972" i="2" s="1"/>
  <c r="N972" i="2" s="1"/>
  <c r="L1603" i="2"/>
  <c r="L1604" i="2" s="1"/>
  <c r="M1604" i="2" s="1"/>
  <c r="K1573" i="2"/>
  <c r="K1574" i="2" s="1"/>
  <c r="N1574" i="2" s="1"/>
  <c r="K1416" i="2"/>
  <c r="K1417" i="2"/>
  <c r="K1418" i="2" s="1"/>
  <c r="N1418" i="2" s="1"/>
  <c r="L1292" i="2"/>
  <c r="L1293" i="2" s="1"/>
  <c r="L1294" i="2" s="1"/>
  <c r="L1295" i="2" s="1"/>
  <c r="L1296" i="2" s="1"/>
  <c r="L1297" i="2" s="1"/>
  <c r="L1298" i="2"/>
  <c r="L1299" i="2" s="1"/>
  <c r="M1299" i="2" s="1"/>
  <c r="T1288" i="2"/>
  <c r="D1234" i="2"/>
  <c r="D1235" i="2" s="1"/>
  <c r="D1236" i="2" s="1"/>
  <c r="D1237" i="2" s="1"/>
  <c r="D1238" i="2" s="1"/>
  <c r="D1239" i="2"/>
  <c r="D1240" i="2" s="1"/>
  <c r="L1201" i="2"/>
  <c r="L1202" i="2" s="1"/>
  <c r="L1203" i="2" s="1"/>
  <c r="L1204" i="2" s="1"/>
  <c r="L1205" i="2" s="1"/>
  <c r="L1206" i="2" s="1"/>
  <c r="L1207" i="2"/>
  <c r="L1208" i="2" s="1"/>
  <c r="M1208" i="2" s="1"/>
  <c r="L1392" i="2"/>
  <c r="L1393" i="2" s="1"/>
  <c r="L1394" i="2" s="1"/>
  <c r="L1395" i="2" s="1"/>
  <c r="L1396" i="2" s="1"/>
  <c r="L1397" i="2" s="1"/>
  <c r="D1370" i="2"/>
  <c r="D1371" i="2" s="1"/>
  <c r="D1372" i="2" s="1"/>
  <c r="D1373" i="2" s="1"/>
  <c r="K1360" i="2"/>
  <c r="K1361" i="2" s="1"/>
  <c r="N1361" i="2" s="1"/>
  <c r="K1355" i="2"/>
  <c r="K1356" i="2" s="1"/>
  <c r="K1357" i="2" s="1"/>
  <c r="K1358" i="2" s="1"/>
  <c r="K1359" i="2" s="1"/>
  <c r="K1243" i="2"/>
  <c r="K1244" i="2" s="1"/>
  <c r="K1245" i="2" s="1"/>
  <c r="K1246" i="2" s="1"/>
  <c r="K1247" i="2" s="1"/>
  <c r="K1248" i="2" s="1"/>
  <c r="K1249" i="2"/>
  <c r="K1250" i="2" s="1"/>
  <c r="N1250" i="2" s="1"/>
  <c r="K1239" i="2"/>
  <c r="K1240" i="2" s="1"/>
  <c r="N1240" i="2" s="1"/>
  <c r="K1234" i="2"/>
  <c r="K1235" i="2" s="1"/>
  <c r="K1236" i="2" s="1"/>
  <c r="K1237" i="2" s="1"/>
  <c r="K1238" i="2" s="1"/>
  <c r="L1221" i="2"/>
  <c r="L1222" i="2" s="1"/>
  <c r="L1223" i="2" s="1"/>
  <c r="L1224" i="2" s="1"/>
  <c r="L1225" i="2" s="1"/>
  <c r="L1226" i="2" s="1"/>
  <c r="L1227" i="2"/>
  <c r="L1228" i="2" s="1"/>
  <c r="M1228" i="2" s="1"/>
  <c r="G1170" i="2"/>
  <c r="G1171" i="2" s="1"/>
  <c r="G1172" i="2" s="1"/>
  <c r="G1173" i="2" s="1"/>
  <c r="G1174" i="2" s="1"/>
  <c r="G1175" i="2" s="1"/>
  <c r="G1176" i="2"/>
  <c r="G1177" i="2" s="1"/>
  <c r="D1298" i="2"/>
  <c r="D1299" i="2" s="1"/>
  <c r="D1292" i="2"/>
  <c r="D1293" i="2" s="1"/>
  <c r="D1294" i="2" s="1"/>
  <c r="D1295" i="2" s="1"/>
  <c r="D1296" i="2" s="1"/>
  <c r="D1297" i="2" s="1"/>
  <c r="D1229" i="2"/>
  <c r="D1230" i="2" s="1"/>
  <c r="J1230" i="2" s="1"/>
  <c r="D1178" i="2"/>
  <c r="D1179" i="2" s="1"/>
  <c r="K1542" i="2"/>
  <c r="K1543" i="2" s="1"/>
  <c r="N1543" i="2" s="1"/>
  <c r="L1338" i="2"/>
  <c r="L1339" i="2" s="1"/>
  <c r="M1339" i="2" s="1"/>
  <c r="L1332" i="2"/>
  <c r="L1333" i="2" s="1"/>
  <c r="L1334" i="2" s="1"/>
  <c r="L1335" i="2" s="1"/>
  <c r="L1336" i="2" s="1"/>
  <c r="L1337" i="2" s="1"/>
  <c r="L1322" i="2"/>
  <c r="L1323" i="2" s="1"/>
  <c r="L1324" i="2" s="1"/>
  <c r="L1325" i="2" s="1"/>
  <c r="L1326" i="2" s="1"/>
  <c r="L1327" i="2" s="1"/>
  <c r="L1328" i="2"/>
  <c r="L1329" i="2" s="1"/>
  <c r="M1329" i="2" s="1"/>
  <c r="K1280" i="2"/>
  <c r="K1281" i="2" s="1"/>
  <c r="K1282" i="2" s="1"/>
  <c r="K1283" i="2" s="1"/>
  <c r="K1284" i="2" s="1"/>
  <c r="K1285" i="2"/>
  <c r="K1286" i="2" s="1"/>
  <c r="N1286" i="2" s="1"/>
  <c r="K1276" i="2"/>
  <c r="K1277" i="2" s="1"/>
  <c r="N1277" i="2" s="1"/>
  <c r="K1271" i="2"/>
  <c r="K1272" i="2" s="1"/>
  <c r="K1273" i="2" s="1"/>
  <c r="K1274" i="2" s="1"/>
  <c r="K1275" i="2" s="1"/>
  <c r="L1262" i="2"/>
  <c r="L1263" i="2" s="1"/>
  <c r="L1264" i="2" s="1"/>
  <c r="L1265" i="2" s="1"/>
  <c r="L1266" i="2" s="1"/>
  <c r="K1190" i="2"/>
  <c r="K1191" i="2" s="1"/>
  <c r="K1192" i="2" s="1"/>
  <c r="K1193" i="2" s="1"/>
  <c r="K1194" i="2" s="1"/>
  <c r="K1195" i="2" s="1"/>
  <c r="K1196" i="2" s="1"/>
  <c r="K1197" i="2"/>
  <c r="K1198" i="2" s="1"/>
  <c r="N1198" i="2" s="1"/>
  <c r="L1139" i="2"/>
  <c r="L1140" i="2" s="1"/>
  <c r="L1141" i="2" s="1"/>
  <c r="L1142" i="2" s="1"/>
  <c r="L1143" i="2" s="1"/>
  <c r="L1144" i="2"/>
  <c r="L1145" i="2" s="1"/>
  <c r="M1145" i="2" s="1"/>
  <c r="K1032" i="2"/>
  <c r="K1033" i="2"/>
  <c r="K1034" i="2" s="1"/>
  <c r="N1034" i="2" s="1"/>
  <c r="T1166" i="2"/>
  <c r="T1552" i="2" s="1"/>
  <c r="G1103" i="2"/>
  <c r="G1104" i="2" s="1"/>
  <c r="G1105" i="2" s="1"/>
  <c r="G1106" i="2" s="1"/>
  <c r="G1107" i="2" s="1"/>
  <c r="G1108" i="2"/>
  <c r="G1109" i="2" s="1"/>
  <c r="L1072" i="2"/>
  <c r="L1073" i="2" s="1"/>
  <c r="L1074" i="2" s="1"/>
  <c r="L1075" i="2" s="1"/>
  <c r="L1076" i="2" s="1"/>
  <c r="L1077" i="2" s="1"/>
  <c r="L1078" i="2"/>
  <c r="L1079" i="2" s="1"/>
  <c r="M1079" i="2" s="1"/>
  <c r="K876" i="2"/>
  <c r="K877" i="2" s="1"/>
  <c r="K878" i="2" s="1"/>
  <c r="K879" i="2" s="1"/>
  <c r="K880" i="2" s="1"/>
  <c r="K881" i="2"/>
  <c r="K882" i="2" s="1"/>
  <c r="N882" i="2" s="1"/>
  <c r="D1110" i="2"/>
  <c r="D1111" i="2" s="1"/>
  <c r="D1165" i="2"/>
  <c r="D1166" i="2" s="1"/>
  <c r="J1166" i="2" s="1"/>
  <c r="K1072" i="2"/>
  <c r="K1073" i="2" s="1"/>
  <c r="K1074" i="2" s="1"/>
  <c r="K1075" i="2" s="1"/>
  <c r="K1076" i="2" s="1"/>
  <c r="K1077" i="2" s="1"/>
  <c r="K1078" i="2"/>
  <c r="K1079" i="2" s="1"/>
  <c r="N1079" i="2" s="1"/>
  <c r="D1098" i="2"/>
  <c r="D1099" i="2" s="1"/>
  <c r="J1099" i="2" s="1"/>
  <c r="D1052" i="2"/>
  <c r="D1053" i="2" s="1"/>
  <c r="K1050" i="2"/>
  <c r="K1051" i="2" s="1"/>
  <c r="N1051" i="2" s="1"/>
  <c r="K1045" i="2"/>
  <c r="K1046" i="2" s="1"/>
  <c r="K1047" i="2" s="1"/>
  <c r="K1048" i="2" s="1"/>
  <c r="K1049" i="2" s="1"/>
  <c r="G1040" i="2"/>
  <c r="G1041" i="2" s="1"/>
  <c r="H1041" i="2" s="1"/>
  <c r="G985" i="2"/>
  <c r="G986" i="2" s="1"/>
  <c r="K1348" i="2"/>
  <c r="K1349" i="2" s="1"/>
  <c r="N1349" i="2" s="1"/>
  <c r="L1157" i="2"/>
  <c r="K1096" i="2"/>
  <c r="K1097" i="2" s="1"/>
  <c r="N1097" i="2" s="1"/>
  <c r="K1091" i="2"/>
  <c r="K1092" i="2" s="1"/>
  <c r="K1093" i="2" s="1"/>
  <c r="K1094" i="2" s="1"/>
  <c r="K1095" i="2" s="1"/>
  <c r="K1019" i="2"/>
  <c r="K1020" i="2" s="1"/>
  <c r="N1020" i="2" s="1"/>
  <c r="K1014" i="2"/>
  <c r="K1015" i="2" s="1"/>
  <c r="K1016" i="2" s="1"/>
  <c r="K1017" i="2" s="1"/>
  <c r="K1018" i="2" s="1"/>
  <c r="K1211" i="2"/>
  <c r="K1212" i="2" s="1"/>
  <c r="K1213" i="2" s="1"/>
  <c r="K1214" i="2" s="1"/>
  <c r="K1215" i="2" s="1"/>
  <c r="K1216" i="2" s="1"/>
  <c r="K1157" i="2"/>
  <c r="L1130" i="2"/>
  <c r="L1131" i="2" s="1"/>
  <c r="L1132" i="2" s="1"/>
  <c r="L1133" i="2" s="1"/>
  <c r="L1134" i="2" s="1"/>
  <c r="L987" i="2"/>
  <c r="L988" i="2" s="1"/>
  <c r="L989" i="2" s="1"/>
  <c r="L990" i="2" s="1"/>
  <c r="L991" i="2" s="1"/>
  <c r="L992" i="2"/>
  <c r="L993" i="2" s="1"/>
  <c r="M993" i="2" s="1"/>
  <c r="L867" i="2"/>
  <c r="L868" i="2" s="1"/>
  <c r="L869" i="2" s="1"/>
  <c r="L870" i="2" s="1"/>
  <c r="L871" i="2" s="1"/>
  <c r="L872" i="2"/>
  <c r="L873" i="2" s="1"/>
  <c r="M873" i="2" s="1"/>
  <c r="K1121" i="2"/>
  <c r="K1122" i="2" s="1"/>
  <c r="K1123" i="2" s="1"/>
  <c r="K1124" i="2" s="1"/>
  <c r="K1125" i="2" s="1"/>
  <c r="K1037" i="2"/>
  <c r="K1038" i="2"/>
  <c r="K1039" i="2" s="1"/>
  <c r="N1039" i="2" s="1"/>
  <c r="K1005" i="2"/>
  <c r="K1006" i="2" s="1"/>
  <c r="K1007" i="2" s="1"/>
  <c r="K1008" i="2" s="1"/>
  <c r="K1009" i="2" s="1"/>
  <c r="K1010" i="2"/>
  <c r="K1011" i="2" s="1"/>
  <c r="N1011" i="2" s="1"/>
  <c r="K992" i="2"/>
  <c r="K993" i="2" s="1"/>
  <c r="N993" i="2" s="1"/>
  <c r="K987" i="2"/>
  <c r="K988" i="2" s="1"/>
  <c r="K989" i="2" s="1"/>
  <c r="K990" i="2" s="1"/>
  <c r="K991" i="2" s="1"/>
  <c r="K903" i="2"/>
  <c r="K904" i="2"/>
  <c r="K905" i="2" s="1"/>
  <c r="N905" i="2" s="1"/>
  <c r="L768" i="2"/>
  <c r="L769" i="2"/>
  <c r="L770" i="2" s="1"/>
  <c r="M770" i="2" s="1"/>
  <c r="L722" i="2"/>
  <c r="L723" i="2" s="1"/>
  <c r="L724" i="2" s="1"/>
  <c r="L725" i="2" s="1"/>
  <c r="L726" i="2" s="1"/>
  <c r="L727" i="2"/>
  <c r="L728" i="2" s="1"/>
  <c r="M728" i="2" s="1"/>
  <c r="K1103" i="2"/>
  <c r="K1104" i="2" s="1"/>
  <c r="K1105" i="2" s="1"/>
  <c r="K1106" i="2" s="1"/>
  <c r="K1107" i="2" s="1"/>
  <c r="K1108" i="2"/>
  <c r="K1109" i="2" s="1"/>
  <c r="N1109" i="2" s="1"/>
  <c r="K1087" i="2"/>
  <c r="K1088" i="2" s="1"/>
  <c r="N1088" i="2" s="1"/>
  <c r="K1082" i="2"/>
  <c r="K1083" i="2" s="1"/>
  <c r="K1084" i="2" s="1"/>
  <c r="K1085" i="2" s="1"/>
  <c r="K1086" i="2" s="1"/>
  <c r="D983" i="2"/>
  <c r="D984" i="2" s="1"/>
  <c r="D978" i="2"/>
  <c r="D979" i="2" s="1"/>
  <c r="D980" i="2" s="1"/>
  <c r="D981" i="2" s="1"/>
  <c r="D982" i="2" s="1"/>
  <c r="K1059" i="2"/>
  <c r="K1060" i="2" s="1"/>
  <c r="N1060" i="2" s="1"/>
  <c r="K1054" i="2"/>
  <c r="K1055" i="2" s="1"/>
  <c r="K1056" i="2" s="1"/>
  <c r="K1057" i="2" s="1"/>
  <c r="K1058" i="2" s="1"/>
  <c r="L1032" i="2"/>
  <c r="L1033" i="2"/>
  <c r="L1034" i="2" s="1"/>
  <c r="M1034" i="2" s="1"/>
  <c r="G924" i="2"/>
  <c r="G925" i="2" s="1"/>
  <c r="G919" i="2"/>
  <c r="G920" i="2" s="1"/>
  <c r="G921" i="2" s="1"/>
  <c r="G922" i="2" s="1"/>
  <c r="G923" i="2" s="1"/>
  <c r="K867" i="2"/>
  <c r="K868" i="2" s="1"/>
  <c r="K869" i="2" s="1"/>
  <c r="K870" i="2" s="1"/>
  <c r="K871" i="2" s="1"/>
  <c r="K872" i="2"/>
  <c r="K873" i="2" s="1"/>
  <c r="N873" i="2" s="1"/>
  <c r="L813" i="2"/>
  <c r="L814" i="2" s="1"/>
  <c r="M814" i="2" s="1"/>
  <c r="L808" i="2"/>
  <c r="L809" i="2" s="1"/>
  <c r="L810" i="2" s="1"/>
  <c r="L811" i="2" s="1"/>
  <c r="L812" i="2" s="1"/>
  <c r="D788" i="2"/>
  <c r="D789" i="2" s="1"/>
  <c r="D844" i="2"/>
  <c r="D845" i="2" s="1"/>
  <c r="J845" i="2" s="1"/>
  <c r="K660" i="2"/>
  <c r="K661" i="2" s="1"/>
  <c r="K662" i="2" s="1"/>
  <c r="K663" i="2" s="1"/>
  <c r="K664" i="2" s="1"/>
  <c r="K665" i="2" s="1"/>
  <c r="K666" i="2"/>
  <c r="K667" i="2" s="1"/>
  <c r="N667" i="2" s="1"/>
  <c r="L1054" i="2"/>
  <c r="L1055" i="2" s="1"/>
  <c r="L1056" i="2" s="1"/>
  <c r="L1057" i="2" s="1"/>
  <c r="L1058" i="2" s="1"/>
  <c r="L1038" i="2"/>
  <c r="L1039" i="2" s="1"/>
  <c r="M1039" i="2" s="1"/>
  <c r="L908" i="2"/>
  <c r="L909" i="2"/>
  <c r="L910" i="2" s="1"/>
  <c r="M910" i="2" s="1"/>
  <c r="L786" i="2"/>
  <c r="L787" i="2" s="1"/>
  <c r="M787" i="2" s="1"/>
  <c r="L781" i="2"/>
  <c r="L782" i="2" s="1"/>
  <c r="L783" i="2" s="1"/>
  <c r="L784" i="2" s="1"/>
  <c r="L785" i="2" s="1"/>
  <c r="L946" i="2"/>
  <c r="L947" i="2" s="1"/>
  <c r="L948" i="2" s="1"/>
  <c r="L949" i="2" s="1"/>
  <c r="L950" i="2" s="1"/>
  <c r="L951" i="2" s="1"/>
  <c r="L952" i="2"/>
  <c r="L953" i="2" s="1"/>
  <c r="M953" i="2" s="1"/>
  <c r="K928" i="2"/>
  <c r="K929" i="2" s="1"/>
  <c r="K930" i="2" s="1"/>
  <c r="K931" i="2" s="1"/>
  <c r="K932" i="2" s="1"/>
  <c r="K933" i="2"/>
  <c r="K934" i="2" s="1"/>
  <c r="N934" i="2" s="1"/>
  <c r="E919" i="2"/>
  <c r="E920" i="2" s="1"/>
  <c r="E921" i="2" s="1"/>
  <c r="E922" i="2" s="1"/>
  <c r="E923" i="2" s="1"/>
  <c r="E924" i="2"/>
  <c r="E925" i="2" s="1"/>
  <c r="G854" i="2"/>
  <c r="G855" i="2" s="1"/>
  <c r="K781" i="2"/>
  <c r="K782" i="2" s="1"/>
  <c r="K783" i="2" s="1"/>
  <c r="K784" i="2" s="1"/>
  <c r="K785" i="2" s="1"/>
  <c r="K786" i="2"/>
  <c r="K787" i="2" s="1"/>
  <c r="N787" i="2" s="1"/>
  <c r="L755" i="2"/>
  <c r="L756" i="2" s="1"/>
  <c r="M756" i="2" s="1"/>
  <c r="L749" i="2"/>
  <c r="L750" i="2" s="1"/>
  <c r="L751" i="2" s="1"/>
  <c r="L752" i="2" s="1"/>
  <c r="L753" i="2" s="1"/>
  <c r="L754" i="2" s="1"/>
  <c r="K713" i="2"/>
  <c r="K714" i="2" s="1"/>
  <c r="K715" i="2" s="1"/>
  <c r="K716" i="2" s="1"/>
  <c r="K717" i="2" s="1"/>
  <c r="K718" i="2"/>
  <c r="K719" i="2" s="1"/>
  <c r="N719" i="2" s="1"/>
  <c r="L656" i="2"/>
  <c r="L657" i="2" s="1"/>
  <c r="M657" i="2" s="1"/>
  <c r="L650" i="2"/>
  <c r="L651" i="2" s="1"/>
  <c r="L652" i="2" s="1"/>
  <c r="L653" i="2" s="1"/>
  <c r="L654" i="2" s="1"/>
  <c r="L655" i="2" s="1"/>
  <c r="L924" i="2"/>
  <c r="L925" i="2" s="1"/>
  <c r="M925" i="2" s="1"/>
  <c r="L919" i="2"/>
  <c r="L920" i="2" s="1"/>
  <c r="L921" i="2" s="1"/>
  <c r="L922" i="2" s="1"/>
  <c r="L923" i="2" s="1"/>
  <c r="L890" i="2"/>
  <c r="L891" i="2" s="1"/>
  <c r="M891" i="2" s="1"/>
  <c r="L885" i="2"/>
  <c r="L886" i="2" s="1"/>
  <c r="L887" i="2" s="1"/>
  <c r="L888" i="2" s="1"/>
  <c r="L889" i="2" s="1"/>
  <c r="L836" i="2"/>
  <c r="L837" i="2"/>
  <c r="L838" i="2" s="1"/>
  <c r="M838" i="2" s="1"/>
  <c r="K890" i="2"/>
  <c r="K891" i="2" s="1"/>
  <c r="N891" i="2" s="1"/>
  <c r="K885" i="2"/>
  <c r="K886" i="2" s="1"/>
  <c r="K887" i="2" s="1"/>
  <c r="K888" i="2" s="1"/>
  <c r="K889" i="2" s="1"/>
  <c r="L876" i="2"/>
  <c r="L877" i="2" s="1"/>
  <c r="L878" i="2" s="1"/>
  <c r="L879" i="2" s="1"/>
  <c r="L880" i="2" s="1"/>
  <c r="L854" i="2"/>
  <c r="L855" i="2" s="1"/>
  <c r="M855" i="2" s="1"/>
  <c r="L849" i="2"/>
  <c r="L850" i="2" s="1"/>
  <c r="L851" i="2" s="1"/>
  <c r="L852" i="2" s="1"/>
  <c r="L853" i="2" s="1"/>
  <c r="K836" i="2"/>
  <c r="K837" i="2"/>
  <c r="K838" i="2" s="1"/>
  <c r="N838" i="2" s="1"/>
  <c r="L823" i="2"/>
  <c r="L824" i="2" s="1"/>
  <c r="M824" i="2" s="1"/>
  <c r="L817" i="2"/>
  <c r="L818" i="2" s="1"/>
  <c r="L819" i="2" s="1"/>
  <c r="L820" i="2" s="1"/>
  <c r="L821" i="2" s="1"/>
  <c r="L822" i="2" s="1"/>
  <c r="L537" i="2"/>
  <c r="L538" i="2" s="1"/>
  <c r="M538" i="2" s="1"/>
  <c r="L532" i="2"/>
  <c r="L533" i="2" s="1"/>
  <c r="L534" i="2" s="1"/>
  <c r="L535" i="2" s="1"/>
  <c r="L536" i="2" s="1"/>
  <c r="L996" i="2"/>
  <c r="L997" i="2" s="1"/>
  <c r="L998" i="2" s="1"/>
  <c r="L999" i="2" s="1"/>
  <c r="L1000" i="2" s="1"/>
  <c r="D919" i="2"/>
  <c r="D920" i="2" s="1"/>
  <c r="D921" i="2" s="1"/>
  <c r="D922" i="2" s="1"/>
  <c r="D923" i="2" s="1"/>
  <c r="D924" i="2"/>
  <c r="D925" i="2" s="1"/>
  <c r="K854" i="2"/>
  <c r="K855" i="2" s="1"/>
  <c r="N855" i="2" s="1"/>
  <c r="K849" i="2"/>
  <c r="K850" i="2" s="1"/>
  <c r="K851" i="2" s="1"/>
  <c r="K852" i="2" s="1"/>
  <c r="K853" i="2" s="1"/>
  <c r="L790" i="2"/>
  <c r="L791" i="2" s="1"/>
  <c r="L792" i="2" s="1"/>
  <c r="L793" i="2" s="1"/>
  <c r="L794" i="2" s="1"/>
  <c r="L795" i="2"/>
  <c r="L796" i="2" s="1"/>
  <c r="M796" i="2" s="1"/>
  <c r="K745" i="2"/>
  <c r="K746" i="2" s="1"/>
  <c r="N746" i="2" s="1"/>
  <c r="K740" i="2"/>
  <c r="K741" i="2" s="1"/>
  <c r="K742" i="2" s="1"/>
  <c r="K743" i="2" s="1"/>
  <c r="K744" i="2" s="1"/>
  <c r="L966" i="2"/>
  <c r="L967" i="2" s="1"/>
  <c r="L968" i="2" s="1"/>
  <c r="L969" i="2" s="1"/>
  <c r="L970" i="2" s="1"/>
  <c r="K952" i="2"/>
  <c r="K953" i="2" s="1"/>
  <c r="N953" i="2" s="1"/>
  <c r="K946" i="2"/>
  <c r="K947" i="2" s="1"/>
  <c r="K948" i="2" s="1"/>
  <c r="K949" i="2" s="1"/>
  <c r="K950" i="2" s="1"/>
  <c r="K951" i="2" s="1"/>
  <c r="L933" i="2"/>
  <c r="L934" i="2" s="1"/>
  <c r="M934" i="2" s="1"/>
  <c r="L928" i="2"/>
  <c r="L929" i="2" s="1"/>
  <c r="L930" i="2" s="1"/>
  <c r="L931" i="2" s="1"/>
  <c r="L932" i="2" s="1"/>
  <c r="L903" i="2"/>
  <c r="L904" i="2"/>
  <c r="L905" i="2" s="1"/>
  <c r="M905" i="2" s="1"/>
  <c r="D849" i="2"/>
  <c r="D850" i="2" s="1"/>
  <c r="D851" i="2" s="1"/>
  <c r="D852" i="2" s="1"/>
  <c r="D853" i="2" s="1"/>
  <c r="D854" i="2"/>
  <c r="D855" i="2" s="1"/>
  <c r="L841" i="2"/>
  <c r="L842" i="2"/>
  <c r="L843" i="2" s="1"/>
  <c r="M843" i="2" s="1"/>
  <c r="G781" i="2"/>
  <c r="G782" i="2" s="1"/>
  <c r="G783" i="2" s="1"/>
  <c r="G784" i="2" s="1"/>
  <c r="G785" i="2" s="1"/>
  <c r="G786" i="2"/>
  <c r="G787" i="2" s="1"/>
  <c r="L745" i="2"/>
  <c r="L746" i="2" s="1"/>
  <c r="M746" i="2" s="1"/>
  <c r="L740" i="2"/>
  <c r="L741" i="2" s="1"/>
  <c r="L742" i="2" s="1"/>
  <c r="L743" i="2" s="1"/>
  <c r="L744" i="2" s="1"/>
  <c r="G650" i="2"/>
  <c r="G651" i="2" s="1"/>
  <c r="G652" i="2" s="1"/>
  <c r="G653" i="2" s="1"/>
  <c r="G654" i="2" s="1"/>
  <c r="G655" i="2" s="1"/>
  <c r="G656" i="2"/>
  <c r="G657" i="2" s="1"/>
  <c r="K808" i="2"/>
  <c r="K809" i="2" s="1"/>
  <c r="K810" i="2" s="1"/>
  <c r="K811" i="2" s="1"/>
  <c r="K812" i="2" s="1"/>
  <c r="K755" i="2"/>
  <c r="K756" i="2" s="1"/>
  <c r="N756" i="2" s="1"/>
  <c r="K591" i="2"/>
  <c r="K592" i="2" s="1"/>
  <c r="K593" i="2" s="1"/>
  <c r="K594" i="2" s="1"/>
  <c r="K595" i="2" s="1"/>
  <c r="L773" i="2"/>
  <c r="L774" i="2"/>
  <c r="L775" i="2" s="1"/>
  <c r="M775" i="2" s="1"/>
  <c r="K773" i="2"/>
  <c r="K774" i="2"/>
  <c r="K775" i="2" s="1"/>
  <c r="N775" i="2" s="1"/>
  <c r="L731" i="2"/>
  <c r="L732" i="2" s="1"/>
  <c r="L733" i="2" s="1"/>
  <c r="L734" i="2" s="1"/>
  <c r="L735" i="2" s="1"/>
  <c r="L736" i="2"/>
  <c r="L737" i="2" s="1"/>
  <c r="M737" i="2" s="1"/>
  <c r="K706" i="2"/>
  <c r="K707" i="2" s="1"/>
  <c r="N707" i="2" s="1"/>
  <c r="K700" i="2"/>
  <c r="K701" i="2" s="1"/>
  <c r="K702" i="2" s="1"/>
  <c r="K703" i="2" s="1"/>
  <c r="K704" i="2" s="1"/>
  <c r="K705" i="2" s="1"/>
  <c r="K909" i="2"/>
  <c r="K910" i="2" s="1"/>
  <c r="N910" i="2" s="1"/>
  <c r="K894" i="2"/>
  <c r="K895" i="2" s="1"/>
  <c r="K896" i="2" s="1"/>
  <c r="K897" i="2" s="1"/>
  <c r="K898" i="2" s="1"/>
  <c r="K858" i="2"/>
  <c r="K859" i="2" s="1"/>
  <c r="K860" i="2" s="1"/>
  <c r="K861" i="2" s="1"/>
  <c r="K862" i="2" s="1"/>
  <c r="K842" i="2"/>
  <c r="K843" i="2" s="1"/>
  <c r="N843" i="2" s="1"/>
  <c r="D713" i="2"/>
  <c r="D714" i="2" s="1"/>
  <c r="D715" i="2" s="1"/>
  <c r="D716" i="2" s="1"/>
  <c r="D717" i="2" s="1"/>
  <c r="D718" i="2"/>
  <c r="D719" i="2" s="1"/>
  <c r="L624" i="2"/>
  <c r="L625" i="2" s="1"/>
  <c r="M625" i="2" s="1"/>
  <c r="L764" i="2"/>
  <c r="L765" i="2" s="1"/>
  <c r="M765" i="2" s="1"/>
  <c r="L690" i="2"/>
  <c r="L691" i="2" s="1"/>
  <c r="L692" i="2" s="1"/>
  <c r="L693" i="2" s="1"/>
  <c r="L694" i="2" s="1"/>
  <c r="L695" i="2" s="1"/>
  <c r="L696" i="2"/>
  <c r="L697" i="2" s="1"/>
  <c r="M697" i="2" s="1"/>
  <c r="L686" i="2"/>
  <c r="L687" i="2" s="1"/>
  <c r="M687" i="2" s="1"/>
  <c r="L680" i="2"/>
  <c r="L681" i="2" s="1"/>
  <c r="L682" i="2" s="1"/>
  <c r="L683" i="2" s="1"/>
  <c r="L684" i="2" s="1"/>
  <c r="L685" i="2" s="1"/>
  <c r="L670" i="2"/>
  <c r="L671" i="2" s="1"/>
  <c r="L672" i="2" s="1"/>
  <c r="L673" i="2" s="1"/>
  <c r="L674" i="2" s="1"/>
  <c r="L675" i="2" s="1"/>
  <c r="L676" i="2"/>
  <c r="L677" i="2" s="1"/>
  <c r="M677" i="2" s="1"/>
  <c r="D650" i="2"/>
  <c r="D651" i="2" s="1"/>
  <c r="D652" i="2" s="1"/>
  <c r="D653" i="2" s="1"/>
  <c r="D654" i="2" s="1"/>
  <c r="D655" i="2" s="1"/>
  <c r="D656" i="2"/>
  <c r="D657" i="2" s="1"/>
  <c r="L638" i="2"/>
  <c r="L639" i="2" s="1"/>
  <c r="M639" i="2" s="1"/>
  <c r="L637" i="2"/>
  <c r="L600" i="2"/>
  <c r="L601" i="2" s="1"/>
  <c r="L602" i="2" s="1"/>
  <c r="L603" i="2" s="1"/>
  <c r="L604" i="2" s="1"/>
  <c r="K823" i="2"/>
  <c r="K824" i="2" s="1"/>
  <c r="N824" i="2" s="1"/>
  <c r="K764" i="2"/>
  <c r="K765" i="2" s="1"/>
  <c r="N765" i="2" s="1"/>
  <c r="G718" i="2"/>
  <c r="G719" i="2" s="1"/>
  <c r="L718" i="2"/>
  <c r="L719" i="2" s="1"/>
  <c r="M719" i="2" s="1"/>
  <c r="L713" i="2"/>
  <c r="L714" i="2" s="1"/>
  <c r="L715" i="2" s="1"/>
  <c r="L716" i="2" s="1"/>
  <c r="L717" i="2" s="1"/>
  <c r="K690" i="2"/>
  <c r="K691" i="2" s="1"/>
  <c r="K692" i="2" s="1"/>
  <c r="K693" i="2" s="1"/>
  <c r="K694" i="2" s="1"/>
  <c r="K695" i="2" s="1"/>
  <c r="K696" i="2"/>
  <c r="K697" i="2" s="1"/>
  <c r="N697" i="2" s="1"/>
  <c r="L660" i="2"/>
  <c r="L661" i="2" s="1"/>
  <c r="L662" i="2" s="1"/>
  <c r="L663" i="2" s="1"/>
  <c r="L664" i="2" s="1"/>
  <c r="L665" i="2" s="1"/>
  <c r="L666" i="2"/>
  <c r="L667" i="2" s="1"/>
  <c r="M667" i="2" s="1"/>
  <c r="D587" i="2"/>
  <c r="D588" i="2" s="1"/>
  <c r="D582" i="2"/>
  <c r="D583" i="2" s="1"/>
  <c r="D584" i="2" s="1"/>
  <c r="D585" i="2" s="1"/>
  <c r="D586" i="2" s="1"/>
  <c r="L700" i="2"/>
  <c r="L701" i="2" s="1"/>
  <c r="L702" i="2" s="1"/>
  <c r="L703" i="2" s="1"/>
  <c r="L704" i="2" s="1"/>
  <c r="L705" i="2" s="1"/>
  <c r="K643" i="2"/>
  <c r="K644" i="2" s="1"/>
  <c r="N644" i="2" s="1"/>
  <c r="K642" i="2"/>
  <c r="T578" i="2"/>
  <c r="T914" i="2" s="1"/>
  <c r="L633" i="2"/>
  <c r="L634" i="2" s="1"/>
  <c r="M634" i="2" s="1"/>
  <c r="L628" i="2"/>
  <c r="L629" i="2" s="1"/>
  <c r="L630" i="2" s="1"/>
  <c r="L631" i="2" s="1"/>
  <c r="L632" i="2" s="1"/>
  <c r="G577" i="2"/>
  <c r="G578" i="2" s="1"/>
  <c r="H578" i="2" s="1"/>
  <c r="G521" i="2"/>
  <c r="G522" i="2" s="1"/>
  <c r="K498" i="2"/>
  <c r="K499" i="2" s="1"/>
  <c r="K500" i="2" s="1"/>
  <c r="K501" i="2" s="1"/>
  <c r="K502" i="2" s="1"/>
  <c r="K503" i="2" s="1"/>
  <c r="K504" i="2"/>
  <c r="K505" i="2" s="1"/>
  <c r="N505" i="2" s="1"/>
  <c r="K650" i="2"/>
  <c r="K651" i="2" s="1"/>
  <c r="K652" i="2" s="1"/>
  <c r="K653" i="2" s="1"/>
  <c r="K654" i="2" s="1"/>
  <c r="K655" i="2" s="1"/>
  <c r="L582" i="2"/>
  <c r="L583" i="2" s="1"/>
  <c r="L584" i="2" s="1"/>
  <c r="L585" i="2" s="1"/>
  <c r="L586" i="2" s="1"/>
  <c r="K550" i="2"/>
  <c r="K551" i="2" s="1"/>
  <c r="K552" i="2" s="1"/>
  <c r="K553" i="2" s="1"/>
  <c r="K554" i="2" s="1"/>
  <c r="K555" i="2" s="1"/>
  <c r="K556" i="2"/>
  <c r="K557" i="2" s="1"/>
  <c r="N557" i="2" s="1"/>
  <c r="E519" i="2"/>
  <c r="E520" i="2" s="1"/>
  <c r="E514" i="2"/>
  <c r="E515" i="2" s="1"/>
  <c r="E516" i="2" s="1"/>
  <c r="E517" i="2" s="1"/>
  <c r="E518" i="2" s="1"/>
  <c r="L574" i="2"/>
  <c r="L575" i="2"/>
  <c r="L576" i="2" s="1"/>
  <c r="M576" i="2" s="1"/>
  <c r="K569" i="2"/>
  <c r="K570" i="2"/>
  <c r="K571" i="2" s="1"/>
  <c r="N571" i="2" s="1"/>
  <c r="D519" i="2"/>
  <c r="D520" i="2" s="1"/>
  <c r="D514" i="2"/>
  <c r="D515" i="2" s="1"/>
  <c r="D516" i="2" s="1"/>
  <c r="D517" i="2" s="1"/>
  <c r="D518" i="2" s="1"/>
  <c r="L473" i="2"/>
  <c r="L474" i="2" s="1"/>
  <c r="M474" i="2" s="1"/>
  <c r="L467" i="2"/>
  <c r="L468" i="2" s="1"/>
  <c r="L469" i="2" s="1"/>
  <c r="L470" i="2" s="1"/>
  <c r="L471" i="2" s="1"/>
  <c r="L472" i="2" s="1"/>
  <c r="K467" i="2"/>
  <c r="K468" i="2" s="1"/>
  <c r="K469" i="2" s="1"/>
  <c r="K470" i="2" s="1"/>
  <c r="K471" i="2" s="1"/>
  <c r="K472" i="2" s="1"/>
  <c r="K473" i="2"/>
  <c r="K474" i="2" s="1"/>
  <c r="N474" i="2" s="1"/>
  <c r="D506" i="2"/>
  <c r="D507" i="2" s="1"/>
  <c r="J507" i="2" s="1"/>
  <c r="D455" i="2"/>
  <c r="D456" i="2" s="1"/>
  <c r="K605" i="2"/>
  <c r="K606" i="2" s="1"/>
  <c r="N606" i="2" s="1"/>
  <c r="K600" i="2"/>
  <c r="K601" i="2" s="1"/>
  <c r="K602" i="2" s="1"/>
  <c r="K603" i="2" s="1"/>
  <c r="K604" i="2" s="1"/>
  <c r="L565" i="2"/>
  <c r="L566" i="2" s="1"/>
  <c r="M566" i="2" s="1"/>
  <c r="L560" i="2"/>
  <c r="L561" i="2" s="1"/>
  <c r="L562" i="2" s="1"/>
  <c r="L563" i="2" s="1"/>
  <c r="L564" i="2" s="1"/>
  <c r="K537" i="2"/>
  <c r="K538" i="2" s="1"/>
  <c r="N538" i="2" s="1"/>
  <c r="K532" i="2"/>
  <c r="K533" i="2" s="1"/>
  <c r="K534" i="2" s="1"/>
  <c r="K535" i="2" s="1"/>
  <c r="K536" i="2" s="1"/>
  <c r="L609" i="2"/>
  <c r="L610" i="2" s="1"/>
  <c r="L611" i="2" s="1"/>
  <c r="L612" i="2" s="1"/>
  <c r="L613" i="2" s="1"/>
  <c r="L614" i="2"/>
  <c r="L615" i="2" s="1"/>
  <c r="M615" i="2" s="1"/>
  <c r="G587" i="2"/>
  <c r="G588" i="2" s="1"/>
  <c r="G582" i="2"/>
  <c r="G583" i="2" s="1"/>
  <c r="G584" i="2" s="1"/>
  <c r="G585" i="2" s="1"/>
  <c r="G586" i="2" s="1"/>
  <c r="L541" i="2"/>
  <c r="L542" i="2" s="1"/>
  <c r="L543" i="2" s="1"/>
  <c r="L544" i="2" s="1"/>
  <c r="L545" i="2" s="1"/>
  <c r="L546" i="2"/>
  <c r="L547" i="2" s="1"/>
  <c r="M547" i="2" s="1"/>
  <c r="L596" i="2"/>
  <c r="L597" i="2" s="1"/>
  <c r="M597" i="2" s="1"/>
  <c r="L591" i="2"/>
  <c r="L592" i="2" s="1"/>
  <c r="L593" i="2" s="1"/>
  <c r="L594" i="2" s="1"/>
  <c r="L595" i="2" s="1"/>
  <c r="K582" i="2"/>
  <c r="K583" i="2" s="1"/>
  <c r="K584" i="2" s="1"/>
  <c r="K585" i="2" s="1"/>
  <c r="K586" i="2" s="1"/>
  <c r="K587" i="2"/>
  <c r="K588" i="2" s="1"/>
  <c r="N588" i="2" s="1"/>
  <c r="K477" i="2"/>
  <c r="K478" i="2" s="1"/>
  <c r="K479" i="2" s="1"/>
  <c r="K480" i="2" s="1"/>
  <c r="K481" i="2" s="1"/>
  <c r="K482" i="2" s="1"/>
  <c r="K483" i="2"/>
  <c r="K484" i="2" s="1"/>
  <c r="N484" i="2" s="1"/>
  <c r="K446" i="2"/>
  <c r="K447" i="2" s="1"/>
  <c r="K448" i="2" s="1"/>
  <c r="K449" i="2" s="1"/>
  <c r="K450" i="2" s="1"/>
  <c r="K451" i="2" s="1"/>
  <c r="K452" i="2" s="1"/>
  <c r="K453" i="2"/>
  <c r="K454" i="2" s="1"/>
  <c r="N454" i="2" s="1"/>
  <c r="L453" i="2"/>
  <c r="L454" i="2" s="1"/>
  <c r="M454" i="2" s="1"/>
  <c r="K439" i="2"/>
  <c r="K440" i="2" s="1"/>
  <c r="N440" i="2" s="1"/>
  <c r="K434" i="2"/>
  <c r="K435" i="2" s="1"/>
  <c r="K436" i="2" s="1"/>
  <c r="K437" i="2" s="1"/>
  <c r="K438" i="2" s="1"/>
  <c r="L371" i="2"/>
  <c r="L372" i="2" s="1"/>
  <c r="M372" i="2" s="1"/>
  <c r="L366" i="2"/>
  <c r="L367" i="2" s="1"/>
  <c r="L368" i="2" s="1"/>
  <c r="L369" i="2" s="1"/>
  <c r="L370" i="2" s="1"/>
  <c r="L326" i="2"/>
  <c r="L327" i="2" s="1"/>
  <c r="M327" i="2" s="1"/>
  <c r="L321" i="2"/>
  <c r="L322" i="2" s="1"/>
  <c r="L323" i="2" s="1"/>
  <c r="L324" i="2" s="1"/>
  <c r="L325" i="2" s="1"/>
  <c r="L457" i="2"/>
  <c r="L458" i="2" s="1"/>
  <c r="L459" i="2" s="1"/>
  <c r="L460" i="2" s="1"/>
  <c r="L461" i="2" s="1"/>
  <c r="L462" i="2" s="1"/>
  <c r="L463" i="2"/>
  <c r="L464" i="2" s="1"/>
  <c r="M464" i="2" s="1"/>
  <c r="G446" i="2"/>
  <c r="G447" i="2" s="1"/>
  <c r="G448" i="2" s="1"/>
  <c r="G449" i="2" s="1"/>
  <c r="G450" i="2" s="1"/>
  <c r="G451" i="2" s="1"/>
  <c r="G452" i="2" s="1"/>
  <c r="G453" i="2"/>
  <c r="G454" i="2" s="1"/>
  <c r="D388" i="2"/>
  <c r="D389" i="2" s="1"/>
  <c r="D390" i="2" s="1"/>
  <c r="D391" i="2" s="1"/>
  <c r="D392" i="2" s="1"/>
  <c r="D393" i="2"/>
  <c r="D394" i="2" s="1"/>
  <c r="L339" i="2"/>
  <c r="L340" i="2" s="1"/>
  <c r="L341" i="2" s="1"/>
  <c r="L342" i="2" s="1"/>
  <c r="L343" i="2" s="1"/>
  <c r="L344" i="2"/>
  <c r="L345" i="2" s="1"/>
  <c r="M345" i="2" s="1"/>
  <c r="D330" i="2"/>
  <c r="D331" i="2" s="1"/>
  <c r="D332" i="2" s="1"/>
  <c r="D333" i="2" s="1"/>
  <c r="D334" i="2" s="1"/>
  <c r="D335" i="2"/>
  <c r="D336" i="2" s="1"/>
  <c r="D337" i="2" s="1"/>
  <c r="D338" i="2" s="1"/>
  <c r="L430" i="2"/>
  <c r="L431" i="2" s="1"/>
  <c r="M431" i="2" s="1"/>
  <c r="L425" i="2"/>
  <c r="L426" i="2" s="1"/>
  <c r="L427" i="2" s="1"/>
  <c r="L428" i="2" s="1"/>
  <c r="L429" i="2" s="1"/>
  <c r="L375" i="2"/>
  <c r="L376" i="2"/>
  <c r="L377" i="2" s="1"/>
  <c r="M377" i="2" s="1"/>
  <c r="L528" i="2"/>
  <c r="L529" i="2" s="1"/>
  <c r="M529" i="2" s="1"/>
  <c r="G395" i="2"/>
  <c r="G396" i="2" s="1"/>
  <c r="K388" i="2"/>
  <c r="K389" i="2" s="1"/>
  <c r="K390" i="2" s="1"/>
  <c r="K391" i="2" s="1"/>
  <c r="K392" i="2" s="1"/>
  <c r="L380" i="2"/>
  <c r="K375" i="2"/>
  <c r="K376" i="2"/>
  <c r="K377" i="2" s="1"/>
  <c r="N377" i="2" s="1"/>
  <c r="L330" i="2"/>
  <c r="L331" i="2" s="1"/>
  <c r="L332" i="2" s="1"/>
  <c r="L333" i="2" s="1"/>
  <c r="L334" i="2" s="1"/>
  <c r="L335" i="2"/>
  <c r="L336" i="2" s="1"/>
  <c r="M336" i="2" s="1"/>
  <c r="T507" i="2"/>
  <c r="L434" i="2"/>
  <c r="L435" i="2" s="1"/>
  <c r="L436" i="2" s="1"/>
  <c r="L437" i="2" s="1"/>
  <c r="L438" i="2" s="1"/>
  <c r="L407" i="2"/>
  <c r="L408" i="2" s="1"/>
  <c r="L409" i="2" s="1"/>
  <c r="L410" i="2" s="1"/>
  <c r="L411" i="2" s="1"/>
  <c r="L412" i="2"/>
  <c r="L413" i="2" s="1"/>
  <c r="M413" i="2" s="1"/>
  <c r="D383" i="2"/>
  <c r="D384" i="2" s="1"/>
  <c r="J384" i="2" s="1"/>
  <c r="K371" i="2"/>
  <c r="K372" i="2" s="1"/>
  <c r="N372" i="2" s="1"/>
  <c r="K366" i="2"/>
  <c r="K367" i="2" s="1"/>
  <c r="K368" i="2" s="1"/>
  <c r="K369" i="2" s="1"/>
  <c r="K370" i="2" s="1"/>
  <c r="E268" i="2"/>
  <c r="E269" i="2" s="1"/>
  <c r="E263" i="2"/>
  <c r="E264" i="2" s="1"/>
  <c r="E265" i="2" s="1"/>
  <c r="E266" i="2" s="1"/>
  <c r="E267" i="2" s="1"/>
  <c r="L296" i="2"/>
  <c r="L297" i="2" s="1"/>
  <c r="M297" i="2" s="1"/>
  <c r="L291" i="2"/>
  <c r="L292" i="2" s="1"/>
  <c r="L293" i="2" s="1"/>
  <c r="L294" i="2" s="1"/>
  <c r="L295" i="2" s="1"/>
  <c r="K348" i="2"/>
  <c r="K349" i="2" s="1"/>
  <c r="K350" i="2" s="1"/>
  <c r="K351" i="2" s="1"/>
  <c r="K352" i="2" s="1"/>
  <c r="K353" i="2"/>
  <c r="K354" i="2" s="1"/>
  <c r="N354" i="2" s="1"/>
  <c r="T442" i="2"/>
  <c r="G326" i="2"/>
  <c r="G327" i="2" s="1"/>
  <c r="G321" i="2"/>
  <c r="G322" i="2" s="1"/>
  <c r="G323" i="2" s="1"/>
  <c r="G324" i="2" s="1"/>
  <c r="G325" i="2" s="1"/>
  <c r="D268" i="2"/>
  <c r="D269" i="2" s="1"/>
  <c r="D263" i="2"/>
  <c r="D264" i="2" s="1"/>
  <c r="D265" i="2" s="1"/>
  <c r="D266" i="2" s="1"/>
  <c r="D267" i="2" s="1"/>
  <c r="K403" i="2"/>
  <c r="K404" i="2" s="1"/>
  <c r="N404" i="2" s="1"/>
  <c r="K397" i="2"/>
  <c r="K398" i="2" s="1"/>
  <c r="K399" i="2" s="1"/>
  <c r="K400" i="2" s="1"/>
  <c r="K401" i="2" s="1"/>
  <c r="K402" i="2" s="1"/>
  <c r="T384" i="2"/>
  <c r="T509" i="2" s="1"/>
  <c r="L393" i="2"/>
  <c r="L394" i="2" s="1"/>
  <c r="M394" i="2" s="1"/>
  <c r="L388" i="2"/>
  <c r="L389" i="2" s="1"/>
  <c r="L390" i="2" s="1"/>
  <c r="L391" i="2" s="1"/>
  <c r="L392" i="2" s="1"/>
  <c r="K380" i="2"/>
  <c r="K381" i="2"/>
  <c r="K382" i="2" s="1"/>
  <c r="N382" i="2" s="1"/>
  <c r="L309" i="2"/>
  <c r="L310" i="2" s="1"/>
  <c r="L311" i="2" s="1"/>
  <c r="L312" i="2" s="1"/>
  <c r="L313" i="2" s="1"/>
  <c r="L314" i="2"/>
  <c r="L315" i="2" s="1"/>
  <c r="M315" i="2" s="1"/>
  <c r="L357" i="2"/>
  <c r="L358" i="2" s="1"/>
  <c r="L359" i="2" s="1"/>
  <c r="L360" i="2" s="1"/>
  <c r="L361" i="2" s="1"/>
  <c r="L263" i="2"/>
  <c r="L264" i="2" s="1"/>
  <c r="L265" i="2" s="1"/>
  <c r="L266" i="2" s="1"/>
  <c r="L267" i="2" s="1"/>
  <c r="L268" i="2"/>
  <c r="L269" i="2" s="1"/>
  <c r="M269" i="2" s="1"/>
  <c r="L195" i="2"/>
  <c r="L196" i="2" s="1"/>
  <c r="M196" i="2" s="1"/>
  <c r="L189" i="2"/>
  <c r="L190" i="2" s="1"/>
  <c r="L191" i="2" s="1"/>
  <c r="L192" i="2" s="1"/>
  <c r="L193" i="2" s="1"/>
  <c r="L194" i="2" s="1"/>
  <c r="L175" i="2"/>
  <c r="L176" i="2" s="1"/>
  <c r="M176" i="2" s="1"/>
  <c r="L169" i="2"/>
  <c r="L170" i="2" s="1"/>
  <c r="L171" i="2" s="1"/>
  <c r="L172" i="2" s="1"/>
  <c r="L173" i="2" s="1"/>
  <c r="L174" i="2" s="1"/>
  <c r="L287" i="2"/>
  <c r="L288" i="2" s="1"/>
  <c r="M288" i="2" s="1"/>
  <c r="L281" i="2"/>
  <c r="L282" i="2" s="1"/>
  <c r="L283" i="2" s="1"/>
  <c r="L284" i="2" s="1"/>
  <c r="L285" i="2" s="1"/>
  <c r="L286" i="2" s="1"/>
  <c r="L272" i="2"/>
  <c r="L273" i="2" s="1"/>
  <c r="L274" i="2" s="1"/>
  <c r="L275" i="2" s="1"/>
  <c r="L276" i="2" s="1"/>
  <c r="L277" i="2"/>
  <c r="L278" i="2" s="1"/>
  <c r="M278" i="2" s="1"/>
  <c r="K263" i="2"/>
  <c r="K264" i="2" s="1"/>
  <c r="K265" i="2" s="1"/>
  <c r="K266" i="2" s="1"/>
  <c r="K267" i="2" s="1"/>
  <c r="K268" i="2"/>
  <c r="K269" i="2" s="1"/>
  <c r="N269" i="2" s="1"/>
  <c r="L253" i="2"/>
  <c r="L254" i="2" s="1"/>
  <c r="M254" i="2" s="1"/>
  <c r="L248" i="2"/>
  <c r="L249" i="2" s="1"/>
  <c r="L250" i="2" s="1"/>
  <c r="L251" i="2" s="1"/>
  <c r="L252" i="2" s="1"/>
  <c r="K248" i="2"/>
  <c r="K249" i="2" s="1"/>
  <c r="K250" i="2" s="1"/>
  <c r="K251" i="2" s="1"/>
  <c r="K252" i="2" s="1"/>
  <c r="K253" i="2"/>
  <c r="K254" i="2" s="1"/>
  <c r="N254" i="2" s="1"/>
  <c r="L221" i="2"/>
  <c r="L222" i="2" s="1"/>
  <c r="L223" i="2" s="1"/>
  <c r="L224" i="2" s="1"/>
  <c r="L225" i="2" s="1"/>
  <c r="L226" i="2"/>
  <c r="L227" i="2" s="1"/>
  <c r="M227" i="2" s="1"/>
  <c r="K300" i="2"/>
  <c r="K301" i="2" s="1"/>
  <c r="K302" i="2" s="1"/>
  <c r="K303" i="2" s="1"/>
  <c r="K304" i="2" s="1"/>
  <c r="K305" i="2"/>
  <c r="K306" i="2" s="1"/>
  <c r="N306" i="2" s="1"/>
  <c r="G263" i="2"/>
  <c r="G264" i="2" s="1"/>
  <c r="G265" i="2" s="1"/>
  <c r="G266" i="2" s="1"/>
  <c r="G267" i="2" s="1"/>
  <c r="G268" i="2"/>
  <c r="G269" i="2" s="1"/>
  <c r="K344" i="2"/>
  <c r="K345" i="2" s="1"/>
  <c r="N345" i="2" s="1"/>
  <c r="K321" i="2"/>
  <c r="K322" i="2" s="1"/>
  <c r="K323" i="2" s="1"/>
  <c r="K324" i="2" s="1"/>
  <c r="K325" i="2" s="1"/>
  <c r="K296" i="2"/>
  <c r="K297" i="2" s="1"/>
  <c r="N297" i="2" s="1"/>
  <c r="K179" i="2"/>
  <c r="K180" i="2" s="1"/>
  <c r="K181" i="2" s="1"/>
  <c r="K182" i="2" s="1"/>
  <c r="K183" i="2" s="1"/>
  <c r="K184" i="2" s="1"/>
  <c r="K185" i="2"/>
  <c r="K186" i="2" s="1"/>
  <c r="N186" i="2" s="1"/>
  <c r="L159" i="2"/>
  <c r="L160" i="2" s="1"/>
  <c r="L161" i="2" s="1"/>
  <c r="L162" i="2" s="1"/>
  <c r="L163" i="2" s="1"/>
  <c r="L164" i="2" s="1"/>
  <c r="L165" i="2"/>
  <c r="L166" i="2" s="1"/>
  <c r="M166" i="2" s="1"/>
  <c r="K281" i="2"/>
  <c r="K282" i="2" s="1"/>
  <c r="K283" i="2" s="1"/>
  <c r="K284" i="2" s="1"/>
  <c r="K285" i="2" s="1"/>
  <c r="K286" i="2" s="1"/>
  <c r="L217" i="2"/>
  <c r="L218" i="2" s="1"/>
  <c r="M218" i="2" s="1"/>
  <c r="L211" i="2"/>
  <c r="L212" i="2" s="1"/>
  <c r="L213" i="2" s="1"/>
  <c r="L214" i="2" s="1"/>
  <c r="L215" i="2" s="1"/>
  <c r="L216" i="2" s="1"/>
  <c r="L155" i="2"/>
  <c r="L156" i="2" s="1"/>
  <c r="M156" i="2" s="1"/>
  <c r="L149" i="2"/>
  <c r="L150" i="2" s="1"/>
  <c r="L151" i="2" s="1"/>
  <c r="L152" i="2" s="1"/>
  <c r="L153" i="2" s="1"/>
  <c r="L154" i="2" s="1"/>
  <c r="G139" i="2"/>
  <c r="G140" i="2" s="1"/>
  <c r="G141" i="2" s="1"/>
  <c r="G142" i="2" s="1"/>
  <c r="G143" i="2" s="1"/>
  <c r="G144" i="2" s="1"/>
  <c r="G145" i="2"/>
  <c r="G146" i="2" s="1"/>
  <c r="K175" i="2"/>
  <c r="K176" i="2" s="1"/>
  <c r="N176" i="2" s="1"/>
  <c r="K159" i="2"/>
  <c r="K160" i="2" s="1"/>
  <c r="K161" i="2" s="1"/>
  <c r="K162" i="2" s="1"/>
  <c r="K163" i="2" s="1"/>
  <c r="K164" i="2" s="1"/>
  <c r="L139" i="2"/>
  <c r="L140" i="2" s="1"/>
  <c r="L141" i="2" s="1"/>
  <c r="L142" i="2" s="1"/>
  <c r="L143" i="2" s="1"/>
  <c r="L144" i="2" s="1"/>
  <c r="L145" i="2"/>
  <c r="L146" i="2" s="1"/>
  <c r="M146" i="2" s="1"/>
  <c r="G207" i="2"/>
  <c r="G208" i="2" s="1"/>
  <c r="G202" i="2"/>
  <c r="G203" i="2" s="1"/>
  <c r="G204" i="2" s="1"/>
  <c r="G205" i="2" s="1"/>
  <c r="G206" i="2" s="1"/>
  <c r="L239" i="2"/>
  <c r="L240" i="2" s="1"/>
  <c r="L241" i="2" s="1"/>
  <c r="L242" i="2" s="1"/>
  <c r="L243" i="2" s="1"/>
  <c r="D207" i="2"/>
  <c r="D208" i="2" s="1"/>
  <c r="L46" i="2"/>
  <c r="L47" i="2" s="1"/>
  <c r="L48" i="2" s="1"/>
  <c r="L49" i="2" s="1"/>
  <c r="L50" i="2" s="1"/>
  <c r="L51" i="2" s="1"/>
  <c r="L52" i="2" s="1"/>
  <c r="L53" i="2"/>
  <c r="L54" i="2" s="1"/>
  <c r="M54" i="2" s="1"/>
  <c r="K211" i="2"/>
  <c r="K212" i="2" s="1"/>
  <c r="K213" i="2" s="1"/>
  <c r="K214" i="2" s="1"/>
  <c r="K215" i="2" s="1"/>
  <c r="K216" i="2" s="1"/>
  <c r="K217" i="2"/>
  <c r="K218" i="2" s="1"/>
  <c r="N218" i="2" s="1"/>
  <c r="K189" i="2"/>
  <c r="K190" i="2" s="1"/>
  <c r="K191" i="2" s="1"/>
  <c r="K192" i="2" s="1"/>
  <c r="K193" i="2" s="1"/>
  <c r="K194" i="2" s="1"/>
  <c r="K195" i="2"/>
  <c r="K196" i="2" s="1"/>
  <c r="N196" i="2" s="1"/>
  <c r="D145" i="2"/>
  <c r="D146" i="2" s="1"/>
  <c r="D139" i="2"/>
  <c r="D140" i="2" s="1"/>
  <c r="D141" i="2" s="1"/>
  <c r="D142" i="2" s="1"/>
  <c r="D143" i="2" s="1"/>
  <c r="D144" i="2" s="1"/>
  <c r="L123" i="2"/>
  <c r="L124" i="2" s="1"/>
  <c r="M124" i="2" s="1"/>
  <c r="L118" i="2"/>
  <c r="L119" i="2" s="1"/>
  <c r="L120" i="2" s="1"/>
  <c r="L121" i="2" s="1"/>
  <c r="L122" i="2" s="1"/>
  <c r="L185" i="2"/>
  <c r="L186" i="2" s="1"/>
  <c r="M186" i="2" s="1"/>
  <c r="K155" i="2"/>
  <c r="K156" i="2" s="1"/>
  <c r="N156" i="2" s="1"/>
  <c r="L132" i="2"/>
  <c r="L133" i="2" s="1"/>
  <c r="M133" i="2" s="1"/>
  <c r="L16" i="2"/>
  <c r="L17" i="2" s="1"/>
  <c r="L18" i="2" s="1"/>
  <c r="L19" i="2" s="1"/>
  <c r="L20" i="2" s="1"/>
  <c r="L21" i="2" s="1"/>
  <c r="L22" i="2"/>
  <c r="L23" i="2" s="1"/>
  <c r="M23" i="2" s="1"/>
  <c r="G86" i="2"/>
  <c r="G87" i="2" s="1"/>
  <c r="G81" i="2"/>
  <c r="G82" i="2" s="1"/>
  <c r="G83" i="2" s="1"/>
  <c r="G84" i="2" s="1"/>
  <c r="G85" i="2" s="1"/>
  <c r="L64" i="2"/>
  <c r="L65" i="2" s="1"/>
  <c r="M65" i="2" s="1"/>
  <c r="L57" i="2"/>
  <c r="L58" i="2" s="1"/>
  <c r="L59" i="2" s="1"/>
  <c r="L60" i="2" s="1"/>
  <c r="L61" i="2" s="1"/>
  <c r="L62" i="2" s="1"/>
  <c r="L63" i="2" s="1"/>
  <c r="L36" i="2"/>
  <c r="L37" i="2" s="1"/>
  <c r="L38" i="2" s="1"/>
  <c r="L39" i="2" s="1"/>
  <c r="L40" i="2" s="1"/>
  <c r="L41" i="2" s="1"/>
  <c r="L42" i="2"/>
  <c r="L43" i="2" s="1"/>
  <c r="M43" i="2" s="1"/>
  <c r="D86" i="2"/>
  <c r="D87" i="2" s="1"/>
  <c r="D81" i="2"/>
  <c r="D82" i="2" s="1"/>
  <c r="D83" i="2" s="1"/>
  <c r="D84" i="2" s="1"/>
  <c r="D85" i="2" s="1"/>
  <c r="K64" i="2"/>
  <c r="K65" i="2" s="1"/>
  <c r="N65" i="2" s="1"/>
  <c r="K57" i="2"/>
  <c r="K58" i="2" s="1"/>
  <c r="K59" i="2" s="1"/>
  <c r="K60" i="2" s="1"/>
  <c r="K61" i="2" s="1"/>
  <c r="K62" i="2" s="1"/>
  <c r="K63" i="2" s="1"/>
  <c r="D22" i="2"/>
  <c r="D23" i="2" s="1"/>
  <c r="D16" i="2"/>
  <c r="D17" i="2" s="1"/>
  <c r="D18" i="2" s="1"/>
  <c r="D19" i="2" s="1"/>
  <c r="D20" i="2" s="1"/>
  <c r="D21" i="2" s="1"/>
  <c r="L109" i="2"/>
  <c r="L110" i="2" s="1"/>
  <c r="L111" i="2" s="1"/>
  <c r="L112" i="2" s="1"/>
  <c r="L113" i="2" s="1"/>
  <c r="L114" i="2"/>
  <c r="L115" i="2" s="1"/>
  <c r="M115" i="2" s="1"/>
  <c r="L32" i="2"/>
  <c r="L33" i="2" s="1"/>
  <c r="M33" i="2" s="1"/>
  <c r="L26" i="2"/>
  <c r="L27" i="2" s="1"/>
  <c r="L28" i="2" s="1"/>
  <c r="L29" i="2" s="1"/>
  <c r="L30" i="2" s="1"/>
  <c r="L31" i="2" s="1"/>
  <c r="L95" i="2"/>
  <c r="L96" i="2" s="1"/>
  <c r="M96" i="2" s="1"/>
  <c r="L90" i="2"/>
  <c r="L91" i="2" s="1"/>
  <c r="L92" i="2" s="1"/>
  <c r="L93" i="2" s="1"/>
  <c r="L94" i="2" s="1"/>
  <c r="L68" i="2"/>
  <c r="L69" i="2" s="1"/>
  <c r="L70" i="2" s="1"/>
  <c r="L71" i="2" s="1"/>
  <c r="L72" i="2" s="1"/>
  <c r="L73" i="2" s="1"/>
  <c r="L74" i="2"/>
  <c r="L75" i="2" s="1"/>
  <c r="M75" i="2" s="1"/>
  <c r="K32" i="2"/>
  <c r="K33" i="2" s="1"/>
  <c r="N33" i="2" s="1"/>
  <c r="K26" i="2"/>
  <c r="K27" i="2" s="1"/>
  <c r="K28" i="2" s="1"/>
  <c r="K29" i="2" s="1"/>
  <c r="K30" i="2" s="1"/>
  <c r="K31" i="2" s="1"/>
  <c r="K95" i="2"/>
  <c r="K96" i="2" s="1"/>
  <c r="N96" i="2" s="1"/>
  <c r="K90" i="2"/>
  <c r="K91" i="2" s="1"/>
  <c r="K92" i="2" s="1"/>
  <c r="K93" i="2" s="1"/>
  <c r="K94" i="2" s="1"/>
  <c r="L81" i="2"/>
  <c r="L82" i="2" s="1"/>
  <c r="L83" i="2" s="1"/>
  <c r="L84" i="2" s="1"/>
  <c r="L85" i="2" s="1"/>
  <c r="L86" i="2"/>
  <c r="L87" i="2" s="1"/>
  <c r="M87" i="2" s="1"/>
  <c r="K68" i="2"/>
  <c r="K69" i="2" s="1"/>
  <c r="K70" i="2" s="1"/>
  <c r="K71" i="2" s="1"/>
  <c r="K72" i="2" s="1"/>
  <c r="K73" i="2" s="1"/>
  <c r="K74" i="2"/>
  <c r="K75" i="2" s="1"/>
  <c r="N75" i="2" s="1"/>
  <c r="G16" i="2"/>
  <c r="G17" i="2" s="1"/>
  <c r="G18" i="2" s="1"/>
  <c r="G19" i="2" s="1"/>
  <c r="G20" i="2" s="1"/>
  <c r="G21" i="2" s="1"/>
  <c r="G22" i="2"/>
  <c r="G23" i="2" s="1"/>
  <c r="L105" i="2"/>
  <c r="L106" i="2" s="1"/>
  <c r="M106" i="2" s="1"/>
  <c r="K46" i="2"/>
  <c r="K47" i="2" s="1"/>
  <c r="K48" i="2" s="1"/>
  <c r="K49" i="2" s="1"/>
  <c r="K50" i="2" s="1"/>
  <c r="K51" i="2" s="1"/>
  <c r="K52" i="2" s="1"/>
  <c r="K53" i="2"/>
  <c r="K54" i="2" s="1"/>
  <c r="N54" i="2" s="1"/>
  <c r="E22" i="2"/>
  <c r="E23" i="2" s="1"/>
  <c r="E16" i="2"/>
  <c r="E17" i="2" s="1"/>
  <c r="E18" i="2" s="1"/>
  <c r="E19" i="2" s="1"/>
  <c r="E20" i="2" s="1"/>
  <c r="E21" i="2" s="1"/>
  <c r="K105" i="2"/>
  <c r="K106" i="2" s="1"/>
  <c r="N106" i="2" s="1"/>
  <c r="K81" i="2"/>
  <c r="K82" i="2" s="1"/>
  <c r="K83" i="2" s="1"/>
  <c r="K84" i="2" s="1"/>
  <c r="K85" i="2" s="1"/>
  <c r="K42" i="2"/>
  <c r="K43" i="2" s="1"/>
  <c r="N43" i="2" s="1"/>
  <c r="L1815" i="2"/>
  <c r="L1816" i="2" s="1"/>
  <c r="M1816" i="2" s="1"/>
  <c r="C983" i="2"/>
  <c r="C984" i="2" s="1"/>
  <c r="C978" i="2"/>
  <c r="C979" i="2" s="1"/>
  <c r="C980" i="2" s="1"/>
  <c r="C981" i="2" s="1"/>
  <c r="C982" i="2" s="1"/>
  <c r="C1108" i="2"/>
  <c r="C1109" i="2" s="1"/>
  <c r="C1103" i="2"/>
  <c r="C1104" i="2" s="1"/>
  <c r="C1105" i="2" s="1"/>
  <c r="C1106" i="2" s="1"/>
  <c r="C1107" i="2" s="1"/>
  <c r="C786" i="2"/>
  <c r="C787" i="2" s="1"/>
  <c r="C844" i="2" s="1"/>
  <c r="C845" i="2" s="1"/>
  <c r="I845" i="2" s="1"/>
  <c r="C781" i="2"/>
  <c r="C782" i="2" s="1"/>
  <c r="C783" i="2" s="1"/>
  <c r="C784" i="2" s="1"/>
  <c r="C785" i="2" s="1"/>
  <c r="C656" i="2"/>
  <c r="C657" i="2" s="1"/>
  <c r="C650" i="2"/>
  <c r="C651" i="2" s="1"/>
  <c r="C652" i="2" s="1"/>
  <c r="C653" i="2" s="1"/>
  <c r="C654" i="2" s="1"/>
  <c r="C655" i="2" s="1"/>
  <c r="C1050" i="2"/>
  <c r="C1051" i="2" s="1"/>
  <c r="C1045" i="2"/>
  <c r="C1046" i="2" s="1"/>
  <c r="C1047" i="2" s="1"/>
  <c r="C1048" i="2" s="1"/>
  <c r="C1049" i="2" s="1"/>
  <c r="C718" i="2"/>
  <c r="C719" i="2" s="1"/>
  <c r="C713" i="2"/>
  <c r="C714" i="2" s="1"/>
  <c r="C715" i="2" s="1"/>
  <c r="C716" i="2" s="1"/>
  <c r="C717" i="2" s="1"/>
  <c r="C139" i="2"/>
  <c r="C140" i="2" s="1"/>
  <c r="C141" i="2" s="1"/>
  <c r="C142" i="2" s="1"/>
  <c r="C143" i="2" s="1"/>
  <c r="C144" i="2" s="1"/>
  <c r="C1765" i="2"/>
  <c r="C1766" i="2" s="1"/>
  <c r="C1817" i="2" s="1"/>
  <c r="C1818" i="2" s="1"/>
  <c r="I1818" i="2" s="1"/>
  <c r="C1758" i="2"/>
  <c r="C1759" i="2" s="1"/>
  <c r="C1760" i="2" s="1"/>
  <c r="C1761" i="2" s="1"/>
  <c r="C1762" i="2" s="1"/>
  <c r="C1763" i="2" s="1"/>
  <c r="C1764" i="2" s="1"/>
  <c r="C854" i="2"/>
  <c r="C855" i="2" s="1"/>
  <c r="C911" i="2" s="1"/>
  <c r="C912" i="2" s="1"/>
  <c r="I912" i="2" s="1"/>
  <c r="C849" i="2"/>
  <c r="C850" i="2" s="1"/>
  <c r="C851" i="2" s="1"/>
  <c r="C852" i="2" s="1"/>
  <c r="C853" i="2" s="1"/>
  <c r="C86" i="2"/>
  <c r="C87" i="2" s="1"/>
  <c r="C81" i="2"/>
  <c r="C82" i="2" s="1"/>
  <c r="C83" i="2" s="1"/>
  <c r="C84" i="2" s="1"/>
  <c r="C85" i="2" s="1"/>
  <c r="C1701" i="2"/>
  <c r="C1702" i="2" s="1"/>
  <c r="C1753" i="2" s="1"/>
  <c r="C1754" i="2" s="1"/>
  <c r="I1754" i="2" s="1"/>
  <c r="C1694" i="2"/>
  <c r="C1695" i="2" s="1"/>
  <c r="C1696" i="2" s="1"/>
  <c r="C1697" i="2" s="1"/>
  <c r="C1698" i="2" s="1"/>
  <c r="C1699" i="2" s="1"/>
  <c r="C1700" i="2" s="1"/>
  <c r="C1176" i="2"/>
  <c r="C1177" i="2" s="1"/>
  <c r="C1229" i="2" s="1"/>
  <c r="C1230" i="2" s="1"/>
  <c r="I1230" i="2" s="1"/>
  <c r="C1170" i="2"/>
  <c r="C1171" i="2" s="1"/>
  <c r="C1172" i="2" s="1"/>
  <c r="C1173" i="2" s="1"/>
  <c r="C1174" i="2" s="1"/>
  <c r="C1175" i="2" s="1"/>
  <c r="C1360" i="2"/>
  <c r="C1361" i="2" s="1"/>
  <c r="C1355" i="2"/>
  <c r="C1356" i="2" s="1"/>
  <c r="C1357" i="2" s="1"/>
  <c r="C1358" i="2" s="1"/>
  <c r="C1359" i="2" s="1"/>
  <c r="C1429" i="2"/>
  <c r="C1430" i="2" s="1"/>
  <c r="C1424" i="2"/>
  <c r="C1425" i="2" s="1"/>
  <c r="C1426" i="2" s="1"/>
  <c r="C1427" i="2" s="1"/>
  <c r="C1428" i="2" s="1"/>
  <c r="C326" i="2"/>
  <c r="C327" i="2" s="1"/>
  <c r="C321" i="2"/>
  <c r="C322" i="2" s="1"/>
  <c r="C323" i="2" s="1"/>
  <c r="C324" i="2" s="1"/>
  <c r="C325" i="2" s="1"/>
  <c r="C587" i="2"/>
  <c r="C588" i="2" s="1"/>
  <c r="C589" i="2" s="1"/>
  <c r="C590" i="2" s="1"/>
  <c r="C582" i="2"/>
  <c r="C583" i="2" s="1"/>
  <c r="C584" i="2" s="1"/>
  <c r="C585" i="2" s="1"/>
  <c r="C586" i="2" s="1"/>
  <c r="C1298" i="2"/>
  <c r="C1299" i="2" s="1"/>
  <c r="C1350" i="2" s="1"/>
  <c r="C1351" i="2" s="1"/>
  <c r="I1351" i="2" s="1"/>
  <c r="C1292" i="2"/>
  <c r="C1293" i="2" s="1"/>
  <c r="C1294" i="2" s="1"/>
  <c r="C1295" i="2" s="1"/>
  <c r="C1296" i="2" s="1"/>
  <c r="C1297" i="2" s="1"/>
  <c r="C1239" i="2"/>
  <c r="C1240" i="2" s="1"/>
  <c r="C1234" i="2"/>
  <c r="C1235" i="2" s="1"/>
  <c r="C1236" i="2" s="1"/>
  <c r="C1237" i="2" s="1"/>
  <c r="C1238" i="2" s="1"/>
  <c r="C453" i="2"/>
  <c r="C454" i="2" s="1"/>
  <c r="C506" i="2" s="1"/>
  <c r="C507" i="2" s="1"/>
  <c r="I507" i="2" s="1"/>
  <c r="C446" i="2"/>
  <c r="C447" i="2" s="1"/>
  <c r="C448" i="2" s="1"/>
  <c r="C449" i="2" s="1"/>
  <c r="C450" i="2" s="1"/>
  <c r="C451" i="2" s="1"/>
  <c r="C452" i="2" s="1"/>
  <c r="C1487" i="2"/>
  <c r="C1488" i="2" s="1"/>
  <c r="C1549" i="2" s="1"/>
  <c r="C1550" i="2" s="1"/>
  <c r="I1550" i="2" s="1"/>
  <c r="C1481" i="2"/>
  <c r="C1482" i="2" s="1"/>
  <c r="C1483" i="2" s="1"/>
  <c r="C1484" i="2" s="1"/>
  <c r="C1485" i="2" s="1"/>
  <c r="C1486" i="2" s="1"/>
  <c r="C393" i="2"/>
  <c r="C394" i="2" s="1"/>
  <c r="C388" i="2"/>
  <c r="C389" i="2" s="1"/>
  <c r="C390" i="2" s="1"/>
  <c r="C391" i="2" s="1"/>
  <c r="C392" i="2" s="1"/>
  <c r="C202" i="2"/>
  <c r="C203" i="2" s="1"/>
  <c r="C204" i="2" s="1"/>
  <c r="C205" i="2" s="1"/>
  <c r="C206" i="2" s="1"/>
  <c r="G1817" i="2"/>
  <c r="G1818" i="2" s="1"/>
  <c r="H1818" i="2" s="1"/>
  <c r="D1817" i="2"/>
  <c r="D1818" i="2" s="1"/>
  <c r="J1818" i="2" s="1"/>
  <c r="C134" i="2"/>
  <c r="C135" i="2" s="1"/>
  <c r="I135" i="2" s="1"/>
  <c r="C88" i="2"/>
  <c r="C89" i="2" s="1"/>
  <c r="C1419" i="2"/>
  <c r="C1420" i="2" s="1"/>
  <c r="I1420" i="2" s="1"/>
  <c r="C1362" i="2"/>
  <c r="C1363" i="2" s="1"/>
  <c r="C441" i="2"/>
  <c r="C442" i="2" s="1"/>
  <c r="I442" i="2" s="1"/>
  <c r="C395" i="2"/>
  <c r="C396" i="2" s="1"/>
  <c r="C708" i="2"/>
  <c r="C709" i="2" s="1"/>
  <c r="I709" i="2" s="1"/>
  <c r="C658" i="2"/>
  <c r="C659" i="2" s="1"/>
  <c r="C856" i="2"/>
  <c r="C857" i="2" s="1"/>
  <c r="C1476" i="2"/>
  <c r="C1477" i="2" s="1"/>
  <c r="I1477" i="2" s="1"/>
  <c r="C1431" i="2"/>
  <c r="C1432" i="2" s="1"/>
  <c r="C776" i="2"/>
  <c r="C777" i="2" s="1"/>
  <c r="I777" i="2" s="1"/>
  <c r="C720" i="2"/>
  <c r="C721" i="2" s="1"/>
  <c r="C1040" i="2"/>
  <c r="C1041" i="2" s="1"/>
  <c r="I1041" i="2" s="1"/>
  <c r="C985" i="2"/>
  <c r="C986" i="2" s="1"/>
  <c r="C383" i="2"/>
  <c r="C384" i="2" s="1"/>
  <c r="I384" i="2" s="1"/>
  <c r="C328" i="2"/>
  <c r="C329" i="2" s="1"/>
  <c r="C1098" i="2"/>
  <c r="C1099" i="2" s="1"/>
  <c r="I1099" i="2" s="1"/>
  <c r="C1052" i="2"/>
  <c r="C1053" i="2" s="1"/>
  <c r="C1300" i="2"/>
  <c r="C1301" i="2" s="1"/>
  <c r="C1703" i="2"/>
  <c r="C1704" i="2" s="1"/>
  <c r="C1165" i="2"/>
  <c r="C1166" i="2" s="1"/>
  <c r="I1166" i="2" s="1"/>
  <c r="C1110" i="2"/>
  <c r="C1111" i="2" s="1"/>
  <c r="C1287" i="2"/>
  <c r="C1288" i="2" s="1"/>
  <c r="I1288" i="2" s="1"/>
  <c r="C1241" i="2"/>
  <c r="C1242" i="2" s="1"/>
  <c r="C209" i="2"/>
  <c r="C210" i="2" s="1"/>
  <c r="C147" i="2"/>
  <c r="C148" i="2" s="1"/>
  <c r="C1627" i="2"/>
  <c r="C1628" i="2" s="1"/>
  <c r="C1629" i="2" s="1"/>
  <c r="D344" i="2" l="1"/>
  <c r="D345" i="2" s="1"/>
  <c r="D346" i="2" s="1"/>
  <c r="D347" i="2" s="1"/>
  <c r="D339" i="2"/>
  <c r="D340" i="2" s="1"/>
  <c r="D341" i="2" s="1"/>
  <c r="D342" i="2" s="1"/>
  <c r="D343" i="2" s="1"/>
  <c r="D1379" i="2"/>
  <c r="D1380" i="2" s="1"/>
  <c r="D1381" i="2" s="1"/>
  <c r="D1382" i="2" s="1"/>
  <c r="D1374" i="2"/>
  <c r="D1375" i="2" s="1"/>
  <c r="D1376" i="2" s="1"/>
  <c r="D1377" i="2" s="1"/>
  <c r="D1378" i="2" s="1"/>
  <c r="G523" i="2"/>
  <c r="G524" i="2" s="1"/>
  <c r="G525" i="2" s="1"/>
  <c r="G526" i="2" s="1"/>
  <c r="G527" i="2" s="1"/>
  <c r="G528" i="2"/>
  <c r="G529" i="2" s="1"/>
  <c r="G530" i="2" s="1"/>
  <c r="G531" i="2" s="1"/>
  <c r="G720" i="2"/>
  <c r="G721" i="2" s="1"/>
  <c r="G776" i="2"/>
  <c r="G777" i="2" s="1"/>
  <c r="H777" i="2" s="1"/>
  <c r="D720" i="2"/>
  <c r="D721" i="2" s="1"/>
  <c r="D776" i="2"/>
  <c r="D777" i="2" s="1"/>
  <c r="J777" i="2" s="1"/>
  <c r="G992" i="2"/>
  <c r="G993" i="2" s="1"/>
  <c r="G994" i="2" s="1"/>
  <c r="G995" i="2" s="1"/>
  <c r="G987" i="2"/>
  <c r="G988" i="2" s="1"/>
  <c r="G989" i="2" s="1"/>
  <c r="G990" i="2" s="1"/>
  <c r="G991" i="2" s="1"/>
  <c r="C645" i="2"/>
  <c r="C646" i="2" s="1"/>
  <c r="I646" i="2" s="1"/>
  <c r="D24" i="2"/>
  <c r="D25" i="2" s="1"/>
  <c r="D76" i="2"/>
  <c r="D77" i="2" s="1"/>
  <c r="J77" i="2" s="1"/>
  <c r="G270" i="2"/>
  <c r="G271" i="2" s="1"/>
  <c r="G316" i="2"/>
  <c r="G317" i="2" s="1"/>
  <c r="H317" i="2" s="1"/>
  <c r="G397" i="2"/>
  <c r="G398" i="2" s="1"/>
  <c r="G399" i="2" s="1"/>
  <c r="G400" i="2" s="1"/>
  <c r="G401" i="2" s="1"/>
  <c r="G402" i="2" s="1"/>
  <c r="G403" i="2"/>
  <c r="G404" i="2" s="1"/>
  <c r="G405" i="2" s="1"/>
  <c r="G406" i="2" s="1"/>
  <c r="E521" i="2"/>
  <c r="E522" i="2" s="1"/>
  <c r="E577" i="2"/>
  <c r="E578" i="2" s="1"/>
  <c r="D645" i="2"/>
  <c r="D646" i="2" s="1"/>
  <c r="J646" i="2" s="1"/>
  <c r="D589" i="2"/>
  <c r="D590" i="2" s="1"/>
  <c r="G658" i="2"/>
  <c r="G659" i="2" s="1"/>
  <c r="G708" i="2"/>
  <c r="G709" i="2" s="1"/>
  <c r="H709" i="2" s="1"/>
  <c r="D856" i="2"/>
  <c r="D857" i="2" s="1"/>
  <c r="D911" i="2"/>
  <c r="D912" i="2" s="1"/>
  <c r="J912" i="2" s="1"/>
  <c r="D926" i="2"/>
  <c r="D927" i="2" s="1"/>
  <c r="D973" i="2"/>
  <c r="D974" i="2" s="1"/>
  <c r="J974" i="2" s="1"/>
  <c r="D985" i="2"/>
  <c r="D986" i="2" s="1"/>
  <c r="D1040" i="2"/>
  <c r="D1041" i="2" s="1"/>
  <c r="J1041" i="2" s="1"/>
  <c r="D1117" i="2"/>
  <c r="D1118" i="2" s="1"/>
  <c r="D1119" i="2" s="1"/>
  <c r="D1120" i="2" s="1"/>
  <c r="D1112" i="2"/>
  <c r="D1113" i="2" s="1"/>
  <c r="D1114" i="2" s="1"/>
  <c r="D1115" i="2" s="1"/>
  <c r="D1116" i="2" s="1"/>
  <c r="D1186" i="2"/>
  <c r="D1187" i="2" s="1"/>
  <c r="D1188" i="2" s="1"/>
  <c r="D1189" i="2" s="1"/>
  <c r="D1180" i="2"/>
  <c r="D1181" i="2" s="1"/>
  <c r="D1182" i="2" s="1"/>
  <c r="D1183" i="2" s="1"/>
  <c r="D1184" i="2" s="1"/>
  <c r="D1185" i="2" s="1"/>
  <c r="G1098" i="2"/>
  <c r="G1099" i="2" s="1"/>
  <c r="H1099" i="2" s="1"/>
  <c r="G1052" i="2"/>
  <c r="G1053" i="2" s="1"/>
  <c r="D1517" i="2"/>
  <c r="D1518" i="2" s="1"/>
  <c r="D1519" i="2" s="1"/>
  <c r="D1520" i="2" s="1"/>
  <c r="D1511" i="2"/>
  <c r="D1512" i="2" s="1"/>
  <c r="D1513" i="2" s="1"/>
  <c r="D1514" i="2" s="1"/>
  <c r="D1515" i="2" s="1"/>
  <c r="D1516" i="2" s="1"/>
  <c r="G1565" i="2"/>
  <c r="G1566" i="2" s="1"/>
  <c r="G1625" i="2"/>
  <c r="G1626" i="2" s="1"/>
  <c r="H1626" i="2" s="1"/>
  <c r="D1703" i="2"/>
  <c r="D1704" i="2" s="1"/>
  <c r="D1753" i="2"/>
  <c r="D1754" i="2" s="1"/>
  <c r="J1754" i="2" s="1"/>
  <c r="G1243" i="2"/>
  <c r="G1244" i="2" s="1"/>
  <c r="G1245" i="2" s="1"/>
  <c r="G1246" i="2" s="1"/>
  <c r="G1247" i="2" s="1"/>
  <c r="G1248" i="2" s="1"/>
  <c r="G1249" i="2"/>
  <c r="G1250" i="2" s="1"/>
  <c r="G1251" i="2" s="1"/>
  <c r="G1252" i="2" s="1"/>
  <c r="E76" i="2"/>
  <c r="E77" i="2" s="1"/>
  <c r="E24" i="2"/>
  <c r="E25" i="2" s="1"/>
  <c r="D270" i="2"/>
  <c r="D271" i="2" s="1"/>
  <c r="D316" i="2"/>
  <c r="D317" i="2" s="1"/>
  <c r="J317" i="2" s="1"/>
  <c r="G1350" i="2"/>
  <c r="G1351" i="2" s="1"/>
  <c r="H1351" i="2" s="1"/>
  <c r="G1300" i="2"/>
  <c r="G1301" i="2" s="1"/>
  <c r="E1565" i="2"/>
  <c r="E1566" i="2" s="1"/>
  <c r="E1625" i="2"/>
  <c r="E1626" i="2" s="1"/>
  <c r="E1627" i="2" s="1"/>
  <c r="E1628" i="2" s="1"/>
  <c r="E1629" i="2" s="1"/>
  <c r="G1703" i="2"/>
  <c r="G1704" i="2" s="1"/>
  <c r="G1753" i="2"/>
  <c r="G1754" i="2" s="1"/>
  <c r="H1754" i="2" s="1"/>
  <c r="C1489" i="2"/>
  <c r="C1490" i="2" s="1"/>
  <c r="C1767" i="2"/>
  <c r="C1768" i="2" s="1"/>
  <c r="C1178" i="2"/>
  <c r="C1179" i="2" s="1"/>
  <c r="C1186" i="2" s="1"/>
  <c r="C1187" i="2" s="1"/>
  <c r="C1188" i="2" s="1"/>
  <c r="C1189" i="2" s="1"/>
  <c r="C788" i="2"/>
  <c r="C789" i="2" s="1"/>
  <c r="G88" i="2"/>
  <c r="G89" i="2" s="1"/>
  <c r="G134" i="2"/>
  <c r="G135" i="2" s="1"/>
  <c r="H135" i="2" s="1"/>
  <c r="D209" i="2"/>
  <c r="D210" i="2" s="1"/>
  <c r="D255" i="2"/>
  <c r="D256" i="2" s="1"/>
  <c r="J256" i="2" s="1"/>
  <c r="G147" i="2"/>
  <c r="G148" i="2" s="1"/>
  <c r="G197" i="2"/>
  <c r="G198" i="2" s="1"/>
  <c r="H198" i="2" s="1"/>
  <c r="E270" i="2"/>
  <c r="E271" i="2" s="1"/>
  <c r="E316" i="2"/>
  <c r="E317" i="2" s="1"/>
  <c r="D441" i="2"/>
  <c r="D442" i="2" s="1"/>
  <c r="J442" i="2" s="1"/>
  <c r="D395" i="2"/>
  <c r="D396" i="2" s="1"/>
  <c r="G589" i="2"/>
  <c r="G590" i="2" s="1"/>
  <c r="G645" i="2"/>
  <c r="G646" i="2" s="1"/>
  <c r="H646" i="2" s="1"/>
  <c r="D577" i="2"/>
  <c r="D578" i="2" s="1"/>
  <c r="J578" i="2" s="1"/>
  <c r="D521" i="2"/>
  <c r="D522" i="2" s="1"/>
  <c r="G973" i="2"/>
  <c r="G974" i="2" s="1"/>
  <c r="H974" i="2" s="1"/>
  <c r="G926" i="2"/>
  <c r="G927" i="2" s="1"/>
  <c r="D1287" i="2"/>
  <c r="D1288" i="2" s="1"/>
  <c r="J1288" i="2" s="1"/>
  <c r="D1241" i="2"/>
  <c r="D1242" i="2" s="1"/>
  <c r="D1433" i="2"/>
  <c r="D1434" i="2" s="1"/>
  <c r="D1435" i="2" s="1"/>
  <c r="D1436" i="2" s="1"/>
  <c r="D1437" i="2" s="1"/>
  <c r="D1438" i="2"/>
  <c r="D1439" i="2" s="1"/>
  <c r="D1440" i="2" s="1"/>
  <c r="D1441" i="2" s="1"/>
  <c r="D1775" i="2"/>
  <c r="D1776" i="2" s="1"/>
  <c r="D1777" i="2" s="1"/>
  <c r="D1778" i="2" s="1"/>
  <c r="D1769" i="2"/>
  <c r="D1770" i="2" s="1"/>
  <c r="D1771" i="2" s="1"/>
  <c r="D1772" i="2" s="1"/>
  <c r="D1773" i="2" s="1"/>
  <c r="D1774" i="2" s="1"/>
  <c r="D1638" i="2"/>
  <c r="D1639" i="2" s="1"/>
  <c r="D1689" i="2"/>
  <c r="D1690" i="2" s="1"/>
  <c r="J1690" i="2" s="1"/>
  <c r="D147" i="2"/>
  <c r="D148" i="2" s="1"/>
  <c r="D197" i="2"/>
  <c r="D198" i="2" s="1"/>
  <c r="J198" i="2" s="1"/>
  <c r="G328" i="2"/>
  <c r="G329" i="2" s="1"/>
  <c r="G383" i="2"/>
  <c r="G384" i="2" s="1"/>
  <c r="H384" i="2" s="1"/>
  <c r="D457" i="2"/>
  <c r="D458" i="2" s="1"/>
  <c r="D459" i="2" s="1"/>
  <c r="D460" i="2" s="1"/>
  <c r="D461" i="2" s="1"/>
  <c r="D462" i="2" s="1"/>
  <c r="D463" i="2"/>
  <c r="D464" i="2" s="1"/>
  <c r="D465" i="2" s="1"/>
  <c r="D466" i="2" s="1"/>
  <c r="D1054" i="2"/>
  <c r="D1055" i="2" s="1"/>
  <c r="D1056" i="2" s="1"/>
  <c r="D1057" i="2" s="1"/>
  <c r="D1058" i="2" s="1"/>
  <c r="D1059" i="2"/>
  <c r="D1060" i="2" s="1"/>
  <c r="D1061" i="2" s="1"/>
  <c r="D1062" i="2" s="1"/>
  <c r="D1300" i="2"/>
  <c r="D1301" i="2" s="1"/>
  <c r="D1350" i="2"/>
  <c r="D1351" i="2" s="1"/>
  <c r="J1351" i="2" s="1"/>
  <c r="C455" i="2"/>
  <c r="C456" i="2" s="1"/>
  <c r="C463" i="2" s="1"/>
  <c r="C464" i="2" s="1"/>
  <c r="C465" i="2" s="1"/>
  <c r="C466" i="2" s="1"/>
  <c r="D88" i="2"/>
  <c r="D89" i="2" s="1"/>
  <c r="D134" i="2"/>
  <c r="D135" i="2" s="1"/>
  <c r="J135" i="2" s="1"/>
  <c r="G455" i="2"/>
  <c r="G456" i="2" s="1"/>
  <c r="G506" i="2"/>
  <c r="G507" i="2" s="1"/>
  <c r="H507" i="2" s="1"/>
  <c r="G788" i="2"/>
  <c r="G789" i="2" s="1"/>
  <c r="G844" i="2"/>
  <c r="G845" i="2" s="1"/>
  <c r="H845" i="2" s="1"/>
  <c r="G911" i="2"/>
  <c r="G912" i="2" s="1"/>
  <c r="H912" i="2" s="1"/>
  <c r="G856" i="2"/>
  <c r="G857" i="2" s="1"/>
  <c r="D795" i="2"/>
  <c r="D796" i="2" s="1"/>
  <c r="D797" i="2" s="1"/>
  <c r="D798" i="2" s="1"/>
  <c r="D790" i="2"/>
  <c r="D791" i="2" s="1"/>
  <c r="D792" i="2" s="1"/>
  <c r="D793" i="2" s="1"/>
  <c r="D794" i="2" s="1"/>
  <c r="G1178" i="2"/>
  <c r="G1179" i="2" s="1"/>
  <c r="G1229" i="2"/>
  <c r="G1230" i="2" s="1"/>
  <c r="H1230" i="2" s="1"/>
  <c r="G1388" i="2"/>
  <c r="G1389" i="2" s="1"/>
  <c r="G1390" i="2" s="1"/>
  <c r="G1391" i="2" s="1"/>
  <c r="G1383" i="2"/>
  <c r="G1384" i="2" s="1"/>
  <c r="G1385" i="2" s="1"/>
  <c r="G1386" i="2" s="1"/>
  <c r="G1387" i="2" s="1"/>
  <c r="G1476" i="2"/>
  <c r="G1477" i="2" s="1"/>
  <c r="H1477" i="2" s="1"/>
  <c r="G1431" i="2"/>
  <c r="G1432" i="2" s="1"/>
  <c r="D1565" i="2"/>
  <c r="D1566" i="2" s="1"/>
  <c r="D1625" i="2"/>
  <c r="D1626" i="2" s="1"/>
  <c r="J1626" i="2" s="1"/>
  <c r="G1638" i="2"/>
  <c r="G1639" i="2" s="1"/>
  <c r="G1689" i="2"/>
  <c r="G1690" i="2" s="1"/>
  <c r="H1690" i="2" s="1"/>
  <c r="G1769" i="2"/>
  <c r="G1770" i="2" s="1"/>
  <c r="G1771" i="2" s="1"/>
  <c r="G1772" i="2" s="1"/>
  <c r="G1773" i="2" s="1"/>
  <c r="G1774" i="2" s="1"/>
  <c r="G1775" i="2"/>
  <c r="G1776" i="2" s="1"/>
  <c r="G1777" i="2" s="1"/>
  <c r="G1778" i="2" s="1"/>
  <c r="G1489" i="2"/>
  <c r="G1490" i="2" s="1"/>
  <c r="G1549" i="2"/>
  <c r="G1550" i="2" s="1"/>
  <c r="H1550" i="2" s="1"/>
  <c r="G24" i="2"/>
  <c r="G25" i="2" s="1"/>
  <c r="G76" i="2"/>
  <c r="G77" i="2" s="1"/>
  <c r="H77" i="2" s="1"/>
  <c r="G255" i="2"/>
  <c r="G256" i="2" s="1"/>
  <c r="H256" i="2" s="1"/>
  <c r="G209" i="2"/>
  <c r="G210" i="2" s="1"/>
  <c r="D658" i="2"/>
  <c r="D659" i="2" s="1"/>
  <c r="D708" i="2"/>
  <c r="D709" i="2" s="1"/>
  <c r="J709" i="2" s="1"/>
  <c r="E973" i="2"/>
  <c r="E974" i="2" s="1"/>
  <c r="E926" i="2"/>
  <c r="E927" i="2" s="1"/>
  <c r="G1110" i="2"/>
  <c r="G1111" i="2" s="1"/>
  <c r="G1165" i="2"/>
  <c r="G1166" i="2" s="1"/>
  <c r="H1166" i="2" s="1"/>
  <c r="C217" i="2"/>
  <c r="C218" i="2" s="1"/>
  <c r="C219" i="2" s="1"/>
  <c r="C220" i="2" s="1"/>
  <c r="C211" i="2"/>
  <c r="C212" i="2" s="1"/>
  <c r="C213" i="2" s="1"/>
  <c r="C214" i="2" s="1"/>
  <c r="C215" i="2" s="1"/>
  <c r="C216" i="2" s="1"/>
  <c r="C1308" i="2"/>
  <c r="C1309" i="2" s="1"/>
  <c r="C1310" i="2" s="1"/>
  <c r="C1311" i="2" s="1"/>
  <c r="C1302" i="2"/>
  <c r="C1303" i="2" s="1"/>
  <c r="C1304" i="2" s="1"/>
  <c r="C1305" i="2" s="1"/>
  <c r="C1306" i="2" s="1"/>
  <c r="C1307" i="2" s="1"/>
  <c r="C335" i="2"/>
  <c r="C336" i="2" s="1"/>
  <c r="C337" i="2" s="1"/>
  <c r="C338" i="2" s="1"/>
  <c r="C330" i="2"/>
  <c r="C331" i="2" s="1"/>
  <c r="C332" i="2" s="1"/>
  <c r="C333" i="2" s="1"/>
  <c r="C334" i="2" s="1"/>
  <c r="C992" i="2"/>
  <c r="C993" i="2" s="1"/>
  <c r="C994" i="2" s="1"/>
  <c r="C995" i="2" s="1"/>
  <c r="C987" i="2"/>
  <c r="C988" i="2" s="1"/>
  <c r="C989" i="2" s="1"/>
  <c r="C990" i="2" s="1"/>
  <c r="C991" i="2" s="1"/>
  <c r="C1249" i="2"/>
  <c r="C1250" i="2" s="1"/>
  <c r="C1251" i="2" s="1"/>
  <c r="C1252" i="2" s="1"/>
  <c r="C1243" i="2"/>
  <c r="C1244" i="2" s="1"/>
  <c r="C1245" i="2" s="1"/>
  <c r="C1246" i="2" s="1"/>
  <c r="C1247" i="2" s="1"/>
  <c r="C1248" i="2" s="1"/>
  <c r="C155" i="2"/>
  <c r="C156" i="2" s="1"/>
  <c r="C157" i="2" s="1"/>
  <c r="C158" i="2" s="1"/>
  <c r="C149" i="2"/>
  <c r="C150" i="2" s="1"/>
  <c r="C151" i="2" s="1"/>
  <c r="C152" i="2" s="1"/>
  <c r="C153" i="2" s="1"/>
  <c r="C154" i="2" s="1"/>
  <c r="C1711" i="2"/>
  <c r="C1712" i="2" s="1"/>
  <c r="C1713" i="2" s="1"/>
  <c r="C1714" i="2" s="1"/>
  <c r="C1705" i="2"/>
  <c r="C1706" i="2" s="1"/>
  <c r="C1707" i="2" s="1"/>
  <c r="C1708" i="2" s="1"/>
  <c r="C1709" i="2" s="1"/>
  <c r="C1710" i="2" s="1"/>
  <c r="C863" i="2"/>
  <c r="C864" i="2" s="1"/>
  <c r="C865" i="2" s="1"/>
  <c r="C866" i="2" s="1"/>
  <c r="C858" i="2"/>
  <c r="C859" i="2" s="1"/>
  <c r="C860" i="2" s="1"/>
  <c r="C861" i="2" s="1"/>
  <c r="C862" i="2" s="1"/>
  <c r="C666" i="2"/>
  <c r="C667" i="2" s="1"/>
  <c r="C668" i="2" s="1"/>
  <c r="C669" i="2" s="1"/>
  <c r="C660" i="2"/>
  <c r="C661" i="2" s="1"/>
  <c r="C662" i="2" s="1"/>
  <c r="C663" i="2" s="1"/>
  <c r="C664" i="2" s="1"/>
  <c r="C665" i="2" s="1"/>
  <c r="C1636" i="2"/>
  <c r="C1637" i="2" s="1"/>
  <c r="C1630" i="2"/>
  <c r="C1631" i="2" s="1"/>
  <c r="C1632" i="2" s="1"/>
  <c r="C1633" i="2" s="1"/>
  <c r="C1634" i="2" s="1"/>
  <c r="C1635" i="2" s="1"/>
  <c r="C1117" i="2"/>
  <c r="C1118" i="2" s="1"/>
  <c r="C1119" i="2" s="1"/>
  <c r="C1120" i="2" s="1"/>
  <c r="C1112" i="2"/>
  <c r="C1113" i="2" s="1"/>
  <c r="C1114" i="2" s="1"/>
  <c r="C1115" i="2" s="1"/>
  <c r="C1116" i="2" s="1"/>
  <c r="C1497" i="2"/>
  <c r="C1498" i="2" s="1"/>
  <c r="C1499" i="2" s="1"/>
  <c r="C1500" i="2" s="1"/>
  <c r="C1491" i="2"/>
  <c r="C1492" i="2" s="1"/>
  <c r="C1493" i="2" s="1"/>
  <c r="C1494" i="2" s="1"/>
  <c r="C1495" i="2" s="1"/>
  <c r="C1496" i="2" s="1"/>
  <c r="C1438" i="2"/>
  <c r="C1439" i="2" s="1"/>
  <c r="C1440" i="2" s="1"/>
  <c r="C1441" i="2" s="1"/>
  <c r="C1433" i="2"/>
  <c r="C1434" i="2" s="1"/>
  <c r="C1435" i="2" s="1"/>
  <c r="C1436" i="2" s="1"/>
  <c r="C1437" i="2" s="1"/>
  <c r="C596" i="2"/>
  <c r="C597" i="2" s="1"/>
  <c r="C598" i="2" s="1"/>
  <c r="C599" i="2" s="1"/>
  <c r="C591" i="2"/>
  <c r="C592" i="2" s="1"/>
  <c r="C593" i="2" s="1"/>
  <c r="C594" i="2" s="1"/>
  <c r="C595" i="2" s="1"/>
  <c r="C727" i="2"/>
  <c r="C728" i="2" s="1"/>
  <c r="C729" i="2" s="1"/>
  <c r="C730" i="2" s="1"/>
  <c r="C722" i="2"/>
  <c r="C723" i="2" s="1"/>
  <c r="C724" i="2" s="1"/>
  <c r="C725" i="2" s="1"/>
  <c r="C726" i="2" s="1"/>
  <c r="C795" i="2"/>
  <c r="C796" i="2" s="1"/>
  <c r="C797" i="2" s="1"/>
  <c r="C798" i="2" s="1"/>
  <c r="C790" i="2"/>
  <c r="C791" i="2" s="1"/>
  <c r="C792" i="2" s="1"/>
  <c r="C793" i="2" s="1"/>
  <c r="C794" i="2" s="1"/>
  <c r="C1370" i="2"/>
  <c r="C1371" i="2" s="1"/>
  <c r="C1372" i="2" s="1"/>
  <c r="C1373" i="2" s="1"/>
  <c r="C1364" i="2"/>
  <c r="C1365" i="2" s="1"/>
  <c r="C1366" i="2" s="1"/>
  <c r="C1367" i="2" s="1"/>
  <c r="C1368" i="2" s="1"/>
  <c r="C1369" i="2" s="1"/>
  <c r="C1059" i="2"/>
  <c r="C1060" i="2" s="1"/>
  <c r="C1061" i="2" s="1"/>
  <c r="C1062" i="2" s="1"/>
  <c r="C1054" i="2"/>
  <c r="C1055" i="2" s="1"/>
  <c r="C1056" i="2" s="1"/>
  <c r="C1057" i="2" s="1"/>
  <c r="C1058" i="2" s="1"/>
  <c r="C403" i="2"/>
  <c r="C404" i="2" s="1"/>
  <c r="C405" i="2" s="1"/>
  <c r="C406" i="2" s="1"/>
  <c r="C397" i="2"/>
  <c r="C398" i="2" s="1"/>
  <c r="C399" i="2" s="1"/>
  <c r="C400" i="2" s="1"/>
  <c r="C401" i="2" s="1"/>
  <c r="C402" i="2" s="1"/>
  <c r="C95" i="2"/>
  <c r="C96" i="2" s="1"/>
  <c r="C97" i="2" s="1"/>
  <c r="C98" i="2" s="1"/>
  <c r="C90" i="2"/>
  <c r="C91" i="2" s="1"/>
  <c r="C92" i="2" s="1"/>
  <c r="C93" i="2" s="1"/>
  <c r="C94" i="2" s="1"/>
  <c r="C1775" i="2"/>
  <c r="C1776" i="2" s="1"/>
  <c r="C1777" i="2" s="1"/>
  <c r="C1778" i="2" s="1"/>
  <c r="C1769" i="2"/>
  <c r="C1770" i="2" s="1"/>
  <c r="C1771" i="2" s="1"/>
  <c r="C1772" i="2" s="1"/>
  <c r="C1773" i="2" s="1"/>
  <c r="C1774" i="2" s="1"/>
  <c r="C1689" i="2"/>
  <c r="C1690" i="2" s="1"/>
  <c r="I1690" i="2" s="1"/>
  <c r="C1638" i="2"/>
  <c r="C1639" i="2" s="1"/>
  <c r="C260" i="2"/>
  <c r="C261" i="2" s="1"/>
  <c r="C262" i="2" s="1"/>
  <c r="C916" i="2"/>
  <c r="C917" i="2" s="1"/>
  <c r="C918" i="2" s="1"/>
  <c r="C1554" i="2"/>
  <c r="C1555" i="2" s="1"/>
  <c r="C1556" i="2" s="1"/>
  <c r="C511" i="2"/>
  <c r="C512" i="2" s="1"/>
  <c r="C513" i="2" s="1"/>
  <c r="C13" i="2"/>
  <c r="C14" i="2" s="1"/>
  <c r="C15" i="2" s="1"/>
  <c r="G211" i="2" l="1"/>
  <c r="G212" i="2" s="1"/>
  <c r="G213" i="2" s="1"/>
  <c r="G214" i="2" s="1"/>
  <c r="G215" i="2" s="1"/>
  <c r="G216" i="2" s="1"/>
  <c r="G217" i="2"/>
  <c r="G218" i="2" s="1"/>
  <c r="G219" i="2" s="1"/>
  <c r="G220" i="2" s="1"/>
  <c r="D1640" i="2"/>
  <c r="D1641" i="2" s="1"/>
  <c r="D1642" i="2" s="1"/>
  <c r="D1643" i="2" s="1"/>
  <c r="D1644" i="2" s="1"/>
  <c r="D1645" i="2" s="1"/>
  <c r="D1646" i="2"/>
  <c r="D1647" i="2" s="1"/>
  <c r="D1648" i="2" s="1"/>
  <c r="D1649" i="2" s="1"/>
  <c r="E277" i="2"/>
  <c r="E278" i="2" s="1"/>
  <c r="E279" i="2" s="1"/>
  <c r="E280" i="2" s="1"/>
  <c r="E272" i="2"/>
  <c r="E273" i="2" s="1"/>
  <c r="E274" i="2" s="1"/>
  <c r="E275" i="2" s="1"/>
  <c r="E276" i="2" s="1"/>
  <c r="D1705" i="2"/>
  <c r="D1706" i="2" s="1"/>
  <c r="D1707" i="2" s="1"/>
  <c r="D1708" i="2" s="1"/>
  <c r="D1709" i="2" s="1"/>
  <c r="D1710" i="2" s="1"/>
  <c r="D1711" i="2"/>
  <c r="D1712" i="2" s="1"/>
  <c r="D1713" i="2" s="1"/>
  <c r="D1714" i="2" s="1"/>
  <c r="D863" i="2"/>
  <c r="D864" i="2" s="1"/>
  <c r="D865" i="2" s="1"/>
  <c r="D866" i="2" s="1"/>
  <c r="D858" i="2"/>
  <c r="D859" i="2" s="1"/>
  <c r="D860" i="2" s="1"/>
  <c r="D861" i="2" s="1"/>
  <c r="D862" i="2" s="1"/>
  <c r="D1779" i="2"/>
  <c r="D1780" i="2" s="1"/>
  <c r="D1781" i="2" s="1"/>
  <c r="D1782" i="2" s="1"/>
  <c r="D1783" i="2" s="1"/>
  <c r="D1784" i="2" s="1"/>
  <c r="D1785" i="2"/>
  <c r="D1786" i="2" s="1"/>
  <c r="D1787" i="2" s="1"/>
  <c r="D1788" i="2" s="1"/>
  <c r="G149" i="2"/>
  <c r="G150" i="2" s="1"/>
  <c r="G151" i="2" s="1"/>
  <c r="G152" i="2" s="1"/>
  <c r="G153" i="2" s="1"/>
  <c r="G154" i="2" s="1"/>
  <c r="G155" i="2"/>
  <c r="G156" i="2" s="1"/>
  <c r="G157" i="2" s="1"/>
  <c r="G158" i="2" s="1"/>
  <c r="D277" i="2"/>
  <c r="D278" i="2" s="1"/>
  <c r="D279" i="2" s="1"/>
  <c r="D280" i="2" s="1"/>
  <c r="D272" i="2"/>
  <c r="D273" i="2" s="1"/>
  <c r="D274" i="2" s="1"/>
  <c r="D275" i="2" s="1"/>
  <c r="D276" i="2" s="1"/>
  <c r="G1573" i="2"/>
  <c r="G1574" i="2" s="1"/>
  <c r="G1575" i="2" s="1"/>
  <c r="G1576" i="2" s="1"/>
  <c r="G1567" i="2"/>
  <c r="G1568" i="2" s="1"/>
  <c r="G1569" i="2" s="1"/>
  <c r="G1570" i="2" s="1"/>
  <c r="G1571" i="2" s="1"/>
  <c r="G1572" i="2" s="1"/>
  <c r="D1121" i="2"/>
  <c r="D1122" i="2" s="1"/>
  <c r="D1123" i="2" s="1"/>
  <c r="D1124" i="2" s="1"/>
  <c r="D1125" i="2" s="1"/>
  <c r="D1126" i="2"/>
  <c r="D1127" i="2" s="1"/>
  <c r="D1128" i="2" s="1"/>
  <c r="D1129" i="2" s="1"/>
  <c r="G660" i="2"/>
  <c r="G661" i="2" s="1"/>
  <c r="G662" i="2" s="1"/>
  <c r="G663" i="2" s="1"/>
  <c r="G664" i="2" s="1"/>
  <c r="G665" i="2" s="1"/>
  <c r="G666" i="2"/>
  <c r="G667" i="2" s="1"/>
  <c r="G668" i="2" s="1"/>
  <c r="G669" i="2" s="1"/>
  <c r="G277" i="2"/>
  <c r="G278" i="2" s="1"/>
  <c r="G279" i="2" s="1"/>
  <c r="G280" i="2" s="1"/>
  <c r="G272" i="2"/>
  <c r="G273" i="2" s="1"/>
  <c r="G274" i="2" s="1"/>
  <c r="G275" i="2" s="1"/>
  <c r="G276" i="2" s="1"/>
  <c r="D804" i="2"/>
  <c r="D805" i="2" s="1"/>
  <c r="D806" i="2" s="1"/>
  <c r="D807" i="2" s="1"/>
  <c r="D799" i="2"/>
  <c r="D800" i="2" s="1"/>
  <c r="D801" i="2" s="1"/>
  <c r="D802" i="2" s="1"/>
  <c r="D803" i="2" s="1"/>
  <c r="E26" i="2"/>
  <c r="E27" i="2" s="1"/>
  <c r="E28" i="2" s="1"/>
  <c r="E29" i="2" s="1"/>
  <c r="E30" i="2" s="1"/>
  <c r="E31" i="2" s="1"/>
  <c r="E32" i="2"/>
  <c r="E33" i="2" s="1"/>
  <c r="E34" i="2" s="1"/>
  <c r="E35" i="2" s="1"/>
  <c r="D591" i="2"/>
  <c r="D592" i="2" s="1"/>
  <c r="D593" i="2" s="1"/>
  <c r="D594" i="2" s="1"/>
  <c r="D595" i="2" s="1"/>
  <c r="D596" i="2"/>
  <c r="D597" i="2" s="1"/>
  <c r="D598" i="2" s="1"/>
  <c r="D599" i="2" s="1"/>
  <c r="G722" i="2"/>
  <c r="G723" i="2" s="1"/>
  <c r="G724" i="2" s="1"/>
  <c r="G725" i="2" s="1"/>
  <c r="G726" i="2" s="1"/>
  <c r="G727" i="2"/>
  <c r="G728" i="2" s="1"/>
  <c r="G729" i="2" s="1"/>
  <c r="G730" i="2" s="1"/>
  <c r="G32" i="2"/>
  <c r="G33" i="2" s="1"/>
  <c r="G34" i="2" s="1"/>
  <c r="G35" i="2" s="1"/>
  <c r="G26" i="2"/>
  <c r="G27" i="2" s="1"/>
  <c r="G28" i="2" s="1"/>
  <c r="G29" i="2" s="1"/>
  <c r="G30" i="2" s="1"/>
  <c r="G31" i="2" s="1"/>
  <c r="D1447" i="2"/>
  <c r="D1448" i="2" s="1"/>
  <c r="D1449" i="2" s="1"/>
  <c r="D1450" i="2" s="1"/>
  <c r="D1442" i="2"/>
  <c r="D1443" i="2" s="1"/>
  <c r="D1444" i="2" s="1"/>
  <c r="D1445" i="2" s="1"/>
  <c r="D1446" i="2" s="1"/>
  <c r="G858" i="2"/>
  <c r="G859" i="2" s="1"/>
  <c r="G860" i="2" s="1"/>
  <c r="G861" i="2" s="1"/>
  <c r="G862" i="2" s="1"/>
  <c r="G863" i="2"/>
  <c r="G864" i="2" s="1"/>
  <c r="G865" i="2" s="1"/>
  <c r="G866" i="2" s="1"/>
  <c r="G330" i="2"/>
  <c r="G331" i="2" s="1"/>
  <c r="G332" i="2" s="1"/>
  <c r="G333" i="2" s="1"/>
  <c r="G334" i="2" s="1"/>
  <c r="G335" i="2"/>
  <c r="G336" i="2" s="1"/>
  <c r="G337" i="2" s="1"/>
  <c r="G338" i="2" s="1"/>
  <c r="G596" i="2"/>
  <c r="G597" i="2" s="1"/>
  <c r="G598" i="2" s="1"/>
  <c r="G599" i="2" s="1"/>
  <c r="G591" i="2"/>
  <c r="G592" i="2" s="1"/>
  <c r="G593" i="2" s="1"/>
  <c r="G594" i="2" s="1"/>
  <c r="G595" i="2" s="1"/>
  <c r="G1705" i="2"/>
  <c r="G1706" i="2" s="1"/>
  <c r="G1707" i="2" s="1"/>
  <c r="G1708" i="2" s="1"/>
  <c r="G1709" i="2" s="1"/>
  <c r="G1710" i="2" s="1"/>
  <c r="G1711" i="2"/>
  <c r="G1712" i="2" s="1"/>
  <c r="G1713" i="2" s="1"/>
  <c r="G1714" i="2" s="1"/>
  <c r="D992" i="2"/>
  <c r="D993" i="2" s="1"/>
  <c r="D994" i="2" s="1"/>
  <c r="D995" i="2" s="1"/>
  <c r="D987" i="2"/>
  <c r="D988" i="2" s="1"/>
  <c r="D989" i="2" s="1"/>
  <c r="D990" i="2" s="1"/>
  <c r="D991" i="2" s="1"/>
  <c r="E975" i="2"/>
  <c r="E976" i="2" s="1"/>
  <c r="E977" i="2" s="1"/>
  <c r="E1551" i="2"/>
  <c r="E1552" i="2" s="1"/>
  <c r="G1497" i="2"/>
  <c r="G1498" i="2" s="1"/>
  <c r="G1499" i="2" s="1"/>
  <c r="G1500" i="2" s="1"/>
  <c r="G1491" i="2"/>
  <c r="G1492" i="2" s="1"/>
  <c r="G1493" i="2" s="1"/>
  <c r="G1494" i="2" s="1"/>
  <c r="G1495" i="2" s="1"/>
  <c r="G1496" i="2" s="1"/>
  <c r="D1249" i="2"/>
  <c r="D1250" i="2" s="1"/>
  <c r="D1251" i="2" s="1"/>
  <c r="D1252" i="2" s="1"/>
  <c r="D1243" i="2"/>
  <c r="D1244" i="2" s="1"/>
  <c r="D1245" i="2" s="1"/>
  <c r="D1246" i="2" s="1"/>
  <c r="D1247" i="2" s="1"/>
  <c r="D1248" i="2" s="1"/>
  <c r="D403" i="2"/>
  <c r="D404" i="2" s="1"/>
  <c r="D405" i="2" s="1"/>
  <c r="D406" i="2" s="1"/>
  <c r="D397" i="2"/>
  <c r="D398" i="2" s="1"/>
  <c r="D399" i="2" s="1"/>
  <c r="D400" i="2" s="1"/>
  <c r="D401" i="2" s="1"/>
  <c r="D402" i="2" s="1"/>
  <c r="E1636" i="2"/>
  <c r="E1637" i="2" s="1"/>
  <c r="E1630" i="2"/>
  <c r="E1631" i="2" s="1"/>
  <c r="E1632" i="2" s="1"/>
  <c r="E1633" i="2" s="1"/>
  <c r="E1634" i="2" s="1"/>
  <c r="E1635" i="2" s="1"/>
  <c r="G1258" i="2"/>
  <c r="G1259" i="2" s="1"/>
  <c r="G1260" i="2" s="1"/>
  <c r="G1261" i="2" s="1"/>
  <c r="G1253" i="2"/>
  <c r="G1254" i="2" s="1"/>
  <c r="G1255" i="2" s="1"/>
  <c r="G1256" i="2" s="1"/>
  <c r="G1257" i="2" s="1"/>
  <c r="G1054" i="2"/>
  <c r="G1055" i="2" s="1"/>
  <c r="G1056" i="2" s="1"/>
  <c r="G1057" i="2" s="1"/>
  <c r="G1058" i="2" s="1"/>
  <c r="G1059" i="2"/>
  <c r="G1060" i="2" s="1"/>
  <c r="G1061" i="2" s="1"/>
  <c r="G1062" i="2" s="1"/>
  <c r="E579" i="2"/>
  <c r="E580" i="2" s="1"/>
  <c r="E581" i="2" s="1"/>
  <c r="E913" i="2"/>
  <c r="E914" i="2" s="1"/>
  <c r="D1573" i="2"/>
  <c r="D1574" i="2" s="1"/>
  <c r="D1575" i="2" s="1"/>
  <c r="D1576" i="2" s="1"/>
  <c r="D1567" i="2"/>
  <c r="D1568" i="2" s="1"/>
  <c r="D1569" i="2" s="1"/>
  <c r="D1570" i="2" s="1"/>
  <c r="D1571" i="2" s="1"/>
  <c r="D1572" i="2" s="1"/>
  <c r="G1433" i="2"/>
  <c r="G1434" i="2" s="1"/>
  <c r="G1435" i="2" s="1"/>
  <c r="G1436" i="2" s="1"/>
  <c r="G1437" i="2" s="1"/>
  <c r="G1438" i="2"/>
  <c r="G1439" i="2" s="1"/>
  <c r="G1440" i="2" s="1"/>
  <c r="G1441" i="2" s="1"/>
  <c r="D211" i="2"/>
  <c r="D212" i="2" s="1"/>
  <c r="D213" i="2" s="1"/>
  <c r="D214" i="2" s="1"/>
  <c r="D215" i="2" s="1"/>
  <c r="D216" i="2" s="1"/>
  <c r="D217" i="2"/>
  <c r="D218" i="2" s="1"/>
  <c r="D219" i="2" s="1"/>
  <c r="D220" i="2" s="1"/>
  <c r="D1521" i="2"/>
  <c r="D1522" i="2" s="1"/>
  <c r="D1523" i="2" s="1"/>
  <c r="D1524" i="2" s="1"/>
  <c r="D1525" i="2" s="1"/>
  <c r="D1526" i="2" s="1"/>
  <c r="D1527" i="2"/>
  <c r="D1528" i="2" s="1"/>
  <c r="D1529" i="2" s="1"/>
  <c r="D1530" i="2" s="1"/>
  <c r="G532" i="2"/>
  <c r="G533" i="2" s="1"/>
  <c r="G534" i="2" s="1"/>
  <c r="G535" i="2" s="1"/>
  <c r="G536" i="2" s="1"/>
  <c r="G537" i="2"/>
  <c r="G538" i="2" s="1"/>
  <c r="G539" i="2" s="1"/>
  <c r="G540" i="2" s="1"/>
  <c r="C1180" i="2"/>
  <c r="C1181" i="2" s="1"/>
  <c r="C1182" i="2" s="1"/>
  <c r="C1183" i="2" s="1"/>
  <c r="C1184" i="2" s="1"/>
  <c r="C1185" i="2" s="1"/>
  <c r="C457" i="2"/>
  <c r="C458" i="2" s="1"/>
  <c r="C459" i="2" s="1"/>
  <c r="C460" i="2" s="1"/>
  <c r="C461" i="2" s="1"/>
  <c r="C462" i="2" s="1"/>
  <c r="G1785" i="2"/>
  <c r="G1786" i="2" s="1"/>
  <c r="G1787" i="2" s="1"/>
  <c r="G1788" i="2" s="1"/>
  <c r="G1779" i="2"/>
  <c r="G1780" i="2" s="1"/>
  <c r="G1781" i="2" s="1"/>
  <c r="G1782" i="2" s="1"/>
  <c r="G1783" i="2" s="1"/>
  <c r="G1784" i="2" s="1"/>
  <c r="D1302" i="2"/>
  <c r="D1303" i="2" s="1"/>
  <c r="D1304" i="2" s="1"/>
  <c r="D1305" i="2" s="1"/>
  <c r="D1306" i="2" s="1"/>
  <c r="D1307" i="2" s="1"/>
  <c r="D1308" i="2"/>
  <c r="D1309" i="2" s="1"/>
  <c r="D1310" i="2" s="1"/>
  <c r="D1311" i="2" s="1"/>
  <c r="D155" i="2"/>
  <c r="D156" i="2" s="1"/>
  <c r="D157" i="2" s="1"/>
  <c r="D158" i="2" s="1"/>
  <c r="D149" i="2"/>
  <c r="D150" i="2" s="1"/>
  <c r="D151" i="2" s="1"/>
  <c r="D152" i="2" s="1"/>
  <c r="D153" i="2" s="1"/>
  <c r="D154" i="2" s="1"/>
  <c r="G95" i="2"/>
  <c r="G96" i="2" s="1"/>
  <c r="G97" i="2" s="1"/>
  <c r="G98" i="2" s="1"/>
  <c r="G90" i="2"/>
  <c r="G91" i="2" s="1"/>
  <c r="G92" i="2" s="1"/>
  <c r="G93" i="2" s="1"/>
  <c r="G94" i="2" s="1"/>
  <c r="E1573" i="2"/>
  <c r="E1574" i="2" s="1"/>
  <c r="E1575" i="2" s="1"/>
  <c r="E1576" i="2" s="1"/>
  <c r="E1567" i="2"/>
  <c r="E1568" i="2" s="1"/>
  <c r="E1569" i="2" s="1"/>
  <c r="E1570" i="2" s="1"/>
  <c r="E1571" i="2" s="1"/>
  <c r="E1572" i="2" s="1"/>
  <c r="D928" i="2"/>
  <c r="D929" i="2" s="1"/>
  <c r="D930" i="2" s="1"/>
  <c r="D931" i="2" s="1"/>
  <c r="D932" i="2" s="1"/>
  <c r="D933" i="2"/>
  <c r="D934" i="2" s="1"/>
  <c r="D935" i="2" s="1"/>
  <c r="D936" i="2" s="1"/>
  <c r="E528" i="2"/>
  <c r="E529" i="2" s="1"/>
  <c r="E530" i="2" s="1"/>
  <c r="E531" i="2" s="1"/>
  <c r="E523" i="2"/>
  <c r="E524" i="2" s="1"/>
  <c r="E525" i="2" s="1"/>
  <c r="E526" i="2" s="1"/>
  <c r="E527" i="2" s="1"/>
  <c r="G1117" i="2"/>
  <c r="G1118" i="2" s="1"/>
  <c r="G1119" i="2" s="1"/>
  <c r="G1120" i="2" s="1"/>
  <c r="G1112" i="2"/>
  <c r="G1113" i="2" s="1"/>
  <c r="G1114" i="2" s="1"/>
  <c r="G1115" i="2" s="1"/>
  <c r="G1116" i="2" s="1"/>
  <c r="D90" i="2"/>
  <c r="D91" i="2" s="1"/>
  <c r="D92" i="2" s="1"/>
  <c r="D93" i="2" s="1"/>
  <c r="D94" i="2" s="1"/>
  <c r="D95" i="2"/>
  <c r="D96" i="2" s="1"/>
  <c r="D97" i="2" s="1"/>
  <c r="D98" i="2" s="1"/>
  <c r="E928" i="2"/>
  <c r="E929" i="2" s="1"/>
  <c r="E930" i="2" s="1"/>
  <c r="E931" i="2" s="1"/>
  <c r="E932" i="2" s="1"/>
  <c r="E933" i="2"/>
  <c r="E934" i="2" s="1"/>
  <c r="E935" i="2" s="1"/>
  <c r="E936" i="2" s="1"/>
  <c r="E78" i="2"/>
  <c r="E79" i="2" s="1"/>
  <c r="E80" i="2" s="1"/>
  <c r="E257" i="2"/>
  <c r="E258" i="2" s="1"/>
  <c r="D26" i="2"/>
  <c r="D27" i="2" s="1"/>
  <c r="D28" i="2" s="1"/>
  <c r="D29" i="2" s="1"/>
  <c r="D30" i="2" s="1"/>
  <c r="D31" i="2" s="1"/>
  <c r="D32" i="2"/>
  <c r="D33" i="2" s="1"/>
  <c r="D34" i="2" s="1"/>
  <c r="D35" i="2" s="1"/>
  <c r="D666" i="2"/>
  <c r="D667" i="2" s="1"/>
  <c r="D668" i="2" s="1"/>
  <c r="D669" i="2" s="1"/>
  <c r="D660" i="2"/>
  <c r="D661" i="2" s="1"/>
  <c r="D662" i="2" s="1"/>
  <c r="D663" i="2" s="1"/>
  <c r="D664" i="2" s="1"/>
  <c r="D665" i="2" s="1"/>
  <c r="G1398" i="2"/>
  <c r="G1399" i="2" s="1"/>
  <c r="G1400" i="2" s="1"/>
  <c r="G1401" i="2" s="1"/>
  <c r="G1392" i="2"/>
  <c r="G1393" i="2" s="1"/>
  <c r="G1394" i="2" s="1"/>
  <c r="G1395" i="2" s="1"/>
  <c r="G1396" i="2" s="1"/>
  <c r="G1397" i="2" s="1"/>
  <c r="G790" i="2"/>
  <c r="G791" i="2" s="1"/>
  <c r="G792" i="2" s="1"/>
  <c r="G793" i="2" s="1"/>
  <c r="G794" i="2" s="1"/>
  <c r="G795" i="2"/>
  <c r="G796" i="2" s="1"/>
  <c r="G797" i="2" s="1"/>
  <c r="G798" i="2" s="1"/>
  <c r="D1068" i="2"/>
  <c r="D1069" i="2" s="1"/>
  <c r="D1070" i="2" s="1"/>
  <c r="D1071" i="2" s="1"/>
  <c r="D1063" i="2"/>
  <c r="D1064" i="2" s="1"/>
  <c r="D1065" i="2" s="1"/>
  <c r="D1066" i="2" s="1"/>
  <c r="D1067" i="2" s="1"/>
  <c r="G928" i="2"/>
  <c r="G929" i="2" s="1"/>
  <c r="G930" i="2" s="1"/>
  <c r="G931" i="2" s="1"/>
  <c r="G932" i="2" s="1"/>
  <c r="G933" i="2"/>
  <c r="G934" i="2" s="1"/>
  <c r="G935" i="2" s="1"/>
  <c r="G936" i="2" s="1"/>
  <c r="E318" i="2"/>
  <c r="E319" i="2" s="1"/>
  <c r="E320" i="2" s="1"/>
  <c r="E508" i="2"/>
  <c r="E509" i="2" s="1"/>
  <c r="G1302" i="2"/>
  <c r="G1303" i="2" s="1"/>
  <c r="G1304" i="2" s="1"/>
  <c r="G1305" i="2" s="1"/>
  <c r="G1306" i="2" s="1"/>
  <c r="G1307" i="2" s="1"/>
  <c r="G1308" i="2"/>
  <c r="G1309" i="2" s="1"/>
  <c r="G1310" i="2" s="1"/>
  <c r="G1311" i="2" s="1"/>
  <c r="G407" i="2"/>
  <c r="G408" i="2" s="1"/>
  <c r="G409" i="2" s="1"/>
  <c r="G410" i="2" s="1"/>
  <c r="G411" i="2" s="1"/>
  <c r="G412" i="2"/>
  <c r="G413" i="2" s="1"/>
  <c r="G414" i="2" s="1"/>
  <c r="G415" i="2" s="1"/>
  <c r="G1001" i="2"/>
  <c r="G1002" i="2" s="1"/>
  <c r="G1003" i="2" s="1"/>
  <c r="G1004" i="2" s="1"/>
  <c r="G996" i="2"/>
  <c r="G997" i="2" s="1"/>
  <c r="G998" i="2" s="1"/>
  <c r="G999" i="2" s="1"/>
  <c r="G1000" i="2" s="1"/>
  <c r="D1388" i="2"/>
  <c r="D1389" i="2" s="1"/>
  <c r="D1390" i="2" s="1"/>
  <c r="D1391" i="2" s="1"/>
  <c r="D1383" i="2"/>
  <c r="D1384" i="2" s="1"/>
  <c r="D1385" i="2" s="1"/>
  <c r="D1386" i="2" s="1"/>
  <c r="D1387" i="2" s="1"/>
  <c r="D1190" i="2"/>
  <c r="D1191" i="2" s="1"/>
  <c r="D1192" i="2" s="1"/>
  <c r="D1193" i="2" s="1"/>
  <c r="D1194" i="2" s="1"/>
  <c r="D1195" i="2" s="1"/>
  <c r="D1196" i="2" s="1"/>
  <c r="D1197" i="2"/>
  <c r="D1198" i="2" s="1"/>
  <c r="D1199" i="2" s="1"/>
  <c r="D1200" i="2" s="1"/>
  <c r="G1640" i="2"/>
  <c r="G1641" i="2" s="1"/>
  <c r="G1642" i="2" s="1"/>
  <c r="G1643" i="2" s="1"/>
  <c r="G1644" i="2" s="1"/>
  <c r="G1645" i="2" s="1"/>
  <c r="G1646" i="2"/>
  <c r="G1647" i="2" s="1"/>
  <c r="G1648" i="2" s="1"/>
  <c r="G1649" i="2" s="1"/>
  <c r="G1186" i="2"/>
  <c r="G1187" i="2" s="1"/>
  <c r="G1188" i="2" s="1"/>
  <c r="G1189" i="2" s="1"/>
  <c r="G1180" i="2"/>
  <c r="G1181" i="2" s="1"/>
  <c r="G1182" i="2" s="1"/>
  <c r="G1183" i="2" s="1"/>
  <c r="G1184" i="2" s="1"/>
  <c r="G1185" i="2" s="1"/>
  <c r="G463" i="2"/>
  <c r="G464" i="2" s="1"/>
  <c r="G465" i="2" s="1"/>
  <c r="G466" i="2" s="1"/>
  <c r="G457" i="2"/>
  <c r="G458" i="2" s="1"/>
  <c r="G459" i="2" s="1"/>
  <c r="G460" i="2" s="1"/>
  <c r="G461" i="2" s="1"/>
  <c r="G462" i="2" s="1"/>
  <c r="D467" i="2"/>
  <c r="D468" i="2" s="1"/>
  <c r="D469" i="2" s="1"/>
  <c r="D470" i="2" s="1"/>
  <c r="D471" i="2" s="1"/>
  <c r="D472" i="2" s="1"/>
  <c r="D473" i="2"/>
  <c r="D474" i="2" s="1"/>
  <c r="D475" i="2" s="1"/>
  <c r="D476" i="2" s="1"/>
  <c r="D523" i="2"/>
  <c r="D524" i="2" s="1"/>
  <c r="D525" i="2" s="1"/>
  <c r="D526" i="2" s="1"/>
  <c r="D527" i="2" s="1"/>
  <c r="D528" i="2"/>
  <c r="D529" i="2" s="1"/>
  <c r="D530" i="2" s="1"/>
  <c r="D531" i="2" s="1"/>
  <c r="D727" i="2"/>
  <c r="D728" i="2" s="1"/>
  <c r="D729" i="2" s="1"/>
  <c r="D730" i="2" s="1"/>
  <c r="D722" i="2"/>
  <c r="D723" i="2" s="1"/>
  <c r="D724" i="2" s="1"/>
  <c r="D725" i="2" s="1"/>
  <c r="D726" i="2" s="1"/>
  <c r="D353" i="2"/>
  <c r="D354" i="2" s="1"/>
  <c r="D355" i="2" s="1"/>
  <c r="D356" i="2" s="1"/>
  <c r="D348" i="2"/>
  <c r="D349" i="2" s="1"/>
  <c r="D350" i="2" s="1"/>
  <c r="D351" i="2" s="1"/>
  <c r="D352" i="2" s="1"/>
  <c r="C268" i="2"/>
  <c r="C269" i="2" s="1"/>
  <c r="C316" i="2" s="1"/>
  <c r="C317" i="2" s="1"/>
  <c r="I317" i="2" s="1"/>
  <c r="C263" i="2"/>
  <c r="C264" i="2" s="1"/>
  <c r="C265" i="2" s="1"/>
  <c r="C266" i="2" s="1"/>
  <c r="C267" i="2" s="1"/>
  <c r="C1646" i="2"/>
  <c r="C1647" i="2" s="1"/>
  <c r="C1648" i="2" s="1"/>
  <c r="C1649" i="2" s="1"/>
  <c r="C1640" i="2"/>
  <c r="C1641" i="2" s="1"/>
  <c r="C1642" i="2" s="1"/>
  <c r="C1643" i="2" s="1"/>
  <c r="C1644" i="2" s="1"/>
  <c r="C1645" i="2" s="1"/>
  <c r="C1785" i="2"/>
  <c r="C1786" i="2" s="1"/>
  <c r="C1787" i="2" s="1"/>
  <c r="C1788" i="2" s="1"/>
  <c r="C1779" i="2"/>
  <c r="C1780" i="2" s="1"/>
  <c r="C1781" i="2" s="1"/>
  <c r="C1782" i="2" s="1"/>
  <c r="C1783" i="2" s="1"/>
  <c r="C1784" i="2" s="1"/>
  <c r="C105" i="2"/>
  <c r="C106" i="2" s="1"/>
  <c r="C107" i="2" s="1"/>
  <c r="C108" i="2" s="1"/>
  <c r="C99" i="2"/>
  <c r="C100" i="2" s="1"/>
  <c r="C101" i="2" s="1"/>
  <c r="C102" i="2" s="1"/>
  <c r="C103" i="2" s="1"/>
  <c r="C104" i="2" s="1"/>
  <c r="C804" i="2"/>
  <c r="C805" i="2" s="1"/>
  <c r="C806" i="2" s="1"/>
  <c r="C807" i="2" s="1"/>
  <c r="C799" i="2"/>
  <c r="C800" i="2" s="1"/>
  <c r="C801" i="2" s="1"/>
  <c r="C802" i="2" s="1"/>
  <c r="C803" i="2" s="1"/>
  <c r="C1197" i="2"/>
  <c r="C1198" i="2" s="1"/>
  <c r="C1199" i="2" s="1"/>
  <c r="C1200" i="2" s="1"/>
  <c r="C1190" i="2"/>
  <c r="C1191" i="2" s="1"/>
  <c r="C1192" i="2" s="1"/>
  <c r="C1193" i="2" s="1"/>
  <c r="C1194" i="2" s="1"/>
  <c r="C1195" i="2" s="1"/>
  <c r="C1196" i="2" s="1"/>
  <c r="C872" i="2"/>
  <c r="C873" i="2" s="1"/>
  <c r="C874" i="2" s="1"/>
  <c r="C875" i="2" s="1"/>
  <c r="C867" i="2"/>
  <c r="C868" i="2" s="1"/>
  <c r="C869" i="2" s="1"/>
  <c r="C870" i="2" s="1"/>
  <c r="C871" i="2" s="1"/>
  <c r="C344" i="2"/>
  <c r="C345" i="2" s="1"/>
  <c r="C346" i="2" s="1"/>
  <c r="C347" i="2" s="1"/>
  <c r="C339" i="2"/>
  <c r="C340" i="2" s="1"/>
  <c r="C341" i="2" s="1"/>
  <c r="C342" i="2" s="1"/>
  <c r="C343" i="2" s="1"/>
  <c r="C226" i="2"/>
  <c r="C227" i="2" s="1"/>
  <c r="C228" i="2" s="1"/>
  <c r="C229" i="2" s="1"/>
  <c r="C221" i="2"/>
  <c r="C222" i="2" s="1"/>
  <c r="C223" i="2" s="1"/>
  <c r="C224" i="2" s="1"/>
  <c r="C225" i="2" s="1"/>
  <c r="C519" i="2"/>
  <c r="C520" i="2" s="1"/>
  <c r="C514" i="2"/>
  <c r="C515" i="2" s="1"/>
  <c r="C516" i="2" s="1"/>
  <c r="C517" i="2" s="1"/>
  <c r="C518" i="2" s="1"/>
  <c r="C412" i="2"/>
  <c r="C413" i="2" s="1"/>
  <c r="C414" i="2" s="1"/>
  <c r="C415" i="2" s="1"/>
  <c r="C407" i="2"/>
  <c r="C408" i="2" s="1"/>
  <c r="C409" i="2" s="1"/>
  <c r="C410" i="2" s="1"/>
  <c r="C411" i="2" s="1"/>
  <c r="C736" i="2"/>
  <c r="C737" i="2" s="1"/>
  <c r="C738" i="2" s="1"/>
  <c r="C739" i="2" s="1"/>
  <c r="C731" i="2"/>
  <c r="C732" i="2" s="1"/>
  <c r="C733" i="2" s="1"/>
  <c r="C734" i="2" s="1"/>
  <c r="C735" i="2" s="1"/>
  <c r="C1126" i="2"/>
  <c r="C1127" i="2" s="1"/>
  <c r="C1128" i="2" s="1"/>
  <c r="C1129" i="2" s="1"/>
  <c r="C1121" i="2"/>
  <c r="C1122" i="2" s="1"/>
  <c r="C1123" i="2" s="1"/>
  <c r="C1124" i="2" s="1"/>
  <c r="C1125" i="2" s="1"/>
  <c r="C1721" i="2"/>
  <c r="C1722" i="2" s="1"/>
  <c r="C1723" i="2" s="1"/>
  <c r="C1724" i="2" s="1"/>
  <c r="C1715" i="2"/>
  <c r="C1716" i="2" s="1"/>
  <c r="C1717" i="2" s="1"/>
  <c r="C1718" i="2" s="1"/>
  <c r="C1719" i="2" s="1"/>
  <c r="C1720" i="2" s="1"/>
  <c r="C1258" i="2"/>
  <c r="C1259" i="2" s="1"/>
  <c r="C1260" i="2" s="1"/>
  <c r="C1261" i="2" s="1"/>
  <c r="C1253" i="2"/>
  <c r="C1254" i="2" s="1"/>
  <c r="C1255" i="2" s="1"/>
  <c r="C1256" i="2" s="1"/>
  <c r="C1257" i="2" s="1"/>
  <c r="C924" i="2"/>
  <c r="C925" i="2" s="1"/>
  <c r="C919" i="2"/>
  <c r="C920" i="2" s="1"/>
  <c r="C921" i="2" s="1"/>
  <c r="C922" i="2" s="1"/>
  <c r="C923" i="2" s="1"/>
  <c r="C605" i="2"/>
  <c r="C606" i="2" s="1"/>
  <c r="C607" i="2" s="1"/>
  <c r="C608" i="2" s="1"/>
  <c r="C600" i="2"/>
  <c r="C601" i="2" s="1"/>
  <c r="C602" i="2" s="1"/>
  <c r="C603" i="2" s="1"/>
  <c r="C604" i="2" s="1"/>
  <c r="C676" i="2"/>
  <c r="C677" i="2" s="1"/>
  <c r="C678" i="2" s="1"/>
  <c r="C679" i="2" s="1"/>
  <c r="C670" i="2"/>
  <c r="C671" i="2" s="1"/>
  <c r="C672" i="2" s="1"/>
  <c r="C673" i="2" s="1"/>
  <c r="C674" i="2" s="1"/>
  <c r="C675" i="2" s="1"/>
  <c r="C165" i="2"/>
  <c r="C166" i="2" s="1"/>
  <c r="C167" i="2" s="1"/>
  <c r="C168" i="2" s="1"/>
  <c r="C159" i="2"/>
  <c r="C160" i="2" s="1"/>
  <c r="C161" i="2" s="1"/>
  <c r="C162" i="2" s="1"/>
  <c r="C163" i="2" s="1"/>
  <c r="C164" i="2" s="1"/>
  <c r="C473" i="2"/>
  <c r="C474" i="2" s="1"/>
  <c r="C475" i="2" s="1"/>
  <c r="C476" i="2" s="1"/>
  <c r="C467" i="2"/>
  <c r="C468" i="2" s="1"/>
  <c r="C469" i="2" s="1"/>
  <c r="C470" i="2" s="1"/>
  <c r="C471" i="2" s="1"/>
  <c r="C472" i="2" s="1"/>
  <c r="C1318" i="2"/>
  <c r="C1319" i="2" s="1"/>
  <c r="C1320" i="2" s="1"/>
  <c r="C1321" i="2" s="1"/>
  <c r="C1312" i="2"/>
  <c r="C1313" i="2" s="1"/>
  <c r="C1314" i="2" s="1"/>
  <c r="C1315" i="2" s="1"/>
  <c r="C1316" i="2" s="1"/>
  <c r="C1317" i="2" s="1"/>
  <c r="C22" i="2"/>
  <c r="C23" i="2" s="1"/>
  <c r="C16" i="2"/>
  <c r="C17" i="2" s="1"/>
  <c r="C18" i="2" s="1"/>
  <c r="C19" i="2" s="1"/>
  <c r="C20" i="2" s="1"/>
  <c r="C21" i="2" s="1"/>
  <c r="C1563" i="2"/>
  <c r="C1564" i="2" s="1"/>
  <c r="C1557" i="2"/>
  <c r="C1558" i="2" s="1"/>
  <c r="C1559" i="2" s="1"/>
  <c r="C1560" i="2" s="1"/>
  <c r="C1561" i="2" s="1"/>
  <c r="C1562" i="2" s="1"/>
  <c r="C1068" i="2"/>
  <c r="C1069" i="2" s="1"/>
  <c r="C1070" i="2" s="1"/>
  <c r="C1071" i="2" s="1"/>
  <c r="C1063" i="2"/>
  <c r="C1064" i="2" s="1"/>
  <c r="C1065" i="2" s="1"/>
  <c r="C1066" i="2" s="1"/>
  <c r="C1067" i="2" s="1"/>
  <c r="C1379" i="2"/>
  <c r="C1380" i="2" s="1"/>
  <c r="C1381" i="2" s="1"/>
  <c r="C1382" i="2" s="1"/>
  <c r="C1374" i="2"/>
  <c r="C1375" i="2" s="1"/>
  <c r="C1376" i="2" s="1"/>
  <c r="C1377" i="2" s="1"/>
  <c r="C1378" i="2" s="1"/>
  <c r="C1447" i="2"/>
  <c r="C1448" i="2" s="1"/>
  <c r="C1449" i="2" s="1"/>
  <c r="C1450" i="2" s="1"/>
  <c r="C1442" i="2"/>
  <c r="C1443" i="2" s="1"/>
  <c r="C1444" i="2" s="1"/>
  <c r="C1445" i="2" s="1"/>
  <c r="C1446" i="2" s="1"/>
  <c r="C1507" i="2"/>
  <c r="C1508" i="2" s="1"/>
  <c r="C1509" i="2" s="1"/>
  <c r="C1510" i="2" s="1"/>
  <c r="C1501" i="2"/>
  <c r="C1502" i="2" s="1"/>
  <c r="C1503" i="2" s="1"/>
  <c r="C1504" i="2" s="1"/>
  <c r="C1505" i="2" s="1"/>
  <c r="C1506" i="2" s="1"/>
  <c r="C1001" i="2"/>
  <c r="C1002" i="2" s="1"/>
  <c r="C1003" i="2" s="1"/>
  <c r="C1004" i="2" s="1"/>
  <c r="C996" i="2"/>
  <c r="C997" i="2" s="1"/>
  <c r="C998" i="2" s="1"/>
  <c r="C999" i="2" s="1"/>
  <c r="C1000" i="2" s="1"/>
  <c r="C973" i="2"/>
  <c r="C974" i="2" s="1"/>
  <c r="I974" i="2" s="1"/>
  <c r="C926" i="2"/>
  <c r="C927" i="2" s="1"/>
  <c r="C76" i="2"/>
  <c r="C77" i="2" s="1"/>
  <c r="I77" i="2" s="1"/>
  <c r="C24" i="2"/>
  <c r="C25" i="2" s="1"/>
  <c r="C1625" i="2"/>
  <c r="C1626" i="2" s="1"/>
  <c r="I1626" i="2" s="1"/>
  <c r="C1565" i="2"/>
  <c r="C1566" i="2" s="1"/>
  <c r="C270" i="2"/>
  <c r="C271" i="2" s="1"/>
  <c r="C577" i="2"/>
  <c r="C578" i="2" s="1"/>
  <c r="I578" i="2" s="1"/>
  <c r="C521" i="2"/>
  <c r="C522" i="2" s="1"/>
  <c r="E1819" i="2"/>
  <c r="E1820" i="2" s="1"/>
  <c r="G1442" i="2" l="1"/>
  <c r="G1443" i="2" s="1"/>
  <c r="G1444" i="2" s="1"/>
  <c r="G1445" i="2" s="1"/>
  <c r="G1446" i="2" s="1"/>
  <c r="G1447" i="2"/>
  <c r="G1448" i="2" s="1"/>
  <c r="G1449" i="2" s="1"/>
  <c r="G1450" i="2" s="1"/>
  <c r="D483" i="2"/>
  <c r="D484" i="2" s="1"/>
  <c r="D485" i="2" s="1"/>
  <c r="D486" i="2" s="1"/>
  <c r="D477" i="2"/>
  <c r="D478" i="2" s="1"/>
  <c r="D479" i="2" s="1"/>
  <c r="D480" i="2" s="1"/>
  <c r="D481" i="2" s="1"/>
  <c r="D482" i="2" s="1"/>
  <c r="D1207" i="2"/>
  <c r="D1208" i="2" s="1"/>
  <c r="D1209" i="2" s="1"/>
  <c r="D1210" i="2" s="1"/>
  <c r="D1201" i="2"/>
  <c r="D1202" i="2" s="1"/>
  <c r="D1203" i="2" s="1"/>
  <c r="D1204" i="2" s="1"/>
  <c r="D1205" i="2" s="1"/>
  <c r="D1206" i="2" s="1"/>
  <c r="G1312" i="2"/>
  <c r="G1313" i="2" s="1"/>
  <c r="G1314" i="2" s="1"/>
  <c r="G1315" i="2" s="1"/>
  <c r="G1316" i="2" s="1"/>
  <c r="G1317" i="2" s="1"/>
  <c r="G1318" i="2"/>
  <c r="G1319" i="2" s="1"/>
  <c r="G1320" i="2" s="1"/>
  <c r="G1321" i="2" s="1"/>
  <c r="G804" i="2"/>
  <c r="G805" i="2" s="1"/>
  <c r="G806" i="2" s="1"/>
  <c r="G807" i="2" s="1"/>
  <c r="G799" i="2"/>
  <c r="G800" i="2" s="1"/>
  <c r="G801" i="2" s="1"/>
  <c r="G802" i="2" s="1"/>
  <c r="G803" i="2" s="1"/>
  <c r="G546" i="2"/>
  <c r="G547" i="2" s="1"/>
  <c r="G548" i="2" s="1"/>
  <c r="G549" i="2" s="1"/>
  <c r="G541" i="2"/>
  <c r="G542" i="2" s="1"/>
  <c r="G543" i="2" s="1"/>
  <c r="G544" i="2" s="1"/>
  <c r="G545" i="2" s="1"/>
  <c r="G339" i="2"/>
  <c r="G340" i="2" s="1"/>
  <c r="G341" i="2" s="1"/>
  <c r="G342" i="2" s="1"/>
  <c r="G343" i="2" s="1"/>
  <c r="G344" i="2"/>
  <c r="G345" i="2" s="1"/>
  <c r="G346" i="2" s="1"/>
  <c r="G347" i="2" s="1"/>
  <c r="G736" i="2"/>
  <c r="G737" i="2" s="1"/>
  <c r="G738" i="2" s="1"/>
  <c r="G739" i="2" s="1"/>
  <c r="G731" i="2"/>
  <c r="G732" i="2" s="1"/>
  <c r="G733" i="2" s="1"/>
  <c r="G734" i="2" s="1"/>
  <c r="G735" i="2" s="1"/>
  <c r="D1721" i="2"/>
  <c r="D1722" i="2" s="1"/>
  <c r="D1723" i="2" s="1"/>
  <c r="D1724" i="2" s="1"/>
  <c r="D1715" i="2"/>
  <c r="D1716" i="2" s="1"/>
  <c r="D1717" i="2" s="1"/>
  <c r="D1718" i="2" s="1"/>
  <c r="D1719" i="2" s="1"/>
  <c r="D1720" i="2" s="1"/>
  <c r="D36" i="2"/>
  <c r="D37" i="2" s="1"/>
  <c r="D38" i="2" s="1"/>
  <c r="D39" i="2" s="1"/>
  <c r="D40" i="2" s="1"/>
  <c r="D41" i="2" s="1"/>
  <c r="D42" i="2"/>
  <c r="D43" i="2" s="1"/>
  <c r="D44" i="2" s="1"/>
  <c r="D45" i="2" s="1"/>
  <c r="E86" i="2"/>
  <c r="E87" i="2" s="1"/>
  <c r="E81" i="2"/>
  <c r="E82" i="2" s="1"/>
  <c r="E83" i="2" s="1"/>
  <c r="E84" i="2" s="1"/>
  <c r="E85" i="2" s="1"/>
  <c r="E532" i="2"/>
  <c r="E533" i="2" s="1"/>
  <c r="E534" i="2" s="1"/>
  <c r="E535" i="2" s="1"/>
  <c r="E536" i="2" s="1"/>
  <c r="E537" i="2"/>
  <c r="E538" i="2" s="1"/>
  <c r="E539" i="2" s="1"/>
  <c r="E540" i="2" s="1"/>
  <c r="D159" i="2"/>
  <c r="D160" i="2" s="1"/>
  <c r="D161" i="2" s="1"/>
  <c r="D162" i="2" s="1"/>
  <c r="D163" i="2" s="1"/>
  <c r="D164" i="2" s="1"/>
  <c r="D165" i="2"/>
  <c r="D166" i="2" s="1"/>
  <c r="D167" i="2" s="1"/>
  <c r="D168" i="2" s="1"/>
  <c r="D1577" i="2"/>
  <c r="D1578" i="2" s="1"/>
  <c r="D1579" i="2" s="1"/>
  <c r="D1580" i="2" s="1"/>
  <c r="D1581" i="2" s="1"/>
  <c r="D1582" i="2" s="1"/>
  <c r="D1583" i="2"/>
  <c r="D1584" i="2" s="1"/>
  <c r="D1585" i="2" s="1"/>
  <c r="D1586" i="2" s="1"/>
  <c r="E1638" i="2"/>
  <c r="E1639" i="2" s="1"/>
  <c r="E1689" i="2"/>
  <c r="E1690" i="2" s="1"/>
  <c r="E1691" i="2" s="1"/>
  <c r="E1692" i="2" s="1"/>
  <c r="E1693" i="2" s="1"/>
  <c r="E983" i="2"/>
  <c r="E984" i="2" s="1"/>
  <c r="E978" i="2"/>
  <c r="E979" i="2" s="1"/>
  <c r="E980" i="2" s="1"/>
  <c r="E981" i="2" s="1"/>
  <c r="E982" i="2" s="1"/>
  <c r="G287" i="2"/>
  <c r="G288" i="2" s="1"/>
  <c r="G289" i="2" s="1"/>
  <c r="G290" i="2" s="1"/>
  <c r="G281" i="2"/>
  <c r="G282" i="2" s="1"/>
  <c r="G283" i="2" s="1"/>
  <c r="G284" i="2" s="1"/>
  <c r="G285" i="2" s="1"/>
  <c r="G286" i="2" s="1"/>
  <c r="D281" i="2"/>
  <c r="D282" i="2" s="1"/>
  <c r="D283" i="2" s="1"/>
  <c r="D284" i="2" s="1"/>
  <c r="D285" i="2" s="1"/>
  <c r="D286" i="2" s="1"/>
  <c r="D287" i="2"/>
  <c r="D288" i="2" s="1"/>
  <c r="D289" i="2" s="1"/>
  <c r="D290" i="2" s="1"/>
  <c r="D537" i="2"/>
  <c r="D538" i="2" s="1"/>
  <c r="D539" i="2" s="1"/>
  <c r="D540" i="2" s="1"/>
  <c r="D532" i="2"/>
  <c r="D533" i="2" s="1"/>
  <c r="D534" i="2" s="1"/>
  <c r="D535" i="2" s="1"/>
  <c r="D536" i="2" s="1"/>
  <c r="E942" i="2"/>
  <c r="E943" i="2" s="1"/>
  <c r="E944" i="2" s="1"/>
  <c r="E945" i="2" s="1"/>
  <c r="E937" i="2"/>
  <c r="E938" i="2" s="1"/>
  <c r="E939" i="2" s="1"/>
  <c r="E940" i="2" s="1"/>
  <c r="E941" i="2" s="1"/>
  <c r="D942" i="2"/>
  <c r="D943" i="2" s="1"/>
  <c r="D944" i="2" s="1"/>
  <c r="D945" i="2" s="1"/>
  <c r="D937" i="2"/>
  <c r="D938" i="2" s="1"/>
  <c r="D939" i="2" s="1"/>
  <c r="D940" i="2" s="1"/>
  <c r="D941" i="2" s="1"/>
  <c r="D1318" i="2"/>
  <c r="D1319" i="2" s="1"/>
  <c r="D1320" i="2" s="1"/>
  <c r="D1321" i="2" s="1"/>
  <c r="D1312" i="2"/>
  <c r="D1313" i="2" s="1"/>
  <c r="D1314" i="2" s="1"/>
  <c r="D1315" i="2" s="1"/>
  <c r="D1316" i="2" s="1"/>
  <c r="D1317" i="2" s="1"/>
  <c r="D1531" i="2"/>
  <c r="D1532" i="2" s="1"/>
  <c r="D1533" i="2" s="1"/>
  <c r="D1534" i="2" s="1"/>
  <c r="D1535" i="2" s="1"/>
  <c r="D1536" i="2" s="1"/>
  <c r="D1537" i="2"/>
  <c r="D1538" i="2" s="1"/>
  <c r="D1539" i="2" s="1"/>
  <c r="D1540" i="2" s="1"/>
  <c r="G872" i="2"/>
  <c r="G873" i="2" s="1"/>
  <c r="G874" i="2" s="1"/>
  <c r="G875" i="2" s="1"/>
  <c r="G867" i="2"/>
  <c r="G868" i="2" s="1"/>
  <c r="G869" i="2" s="1"/>
  <c r="G870" i="2" s="1"/>
  <c r="G871" i="2" s="1"/>
  <c r="D605" i="2"/>
  <c r="D606" i="2" s="1"/>
  <c r="D607" i="2" s="1"/>
  <c r="D608" i="2" s="1"/>
  <c r="D600" i="2"/>
  <c r="D601" i="2" s="1"/>
  <c r="D602" i="2" s="1"/>
  <c r="D603" i="2" s="1"/>
  <c r="D604" i="2" s="1"/>
  <c r="G676" i="2"/>
  <c r="G677" i="2" s="1"/>
  <c r="G678" i="2" s="1"/>
  <c r="G679" i="2" s="1"/>
  <c r="G670" i="2"/>
  <c r="G671" i="2" s="1"/>
  <c r="G672" i="2" s="1"/>
  <c r="G673" i="2" s="1"/>
  <c r="G674" i="2" s="1"/>
  <c r="G675" i="2" s="1"/>
  <c r="G159" i="2"/>
  <c r="G160" i="2" s="1"/>
  <c r="G161" i="2" s="1"/>
  <c r="G162" i="2" s="1"/>
  <c r="G163" i="2" s="1"/>
  <c r="G164" i="2" s="1"/>
  <c r="G165" i="2"/>
  <c r="G166" i="2" s="1"/>
  <c r="G167" i="2" s="1"/>
  <c r="G168" i="2" s="1"/>
  <c r="G421" i="2"/>
  <c r="G422" i="2" s="1"/>
  <c r="G423" i="2" s="1"/>
  <c r="G424" i="2" s="1"/>
  <c r="G416" i="2"/>
  <c r="G417" i="2" s="1"/>
  <c r="G418" i="2" s="1"/>
  <c r="G419" i="2" s="1"/>
  <c r="G420" i="2" s="1"/>
  <c r="D357" i="2"/>
  <c r="D358" i="2" s="1"/>
  <c r="D359" i="2" s="1"/>
  <c r="D360" i="2" s="1"/>
  <c r="D361" i="2" s="1"/>
  <c r="D362" i="2"/>
  <c r="D363" i="2" s="1"/>
  <c r="D364" i="2" s="1"/>
  <c r="D365" i="2" s="1"/>
  <c r="G467" i="2"/>
  <c r="G468" i="2" s="1"/>
  <c r="G469" i="2" s="1"/>
  <c r="G470" i="2" s="1"/>
  <c r="G471" i="2" s="1"/>
  <c r="G472" i="2" s="1"/>
  <c r="G473" i="2"/>
  <c r="G474" i="2" s="1"/>
  <c r="G475" i="2" s="1"/>
  <c r="G476" i="2" s="1"/>
  <c r="D1392" i="2"/>
  <c r="D1393" i="2" s="1"/>
  <c r="D1394" i="2" s="1"/>
  <c r="D1395" i="2" s="1"/>
  <c r="D1396" i="2" s="1"/>
  <c r="D1397" i="2" s="1"/>
  <c r="D1398" i="2"/>
  <c r="D1399" i="2" s="1"/>
  <c r="D1400" i="2" s="1"/>
  <c r="D1401" i="2" s="1"/>
  <c r="E321" i="2"/>
  <c r="E322" i="2" s="1"/>
  <c r="E323" i="2" s="1"/>
  <c r="E324" i="2" s="1"/>
  <c r="E325" i="2" s="1"/>
  <c r="E326" i="2"/>
  <c r="E327" i="2" s="1"/>
  <c r="G1402" i="2"/>
  <c r="G1403" i="2" s="1"/>
  <c r="G1404" i="2" s="1"/>
  <c r="G1405" i="2" s="1"/>
  <c r="G1406" i="2" s="1"/>
  <c r="G1407" i="2"/>
  <c r="G1408" i="2" s="1"/>
  <c r="G1409" i="2" s="1"/>
  <c r="G1410" i="2" s="1"/>
  <c r="E587" i="2"/>
  <c r="E588" i="2" s="1"/>
  <c r="E582" i="2"/>
  <c r="E583" i="2" s="1"/>
  <c r="E584" i="2" s="1"/>
  <c r="E585" i="2" s="1"/>
  <c r="E586" i="2" s="1"/>
  <c r="D412" i="2"/>
  <c r="D413" i="2" s="1"/>
  <c r="D414" i="2" s="1"/>
  <c r="D415" i="2" s="1"/>
  <c r="D407" i="2"/>
  <c r="D408" i="2" s="1"/>
  <c r="D409" i="2" s="1"/>
  <c r="D410" i="2" s="1"/>
  <c r="D411" i="2" s="1"/>
  <c r="D996" i="2"/>
  <c r="D997" i="2" s="1"/>
  <c r="D998" i="2" s="1"/>
  <c r="D999" i="2" s="1"/>
  <c r="D1000" i="2" s="1"/>
  <c r="D1001" i="2"/>
  <c r="D1002" i="2" s="1"/>
  <c r="D1003" i="2" s="1"/>
  <c r="D1004" i="2" s="1"/>
  <c r="E281" i="2"/>
  <c r="E282" i="2" s="1"/>
  <c r="E283" i="2" s="1"/>
  <c r="E284" i="2" s="1"/>
  <c r="E285" i="2" s="1"/>
  <c r="E286" i="2" s="1"/>
  <c r="E287" i="2"/>
  <c r="E288" i="2" s="1"/>
  <c r="E289" i="2" s="1"/>
  <c r="E290" i="2" s="1"/>
  <c r="G937" i="2"/>
  <c r="G938" i="2" s="1"/>
  <c r="G939" i="2" s="1"/>
  <c r="G940" i="2" s="1"/>
  <c r="G941" i="2" s="1"/>
  <c r="G942" i="2"/>
  <c r="G943" i="2" s="1"/>
  <c r="G944" i="2" s="1"/>
  <c r="G945" i="2" s="1"/>
  <c r="D99" i="2"/>
  <c r="D100" i="2" s="1"/>
  <c r="D101" i="2" s="1"/>
  <c r="D102" i="2" s="1"/>
  <c r="D103" i="2" s="1"/>
  <c r="D104" i="2" s="1"/>
  <c r="D105" i="2"/>
  <c r="D106" i="2" s="1"/>
  <c r="D107" i="2" s="1"/>
  <c r="D108" i="2" s="1"/>
  <c r="D226" i="2"/>
  <c r="D227" i="2" s="1"/>
  <c r="D228" i="2" s="1"/>
  <c r="D229" i="2" s="1"/>
  <c r="D221" i="2"/>
  <c r="D222" i="2" s="1"/>
  <c r="D223" i="2" s="1"/>
  <c r="D224" i="2" s="1"/>
  <c r="D225" i="2" s="1"/>
  <c r="G1063" i="2"/>
  <c r="G1064" i="2" s="1"/>
  <c r="G1065" i="2" s="1"/>
  <c r="G1066" i="2" s="1"/>
  <c r="G1067" i="2" s="1"/>
  <c r="G1068" i="2"/>
  <c r="G1069" i="2" s="1"/>
  <c r="G1070" i="2" s="1"/>
  <c r="G1071" i="2" s="1"/>
  <c r="G1721" i="2"/>
  <c r="G1722" i="2" s="1"/>
  <c r="G1723" i="2" s="1"/>
  <c r="G1724" i="2" s="1"/>
  <c r="G1715" i="2"/>
  <c r="G1716" i="2" s="1"/>
  <c r="G1717" i="2" s="1"/>
  <c r="G1718" i="2" s="1"/>
  <c r="G1719" i="2" s="1"/>
  <c r="G1720" i="2" s="1"/>
  <c r="E36" i="2"/>
  <c r="E37" i="2" s="1"/>
  <c r="E38" i="2" s="1"/>
  <c r="E39" i="2" s="1"/>
  <c r="E40" i="2" s="1"/>
  <c r="E41" i="2" s="1"/>
  <c r="E42" i="2"/>
  <c r="E43" i="2" s="1"/>
  <c r="E44" i="2" s="1"/>
  <c r="E45" i="2" s="1"/>
  <c r="D1130" i="2"/>
  <c r="D1131" i="2" s="1"/>
  <c r="D1132" i="2" s="1"/>
  <c r="D1133" i="2" s="1"/>
  <c r="D1134" i="2" s="1"/>
  <c r="D1135" i="2"/>
  <c r="D1136" i="2" s="1"/>
  <c r="D1137" i="2" s="1"/>
  <c r="D1138" i="2" s="1"/>
  <c r="D1789" i="2"/>
  <c r="D1790" i="2" s="1"/>
  <c r="D1791" i="2" s="1"/>
  <c r="D1792" i="2" s="1"/>
  <c r="D1793" i="2" s="1"/>
  <c r="D1794" i="2" s="1"/>
  <c r="D1795" i="2"/>
  <c r="D1796" i="2" s="1"/>
  <c r="D1797" i="2" s="1"/>
  <c r="D1798" i="2" s="1"/>
  <c r="D1657" i="2"/>
  <c r="D1658" i="2" s="1"/>
  <c r="D1659" i="2" s="1"/>
  <c r="D1660" i="2" s="1"/>
  <c r="D1650" i="2"/>
  <c r="D1651" i="2" s="1"/>
  <c r="D1652" i="2" s="1"/>
  <c r="D1653" i="2" s="1"/>
  <c r="D1654" i="2" s="1"/>
  <c r="D1655" i="2" s="1"/>
  <c r="D1656" i="2" s="1"/>
  <c r="G1650" i="2"/>
  <c r="G1651" i="2" s="1"/>
  <c r="G1652" i="2" s="1"/>
  <c r="G1653" i="2" s="1"/>
  <c r="G1654" i="2" s="1"/>
  <c r="G1655" i="2" s="1"/>
  <c r="G1656" i="2" s="1"/>
  <c r="G1657" i="2"/>
  <c r="G1658" i="2" s="1"/>
  <c r="G1659" i="2" s="1"/>
  <c r="G1660" i="2" s="1"/>
  <c r="D736" i="2"/>
  <c r="D737" i="2" s="1"/>
  <c r="D738" i="2" s="1"/>
  <c r="D739" i="2" s="1"/>
  <c r="D731" i="2"/>
  <c r="D732" i="2" s="1"/>
  <c r="D733" i="2" s="1"/>
  <c r="D734" i="2" s="1"/>
  <c r="D735" i="2" s="1"/>
  <c r="G1190" i="2"/>
  <c r="G1191" i="2" s="1"/>
  <c r="G1192" i="2" s="1"/>
  <c r="G1193" i="2" s="1"/>
  <c r="G1194" i="2" s="1"/>
  <c r="G1195" i="2" s="1"/>
  <c r="G1196" i="2" s="1"/>
  <c r="G1197" i="2"/>
  <c r="G1198" i="2" s="1"/>
  <c r="G1199" i="2" s="1"/>
  <c r="G1200" i="2" s="1"/>
  <c r="G1005" i="2"/>
  <c r="G1006" i="2" s="1"/>
  <c r="G1007" i="2" s="1"/>
  <c r="G1008" i="2" s="1"/>
  <c r="G1009" i="2" s="1"/>
  <c r="G1010" i="2"/>
  <c r="G1011" i="2" s="1"/>
  <c r="G1012" i="2" s="1"/>
  <c r="G1013" i="2" s="1"/>
  <c r="D670" i="2"/>
  <c r="D671" i="2" s="1"/>
  <c r="D672" i="2" s="1"/>
  <c r="D673" i="2" s="1"/>
  <c r="D674" i="2" s="1"/>
  <c r="D675" i="2" s="1"/>
  <c r="D676" i="2"/>
  <c r="D677" i="2" s="1"/>
  <c r="D678" i="2" s="1"/>
  <c r="D679" i="2" s="1"/>
  <c r="E1577" i="2"/>
  <c r="E1578" i="2" s="1"/>
  <c r="E1579" i="2" s="1"/>
  <c r="E1580" i="2" s="1"/>
  <c r="E1581" i="2" s="1"/>
  <c r="E1582" i="2" s="1"/>
  <c r="E1583" i="2"/>
  <c r="E1584" i="2" s="1"/>
  <c r="E1585" i="2" s="1"/>
  <c r="E1586" i="2" s="1"/>
  <c r="G1795" i="2"/>
  <c r="G1796" i="2" s="1"/>
  <c r="G1797" i="2" s="1"/>
  <c r="G1798" i="2" s="1"/>
  <c r="G1789" i="2"/>
  <c r="G1790" i="2" s="1"/>
  <c r="G1791" i="2" s="1"/>
  <c r="G1792" i="2" s="1"/>
  <c r="G1793" i="2" s="1"/>
  <c r="G1794" i="2" s="1"/>
  <c r="D1258" i="2"/>
  <c r="D1259" i="2" s="1"/>
  <c r="D1260" i="2" s="1"/>
  <c r="D1261" i="2" s="1"/>
  <c r="D1253" i="2"/>
  <c r="D1254" i="2" s="1"/>
  <c r="D1255" i="2" s="1"/>
  <c r="D1256" i="2" s="1"/>
  <c r="D1257" i="2" s="1"/>
  <c r="D1456" i="2"/>
  <c r="D1457" i="2" s="1"/>
  <c r="D1458" i="2" s="1"/>
  <c r="D1459" i="2" s="1"/>
  <c r="D1451" i="2"/>
  <c r="D1452" i="2" s="1"/>
  <c r="D1453" i="2" s="1"/>
  <c r="D1454" i="2" s="1"/>
  <c r="D1455" i="2" s="1"/>
  <c r="G221" i="2"/>
  <c r="G222" i="2" s="1"/>
  <c r="G223" i="2" s="1"/>
  <c r="G224" i="2" s="1"/>
  <c r="G225" i="2" s="1"/>
  <c r="G226" i="2"/>
  <c r="G227" i="2" s="1"/>
  <c r="G228" i="2" s="1"/>
  <c r="G229" i="2" s="1"/>
  <c r="D1078" i="2"/>
  <c r="D1079" i="2" s="1"/>
  <c r="D1080" i="2" s="1"/>
  <c r="D1081" i="2" s="1"/>
  <c r="D1072" i="2"/>
  <c r="D1073" i="2" s="1"/>
  <c r="D1074" i="2" s="1"/>
  <c r="D1075" i="2" s="1"/>
  <c r="D1076" i="2" s="1"/>
  <c r="D1077" i="2" s="1"/>
  <c r="G1126" i="2"/>
  <c r="G1127" i="2" s="1"/>
  <c r="G1128" i="2" s="1"/>
  <c r="G1129" i="2" s="1"/>
  <c r="G1121" i="2"/>
  <c r="G1122" i="2" s="1"/>
  <c r="G1123" i="2" s="1"/>
  <c r="G1124" i="2" s="1"/>
  <c r="G1125" i="2" s="1"/>
  <c r="G99" i="2"/>
  <c r="G100" i="2" s="1"/>
  <c r="G101" i="2" s="1"/>
  <c r="G102" i="2" s="1"/>
  <c r="G103" i="2" s="1"/>
  <c r="G104" i="2" s="1"/>
  <c r="G105" i="2"/>
  <c r="G106" i="2" s="1"/>
  <c r="G107" i="2" s="1"/>
  <c r="G108" i="2" s="1"/>
  <c r="G1267" i="2"/>
  <c r="G1268" i="2" s="1"/>
  <c r="G1269" i="2" s="1"/>
  <c r="G1270" i="2" s="1"/>
  <c r="G1262" i="2"/>
  <c r="G1263" i="2" s="1"/>
  <c r="G1264" i="2" s="1"/>
  <c r="G1265" i="2" s="1"/>
  <c r="G1266" i="2" s="1"/>
  <c r="G1501" i="2"/>
  <c r="G1502" i="2" s="1"/>
  <c r="G1503" i="2" s="1"/>
  <c r="G1504" i="2" s="1"/>
  <c r="G1505" i="2" s="1"/>
  <c r="G1506" i="2" s="1"/>
  <c r="G1507" i="2"/>
  <c r="G1508" i="2" s="1"/>
  <c r="G1509" i="2" s="1"/>
  <c r="G1510" i="2" s="1"/>
  <c r="G600" i="2"/>
  <c r="G601" i="2" s="1"/>
  <c r="G602" i="2" s="1"/>
  <c r="G603" i="2" s="1"/>
  <c r="G604" i="2" s="1"/>
  <c r="G605" i="2"/>
  <c r="G606" i="2" s="1"/>
  <c r="G607" i="2" s="1"/>
  <c r="G608" i="2" s="1"/>
  <c r="G36" i="2"/>
  <c r="G37" i="2" s="1"/>
  <c r="G38" i="2" s="1"/>
  <c r="G39" i="2" s="1"/>
  <c r="G40" i="2" s="1"/>
  <c r="G41" i="2" s="1"/>
  <c r="G42" i="2"/>
  <c r="G43" i="2" s="1"/>
  <c r="G44" i="2" s="1"/>
  <c r="G45" i="2" s="1"/>
  <c r="D808" i="2"/>
  <c r="D809" i="2" s="1"/>
  <c r="D810" i="2" s="1"/>
  <c r="D811" i="2" s="1"/>
  <c r="D812" i="2" s="1"/>
  <c r="D813" i="2"/>
  <c r="D814" i="2" s="1"/>
  <c r="D815" i="2" s="1"/>
  <c r="D816" i="2" s="1"/>
  <c r="G1577" i="2"/>
  <c r="G1578" i="2" s="1"/>
  <c r="G1579" i="2" s="1"/>
  <c r="G1580" i="2" s="1"/>
  <c r="G1581" i="2" s="1"/>
  <c r="G1582" i="2" s="1"/>
  <c r="G1583" i="2"/>
  <c r="G1584" i="2" s="1"/>
  <c r="G1585" i="2" s="1"/>
  <c r="G1586" i="2" s="1"/>
  <c r="D872" i="2"/>
  <c r="D873" i="2" s="1"/>
  <c r="D874" i="2" s="1"/>
  <c r="D875" i="2" s="1"/>
  <c r="D867" i="2"/>
  <c r="D868" i="2" s="1"/>
  <c r="D869" i="2" s="1"/>
  <c r="D870" i="2" s="1"/>
  <c r="D871" i="2" s="1"/>
  <c r="C32" i="2"/>
  <c r="C33" i="2" s="1"/>
  <c r="C34" i="2" s="1"/>
  <c r="C35" i="2" s="1"/>
  <c r="C26" i="2"/>
  <c r="C27" i="2" s="1"/>
  <c r="C28" i="2" s="1"/>
  <c r="C29" i="2" s="1"/>
  <c r="C30" i="2" s="1"/>
  <c r="C31" i="2" s="1"/>
  <c r="C1010" i="2"/>
  <c r="C1011" i="2" s="1"/>
  <c r="C1012" i="2" s="1"/>
  <c r="C1013" i="2" s="1"/>
  <c r="C1005" i="2"/>
  <c r="C1006" i="2" s="1"/>
  <c r="C1007" i="2" s="1"/>
  <c r="C1008" i="2" s="1"/>
  <c r="C1009" i="2" s="1"/>
  <c r="C1517" i="2"/>
  <c r="C1518" i="2" s="1"/>
  <c r="C1519" i="2" s="1"/>
  <c r="C1520" i="2" s="1"/>
  <c r="C1511" i="2"/>
  <c r="C1512" i="2" s="1"/>
  <c r="C1513" i="2" s="1"/>
  <c r="C1514" i="2" s="1"/>
  <c r="C1515" i="2" s="1"/>
  <c r="C1516" i="2" s="1"/>
  <c r="C1078" i="2"/>
  <c r="C1079" i="2" s="1"/>
  <c r="C1080" i="2" s="1"/>
  <c r="C1081" i="2" s="1"/>
  <c r="C1072" i="2"/>
  <c r="C1073" i="2" s="1"/>
  <c r="C1074" i="2" s="1"/>
  <c r="C1075" i="2" s="1"/>
  <c r="C1076" i="2" s="1"/>
  <c r="C1077" i="2" s="1"/>
  <c r="C175" i="2"/>
  <c r="C176" i="2" s="1"/>
  <c r="C177" i="2" s="1"/>
  <c r="C178" i="2" s="1"/>
  <c r="C169" i="2"/>
  <c r="C170" i="2" s="1"/>
  <c r="C171" i="2" s="1"/>
  <c r="C172" i="2" s="1"/>
  <c r="C173" i="2" s="1"/>
  <c r="C174" i="2" s="1"/>
  <c r="C881" i="2"/>
  <c r="C882" i="2" s="1"/>
  <c r="C883" i="2" s="1"/>
  <c r="C884" i="2" s="1"/>
  <c r="C876" i="2"/>
  <c r="C877" i="2" s="1"/>
  <c r="C878" i="2" s="1"/>
  <c r="C879" i="2" s="1"/>
  <c r="C880" i="2" s="1"/>
  <c r="C813" i="2"/>
  <c r="C814" i="2" s="1"/>
  <c r="C815" i="2" s="1"/>
  <c r="C816" i="2" s="1"/>
  <c r="C808" i="2"/>
  <c r="C809" i="2" s="1"/>
  <c r="C810" i="2" s="1"/>
  <c r="C811" i="2" s="1"/>
  <c r="C812" i="2" s="1"/>
  <c r="C1456" i="2"/>
  <c r="C1457" i="2" s="1"/>
  <c r="C1458" i="2" s="1"/>
  <c r="C1459" i="2" s="1"/>
  <c r="C1451" i="2"/>
  <c r="C1452" i="2" s="1"/>
  <c r="C1453" i="2" s="1"/>
  <c r="C1454" i="2" s="1"/>
  <c r="C1455" i="2" s="1"/>
  <c r="C1328" i="2"/>
  <c r="C1329" i="2" s="1"/>
  <c r="C1330" i="2" s="1"/>
  <c r="C1331" i="2" s="1"/>
  <c r="C1322" i="2"/>
  <c r="C1323" i="2" s="1"/>
  <c r="C1324" i="2" s="1"/>
  <c r="C1325" i="2" s="1"/>
  <c r="C1326" i="2" s="1"/>
  <c r="C1327" i="2" s="1"/>
  <c r="C686" i="2"/>
  <c r="C687" i="2" s="1"/>
  <c r="C688" i="2" s="1"/>
  <c r="C689" i="2" s="1"/>
  <c r="C680" i="2"/>
  <c r="C681" i="2" s="1"/>
  <c r="C682" i="2" s="1"/>
  <c r="C683" i="2" s="1"/>
  <c r="C684" i="2" s="1"/>
  <c r="C685" i="2" s="1"/>
  <c r="C614" i="2"/>
  <c r="C615" i="2" s="1"/>
  <c r="C616" i="2" s="1"/>
  <c r="C617" i="2" s="1"/>
  <c r="C609" i="2"/>
  <c r="C610" i="2" s="1"/>
  <c r="C611" i="2" s="1"/>
  <c r="C612" i="2" s="1"/>
  <c r="C613" i="2" s="1"/>
  <c r="C1135" i="2"/>
  <c r="C1136" i="2" s="1"/>
  <c r="C1137" i="2" s="1"/>
  <c r="C1138" i="2" s="1"/>
  <c r="C1130" i="2"/>
  <c r="C1131" i="2" s="1"/>
  <c r="C1132" i="2" s="1"/>
  <c r="C1133" i="2" s="1"/>
  <c r="C1134" i="2" s="1"/>
  <c r="C745" i="2"/>
  <c r="C746" i="2" s="1"/>
  <c r="C747" i="2" s="1"/>
  <c r="C748" i="2" s="1"/>
  <c r="C740" i="2"/>
  <c r="C741" i="2" s="1"/>
  <c r="C742" i="2" s="1"/>
  <c r="C743" i="2" s="1"/>
  <c r="C744" i="2" s="1"/>
  <c r="C1207" i="2"/>
  <c r="C1208" i="2" s="1"/>
  <c r="C1209" i="2" s="1"/>
  <c r="C1210" i="2" s="1"/>
  <c r="C1201" i="2"/>
  <c r="C1202" i="2" s="1"/>
  <c r="C1203" i="2" s="1"/>
  <c r="C1204" i="2" s="1"/>
  <c r="C1205" i="2" s="1"/>
  <c r="C1206" i="2" s="1"/>
  <c r="C114" i="2"/>
  <c r="C115" i="2" s="1"/>
  <c r="C116" i="2" s="1"/>
  <c r="C117" i="2" s="1"/>
  <c r="C109" i="2"/>
  <c r="C110" i="2" s="1"/>
  <c r="C111" i="2" s="1"/>
  <c r="C112" i="2" s="1"/>
  <c r="C113" i="2" s="1"/>
  <c r="C528" i="2"/>
  <c r="C529" i="2" s="1"/>
  <c r="C530" i="2" s="1"/>
  <c r="C531" i="2" s="1"/>
  <c r="C523" i="2"/>
  <c r="C524" i="2" s="1"/>
  <c r="C525" i="2" s="1"/>
  <c r="C526" i="2" s="1"/>
  <c r="C527" i="2" s="1"/>
  <c r="C1267" i="2"/>
  <c r="C1268" i="2" s="1"/>
  <c r="C1269" i="2" s="1"/>
  <c r="C1270" i="2" s="1"/>
  <c r="C1262" i="2"/>
  <c r="C1263" i="2" s="1"/>
  <c r="C1264" i="2" s="1"/>
  <c r="C1265" i="2" s="1"/>
  <c r="C1266" i="2" s="1"/>
  <c r="C421" i="2"/>
  <c r="C422" i="2" s="1"/>
  <c r="C423" i="2" s="1"/>
  <c r="C424" i="2" s="1"/>
  <c r="C416" i="2"/>
  <c r="C417" i="2" s="1"/>
  <c r="C418" i="2" s="1"/>
  <c r="C419" i="2" s="1"/>
  <c r="C420" i="2" s="1"/>
  <c r="C235" i="2"/>
  <c r="C236" i="2" s="1"/>
  <c r="C237" i="2" s="1"/>
  <c r="C238" i="2" s="1"/>
  <c r="C230" i="2"/>
  <c r="C231" i="2" s="1"/>
  <c r="C232" i="2" s="1"/>
  <c r="C233" i="2" s="1"/>
  <c r="C234" i="2" s="1"/>
  <c r="C277" i="2"/>
  <c r="C278" i="2" s="1"/>
  <c r="C279" i="2" s="1"/>
  <c r="C280" i="2" s="1"/>
  <c r="C272" i="2"/>
  <c r="C273" i="2" s="1"/>
  <c r="C274" i="2" s="1"/>
  <c r="C275" i="2" s="1"/>
  <c r="C276" i="2" s="1"/>
  <c r="C1573" i="2"/>
  <c r="C1574" i="2" s="1"/>
  <c r="C1575" i="2" s="1"/>
  <c r="C1576" i="2" s="1"/>
  <c r="C1567" i="2"/>
  <c r="C1568" i="2" s="1"/>
  <c r="C1569" i="2" s="1"/>
  <c r="C1570" i="2" s="1"/>
  <c r="C1571" i="2" s="1"/>
  <c r="C1572" i="2" s="1"/>
  <c r="C933" i="2"/>
  <c r="C934" i="2" s="1"/>
  <c r="C935" i="2" s="1"/>
  <c r="C936" i="2" s="1"/>
  <c r="C928" i="2"/>
  <c r="C929" i="2" s="1"/>
  <c r="C930" i="2" s="1"/>
  <c r="C931" i="2" s="1"/>
  <c r="C932" i="2" s="1"/>
  <c r="C1388" i="2"/>
  <c r="C1389" i="2" s="1"/>
  <c r="C1390" i="2" s="1"/>
  <c r="C1391" i="2" s="1"/>
  <c r="C1383" i="2"/>
  <c r="C1384" i="2" s="1"/>
  <c r="C1385" i="2" s="1"/>
  <c r="C1386" i="2" s="1"/>
  <c r="C1387" i="2" s="1"/>
  <c r="C483" i="2"/>
  <c r="C484" i="2" s="1"/>
  <c r="C485" i="2" s="1"/>
  <c r="C486" i="2" s="1"/>
  <c r="C477" i="2"/>
  <c r="C478" i="2" s="1"/>
  <c r="C479" i="2" s="1"/>
  <c r="C480" i="2" s="1"/>
  <c r="C481" i="2" s="1"/>
  <c r="C482" i="2" s="1"/>
  <c r="C1731" i="2"/>
  <c r="C1732" i="2" s="1"/>
  <c r="C1733" i="2" s="1"/>
  <c r="C1734" i="2" s="1"/>
  <c r="C1725" i="2"/>
  <c r="C1726" i="2" s="1"/>
  <c r="C1727" i="2" s="1"/>
  <c r="C1728" i="2" s="1"/>
  <c r="C1729" i="2" s="1"/>
  <c r="C1730" i="2" s="1"/>
  <c r="C353" i="2"/>
  <c r="C354" i="2" s="1"/>
  <c r="C355" i="2" s="1"/>
  <c r="C356" i="2" s="1"/>
  <c r="C348" i="2"/>
  <c r="C349" i="2" s="1"/>
  <c r="C350" i="2" s="1"/>
  <c r="C351" i="2" s="1"/>
  <c r="C352" i="2" s="1"/>
  <c r="C1795" i="2"/>
  <c r="C1796" i="2" s="1"/>
  <c r="C1797" i="2" s="1"/>
  <c r="C1798" i="2" s="1"/>
  <c r="C1789" i="2"/>
  <c r="C1790" i="2" s="1"/>
  <c r="C1791" i="2" s="1"/>
  <c r="C1792" i="2" s="1"/>
  <c r="C1793" i="2" s="1"/>
  <c r="C1794" i="2" s="1"/>
  <c r="C1657" i="2"/>
  <c r="C1658" i="2" s="1"/>
  <c r="C1659" i="2" s="1"/>
  <c r="C1660" i="2" s="1"/>
  <c r="C1650" i="2"/>
  <c r="C1651" i="2" s="1"/>
  <c r="C1652" i="2" s="1"/>
  <c r="C1653" i="2" s="1"/>
  <c r="C1654" i="2" s="1"/>
  <c r="C1655" i="2" s="1"/>
  <c r="C1656" i="2" s="1"/>
  <c r="D366" i="2" l="1"/>
  <c r="D367" i="2" s="1"/>
  <c r="D368" i="2" s="1"/>
  <c r="D369" i="2" s="1"/>
  <c r="D370" i="2" s="1"/>
  <c r="D371" i="2"/>
  <c r="D372" i="2" s="1"/>
  <c r="D373" i="2" s="1"/>
  <c r="D374" i="2" s="1"/>
  <c r="D817" i="2"/>
  <c r="D818" i="2" s="1"/>
  <c r="D819" i="2" s="1"/>
  <c r="D820" i="2" s="1"/>
  <c r="D821" i="2" s="1"/>
  <c r="D822" i="2" s="1"/>
  <c r="D823" i="2"/>
  <c r="D824" i="2" s="1"/>
  <c r="D825" i="2" s="1"/>
  <c r="D826" i="2" s="1"/>
  <c r="G235" i="2"/>
  <c r="G236" i="2" s="1"/>
  <c r="G237" i="2" s="1"/>
  <c r="G238" i="2" s="1"/>
  <c r="G230" i="2"/>
  <c r="G231" i="2" s="1"/>
  <c r="G232" i="2" s="1"/>
  <c r="G233" i="2" s="1"/>
  <c r="G234" i="2" s="1"/>
  <c r="E1587" i="2"/>
  <c r="E1588" i="2" s="1"/>
  <c r="E1589" i="2" s="1"/>
  <c r="E1590" i="2" s="1"/>
  <c r="E1591" i="2" s="1"/>
  <c r="E1592" i="2" s="1"/>
  <c r="E1593" i="2"/>
  <c r="E1594" i="2" s="1"/>
  <c r="E1595" i="2" s="1"/>
  <c r="E1596" i="2" s="1"/>
  <c r="D1144" i="2"/>
  <c r="D1145" i="2" s="1"/>
  <c r="D1146" i="2" s="1"/>
  <c r="D1147" i="2" s="1"/>
  <c r="D1139" i="2"/>
  <c r="D1140" i="2" s="1"/>
  <c r="D1141" i="2" s="1"/>
  <c r="D1142" i="2" s="1"/>
  <c r="D1143" i="2" s="1"/>
  <c r="D1005" i="2"/>
  <c r="D1006" i="2" s="1"/>
  <c r="D1007" i="2" s="1"/>
  <c r="D1008" i="2" s="1"/>
  <c r="D1009" i="2" s="1"/>
  <c r="D1010" i="2"/>
  <c r="D1011" i="2" s="1"/>
  <c r="D1012" i="2" s="1"/>
  <c r="D1013" i="2" s="1"/>
  <c r="E328" i="2"/>
  <c r="E329" i="2" s="1"/>
  <c r="E383" i="2"/>
  <c r="E384" i="2" s="1"/>
  <c r="E385" i="2" s="1"/>
  <c r="E386" i="2" s="1"/>
  <c r="E387" i="2" s="1"/>
  <c r="E541" i="2"/>
  <c r="E542" i="2" s="1"/>
  <c r="E543" i="2" s="1"/>
  <c r="E544" i="2" s="1"/>
  <c r="E545" i="2" s="1"/>
  <c r="E546" i="2"/>
  <c r="E547" i="2" s="1"/>
  <c r="E548" i="2" s="1"/>
  <c r="E549" i="2" s="1"/>
  <c r="G1328" i="2"/>
  <c r="G1329" i="2" s="1"/>
  <c r="G1330" i="2" s="1"/>
  <c r="G1331" i="2" s="1"/>
  <c r="G1322" i="2"/>
  <c r="G1323" i="2" s="1"/>
  <c r="G1324" i="2" s="1"/>
  <c r="G1325" i="2" s="1"/>
  <c r="G1326" i="2" s="1"/>
  <c r="G1327" i="2" s="1"/>
  <c r="G1587" i="2"/>
  <c r="G1588" i="2" s="1"/>
  <c r="G1589" i="2" s="1"/>
  <c r="G1590" i="2" s="1"/>
  <c r="G1591" i="2" s="1"/>
  <c r="G1592" i="2" s="1"/>
  <c r="G1593" i="2"/>
  <c r="G1594" i="2" s="1"/>
  <c r="G1595" i="2" s="1"/>
  <c r="G1596" i="2" s="1"/>
  <c r="G1411" i="2"/>
  <c r="G1412" i="2"/>
  <c r="G1413" i="2" s="1"/>
  <c r="G1414" i="2" s="1"/>
  <c r="G1415" i="2" s="1"/>
  <c r="G1271" i="2"/>
  <c r="G1272" i="2" s="1"/>
  <c r="G1273" i="2" s="1"/>
  <c r="G1274" i="2" s="1"/>
  <c r="G1275" i="2" s="1"/>
  <c r="G1276" i="2"/>
  <c r="G1277" i="2" s="1"/>
  <c r="G1278" i="2" s="1"/>
  <c r="G1279" i="2" s="1"/>
  <c r="D740" i="2"/>
  <c r="D741" i="2" s="1"/>
  <c r="D742" i="2" s="1"/>
  <c r="D743" i="2" s="1"/>
  <c r="D744" i="2" s="1"/>
  <c r="D745" i="2"/>
  <c r="D746" i="2" s="1"/>
  <c r="D747" i="2" s="1"/>
  <c r="D748" i="2" s="1"/>
  <c r="D235" i="2"/>
  <c r="D236" i="2" s="1"/>
  <c r="D237" i="2" s="1"/>
  <c r="D238" i="2" s="1"/>
  <c r="D230" i="2"/>
  <c r="D231" i="2" s="1"/>
  <c r="D232" i="2" s="1"/>
  <c r="D233" i="2" s="1"/>
  <c r="D234" i="2" s="1"/>
  <c r="G430" i="2"/>
  <c r="G431" i="2" s="1"/>
  <c r="G432" i="2" s="1"/>
  <c r="G433" i="2" s="1"/>
  <c r="G425" i="2"/>
  <c r="G426" i="2" s="1"/>
  <c r="G427" i="2" s="1"/>
  <c r="G428" i="2" s="1"/>
  <c r="G429" i="2" s="1"/>
  <c r="G881" i="2"/>
  <c r="G882" i="2" s="1"/>
  <c r="G883" i="2" s="1"/>
  <c r="G884" i="2" s="1"/>
  <c r="G876" i="2"/>
  <c r="G877" i="2" s="1"/>
  <c r="G878" i="2" s="1"/>
  <c r="G879" i="2" s="1"/>
  <c r="G880" i="2" s="1"/>
  <c r="E952" i="2"/>
  <c r="E953" i="2" s="1"/>
  <c r="E954" i="2" s="1"/>
  <c r="E955" i="2" s="1"/>
  <c r="E946" i="2"/>
  <c r="E947" i="2" s="1"/>
  <c r="E948" i="2" s="1"/>
  <c r="E949" i="2" s="1"/>
  <c r="E950" i="2" s="1"/>
  <c r="E951" i="2" s="1"/>
  <c r="E985" i="2"/>
  <c r="E986" i="2" s="1"/>
  <c r="E1040" i="2"/>
  <c r="E1041" i="2" s="1"/>
  <c r="E1042" i="2" s="1"/>
  <c r="E1043" i="2" s="1"/>
  <c r="E1044" i="2" s="1"/>
  <c r="G745" i="2"/>
  <c r="G746" i="2" s="1"/>
  <c r="G747" i="2" s="1"/>
  <c r="G748" i="2" s="1"/>
  <c r="G740" i="2"/>
  <c r="G741" i="2" s="1"/>
  <c r="G742" i="2" s="1"/>
  <c r="G743" i="2" s="1"/>
  <c r="G744" i="2" s="1"/>
  <c r="G53" i="2"/>
  <c r="G54" i="2" s="1"/>
  <c r="G55" i="2" s="1"/>
  <c r="G56" i="2" s="1"/>
  <c r="G46" i="2"/>
  <c r="G47" i="2" s="1"/>
  <c r="G48" i="2" s="1"/>
  <c r="G49" i="2" s="1"/>
  <c r="G50" i="2" s="1"/>
  <c r="G51" i="2" s="1"/>
  <c r="G52" i="2" s="1"/>
  <c r="G114" i="2"/>
  <c r="G115" i="2" s="1"/>
  <c r="G116" i="2" s="1"/>
  <c r="G117" i="2" s="1"/>
  <c r="G109" i="2"/>
  <c r="G110" i="2" s="1"/>
  <c r="G111" i="2" s="1"/>
  <c r="G112" i="2" s="1"/>
  <c r="G113" i="2" s="1"/>
  <c r="D680" i="2"/>
  <c r="D681" i="2" s="1"/>
  <c r="D682" i="2" s="1"/>
  <c r="D683" i="2" s="1"/>
  <c r="D684" i="2" s="1"/>
  <c r="D685" i="2" s="1"/>
  <c r="D686" i="2"/>
  <c r="D687" i="2" s="1"/>
  <c r="D688" i="2" s="1"/>
  <c r="D689" i="2" s="1"/>
  <c r="G1667" i="2"/>
  <c r="G1668" i="2" s="1"/>
  <c r="G1669" i="2" s="1"/>
  <c r="G1670" i="2" s="1"/>
  <c r="G1661" i="2"/>
  <c r="G1662" i="2" s="1"/>
  <c r="G1663" i="2" s="1"/>
  <c r="G1664" i="2" s="1"/>
  <c r="G1665" i="2" s="1"/>
  <c r="G1666" i="2" s="1"/>
  <c r="E53" i="2"/>
  <c r="E54" i="2" s="1"/>
  <c r="E55" i="2" s="1"/>
  <c r="E56" i="2" s="1"/>
  <c r="E46" i="2"/>
  <c r="E47" i="2" s="1"/>
  <c r="E48" i="2" s="1"/>
  <c r="E49" i="2" s="1"/>
  <c r="E50" i="2" s="1"/>
  <c r="E51" i="2" s="1"/>
  <c r="E52" i="2" s="1"/>
  <c r="D114" i="2"/>
  <c r="D115" i="2" s="1"/>
  <c r="D116" i="2" s="1"/>
  <c r="D117" i="2" s="1"/>
  <c r="D109" i="2"/>
  <c r="D110" i="2" s="1"/>
  <c r="D111" i="2" s="1"/>
  <c r="D112" i="2" s="1"/>
  <c r="D113" i="2" s="1"/>
  <c r="D1402" i="2"/>
  <c r="D1403" i="2" s="1"/>
  <c r="D1404" i="2" s="1"/>
  <c r="D1405" i="2" s="1"/>
  <c r="D1406" i="2" s="1"/>
  <c r="D1407" i="2"/>
  <c r="D1408" i="2" s="1"/>
  <c r="D1409" i="2" s="1"/>
  <c r="D1410" i="2" s="1"/>
  <c r="G175" i="2"/>
  <c r="G176" i="2" s="1"/>
  <c r="G177" i="2" s="1"/>
  <c r="G178" i="2" s="1"/>
  <c r="G169" i="2"/>
  <c r="G170" i="2" s="1"/>
  <c r="G171" i="2" s="1"/>
  <c r="G172" i="2" s="1"/>
  <c r="G173" i="2" s="1"/>
  <c r="G174" i="2" s="1"/>
  <c r="D1541" i="2"/>
  <c r="D1542" i="2"/>
  <c r="D1543" i="2" s="1"/>
  <c r="D1544" i="2" s="1"/>
  <c r="D1545" i="2" s="1"/>
  <c r="E1694" i="2"/>
  <c r="E1695" i="2" s="1"/>
  <c r="E1696" i="2" s="1"/>
  <c r="E1697" i="2" s="1"/>
  <c r="E1698" i="2" s="1"/>
  <c r="E1699" i="2" s="1"/>
  <c r="E1700" i="2" s="1"/>
  <c r="E1701" i="2"/>
  <c r="E1702" i="2" s="1"/>
  <c r="G353" i="2"/>
  <c r="G354" i="2" s="1"/>
  <c r="G355" i="2" s="1"/>
  <c r="G356" i="2" s="1"/>
  <c r="G348" i="2"/>
  <c r="G349" i="2" s="1"/>
  <c r="G350" i="2" s="1"/>
  <c r="G351" i="2" s="1"/>
  <c r="G352" i="2" s="1"/>
  <c r="G1207" i="2"/>
  <c r="G1208" i="2" s="1"/>
  <c r="G1209" i="2" s="1"/>
  <c r="G1210" i="2" s="1"/>
  <c r="G1201" i="2"/>
  <c r="G1202" i="2" s="1"/>
  <c r="G1203" i="2" s="1"/>
  <c r="G1204" i="2" s="1"/>
  <c r="G1205" i="2" s="1"/>
  <c r="G1206" i="2" s="1"/>
  <c r="D1460" i="2"/>
  <c r="D1461" i="2" s="1"/>
  <c r="D1462" i="2" s="1"/>
  <c r="D1463" i="2" s="1"/>
  <c r="D1464" i="2" s="1"/>
  <c r="D1465" i="2"/>
  <c r="D1466" i="2" s="1"/>
  <c r="D1467" i="2" s="1"/>
  <c r="D1468" i="2" s="1"/>
  <c r="D416" i="2"/>
  <c r="D417" i="2" s="1"/>
  <c r="D418" i="2" s="1"/>
  <c r="D419" i="2" s="1"/>
  <c r="D420" i="2" s="1"/>
  <c r="D421" i="2"/>
  <c r="D422" i="2" s="1"/>
  <c r="D423" i="2" s="1"/>
  <c r="D424" i="2" s="1"/>
  <c r="D546" i="2"/>
  <c r="D547" i="2" s="1"/>
  <c r="D548" i="2" s="1"/>
  <c r="D549" i="2" s="1"/>
  <c r="D541" i="2"/>
  <c r="D542" i="2" s="1"/>
  <c r="D543" i="2" s="1"/>
  <c r="D544" i="2" s="1"/>
  <c r="D545" i="2" s="1"/>
  <c r="E1640" i="2"/>
  <c r="E1641" i="2" s="1"/>
  <c r="E1642" i="2" s="1"/>
  <c r="E1643" i="2" s="1"/>
  <c r="E1644" i="2" s="1"/>
  <c r="E1645" i="2" s="1"/>
  <c r="E1646" i="2"/>
  <c r="E1647" i="2" s="1"/>
  <c r="E1648" i="2" s="1"/>
  <c r="E1649" i="2" s="1"/>
  <c r="E88" i="2"/>
  <c r="E89" i="2" s="1"/>
  <c r="E134" i="2"/>
  <c r="E135" i="2" s="1"/>
  <c r="E136" i="2" s="1"/>
  <c r="E137" i="2" s="1"/>
  <c r="E138" i="2" s="1"/>
  <c r="D1211" i="2"/>
  <c r="D1212" i="2" s="1"/>
  <c r="D1213" i="2" s="1"/>
  <c r="D1214" i="2" s="1"/>
  <c r="D1215" i="2" s="1"/>
  <c r="D1216" i="2" s="1"/>
  <c r="D1217" i="2"/>
  <c r="D1218" i="2" s="1"/>
  <c r="D1219" i="2" s="1"/>
  <c r="D1220" i="2" s="1"/>
  <c r="E291" i="2"/>
  <c r="E292" i="2" s="1"/>
  <c r="E293" i="2" s="1"/>
  <c r="E294" i="2" s="1"/>
  <c r="E295" i="2" s="1"/>
  <c r="E296" i="2"/>
  <c r="E297" i="2" s="1"/>
  <c r="E298" i="2" s="1"/>
  <c r="E299" i="2" s="1"/>
  <c r="G609" i="2"/>
  <c r="G610" i="2" s="1"/>
  <c r="G611" i="2" s="1"/>
  <c r="G612" i="2" s="1"/>
  <c r="G613" i="2" s="1"/>
  <c r="G614" i="2"/>
  <c r="G615" i="2" s="1"/>
  <c r="G616" i="2" s="1"/>
  <c r="G617" i="2" s="1"/>
  <c r="G1019" i="2"/>
  <c r="G1020" i="2" s="1"/>
  <c r="G1021" i="2" s="1"/>
  <c r="G1022" i="2" s="1"/>
  <c r="G1014" i="2"/>
  <c r="G1015" i="2" s="1"/>
  <c r="G1016" i="2" s="1"/>
  <c r="G1017" i="2" s="1"/>
  <c r="G1018" i="2" s="1"/>
  <c r="G952" i="2"/>
  <c r="G953" i="2" s="1"/>
  <c r="G954" i="2" s="1"/>
  <c r="G955" i="2" s="1"/>
  <c r="G946" i="2"/>
  <c r="G947" i="2" s="1"/>
  <c r="G948" i="2" s="1"/>
  <c r="G949" i="2" s="1"/>
  <c r="G950" i="2" s="1"/>
  <c r="G951" i="2" s="1"/>
  <c r="G477" i="2"/>
  <c r="G478" i="2" s="1"/>
  <c r="G479" i="2" s="1"/>
  <c r="G480" i="2" s="1"/>
  <c r="G481" i="2" s="1"/>
  <c r="G482" i="2" s="1"/>
  <c r="G483" i="2"/>
  <c r="G484" i="2" s="1"/>
  <c r="G485" i="2" s="1"/>
  <c r="G486" i="2" s="1"/>
  <c r="D291" i="2"/>
  <c r="D292" i="2" s="1"/>
  <c r="D293" i="2" s="1"/>
  <c r="D294" i="2" s="1"/>
  <c r="D295" i="2" s="1"/>
  <c r="D296" i="2"/>
  <c r="D297" i="2" s="1"/>
  <c r="D298" i="2" s="1"/>
  <c r="D299" i="2" s="1"/>
  <c r="D1593" i="2"/>
  <c r="D1594" i="2" s="1"/>
  <c r="D1595" i="2" s="1"/>
  <c r="D1596" i="2" s="1"/>
  <c r="D1587" i="2"/>
  <c r="D1588" i="2" s="1"/>
  <c r="D1589" i="2" s="1"/>
  <c r="D1590" i="2" s="1"/>
  <c r="D1591" i="2" s="1"/>
  <c r="D1592" i="2" s="1"/>
  <c r="D53" i="2"/>
  <c r="D54" i="2" s="1"/>
  <c r="D55" i="2" s="1"/>
  <c r="D56" i="2" s="1"/>
  <c r="D46" i="2"/>
  <c r="D47" i="2" s="1"/>
  <c r="D48" i="2" s="1"/>
  <c r="D49" i="2" s="1"/>
  <c r="D50" i="2" s="1"/>
  <c r="D51" i="2" s="1"/>
  <c r="D52" i="2" s="1"/>
  <c r="G1078" i="2"/>
  <c r="G1079" i="2" s="1"/>
  <c r="G1080" i="2" s="1"/>
  <c r="G1081" i="2" s="1"/>
  <c r="G1072" i="2"/>
  <c r="G1073" i="2" s="1"/>
  <c r="G1074" i="2" s="1"/>
  <c r="G1075" i="2" s="1"/>
  <c r="G1076" i="2" s="1"/>
  <c r="G1077" i="2" s="1"/>
  <c r="D876" i="2"/>
  <c r="D877" i="2" s="1"/>
  <c r="D878" i="2" s="1"/>
  <c r="D879" i="2" s="1"/>
  <c r="D880" i="2" s="1"/>
  <c r="D881" i="2"/>
  <c r="D882" i="2" s="1"/>
  <c r="D883" i="2" s="1"/>
  <c r="D884" i="2" s="1"/>
  <c r="G1130" i="2"/>
  <c r="G1131" i="2" s="1"/>
  <c r="G1132" i="2" s="1"/>
  <c r="G1133" i="2" s="1"/>
  <c r="G1134" i="2" s="1"/>
  <c r="G1135" i="2"/>
  <c r="G1136" i="2" s="1"/>
  <c r="G1137" i="2" s="1"/>
  <c r="G1138" i="2" s="1"/>
  <c r="D1262" i="2"/>
  <c r="D1263" i="2" s="1"/>
  <c r="D1264" i="2" s="1"/>
  <c r="D1265" i="2" s="1"/>
  <c r="D1266" i="2" s="1"/>
  <c r="D1267" i="2"/>
  <c r="D1268" i="2" s="1"/>
  <c r="D1269" i="2" s="1"/>
  <c r="D1270" i="2" s="1"/>
  <c r="D1661" i="2"/>
  <c r="D1662" i="2" s="1"/>
  <c r="D1663" i="2" s="1"/>
  <c r="D1664" i="2" s="1"/>
  <c r="D1665" i="2" s="1"/>
  <c r="D1666" i="2" s="1"/>
  <c r="D1667" i="2"/>
  <c r="D1668" i="2" s="1"/>
  <c r="D1669" i="2" s="1"/>
  <c r="D1670" i="2" s="1"/>
  <c r="G1725" i="2"/>
  <c r="G1726" i="2" s="1"/>
  <c r="G1727" i="2" s="1"/>
  <c r="G1728" i="2" s="1"/>
  <c r="G1729" i="2" s="1"/>
  <c r="G1730" i="2" s="1"/>
  <c r="G1731" i="2"/>
  <c r="G1732" i="2" s="1"/>
  <c r="G1733" i="2" s="1"/>
  <c r="G1734" i="2" s="1"/>
  <c r="E589" i="2"/>
  <c r="E590" i="2" s="1"/>
  <c r="E645" i="2"/>
  <c r="E646" i="2" s="1"/>
  <c r="E647" i="2" s="1"/>
  <c r="E648" i="2" s="1"/>
  <c r="E649" i="2" s="1"/>
  <c r="G680" i="2"/>
  <c r="G681" i="2" s="1"/>
  <c r="G682" i="2" s="1"/>
  <c r="G683" i="2" s="1"/>
  <c r="G684" i="2" s="1"/>
  <c r="G685" i="2" s="1"/>
  <c r="G686" i="2"/>
  <c r="G687" i="2" s="1"/>
  <c r="G688" i="2" s="1"/>
  <c r="G689" i="2" s="1"/>
  <c r="D1322" i="2"/>
  <c r="D1323" i="2" s="1"/>
  <c r="D1324" i="2" s="1"/>
  <c r="D1325" i="2" s="1"/>
  <c r="D1326" i="2" s="1"/>
  <c r="D1327" i="2" s="1"/>
  <c r="D1328" i="2"/>
  <c r="D1329" i="2" s="1"/>
  <c r="D1330" i="2" s="1"/>
  <c r="D1331" i="2" s="1"/>
  <c r="G556" i="2"/>
  <c r="G557" i="2" s="1"/>
  <c r="G558" i="2" s="1"/>
  <c r="G559" i="2" s="1"/>
  <c r="G550" i="2"/>
  <c r="G551" i="2" s="1"/>
  <c r="G552" i="2" s="1"/>
  <c r="G553" i="2" s="1"/>
  <c r="G554" i="2" s="1"/>
  <c r="G555" i="2" s="1"/>
  <c r="D487" i="2"/>
  <c r="D488" i="2" s="1"/>
  <c r="D489" i="2" s="1"/>
  <c r="D490" i="2" s="1"/>
  <c r="D491" i="2" s="1"/>
  <c r="D492" i="2" s="1"/>
  <c r="D493" i="2" s="1"/>
  <c r="D494" i="2"/>
  <c r="D495" i="2" s="1"/>
  <c r="D496" i="2" s="1"/>
  <c r="D497" i="2" s="1"/>
  <c r="G1511" i="2"/>
  <c r="G1512" i="2" s="1"/>
  <c r="G1513" i="2" s="1"/>
  <c r="G1514" i="2" s="1"/>
  <c r="G1515" i="2" s="1"/>
  <c r="G1516" i="2" s="1"/>
  <c r="G1517" i="2"/>
  <c r="G1518" i="2" s="1"/>
  <c r="G1519" i="2" s="1"/>
  <c r="G1520" i="2" s="1"/>
  <c r="D1805" i="2"/>
  <c r="D1806" i="2" s="1"/>
  <c r="D1807" i="2" s="1"/>
  <c r="D1808" i="2" s="1"/>
  <c r="D1809" i="2" s="1"/>
  <c r="D1810" i="2" s="1"/>
  <c r="D1811" i="2" s="1"/>
  <c r="D1812" i="2" s="1"/>
  <c r="D1813" i="2" s="1"/>
  <c r="D1814" i="2" s="1"/>
  <c r="D1799" i="2"/>
  <c r="D1800" i="2" s="1"/>
  <c r="D1801" i="2" s="1"/>
  <c r="D1802" i="2" s="1"/>
  <c r="D1803" i="2" s="1"/>
  <c r="D1804" i="2" s="1"/>
  <c r="D169" i="2"/>
  <c r="D170" i="2" s="1"/>
  <c r="D171" i="2" s="1"/>
  <c r="D172" i="2" s="1"/>
  <c r="D173" i="2" s="1"/>
  <c r="D174" i="2" s="1"/>
  <c r="D175" i="2"/>
  <c r="D176" i="2" s="1"/>
  <c r="D177" i="2" s="1"/>
  <c r="D178" i="2" s="1"/>
  <c r="G1456" i="2"/>
  <c r="G1457" i="2" s="1"/>
  <c r="G1458" i="2" s="1"/>
  <c r="G1459" i="2" s="1"/>
  <c r="G1451" i="2"/>
  <c r="G1452" i="2" s="1"/>
  <c r="G1453" i="2" s="1"/>
  <c r="G1454" i="2" s="1"/>
  <c r="G1455" i="2" s="1"/>
  <c r="D1082" i="2"/>
  <c r="D1083" i="2" s="1"/>
  <c r="D1084" i="2" s="1"/>
  <c r="D1085" i="2" s="1"/>
  <c r="D1086" i="2" s="1"/>
  <c r="D1087" i="2"/>
  <c r="D1088" i="2" s="1"/>
  <c r="D1089" i="2" s="1"/>
  <c r="D1090" i="2" s="1"/>
  <c r="G1799" i="2"/>
  <c r="G1800" i="2" s="1"/>
  <c r="G1801" i="2" s="1"/>
  <c r="G1802" i="2" s="1"/>
  <c r="G1803" i="2" s="1"/>
  <c r="G1804" i="2" s="1"/>
  <c r="G1805" i="2"/>
  <c r="G1806" i="2" s="1"/>
  <c r="G1807" i="2" s="1"/>
  <c r="G1808" i="2" s="1"/>
  <c r="G1809" i="2" s="1"/>
  <c r="G1810" i="2" s="1"/>
  <c r="G1811" i="2" s="1"/>
  <c r="G1812" i="2" s="1"/>
  <c r="G1813" i="2" s="1"/>
  <c r="G1814" i="2" s="1"/>
  <c r="D614" i="2"/>
  <c r="D615" i="2" s="1"/>
  <c r="D616" i="2" s="1"/>
  <c r="D617" i="2" s="1"/>
  <c r="D609" i="2"/>
  <c r="D610" i="2" s="1"/>
  <c r="D611" i="2" s="1"/>
  <c r="D612" i="2" s="1"/>
  <c r="D613" i="2" s="1"/>
  <c r="D952" i="2"/>
  <c r="D953" i="2" s="1"/>
  <c r="D954" i="2" s="1"/>
  <c r="D955" i="2" s="1"/>
  <c r="D946" i="2"/>
  <c r="D947" i="2" s="1"/>
  <c r="D948" i="2" s="1"/>
  <c r="D949" i="2" s="1"/>
  <c r="D950" i="2" s="1"/>
  <c r="D951" i="2" s="1"/>
  <c r="G291" i="2"/>
  <c r="G292" i="2" s="1"/>
  <c r="G293" i="2" s="1"/>
  <c r="G294" i="2" s="1"/>
  <c r="G295" i="2" s="1"/>
  <c r="G296" i="2"/>
  <c r="G297" i="2" s="1"/>
  <c r="G298" i="2" s="1"/>
  <c r="G299" i="2" s="1"/>
  <c r="D1725" i="2"/>
  <c r="D1726" i="2" s="1"/>
  <c r="D1727" i="2" s="1"/>
  <c r="D1728" i="2" s="1"/>
  <c r="D1729" i="2" s="1"/>
  <c r="D1730" i="2" s="1"/>
  <c r="D1731" i="2"/>
  <c r="D1732" i="2" s="1"/>
  <c r="D1733" i="2" s="1"/>
  <c r="D1734" i="2" s="1"/>
  <c r="G813" i="2"/>
  <c r="G814" i="2" s="1"/>
  <c r="G815" i="2" s="1"/>
  <c r="G816" i="2" s="1"/>
  <c r="G808" i="2"/>
  <c r="G809" i="2" s="1"/>
  <c r="G810" i="2" s="1"/>
  <c r="G811" i="2" s="1"/>
  <c r="G812" i="2" s="1"/>
  <c r="C1667" i="2"/>
  <c r="C1668" i="2" s="1"/>
  <c r="C1669" i="2" s="1"/>
  <c r="C1670" i="2" s="1"/>
  <c r="C1661" i="2"/>
  <c r="C1662" i="2" s="1"/>
  <c r="C1663" i="2" s="1"/>
  <c r="C1664" i="2" s="1"/>
  <c r="C1665" i="2" s="1"/>
  <c r="C1666" i="2" s="1"/>
  <c r="C123" i="2"/>
  <c r="C124" i="2" s="1"/>
  <c r="C125" i="2" s="1"/>
  <c r="C126" i="2" s="1"/>
  <c r="C118" i="2"/>
  <c r="C119" i="2" s="1"/>
  <c r="C120" i="2" s="1"/>
  <c r="C121" i="2" s="1"/>
  <c r="C122" i="2" s="1"/>
  <c r="C1338" i="2"/>
  <c r="C1339" i="2" s="1"/>
  <c r="C1340" i="2" s="1"/>
  <c r="C1341" i="2" s="1"/>
  <c r="C1332" i="2"/>
  <c r="C1333" i="2" s="1"/>
  <c r="C1334" i="2" s="1"/>
  <c r="C1335" i="2" s="1"/>
  <c r="C1336" i="2" s="1"/>
  <c r="C1337" i="2" s="1"/>
  <c r="C823" i="2"/>
  <c r="C824" i="2" s="1"/>
  <c r="C825" i="2" s="1"/>
  <c r="C826" i="2" s="1"/>
  <c r="C817" i="2"/>
  <c r="C818" i="2" s="1"/>
  <c r="C819" i="2" s="1"/>
  <c r="C820" i="2" s="1"/>
  <c r="C821" i="2" s="1"/>
  <c r="C822" i="2" s="1"/>
  <c r="C1087" i="2"/>
  <c r="C1088" i="2" s="1"/>
  <c r="C1089" i="2" s="1"/>
  <c r="C1090" i="2" s="1"/>
  <c r="C1082" i="2"/>
  <c r="C1083" i="2" s="1"/>
  <c r="C1084" i="2" s="1"/>
  <c r="C1085" i="2" s="1"/>
  <c r="C1086" i="2" s="1"/>
  <c r="C1805" i="2"/>
  <c r="C1806" i="2" s="1"/>
  <c r="C1807" i="2" s="1"/>
  <c r="C1808" i="2" s="1"/>
  <c r="C1799" i="2"/>
  <c r="C1800" i="2" s="1"/>
  <c r="C1801" i="2" s="1"/>
  <c r="C1802" i="2" s="1"/>
  <c r="C1803" i="2" s="1"/>
  <c r="C1804" i="2" s="1"/>
  <c r="C494" i="2"/>
  <c r="C495" i="2" s="1"/>
  <c r="C496" i="2" s="1"/>
  <c r="C497" i="2" s="1"/>
  <c r="C487" i="2"/>
  <c r="C488" i="2" s="1"/>
  <c r="C489" i="2" s="1"/>
  <c r="C490" i="2" s="1"/>
  <c r="C491" i="2" s="1"/>
  <c r="C492" i="2" s="1"/>
  <c r="C493" i="2" s="1"/>
  <c r="C942" i="2"/>
  <c r="C943" i="2" s="1"/>
  <c r="C944" i="2" s="1"/>
  <c r="C945" i="2" s="1"/>
  <c r="C937" i="2"/>
  <c r="C938" i="2" s="1"/>
  <c r="C939" i="2" s="1"/>
  <c r="C940" i="2" s="1"/>
  <c r="C941" i="2" s="1"/>
  <c r="C287" i="2"/>
  <c r="C288" i="2" s="1"/>
  <c r="C289" i="2" s="1"/>
  <c r="C290" i="2" s="1"/>
  <c r="C281" i="2"/>
  <c r="C282" i="2" s="1"/>
  <c r="C283" i="2" s="1"/>
  <c r="C284" i="2" s="1"/>
  <c r="C285" i="2" s="1"/>
  <c r="C286" i="2" s="1"/>
  <c r="C1276" i="2"/>
  <c r="C1277" i="2" s="1"/>
  <c r="C1278" i="2" s="1"/>
  <c r="C1279" i="2" s="1"/>
  <c r="C1271" i="2"/>
  <c r="C1272" i="2" s="1"/>
  <c r="C1273" i="2" s="1"/>
  <c r="C1274" i="2" s="1"/>
  <c r="C1275" i="2" s="1"/>
  <c r="C1217" i="2"/>
  <c r="C1218" i="2" s="1"/>
  <c r="C1219" i="2" s="1"/>
  <c r="C1220" i="2" s="1"/>
  <c r="C1211" i="2"/>
  <c r="C1212" i="2" s="1"/>
  <c r="C1213" i="2" s="1"/>
  <c r="C1214" i="2" s="1"/>
  <c r="C1215" i="2" s="1"/>
  <c r="C1216" i="2" s="1"/>
  <c r="C890" i="2"/>
  <c r="C891" i="2" s="1"/>
  <c r="C892" i="2" s="1"/>
  <c r="C893" i="2" s="1"/>
  <c r="C885" i="2"/>
  <c r="C886" i="2" s="1"/>
  <c r="C887" i="2" s="1"/>
  <c r="C888" i="2" s="1"/>
  <c r="C889" i="2" s="1"/>
  <c r="C1527" i="2"/>
  <c r="C1528" i="2" s="1"/>
  <c r="C1529" i="2" s="1"/>
  <c r="C1530" i="2" s="1"/>
  <c r="C1521" i="2"/>
  <c r="C1522" i="2" s="1"/>
  <c r="C1523" i="2" s="1"/>
  <c r="C1524" i="2" s="1"/>
  <c r="C1525" i="2" s="1"/>
  <c r="C1526" i="2" s="1"/>
  <c r="C42" i="2"/>
  <c r="C43" i="2" s="1"/>
  <c r="C44" i="2" s="1"/>
  <c r="C45" i="2" s="1"/>
  <c r="C36" i="2"/>
  <c r="C37" i="2" s="1"/>
  <c r="C38" i="2" s="1"/>
  <c r="C39" i="2" s="1"/>
  <c r="C40" i="2" s="1"/>
  <c r="C41" i="2" s="1"/>
  <c r="C1741" i="2"/>
  <c r="C1742" i="2" s="1"/>
  <c r="C1743" i="2" s="1"/>
  <c r="C1744" i="2" s="1"/>
  <c r="C1735" i="2"/>
  <c r="C1736" i="2" s="1"/>
  <c r="C1737" i="2" s="1"/>
  <c r="C1738" i="2" s="1"/>
  <c r="C1739" i="2" s="1"/>
  <c r="C1740" i="2" s="1"/>
  <c r="C1398" i="2"/>
  <c r="C1399" i="2" s="1"/>
  <c r="C1400" i="2" s="1"/>
  <c r="C1401" i="2" s="1"/>
  <c r="C1392" i="2"/>
  <c r="C1393" i="2" s="1"/>
  <c r="C1394" i="2" s="1"/>
  <c r="C1395" i="2" s="1"/>
  <c r="C1396" i="2" s="1"/>
  <c r="C1397" i="2" s="1"/>
  <c r="C244" i="2"/>
  <c r="C245" i="2" s="1"/>
  <c r="C246" i="2" s="1"/>
  <c r="C247" i="2" s="1"/>
  <c r="C239" i="2"/>
  <c r="C240" i="2" s="1"/>
  <c r="C241" i="2" s="1"/>
  <c r="C242" i="2" s="1"/>
  <c r="C243" i="2" s="1"/>
  <c r="C537" i="2"/>
  <c r="C538" i="2" s="1"/>
  <c r="C539" i="2" s="1"/>
  <c r="C540" i="2" s="1"/>
  <c r="C532" i="2"/>
  <c r="C533" i="2" s="1"/>
  <c r="C534" i="2" s="1"/>
  <c r="C535" i="2" s="1"/>
  <c r="C536" i="2" s="1"/>
  <c r="C755" i="2"/>
  <c r="C756" i="2" s="1"/>
  <c r="C757" i="2" s="1"/>
  <c r="C758" i="2" s="1"/>
  <c r="C749" i="2"/>
  <c r="C750" i="2" s="1"/>
  <c r="C751" i="2" s="1"/>
  <c r="C752" i="2" s="1"/>
  <c r="C753" i="2" s="1"/>
  <c r="C754" i="2" s="1"/>
  <c r="C624" i="2"/>
  <c r="C625" i="2" s="1"/>
  <c r="C626" i="2" s="1"/>
  <c r="C627" i="2" s="1"/>
  <c r="C618" i="2"/>
  <c r="C619" i="2" s="1"/>
  <c r="C620" i="2" s="1"/>
  <c r="C621" i="2" s="1"/>
  <c r="C622" i="2" s="1"/>
  <c r="C623" i="2" s="1"/>
  <c r="C1465" i="2"/>
  <c r="C1466" i="2" s="1"/>
  <c r="C1467" i="2" s="1"/>
  <c r="C1468" i="2" s="1"/>
  <c r="C1460" i="2"/>
  <c r="C1461" i="2" s="1"/>
  <c r="C1462" i="2" s="1"/>
  <c r="C1463" i="2" s="1"/>
  <c r="C1464" i="2" s="1"/>
  <c r="C1019" i="2"/>
  <c r="C1020" i="2" s="1"/>
  <c r="C1021" i="2" s="1"/>
  <c r="C1022" i="2" s="1"/>
  <c r="C1014" i="2"/>
  <c r="C1015" i="2" s="1"/>
  <c r="C1016" i="2" s="1"/>
  <c r="C1017" i="2" s="1"/>
  <c r="C1018" i="2" s="1"/>
  <c r="C362" i="2"/>
  <c r="C363" i="2" s="1"/>
  <c r="C364" i="2" s="1"/>
  <c r="C365" i="2" s="1"/>
  <c r="C357" i="2"/>
  <c r="C358" i="2" s="1"/>
  <c r="C359" i="2" s="1"/>
  <c r="C360" i="2" s="1"/>
  <c r="C361" i="2" s="1"/>
  <c r="C1583" i="2"/>
  <c r="C1584" i="2" s="1"/>
  <c r="C1585" i="2" s="1"/>
  <c r="C1586" i="2" s="1"/>
  <c r="C1577" i="2"/>
  <c r="C1578" i="2" s="1"/>
  <c r="C1579" i="2" s="1"/>
  <c r="C1580" i="2" s="1"/>
  <c r="C1581" i="2" s="1"/>
  <c r="C1582" i="2" s="1"/>
  <c r="C430" i="2"/>
  <c r="C431" i="2" s="1"/>
  <c r="C432" i="2" s="1"/>
  <c r="C433" i="2" s="1"/>
  <c r="C425" i="2"/>
  <c r="C426" i="2" s="1"/>
  <c r="C427" i="2" s="1"/>
  <c r="C428" i="2" s="1"/>
  <c r="C429" i="2" s="1"/>
  <c r="C1144" i="2"/>
  <c r="C1145" i="2" s="1"/>
  <c r="C1146" i="2" s="1"/>
  <c r="C1147" i="2" s="1"/>
  <c r="C1139" i="2"/>
  <c r="C1140" i="2" s="1"/>
  <c r="C1141" i="2" s="1"/>
  <c r="C1142" i="2" s="1"/>
  <c r="C1143" i="2" s="1"/>
  <c r="C696" i="2"/>
  <c r="C697" i="2" s="1"/>
  <c r="C698" i="2" s="1"/>
  <c r="C699" i="2" s="1"/>
  <c r="C690" i="2"/>
  <c r="C691" i="2" s="1"/>
  <c r="C692" i="2" s="1"/>
  <c r="C693" i="2" s="1"/>
  <c r="C694" i="2" s="1"/>
  <c r="C695" i="2" s="1"/>
  <c r="C185" i="2"/>
  <c r="C186" i="2" s="1"/>
  <c r="C187" i="2" s="1"/>
  <c r="C188" i="2" s="1"/>
  <c r="C179" i="2"/>
  <c r="C180" i="2" s="1"/>
  <c r="C181" i="2" s="1"/>
  <c r="C182" i="2" s="1"/>
  <c r="C183" i="2" s="1"/>
  <c r="C184" i="2" s="1"/>
  <c r="G1527" i="2" l="1"/>
  <c r="G1528" i="2" s="1"/>
  <c r="G1529" i="2" s="1"/>
  <c r="G1530" i="2" s="1"/>
  <c r="G1521" i="2"/>
  <c r="G1522" i="2" s="1"/>
  <c r="G1523" i="2" s="1"/>
  <c r="G1524" i="2" s="1"/>
  <c r="G1525" i="2" s="1"/>
  <c r="G1526" i="2" s="1"/>
  <c r="D1221" i="2"/>
  <c r="D1222" i="2" s="1"/>
  <c r="D1223" i="2" s="1"/>
  <c r="D1224" i="2" s="1"/>
  <c r="D1225" i="2" s="1"/>
  <c r="D1226" i="2" s="1"/>
  <c r="D1227" i="2"/>
  <c r="D1228" i="2" s="1"/>
  <c r="E1703" i="2"/>
  <c r="E1704" i="2" s="1"/>
  <c r="E1753" i="2"/>
  <c r="E1754" i="2" s="1"/>
  <c r="E1755" i="2" s="1"/>
  <c r="E1756" i="2" s="1"/>
  <c r="E1757" i="2" s="1"/>
  <c r="D749" i="2"/>
  <c r="D750" i="2" s="1"/>
  <c r="D751" i="2" s="1"/>
  <c r="D752" i="2" s="1"/>
  <c r="D753" i="2" s="1"/>
  <c r="D754" i="2" s="1"/>
  <c r="D755" i="2"/>
  <c r="D756" i="2" s="1"/>
  <c r="D757" i="2" s="1"/>
  <c r="D758" i="2" s="1"/>
  <c r="D498" i="2"/>
  <c r="D499" i="2" s="1"/>
  <c r="D500" i="2" s="1"/>
  <c r="D501" i="2" s="1"/>
  <c r="D502" i="2" s="1"/>
  <c r="D503" i="2" s="1"/>
  <c r="D504" i="2"/>
  <c r="D505" i="2" s="1"/>
  <c r="E650" i="2"/>
  <c r="E651" i="2" s="1"/>
  <c r="E652" i="2" s="1"/>
  <c r="E653" i="2" s="1"/>
  <c r="E654" i="2" s="1"/>
  <c r="E655" i="2" s="1"/>
  <c r="E656" i="2"/>
  <c r="E657" i="2" s="1"/>
  <c r="G1139" i="2"/>
  <c r="G1140" i="2" s="1"/>
  <c r="G1141" i="2" s="1"/>
  <c r="G1142" i="2" s="1"/>
  <c r="G1143" i="2" s="1"/>
  <c r="G1144" i="2"/>
  <c r="G1145" i="2" s="1"/>
  <c r="G1146" i="2" s="1"/>
  <c r="G1147" i="2" s="1"/>
  <c r="E139" i="2"/>
  <c r="E140" i="2" s="1"/>
  <c r="E141" i="2" s="1"/>
  <c r="E142" i="2" s="1"/>
  <c r="E143" i="2" s="1"/>
  <c r="E144" i="2" s="1"/>
  <c r="E145" i="2"/>
  <c r="E146" i="2" s="1"/>
  <c r="D1469" i="2"/>
  <c r="D1470" i="2" s="1"/>
  <c r="D1471" i="2" s="1"/>
  <c r="D1472" i="2" s="1"/>
  <c r="D1473" i="2" s="1"/>
  <c r="D1474" i="2"/>
  <c r="D1475" i="2" s="1"/>
  <c r="D1546" i="2"/>
  <c r="D1547" i="2"/>
  <c r="D1548" i="2" s="1"/>
  <c r="G1280" i="2"/>
  <c r="G1281" i="2" s="1"/>
  <c r="G1282" i="2" s="1"/>
  <c r="G1283" i="2" s="1"/>
  <c r="G1284" i="2" s="1"/>
  <c r="G1285" i="2"/>
  <c r="G1286" i="2" s="1"/>
  <c r="E556" i="2"/>
  <c r="E557" i="2" s="1"/>
  <c r="E558" i="2" s="1"/>
  <c r="E559" i="2" s="1"/>
  <c r="E550" i="2"/>
  <c r="E551" i="2" s="1"/>
  <c r="E552" i="2" s="1"/>
  <c r="E553" i="2" s="1"/>
  <c r="E554" i="2" s="1"/>
  <c r="E555" i="2" s="1"/>
  <c r="E1603" i="2"/>
  <c r="E1604" i="2" s="1"/>
  <c r="E1605" i="2" s="1"/>
  <c r="E1606" i="2" s="1"/>
  <c r="E1597" i="2"/>
  <c r="E1598" i="2" s="1"/>
  <c r="E1599" i="2" s="1"/>
  <c r="E1600" i="2" s="1"/>
  <c r="E1601" i="2" s="1"/>
  <c r="E1602" i="2" s="1"/>
  <c r="D956" i="2"/>
  <c r="D957" i="2" s="1"/>
  <c r="D958" i="2" s="1"/>
  <c r="D959" i="2" s="1"/>
  <c r="D960" i="2" s="1"/>
  <c r="D961" i="2" s="1"/>
  <c r="D962" i="2"/>
  <c r="D963" i="2" s="1"/>
  <c r="D964" i="2" s="1"/>
  <c r="D965" i="2" s="1"/>
  <c r="G1465" i="2"/>
  <c r="G1466" i="2" s="1"/>
  <c r="G1467" i="2" s="1"/>
  <c r="G1468" i="2" s="1"/>
  <c r="G1460" i="2"/>
  <c r="G1461" i="2" s="1"/>
  <c r="G1462" i="2" s="1"/>
  <c r="G1463" i="2" s="1"/>
  <c r="G1464" i="2" s="1"/>
  <c r="E596" i="2"/>
  <c r="E597" i="2" s="1"/>
  <c r="E598" i="2" s="1"/>
  <c r="E599" i="2" s="1"/>
  <c r="E591" i="2"/>
  <c r="E592" i="2" s="1"/>
  <c r="E593" i="2" s="1"/>
  <c r="E594" i="2" s="1"/>
  <c r="E595" i="2" s="1"/>
  <c r="D1597" i="2"/>
  <c r="D1598" i="2" s="1"/>
  <c r="D1599" i="2" s="1"/>
  <c r="D1600" i="2" s="1"/>
  <c r="D1601" i="2" s="1"/>
  <c r="D1602" i="2" s="1"/>
  <c r="D1603" i="2"/>
  <c r="D1604" i="2" s="1"/>
  <c r="D1605" i="2" s="1"/>
  <c r="D1606" i="2" s="1"/>
  <c r="G1023" i="2"/>
  <c r="G1024" i="2" s="1"/>
  <c r="G1025" i="2" s="1"/>
  <c r="G1026" i="2" s="1"/>
  <c r="G1027" i="2" s="1"/>
  <c r="G1028" i="2"/>
  <c r="G1029" i="2" s="1"/>
  <c r="G1030" i="2" s="1"/>
  <c r="G1031" i="2" s="1"/>
  <c r="E90" i="2"/>
  <c r="E91" i="2" s="1"/>
  <c r="E92" i="2" s="1"/>
  <c r="E93" i="2" s="1"/>
  <c r="E94" i="2" s="1"/>
  <c r="E95" i="2"/>
  <c r="E96" i="2" s="1"/>
  <c r="E97" i="2" s="1"/>
  <c r="E98" i="2" s="1"/>
  <c r="E57" i="2"/>
  <c r="E58" i="2" s="1"/>
  <c r="E59" i="2" s="1"/>
  <c r="E60" i="2" s="1"/>
  <c r="E61" i="2" s="1"/>
  <c r="E62" i="2" s="1"/>
  <c r="E63" i="2" s="1"/>
  <c r="E64" i="2"/>
  <c r="E65" i="2" s="1"/>
  <c r="E66" i="2" s="1"/>
  <c r="E67" i="2" s="1"/>
  <c r="G57" i="2"/>
  <c r="G58" i="2" s="1"/>
  <c r="G59" i="2" s="1"/>
  <c r="G60" i="2" s="1"/>
  <c r="G61" i="2" s="1"/>
  <c r="G62" i="2" s="1"/>
  <c r="G63" i="2" s="1"/>
  <c r="G64" i="2"/>
  <c r="G65" i="2" s="1"/>
  <c r="G66" i="2" s="1"/>
  <c r="G67" i="2" s="1"/>
  <c r="G885" i="2"/>
  <c r="G886" i="2" s="1"/>
  <c r="G887" i="2" s="1"/>
  <c r="G888" i="2" s="1"/>
  <c r="G889" i="2" s="1"/>
  <c r="G890" i="2"/>
  <c r="G891" i="2" s="1"/>
  <c r="G892" i="2" s="1"/>
  <c r="G893" i="2" s="1"/>
  <c r="D179" i="2"/>
  <c r="D180" i="2" s="1"/>
  <c r="D181" i="2" s="1"/>
  <c r="D182" i="2" s="1"/>
  <c r="D183" i="2" s="1"/>
  <c r="D184" i="2" s="1"/>
  <c r="D185" i="2"/>
  <c r="D186" i="2" s="1"/>
  <c r="D187" i="2" s="1"/>
  <c r="D188" i="2" s="1"/>
  <c r="G1735" i="2"/>
  <c r="G1736" i="2" s="1"/>
  <c r="G1737" i="2" s="1"/>
  <c r="G1738" i="2" s="1"/>
  <c r="G1739" i="2" s="1"/>
  <c r="G1740" i="2" s="1"/>
  <c r="G1741" i="2"/>
  <c r="G1742" i="2" s="1"/>
  <c r="G1743" i="2" s="1"/>
  <c r="G1744" i="2" s="1"/>
  <c r="D885" i="2"/>
  <c r="D886" i="2" s="1"/>
  <c r="D887" i="2" s="1"/>
  <c r="D888" i="2" s="1"/>
  <c r="D889" i="2" s="1"/>
  <c r="D890" i="2"/>
  <c r="D891" i="2" s="1"/>
  <c r="D892" i="2" s="1"/>
  <c r="D893" i="2" s="1"/>
  <c r="D305" i="2"/>
  <c r="D306" i="2" s="1"/>
  <c r="D307" i="2" s="1"/>
  <c r="D308" i="2" s="1"/>
  <c r="D300" i="2"/>
  <c r="D301" i="2" s="1"/>
  <c r="D302" i="2" s="1"/>
  <c r="D303" i="2" s="1"/>
  <c r="D304" i="2" s="1"/>
  <c r="G624" i="2"/>
  <c r="G625" i="2" s="1"/>
  <c r="G626" i="2" s="1"/>
  <c r="G627" i="2" s="1"/>
  <c r="G618" i="2"/>
  <c r="G619" i="2" s="1"/>
  <c r="G620" i="2" s="1"/>
  <c r="G621" i="2" s="1"/>
  <c r="G622" i="2" s="1"/>
  <c r="G623" i="2" s="1"/>
  <c r="E1650" i="2"/>
  <c r="E1651" i="2" s="1"/>
  <c r="E1652" i="2" s="1"/>
  <c r="E1653" i="2" s="1"/>
  <c r="E1654" i="2" s="1"/>
  <c r="E1655" i="2" s="1"/>
  <c r="E1656" i="2" s="1"/>
  <c r="E1657" i="2"/>
  <c r="E1658" i="2" s="1"/>
  <c r="E1659" i="2" s="1"/>
  <c r="E1660" i="2" s="1"/>
  <c r="G1416" i="2"/>
  <c r="G1417" i="2"/>
  <c r="G1418" i="2" s="1"/>
  <c r="E393" i="2"/>
  <c r="E394" i="2" s="1"/>
  <c r="E388" i="2"/>
  <c r="E389" i="2" s="1"/>
  <c r="E390" i="2" s="1"/>
  <c r="E391" i="2" s="1"/>
  <c r="E392" i="2" s="1"/>
  <c r="G817" i="2"/>
  <c r="G818" i="2" s="1"/>
  <c r="G819" i="2" s="1"/>
  <c r="G820" i="2" s="1"/>
  <c r="G821" i="2" s="1"/>
  <c r="G822" i="2" s="1"/>
  <c r="G823" i="2"/>
  <c r="G824" i="2" s="1"/>
  <c r="G825" i="2" s="1"/>
  <c r="G826" i="2" s="1"/>
  <c r="D618" i="2"/>
  <c r="D619" i="2" s="1"/>
  <c r="D620" i="2" s="1"/>
  <c r="D621" i="2" s="1"/>
  <c r="D622" i="2" s="1"/>
  <c r="D623" i="2" s="1"/>
  <c r="D624" i="2"/>
  <c r="D625" i="2" s="1"/>
  <c r="D626" i="2" s="1"/>
  <c r="D627" i="2" s="1"/>
  <c r="G560" i="2"/>
  <c r="G561" i="2" s="1"/>
  <c r="G562" i="2" s="1"/>
  <c r="G563" i="2" s="1"/>
  <c r="G564" i="2" s="1"/>
  <c r="G565" i="2"/>
  <c r="G566" i="2" s="1"/>
  <c r="G567" i="2" s="1"/>
  <c r="G568" i="2" s="1"/>
  <c r="G1211" i="2"/>
  <c r="G1212" i="2" s="1"/>
  <c r="G1213" i="2" s="1"/>
  <c r="G1214" i="2" s="1"/>
  <c r="G1215" i="2" s="1"/>
  <c r="G1216" i="2" s="1"/>
  <c r="G1217" i="2"/>
  <c r="G1218" i="2" s="1"/>
  <c r="G1219" i="2" s="1"/>
  <c r="G1220" i="2" s="1"/>
  <c r="G179" i="2"/>
  <c r="G180" i="2" s="1"/>
  <c r="G181" i="2" s="1"/>
  <c r="G182" i="2" s="1"/>
  <c r="G183" i="2" s="1"/>
  <c r="G184" i="2" s="1"/>
  <c r="G185" i="2"/>
  <c r="G186" i="2" s="1"/>
  <c r="G187" i="2" s="1"/>
  <c r="G188" i="2" s="1"/>
  <c r="G1671" i="2"/>
  <c r="G1672" i="2" s="1"/>
  <c r="G1673" i="2" s="1"/>
  <c r="G1674" i="2" s="1"/>
  <c r="G1675" i="2" s="1"/>
  <c r="G1676" i="2" s="1"/>
  <c r="G1677" i="2"/>
  <c r="G1678" i="2" s="1"/>
  <c r="G1679" i="2" s="1"/>
  <c r="G1680" i="2" s="1"/>
  <c r="G749" i="2"/>
  <c r="G750" i="2" s="1"/>
  <c r="G751" i="2" s="1"/>
  <c r="G752" i="2" s="1"/>
  <c r="G753" i="2" s="1"/>
  <c r="G754" i="2" s="1"/>
  <c r="G755" i="2"/>
  <c r="G756" i="2" s="1"/>
  <c r="G757" i="2" s="1"/>
  <c r="G758" i="2" s="1"/>
  <c r="G434" i="2"/>
  <c r="G435" i="2" s="1"/>
  <c r="G436" i="2" s="1"/>
  <c r="G437" i="2" s="1"/>
  <c r="G438" i="2" s="1"/>
  <c r="G439" i="2"/>
  <c r="G440" i="2" s="1"/>
  <c r="E330" i="2"/>
  <c r="E331" i="2" s="1"/>
  <c r="E332" i="2" s="1"/>
  <c r="E333" i="2" s="1"/>
  <c r="E334" i="2" s="1"/>
  <c r="E335" i="2"/>
  <c r="E336" i="2" s="1"/>
  <c r="E337" i="2" s="1"/>
  <c r="E338" i="2" s="1"/>
  <c r="G244" i="2"/>
  <c r="G245" i="2" s="1"/>
  <c r="G246" i="2" s="1"/>
  <c r="G247" i="2" s="1"/>
  <c r="G239" i="2"/>
  <c r="G240" i="2" s="1"/>
  <c r="G241" i="2" s="1"/>
  <c r="G242" i="2" s="1"/>
  <c r="G243" i="2" s="1"/>
  <c r="G690" i="2"/>
  <c r="G691" i="2" s="1"/>
  <c r="G692" i="2" s="1"/>
  <c r="G693" i="2" s="1"/>
  <c r="G694" i="2" s="1"/>
  <c r="G695" i="2" s="1"/>
  <c r="G696" i="2"/>
  <c r="G697" i="2" s="1"/>
  <c r="G698" i="2" s="1"/>
  <c r="G699" i="2" s="1"/>
  <c r="D1741" i="2"/>
  <c r="D1742" i="2" s="1"/>
  <c r="D1743" i="2" s="1"/>
  <c r="D1744" i="2" s="1"/>
  <c r="D1735" i="2"/>
  <c r="D1736" i="2" s="1"/>
  <c r="D1737" i="2" s="1"/>
  <c r="D1738" i="2" s="1"/>
  <c r="D1739" i="2" s="1"/>
  <c r="D1740" i="2" s="1"/>
  <c r="D1332" i="2"/>
  <c r="D1333" i="2" s="1"/>
  <c r="D1334" i="2" s="1"/>
  <c r="D1335" i="2" s="1"/>
  <c r="D1336" i="2" s="1"/>
  <c r="D1337" i="2" s="1"/>
  <c r="D1338" i="2"/>
  <c r="D1339" i="2" s="1"/>
  <c r="D1340" i="2" s="1"/>
  <c r="D1341" i="2" s="1"/>
  <c r="D1671" i="2"/>
  <c r="D1672" i="2" s="1"/>
  <c r="D1673" i="2" s="1"/>
  <c r="D1674" i="2" s="1"/>
  <c r="D1675" i="2" s="1"/>
  <c r="D1676" i="2" s="1"/>
  <c r="D1677" i="2"/>
  <c r="D1678" i="2" s="1"/>
  <c r="D1679" i="2" s="1"/>
  <c r="D1680" i="2" s="1"/>
  <c r="G494" i="2"/>
  <c r="G495" i="2" s="1"/>
  <c r="G496" i="2" s="1"/>
  <c r="G497" i="2" s="1"/>
  <c r="G487" i="2"/>
  <c r="G488" i="2" s="1"/>
  <c r="G489" i="2" s="1"/>
  <c r="G490" i="2" s="1"/>
  <c r="G491" i="2" s="1"/>
  <c r="G492" i="2" s="1"/>
  <c r="G493" i="2" s="1"/>
  <c r="E305" i="2"/>
  <c r="E306" i="2" s="1"/>
  <c r="E307" i="2" s="1"/>
  <c r="E308" i="2" s="1"/>
  <c r="E300" i="2"/>
  <c r="E301" i="2" s="1"/>
  <c r="E302" i="2" s="1"/>
  <c r="E303" i="2" s="1"/>
  <c r="E304" i="2" s="1"/>
  <c r="D1411" i="2"/>
  <c r="D1412" i="2"/>
  <c r="D1413" i="2" s="1"/>
  <c r="D1414" i="2" s="1"/>
  <c r="D1415" i="2" s="1"/>
  <c r="D696" i="2"/>
  <c r="D697" i="2" s="1"/>
  <c r="D698" i="2" s="1"/>
  <c r="D699" i="2" s="1"/>
  <c r="D690" i="2"/>
  <c r="D691" i="2" s="1"/>
  <c r="D692" i="2" s="1"/>
  <c r="D693" i="2" s="1"/>
  <c r="D694" i="2" s="1"/>
  <c r="D695" i="2" s="1"/>
  <c r="E1050" i="2"/>
  <c r="E1051" i="2" s="1"/>
  <c r="E1045" i="2"/>
  <c r="E1046" i="2" s="1"/>
  <c r="E1047" i="2" s="1"/>
  <c r="E1048" i="2" s="1"/>
  <c r="E1049" i="2" s="1"/>
  <c r="G1597" i="2"/>
  <c r="G1598" i="2" s="1"/>
  <c r="G1599" i="2" s="1"/>
  <c r="G1600" i="2" s="1"/>
  <c r="G1601" i="2" s="1"/>
  <c r="G1602" i="2" s="1"/>
  <c r="G1603" i="2"/>
  <c r="G1604" i="2" s="1"/>
  <c r="G1605" i="2" s="1"/>
  <c r="G1606" i="2" s="1"/>
  <c r="D1014" i="2"/>
  <c r="D1015" i="2" s="1"/>
  <c r="D1016" i="2" s="1"/>
  <c r="D1017" i="2" s="1"/>
  <c r="D1018" i="2" s="1"/>
  <c r="D1019" i="2"/>
  <c r="D1020" i="2" s="1"/>
  <c r="D1021" i="2" s="1"/>
  <c r="D1022" i="2" s="1"/>
  <c r="D832" i="2"/>
  <c r="D833" i="2" s="1"/>
  <c r="D834" i="2" s="1"/>
  <c r="D835" i="2" s="1"/>
  <c r="D827" i="2"/>
  <c r="D828" i="2" s="1"/>
  <c r="D829" i="2" s="1"/>
  <c r="D830" i="2" s="1"/>
  <c r="D831" i="2" s="1"/>
  <c r="D1091" i="2"/>
  <c r="D1092" i="2" s="1"/>
  <c r="D1093" i="2" s="1"/>
  <c r="D1094" i="2" s="1"/>
  <c r="D1095" i="2" s="1"/>
  <c r="D1096" i="2"/>
  <c r="D1097" i="2" s="1"/>
  <c r="G1087" i="2"/>
  <c r="G1088" i="2" s="1"/>
  <c r="G1089" i="2" s="1"/>
  <c r="G1090" i="2" s="1"/>
  <c r="G1082" i="2"/>
  <c r="G1083" i="2" s="1"/>
  <c r="G1084" i="2" s="1"/>
  <c r="G1085" i="2" s="1"/>
  <c r="G1086" i="2" s="1"/>
  <c r="D550" i="2"/>
  <c r="D551" i="2" s="1"/>
  <c r="D552" i="2" s="1"/>
  <c r="D553" i="2" s="1"/>
  <c r="D554" i="2" s="1"/>
  <c r="D555" i="2" s="1"/>
  <c r="D556" i="2"/>
  <c r="D557" i="2" s="1"/>
  <c r="D558" i="2" s="1"/>
  <c r="D559" i="2" s="1"/>
  <c r="G357" i="2"/>
  <c r="G358" i="2" s="1"/>
  <c r="G359" i="2" s="1"/>
  <c r="G360" i="2" s="1"/>
  <c r="G361" i="2" s="1"/>
  <c r="G362" i="2"/>
  <c r="G363" i="2" s="1"/>
  <c r="G364" i="2" s="1"/>
  <c r="G365" i="2" s="1"/>
  <c r="E992" i="2"/>
  <c r="E993" i="2" s="1"/>
  <c r="E994" i="2" s="1"/>
  <c r="E995" i="2" s="1"/>
  <c r="E987" i="2"/>
  <c r="E988" i="2" s="1"/>
  <c r="E989" i="2" s="1"/>
  <c r="E990" i="2" s="1"/>
  <c r="E991" i="2" s="1"/>
  <c r="D239" i="2"/>
  <c r="D240" i="2" s="1"/>
  <c r="D241" i="2" s="1"/>
  <c r="D242" i="2" s="1"/>
  <c r="D243" i="2" s="1"/>
  <c r="D244" i="2"/>
  <c r="D245" i="2" s="1"/>
  <c r="D246" i="2" s="1"/>
  <c r="D247" i="2" s="1"/>
  <c r="G300" i="2"/>
  <c r="G301" i="2" s="1"/>
  <c r="G302" i="2" s="1"/>
  <c r="G303" i="2" s="1"/>
  <c r="G304" i="2" s="1"/>
  <c r="G305" i="2"/>
  <c r="G306" i="2" s="1"/>
  <c r="G307" i="2" s="1"/>
  <c r="G308" i="2" s="1"/>
  <c r="D1271" i="2"/>
  <c r="D1272" i="2" s="1"/>
  <c r="D1273" i="2" s="1"/>
  <c r="D1274" i="2" s="1"/>
  <c r="D1275" i="2" s="1"/>
  <c r="D1276" i="2"/>
  <c r="D1277" i="2" s="1"/>
  <c r="D1278" i="2" s="1"/>
  <c r="D1279" i="2" s="1"/>
  <c r="D425" i="2"/>
  <c r="D426" i="2" s="1"/>
  <c r="D427" i="2" s="1"/>
  <c r="D428" i="2" s="1"/>
  <c r="D429" i="2" s="1"/>
  <c r="D430" i="2"/>
  <c r="D431" i="2" s="1"/>
  <c r="D432" i="2" s="1"/>
  <c r="D433" i="2" s="1"/>
  <c r="D375" i="2"/>
  <c r="D376" i="2"/>
  <c r="D377" i="2" s="1"/>
  <c r="D378" i="2" s="1"/>
  <c r="D379" i="2" s="1"/>
  <c r="D57" i="2"/>
  <c r="D58" i="2" s="1"/>
  <c r="D59" i="2" s="1"/>
  <c r="D60" i="2" s="1"/>
  <c r="D61" i="2" s="1"/>
  <c r="D62" i="2" s="1"/>
  <c r="D63" i="2" s="1"/>
  <c r="D64" i="2"/>
  <c r="D65" i="2" s="1"/>
  <c r="D66" i="2" s="1"/>
  <c r="D67" i="2" s="1"/>
  <c r="G962" i="2"/>
  <c r="G963" i="2" s="1"/>
  <c r="G964" i="2" s="1"/>
  <c r="G965" i="2" s="1"/>
  <c r="G956" i="2"/>
  <c r="G957" i="2" s="1"/>
  <c r="G958" i="2" s="1"/>
  <c r="G959" i="2" s="1"/>
  <c r="G960" i="2" s="1"/>
  <c r="G961" i="2" s="1"/>
  <c r="D118" i="2"/>
  <c r="D119" i="2" s="1"/>
  <c r="D120" i="2" s="1"/>
  <c r="D121" i="2" s="1"/>
  <c r="D122" i="2" s="1"/>
  <c r="D123" i="2"/>
  <c r="D124" i="2" s="1"/>
  <c r="D125" i="2" s="1"/>
  <c r="D126" i="2" s="1"/>
  <c r="G118" i="2"/>
  <c r="G119" i="2" s="1"/>
  <c r="G120" i="2" s="1"/>
  <c r="G121" i="2" s="1"/>
  <c r="G122" i="2" s="1"/>
  <c r="G123" i="2"/>
  <c r="G124" i="2" s="1"/>
  <c r="G125" i="2" s="1"/>
  <c r="G126" i="2" s="1"/>
  <c r="E956" i="2"/>
  <c r="E957" i="2" s="1"/>
  <c r="E958" i="2" s="1"/>
  <c r="E959" i="2" s="1"/>
  <c r="E960" i="2" s="1"/>
  <c r="E961" i="2" s="1"/>
  <c r="E962" i="2"/>
  <c r="E963" i="2" s="1"/>
  <c r="E964" i="2" s="1"/>
  <c r="E965" i="2" s="1"/>
  <c r="G1332" i="2"/>
  <c r="G1333" i="2" s="1"/>
  <c r="G1334" i="2" s="1"/>
  <c r="G1335" i="2" s="1"/>
  <c r="G1336" i="2" s="1"/>
  <c r="G1337" i="2" s="1"/>
  <c r="G1338" i="2"/>
  <c r="G1339" i="2" s="1"/>
  <c r="G1340" i="2" s="1"/>
  <c r="G1341" i="2" s="1"/>
  <c r="D1153" i="2"/>
  <c r="D1154" i="2" s="1"/>
  <c r="D1155" i="2" s="1"/>
  <c r="D1156" i="2" s="1"/>
  <c r="D1148" i="2"/>
  <c r="D1149" i="2" s="1"/>
  <c r="D1150" i="2" s="1"/>
  <c r="D1151" i="2" s="1"/>
  <c r="D1152" i="2" s="1"/>
  <c r="C53" i="2"/>
  <c r="C54" i="2" s="1"/>
  <c r="C55" i="2" s="1"/>
  <c r="C56" i="2" s="1"/>
  <c r="C46" i="2"/>
  <c r="C47" i="2" s="1"/>
  <c r="C48" i="2" s="1"/>
  <c r="C49" i="2" s="1"/>
  <c r="C50" i="2" s="1"/>
  <c r="C51" i="2" s="1"/>
  <c r="C52" i="2" s="1"/>
  <c r="C952" i="2"/>
  <c r="C953" i="2" s="1"/>
  <c r="C954" i="2" s="1"/>
  <c r="C955" i="2" s="1"/>
  <c r="C946" i="2"/>
  <c r="C947" i="2" s="1"/>
  <c r="C948" i="2" s="1"/>
  <c r="C949" i="2" s="1"/>
  <c r="C950" i="2" s="1"/>
  <c r="C951" i="2" s="1"/>
  <c r="C439" i="2"/>
  <c r="C440" i="2" s="1"/>
  <c r="C434" i="2"/>
  <c r="C435" i="2" s="1"/>
  <c r="C436" i="2" s="1"/>
  <c r="C437" i="2" s="1"/>
  <c r="C438" i="2" s="1"/>
  <c r="C546" i="2"/>
  <c r="C547" i="2" s="1"/>
  <c r="C548" i="2" s="1"/>
  <c r="C549" i="2" s="1"/>
  <c r="C541" i="2"/>
  <c r="C542" i="2" s="1"/>
  <c r="C543" i="2" s="1"/>
  <c r="C544" i="2" s="1"/>
  <c r="C545" i="2" s="1"/>
  <c r="C1407" i="2"/>
  <c r="C1408" i="2" s="1"/>
  <c r="C1409" i="2" s="1"/>
  <c r="C1410" i="2" s="1"/>
  <c r="C1402" i="2"/>
  <c r="C1403" i="2" s="1"/>
  <c r="C1404" i="2" s="1"/>
  <c r="C1405" i="2" s="1"/>
  <c r="C1406" i="2" s="1"/>
  <c r="C1537" i="2"/>
  <c r="C1538" i="2" s="1"/>
  <c r="C1539" i="2" s="1"/>
  <c r="C1540" i="2" s="1"/>
  <c r="C1531" i="2"/>
  <c r="C1532" i="2" s="1"/>
  <c r="C1533" i="2" s="1"/>
  <c r="C1534" i="2" s="1"/>
  <c r="C1535" i="2" s="1"/>
  <c r="C1536" i="2" s="1"/>
  <c r="C1285" i="2"/>
  <c r="C1286" i="2" s="1"/>
  <c r="C1280" i="2"/>
  <c r="C1281" i="2" s="1"/>
  <c r="C1282" i="2" s="1"/>
  <c r="C1283" i="2" s="1"/>
  <c r="C1284" i="2" s="1"/>
  <c r="C504" i="2"/>
  <c r="C505" i="2" s="1"/>
  <c r="C498" i="2"/>
  <c r="C499" i="2" s="1"/>
  <c r="C500" i="2" s="1"/>
  <c r="C501" i="2" s="1"/>
  <c r="C502" i="2" s="1"/>
  <c r="C503" i="2" s="1"/>
  <c r="C132" i="2"/>
  <c r="C133" i="2" s="1"/>
  <c r="C127" i="2"/>
  <c r="C128" i="2" s="1"/>
  <c r="C129" i="2" s="1"/>
  <c r="C130" i="2" s="1"/>
  <c r="C131" i="2" s="1"/>
  <c r="C706" i="2"/>
  <c r="C707" i="2" s="1"/>
  <c r="C700" i="2"/>
  <c r="C701" i="2" s="1"/>
  <c r="C702" i="2" s="1"/>
  <c r="C703" i="2" s="1"/>
  <c r="C704" i="2" s="1"/>
  <c r="C705" i="2" s="1"/>
  <c r="C371" i="2"/>
  <c r="C372" i="2" s="1"/>
  <c r="C373" i="2" s="1"/>
  <c r="C374" i="2" s="1"/>
  <c r="C366" i="2"/>
  <c r="C367" i="2" s="1"/>
  <c r="C368" i="2" s="1"/>
  <c r="C369" i="2" s="1"/>
  <c r="C370" i="2" s="1"/>
  <c r="C1474" i="2"/>
  <c r="C1475" i="2" s="1"/>
  <c r="C1469" i="2"/>
  <c r="C1470" i="2" s="1"/>
  <c r="C1471" i="2" s="1"/>
  <c r="C1472" i="2" s="1"/>
  <c r="C1473" i="2" s="1"/>
  <c r="C1751" i="2"/>
  <c r="C1752" i="2" s="1"/>
  <c r="C1745" i="2"/>
  <c r="C1746" i="2" s="1"/>
  <c r="C1747" i="2" s="1"/>
  <c r="C1748" i="2" s="1"/>
  <c r="C1749" i="2" s="1"/>
  <c r="C1750" i="2" s="1"/>
  <c r="C1227" i="2"/>
  <c r="C1228" i="2" s="1"/>
  <c r="C1221" i="2"/>
  <c r="C1222" i="2" s="1"/>
  <c r="C1223" i="2" s="1"/>
  <c r="C1224" i="2" s="1"/>
  <c r="C1225" i="2" s="1"/>
  <c r="C1226" i="2" s="1"/>
  <c r="D1815" i="2"/>
  <c r="D1816" i="2" s="1"/>
  <c r="C832" i="2"/>
  <c r="C833" i="2" s="1"/>
  <c r="C834" i="2" s="1"/>
  <c r="C835" i="2" s="1"/>
  <c r="C827" i="2"/>
  <c r="C828" i="2" s="1"/>
  <c r="C829" i="2" s="1"/>
  <c r="C830" i="2" s="1"/>
  <c r="C831" i="2" s="1"/>
  <c r="C1677" i="2"/>
  <c r="C1678" i="2" s="1"/>
  <c r="C1679" i="2" s="1"/>
  <c r="C1680" i="2" s="1"/>
  <c r="C1671" i="2"/>
  <c r="C1672" i="2" s="1"/>
  <c r="C1673" i="2" s="1"/>
  <c r="C1674" i="2" s="1"/>
  <c r="C1675" i="2" s="1"/>
  <c r="C1676" i="2" s="1"/>
  <c r="C195" i="2"/>
  <c r="C196" i="2" s="1"/>
  <c r="C189" i="2"/>
  <c r="C190" i="2" s="1"/>
  <c r="C191" i="2" s="1"/>
  <c r="C192" i="2" s="1"/>
  <c r="C193" i="2" s="1"/>
  <c r="C194" i="2" s="1"/>
  <c r="C1153" i="2"/>
  <c r="C1154" i="2" s="1"/>
  <c r="C1155" i="2" s="1"/>
  <c r="C1156" i="2" s="1"/>
  <c r="C1148" i="2"/>
  <c r="C1149" i="2" s="1"/>
  <c r="C1150" i="2" s="1"/>
  <c r="C1151" i="2" s="1"/>
  <c r="C1152" i="2" s="1"/>
  <c r="C1593" i="2"/>
  <c r="C1594" i="2" s="1"/>
  <c r="C1595" i="2" s="1"/>
  <c r="C1596" i="2" s="1"/>
  <c r="C1587" i="2"/>
  <c r="C1588" i="2" s="1"/>
  <c r="C1589" i="2" s="1"/>
  <c r="C1590" i="2" s="1"/>
  <c r="C1591" i="2" s="1"/>
  <c r="C1592" i="2" s="1"/>
  <c r="C1028" i="2"/>
  <c r="C1029" i="2" s="1"/>
  <c r="C1030" i="2" s="1"/>
  <c r="C1031" i="2" s="1"/>
  <c r="C1023" i="2"/>
  <c r="C1024" i="2" s="1"/>
  <c r="C1025" i="2" s="1"/>
  <c r="C1026" i="2" s="1"/>
  <c r="C1027" i="2" s="1"/>
  <c r="C633" i="2"/>
  <c r="C634" i="2" s="1"/>
  <c r="C635" i="2" s="1"/>
  <c r="C636" i="2" s="1"/>
  <c r="C628" i="2"/>
  <c r="C629" i="2" s="1"/>
  <c r="C630" i="2" s="1"/>
  <c r="C631" i="2" s="1"/>
  <c r="C632" i="2" s="1"/>
  <c r="C899" i="2"/>
  <c r="C900" i="2" s="1"/>
  <c r="C901" i="2" s="1"/>
  <c r="C902" i="2" s="1"/>
  <c r="C894" i="2"/>
  <c r="C895" i="2" s="1"/>
  <c r="C896" i="2" s="1"/>
  <c r="C897" i="2" s="1"/>
  <c r="C898" i="2" s="1"/>
  <c r="C296" i="2"/>
  <c r="C297" i="2" s="1"/>
  <c r="C298" i="2" s="1"/>
  <c r="C299" i="2" s="1"/>
  <c r="C291" i="2"/>
  <c r="C292" i="2" s="1"/>
  <c r="C293" i="2" s="1"/>
  <c r="C294" i="2" s="1"/>
  <c r="C295" i="2" s="1"/>
  <c r="C1815" i="2"/>
  <c r="C1816" i="2" s="1"/>
  <c r="C1809" i="2"/>
  <c r="C1810" i="2" s="1"/>
  <c r="C1811" i="2" s="1"/>
  <c r="C1812" i="2" s="1"/>
  <c r="C1813" i="2" s="1"/>
  <c r="C1814" i="2" s="1"/>
  <c r="C1348" i="2"/>
  <c r="C1349" i="2" s="1"/>
  <c r="C1342" i="2"/>
  <c r="C1343" i="2" s="1"/>
  <c r="C1344" i="2" s="1"/>
  <c r="C1345" i="2" s="1"/>
  <c r="C1346" i="2" s="1"/>
  <c r="C1347" i="2" s="1"/>
  <c r="C764" i="2"/>
  <c r="C765" i="2" s="1"/>
  <c r="C766" i="2" s="1"/>
  <c r="C767" i="2" s="1"/>
  <c r="C759" i="2"/>
  <c r="C760" i="2" s="1"/>
  <c r="C761" i="2" s="1"/>
  <c r="C762" i="2" s="1"/>
  <c r="C763" i="2" s="1"/>
  <c r="C253" i="2"/>
  <c r="C254" i="2" s="1"/>
  <c r="C248" i="2"/>
  <c r="C249" i="2" s="1"/>
  <c r="C250" i="2" s="1"/>
  <c r="C251" i="2" s="1"/>
  <c r="C252" i="2" s="1"/>
  <c r="C1096" i="2"/>
  <c r="C1097" i="2" s="1"/>
  <c r="C1091" i="2"/>
  <c r="C1092" i="2" s="1"/>
  <c r="C1093" i="2" s="1"/>
  <c r="C1094" i="2" s="1"/>
  <c r="C1095" i="2" s="1"/>
  <c r="G366" i="2" l="1"/>
  <c r="G367" i="2" s="1"/>
  <c r="G368" i="2" s="1"/>
  <c r="G369" i="2" s="1"/>
  <c r="G370" i="2" s="1"/>
  <c r="G371" i="2"/>
  <c r="G372" i="2" s="1"/>
  <c r="G373" i="2" s="1"/>
  <c r="G374" i="2" s="1"/>
  <c r="E1667" i="2"/>
  <c r="E1668" i="2" s="1"/>
  <c r="E1669" i="2" s="1"/>
  <c r="E1670" i="2" s="1"/>
  <c r="E1661" i="2"/>
  <c r="E1662" i="2" s="1"/>
  <c r="E1663" i="2" s="1"/>
  <c r="E1664" i="2" s="1"/>
  <c r="E1665" i="2" s="1"/>
  <c r="E1666" i="2" s="1"/>
  <c r="D836" i="2"/>
  <c r="D837" i="2"/>
  <c r="D838" i="2" s="1"/>
  <c r="D839" i="2" s="1"/>
  <c r="D840" i="2" s="1"/>
  <c r="D700" i="2"/>
  <c r="D701" i="2" s="1"/>
  <c r="D702" i="2" s="1"/>
  <c r="D703" i="2" s="1"/>
  <c r="D704" i="2" s="1"/>
  <c r="D705" i="2" s="1"/>
  <c r="D706" i="2"/>
  <c r="D707" i="2" s="1"/>
  <c r="G248" i="2"/>
  <c r="G249" i="2" s="1"/>
  <c r="G250" i="2" s="1"/>
  <c r="G251" i="2" s="1"/>
  <c r="G252" i="2" s="1"/>
  <c r="G253" i="2"/>
  <c r="G254" i="2" s="1"/>
  <c r="E600" i="2"/>
  <c r="E601" i="2" s="1"/>
  <c r="E602" i="2" s="1"/>
  <c r="E603" i="2" s="1"/>
  <c r="E604" i="2" s="1"/>
  <c r="E605" i="2"/>
  <c r="E606" i="2" s="1"/>
  <c r="E607" i="2" s="1"/>
  <c r="E608" i="2" s="1"/>
  <c r="E565" i="2"/>
  <c r="E566" i="2" s="1"/>
  <c r="E567" i="2" s="1"/>
  <c r="E568" i="2" s="1"/>
  <c r="E560" i="2"/>
  <c r="E561" i="2" s="1"/>
  <c r="E562" i="2" s="1"/>
  <c r="E563" i="2" s="1"/>
  <c r="E564" i="2" s="1"/>
  <c r="G1342" i="2"/>
  <c r="G1343" i="2" s="1"/>
  <c r="G1344" i="2" s="1"/>
  <c r="G1345" i="2" s="1"/>
  <c r="G1346" i="2" s="1"/>
  <c r="G1347" i="2" s="1"/>
  <c r="G1348" i="2"/>
  <c r="G1349" i="2" s="1"/>
  <c r="G314" i="2"/>
  <c r="G315" i="2" s="1"/>
  <c r="G309" i="2"/>
  <c r="G310" i="2" s="1"/>
  <c r="G311" i="2" s="1"/>
  <c r="G312" i="2" s="1"/>
  <c r="G313" i="2" s="1"/>
  <c r="D1023" i="2"/>
  <c r="D1024" i="2" s="1"/>
  <c r="D1025" i="2" s="1"/>
  <c r="D1026" i="2" s="1"/>
  <c r="D1027" i="2" s="1"/>
  <c r="D1028" i="2"/>
  <c r="D1029" i="2" s="1"/>
  <c r="D1030" i="2" s="1"/>
  <c r="D1031" i="2" s="1"/>
  <c r="D1416" i="2"/>
  <c r="D1417" i="2"/>
  <c r="D1418" i="2" s="1"/>
  <c r="D1348" i="2"/>
  <c r="D1349" i="2" s="1"/>
  <c r="D1342" i="2"/>
  <c r="D1343" i="2" s="1"/>
  <c r="D1344" i="2" s="1"/>
  <c r="D1345" i="2" s="1"/>
  <c r="D1346" i="2" s="1"/>
  <c r="D1347" i="2" s="1"/>
  <c r="E344" i="2"/>
  <c r="E345" i="2" s="1"/>
  <c r="E346" i="2" s="1"/>
  <c r="E347" i="2" s="1"/>
  <c r="E339" i="2"/>
  <c r="E340" i="2" s="1"/>
  <c r="E341" i="2" s="1"/>
  <c r="E342" i="2" s="1"/>
  <c r="E343" i="2" s="1"/>
  <c r="G195" i="2"/>
  <c r="G196" i="2" s="1"/>
  <c r="G189" i="2"/>
  <c r="G190" i="2" s="1"/>
  <c r="G191" i="2" s="1"/>
  <c r="G192" i="2" s="1"/>
  <c r="G193" i="2" s="1"/>
  <c r="G194" i="2" s="1"/>
  <c r="G827" i="2"/>
  <c r="G828" i="2" s="1"/>
  <c r="G829" i="2" s="1"/>
  <c r="G830" i="2" s="1"/>
  <c r="G831" i="2" s="1"/>
  <c r="G832" i="2"/>
  <c r="G833" i="2" s="1"/>
  <c r="G834" i="2" s="1"/>
  <c r="G835" i="2" s="1"/>
  <c r="D195" i="2"/>
  <c r="D196" i="2" s="1"/>
  <c r="D189" i="2"/>
  <c r="D190" i="2" s="1"/>
  <c r="D191" i="2" s="1"/>
  <c r="D192" i="2" s="1"/>
  <c r="D193" i="2" s="1"/>
  <c r="D194" i="2" s="1"/>
  <c r="E99" i="2"/>
  <c r="E100" i="2" s="1"/>
  <c r="E101" i="2" s="1"/>
  <c r="E102" i="2" s="1"/>
  <c r="E103" i="2" s="1"/>
  <c r="E104" i="2" s="1"/>
  <c r="E105" i="2"/>
  <c r="E106" i="2" s="1"/>
  <c r="E107" i="2" s="1"/>
  <c r="E108" i="2" s="1"/>
  <c r="G1153" i="2"/>
  <c r="G1154" i="2" s="1"/>
  <c r="G1155" i="2" s="1"/>
  <c r="G1156" i="2" s="1"/>
  <c r="G1148" i="2"/>
  <c r="G1149" i="2" s="1"/>
  <c r="G1150" i="2" s="1"/>
  <c r="G1151" i="2" s="1"/>
  <c r="G1152" i="2" s="1"/>
  <c r="E1758" i="2"/>
  <c r="E1759" i="2" s="1"/>
  <c r="E1760" i="2" s="1"/>
  <c r="E1761" i="2" s="1"/>
  <c r="E1762" i="2" s="1"/>
  <c r="E1763" i="2" s="1"/>
  <c r="E1764" i="2" s="1"/>
  <c r="E1765" i="2"/>
  <c r="E1766" i="2" s="1"/>
  <c r="E1767" i="2" s="1"/>
  <c r="E1768" i="2" s="1"/>
  <c r="G633" i="2"/>
  <c r="G634" i="2" s="1"/>
  <c r="G635" i="2" s="1"/>
  <c r="G636" i="2" s="1"/>
  <c r="G628" i="2"/>
  <c r="G629" i="2" s="1"/>
  <c r="G630" i="2" s="1"/>
  <c r="G631" i="2" s="1"/>
  <c r="G632" i="2" s="1"/>
  <c r="G1469" i="2"/>
  <c r="G1470" i="2" s="1"/>
  <c r="G1471" i="2" s="1"/>
  <c r="G1472" i="2" s="1"/>
  <c r="G1473" i="2" s="1"/>
  <c r="G1474" i="2"/>
  <c r="G1475" i="2" s="1"/>
  <c r="E1705" i="2"/>
  <c r="E1706" i="2" s="1"/>
  <c r="E1707" i="2" s="1"/>
  <c r="E1708" i="2" s="1"/>
  <c r="E1709" i="2" s="1"/>
  <c r="E1710" i="2" s="1"/>
  <c r="E1711" i="2"/>
  <c r="E1712" i="2" s="1"/>
  <c r="E1713" i="2" s="1"/>
  <c r="E1714" i="2" s="1"/>
  <c r="D1687" i="2"/>
  <c r="D1688" i="2" s="1"/>
  <c r="D1681" i="2"/>
  <c r="D1682" i="2" s="1"/>
  <c r="D1683" i="2" s="1"/>
  <c r="D1684" i="2" s="1"/>
  <c r="D1685" i="2" s="1"/>
  <c r="D1686" i="2" s="1"/>
  <c r="G1751" i="2"/>
  <c r="G1752" i="2" s="1"/>
  <c r="G1745" i="2"/>
  <c r="G1746" i="2" s="1"/>
  <c r="G1747" i="2" s="1"/>
  <c r="G1748" i="2" s="1"/>
  <c r="G1749" i="2" s="1"/>
  <c r="G1750" i="2" s="1"/>
  <c r="G966" i="2"/>
  <c r="G967" i="2" s="1"/>
  <c r="G968" i="2" s="1"/>
  <c r="G969" i="2" s="1"/>
  <c r="G970" i="2" s="1"/>
  <c r="G971" i="2"/>
  <c r="G972" i="2" s="1"/>
  <c r="D74" i="2"/>
  <c r="D75" i="2" s="1"/>
  <c r="D68" i="2"/>
  <c r="D69" i="2" s="1"/>
  <c r="D70" i="2" s="1"/>
  <c r="D71" i="2" s="1"/>
  <c r="D72" i="2" s="1"/>
  <c r="D73" i="2" s="1"/>
  <c r="G132" i="2"/>
  <c r="G133" i="2" s="1"/>
  <c r="G127" i="2"/>
  <c r="G128" i="2" s="1"/>
  <c r="G129" i="2" s="1"/>
  <c r="G130" i="2" s="1"/>
  <c r="G131" i="2" s="1"/>
  <c r="D381" i="2"/>
  <c r="D382" i="2" s="1"/>
  <c r="D380" i="2"/>
  <c r="D248" i="2"/>
  <c r="D249" i="2" s="1"/>
  <c r="D250" i="2" s="1"/>
  <c r="D251" i="2" s="1"/>
  <c r="D252" i="2" s="1"/>
  <c r="D253" i="2"/>
  <c r="D254" i="2" s="1"/>
  <c r="G1607" i="2"/>
  <c r="G1608" i="2" s="1"/>
  <c r="G1609" i="2" s="1"/>
  <c r="G1610" i="2" s="1"/>
  <c r="G1611" i="2" s="1"/>
  <c r="G1612" i="2" s="1"/>
  <c r="G1613" i="2"/>
  <c r="G1614" i="2" s="1"/>
  <c r="G1615" i="2" s="1"/>
  <c r="G1616" i="2" s="1"/>
  <c r="G1227" i="2"/>
  <c r="G1228" i="2" s="1"/>
  <c r="G1221" i="2"/>
  <c r="G1222" i="2" s="1"/>
  <c r="G1223" i="2" s="1"/>
  <c r="G1224" i="2" s="1"/>
  <c r="G1225" i="2" s="1"/>
  <c r="G1226" i="2" s="1"/>
  <c r="G894" i="2"/>
  <c r="G895" i="2" s="1"/>
  <c r="G896" i="2" s="1"/>
  <c r="G897" i="2" s="1"/>
  <c r="G898" i="2" s="1"/>
  <c r="G899" i="2"/>
  <c r="G900" i="2" s="1"/>
  <c r="G901" i="2" s="1"/>
  <c r="G902" i="2" s="1"/>
  <c r="G1032" i="2"/>
  <c r="G1033" i="2"/>
  <c r="G1034" i="2" s="1"/>
  <c r="G1035" i="2" s="1"/>
  <c r="G1036" i="2" s="1"/>
  <c r="D966" i="2"/>
  <c r="D967" i="2" s="1"/>
  <c r="D968" i="2" s="1"/>
  <c r="D969" i="2" s="1"/>
  <c r="D970" i="2" s="1"/>
  <c r="D971" i="2"/>
  <c r="D972" i="2" s="1"/>
  <c r="E658" i="2"/>
  <c r="E659" i="2" s="1"/>
  <c r="E708" i="2"/>
  <c r="E709" i="2" s="1"/>
  <c r="E710" i="2" s="1"/>
  <c r="E711" i="2" s="1"/>
  <c r="E712" i="2" s="1"/>
  <c r="D1285" i="2"/>
  <c r="D1286" i="2" s="1"/>
  <c r="D1280" i="2"/>
  <c r="D1281" i="2" s="1"/>
  <c r="D1282" i="2" s="1"/>
  <c r="D1283" i="2" s="1"/>
  <c r="D1284" i="2" s="1"/>
  <c r="D628" i="2"/>
  <c r="D629" i="2" s="1"/>
  <c r="D630" i="2" s="1"/>
  <c r="D631" i="2" s="1"/>
  <c r="D632" i="2" s="1"/>
  <c r="D633" i="2"/>
  <c r="D634" i="2" s="1"/>
  <c r="D635" i="2" s="1"/>
  <c r="D636" i="2" s="1"/>
  <c r="E147" i="2"/>
  <c r="E148" i="2" s="1"/>
  <c r="E197" i="2"/>
  <c r="E198" i="2" s="1"/>
  <c r="E199" i="2" s="1"/>
  <c r="E200" i="2" s="1"/>
  <c r="E201" i="2" s="1"/>
  <c r="E971" i="2"/>
  <c r="E972" i="2" s="1"/>
  <c r="E966" i="2"/>
  <c r="E967" i="2" s="1"/>
  <c r="E968" i="2" s="1"/>
  <c r="E969" i="2" s="1"/>
  <c r="E970" i="2" s="1"/>
  <c r="G1091" i="2"/>
  <c r="G1092" i="2" s="1"/>
  <c r="G1093" i="2" s="1"/>
  <c r="G1094" i="2" s="1"/>
  <c r="G1095" i="2" s="1"/>
  <c r="G1096" i="2"/>
  <c r="G1097" i="2" s="1"/>
  <c r="E314" i="2"/>
  <c r="E315" i="2" s="1"/>
  <c r="E309" i="2"/>
  <c r="E310" i="2" s="1"/>
  <c r="E311" i="2" s="1"/>
  <c r="E312" i="2" s="1"/>
  <c r="E313" i="2" s="1"/>
  <c r="D1751" i="2"/>
  <c r="D1752" i="2" s="1"/>
  <c r="D1745" i="2"/>
  <c r="D1746" i="2" s="1"/>
  <c r="D1747" i="2" s="1"/>
  <c r="D1748" i="2" s="1"/>
  <c r="D1749" i="2" s="1"/>
  <c r="D1750" i="2" s="1"/>
  <c r="E441" i="2"/>
  <c r="E442" i="2" s="1"/>
  <c r="E443" i="2" s="1"/>
  <c r="E444" i="2" s="1"/>
  <c r="E445" i="2" s="1"/>
  <c r="E395" i="2"/>
  <c r="E396" i="2" s="1"/>
  <c r="D314" i="2"/>
  <c r="D315" i="2" s="1"/>
  <c r="D309" i="2"/>
  <c r="D310" i="2" s="1"/>
  <c r="D311" i="2" s="1"/>
  <c r="D312" i="2" s="1"/>
  <c r="D313" i="2" s="1"/>
  <c r="E68" i="2"/>
  <c r="E69" i="2" s="1"/>
  <c r="E70" i="2" s="1"/>
  <c r="E71" i="2" s="1"/>
  <c r="E72" i="2" s="1"/>
  <c r="E73" i="2" s="1"/>
  <c r="E74" i="2"/>
  <c r="E75" i="2" s="1"/>
  <c r="D560" i="2"/>
  <c r="D561" i="2" s="1"/>
  <c r="D562" i="2" s="1"/>
  <c r="D563" i="2" s="1"/>
  <c r="D564" i="2" s="1"/>
  <c r="D565" i="2"/>
  <c r="D566" i="2" s="1"/>
  <c r="D567" i="2" s="1"/>
  <c r="D568" i="2" s="1"/>
  <c r="D132" i="2"/>
  <c r="D133" i="2" s="1"/>
  <c r="D127" i="2"/>
  <c r="D128" i="2" s="1"/>
  <c r="D129" i="2" s="1"/>
  <c r="D130" i="2" s="1"/>
  <c r="D131" i="2" s="1"/>
  <c r="D439" i="2"/>
  <c r="D440" i="2" s="1"/>
  <c r="D434" i="2"/>
  <c r="D435" i="2" s="1"/>
  <c r="D436" i="2" s="1"/>
  <c r="D437" i="2" s="1"/>
  <c r="D438" i="2" s="1"/>
  <c r="G706" i="2"/>
  <c r="G707" i="2" s="1"/>
  <c r="G700" i="2"/>
  <c r="G701" i="2" s="1"/>
  <c r="G702" i="2" s="1"/>
  <c r="G703" i="2" s="1"/>
  <c r="G704" i="2" s="1"/>
  <c r="G705" i="2" s="1"/>
  <c r="G759" i="2"/>
  <c r="G760" i="2" s="1"/>
  <c r="G761" i="2" s="1"/>
  <c r="G762" i="2" s="1"/>
  <c r="G763" i="2" s="1"/>
  <c r="G764" i="2"/>
  <c r="G765" i="2" s="1"/>
  <c r="G766" i="2" s="1"/>
  <c r="G767" i="2" s="1"/>
  <c r="G569" i="2"/>
  <c r="G570" i="2"/>
  <c r="G571" i="2" s="1"/>
  <c r="G572" i="2" s="1"/>
  <c r="G573" i="2" s="1"/>
  <c r="D899" i="2"/>
  <c r="D900" i="2" s="1"/>
  <c r="D901" i="2" s="1"/>
  <c r="D902" i="2" s="1"/>
  <c r="D894" i="2"/>
  <c r="D895" i="2" s="1"/>
  <c r="D896" i="2" s="1"/>
  <c r="D897" i="2" s="1"/>
  <c r="D898" i="2" s="1"/>
  <c r="G68" i="2"/>
  <c r="G69" i="2" s="1"/>
  <c r="G70" i="2" s="1"/>
  <c r="G71" i="2" s="1"/>
  <c r="G72" i="2" s="1"/>
  <c r="G73" i="2" s="1"/>
  <c r="G74" i="2"/>
  <c r="G75" i="2" s="1"/>
  <c r="D1613" i="2"/>
  <c r="D1614" i="2" s="1"/>
  <c r="D1615" i="2" s="1"/>
  <c r="D1616" i="2" s="1"/>
  <c r="D1607" i="2"/>
  <c r="D1608" i="2" s="1"/>
  <c r="D1609" i="2" s="1"/>
  <c r="D1610" i="2" s="1"/>
  <c r="D1611" i="2" s="1"/>
  <c r="D1612" i="2" s="1"/>
  <c r="G1681" i="2"/>
  <c r="G1682" i="2" s="1"/>
  <c r="G1683" i="2" s="1"/>
  <c r="G1684" i="2" s="1"/>
  <c r="G1685" i="2" s="1"/>
  <c r="G1686" i="2" s="1"/>
  <c r="G1687" i="2"/>
  <c r="G1688" i="2" s="1"/>
  <c r="D764" i="2"/>
  <c r="D765" i="2" s="1"/>
  <c r="D766" i="2" s="1"/>
  <c r="D767" i="2" s="1"/>
  <c r="D759" i="2"/>
  <c r="D760" i="2" s="1"/>
  <c r="D761" i="2" s="1"/>
  <c r="D762" i="2" s="1"/>
  <c r="D763" i="2" s="1"/>
  <c r="D1157" i="2"/>
  <c r="D1158" i="2"/>
  <c r="D1159" i="2" s="1"/>
  <c r="D1160" i="2" s="1"/>
  <c r="D1161" i="2" s="1"/>
  <c r="E996" i="2"/>
  <c r="E997" i="2" s="1"/>
  <c r="E998" i="2" s="1"/>
  <c r="E999" i="2" s="1"/>
  <c r="E1000" i="2" s="1"/>
  <c r="E1001" i="2"/>
  <c r="E1002" i="2" s="1"/>
  <c r="E1003" i="2" s="1"/>
  <c r="E1004" i="2" s="1"/>
  <c r="E1098" i="2"/>
  <c r="E1099" i="2" s="1"/>
  <c r="E1100" i="2" s="1"/>
  <c r="E1101" i="2" s="1"/>
  <c r="E1102" i="2" s="1"/>
  <c r="E1052" i="2"/>
  <c r="E1053" i="2" s="1"/>
  <c r="G498" i="2"/>
  <c r="G499" i="2" s="1"/>
  <c r="G500" i="2" s="1"/>
  <c r="G501" i="2" s="1"/>
  <c r="G502" i="2" s="1"/>
  <c r="G503" i="2" s="1"/>
  <c r="G504" i="2"/>
  <c r="G505" i="2" s="1"/>
  <c r="E1607" i="2"/>
  <c r="E1608" i="2" s="1"/>
  <c r="E1609" i="2" s="1"/>
  <c r="E1610" i="2" s="1"/>
  <c r="E1611" i="2" s="1"/>
  <c r="E1612" i="2" s="1"/>
  <c r="E1613" i="2"/>
  <c r="E1614" i="2" s="1"/>
  <c r="E1615" i="2" s="1"/>
  <c r="E1616" i="2" s="1"/>
  <c r="G1531" i="2"/>
  <c r="G1532" i="2" s="1"/>
  <c r="G1533" i="2" s="1"/>
  <c r="G1534" i="2" s="1"/>
  <c r="G1535" i="2" s="1"/>
  <c r="G1536" i="2" s="1"/>
  <c r="G1537" i="2"/>
  <c r="G1538" i="2" s="1"/>
  <c r="G1539" i="2" s="1"/>
  <c r="G1540" i="2" s="1"/>
  <c r="K1815" i="2"/>
  <c r="K1816" i="2" s="1"/>
  <c r="N1816" i="2" s="1"/>
  <c r="G1815" i="2"/>
  <c r="G1816" i="2" s="1"/>
  <c r="C1033" i="2"/>
  <c r="C1034" i="2" s="1"/>
  <c r="C1035" i="2" s="1"/>
  <c r="C1036" i="2" s="1"/>
  <c r="C1032" i="2"/>
  <c r="C556" i="2"/>
  <c r="C557" i="2" s="1"/>
  <c r="C558" i="2" s="1"/>
  <c r="C559" i="2" s="1"/>
  <c r="C550" i="2"/>
  <c r="C551" i="2" s="1"/>
  <c r="C552" i="2" s="1"/>
  <c r="C553" i="2" s="1"/>
  <c r="C554" i="2" s="1"/>
  <c r="C555" i="2" s="1"/>
  <c r="C904" i="2"/>
  <c r="C905" i="2" s="1"/>
  <c r="C906" i="2" s="1"/>
  <c r="C907" i="2" s="1"/>
  <c r="C903" i="2"/>
  <c r="C1603" i="2"/>
  <c r="C1604" i="2" s="1"/>
  <c r="C1605" i="2" s="1"/>
  <c r="C1606" i="2" s="1"/>
  <c r="C1597" i="2"/>
  <c r="C1598" i="2" s="1"/>
  <c r="C1599" i="2" s="1"/>
  <c r="C1600" i="2" s="1"/>
  <c r="C1601" i="2" s="1"/>
  <c r="C1602" i="2" s="1"/>
  <c r="C769" i="2"/>
  <c r="C770" i="2" s="1"/>
  <c r="C771" i="2" s="1"/>
  <c r="C772" i="2" s="1"/>
  <c r="C768" i="2"/>
  <c r="C1158" i="2"/>
  <c r="C1159" i="2" s="1"/>
  <c r="C1160" i="2" s="1"/>
  <c r="C1161" i="2" s="1"/>
  <c r="C1157" i="2"/>
  <c r="C837" i="2"/>
  <c r="C838" i="2" s="1"/>
  <c r="C839" i="2" s="1"/>
  <c r="C840" i="2" s="1"/>
  <c r="C836" i="2"/>
  <c r="C376" i="2"/>
  <c r="C377" i="2" s="1"/>
  <c r="C378" i="2" s="1"/>
  <c r="C379" i="2" s="1"/>
  <c r="C375" i="2"/>
  <c r="C64" i="2"/>
  <c r="C65" i="2" s="1"/>
  <c r="C66" i="2" s="1"/>
  <c r="C67" i="2" s="1"/>
  <c r="C57" i="2"/>
  <c r="C58" i="2" s="1"/>
  <c r="C59" i="2" s="1"/>
  <c r="C60" i="2" s="1"/>
  <c r="C61" i="2" s="1"/>
  <c r="C62" i="2" s="1"/>
  <c r="C63" i="2" s="1"/>
  <c r="C305" i="2"/>
  <c r="C306" i="2" s="1"/>
  <c r="C307" i="2" s="1"/>
  <c r="C308" i="2" s="1"/>
  <c r="C300" i="2"/>
  <c r="C301" i="2" s="1"/>
  <c r="C302" i="2" s="1"/>
  <c r="C303" i="2" s="1"/>
  <c r="C304" i="2" s="1"/>
  <c r="C638" i="2"/>
  <c r="C639" i="2" s="1"/>
  <c r="C640" i="2" s="1"/>
  <c r="C641" i="2" s="1"/>
  <c r="C637" i="2"/>
  <c r="C1687" i="2"/>
  <c r="C1688" i="2" s="1"/>
  <c r="C1681" i="2"/>
  <c r="C1682" i="2" s="1"/>
  <c r="C1683" i="2" s="1"/>
  <c r="C1684" i="2" s="1"/>
  <c r="C1685" i="2" s="1"/>
  <c r="C1686" i="2" s="1"/>
  <c r="C1542" i="2"/>
  <c r="C1543" i="2" s="1"/>
  <c r="C1544" i="2" s="1"/>
  <c r="C1545" i="2" s="1"/>
  <c r="C1541" i="2"/>
  <c r="C1412" i="2"/>
  <c r="C1413" i="2" s="1"/>
  <c r="C1414" i="2" s="1"/>
  <c r="C1415" i="2" s="1"/>
  <c r="C1411" i="2"/>
  <c r="C962" i="2"/>
  <c r="C963" i="2" s="1"/>
  <c r="C964" i="2" s="1"/>
  <c r="C965" i="2" s="1"/>
  <c r="C956" i="2"/>
  <c r="C957" i="2" s="1"/>
  <c r="C958" i="2" s="1"/>
  <c r="C959" i="2" s="1"/>
  <c r="C960" i="2" s="1"/>
  <c r="C961" i="2" s="1"/>
  <c r="D1162" i="2" l="1"/>
  <c r="D1163" i="2"/>
  <c r="D1164" i="2" s="1"/>
  <c r="G1037" i="2"/>
  <c r="G1038" i="2"/>
  <c r="G1039" i="2" s="1"/>
  <c r="G904" i="2"/>
  <c r="G905" i="2" s="1"/>
  <c r="G906" i="2" s="1"/>
  <c r="G907" i="2" s="1"/>
  <c r="G903" i="2"/>
  <c r="D768" i="2"/>
  <c r="D769" i="2"/>
  <c r="D770" i="2" s="1"/>
  <c r="D771" i="2" s="1"/>
  <c r="D772" i="2" s="1"/>
  <c r="G637" i="2"/>
  <c r="G638" i="2"/>
  <c r="G639" i="2" s="1"/>
  <c r="G640" i="2" s="1"/>
  <c r="G641" i="2" s="1"/>
  <c r="E1054" i="2"/>
  <c r="E1055" i="2" s="1"/>
  <c r="E1056" i="2" s="1"/>
  <c r="E1057" i="2" s="1"/>
  <c r="E1058" i="2" s="1"/>
  <c r="E1059" i="2"/>
  <c r="E1060" i="2" s="1"/>
  <c r="E1061" i="2" s="1"/>
  <c r="E1062" i="2" s="1"/>
  <c r="E1775" i="2"/>
  <c r="E1776" i="2" s="1"/>
  <c r="E1777" i="2" s="1"/>
  <c r="E1778" i="2" s="1"/>
  <c r="E1769" i="2"/>
  <c r="E1770" i="2" s="1"/>
  <c r="E1771" i="2" s="1"/>
  <c r="E1772" i="2" s="1"/>
  <c r="E1773" i="2" s="1"/>
  <c r="E1774" i="2" s="1"/>
  <c r="G836" i="2"/>
  <c r="G837" i="2"/>
  <c r="G838" i="2" s="1"/>
  <c r="G839" i="2" s="1"/>
  <c r="G840" i="2" s="1"/>
  <c r="D842" i="2"/>
  <c r="D843" i="2" s="1"/>
  <c r="D841" i="2"/>
  <c r="E1103" i="2"/>
  <c r="E1104" i="2" s="1"/>
  <c r="E1105" i="2" s="1"/>
  <c r="E1106" i="2" s="1"/>
  <c r="E1107" i="2" s="1"/>
  <c r="E1108" i="2"/>
  <c r="E1109" i="2" s="1"/>
  <c r="E446" i="2"/>
  <c r="E447" i="2" s="1"/>
  <c r="E448" i="2" s="1"/>
  <c r="E449" i="2" s="1"/>
  <c r="E450" i="2" s="1"/>
  <c r="E451" i="2" s="1"/>
  <c r="E452" i="2" s="1"/>
  <c r="E453" i="2"/>
  <c r="E454" i="2" s="1"/>
  <c r="E660" i="2"/>
  <c r="E661" i="2" s="1"/>
  <c r="E662" i="2" s="1"/>
  <c r="E663" i="2" s="1"/>
  <c r="E664" i="2" s="1"/>
  <c r="E665" i="2" s="1"/>
  <c r="E666" i="2"/>
  <c r="E667" i="2" s="1"/>
  <c r="E668" i="2" s="1"/>
  <c r="E669" i="2" s="1"/>
  <c r="E569" i="2"/>
  <c r="E570" i="2"/>
  <c r="E571" i="2" s="1"/>
  <c r="E572" i="2" s="1"/>
  <c r="E573" i="2" s="1"/>
  <c r="E713" i="2"/>
  <c r="E714" i="2" s="1"/>
  <c r="E715" i="2" s="1"/>
  <c r="E716" i="2" s="1"/>
  <c r="E717" i="2" s="1"/>
  <c r="E718" i="2"/>
  <c r="E719" i="2" s="1"/>
  <c r="G1542" i="2"/>
  <c r="G1543" i="2" s="1"/>
  <c r="G1544" i="2" s="1"/>
  <c r="G1545" i="2" s="1"/>
  <c r="G1541" i="2"/>
  <c r="E1010" i="2"/>
  <c r="E1011" i="2" s="1"/>
  <c r="E1012" i="2" s="1"/>
  <c r="E1013" i="2" s="1"/>
  <c r="E1005" i="2"/>
  <c r="E1006" i="2" s="1"/>
  <c r="E1007" i="2" s="1"/>
  <c r="E1008" i="2" s="1"/>
  <c r="E1009" i="2" s="1"/>
  <c r="G769" i="2"/>
  <c r="G770" i="2" s="1"/>
  <c r="G771" i="2" s="1"/>
  <c r="G772" i="2" s="1"/>
  <c r="G768" i="2"/>
  <c r="D569" i="2"/>
  <c r="D570" i="2"/>
  <c r="D571" i="2" s="1"/>
  <c r="D572" i="2" s="1"/>
  <c r="D573" i="2" s="1"/>
  <c r="E202" i="2"/>
  <c r="E203" i="2" s="1"/>
  <c r="E204" i="2" s="1"/>
  <c r="E205" i="2" s="1"/>
  <c r="E206" i="2" s="1"/>
  <c r="E207" i="2"/>
  <c r="E208" i="2" s="1"/>
  <c r="G1617" i="2"/>
  <c r="G1618" i="2"/>
  <c r="G1619" i="2" s="1"/>
  <c r="G1620" i="2" s="1"/>
  <c r="G1621" i="2" s="1"/>
  <c r="E1721" i="2"/>
  <c r="E1722" i="2" s="1"/>
  <c r="E1723" i="2" s="1"/>
  <c r="E1724" i="2" s="1"/>
  <c r="E1715" i="2"/>
  <c r="E1716" i="2" s="1"/>
  <c r="E1717" i="2" s="1"/>
  <c r="E1718" i="2" s="1"/>
  <c r="E1719" i="2" s="1"/>
  <c r="E1720" i="2" s="1"/>
  <c r="D1032" i="2"/>
  <c r="D1033" i="2"/>
  <c r="D1034" i="2" s="1"/>
  <c r="D1035" i="2" s="1"/>
  <c r="D1036" i="2" s="1"/>
  <c r="E609" i="2"/>
  <c r="E610" i="2" s="1"/>
  <c r="E611" i="2" s="1"/>
  <c r="E612" i="2" s="1"/>
  <c r="E613" i="2" s="1"/>
  <c r="E614" i="2"/>
  <c r="E615" i="2" s="1"/>
  <c r="E616" i="2" s="1"/>
  <c r="E617" i="2" s="1"/>
  <c r="D903" i="2"/>
  <c r="D904" i="2"/>
  <c r="D905" i="2" s="1"/>
  <c r="D906" i="2" s="1"/>
  <c r="D907" i="2" s="1"/>
  <c r="G574" i="2"/>
  <c r="G575" i="2"/>
  <c r="G576" i="2" s="1"/>
  <c r="E397" i="2"/>
  <c r="E398" i="2" s="1"/>
  <c r="E399" i="2" s="1"/>
  <c r="E400" i="2" s="1"/>
  <c r="E401" i="2" s="1"/>
  <c r="E402" i="2" s="1"/>
  <c r="E403" i="2"/>
  <c r="E404" i="2" s="1"/>
  <c r="E405" i="2" s="1"/>
  <c r="E406" i="2" s="1"/>
  <c r="D1617" i="2"/>
  <c r="D1618" i="2"/>
  <c r="D1619" i="2" s="1"/>
  <c r="D1620" i="2" s="1"/>
  <c r="D1621" i="2" s="1"/>
  <c r="E149" i="2"/>
  <c r="E150" i="2" s="1"/>
  <c r="E151" i="2" s="1"/>
  <c r="E152" i="2" s="1"/>
  <c r="E153" i="2" s="1"/>
  <c r="E154" i="2" s="1"/>
  <c r="E155" i="2"/>
  <c r="E156" i="2" s="1"/>
  <c r="E157" i="2" s="1"/>
  <c r="E158" i="2" s="1"/>
  <c r="G1158" i="2"/>
  <c r="G1159" i="2" s="1"/>
  <c r="G1160" i="2" s="1"/>
  <c r="G1161" i="2" s="1"/>
  <c r="G1157" i="2"/>
  <c r="E1671" i="2"/>
  <c r="E1672" i="2" s="1"/>
  <c r="E1673" i="2" s="1"/>
  <c r="E1674" i="2" s="1"/>
  <c r="E1675" i="2" s="1"/>
  <c r="E1676" i="2" s="1"/>
  <c r="E1677" i="2"/>
  <c r="E1678" i="2" s="1"/>
  <c r="E1679" i="2" s="1"/>
  <c r="E1680" i="2" s="1"/>
  <c r="E1617" i="2"/>
  <c r="E1618" i="2"/>
  <c r="E1619" i="2" s="1"/>
  <c r="E1620" i="2" s="1"/>
  <c r="E1621" i="2" s="1"/>
  <c r="D638" i="2"/>
  <c r="D639" i="2" s="1"/>
  <c r="D640" i="2" s="1"/>
  <c r="D641" i="2" s="1"/>
  <c r="D637" i="2"/>
  <c r="E114" i="2"/>
  <c r="E115" i="2" s="1"/>
  <c r="E116" i="2" s="1"/>
  <c r="E117" i="2" s="1"/>
  <c r="E109" i="2"/>
  <c r="E110" i="2" s="1"/>
  <c r="E111" i="2" s="1"/>
  <c r="E112" i="2" s="1"/>
  <c r="E113" i="2" s="1"/>
  <c r="G375" i="2"/>
  <c r="G376" i="2"/>
  <c r="G377" i="2" s="1"/>
  <c r="G378" i="2" s="1"/>
  <c r="G379" i="2" s="1"/>
  <c r="E353" i="2"/>
  <c r="E354" i="2" s="1"/>
  <c r="E355" i="2" s="1"/>
  <c r="E356" i="2" s="1"/>
  <c r="E348" i="2"/>
  <c r="E349" i="2" s="1"/>
  <c r="E350" i="2" s="1"/>
  <c r="E351" i="2" s="1"/>
  <c r="E352" i="2" s="1"/>
  <c r="C1547" i="2"/>
  <c r="C1548" i="2" s="1"/>
  <c r="C1546" i="2"/>
  <c r="C314" i="2"/>
  <c r="C315" i="2" s="1"/>
  <c r="C309" i="2"/>
  <c r="C310" i="2" s="1"/>
  <c r="C311" i="2" s="1"/>
  <c r="C312" i="2" s="1"/>
  <c r="C313" i="2" s="1"/>
  <c r="C1163" i="2"/>
  <c r="C1164" i="2" s="1"/>
  <c r="C1162" i="2"/>
  <c r="C774" i="2"/>
  <c r="C775" i="2" s="1"/>
  <c r="C773" i="2"/>
  <c r="C1038" i="2"/>
  <c r="C1039" i="2" s="1"/>
  <c r="C1037" i="2"/>
  <c r="C381" i="2"/>
  <c r="C382" i="2" s="1"/>
  <c r="C380" i="2"/>
  <c r="C1613" i="2"/>
  <c r="C1614" i="2" s="1"/>
  <c r="C1615" i="2" s="1"/>
  <c r="C1616" i="2" s="1"/>
  <c r="C1607" i="2"/>
  <c r="C1608" i="2" s="1"/>
  <c r="C1609" i="2" s="1"/>
  <c r="C1610" i="2" s="1"/>
  <c r="C1611" i="2" s="1"/>
  <c r="C1612" i="2" s="1"/>
  <c r="C565" i="2"/>
  <c r="C566" i="2" s="1"/>
  <c r="C567" i="2" s="1"/>
  <c r="C568" i="2" s="1"/>
  <c r="C560" i="2"/>
  <c r="C561" i="2" s="1"/>
  <c r="C562" i="2" s="1"/>
  <c r="C563" i="2" s="1"/>
  <c r="C564" i="2" s="1"/>
  <c r="C971" i="2"/>
  <c r="C972" i="2" s="1"/>
  <c r="C966" i="2"/>
  <c r="C967" i="2" s="1"/>
  <c r="C968" i="2" s="1"/>
  <c r="C969" i="2" s="1"/>
  <c r="C970" i="2" s="1"/>
  <c r="C1417" i="2"/>
  <c r="C1418" i="2" s="1"/>
  <c r="C1416" i="2"/>
  <c r="C643" i="2"/>
  <c r="C644" i="2" s="1"/>
  <c r="C642" i="2"/>
  <c r="C74" i="2"/>
  <c r="C75" i="2" s="1"/>
  <c r="C68" i="2"/>
  <c r="C69" i="2" s="1"/>
  <c r="C70" i="2" s="1"/>
  <c r="C71" i="2" s="1"/>
  <c r="C72" i="2" s="1"/>
  <c r="C73" i="2" s="1"/>
  <c r="C842" i="2"/>
  <c r="C843" i="2" s="1"/>
  <c r="C841" i="2"/>
  <c r="C909" i="2"/>
  <c r="C910" i="2" s="1"/>
  <c r="C908" i="2"/>
  <c r="E165" i="2" l="1"/>
  <c r="E166" i="2" s="1"/>
  <c r="E167" i="2" s="1"/>
  <c r="E168" i="2" s="1"/>
  <c r="E159" i="2"/>
  <c r="E160" i="2" s="1"/>
  <c r="E161" i="2" s="1"/>
  <c r="E162" i="2" s="1"/>
  <c r="E163" i="2" s="1"/>
  <c r="E164" i="2" s="1"/>
  <c r="D774" i="2"/>
  <c r="D775" i="2" s="1"/>
  <c r="D773" i="2"/>
  <c r="D642" i="2"/>
  <c r="D643" i="2"/>
  <c r="D644" i="2" s="1"/>
  <c r="E1019" i="2"/>
  <c r="E1020" i="2" s="1"/>
  <c r="E1021" i="2" s="1"/>
  <c r="E1022" i="2" s="1"/>
  <c r="E1014" i="2"/>
  <c r="E1015" i="2" s="1"/>
  <c r="E1016" i="2" s="1"/>
  <c r="E1017" i="2" s="1"/>
  <c r="E1018" i="2" s="1"/>
  <c r="D908" i="2"/>
  <c r="D909" i="2"/>
  <c r="D910" i="2" s="1"/>
  <c r="E1623" i="2"/>
  <c r="E1624" i="2" s="1"/>
  <c r="E1622" i="2"/>
  <c r="D1622" i="2"/>
  <c r="D1623" i="2"/>
  <c r="D1624" i="2" s="1"/>
  <c r="E624" i="2"/>
  <c r="E625" i="2" s="1"/>
  <c r="E626" i="2" s="1"/>
  <c r="E627" i="2" s="1"/>
  <c r="E618" i="2"/>
  <c r="E619" i="2" s="1"/>
  <c r="E620" i="2" s="1"/>
  <c r="E621" i="2" s="1"/>
  <c r="E622" i="2" s="1"/>
  <c r="E623" i="2" s="1"/>
  <c r="E209" i="2"/>
  <c r="E210" i="2" s="1"/>
  <c r="E255" i="2"/>
  <c r="E256" i="2" s="1"/>
  <c r="E455" i="2"/>
  <c r="E456" i="2" s="1"/>
  <c r="E506" i="2"/>
  <c r="E507" i="2" s="1"/>
  <c r="G841" i="2"/>
  <c r="G842" i="2"/>
  <c r="G843" i="2" s="1"/>
  <c r="G1546" i="2"/>
  <c r="G1547" i="2"/>
  <c r="G1548" i="2" s="1"/>
  <c r="E1785" i="2"/>
  <c r="E1786" i="2" s="1"/>
  <c r="E1787" i="2" s="1"/>
  <c r="E1788" i="2" s="1"/>
  <c r="E1779" i="2"/>
  <c r="E1780" i="2" s="1"/>
  <c r="E1781" i="2" s="1"/>
  <c r="E1782" i="2" s="1"/>
  <c r="E1783" i="2" s="1"/>
  <c r="E1784" i="2" s="1"/>
  <c r="G908" i="2"/>
  <c r="G909" i="2"/>
  <c r="G910" i="2" s="1"/>
  <c r="G1622" i="2"/>
  <c r="G1623" i="2"/>
  <c r="G1624" i="2" s="1"/>
  <c r="G380" i="2"/>
  <c r="G381" i="2"/>
  <c r="G382" i="2" s="1"/>
  <c r="E1681" i="2"/>
  <c r="E1682" i="2" s="1"/>
  <c r="E1683" i="2" s="1"/>
  <c r="E1684" i="2" s="1"/>
  <c r="E1685" i="2" s="1"/>
  <c r="E1686" i="2" s="1"/>
  <c r="E1687" i="2"/>
  <c r="E1688" i="2" s="1"/>
  <c r="E407" i="2"/>
  <c r="E408" i="2" s="1"/>
  <c r="E409" i="2" s="1"/>
  <c r="E410" i="2" s="1"/>
  <c r="E411" i="2" s="1"/>
  <c r="E412" i="2"/>
  <c r="E413" i="2" s="1"/>
  <c r="E414" i="2" s="1"/>
  <c r="E415" i="2" s="1"/>
  <c r="D1037" i="2"/>
  <c r="D1038" i="2"/>
  <c r="D1039" i="2" s="1"/>
  <c r="D574" i="2"/>
  <c r="D575" i="2"/>
  <c r="D576" i="2" s="1"/>
  <c r="E720" i="2"/>
  <c r="E721" i="2" s="1"/>
  <c r="E776" i="2"/>
  <c r="E777" i="2" s="1"/>
  <c r="E778" i="2" s="1"/>
  <c r="E779" i="2" s="1"/>
  <c r="E780" i="2" s="1"/>
  <c r="E1110" i="2"/>
  <c r="E1111" i="2" s="1"/>
  <c r="E1165" i="2"/>
  <c r="E1166" i="2" s="1"/>
  <c r="E1167" i="2" s="1"/>
  <c r="E1168" i="2" s="1"/>
  <c r="E1169" i="2" s="1"/>
  <c r="E1063" i="2"/>
  <c r="E1064" i="2" s="1"/>
  <c r="E1065" i="2" s="1"/>
  <c r="E1066" i="2" s="1"/>
  <c r="E1067" i="2" s="1"/>
  <c r="E1068" i="2"/>
  <c r="E1069" i="2" s="1"/>
  <c r="E1070" i="2" s="1"/>
  <c r="E1071" i="2" s="1"/>
  <c r="E676" i="2"/>
  <c r="E677" i="2" s="1"/>
  <c r="E678" i="2" s="1"/>
  <c r="E679" i="2" s="1"/>
  <c r="E670" i="2"/>
  <c r="E671" i="2" s="1"/>
  <c r="E672" i="2" s="1"/>
  <c r="E673" i="2" s="1"/>
  <c r="E674" i="2" s="1"/>
  <c r="E675" i="2" s="1"/>
  <c r="E362" i="2"/>
  <c r="E363" i="2" s="1"/>
  <c r="E364" i="2" s="1"/>
  <c r="E365" i="2" s="1"/>
  <c r="E357" i="2"/>
  <c r="E358" i="2" s="1"/>
  <c r="E359" i="2" s="1"/>
  <c r="E360" i="2" s="1"/>
  <c r="E361" i="2" s="1"/>
  <c r="E574" i="2"/>
  <c r="E575" i="2"/>
  <c r="E576" i="2" s="1"/>
  <c r="G643" i="2"/>
  <c r="G644" i="2" s="1"/>
  <c r="G642" i="2"/>
  <c r="E123" i="2"/>
  <c r="E124" i="2" s="1"/>
  <c r="E125" i="2" s="1"/>
  <c r="E126" i="2" s="1"/>
  <c r="E118" i="2"/>
  <c r="E119" i="2" s="1"/>
  <c r="E120" i="2" s="1"/>
  <c r="E121" i="2" s="1"/>
  <c r="E122" i="2" s="1"/>
  <c r="G1163" i="2"/>
  <c r="G1164" i="2" s="1"/>
  <c r="G1162" i="2"/>
  <c r="E1725" i="2"/>
  <c r="E1726" i="2" s="1"/>
  <c r="E1727" i="2" s="1"/>
  <c r="E1728" i="2" s="1"/>
  <c r="E1729" i="2" s="1"/>
  <c r="E1730" i="2" s="1"/>
  <c r="E1731" i="2"/>
  <c r="E1732" i="2" s="1"/>
  <c r="E1733" i="2" s="1"/>
  <c r="E1734" i="2" s="1"/>
  <c r="G773" i="2"/>
  <c r="G774" i="2"/>
  <c r="G775" i="2" s="1"/>
  <c r="C570" i="2"/>
  <c r="C571" i="2" s="1"/>
  <c r="C572" i="2" s="1"/>
  <c r="C573" i="2" s="1"/>
  <c r="C569" i="2"/>
  <c r="C1618" i="2"/>
  <c r="C1619" i="2" s="1"/>
  <c r="C1620" i="2" s="1"/>
  <c r="C1621" i="2" s="1"/>
  <c r="C1617" i="2"/>
  <c r="E727" i="2" l="1"/>
  <c r="E728" i="2" s="1"/>
  <c r="E729" i="2" s="1"/>
  <c r="E730" i="2" s="1"/>
  <c r="E722" i="2"/>
  <c r="E723" i="2" s="1"/>
  <c r="E724" i="2" s="1"/>
  <c r="E725" i="2" s="1"/>
  <c r="E726" i="2" s="1"/>
  <c r="E132" i="2"/>
  <c r="E133" i="2" s="1"/>
  <c r="E127" i="2"/>
  <c r="E128" i="2" s="1"/>
  <c r="E129" i="2" s="1"/>
  <c r="E130" i="2" s="1"/>
  <c r="E131" i="2" s="1"/>
  <c r="E680" i="2"/>
  <c r="E681" i="2" s="1"/>
  <c r="E682" i="2" s="1"/>
  <c r="E683" i="2" s="1"/>
  <c r="E684" i="2" s="1"/>
  <c r="E685" i="2" s="1"/>
  <c r="E686" i="2"/>
  <c r="E687" i="2" s="1"/>
  <c r="E688" i="2" s="1"/>
  <c r="E689" i="2" s="1"/>
  <c r="E633" i="2"/>
  <c r="E634" i="2" s="1"/>
  <c r="E635" i="2" s="1"/>
  <c r="E636" i="2" s="1"/>
  <c r="E628" i="2"/>
  <c r="E629" i="2" s="1"/>
  <c r="E630" i="2" s="1"/>
  <c r="E631" i="2" s="1"/>
  <c r="E632" i="2" s="1"/>
  <c r="E1023" i="2"/>
  <c r="E1024" i="2" s="1"/>
  <c r="E1025" i="2" s="1"/>
  <c r="E1026" i="2" s="1"/>
  <c r="E1027" i="2" s="1"/>
  <c r="E1028" i="2"/>
  <c r="E1029" i="2" s="1"/>
  <c r="E1030" i="2" s="1"/>
  <c r="E1031" i="2" s="1"/>
  <c r="E366" i="2"/>
  <c r="E367" i="2" s="1"/>
  <c r="E368" i="2" s="1"/>
  <c r="E369" i="2" s="1"/>
  <c r="E370" i="2" s="1"/>
  <c r="E371" i="2"/>
  <c r="E372" i="2" s="1"/>
  <c r="E373" i="2" s="1"/>
  <c r="E374" i="2" s="1"/>
  <c r="E1735" i="2"/>
  <c r="E1736" i="2" s="1"/>
  <c r="E1737" i="2" s="1"/>
  <c r="E1738" i="2" s="1"/>
  <c r="E1739" i="2" s="1"/>
  <c r="E1740" i="2" s="1"/>
  <c r="E1741" i="2"/>
  <c r="E1742" i="2" s="1"/>
  <c r="E1743" i="2" s="1"/>
  <c r="E1744" i="2" s="1"/>
  <c r="E1170" i="2"/>
  <c r="E1171" i="2" s="1"/>
  <c r="E1172" i="2" s="1"/>
  <c r="E1173" i="2" s="1"/>
  <c r="E1174" i="2" s="1"/>
  <c r="E1175" i="2" s="1"/>
  <c r="E1176" i="2"/>
  <c r="E1177" i="2" s="1"/>
  <c r="E421" i="2"/>
  <c r="E422" i="2" s="1"/>
  <c r="E423" i="2" s="1"/>
  <c r="E424" i="2" s="1"/>
  <c r="E416" i="2"/>
  <c r="E417" i="2" s="1"/>
  <c r="E418" i="2" s="1"/>
  <c r="E419" i="2" s="1"/>
  <c r="E420" i="2" s="1"/>
  <c r="E1078" i="2"/>
  <c r="E1079" i="2" s="1"/>
  <c r="E1080" i="2" s="1"/>
  <c r="E1081" i="2" s="1"/>
  <c r="E1072" i="2"/>
  <c r="E1073" i="2" s="1"/>
  <c r="E1074" i="2" s="1"/>
  <c r="E1075" i="2" s="1"/>
  <c r="E1076" i="2" s="1"/>
  <c r="E1077" i="2" s="1"/>
  <c r="E1117" i="2"/>
  <c r="E1118" i="2" s="1"/>
  <c r="E1119" i="2" s="1"/>
  <c r="E1120" i="2" s="1"/>
  <c r="E1112" i="2"/>
  <c r="E1113" i="2" s="1"/>
  <c r="E1114" i="2" s="1"/>
  <c r="E1115" i="2" s="1"/>
  <c r="E1116" i="2" s="1"/>
  <c r="E463" i="2"/>
  <c r="E464" i="2" s="1"/>
  <c r="E465" i="2" s="1"/>
  <c r="E466" i="2" s="1"/>
  <c r="E457" i="2"/>
  <c r="E458" i="2" s="1"/>
  <c r="E459" i="2" s="1"/>
  <c r="E460" i="2" s="1"/>
  <c r="E461" i="2" s="1"/>
  <c r="E462" i="2" s="1"/>
  <c r="E781" i="2"/>
  <c r="E782" i="2" s="1"/>
  <c r="E783" i="2" s="1"/>
  <c r="E784" i="2" s="1"/>
  <c r="E785" i="2" s="1"/>
  <c r="E786" i="2"/>
  <c r="E787" i="2" s="1"/>
  <c r="E1789" i="2"/>
  <c r="E1790" i="2" s="1"/>
  <c r="E1791" i="2" s="1"/>
  <c r="E1792" i="2" s="1"/>
  <c r="E1793" i="2" s="1"/>
  <c r="E1794" i="2" s="1"/>
  <c r="E1795" i="2"/>
  <c r="E1796" i="2" s="1"/>
  <c r="E1797" i="2" s="1"/>
  <c r="E1798" i="2" s="1"/>
  <c r="E217" i="2"/>
  <c r="E218" i="2" s="1"/>
  <c r="E219" i="2" s="1"/>
  <c r="E220" i="2" s="1"/>
  <c r="E211" i="2"/>
  <c r="E212" i="2" s="1"/>
  <c r="E213" i="2" s="1"/>
  <c r="E214" i="2" s="1"/>
  <c r="E215" i="2" s="1"/>
  <c r="E216" i="2" s="1"/>
  <c r="E169" i="2"/>
  <c r="E170" i="2" s="1"/>
  <c r="E171" i="2" s="1"/>
  <c r="E172" i="2" s="1"/>
  <c r="E173" i="2" s="1"/>
  <c r="E174" i="2" s="1"/>
  <c r="E175" i="2"/>
  <c r="E176" i="2" s="1"/>
  <c r="E177" i="2" s="1"/>
  <c r="E178" i="2" s="1"/>
  <c r="C575" i="2"/>
  <c r="C576" i="2" s="1"/>
  <c r="C574" i="2"/>
  <c r="C1623" i="2"/>
  <c r="C1624" i="2" s="1"/>
  <c r="C1622" i="2"/>
  <c r="E1817" i="2"/>
  <c r="E1818" i="2" s="1"/>
  <c r="E185" i="2" l="1"/>
  <c r="E186" i="2" s="1"/>
  <c r="E187" i="2" s="1"/>
  <c r="E188" i="2" s="1"/>
  <c r="E179" i="2"/>
  <c r="E180" i="2" s="1"/>
  <c r="E181" i="2" s="1"/>
  <c r="E182" i="2" s="1"/>
  <c r="E183" i="2" s="1"/>
  <c r="E184" i="2" s="1"/>
  <c r="E1178" i="2"/>
  <c r="E1179" i="2" s="1"/>
  <c r="E1229" i="2"/>
  <c r="E1230" i="2" s="1"/>
  <c r="E1231" i="2" s="1"/>
  <c r="E1232" i="2" s="1"/>
  <c r="E1233" i="2" s="1"/>
  <c r="E467" i="2"/>
  <c r="E468" i="2" s="1"/>
  <c r="E469" i="2" s="1"/>
  <c r="E470" i="2" s="1"/>
  <c r="E471" i="2" s="1"/>
  <c r="E472" i="2" s="1"/>
  <c r="E473" i="2"/>
  <c r="E474" i="2" s="1"/>
  <c r="E475" i="2" s="1"/>
  <c r="E476" i="2" s="1"/>
  <c r="E638" i="2"/>
  <c r="E639" i="2" s="1"/>
  <c r="E640" i="2" s="1"/>
  <c r="E641" i="2" s="1"/>
  <c r="E637" i="2"/>
  <c r="E1126" i="2"/>
  <c r="E1127" i="2" s="1"/>
  <c r="E1128" i="2" s="1"/>
  <c r="E1129" i="2" s="1"/>
  <c r="E1121" i="2"/>
  <c r="E1122" i="2" s="1"/>
  <c r="E1123" i="2" s="1"/>
  <c r="E1124" i="2" s="1"/>
  <c r="E1125" i="2" s="1"/>
  <c r="E375" i="2"/>
  <c r="E376" i="2"/>
  <c r="E377" i="2" s="1"/>
  <c r="E378" i="2" s="1"/>
  <c r="E379" i="2" s="1"/>
  <c r="E696" i="2"/>
  <c r="E697" i="2" s="1"/>
  <c r="E698" i="2" s="1"/>
  <c r="E699" i="2" s="1"/>
  <c r="E690" i="2"/>
  <c r="E691" i="2" s="1"/>
  <c r="E692" i="2" s="1"/>
  <c r="E693" i="2" s="1"/>
  <c r="E694" i="2" s="1"/>
  <c r="E695" i="2" s="1"/>
  <c r="E1087" i="2"/>
  <c r="E1088" i="2" s="1"/>
  <c r="E1089" i="2" s="1"/>
  <c r="E1090" i="2" s="1"/>
  <c r="E1082" i="2"/>
  <c r="E1083" i="2" s="1"/>
  <c r="E1084" i="2" s="1"/>
  <c r="E1085" i="2" s="1"/>
  <c r="E1086" i="2" s="1"/>
  <c r="E1751" i="2"/>
  <c r="E1752" i="2" s="1"/>
  <c r="E1745" i="2"/>
  <c r="E1746" i="2" s="1"/>
  <c r="E1747" i="2" s="1"/>
  <c r="E1748" i="2" s="1"/>
  <c r="E1749" i="2" s="1"/>
  <c r="E1750" i="2" s="1"/>
  <c r="E1805" i="2"/>
  <c r="E1806" i="2" s="1"/>
  <c r="E1807" i="2" s="1"/>
  <c r="E1808" i="2" s="1"/>
  <c r="E1809" i="2" s="1"/>
  <c r="E1810" i="2" s="1"/>
  <c r="E1811" i="2" s="1"/>
  <c r="E1812" i="2" s="1"/>
  <c r="E1813" i="2" s="1"/>
  <c r="E1814" i="2" s="1"/>
  <c r="E1799" i="2"/>
  <c r="E1800" i="2" s="1"/>
  <c r="E1801" i="2" s="1"/>
  <c r="E1802" i="2" s="1"/>
  <c r="E1803" i="2" s="1"/>
  <c r="E1804" i="2" s="1"/>
  <c r="E788" i="2"/>
  <c r="E789" i="2" s="1"/>
  <c r="E844" i="2"/>
  <c r="E845" i="2" s="1"/>
  <c r="E846" i="2" s="1"/>
  <c r="E847" i="2" s="1"/>
  <c r="E848" i="2" s="1"/>
  <c r="E1032" i="2"/>
  <c r="E1033" i="2"/>
  <c r="E1034" i="2" s="1"/>
  <c r="E1035" i="2" s="1"/>
  <c r="E1036" i="2" s="1"/>
  <c r="E226" i="2"/>
  <c r="E227" i="2" s="1"/>
  <c r="E228" i="2" s="1"/>
  <c r="E229" i="2" s="1"/>
  <c r="E221" i="2"/>
  <c r="E222" i="2" s="1"/>
  <c r="E223" i="2" s="1"/>
  <c r="E224" i="2" s="1"/>
  <c r="E225" i="2" s="1"/>
  <c r="E430" i="2"/>
  <c r="E431" i="2" s="1"/>
  <c r="E432" i="2" s="1"/>
  <c r="E433" i="2" s="1"/>
  <c r="E425" i="2"/>
  <c r="E426" i="2" s="1"/>
  <c r="E427" i="2" s="1"/>
  <c r="E428" i="2" s="1"/>
  <c r="E429" i="2" s="1"/>
  <c r="E736" i="2"/>
  <c r="E737" i="2" s="1"/>
  <c r="E738" i="2" s="1"/>
  <c r="E739" i="2" s="1"/>
  <c r="E731" i="2"/>
  <c r="E732" i="2" s="1"/>
  <c r="E733" i="2" s="1"/>
  <c r="E734" i="2" s="1"/>
  <c r="E735" i="2" s="1"/>
  <c r="E1815" i="2"/>
  <c r="E1816" i="2" s="1"/>
  <c r="E1091" i="2" l="1"/>
  <c r="E1092" i="2" s="1"/>
  <c r="E1093" i="2" s="1"/>
  <c r="E1094" i="2" s="1"/>
  <c r="E1095" i="2" s="1"/>
  <c r="E1096" i="2"/>
  <c r="E1097" i="2" s="1"/>
  <c r="E643" i="2"/>
  <c r="E644" i="2" s="1"/>
  <c r="E642" i="2"/>
  <c r="E854" i="2"/>
  <c r="E855" i="2" s="1"/>
  <c r="E849" i="2"/>
  <c r="E850" i="2" s="1"/>
  <c r="E851" i="2" s="1"/>
  <c r="E852" i="2" s="1"/>
  <c r="E853" i="2" s="1"/>
  <c r="E483" i="2"/>
  <c r="E484" i="2" s="1"/>
  <c r="E485" i="2" s="1"/>
  <c r="E486" i="2" s="1"/>
  <c r="E477" i="2"/>
  <c r="E478" i="2" s="1"/>
  <c r="E479" i="2" s="1"/>
  <c r="E480" i="2" s="1"/>
  <c r="E481" i="2" s="1"/>
  <c r="E482" i="2" s="1"/>
  <c r="E700" i="2"/>
  <c r="E701" i="2" s="1"/>
  <c r="E702" i="2" s="1"/>
  <c r="E703" i="2" s="1"/>
  <c r="E704" i="2" s="1"/>
  <c r="E705" i="2" s="1"/>
  <c r="E706" i="2"/>
  <c r="E707" i="2" s="1"/>
  <c r="E380" i="2"/>
  <c r="E381" i="2"/>
  <c r="E382" i="2" s="1"/>
  <c r="E1234" i="2"/>
  <c r="E1235" i="2" s="1"/>
  <c r="E1236" i="2" s="1"/>
  <c r="E1237" i="2" s="1"/>
  <c r="E1238" i="2" s="1"/>
  <c r="E1239" i="2"/>
  <c r="E1240" i="2" s="1"/>
  <c r="E1037" i="2"/>
  <c r="E1038" i="2"/>
  <c r="E1039" i="2" s="1"/>
  <c r="E795" i="2"/>
  <c r="E796" i="2" s="1"/>
  <c r="E797" i="2" s="1"/>
  <c r="E798" i="2" s="1"/>
  <c r="E790" i="2"/>
  <c r="E791" i="2" s="1"/>
  <c r="E792" i="2" s="1"/>
  <c r="E793" i="2" s="1"/>
  <c r="E794" i="2" s="1"/>
  <c r="E434" i="2"/>
  <c r="E435" i="2" s="1"/>
  <c r="E436" i="2" s="1"/>
  <c r="E437" i="2" s="1"/>
  <c r="E438" i="2" s="1"/>
  <c r="E439" i="2"/>
  <c r="E440" i="2" s="1"/>
  <c r="E1186" i="2"/>
  <c r="E1187" i="2" s="1"/>
  <c r="E1188" i="2" s="1"/>
  <c r="E1189" i="2" s="1"/>
  <c r="E1180" i="2"/>
  <c r="E1181" i="2" s="1"/>
  <c r="E1182" i="2" s="1"/>
  <c r="E1183" i="2" s="1"/>
  <c r="E1184" i="2" s="1"/>
  <c r="E1185" i="2" s="1"/>
  <c r="E740" i="2"/>
  <c r="E741" i="2" s="1"/>
  <c r="E742" i="2" s="1"/>
  <c r="E743" i="2" s="1"/>
  <c r="E744" i="2" s="1"/>
  <c r="E745" i="2"/>
  <c r="E746" i="2" s="1"/>
  <c r="E747" i="2" s="1"/>
  <c r="E748" i="2" s="1"/>
  <c r="E230" i="2"/>
  <c r="E231" i="2" s="1"/>
  <c r="E232" i="2" s="1"/>
  <c r="E233" i="2" s="1"/>
  <c r="E234" i="2" s="1"/>
  <c r="E235" i="2"/>
  <c r="E236" i="2" s="1"/>
  <c r="E237" i="2" s="1"/>
  <c r="E238" i="2" s="1"/>
  <c r="E1130" i="2"/>
  <c r="E1131" i="2" s="1"/>
  <c r="E1132" i="2" s="1"/>
  <c r="E1133" i="2" s="1"/>
  <c r="E1134" i="2" s="1"/>
  <c r="E1135" i="2"/>
  <c r="E1136" i="2" s="1"/>
  <c r="E1137" i="2" s="1"/>
  <c r="E1138" i="2" s="1"/>
  <c r="E189" i="2"/>
  <c r="E190" i="2" s="1"/>
  <c r="E191" i="2" s="1"/>
  <c r="E192" i="2" s="1"/>
  <c r="E193" i="2" s="1"/>
  <c r="E194" i="2" s="1"/>
  <c r="E195" i="2"/>
  <c r="E196" i="2" s="1"/>
  <c r="T1816" i="2"/>
  <c r="T1818" i="2" s="1"/>
  <c r="E749" i="2" l="1"/>
  <c r="E750" i="2" s="1"/>
  <c r="E751" i="2" s="1"/>
  <c r="E752" i="2" s="1"/>
  <c r="E753" i="2" s="1"/>
  <c r="E754" i="2" s="1"/>
  <c r="E755" i="2"/>
  <c r="E756" i="2" s="1"/>
  <c r="E757" i="2" s="1"/>
  <c r="E758" i="2" s="1"/>
  <c r="E487" i="2"/>
  <c r="E488" i="2" s="1"/>
  <c r="E489" i="2" s="1"/>
  <c r="E490" i="2" s="1"/>
  <c r="E491" i="2" s="1"/>
  <c r="E492" i="2" s="1"/>
  <c r="E493" i="2" s="1"/>
  <c r="E494" i="2"/>
  <c r="E495" i="2" s="1"/>
  <c r="E496" i="2" s="1"/>
  <c r="E497" i="2" s="1"/>
  <c r="E1287" i="2"/>
  <c r="E1288" i="2" s="1"/>
  <c r="E1289" i="2" s="1"/>
  <c r="E1290" i="2" s="1"/>
  <c r="E1291" i="2" s="1"/>
  <c r="E1241" i="2"/>
  <c r="E1242" i="2" s="1"/>
  <c r="E856" i="2"/>
  <c r="E857" i="2" s="1"/>
  <c r="E911" i="2"/>
  <c r="E912" i="2" s="1"/>
  <c r="E1190" i="2"/>
  <c r="E1191" i="2" s="1"/>
  <c r="E1192" i="2" s="1"/>
  <c r="E1193" i="2" s="1"/>
  <c r="E1194" i="2" s="1"/>
  <c r="E1195" i="2" s="1"/>
  <c r="E1196" i="2" s="1"/>
  <c r="E1197" i="2"/>
  <c r="E1198" i="2" s="1"/>
  <c r="E1199" i="2" s="1"/>
  <c r="E1200" i="2" s="1"/>
  <c r="E1139" i="2"/>
  <c r="E1140" i="2" s="1"/>
  <c r="E1141" i="2" s="1"/>
  <c r="E1142" i="2" s="1"/>
  <c r="E1143" i="2" s="1"/>
  <c r="E1144" i="2"/>
  <c r="E1145" i="2" s="1"/>
  <c r="E1146" i="2" s="1"/>
  <c r="E1147" i="2" s="1"/>
  <c r="E239" i="2"/>
  <c r="E240" i="2" s="1"/>
  <c r="E241" i="2" s="1"/>
  <c r="E242" i="2" s="1"/>
  <c r="E243" i="2" s="1"/>
  <c r="E244" i="2"/>
  <c r="E245" i="2" s="1"/>
  <c r="E246" i="2" s="1"/>
  <c r="E247" i="2" s="1"/>
  <c r="E804" i="2"/>
  <c r="E805" i="2" s="1"/>
  <c r="E806" i="2" s="1"/>
  <c r="E807" i="2" s="1"/>
  <c r="E799" i="2"/>
  <c r="E800" i="2" s="1"/>
  <c r="E801" i="2" s="1"/>
  <c r="E802" i="2" s="1"/>
  <c r="E803" i="2" s="1"/>
  <c r="T1820" i="2"/>
  <c r="E858" i="2" l="1"/>
  <c r="E859" i="2" s="1"/>
  <c r="E860" i="2" s="1"/>
  <c r="E861" i="2" s="1"/>
  <c r="E862" i="2" s="1"/>
  <c r="E863" i="2"/>
  <c r="E864" i="2" s="1"/>
  <c r="E865" i="2" s="1"/>
  <c r="E866" i="2" s="1"/>
  <c r="E253" i="2"/>
  <c r="E254" i="2" s="1"/>
  <c r="E248" i="2"/>
  <c r="E249" i="2" s="1"/>
  <c r="E250" i="2" s="1"/>
  <c r="E251" i="2" s="1"/>
  <c r="E252" i="2" s="1"/>
  <c r="E1243" i="2"/>
  <c r="E1244" i="2" s="1"/>
  <c r="E1245" i="2" s="1"/>
  <c r="E1246" i="2" s="1"/>
  <c r="E1247" i="2" s="1"/>
  <c r="E1248" i="2" s="1"/>
  <c r="E1249" i="2"/>
  <c r="E1250" i="2" s="1"/>
  <c r="E1251" i="2" s="1"/>
  <c r="E1252" i="2" s="1"/>
  <c r="E1298" i="2"/>
  <c r="E1299" i="2" s="1"/>
  <c r="E1292" i="2"/>
  <c r="E1293" i="2" s="1"/>
  <c r="E1294" i="2" s="1"/>
  <c r="E1295" i="2" s="1"/>
  <c r="E1296" i="2" s="1"/>
  <c r="E1297" i="2" s="1"/>
  <c r="E1153" i="2"/>
  <c r="E1154" i="2" s="1"/>
  <c r="E1155" i="2" s="1"/>
  <c r="E1156" i="2" s="1"/>
  <c r="E1148" i="2"/>
  <c r="E1149" i="2" s="1"/>
  <c r="E1150" i="2" s="1"/>
  <c r="E1151" i="2" s="1"/>
  <c r="E1152" i="2" s="1"/>
  <c r="E498" i="2"/>
  <c r="E499" i="2" s="1"/>
  <c r="E500" i="2" s="1"/>
  <c r="E501" i="2" s="1"/>
  <c r="E502" i="2" s="1"/>
  <c r="E503" i="2" s="1"/>
  <c r="E504" i="2"/>
  <c r="E505" i="2" s="1"/>
  <c r="E808" i="2"/>
  <c r="E809" i="2" s="1"/>
  <c r="E810" i="2" s="1"/>
  <c r="E811" i="2" s="1"/>
  <c r="E812" i="2" s="1"/>
  <c r="E813" i="2"/>
  <c r="E814" i="2" s="1"/>
  <c r="E815" i="2" s="1"/>
  <c r="E816" i="2" s="1"/>
  <c r="E1207" i="2"/>
  <c r="E1208" i="2" s="1"/>
  <c r="E1209" i="2" s="1"/>
  <c r="E1210" i="2" s="1"/>
  <c r="E1201" i="2"/>
  <c r="E1202" i="2" s="1"/>
  <c r="E1203" i="2" s="1"/>
  <c r="E1204" i="2" s="1"/>
  <c r="E1205" i="2" s="1"/>
  <c r="E1206" i="2" s="1"/>
  <c r="E764" i="2"/>
  <c r="E765" i="2" s="1"/>
  <c r="E766" i="2" s="1"/>
  <c r="E767" i="2" s="1"/>
  <c r="E759" i="2"/>
  <c r="E760" i="2" s="1"/>
  <c r="E761" i="2" s="1"/>
  <c r="E762" i="2" s="1"/>
  <c r="E763" i="2" s="1"/>
  <c r="T1822" i="2"/>
  <c r="E1211" i="2" l="1"/>
  <c r="E1212" i="2" s="1"/>
  <c r="E1213" i="2" s="1"/>
  <c r="E1214" i="2" s="1"/>
  <c r="E1215" i="2" s="1"/>
  <c r="E1216" i="2" s="1"/>
  <c r="E1217" i="2"/>
  <c r="E1218" i="2" s="1"/>
  <c r="E1219" i="2" s="1"/>
  <c r="E1220" i="2" s="1"/>
  <c r="E1300" i="2"/>
  <c r="E1301" i="2" s="1"/>
  <c r="E1350" i="2"/>
  <c r="E1351" i="2" s="1"/>
  <c r="E1352" i="2" s="1"/>
  <c r="E1353" i="2" s="1"/>
  <c r="E1354" i="2" s="1"/>
  <c r="E1258" i="2"/>
  <c r="E1259" i="2" s="1"/>
  <c r="E1260" i="2" s="1"/>
  <c r="E1261" i="2" s="1"/>
  <c r="E1253" i="2"/>
  <c r="E1254" i="2" s="1"/>
  <c r="E1255" i="2" s="1"/>
  <c r="E1256" i="2" s="1"/>
  <c r="E1257" i="2" s="1"/>
  <c r="E817" i="2"/>
  <c r="E818" i="2" s="1"/>
  <c r="E819" i="2" s="1"/>
  <c r="E820" i="2" s="1"/>
  <c r="E821" i="2" s="1"/>
  <c r="E822" i="2" s="1"/>
  <c r="E823" i="2"/>
  <c r="E824" i="2" s="1"/>
  <c r="E825" i="2" s="1"/>
  <c r="E826" i="2" s="1"/>
  <c r="E867" i="2"/>
  <c r="E868" i="2" s="1"/>
  <c r="E869" i="2" s="1"/>
  <c r="E870" i="2" s="1"/>
  <c r="E871" i="2" s="1"/>
  <c r="E872" i="2"/>
  <c r="E873" i="2" s="1"/>
  <c r="E874" i="2" s="1"/>
  <c r="E875" i="2" s="1"/>
  <c r="E768" i="2"/>
  <c r="E769" i="2"/>
  <c r="E770" i="2" s="1"/>
  <c r="E771" i="2" s="1"/>
  <c r="E772" i="2" s="1"/>
  <c r="E1158" i="2"/>
  <c r="E1159" i="2" s="1"/>
  <c r="E1160" i="2" s="1"/>
  <c r="E1161" i="2" s="1"/>
  <c r="E1157" i="2"/>
  <c r="E1162" i="2" l="1"/>
  <c r="E1163" i="2"/>
  <c r="E1164" i="2" s="1"/>
  <c r="E1360" i="2"/>
  <c r="E1361" i="2" s="1"/>
  <c r="E1355" i="2"/>
  <c r="E1356" i="2" s="1"/>
  <c r="E1357" i="2" s="1"/>
  <c r="E1358" i="2" s="1"/>
  <c r="E1359" i="2" s="1"/>
  <c r="E773" i="2"/>
  <c r="E774" i="2"/>
  <c r="E775" i="2" s="1"/>
  <c r="E1302" i="2"/>
  <c r="E1303" i="2" s="1"/>
  <c r="E1304" i="2" s="1"/>
  <c r="E1305" i="2" s="1"/>
  <c r="E1306" i="2" s="1"/>
  <c r="E1307" i="2" s="1"/>
  <c r="E1308" i="2"/>
  <c r="E1309" i="2" s="1"/>
  <c r="E1310" i="2" s="1"/>
  <c r="E1311" i="2" s="1"/>
  <c r="E881" i="2"/>
  <c r="E882" i="2" s="1"/>
  <c r="E883" i="2" s="1"/>
  <c r="E884" i="2" s="1"/>
  <c r="E876" i="2"/>
  <c r="E877" i="2" s="1"/>
  <c r="E878" i="2" s="1"/>
  <c r="E879" i="2" s="1"/>
  <c r="E880" i="2" s="1"/>
  <c r="E1227" i="2"/>
  <c r="E1228" i="2" s="1"/>
  <c r="E1221" i="2"/>
  <c r="E1222" i="2" s="1"/>
  <c r="E1223" i="2" s="1"/>
  <c r="E1224" i="2" s="1"/>
  <c r="E1225" i="2" s="1"/>
  <c r="E1226" i="2" s="1"/>
  <c r="E832" i="2"/>
  <c r="E833" i="2" s="1"/>
  <c r="E834" i="2" s="1"/>
  <c r="E835" i="2" s="1"/>
  <c r="E827" i="2"/>
  <c r="E828" i="2" s="1"/>
  <c r="E829" i="2" s="1"/>
  <c r="E830" i="2" s="1"/>
  <c r="E831" i="2" s="1"/>
  <c r="E1267" i="2"/>
  <c r="E1268" i="2" s="1"/>
  <c r="E1269" i="2" s="1"/>
  <c r="E1270" i="2" s="1"/>
  <c r="E1262" i="2"/>
  <c r="E1263" i="2" s="1"/>
  <c r="E1264" i="2" s="1"/>
  <c r="E1265" i="2" s="1"/>
  <c r="E1266" i="2" s="1"/>
  <c r="E1271" i="2" l="1"/>
  <c r="E1272" i="2" s="1"/>
  <c r="E1273" i="2" s="1"/>
  <c r="E1274" i="2" s="1"/>
  <c r="E1275" i="2" s="1"/>
  <c r="E1276" i="2"/>
  <c r="E1277" i="2" s="1"/>
  <c r="E1278" i="2" s="1"/>
  <c r="E1279" i="2" s="1"/>
  <c r="E1312" i="2"/>
  <c r="E1313" i="2" s="1"/>
  <c r="E1314" i="2" s="1"/>
  <c r="E1315" i="2" s="1"/>
  <c r="E1316" i="2" s="1"/>
  <c r="E1317" i="2" s="1"/>
  <c r="E1318" i="2"/>
  <c r="E1319" i="2" s="1"/>
  <c r="E1320" i="2" s="1"/>
  <c r="E1321" i="2" s="1"/>
  <c r="E836" i="2"/>
  <c r="E837" i="2"/>
  <c r="E838" i="2" s="1"/>
  <c r="E839" i="2" s="1"/>
  <c r="E840" i="2" s="1"/>
  <c r="E1362" i="2"/>
  <c r="E1363" i="2" s="1"/>
  <c r="E1419" i="2"/>
  <c r="E1420" i="2" s="1"/>
  <c r="E1421" i="2" s="1"/>
  <c r="E1422" i="2" s="1"/>
  <c r="E1423" i="2" s="1"/>
  <c r="E890" i="2"/>
  <c r="E891" i="2" s="1"/>
  <c r="E892" i="2" s="1"/>
  <c r="E893" i="2" s="1"/>
  <c r="E885" i="2"/>
  <c r="E886" i="2" s="1"/>
  <c r="E887" i="2" s="1"/>
  <c r="E888" i="2" s="1"/>
  <c r="E889" i="2" s="1"/>
  <c r="E1364" i="2" l="1"/>
  <c r="E1365" i="2" s="1"/>
  <c r="E1366" i="2" s="1"/>
  <c r="E1367" i="2" s="1"/>
  <c r="E1368" i="2" s="1"/>
  <c r="E1369" i="2" s="1"/>
  <c r="E1370" i="2"/>
  <c r="E1371" i="2" s="1"/>
  <c r="E1372" i="2" s="1"/>
  <c r="E1373" i="2" s="1"/>
  <c r="E1429" i="2"/>
  <c r="E1430" i="2" s="1"/>
  <c r="E1424" i="2"/>
  <c r="E1425" i="2" s="1"/>
  <c r="E1426" i="2" s="1"/>
  <c r="E1427" i="2" s="1"/>
  <c r="E1428" i="2" s="1"/>
  <c r="E1328" i="2"/>
  <c r="E1329" i="2" s="1"/>
  <c r="E1330" i="2" s="1"/>
  <c r="E1331" i="2" s="1"/>
  <c r="E1322" i="2"/>
  <c r="E1323" i="2" s="1"/>
  <c r="E1324" i="2" s="1"/>
  <c r="E1325" i="2" s="1"/>
  <c r="E1326" i="2" s="1"/>
  <c r="E1327" i="2" s="1"/>
  <c r="E841" i="2"/>
  <c r="E842" i="2"/>
  <c r="E843" i="2" s="1"/>
  <c r="E1280" i="2"/>
  <c r="E1281" i="2" s="1"/>
  <c r="E1282" i="2" s="1"/>
  <c r="E1283" i="2" s="1"/>
  <c r="E1284" i="2" s="1"/>
  <c r="E1285" i="2"/>
  <c r="E1286" i="2" s="1"/>
  <c r="E894" i="2"/>
  <c r="E895" i="2" s="1"/>
  <c r="E896" i="2" s="1"/>
  <c r="E897" i="2" s="1"/>
  <c r="E898" i="2" s="1"/>
  <c r="E899" i="2"/>
  <c r="E900" i="2" s="1"/>
  <c r="E901" i="2" s="1"/>
  <c r="E902" i="2" s="1"/>
  <c r="E1332" i="2" l="1"/>
  <c r="E1333" i="2" s="1"/>
  <c r="E1334" i="2" s="1"/>
  <c r="E1335" i="2" s="1"/>
  <c r="E1336" i="2" s="1"/>
  <c r="E1337" i="2" s="1"/>
  <c r="E1338" i="2"/>
  <c r="E1339" i="2" s="1"/>
  <c r="E1340" i="2" s="1"/>
  <c r="E1341" i="2" s="1"/>
  <c r="E1476" i="2"/>
  <c r="E1477" i="2" s="1"/>
  <c r="E1478" i="2" s="1"/>
  <c r="E1479" i="2" s="1"/>
  <c r="E1480" i="2" s="1"/>
  <c r="E1431" i="2"/>
  <c r="E1432" i="2" s="1"/>
  <c r="E1374" i="2"/>
  <c r="E1375" i="2" s="1"/>
  <c r="E1376" i="2" s="1"/>
  <c r="E1377" i="2" s="1"/>
  <c r="E1378" i="2" s="1"/>
  <c r="E1379" i="2"/>
  <c r="E1380" i="2" s="1"/>
  <c r="E1381" i="2" s="1"/>
  <c r="E1382" i="2" s="1"/>
  <c r="E903" i="2"/>
  <c r="E904" i="2"/>
  <c r="E905" i="2" s="1"/>
  <c r="E906" i="2" s="1"/>
  <c r="E907" i="2" s="1"/>
  <c r="E908" i="2" l="1"/>
  <c r="E909" i="2"/>
  <c r="E910" i="2" s="1"/>
  <c r="E1481" i="2"/>
  <c r="E1482" i="2" s="1"/>
  <c r="E1483" i="2" s="1"/>
  <c r="E1484" i="2" s="1"/>
  <c r="E1485" i="2" s="1"/>
  <c r="E1486" i="2" s="1"/>
  <c r="E1487" i="2"/>
  <c r="E1488" i="2" s="1"/>
  <c r="E1348" i="2"/>
  <c r="E1349" i="2" s="1"/>
  <c r="E1342" i="2"/>
  <c r="E1343" i="2" s="1"/>
  <c r="E1344" i="2" s="1"/>
  <c r="E1345" i="2" s="1"/>
  <c r="E1346" i="2" s="1"/>
  <c r="E1347" i="2" s="1"/>
  <c r="E1388" i="2"/>
  <c r="E1389" i="2" s="1"/>
  <c r="E1390" i="2" s="1"/>
  <c r="E1391" i="2" s="1"/>
  <c r="E1383" i="2"/>
  <c r="E1384" i="2" s="1"/>
  <c r="E1385" i="2" s="1"/>
  <c r="E1386" i="2" s="1"/>
  <c r="E1387" i="2" s="1"/>
  <c r="E1433" i="2"/>
  <c r="E1434" i="2" s="1"/>
  <c r="E1435" i="2" s="1"/>
  <c r="E1436" i="2" s="1"/>
  <c r="E1437" i="2" s="1"/>
  <c r="E1438" i="2"/>
  <c r="E1439" i="2" s="1"/>
  <c r="E1440" i="2" s="1"/>
  <c r="E1441" i="2" s="1"/>
  <c r="E1398" i="2" l="1"/>
  <c r="E1399" i="2" s="1"/>
  <c r="E1400" i="2" s="1"/>
  <c r="E1401" i="2" s="1"/>
  <c r="E1392" i="2"/>
  <c r="E1393" i="2" s="1"/>
  <c r="E1394" i="2" s="1"/>
  <c r="E1395" i="2" s="1"/>
  <c r="E1396" i="2" s="1"/>
  <c r="E1397" i="2" s="1"/>
  <c r="E1442" i="2"/>
  <c r="E1443" i="2" s="1"/>
  <c r="E1444" i="2" s="1"/>
  <c r="E1445" i="2" s="1"/>
  <c r="E1446" i="2" s="1"/>
  <c r="E1447" i="2"/>
  <c r="E1448" i="2" s="1"/>
  <c r="E1449" i="2" s="1"/>
  <c r="E1450" i="2" s="1"/>
  <c r="E1489" i="2"/>
  <c r="E1490" i="2" s="1"/>
  <c r="E1549" i="2"/>
  <c r="E1550" i="2" s="1"/>
  <c r="E1497" i="2" l="1"/>
  <c r="E1498" i="2" s="1"/>
  <c r="E1499" i="2" s="1"/>
  <c r="E1500" i="2" s="1"/>
  <c r="E1491" i="2"/>
  <c r="E1492" i="2" s="1"/>
  <c r="E1493" i="2" s="1"/>
  <c r="E1494" i="2" s="1"/>
  <c r="E1495" i="2" s="1"/>
  <c r="E1496" i="2" s="1"/>
  <c r="E1456" i="2"/>
  <c r="E1457" i="2" s="1"/>
  <c r="E1458" i="2" s="1"/>
  <c r="E1459" i="2" s="1"/>
  <c r="E1451" i="2"/>
  <c r="E1452" i="2" s="1"/>
  <c r="E1453" i="2" s="1"/>
  <c r="E1454" i="2" s="1"/>
  <c r="E1455" i="2" s="1"/>
  <c r="E1402" i="2"/>
  <c r="E1403" i="2" s="1"/>
  <c r="E1404" i="2" s="1"/>
  <c r="E1405" i="2" s="1"/>
  <c r="E1406" i="2" s="1"/>
  <c r="E1407" i="2"/>
  <c r="E1408" i="2" s="1"/>
  <c r="E1409" i="2" s="1"/>
  <c r="E1410" i="2" s="1"/>
  <c r="E1465" i="2" l="1"/>
  <c r="E1466" i="2" s="1"/>
  <c r="E1467" i="2" s="1"/>
  <c r="E1468" i="2" s="1"/>
  <c r="E1460" i="2"/>
  <c r="E1461" i="2" s="1"/>
  <c r="E1462" i="2" s="1"/>
  <c r="E1463" i="2" s="1"/>
  <c r="E1464" i="2" s="1"/>
  <c r="E1411" i="2"/>
  <c r="E1412" i="2"/>
  <c r="E1413" i="2" s="1"/>
  <c r="E1414" i="2" s="1"/>
  <c r="E1415" i="2" s="1"/>
  <c r="E1501" i="2"/>
  <c r="E1502" i="2" s="1"/>
  <c r="E1503" i="2" s="1"/>
  <c r="E1504" i="2" s="1"/>
  <c r="E1505" i="2" s="1"/>
  <c r="E1506" i="2" s="1"/>
  <c r="E1507" i="2"/>
  <c r="E1508" i="2" s="1"/>
  <c r="E1509" i="2" s="1"/>
  <c r="E1510" i="2" s="1"/>
  <c r="E1517" i="2" l="1"/>
  <c r="E1518" i="2" s="1"/>
  <c r="E1519" i="2" s="1"/>
  <c r="E1520" i="2" s="1"/>
  <c r="E1511" i="2"/>
  <c r="E1512" i="2" s="1"/>
  <c r="E1513" i="2" s="1"/>
  <c r="E1514" i="2" s="1"/>
  <c r="E1515" i="2" s="1"/>
  <c r="E1516" i="2" s="1"/>
  <c r="E1417" i="2"/>
  <c r="E1418" i="2" s="1"/>
  <c r="E1416" i="2"/>
  <c r="E1469" i="2"/>
  <c r="E1470" i="2" s="1"/>
  <c r="E1471" i="2" s="1"/>
  <c r="E1472" i="2" s="1"/>
  <c r="E1473" i="2" s="1"/>
  <c r="E1474" i="2"/>
  <c r="E1475" i="2" s="1"/>
  <c r="E1521" i="2" l="1"/>
  <c r="E1522" i="2" s="1"/>
  <c r="E1523" i="2" s="1"/>
  <c r="E1524" i="2" s="1"/>
  <c r="E1525" i="2" s="1"/>
  <c r="E1526" i="2" s="1"/>
  <c r="E1527" i="2"/>
  <c r="E1528" i="2" s="1"/>
  <c r="E1529" i="2" s="1"/>
  <c r="E1530" i="2" s="1"/>
  <c r="E1531" i="2" l="1"/>
  <c r="E1532" i="2" s="1"/>
  <c r="E1533" i="2" s="1"/>
  <c r="E1534" i="2" s="1"/>
  <c r="E1535" i="2" s="1"/>
  <c r="E1536" i="2" s="1"/>
  <c r="E1537" i="2"/>
  <c r="E1538" i="2" s="1"/>
  <c r="E1539" i="2" s="1"/>
  <c r="E1540" i="2" s="1"/>
  <c r="E1541" i="2" l="1"/>
  <c r="E1542" i="2"/>
  <c r="E1543" i="2" s="1"/>
  <c r="E1544" i="2" s="1"/>
  <c r="E1545" i="2" s="1"/>
  <c r="E1546" i="2" l="1"/>
  <c r="E1547" i="2"/>
  <c r="E1548" i="2" s="1"/>
</calcChain>
</file>

<file path=xl/sharedStrings.xml><?xml version="1.0" encoding="utf-8"?>
<sst xmlns="http://schemas.openxmlformats.org/spreadsheetml/2006/main" count="22621" uniqueCount="17051">
  <si>
    <t>Payrate</t>
  </si>
  <si>
    <t>Pay Code</t>
  </si>
  <si>
    <t>State</t>
  </si>
  <si>
    <t>Check Date</t>
  </si>
  <si>
    <t>PA Trx Amt</t>
  </si>
  <si>
    <t>hide</t>
  </si>
  <si>
    <t>EMPLOYEE PAYROLL TRANSACTIONS</t>
  </si>
  <si>
    <t>Lookup</t>
  </si>
  <si>
    <t>*</t>
  </si>
  <si>
    <t>Value</t>
  </si>
  <si>
    <t>Title</t>
  </si>
  <si>
    <t>Option</t>
  </si>
  <si>
    <t>Fit</t>
  </si>
  <si>
    <t>Hide</t>
  </si>
  <si>
    <t>UPR30300</t>
  </si>
  <si>
    <t>Grand Total</t>
  </si>
  <si>
    <t>FIT</t>
  </si>
  <si>
    <t>HIDE</t>
  </si>
  <si>
    <t>First Name</t>
  </si>
  <si>
    <t>Last Name</t>
  </si>
  <si>
    <t>Employee ID</t>
  </si>
  <si>
    <t>Empl Class</t>
  </si>
  <si>
    <t>Check No.</t>
  </si>
  <si>
    <t>Auto+Hide</t>
  </si>
  <si>
    <t xml:space="preserve">Report Readme </t>
  </si>
  <si>
    <t>Services</t>
  </si>
  <si>
    <t>Training</t>
  </si>
  <si>
    <t>Sales</t>
  </si>
  <si>
    <t>DISCLAIMER</t>
  </si>
  <si>
    <t>Copyrights</t>
  </si>
  <si>
    <t>Employee Class</t>
  </si>
  <si>
    <t>=NL("Lookup","UPR41200","EMPLCLAS","Headers=","Employee Class")</t>
  </si>
  <si>
    <t>=NL("Lookup","UPR00100",{"EMPLOYID","FRSTNAME","LASTNAME"},"Headers=",{"Employee ID","First Name","Last Name"})</t>
  </si>
  <si>
    <t>=NL("Lookup","UPR30300","PAYROLCD","Headers=","Payroll Code")</t>
  </si>
  <si>
    <t>=NL("Lookup","UPR30300","STATECD","Headers=","State Code")</t>
  </si>
  <si>
    <t>=D12</t>
  </si>
  <si>
    <t>=NL(,"UPR41200","DSCRIPTN","EMPLCLAS",D12)</t>
  </si>
  <si>
    <t>=+I13</t>
  </si>
  <si>
    <t>=+J13</t>
  </si>
  <si>
    <t>=E12</t>
  </si>
  <si>
    <t>=H13</t>
  </si>
  <si>
    <t>=NL(,"UPR00100","FRSTNAME","EMPLOYID",$H13)</t>
  </si>
  <si>
    <t>=NL(,"UPR00100","LASTNAME","EMPLOYID",$H13)</t>
  </si>
  <si>
    <t>=+C13</t>
  </si>
  <si>
    <t>=+D13</t>
  </si>
  <si>
    <t>=E13</t>
  </si>
  <si>
    <t>=G13</t>
  </si>
  <si>
    <t>=+N14</t>
  </si>
  <si>
    <t>=M14</t>
  </si>
  <si>
    <t>=NL(,"UPR30300","CHEKDATE","CHEKNMBR",$M14,"EMPLOYID",$G14)</t>
  </si>
  <si>
    <t>=+C14</t>
  </si>
  <si>
    <t>=+D14</t>
  </si>
  <si>
    <t>=E14</t>
  </si>
  <si>
    <t>=G14</t>
  </si>
  <si>
    <t>=+K14</t>
  </si>
  <si>
    <t>=L14</t>
  </si>
  <si>
    <t>=NF($O15,"PAYRATE")</t>
  </si>
  <si>
    <t>=NF($O15,"PAYROLCD")</t>
  </si>
  <si>
    <t>=NF($O15,"STATECD")</t>
  </si>
  <si>
    <t>=NF($O15,"CHEKDATE")</t>
  </si>
  <si>
    <t>=NF($O15,"UPRTRXAM")</t>
  </si>
  <si>
    <t>=+C15</t>
  </si>
  <si>
    <t>=+D15</t>
  </si>
  <si>
    <t>=E15</t>
  </si>
  <si>
    <t>=G15</t>
  </si>
  <si>
    <t>=+K15</t>
  </si>
  <si>
    <t>=L15</t>
  </si>
  <si>
    <t>=+C16</t>
  </si>
  <si>
    <t>=+D16</t>
  </si>
  <si>
    <t>=E16</t>
  </si>
  <si>
    <t>=G16</t>
  </si>
  <si>
    <t>=+K16</t>
  </si>
  <si>
    <t>=L16</t>
  </si>
  <si>
    <t>="Total for " &amp; $L17</t>
  </si>
  <si>
    <t>=+K17</t>
  </si>
  <si>
    <t>=SUBTOTAL(9,T15:T16)</t>
  </si>
  <si>
    <t>=+C17</t>
  </si>
  <si>
    <t>=+D17</t>
  </si>
  <si>
    <t>=E17</t>
  </si>
  <si>
    <t>=G17</t>
  </si>
  <si>
    <t>=+C18</t>
  </si>
  <si>
    <t>=+D18</t>
  </si>
  <si>
    <t>=E18</t>
  </si>
  <si>
    <t>=G18</t>
  </si>
  <si>
    <t>="Total for " &amp; $G19</t>
  </si>
  <si>
    <t>=+C19</t>
  </si>
  <si>
    <t>=+D19</t>
  </si>
  <si>
    <t>=SUBTOTAL(9,T15:T18)</t>
  </si>
  <si>
    <t>=E19</t>
  </si>
  <si>
    <t>=E20</t>
  </si>
  <si>
    <t>=SUBTOTAL(9,T15:T20)</t>
  </si>
  <si>
    <t>=SUBTOTAL(9,T15:T22)</t>
  </si>
  <si>
    <t>Auto</t>
  </si>
  <si>
    <t>=L17</t>
  </si>
  <si>
    <t>=+K18</t>
  </si>
  <si>
    <t>=L18</t>
  </si>
  <si>
    <t>=G19</t>
  </si>
  <si>
    <t>=+K19</t>
  </si>
  <si>
    <t>=L19</t>
  </si>
  <si>
    <t>=+C22</t>
  </si>
  <si>
    <t>=+D22</t>
  </si>
  <si>
    <t>=E22</t>
  </si>
  <si>
    <t>=G22</t>
  </si>
  <si>
    <t>=+K22</t>
  </si>
  <si>
    <t>=+K23</t>
  </si>
  <si>
    <t>=+C23</t>
  </si>
  <si>
    <t>=+D23</t>
  </si>
  <si>
    <t>=E23</t>
  </si>
  <si>
    <t>=G23</t>
  </si>
  <si>
    <t>=+C24</t>
  </si>
  <si>
    <t>=+D24</t>
  </si>
  <si>
    <t>=E24</t>
  </si>
  <si>
    <t>=G24</t>
  </si>
  <si>
    <t>=+K24</t>
  </si>
  <si>
    <t>=L24</t>
  </si>
  <si>
    <t>=NF($O25,"PAYRATE")</t>
  </si>
  <si>
    <t>=NF($O25,"PAYROLCD")</t>
  </si>
  <si>
    <t>=NF($O25,"STATECD")</t>
  </si>
  <si>
    <t>=NF($O25,"CHEKDATE")</t>
  </si>
  <si>
    <t>=NF($O25,"UPRTRXAM")</t>
  </si>
  <si>
    <t>=+C25</t>
  </si>
  <si>
    <t>=+D25</t>
  </si>
  <si>
    <t>=E25</t>
  </si>
  <si>
    <t>=G25</t>
  </si>
  <si>
    <t>=+K25</t>
  </si>
  <si>
    <t>=L25</t>
  </si>
  <si>
    <t>=+C26</t>
  </si>
  <si>
    <t>=+D26</t>
  </si>
  <si>
    <t>=E26</t>
  </si>
  <si>
    <t>=G26</t>
  </si>
  <si>
    <t>=+K26</t>
  </si>
  <si>
    <t>=L26</t>
  </si>
  <si>
    <t>=+C27</t>
  </si>
  <si>
    <t>=+D27</t>
  </si>
  <si>
    <t>=E27</t>
  </si>
  <si>
    <t>=G27</t>
  </si>
  <si>
    <t>=+K27</t>
  </si>
  <si>
    <t>=L27</t>
  </si>
  <si>
    <t>=+C28</t>
  </si>
  <si>
    <t>=+D28</t>
  </si>
  <si>
    <t>=E28</t>
  </si>
  <si>
    <t>=G28</t>
  </si>
  <si>
    <t>=+K28</t>
  </si>
  <si>
    <t>=L28</t>
  </si>
  <si>
    <t>=+C30</t>
  </si>
  <si>
    <t>=+D30</t>
  </si>
  <si>
    <t>=E30</t>
  </si>
  <si>
    <t>=G30</t>
  </si>
  <si>
    <t>=+K30</t>
  </si>
  <si>
    <t>=L30</t>
  </si>
  <si>
    <t>=+C32</t>
  </si>
  <si>
    <t>=+D32</t>
  </si>
  <si>
    <t>=E32</t>
  </si>
  <si>
    <t>=G32</t>
  </si>
  <si>
    <t>=+K32</t>
  </si>
  <si>
    <t>=L32</t>
  </si>
  <si>
    <t>=+K33</t>
  </si>
  <si>
    <t>=+C33</t>
  </si>
  <si>
    <t>=+D33</t>
  </si>
  <si>
    <t>=E33</t>
  </si>
  <si>
    <t>=G33</t>
  </si>
  <si>
    <t>=+C34</t>
  </si>
  <si>
    <t>=+D34</t>
  </si>
  <si>
    <t>=E34</t>
  </si>
  <si>
    <t>=G34</t>
  </si>
  <si>
    <t>=+K34</t>
  </si>
  <si>
    <t>=L34</t>
  </si>
  <si>
    <t>=NF($O35,"PAYRATE")</t>
  </si>
  <si>
    <t>=NF($O35,"PAYROLCD")</t>
  </si>
  <si>
    <t>=NF($O35,"STATECD")</t>
  </si>
  <si>
    <t>=NF($O35,"CHEKDATE")</t>
  </si>
  <si>
    <t>=NF($O35,"UPRTRXAM")</t>
  </si>
  <si>
    <t>=+C35</t>
  </si>
  <si>
    <t>=+D35</t>
  </si>
  <si>
    <t>=E35</t>
  </si>
  <si>
    <t>=G35</t>
  </si>
  <si>
    <t>=+K35</t>
  </si>
  <si>
    <t>=L35</t>
  </si>
  <si>
    <t>=+C36</t>
  </si>
  <si>
    <t>=+D36</t>
  </si>
  <si>
    <t>=E36</t>
  </si>
  <si>
    <t>=G36</t>
  </si>
  <si>
    <t>=+K36</t>
  </si>
  <si>
    <t>=L36</t>
  </si>
  <si>
    <t>=+C37</t>
  </si>
  <si>
    <t>=+D37</t>
  </si>
  <si>
    <t>=E37</t>
  </si>
  <si>
    <t>=G37</t>
  </si>
  <si>
    <t>=+K37</t>
  </si>
  <si>
    <t>=L37</t>
  </si>
  <si>
    <t>=+C39</t>
  </si>
  <si>
    <t>=+D39</t>
  </si>
  <si>
    <t>=E39</t>
  </si>
  <si>
    <t>=G39</t>
  </si>
  <si>
    <t>=+K39</t>
  </si>
  <si>
    <t>=L39</t>
  </si>
  <si>
    <t>=+C40</t>
  </si>
  <si>
    <t>=+D40</t>
  </si>
  <si>
    <t>=E40</t>
  </si>
  <si>
    <t>=G40</t>
  </si>
  <si>
    <t>=+K40</t>
  </si>
  <si>
    <t>=+C42</t>
  </si>
  <si>
    <t>=+D42</t>
  </si>
  <si>
    <t>=E42</t>
  </si>
  <si>
    <t>=G42</t>
  </si>
  <si>
    <t>=+K42</t>
  </si>
  <si>
    <t>=L42</t>
  </si>
  <si>
    <t>=+K43</t>
  </si>
  <si>
    <t>=+C43</t>
  </si>
  <si>
    <t>=+D43</t>
  </si>
  <si>
    <t>=E43</t>
  </si>
  <si>
    <t>=G43</t>
  </si>
  <si>
    <t>=+C44</t>
  </si>
  <si>
    <t>=+D44</t>
  </si>
  <si>
    <t>=E44</t>
  </si>
  <si>
    <t>=G44</t>
  </si>
  <si>
    <t>=+K44</t>
  </si>
  <si>
    <t>=L44</t>
  </si>
  <si>
    <t>=NF($O45,"PAYRATE")</t>
  </si>
  <si>
    <t>=NF($O45,"PAYROLCD")</t>
  </si>
  <si>
    <t>=NF($O45,"STATECD")</t>
  </si>
  <si>
    <t>=NF($O45,"CHEKDATE")</t>
  </si>
  <si>
    <t>=NF($O45,"UPRTRXAM")</t>
  </si>
  <si>
    <t>=+C45</t>
  </si>
  <si>
    <t>=+D45</t>
  </si>
  <si>
    <t>=E45</t>
  </si>
  <si>
    <t>=G45</t>
  </si>
  <si>
    <t>=+K45</t>
  </si>
  <si>
    <t>=L45</t>
  </si>
  <si>
    <t>=+C46</t>
  </si>
  <si>
    <t>=+D46</t>
  </si>
  <si>
    <t>=E46</t>
  </si>
  <si>
    <t>=G46</t>
  </si>
  <si>
    <t>=+K46</t>
  </si>
  <si>
    <t>=L46</t>
  </si>
  <si>
    <t>=+C48</t>
  </si>
  <si>
    <t>=+D48</t>
  </si>
  <si>
    <t>=E48</t>
  </si>
  <si>
    <t>=G48</t>
  </si>
  <si>
    <t>=+K48</t>
  </si>
  <si>
    <t>=L48</t>
  </si>
  <si>
    <t>=+C49</t>
  </si>
  <si>
    <t>=+D49</t>
  </si>
  <si>
    <t>=E49</t>
  </si>
  <si>
    <t>=G49</t>
  </si>
  <si>
    <t>=+K49</t>
  </si>
  <si>
    <t>=+C50</t>
  </si>
  <si>
    <t>=+D50</t>
  </si>
  <si>
    <t>=E50</t>
  </si>
  <si>
    <t>=G50</t>
  </si>
  <si>
    <t>=+K50</t>
  </si>
  <si>
    <t>=L50</t>
  </si>
  <si>
    <t>=+C51</t>
  </si>
  <si>
    <t>=+D51</t>
  </si>
  <si>
    <t>=E51</t>
  </si>
  <si>
    <t>=G51</t>
  </si>
  <si>
    <t>=+K51</t>
  </si>
  <si>
    <t>=L51</t>
  </si>
  <si>
    <t>=+C53</t>
  </si>
  <si>
    <t>=+D53</t>
  </si>
  <si>
    <t>=E53</t>
  </si>
  <si>
    <t>=G53</t>
  </si>
  <si>
    <t>=+K53</t>
  </si>
  <si>
    <t>=L53</t>
  </si>
  <si>
    <t>=+K54</t>
  </si>
  <si>
    <t>=+C54</t>
  </si>
  <si>
    <t>=+D54</t>
  </si>
  <si>
    <t>=E54</t>
  </si>
  <si>
    <t>=G54</t>
  </si>
  <si>
    <t>=+C55</t>
  </si>
  <si>
    <t>=+D55</t>
  </si>
  <si>
    <t>=E55</t>
  </si>
  <si>
    <t>=G55</t>
  </si>
  <si>
    <t>=+K55</t>
  </si>
  <si>
    <t>=L55</t>
  </si>
  <si>
    <t>=NF($O56,"PAYRATE")</t>
  </si>
  <si>
    <t>=NF($O56,"PAYROLCD")</t>
  </si>
  <si>
    <t>=NF($O56,"STATECD")</t>
  </si>
  <si>
    <t>=NF($O56,"CHEKDATE")</t>
  </si>
  <si>
    <t>=NF($O56,"UPRTRXAM")</t>
  </si>
  <si>
    <t>=+C56</t>
  </si>
  <si>
    <t>=+D56</t>
  </si>
  <si>
    <t>=E56</t>
  </si>
  <si>
    <t>=G56</t>
  </si>
  <si>
    <t>=+K56</t>
  </si>
  <si>
    <t>=L56</t>
  </si>
  <si>
    <t>=+C58</t>
  </si>
  <si>
    <t>=+D58</t>
  </si>
  <si>
    <t>=E58</t>
  </si>
  <si>
    <t>=G58</t>
  </si>
  <si>
    <t>=+K58</t>
  </si>
  <si>
    <t>=L58</t>
  </si>
  <si>
    <t>=+C59</t>
  </si>
  <si>
    <t>=+D59</t>
  </si>
  <si>
    <t>=E59</t>
  </si>
  <si>
    <t>=G59</t>
  </si>
  <si>
    <t>=+K59</t>
  </si>
  <si>
    <t>=+C60</t>
  </si>
  <si>
    <t>=+D60</t>
  </si>
  <si>
    <t>=E60</t>
  </si>
  <si>
    <t>=G60</t>
  </si>
  <si>
    <t>=+K60</t>
  </si>
  <si>
    <t>=L60</t>
  </si>
  <si>
    <t>=+C61</t>
  </si>
  <si>
    <t>=+D61</t>
  </si>
  <si>
    <t>=E61</t>
  </si>
  <si>
    <t>=G61</t>
  </si>
  <si>
    <t>=+K61</t>
  </si>
  <si>
    <t>=L61</t>
  </si>
  <si>
    <t>=+C62</t>
  </si>
  <si>
    <t>=+D62</t>
  </si>
  <si>
    <t>=E62</t>
  </si>
  <si>
    <t>=G62</t>
  </si>
  <si>
    <t>=+K62</t>
  </si>
  <si>
    <t>=L62</t>
  </si>
  <si>
    <t>=+C64</t>
  </si>
  <si>
    <t>=+D64</t>
  </si>
  <si>
    <t>=E64</t>
  </si>
  <si>
    <t>=G64</t>
  </si>
  <si>
    <t>=+K64</t>
  </si>
  <si>
    <t>=L64</t>
  </si>
  <si>
    <t>=+K65</t>
  </si>
  <si>
    <t>=+C65</t>
  </si>
  <si>
    <t>=+D65</t>
  </si>
  <si>
    <t>=E65</t>
  </si>
  <si>
    <t>=G65</t>
  </si>
  <si>
    <t>=+C67</t>
  </si>
  <si>
    <t>=+D67</t>
  </si>
  <si>
    <t>=E67</t>
  </si>
  <si>
    <t>=G67</t>
  </si>
  <si>
    <t>=+K67</t>
  </si>
  <si>
    <t>=L67</t>
  </si>
  <si>
    <t>=+C68</t>
  </si>
  <si>
    <t>=+D68</t>
  </si>
  <si>
    <t>=E68</t>
  </si>
  <si>
    <t>=G68</t>
  </si>
  <si>
    <t>=+K68</t>
  </si>
  <si>
    <t>=+C69</t>
  </si>
  <si>
    <t>=+D69</t>
  </si>
  <si>
    <t>=E69</t>
  </si>
  <si>
    <t>=G69</t>
  </si>
  <si>
    <t>=+K69</t>
  </si>
  <si>
    <t>=L69</t>
  </si>
  <si>
    <t>=+C70</t>
  </si>
  <si>
    <t>=+D70</t>
  </si>
  <si>
    <t>=E70</t>
  </si>
  <si>
    <t>=G70</t>
  </si>
  <si>
    <t>=+K70</t>
  </si>
  <si>
    <t>=L70</t>
  </si>
  <si>
    <t>=+C72</t>
  </si>
  <si>
    <t>=+D72</t>
  </si>
  <si>
    <t>=E72</t>
  </si>
  <si>
    <t>=G72</t>
  </si>
  <si>
    <t>=+K72</t>
  </si>
  <si>
    <t>=L72</t>
  </si>
  <si>
    <t>=+C74</t>
  </si>
  <si>
    <t>=+D74</t>
  </si>
  <si>
    <t>=E74</t>
  </si>
  <si>
    <t>=G74</t>
  </si>
  <si>
    <t>=+K74</t>
  </si>
  <si>
    <t>=L74</t>
  </si>
  <si>
    <t>=+K75</t>
  </si>
  <si>
    <t>=+C77</t>
  </si>
  <si>
    <t>=+D77</t>
  </si>
  <si>
    <t>=E77</t>
  </si>
  <si>
    <t>="Total for " &amp; F12</t>
  </si>
  <si>
    <t>="DD000000000000000041"</t>
  </si>
  <si>
    <t>="DD000000000000000044"</t>
  </si>
  <si>
    <t>="DD000000000000000047"</t>
  </si>
  <si>
    <t>="DD000000000000000050"</t>
  </si>
  <si>
    <t>="DD000000000000000053"</t>
  </si>
  <si>
    <t>="DD000000000000000186"</t>
  </si>
  <si>
    <t>="DD000000000000000188"</t>
  </si>
  <si>
    <t>=+C79</t>
  </si>
  <si>
    <t>=+D79</t>
  </si>
  <si>
    <t>=E79</t>
  </si>
  <si>
    <t>=G79</t>
  </si>
  <si>
    <t>=+C80</t>
  </si>
  <si>
    <t>=+D80</t>
  </si>
  <si>
    <t>=E80</t>
  </si>
  <si>
    <t>="BARR0001"</t>
  </si>
  <si>
    <t>=+C81</t>
  </si>
  <si>
    <t>=+D81</t>
  </si>
  <si>
    <t>=E81</t>
  </si>
  <si>
    <t>=G81</t>
  </si>
  <si>
    <t>=+C82</t>
  </si>
  <si>
    <t>=+D82</t>
  </si>
  <si>
    <t>=E82</t>
  </si>
  <si>
    <t>=G82</t>
  </si>
  <si>
    <t>=+K82</t>
  </si>
  <si>
    <t>=L82</t>
  </si>
  <si>
    <t>=+C83</t>
  </si>
  <si>
    <t>=+D83</t>
  </si>
  <si>
    <t>=E83</t>
  </si>
  <si>
    <t>=G83</t>
  </si>
  <si>
    <t>=+K83</t>
  </si>
  <si>
    <t>=L83</t>
  </si>
  <si>
    <t>=+C84</t>
  </si>
  <si>
    <t>=+D84</t>
  </si>
  <si>
    <t>=E84</t>
  </si>
  <si>
    <t>=G84</t>
  </si>
  <si>
    <t>=+K84</t>
  </si>
  <si>
    <t>=L84</t>
  </si>
  <si>
    <t>=+C86</t>
  </si>
  <si>
    <t>=+D86</t>
  </si>
  <si>
    <t>=E86</t>
  </si>
  <si>
    <t>=G86</t>
  </si>
  <si>
    <t>=+K86</t>
  </si>
  <si>
    <t>=L86</t>
  </si>
  <si>
    <t>=+C87</t>
  </si>
  <si>
    <t>=+D87</t>
  </si>
  <si>
    <t>=E87</t>
  </si>
  <si>
    <t>=G87</t>
  </si>
  <si>
    <t>=+K87</t>
  </si>
  <si>
    <t>=+C89</t>
  </si>
  <si>
    <t>=+D89</t>
  </si>
  <si>
    <t>=E89</t>
  </si>
  <si>
    <t>=G89</t>
  </si>
  <si>
    <t>=+K89</t>
  </si>
  <si>
    <t>=L89</t>
  </si>
  <si>
    <t>=+K90</t>
  </si>
  <si>
    <t>=+C90</t>
  </si>
  <si>
    <t>=+D90</t>
  </si>
  <si>
    <t>=E90</t>
  </si>
  <si>
    <t>=G90</t>
  </si>
  <si>
    <t>="10379"</t>
  </si>
  <si>
    <t>=+C91</t>
  </si>
  <si>
    <t>=+D91</t>
  </si>
  <si>
    <t>=E91</t>
  </si>
  <si>
    <t>=G91</t>
  </si>
  <si>
    <t>=+K91</t>
  </si>
  <si>
    <t>=L91</t>
  </si>
  <si>
    <t>=+C92</t>
  </si>
  <si>
    <t>=+D92</t>
  </si>
  <si>
    <t>=E92</t>
  </si>
  <si>
    <t>=G92</t>
  </si>
  <si>
    <t>=+K92</t>
  </si>
  <si>
    <t>=L92</t>
  </si>
  <si>
    <t>=+C93</t>
  </si>
  <si>
    <t>=+D93</t>
  </si>
  <si>
    <t>=E93</t>
  </si>
  <si>
    <t>=G93</t>
  </si>
  <si>
    <t>=+K93</t>
  </si>
  <si>
    <t>=L93</t>
  </si>
  <si>
    <t>=+C95</t>
  </si>
  <si>
    <t>=+D95</t>
  </si>
  <si>
    <t>=E95</t>
  </si>
  <si>
    <t>=G95</t>
  </si>
  <si>
    <t>=+K95</t>
  </si>
  <si>
    <t>=L95</t>
  </si>
  <si>
    <t>=+C96</t>
  </si>
  <si>
    <t>=+D96</t>
  </si>
  <si>
    <t>=E96</t>
  </si>
  <si>
    <t>=G96</t>
  </si>
  <si>
    <t>=+K96</t>
  </si>
  <si>
    <t>=+C98</t>
  </si>
  <si>
    <t>=+D98</t>
  </si>
  <si>
    <t>=E98</t>
  </si>
  <si>
    <t>=G98</t>
  </si>
  <si>
    <t>=+K98</t>
  </si>
  <si>
    <t>=L98</t>
  </si>
  <si>
    <t>=+K99</t>
  </si>
  <si>
    <t>=+C99</t>
  </si>
  <si>
    <t>=+D99</t>
  </si>
  <si>
    <t>=E99</t>
  </si>
  <si>
    <t>=G99</t>
  </si>
  <si>
    <t>="10404"</t>
  </si>
  <si>
    <t>=+C100</t>
  </si>
  <si>
    <t>=+D100</t>
  </si>
  <si>
    <t>=E100</t>
  </si>
  <si>
    <t>=G100</t>
  </si>
  <si>
    <t>=+K100</t>
  </si>
  <si>
    <t>=L100</t>
  </si>
  <si>
    <t>=+C101</t>
  </si>
  <si>
    <t>=+D101</t>
  </si>
  <si>
    <t>=E101</t>
  </si>
  <si>
    <t>=G101</t>
  </si>
  <si>
    <t>=+K101</t>
  </si>
  <si>
    <t>=L101</t>
  </si>
  <si>
    <t>=+C102</t>
  </si>
  <si>
    <t>=+D102</t>
  </si>
  <si>
    <t>=E102</t>
  </si>
  <si>
    <t>=G102</t>
  </si>
  <si>
    <t>=+K102</t>
  </si>
  <si>
    <t>=L102</t>
  </si>
  <si>
    <t>=+C103</t>
  </si>
  <si>
    <t>=+D103</t>
  </si>
  <si>
    <t>=E103</t>
  </si>
  <si>
    <t>=G103</t>
  </si>
  <si>
    <t>=+K103</t>
  </si>
  <si>
    <t>=L103</t>
  </si>
  <si>
    <t>=+C105</t>
  </si>
  <si>
    <t>=+D105</t>
  </si>
  <si>
    <t>=E105</t>
  </si>
  <si>
    <t>=G105</t>
  </si>
  <si>
    <t>=+K105</t>
  </si>
  <si>
    <t>=L105</t>
  </si>
  <si>
    <t>=+C107</t>
  </si>
  <si>
    <t>=+D107</t>
  </si>
  <si>
    <t>=E107</t>
  </si>
  <si>
    <t>=G107</t>
  </si>
  <si>
    <t>=+K107</t>
  </si>
  <si>
    <t>=L107</t>
  </si>
  <si>
    <t>=+K108</t>
  </si>
  <si>
    <t>=+C108</t>
  </si>
  <si>
    <t>=+D108</t>
  </si>
  <si>
    <t>=E108</t>
  </si>
  <si>
    <t>=G108</t>
  </si>
  <si>
    <t>="10429"</t>
  </si>
  <si>
    <t>=+C109</t>
  </si>
  <si>
    <t>=+D109</t>
  </si>
  <si>
    <t>=E109</t>
  </si>
  <si>
    <t>=G109</t>
  </si>
  <si>
    <t>=+K109</t>
  </si>
  <si>
    <t>=L109</t>
  </si>
  <si>
    <t>=+C110</t>
  </si>
  <si>
    <t>=+D110</t>
  </si>
  <si>
    <t>=E110</t>
  </si>
  <si>
    <t>=G110</t>
  </si>
  <si>
    <t>=+K110</t>
  </si>
  <si>
    <t>=L110</t>
  </si>
  <si>
    <t>=+C111</t>
  </si>
  <si>
    <t>=+D111</t>
  </si>
  <si>
    <t>=E111</t>
  </si>
  <si>
    <t>=G111</t>
  </si>
  <si>
    <t>=+K111</t>
  </si>
  <si>
    <t>=L111</t>
  </si>
  <si>
    <t>=+C112</t>
  </si>
  <si>
    <t>=+D112</t>
  </si>
  <si>
    <t>=E112</t>
  </si>
  <si>
    <t>=G112</t>
  </si>
  <si>
    <t>=+K112</t>
  </si>
  <si>
    <t>=L112</t>
  </si>
  <si>
    <t>=+C114</t>
  </si>
  <si>
    <t>=+D114</t>
  </si>
  <si>
    <t>=E114</t>
  </si>
  <si>
    <t>=G114</t>
  </si>
  <si>
    <t>=+K114</t>
  </si>
  <si>
    <t>=L114</t>
  </si>
  <si>
    <t>=+C116</t>
  </si>
  <si>
    <t>=+D116</t>
  </si>
  <si>
    <t>=E116</t>
  </si>
  <si>
    <t>=G116</t>
  </si>
  <si>
    <t>=+K116</t>
  </si>
  <si>
    <t>=L116</t>
  </si>
  <si>
    <t>=+K117</t>
  </si>
  <si>
    <t>=+C117</t>
  </si>
  <si>
    <t>=+D117</t>
  </si>
  <si>
    <t>=E117</t>
  </si>
  <si>
    <t>=G117</t>
  </si>
  <si>
    <t>="10454"</t>
  </si>
  <si>
    <t>=+C118</t>
  </si>
  <si>
    <t>=+D118</t>
  </si>
  <si>
    <t>=E118</t>
  </si>
  <si>
    <t>=G118</t>
  </si>
  <si>
    <t>=+K118</t>
  </si>
  <si>
    <t>=L118</t>
  </si>
  <si>
    <t>=+C119</t>
  </si>
  <si>
    <t>=+D119</t>
  </si>
  <si>
    <t>=E119</t>
  </si>
  <si>
    <t>=G119</t>
  </si>
  <si>
    <t>=+K119</t>
  </si>
  <si>
    <t>=L119</t>
  </si>
  <si>
    <t>=+C120</t>
  </si>
  <si>
    <t>=+D120</t>
  </si>
  <si>
    <t>=E120</t>
  </si>
  <si>
    <t>=G120</t>
  </si>
  <si>
    <t>=+K120</t>
  </si>
  <si>
    <t>=L120</t>
  </si>
  <si>
    <t>=+C121</t>
  </si>
  <si>
    <t>=+D121</t>
  </si>
  <si>
    <t>=E121</t>
  </si>
  <si>
    <t>=G121</t>
  </si>
  <si>
    <t>=+K121</t>
  </si>
  <si>
    <t>=L121</t>
  </si>
  <si>
    <t>=+C123</t>
  </si>
  <si>
    <t>=+D123</t>
  </si>
  <si>
    <t>=E123</t>
  </si>
  <si>
    <t>=G123</t>
  </si>
  <si>
    <t>=+K123</t>
  </si>
  <si>
    <t>=L123</t>
  </si>
  <si>
    <t>=+C124</t>
  </si>
  <si>
    <t>=+D124</t>
  </si>
  <si>
    <t>=E124</t>
  </si>
  <si>
    <t>=G124</t>
  </si>
  <si>
    <t>=+K124</t>
  </si>
  <si>
    <t>=+C126</t>
  </si>
  <si>
    <t>=+D126</t>
  </si>
  <si>
    <t>=E126</t>
  </si>
  <si>
    <t>=G126</t>
  </si>
  <si>
    <t>=+K126</t>
  </si>
  <si>
    <t>=L126</t>
  </si>
  <si>
    <t>=+K127</t>
  </si>
  <si>
    <t>=+C127</t>
  </si>
  <si>
    <t>=+D127</t>
  </si>
  <si>
    <t>=E127</t>
  </si>
  <si>
    <t>=G127</t>
  </si>
  <si>
    <t>="10479"</t>
  </si>
  <si>
    <t>=+C128</t>
  </si>
  <si>
    <t>=+D128</t>
  </si>
  <si>
    <t>=E128</t>
  </si>
  <si>
    <t>=G128</t>
  </si>
  <si>
    <t>=+K128</t>
  </si>
  <si>
    <t>=L128</t>
  </si>
  <si>
    <t>=+C129</t>
  </si>
  <si>
    <t>=+D129</t>
  </si>
  <si>
    <t>=E129</t>
  </si>
  <si>
    <t>=G129</t>
  </si>
  <si>
    <t>=+K129</t>
  </si>
  <si>
    <t>=L129</t>
  </si>
  <si>
    <t>=+C130</t>
  </si>
  <si>
    <t>=+D130</t>
  </si>
  <si>
    <t>=E130</t>
  </si>
  <si>
    <t>=G130</t>
  </si>
  <si>
    <t>=+K130</t>
  </si>
  <si>
    <t>=L130</t>
  </si>
  <si>
    <t>=+C132</t>
  </si>
  <si>
    <t>=+D132</t>
  </si>
  <si>
    <t>=E132</t>
  </si>
  <si>
    <t>=G132</t>
  </si>
  <si>
    <t>=+K132</t>
  </si>
  <si>
    <t>=L132</t>
  </si>
  <si>
    <t>=+K133</t>
  </si>
  <si>
    <t>=+C135</t>
  </si>
  <si>
    <t>=+D135</t>
  </si>
  <si>
    <t>=E135</t>
  </si>
  <si>
    <t>=+C136</t>
  </si>
  <si>
    <t>=+D136</t>
  </si>
  <si>
    <t>=E136</t>
  </si>
  <si>
    <t>=G136</t>
  </si>
  <si>
    <t>=+N137</t>
  </si>
  <si>
    <t>=M137</t>
  </si>
  <si>
    <t>="11564"</t>
  </si>
  <si>
    <t>=NL(,"UPR30300","CHEKDATE","CHEKNMBR",$M137,"EMPLOYID",$G137)</t>
  </si>
  <si>
    <t>=+C137</t>
  </si>
  <si>
    <t>=+D137</t>
  </si>
  <si>
    <t>=E137</t>
  </si>
  <si>
    <t>=G137</t>
  </si>
  <si>
    <t>=+K137</t>
  </si>
  <si>
    <t>=L137</t>
  </si>
  <si>
    <t>=NF($O138,"PAYRATE")</t>
  </si>
  <si>
    <t>=NF($O138,"PAYROLCD")</t>
  </si>
  <si>
    <t>=NF($O138,"STATECD")</t>
  </si>
  <si>
    <t>=NF($O138,"CHEKDATE")</t>
  </si>
  <si>
    <t>=NF($O138,"UPRTRXAM")</t>
  </si>
  <si>
    <t>=+C138</t>
  </si>
  <si>
    <t>=+D138</t>
  </si>
  <si>
    <t>=E138</t>
  </si>
  <si>
    <t>=G138</t>
  </si>
  <si>
    <t>=+K138</t>
  </si>
  <si>
    <t>=L138</t>
  </si>
  <si>
    <t>=+C140</t>
  </si>
  <si>
    <t>=+D140</t>
  </si>
  <si>
    <t>=E140</t>
  </si>
  <si>
    <t>=G140</t>
  </si>
  <si>
    <t>=+K140</t>
  </si>
  <si>
    <t>=L140</t>
  </si>
  <si>
    <t>=+K141</t>
  </si>
  <si>
    <t>=+C141</t>
  </si>
  <si>
    <t>=+D141</t>
  </si>
  <si>
    <t>=E141</t>
  </si>
  <si>
    <t>=G141</t>
  </si>
  <si>
    <t>="11569"</t>
  </si>
  <si>
    <t>=+C142</t>
  </si>
  <si>
    <t>=+D142</t>
  </si>
  <si>
    <t>=E142</t>
  </si>
  <si>
    <t>=G142</t>
  </si>
  <si>
    <t>=+K142</t>
  </si>
  <si>
    <t>=L142</t>
  </si>
  <si>
    <t>=+C143</t>
  </si>
  <si>
    <t>=+D143</t>
  </si>
  <si>
    <t>=E143</t>
  </si>
  <si>
    <t>=G143</t>
  </si>
  <si>
    <t>=+K143</t>
  </si>
  <si>
    <t>=L143</t>
  </si>
  <si>
    <t>=+C145</t>
  </si>
  <si>
    <t>=+D145</t>
  </si>
  <si>
    <t>=E145</t>
  </si>
  <si>
    <t>=G145</t>
  </si>
  <si>
    <t>=+K145</t>
  </si>
  <si>
    <t>=L145</t>
  </si>
  <si>
    <t>="Total for " &amp; $L146</t>
  </si>
  <si>
    <t>=+K146</t>
  </si>
  <si>
    <t>=+C147</t>
  </si>
  <si>
    <t>=+D147</t>
  </si>
  <si>
    <t>=E147</t>
  </si>
  <si>
    <t>=G147</t>
  </si>
  <si>
    <t>=+C148</t>
  </si>
  <si>
    <t>=+D148</t>
  </si>
  <si>
    <t>=E149</t>
  </si>
  <si>
    <t>="SALES"</t>
  </si>
  <si>
    <t>=E151</t>
  </si>
  <si>
    <t>=+C152</t>
  </si>
  <si>
    <t>=+D152</t>
  </si>
  <si>
    <t>=E152</t>
  </si>
  <si>
    <t>=G152</t>
  </si>
  <si>
    <t>=+C153</t>
  </si>
  <si>
    <t>=+D153</t>
  </si>
  <si>
    <t>=E153</t>
  </si>
  <si>
    <t>=G153</t>
  </si>
  <si>
    <t>=+K153</t>
  </si>
  <si>
    <t>=L153</t>
  </si>
  <si>
    <t>=+C155</t>
  </si>
  <si>
    <t>=+D155</t>
  </si>
  <si>
    <t>=E155</t>
  </si>
  <si>
    <t>=G155</t>
  </si>
  <si>
    <t>=+K155</t>
  </si>
  <si>
    <t>=L155</t>
  </si>
  <si>
    <t>=+C156</t>
  </si>
  <si>
    <t>=+D156</t>
  </si>
  <si>
    <t>=E156</t>
  </si>
  <si>
    <t>=G156</t>
  </si>
  <si>
    <t>=+K156</t>
  </si>
  <si>
    <t>=+C157</t>
  </si>
  <si>
    <t>=+D157</t>
  </si>
  <si>
    <t>=E157</t>
  </si>
  <si>
    <t>=G157</t>
  </si>
  <si>
    <t>=+K157</t>
  </si>
  <si>
    <t>=L157</t>
  </si>
  <si>
    <t>=NF($O158,"PAYRATE")</t>
  </si>
  <si>
    <t>=NF($O158,"PAYROLCD")</t>
  </si>
  <si>
    <t>=NF($O158,"STATECD")</t>
  </si>
  <si>
    <t>=NF($O158,"CHEKDATE")</t>
  </si>
  <si>
    <t>=NF($O158,"UPRTRXAM")</t>
  </si>
  <si>
    <t>=+C158</t>
  </si>
  <si>
    <t>=+D158</t>
  </si>
  <si>
    <t>=E158</t>
  </si>
  <si>
    <t>=G158</t>
  </si>
  <si>
    <t>=+K158</t>
  </si>
  <si>
    <t>=L158</t>
  </si>
  <si>
    <t>=+C160</t>
  </si>
  <si>
    <t>=+D160</t>
  </si>
  <si>
    <t>=E160</t>
  </si>
  <si>
    <t>=G160</t>
  </si>
  <si>
    <t>=+K160</t>
  </si>
  <si>
    <t>=L160</t>
  </si>
  <si>
    <t>=+K161</t>
  </si>
  <si>
    <t>=+C161</t>
  </si>
  <si>
    <t>=+D161</t>
  </si>
  <si>
    <t>=E161</t>
  </si>
  <si>
    <t>=G161</t>
  </si>
  <si>
    <t>="DD000000000000000042"</t>
  </si>
  <si>
    <t>=+C162</t>
  </si>
  <si>
    <t>=+D162</t>
  </si>
  <si>
    <t>=E162</t>
  </si>
  <si>
    <t>=G162</t>
  </si>
  <si>
    <t>=+K162</t>
  </si>
  <si>
    <t>=L162</t>
  </si>
  <si>
    <t>=+C163</t>
  </si>
  <si>
    <t>=+D163</t>
  </si>
  <si>
    <t>=E163</t>
  </si>
  <si>
    <t>=G163</t>
  </si>
  <si>
    <t>=+K163</t>
  </si>
  <si>
    <t>=L163</t>
  </si>
  <si>
    <t>=+C165</t>
  </si>
  <si>
    <t>=+D165</t>
  </si>
  <si>
    <t>=E165</t>
  </si>
  <si>
    <t>=G165</t>
  </si>
  <si>
    <t>=+K165</t>
  </si>
  <si>
    <t>=L165</t>
  </si>
  <si>
    <t>=+C166</t>
  </si>
  <si>
    <t>=+D166</t>
  </si>
  <si>
    <t>=E166</t>
  </si>
  <si>
    <t>=G166</t>
  </si>
  <si>
    <t>=+K166</t>
  </si>
  <si>
    <t>=+C167</t>
  </si>
  <si>
    <t>=+D167</t>
  </si>
  <si>
    <t>=E167</t>
  </si>
  <si>
    <t>=G167</t>
  </si>
  <si>
    <t>=+K167</t>
  </si>
  <si>
    <t>=L167</t>
  </si>
  <si>
    <t>=NF($O168,"PAYRATE")</t>
  </si>
  <si>
    <t>=NF($O168,"PAYROLCD")</t>
  </si>
  <si>
    <t>=NF($O168,"STATECD")</t>
  </si>
  <si>
    <t>=NF($O168,"CHEKDATE")</t>
  </si>
  <si>
    <t>=NF($O168,"UPRTRXAM")</t>
  </si>
  <si>
    <t>=+C169</t>
  </si>
  <si>
    <t>=+D169</t>
  </si>
  <si>
    <t>=E169</t>
  </si>
  <si>
    <t>=G169</t>
  </si>
  <si>
    <t>=+K169</t>
  </si>
  <si>
    <t>=L169</t>
  </si>
  <si>
    <t>=+K170</t>
  </si>
  <si>
    <t>=+C170</t>
  </si>
  <si>
    <t>=+D170</t>
  </si>
  <si>
    <t>=E170</t>
  </si>
  <si>
    <t>=G170</t>
  </si>
  <si>
    <t>="DD000000000000000045"</t>
  </si>
  <si>
    <t>=+C171</t>
  </si>
  <si>
    <t>=+D171</t>
  </si>
  <si>
    <t>=E171</t>
  </si>
  <si>
    <t>=G171</t>
  </si>
  <si>
    <t>=+K171</t>
  </si>
  <si>
    <t>=L171</t>
  </si>
  <si>
    <t>=+C172</t>
  </si>
  <si>
    <t>=+D172</t>
  </si>
  <si>
    <t>=E172</t>
  </si>
  <si>
    <t>=G172</t>
  </si>
  <si>
    <t>=+K172</t>
  </si>
  <si>
    <t>=L172</t>
  </si>
  <si>
    <t>=+C173</t>
  </si>
  <si>
    <t>=+D173</t>
  </si>
  <si>
    <t>=E173</t>
  </si>
  <si>
    <t>=G173</t>
  </si>
  <si>
    <t>=+K173</t>
  </si>
  <si>
    <t>=L173</t>
  </si>
  <si>
    <t>=+C175</t>
  </si>
  <si>
    <t>=+D175</t>
  </si>
  <si>
    <t>=E175</t>
  </si>
  <si>
    <t>=G175</t>
  </si>
  <si>
    <t>=+K175</t>
  </si>
  <si>
    <t>=L175</t>
  </si>
  <si>
    <t>=+C176</t>
  </si>
  <si>
    <t>=+D176</t>
  </si>
  <si>
    <t>=E176</t>
  </si>
  <si>
    <t>=G176</t>
  </si>
  <si>
    <t>=+K176</t>
  </si>
  <si>
    <t>=+C178</t>
  </si>
  <si>
    <t>=+D178</t>
  </si>
  <si>
    <t>=E178</t>
  </si>
  <si>
    <t>=G178</t>
  </si>
  <si>
    <t>=+K178</t>
  </si>
  <si>
    <t>=L178</t>
  </si>
  <si>
    <t>=+K179</t>
  </si>
  <si>
    <t>=+C179</t>
  </si>
  <si>
    <t>=+D179</t>
  </si>
  <si>
    <t>=E179</t>
  </si>
  <si>
    <t>=G179</t>
  </si>
  <si>
    <t>="DD000000000000000048"</t>
  </si>
  <si>
    <t>=+C180</t>
  </si>
  <si>
    <t>=+D180</t>
  </si>
  <si>
    <t>=E180</t>
  </si>
  <si>
    <t>=G180</t>
  </si>
  <si>
    <t>=+K180</t>
  </si>
  <si>
    <t>=L180</t>
  </si>
  <si>
    <t>=+C181</t>
  </si>
  <si>
    <t>=+D181</t>
  </si>
  <si>
    <t>=E181</t>
  </si>
  <si>
    <t>=G181</t>
  </si>
  <si>
    <t>=+K181</t>
  </si>
  <si>
    <t>=L181</t>
  </si>
  <si>
    <t>=+C182</t>
  </si>
  <si>
    <t>=+D182</t>
  </si>
  <si>
    <t>=E182</t>
  </si>
  <si>
    <t>=G182</t>
  </si>
  <si>
    <t>=+K182</t>
  </si>
  <si>
    <t>=L182</t>
  </si>
  <si>
    <t>=+C183</t>
  </si>
  <si>
    <t>=+D183</t>
  </si>
  <si>
    <t>=E183</t>
  </si>
  <si>
    <t>=G183</t>
  </si>
  <si>
    <t>=+K183</t>
  </si>
  <si>
    <t>=L183</t>
  </si>
  <si>
    <t>=+C185</t>
  </si>
  <si>
    <t>=+D185</t>
  </si>
  <si>
    <t>=E185</t>
  </si>
  <si>
    <t>=G185</t>
  </si>
  <si>
    <t>=+K185</t>
  </si>
  <si>
    <t>=L185</t>
  </si>
  <si>
    <t>=+C186</t>
  </si>
  <si>
    <t>=+D186</t>
  </si>
  <si>
    <t>=E186</t>
  </si>
  <si>
    <t>=G186</t>
  </si>
  <si>
    <t>=+K186</t>
  </si>
  <si>
    <t>=+C188</t>
  </si>
  <si>
    <t>=+D188</t>
  </si>
  <si>
    <t>=E188</t>
  </si>
  <si>
    <t>=G188</t>
  </si>
  <si>
    <t>=+K188</t>
  </si>
  <si>
    <t>=L188</t>
  </si>
  <si>
    <t>=+K189</t>
  </si>
  <si>
    <t>=+C189</t>
  </si>
  <si>
    <t>=+D189</t>
  </si>
  <si>
    <t>=E189</t>
  </si>
  <si>
    <t>=G189</t>
  </si>
  <si>
    <t>="DD000000000000000051"</t>
  </si>
  <si>
    <t>=+C190</t>
  </si>
  <si>
    <t>=+D190</t>
  </si>
  <si>
    <t>=E190</t>
  </si>
  <si>
    <t>=G190</t>
  </si>
  <si>
    <t>=+K190</t>
  </si>
  <si>
    <t>=L190</t>
  </si>
  <si>
    <t>=+C191</t>
  </si>
  <si>
    <t>=+D191</t>
  </si>
  <si>
    <t>=E191</t>
  </si>
  <si>
    <t>=G191</t>
  </si>
  <si>
    <t>=+K191</t>
  </si>
  <si>
    <t>=L191</t>
  </si>
  <si>
    <t>=+C192</t>
  </si>
  <si>
    <t>=+D192</t>
  </si>
  <si>
    <t>=E192</t>
  </si>
  <si>
    <t>=G192</t>
  </si>
  <si>
    <t>=+K192</t>
  </si>
  <si>
    <t>=L192</t>
  </si>
  <si>
    <t>=+C193</t>
  </si>
  <si>
    <t>=+D193</t>
  </si>
  <si>
    <t>=E193</t>
  </si>
  <si>
    <t>=G193</t>
  </si>
  <si>
    <t>=+K193</t>
  </si>
  <si>
    <t>=L193</t>
  </si>
  <si>
    <t>=+C195</t>
  </si>
  <si>
    <t>=+D195</t>
  </si>
  <si>
    <t>=E195</t>
  </si>
  <si>
    <t>=G195</t>
  </si>
  <si>
    <t>=+K195</t>
  </si>
  <si>
    <t>=L195</t>
  </si>
  <si>
    <t>=+K196</t>
  </si>
  <si>
    <t>=+C198</t>
  </si>
  <si>
    <t>=+D198</t>
  </si>
  <si>
    <t>=E198</t>
  </si>
  <si>
    <t>=+C199</t>
  </si>
  <si>
    <t>=+D199</t>
  </si>
  <si>
    <t>=E199</t>
  </si>
  <si>
    <t>=G199</t>
  </si>
  <si>
    <t>=+N200</t>
  </si>
  <si>
    <t>=M200</t>
  </si>
  <si>
    <t>="DD000000000000000054"</t>
  </si>
  <si>
    <t>=NL(,"UPR30300","CHEKDATE","CHEKNMBR",$M200,"EMPLOYID",$G200)</t>
  </si>
  <si>
    <t>=+C200</t>
  </si>
  <si>
    <t>=+D200</t>
  </si>
  <si>
    <t>=E200</t>
  </si>
  <si>
    <t>=G200</t>
  </si>
  <si>
    <t>=+K200</t>
  </si>
  <si>
    <t>=L200</t>
  </si>
  <si>
    <t>=NF($O201,"PAYRATE")</t>
  </si>
  <si>
    <t>=NF($O201,"PAYROLCD")</t>
  </si>
  <si>
    <t>=NF($O201,"STATECD")</t>
  </si>
  <si>
    <t>=NF($O201,"CHEKDATE")</t>
  </si>
  <si>
    <t>=NF($O201,"UPRTRXAM")</t>
  </si>
  <si>
    <t>=+C201</t>
  </si>
  <si>
    <t>=+D201</t>
  </si>
  <si>
    <t>=E201</t>
  </si>
  <si>
    <t>=G201</t>
  </si>
  <si>
    <t>=+K201</t>
  </si>
  <si>
    <t>=L201</t>
  </si>
  <si>
    <t>=+C202</t>
  </si>
  <si>
    <t>=+D202</t>
  </si>
  <si>
    <t>=E202</t>
  </si>
  <si>
    <t>=G202</t>
  </si>
  <si>
    <t>=+K202</t>
  </si>
  <si>
    <t>=L202</t>
  </si>
  <si>
    <t>=+C203</t>
  </si>
  <si>
    <t>=+D203</t>
  </si>
  <si>
    <t>=E203</t>
  </si>
  <si>
    <t>=G203</t>
  </si>
  <si>
    <t>=+K203</t>
  </si>
  <si>
    <t>=L203</t>
  </si>
  <si>
    <t>=+C204</t>
  </si>
  <si>
    <t>=+D204</t>
  </si>
  <si>
    <t>=E204</t>
  </si>
  <si>
    <t>=G204</t>
  </si>
  <si>
    <t>=+K204</t>
  </si>
  <si>
    <t>=L204</t>
  </si>
  <si>
    <t>=+C205</t>
  </si>
  <si>
    <t>=+D205</t>
  </si>
  <si>
    <t>=E205</t>
  </si>
  <si>
    <t>=G205</t>
  </si>
  <si>
    <t>=+K205</t>
  </si>
  <si>
    <t>=L205</t>
  </si>
  <si>
    <t>=+C207</t>
  </si>
  <si>
    <t>=+D207</t>
  </si>
  <si>
    <t>=E207</t>
  </si>
  <si>
    <t>=G207</t>
  </si>
  <si>
    <t>=+K207</t>
  </si>
  <si>
    <t>=L207</t>
  </si>
  <si>
    <t>="Total for " &amp; $L208</t>
  </si>
  <si>
    <t>=+K208</t>
  </si>
  <si>
    <t>=SUBTOTAL(9,T201:T207)</t>
  </si>
  <si>
    <t>=+C209</t>
  </si>
  <si>
    <t>=+D209</t>
  </si>
  <si>
    <t>=E209</t>
  </si>
  <si>
    <t>=G209</t>
  </si>
  <si>
    <t>=+C210</t>
  </si>
  <si>
    <t>=+D210</t>
  </si>
  <si>
    <t>=E210</t>
  </si>
  <si>
    <t>="BUCH0001"</t>
  </si>
  <si>
    <t>=+C211</t>
  </si>
  <si>
    <t>=+D211</t>
  </si>
  <si>
    <t>=E211</t>
  </si>
  <si>
    <t>=G211</t>
  </si>
  <si>
    <t>=+C212</t>
  </si>
  <si>
    <t>=+D212</t>
  </si>
  <si>
    <t>=E212</t>
  </si>
  <si>
    <t>=G212</t>
  </si>
  <si>
    <t>=+K212</t>
  </si>
  <si>
    <t>=L212</t>
  </si>
  <si>
    <t>=+C213</t>
  </si>
  <si>
    <t>=+D213</t>
  </si>
  <si>
    <t>=E213</t>
  </si>
  <si>
    <t>=G213</t>
  </si>
  <si>
    <t>=+K213</t>
  </si>
  <si>
    <t>=L213</t>
  </si>
  <si>
    <t>=+C214</t>
  </si>
  <si>
    <t>=+D214</t>
  </si>
  <si>
    <t>=E214</t>
  </si>
  <si>
    <t>=G214</t>
  </si>
  <si>
    <t>=+K214</t>
  </si>
  <si>
    <t>=L214</t>
  </si>
  <si>
    <t>=+C215</t>
  </si>
  <si>
    <t>=+D215</t>
  </si>
  <si>
    <t>=E215</t>
  </si>
  <si>
    <t>=G215</t>
  </si>
  <si>
    <t>=+K215</t>
  </si>
  <si>
    <t>=L215</t>
  </si>
  <si>
    <t>=+C217</t>
  </si>
  <si>
    <t>=+D217</t>
  </si>
  <si>
    <t>=E217</t>
  </si>
  <si>
    <t>=G217</t>
  </si>
  <si>
    <t>=+K217</t>
  </si>
  <si>
    <t>=L217</t>
  </si>
  <si>
    <t>=+C219</t>
  </si>
  <si>
    <t>=+D219</t>
  </si>
  <si>
    <t>=E219</t>
  </si>
  <si>
    <t>=G219</t>
  </si>
  <si>
    <t>=+K219</t>
  </si>
  <si>
    <t>=L219</t>
  </si>
  <si>
    <t>=+K220</t>
  </si>
  <si>
    <t>=+C220</t>
  </si>
  <si>
    <t>=+D220</t>
  </si>
  <si>
    <t>=E220</t>
  </si>
  <si>
    <t>=G220</t>
  </si>
  <si>
    <t>="10380"</t>
  </si>
  <si>
    <t>=+C221</t>
  </si>
  <si>
    <t>=+D221</t>
  </si>
  <si>
    <t>=E221</t>
  </si>
  <si>
    <t>=G221</t>
  </si>
  <si>
    <t>=+K221</t>
  </si>
  <si>
    <t>=L221</t>
  </si>
  <si>
    <t>=+C222</t>
  </si>
  <si>
    <t>=+D222</t>
  </si>
  <si>
    <t>=E222</t>
  </si>
  <si>
    <t>=G222</t>
  </si>
  <si>
    <t>=+K222</t>
  </si>
  <si>
    <t>=L222</t>
  </si>
  <si>
    <t>=+C223</t>
  </si>
  <si>
    <t>=+D223</t>
  </si>
  <si>
    <t>=E223</t>
  </si>
  <si>
    <t>=G223</t>
  </si>
  <si>
    <t>=+K223</t>
  </si>
  <si>
    <t>=L223</t>
  </si>
  <si>
    <t>=+C224</t>
  </si>
  <si>
    <t>=+D224</t>
  </si>
  <si>
    <t>=E224</t>
  </si>
  <si>
    <t>=G224</t>
  </si>
  <si>
    <t>=+K224</t>
  </si>
  <si>
    <t>=L224</t>
  </si>
  <si>
    <t>=+C226</t>
  </si>
  <si>
    <t>=+D226</t>
  </si>
  <si>
    <t>=E226</t>
  </si>
  <si>
    <t>=G226</t>
  </si>
  <si>
    <t>=+K226</t>
  </si>
  <si>
    <t>=L226</t>
  </si>
  <si>
    <t>=+C228</t>
  </si>
  <si>
    <t>=+D228</t>
  </si>
  <si>
    <t>=E228</t>
  </si>
  <si>
    <t>=G228</t>
  </si>
  <si>
    <t>=+K228</t>
  </si>
  <si>
    <t>=L228</t>
  </si>
  <si>
    <t>=+K229</t>
  </si>
  <si>
    <t>=+C229</t>
  </si>
  <si>
    <t>=+D229</t>
  </si>
  <si>
    <t>=E229</t>
  </si>
  <si>
    <t>=G229</t>
  </si>
  <si>
    <t>="10405"</t>
  </si>
  <si>
    <t>=+C230</t>
  </si>
  <si>
    <t>=+D230</t>
  </si>
  <si>
    <t>=E230</t>
  </si>
  <si>
    <t>=G230</t>
  </si>
  <si>
    <t>=+K230</t>
  </si>
  <si>
    <t>=L230</t>
  </si>
  <si>
    <t>=+C231</t>
  </si>
  <si>
    <t>=+D231</t>
  </si>
  <si>
    <t>=E231</t>
  </si>
  <si>
    <t>=G231</t>
  </si>
  <si>
    <t>=+K231</t>
  </si>
  <si>
    <t>=L231</t>
  </si>
  <si>
    <t>=+C232</t>
  </si>
  <si>
    <t>=+D232</t>
  </si>
  <si>
    <t>=E232</t>
  </si>
  <si>
    <t>=G232</t>
  </si>
  <si>
    <t>=+K232</t>
  </si>
  <si>
    <t>=L232</t>
  </si>
  <si>
    <t>=+C233</t>
  </si>
  <si>
    <t>=+D233</t>
  </si>
  <si>
    <t>=E233</t>
  </si>
  <si>
    <t>=G233</t>
  </si>
  <si>
    <t>=+K233</t>
  </si>
  <si>
    <t>=L233</t>
  </si>
  <si>
    <t>=+C235</t>
  </si>
  <si>
    <t>=+D235</t>
  </si>
  <si>
    <t>=E235</t>
  </si>
  <si>
    <t>=G235</t>
  </si>
  <si>
    <t>=+K235</t>
  </si>
  <si>
    <t>=L235</t>
  </si>
  <si>
    <t>=+C237</t>
  </si>
  <si>
    <t>=+D237</t>
  </si>
  <si>
    <t>=E237</t>
  </si>
  <si>
    <t>=G237</t>
  </si>
  <si>
    <t>=+K237</t>
  </si>
  <si>
    <t>=L237</t>
  </si>
  <si>
    <t>=+K238</t>
  </si>
  <si>
    <t>=+C238</t>
  </si>
  <si>
    <t>=+D238</t>
  </si>
  <si>
    <t>=E238</t>
  </si>
  <si>
    <t>=G238</t>
  </si>
  <si>
    <t>="10430"</t>
  </si>
  <si>
    <t>=+C239</t>
  </si>
  <si>
    <t>=+D239</t>
  </si>
  <si>
    <t>=E239</t>
  </si>
  <si>
    <t>=G239</t>
  </si>
  <si>
    <t>=+K239</t>
  </si>
  <si>
    <t>=L239</t>
  </si>
  <si>
    <t>=+C240</t>
  </si>
  <si>
    <t>=+D240</t>
  </si>
  <si>
    <t>=E240</t>
  </si>
  <si>
    <t>=G240</t>
  </si>
  <si>
    <t>=+K240</t>
  </si>
  <si>
    <t>=L240</t>
  </si>
  <si>
    <t>=+C241</t>
  </si>
  <si>
    <t>=+D241</t>
  </si>
  <si>
    <t>=E241</t>
  </si>
  <si>
    <t>=G241</t>
  </si>
  <si>
    <t>=+K241</t>
  </si>
  <si>
    <t>=L241</t>
  </si>
  <si>
    <t>=+C242</t>
  </si>
  <si>
    <t>=+D242</t>
  </si>
  <si>
    <t>=E242</t>
  </si>
  <si>
    <t>=G242</t>
  </si>
  <si>
    <t>=+K242</t>
  </si>
  <si>
    <t>=L242</t>
  </si>
  <si>
    <t>=+C244</t>
  </si>
  <si>
    <t>=+D244</t>
  </si>
  <si>
    <t>=E244</t>
  </si>
  <si>
    <t>=G244</t>
  </si>
  <si>
    <t>=+K244</t>
  </si>
  <si>
    <t>=L244</t>
  </si>
  <si>
    <t>=+C246</t>
  </si>
  <si>
    <t>=+D246</t>
  </si>
  <si>
    <t>=E246</t>
  </si>
  <si>
    <t>=G246</t>
  </si>
  <si>
    <t>=+K246</t>
  </si>
  <si>
    <t>=L246</t>
  </si>
  <si>
    <t>=+K247</t>
  </si>
  <si>
    <t>=+C247</t>
  </si>
  <si>
    <t>=+D247</t>
  </si>
  <si>
    <t>=E247</t>
  </si>
  <si>
    <t>=G247</t>
  </si>
  <si>
    <t>="10455"</t>
  </si>
  <si>
    <t>=+C248</t>
  </si>
  <si>
    <t>=+D248</t>
  </si>
  <si>
    <t>=E248</t>
  </si>
  <si>
    <t>=G248</t>
  </si>
  <si>
    <t>=+K248</t>
  </si>
  <si>
    <t>=L248</t>
  </si>
  <si>
    <t>=+C249</t>
  </si>
  <si>
    <t>=+D249</t>
  </si>
  <si>
    <t>=E249</t>
  </si>
  <si>
    <t>=G249</t>
  </si>
  <si>
    <t>=+K249</t>
  </si>
  <si>
    <t>=L249</t>
  </si>
  <si>
    <t>=+C250</t>
  </si>
  <si>
    <t>=+D250</t>
  </si>
  <si>
    <t>=E250</t>
  </si>
  <si>
    <t>=G250</t>
  </si>
  <si>
    <t>=+K250</t>
  </si>
  <si>
    <t>=L250</t>
  </si>
  <si>
    <t>=+C251</t>
  </si>
  <si>
    <t>=+D251</t>
  </si>
  <si>
    <t>=E251</t>
  </si>
  <si>
    <t>=G251</t>
  </si>
  <si>
    <t>=+K251</t>
  </si>
  <si>
    <t>=L251</t>
  </si>
  <si>
    <t>=+C253</t>
  </si>
  <si>
    <t>=+D253</t>
  </si>
  <si>
    <t>=E253</t>
  </si>
  <si>
    <t>=G253</t>
  </si>
  <si>
    <t>=+K253</t>
  </si>
  <si>
    <t>=L253</t>
  </si>
  <si>
    <t>=+C255</t>
  </si>
  <si>
    <t>=+D255</t>
  </si>
  <si>
    <t>=E255</t>
  </si>
  <si>
    <t>=G255</t>
  </si>
  <si>
    <t>=+C256</t>
  </si>
  <si>
    <t>=+D256</t>
  </si>
  <si>
    <t>="10480"</t>
  </si>
  <si>
    <t>=E257</t>
  </si>
  <si>
    <t>=E259</t>
  </si>
  <si>
    <t>=+C260</t>
  </si>
  <si>
    <t>=+D260</t>
  </si>
  <si>
    <t>=E260</t>
  </si>
  <si>
    <t>=G260</t>
  </si>
  <si>
    <t>=+C261</t>
  </si>
  <si>
    <t>=+D261</t>
  </si>
  <si>
    <t>=E261</t>
  </si>
  <si>
    <t>=G261</t>
  </si>
  <si>
    <t>=+K261</t>
  </si>
  <si>
    <t>=L261</t>
  </si>
  <si>
    <t>=NF($O262,"PAYRATE")</t>
  </si>
  <si>
    <t>=NF($O262,"PAYROLCD")</t>
  </si>
  <si>
    <t>=NF($O262,"STATECD")</t>
  </si>
  <si>
    <t>=NF($O262,"CHEKDATE")</t>
  </si>
  <si>
    <t>=NF($O262,"UPRTRXAM")</t>
  </si>
  <si>
    <t>=+C262</t>
  </si>
  <si>
    <t>=+D262</t>
  </si>
  <si>
    <t>=E262</t>
  </si>
  <si>
    <t>=G262</t>
  </si>
  <si>
    <t>=+K262</t>
  </si>
  <si>
    <t>=L262</t>
  </si>
  <si>
    <t>=+C264</t>
  </si>
  <si>
    <t>=+D264</t>
  </si>
  <si>
    <t>=E264</t>
  </si>
  <si>
    <t>=G264</t>
  </si>
  <si>
    <t>=+K264</t>
  </si>
  <si>
    <t>=L264</t>
  </si>
  <si>
    <t>=+K265</t>
  </si>
  <si>
    <t>=+C265</t>
  </si>
  <si>
    <t>=+D265</t>
  </si>
  <si>
    <t>=E265</t>
  </si>
  <si>
    <t>=G265</t>
  </si>
  <si>
    <t>="11607"</t>
  </si>
  <si>
    <t>=+C266</t>
  </si>
  <si>
    <t>=+D266</t>
  </si>
  <si>
    <t>=E266</t>
  </si>
  <si>
    <t>=G266</t>
  </si>
  <si>
    <t>=+K266</t>
  </si>
  <si>
    <t>=L266</t>
  </si>
  <si>
    <t>=+C269</t>
  </si>
  <si>
    <t>=+D269</t>
  </si>
  <si>
    <t>=E269</t>
  </si>
  <si>
    <t>=G269</t>
  </si>
  <si>
    <t>=+K269</t>
  </si>
  <si>
    <t>=+K270</t>
  </si>
  <si>
    <t>=+C270</t>
  </si>
  <si>
    <t>=+D270</t>
  </si>
  <si>
    <t>=E270</t>
  </si>
  <si>
    <t>=G270</t>
  </si>
  <si>
    <t>="11611"</t>
  </si>
  <si>
    <t>=+C271</t>
  </si>
  <si>
    <t>=+D271</t>
  </si>
  <si>
    <t>=E271</t>
  </si>
  <si>
    <t>=G271</t>
  </si>
  <si>
    <t>=+K271</t>
  </si>
  <si>
    <t>=L271</t>
  </si>
  <si>
    <t>=+C272</t>
  </si>
  <si>
    <t>=+D272</t>
  </si>
  <si>
    <t>=E272</t>
  </si>
  <si>
    <t>=G272</t>
  </si>
  <si>
    <t>=+K272</t>
  </si>
  <si>
    <t>=L272</t>
  </si>
  <si>
    <t>=+C274</t>
  </si>
  <si>
    <t>=+D274</t>
  </si>
  <si>
    <t>=E274</t>
  </si>
  <si>
    <t>=G274</t>
  </si>
  <si>
    <t>=+K274</t>
  </si>
  <si>
    <t>=L274</t>
  </si>
  <si>
    <t>=+K275</t>
  </si>
  <si>
    <t>=+C277</t>
  </si>
  <si>
    <t>=+D277</t>
  </si>
  <si>
    <t>=E278</t>
  </si>
  <si>
    <t>="1/1/2015..6/1/2015"</t>
  </si>
  <si>
    <t>="*"</t>
  </si>
  <si>
    <t>=+C20</t>
  </si>
  <si>
    <t>=+D20</t>
  </si>
  <si>
    <t>=G20</t>
  </si>
  <si>
    <t>=+K20</t>
  </si>
  <si>
    <t>=L20</t>
  </si>
  <si>
    <t>=L22</t>
  </si>
  <si>
    <t>="Total for " &amp; $L23</t>
  </si>
  <si>
    <t>=+N24</t>
  </si>
  <si>
    <t>=M24</t>
  </si>
  <si>
    <t>="10383"</t>
  </si>
  <si>
    <t>=NL(,"UPR30300","CHEKDATE","CHEKNMBR",$M24,"EMPLOYID",$G24)</t>
  </si>
  <si>
    <t>=+C29</t>
  </si>
  <si>
    <t>=+D29</t>
  </si>
  <si>
    <t>=E29</t>
  </si>
  <si>
    <t>=G29</t>
  </si>
  <si>
    <t>=+K29</t>
  </si>
  <si>
    <t>=L29</t>
  </si>
  <si>
    <t>="Total for " &amp; $L33</t>
  </si>
  <si>
    <t>=SUBTOTAL(9,T25:T32)</t>
  </si>
  <si>
    <t>=+N34</t>
  </si>
  <si>
    <t>=M34</t>
  </si>
  <si>
    <t>="10408"</t>
  </si>
  <si>
    <t>=NL(,"UPR30300","CHEKDATE","CHEKNMBR",$M34,"EMPLOYID",$G34)</t>
  </si>
  <si>
    <t>=+C38</t>
  </si>
  <si>
    <t>=+D38</t>
  </si>
  <si>
    <t>=E38</t>
  </si>
  <si>
    <t>=G38</t>
  </si>
  <si>
    <t>=+K38</t>
  </si>
  <si>
    <t>=L38</t>
  </si>
  <si>
    <t>=L40</t>
  </si>
  <si>
    <t>="Total for " &amp; $L43</t>
  </si>
  <si>
    <t>=SUBTOTAL(9,T35:T42)</t>
  </si>
  <si>
    <t>=+N44</t>
  </si>
  <si>
    <t>=M44</t>
  </si>
  <si>
    <t>="10433"</t>
  </si>
  <si>
    <t>=NL(,"UPR30300","CHEKDATE","CHEKNMBR",$M44,"EMPLOYID",$G44)</t>
  </si>
  <si>
    <t>=+C47</t>
  </si>
  <si>
    <t>=+D47</t>
  </si>
  <si>
    <t>=E47</t>
  </si>
  <si>
    <t>=G47</t>
  </si>
  <si>
    <t>=+K47</t>
  </si>
  <si>
    <t>=L47</t>
  </si>
  <si>
    <t>=L49</t>
  </si>
  <si>
    <t>="Total for " &amp; $L54</t>
  </si>
  <si>
    <t>=SUBTOTAL(9,T45:T53)</t>
  </si>
  <si>
    <t>=+N55</t>
  </si>
  <si>
    <t>=M55</t>
  </si>
  <si>
    <t>="10458"</t>
  </si>
  <si>
    <t>=NL(,"UPR30300","CHEKDATE","CHEKNMBR",$M55,"EMPLOYID",$G55)</t>
  </si>
  <si>
    <t>=+C57</t>
  </si>
  <si>
    <t>=+D57</t>
  </si>
  <si>
    <t>=E57</t>
  </si>
  <si>
    <t>=G57</t>
  </si>
  <si>
    <t>=+K57</t>
  </si>
  <si>
    <t>=L57</t>
  </si>
  <si>
    <t>=L59</t>
  </si>
  <si>
    <t>="Total for " &amp; $L65</t>
  </si>
  <si>
    <t>=SUBTOTAL(9,T56:T64)</t>
  </si>
  <si>
    <t>=+N66</t>
  </si>
  <si>
    <t>=M66</t>
  </si>
  <si>
    <t>="10483"</t>
  </si>
  <si>
    <t>=NL(,"UPR30300","CHEKDATE","CHEKNMBR",$M66,"EMPLOYID",$G66)</t>
  </si>
  <si>
    <t>=+C66</t>
  </si>
  <si>
    <t>=+D66</t>
  </si>
  <si>
    <t>=E66</t>
  </si>
  <si>
    <t>=G66</t>
  </si>
  <si>
    <t>=+K66</t>
  </si>
  <si>
    <t>=L66</t>
  </si>
  <si>
    <t>=NF($O67,"PAYRATE")</t>
  </si>
  <si>
    <t>=NF($O67,"PAYROLCD")</t>
  </si>
  <si>
    <t>=NF($O67,"STATECD")</t>
  </si>
  <si>
    <t>=NF($O67,"CHEKDATE")</t>
  </si>
  <si>
    <t>=NF($O67,"UPRTRXAM")</t>
  </si>
  <si>
    <t>=L68</t>
  </si>
  <si>
    <t>=+C71</t>
  </si>
  <si>
    <t>=+D71</t>
  </si>
  <si>
    <t>=E71</t>
  </si>
  <si>
    <t>=G71</t>
  </si>
  <si>
    <t>=+K71</t>
  </si>
  <si>
    <t>=L71</t>
  </si>
  <si>
    <t>="Total for " &amp; $L75</t>
  </si>
  <si>
    <t>=SUBTOTAL(9,T67:T74)</t>
  </si>
  <si>
    <t>=+C76</t>
  </si>
  <si>
    <t>=+D76</t>
  </si>
  <si>
    <t>=E76</t>
  </si>
  <si>
    <t>=G76</t>
  </si>
  <si>
    <t>="Total for " &amp; $G77</t>
  </si>
  <si>
    <t>=SUBTOTAL(9,T15:T76)</t>
  </si>
  <si>
    <t>=+I78</t>
  </si>
  <si>
    <t>=+J78</t>
  </si>
  <si>
    <t>=H78</t>
  </si>
  <si>
    <t>="DOYL0001"</t>
  </si>
  <si>
    <t>=NL(,"UPR00100","FRSTNAME","EMPLOYID",$H78)</t>
  </si>
  <si>
    <t>=NL(,"UPR00100","LASTNAME","EMPLOYID",$H78)</t>
  </si>
  <si>
    <t>=+C78</t>
  </si>
  <si>
    <t>=+D78</t>
  </si>
  <si>
    <t>=E78</t>
  </si>
  <si>
    <t>=G78</t>
  </si>
  <si>
    <t>=+N79</t>
  </si>
  <si>
    <t>=M79</t>
  </si>
  <si>
    <t>=NL(,"UPR30300","CHEKDATE","CHEKNMBR",$M79,"EMPLOYID",$G79)</t>
  </si>
  <si>
    <t>=+K79</t>
  </si>
  <si>
    <t>=L79</t>
  </si>
  <si>
    <t>=NF($O80,"PAYRATE")</t>
  </si>
  <si>
    <t>=NF($O80,"PAYROLCD")</t>
  </si>
  <si>
    <t>=NF($O80,"STATECD")</t>
  </si>
  <si>
    <t>=NF($O80,"CHEKDATE")</t>
  </si>
  <si>
    <t>=NF($O80,"UPRTRXAM")</t>
  </si>
  <si>
    <t>=G80</t>
  </si>
  <si>
    <t>=+K80</t>
  </si>
  <si>
    <t>=L80</t>
  </si>
  <si>
    <t>=+K81</t>
  </si>
  <si>
    <t>=L81</t>
  </si>
  <si>
    <t>="Total for " &amp; $L87</t>
  </si>
  <si>
    <t>=SUBTOTAL(9,T80:T86)</t>
  </si>
  <si>
    <t>=+N88</t>
  </si>
  <si>
    <t>=M88</t>
  </si>
  <si>
    <t>="10385"</t>
  </si>
  <si>
    <t>=NL(,"UPR30300","CHEKDATE","CHEKNMBR",$M88,"EMPLOYID",$G88)</t>
  </si>
  <si>
    <t>=+C88</t>
  </si>
  <si>
    <t>=+D88</t>
  </si>
  <si>
    <t>=E88</t>
  </si>
  <si>
    <t>=G88</t>
  </si>
  <si>
    <t>=+K88</t>
  </si>
  <si>
    <t>=L88</t>
  </si>
  <si>
    <t>=NF($O89,"PAYRATE")</t>
  </si>
  <si>
    <t>=NF($O89,"PAYROLCD")</t>
  </si>
  <si>
    <t>=NF($O89,"STATECD")</t>
  </si>
  <si>
    <t>=NF($O89,"CHEKDATE")</t>
  </si>
  <si>
    <t>=NF($O89,"UPRTRXAM")</t>
  </si>
  <si>
    <t>=L90</t>
  </si>
  <si>
    <t>="Total for " &amp; $L96</t>
  </si>
  <si>
    <t>=SUBTOTAL(9,T89:T95)</t>
  </si>
  <si>
    <t>=+N97</t>
  </si>
  <si>
    <t>=M97</t>
  </si>
  <si>
    <t>="10410"</t>
  </si>
  <si>
    <t>=NL(,"UPR30300","CHEKDATE","CHEKNMBR",$M97,"EMPLOYID",$G97)</t>
  </si>
  <si>
    <t>=+C97</t>
  </si>
  <si>
    <t>=+D97</t>
  </si>
  <si>
    <t>=E97</t>
  </si>
  <si>
    <t>=G97</t>
  </si>
  <si>
    <t>=+K97</t>
  </si>
  <si>
    <t>=L97</t>
  </si>
  <si>
    <t>=NF($O98,"PAYRATE")</t>
  </si>
  <si>
    <t>=NF($O98,"PAYROLCD")</t>
  </si>
  <si>
    <t>=NF($O98,"STATECD")</t>
  </si>
  <si>
    <t>=NF($O98,"CHEKDATE")</t>
  </si>
  <si>
    <t>=NF($O98,"UPRTRXAM")</t>
  </si>
  <si>
    <t>=L99</t>
  </si>
  <si>
    <t>="Total for " &amp; $L106</t>
  </si>
  <si>
    <t>=+K106</t>
  </si>
  <si>
    <t>=SUBTOTAL(9,T98:T105)</t>
  </si>
  <si>
    <t>=+C106</t>
  </si>
  <si>
    <t>=+D106</t>
  </si>
  <si>
    <t>=E106</t>
  </si>
  <si>
    <t>=G106</t>
  </si>
  <si>
    <t>=+N107</t>
  </si>
  <si>
    <t>=M107</t>
  </si>
  <si>
    <t>="10435"</t>
  </si>
  <si>
    <t>=NL(,"UPR30300","CHEKDATE","CHEKNMBR",$M107,"EMPLOYID",$G107)</t>
  </si>
  <si>
    <t>=NF($O108,"PAYRATE")</t>
  </si>
  <si>
    <t>=NF($O108,"PAYROLCD")</t>
  </si>
  <si>
    <t>=NF($O108,"STATECD")</t>
  </si>
  <si>
    <t>=NF($O108,"CHEKDATE")</t>
  </si>
  <si>
    <t>=NF($O108,"UPRTRXAM")</t>
  </si>
  <si>
    <t>=L108</t>
  </si>
  <si>
    <t>="Total for " &amp; $L115</t>
  </si>
  <si>
    <t>=+K115</t>
  </si>
  <si>
    <t>=SUBTOTAL(9,T108:T114)</t>
  </si>
  <si>
    <t>=+C115</t>
  </si>
  <si>
    <t>=+D115</t>
  </si>
  <si>
    <t>=E115</t>
  </si>
  <si>
    <t>=G115</t>
  </si>
  <si>
    <t>=+N116</t>
  </si>
  <si>
    <t>=M116</t>
  </si>
  <si>
    <t>="10460"</t>
  </si>
  <si>
    <t>=NL(,"UPR30300","CHEKDATE","CHEKNMBR",$M116,"EMPLOYID",$G116)</t>
  </si>
  <si>
    <t>=NF($O117,"PAYRATE")</t>
  </si>
  <si>
    <t>=NF($O117,"PAYROLCD")</t>
  </si>
  <si>
    <t>=NF($O117,"STATECD")</t>
  </si>
  <si>
    <t>=NF($O117,"CHEKDATE")</t>
  </si>
  <si>
    <t>=NF($O117,"UPRTRXAM")</t>
  </si>
  <si>
    <t>=L117</t>
  </si>
  <si>
    <t>="Total for " &amp; $L124</t>
  </si>
  <si>
    <t>=SUBTOTAL(9,T117:T123)</t>
  </si>
  <si>
    <t>=+N125</t>
  </si>
  <si>
    <t>=M125</t>
  </si>
  <si>
    <t>="10485"</t>
  </si>
  <si>
    <t>=NL(,"UPR30300","CHEKDATE","CHEKNMBR",$M125,"EMPLOYID",$G125)</t>
  </si>
  <si>
    <t>=+C125</t>
  </si>
  <si>
    <t>=+D125</t>
  </si>
  <si>
    <t>=E125</t>
  </si>
  <si>
    <t>=G125</t>
  </si>
  <si>
    <t>=+K125</t>
  </si>
  <si>
    <t>=L125</t>
  </si>
  <si>
    <t>=NF($O126,"PAYRATE")</t>
  </si>
  <si>
    <t>=NF($O126,"PAYROLCD")</t>
  </si>
  <si>
    <t>=NF($O126,"STATECD")</t>
  </si>
  <si>
    <t>=NF($O126,"CHEKDATE")</t>
  </si>
  <si>
    <t>=NF($O126,"UPRTRXAM")</t>
  </si>
  <si>
    <t>=L127</t>
  </si>
  <si>
    <t>="Total for " &amp; $L133</t>
  </si>
  <si>
    <t>=SUBTOTAL(9,T126:T132)</t>
  </si>
  <si>
    <t>=+C134</t>
  </si>
  <si>
    <t>=+D134</t>
  </si>
  <si>
    <t>=E134</t>
  </si>
  <si>
    <t>=G134</t>
  </si>
  <si>
    <t>="Total for " &amp; $G135</t>
  </si>
  <si>
    <t>=SUBTOTAL(9,T80:T134)</t>
  </si>
  <si>
    <t>=+I136</t>
  </si>
  <si>
    <t>=+J136</t>
  </si>
  <si>
    <t>=H136</t>
  </si>
  <si>
    <t>="LEVY0001"</t>
  </si>
  <si>
    <t>=NL(,"UPR00100","FRSTNAME","EMPLOYID",$H136)</t>
  </si>
  <si>
    <t>=NL(,"UPR00100","LASTNAME","EMPLOYID",$H136)</t>
  </si>
  <si>
    <t>=+C139</t>
  </si>
  <si>
    <t>=+D139</t>
  </si>
  <si>
    <t>=E139</t>
  </si>
  <si>
    <t>=G139</t>
  </si>
  <si>
    <t>=+K139</t>
  </si>
  <si>
    <t>=L139</t>
  </si>
  <si>
    <t>=L141</t>
  </si>
  <si>
    <t>=SUBTOTAL(9,T138:T145)</t>
  </si>
  <si>
    <t>=+C146</t>
  </si>
  <si>
    <t>=+D146</t>
  </si>
  <si>
    <t>=E146</t>
  </si>
  <si>
    <t>=G146</t>
  </si>
  <si>
    <t>=+N147</t>
  </si>
  <si>
    <t>=M147</t>
  </si>
  <si>
    <t>="10392"</t>
  </si>
  <si>
    <t>=NL(,"UPR30300","CHEKDATE","CHEKNMBR",$M147,"EMPLOYID",$G147)</t>
  </si>
  <si>
    <t>=+K147</t>
  </si>
  <si>
    <t>=L147</t>
  </si>
  <si>
    <t>=NF($O148,"PAYRATE")</t>
  </si>
  <si>
    <t>=NF($O148,"PAYROLCD")</t>
  </si>
  <si>
    <t>=NF($O148,"STATECD")</t>
  </si>
  <si>
    <t>=NF($O148,"CHEKDATE")</t>
  </si>
  <si>
    <t>=NF($O148,"UPRTRXAM")</t>
  </si>
  <si>
    <t>=E148</t>
  </si>
  <si>
    <t>=G148</t>
  </si>
  <si>
    <t>=+K148</t>
  </si>
  <si>
    <t>=L148</t>
  </si>
  <si>
    <t>=+C149</t>
  </si>
  <si>
    <t>=+D149</t>
  </si>
  <si>
    <t>=G149</t>
  </si>
  <si>
    <t>=+K149</t>
  </si>
  <si>
    <t>=L149</t>
  </si>
  <si>
    <t>=+C150</t>
  </si>
  <si>
    <t>=+D150</t>
  </si>
  <si>
    <t>=E150</t>
  </si>
  <si>
    <t>=G150</t>
  </si>
  <si>
    <t>=+K150</t>
  </si>
  <si>
    <t>=L150</t>
  </si>
  <si>
    <t>=+C151</t>
  </si>
  <si>
    <t>=+D151</t>
  </si>
  <si>
    <t>=G151</t>
  </si>
  <si>
    <t>=+K151</t>
  </si>
  <si>
    <t>=L151</t>
  </si>
  <si>
    <t>=+K152</t>
  </si>
  <si>
    <t>=L152</t>
  </si>
  <si>
    <t>="Total for " &amp; $L156</t>
  </si>
  <si>
    <t>=SUBTOTAL(9,T148:T155)</t>
  </si>
  <si>
    <t>=+N157</t>
  </si>
  <si>
    <t>=M157</t>
  </si>
  <si>
    <t>="10417"</t>
  </si>
  <si>
    <t>=NL(,"UPR30300","CHEKDATE","CHEKNMBR",$M157,"EMPLOYID",$G157)</t>
  </si>
  <si>
    <t>=+C159</t>
  </si>
  <si>
    <t>=+D159</t>
  </si>
  <si>
    <t>=E159</t>
  </si>
  <si>
    <t>=G159</t>
  </si>
  <si>
    <t>=+K159</t>
  </si>
  <si>
    <t>=L159</t>
  </si>
  <si>
    <t>=L161</t>
  </si>
  <si>
    <t>="Total for " &amp; $L166</t>
  </si>
  <si>
    <t>=SUBTOTAL(9,T158:T165)</t>
  </si>
  <si>
    <t>=+N167</t>
  </si>
  <si>
    <t>=M167</t>
  </si>
  <si>
    <t>="10442"</t>
  </si>
  <si>
    <t>=NL(,"UPR30300","CHEKDATE","CHEKNMBR",$M167,"EMPLOYID",$G167)</t>
  </si>
  <si>
    <t>=+C168</t>
  </si>
  <si>
    <t>=+D168</t>
  </si>
  <si>
    <t>=E168</t>
  </si>
  <si>
    <t>=G168</t>
  </si>
  <si>
    <t>=+K168</t>
  </si>
  <si>
    <t>=L168</t>
  </si>
  <si>
    <t>=L170</t>
  </si>
  <si>
    <t>="Total for " &amp; $L176</t>
  </si>
  <si>
    <t>=SUBTOTAL(9,T168:T175)</t>
  </si>
  <si>
    <t>=+N177</t>
  </si>
  <si>
    <t>=M177</t>
  </si>
  <si>
    <t>="10467"</t>
  </si>
  <si>
    <t>=NL(,"UPR30300","CHEKDATE","CHEKNMBR",$M177,"EMPLOYID",$G177)</t>
  </si>
  <si>
    <t>=+C177</t>
  </si>
  <si>
    <t>=+D177</t>
  </si>
  <si>
    <t>=E177</t>
  </si>
  <si>
    <t>=G177</t>
  </si>
  <si>
    <t>=+K177</t>
  </si>
  <si>
    <t>=L177</t>
  </si>
  <si>
    <t>=NF($O178,"PAYRATE")</t>
  </si>
  <si>
    <t>=NF($O178,"PAYROLCD")</t>
  </si>
  <si>
    <t>=NF($O178,"STATECD")</t>
  </si>
  <si>
    <t>=NF($O178,"CHEKDATE")</t>
  </si>
  <si>
    <t>=NF($O178,"UPRTRXAM")</t>
  </si>
  <si>
    <t>=L179</t>
  </si>
  <si>
    <t>="Total for " &amp; $L186</t>
  </si>
  <si>
    <t>=SUBTOTAL(9,T178:T185)</t>
  </si>
  <si>
    <t>=+N187</t>
  </si>
  <si>
    <t>=M187</t>
  </si>
  <si>
    <t>="10492"</t>
  </si>
  <si>
    <t>=NL(,"UPR30300","CHEKDATE","CHEKNMBR",$M187,"EMPLOYID",$G187)</t>
  </si>
  <si>
    <t>=+C187</t>
  </si>
  <si>
    <t>=+D187</t>
  </si>
  <si>
    <t>=E187</t>
  </si>
  <si>
    <t>=G187</t>
  </si>
  <si>
    <t>=+K187</t>
  </si>
  <si>
    <t>=L187</t>
  </si>
  <si>
    <t>=NF($O188,"PAYRATE")</t>
  </si>
  <si>
    <t>=NF($O188,"PAYROLCD")</t>
  </si>
  <si>
    <t>=NF($O188,"STATECD")</t>
  </si>
  <si>
    <t>=NF($O188,"CHEKDATE")</t>
  </si>
  <si>
    <t>=NF($O188,"UPRTRXAM")</t>
  </si>
  <si>
    <t>=L189</t>
  </si>
  <si>
    <t>="Total for " &amp; $L196</t>
  </si>
  <si>
    <t>=SUBTOTAL(9,T188:T195)</t>
  </si>
  <si>
    <t>=+C197</t>
  </si>
  <si>
    <t>=+D197</t>
  </si>
  <si>
    <t>=E197</t>
  </si>
  <si>
    <t>=G197</t>
  </si>
  <si>
    <t>="Total for " &amp; $G198</t>
  </si>
  <si>
    <t>=SUBTOTAL(9,T138:T197)</t>
  </si>
  <si>
    <t>=+I199</t>
  </si>
  <si>
    <t>=+J199</t>
  </si>
  <si>
    <t>=H199</t>
  </si>
  <si>
    <t>="NAGA0001"</t>
  </si>
  <si>
    <t>=NL(,"UPR00100","FRSTNAME","EMPLOYID",$H199)</t>
  </si>
  <si>
    <t>=NL(,"UPR00100","LASTNAME","EMPLOYID",$H199)</t>
  </si>
  <si>
    <t>=+C208</t>
  </si>
  <si>
    <t>=+D208</t>
  </si>
  <si>
    <t>=E208</t>
  </si>
  <si>
    <t>=G208</t>
  </si>
  <si>
    <t>=+N209</t>
  </si>
  <si>
    <t>=M209</t>
  </si>
  <si>
    <t>="10397"</t>
  </si>
  <si>
    <t>=NL(,"UPR30300","CHEKDATE","CHEKNMBR",$M209,"EMPLOYID",$G209)</t>
  </si>
  <si>
    <t>=+K209</t>
  </si>
  <si>
    <t>=L209</t>
  </si>
  <si>
    <t>=NF($O210,"PAYRATE")</t>
  </si>
  <si>
    <t>=NF($O210,"PAYROLCD")</t>
  </si>
  <si>
    <t>=NF($O210,"STATECD")</t>
  </si>
  <si>
    <t>=NF($O210,"CHEKDATE")</t>
  </si>
  <si>
    <t>=NF($O210,"UPRTRXAM")</t>
  </si>
  <si>
    <t>=G210</t>
  </si>
  <si>
    <t>=+K210</t>
  </si>
  <si>
    <t>=L210</t>
  </si>
  <si>
    <t>=+K211</t>
  </si>
  <si>
    <t>=L211</t>
  </si>
  <si>
    <t>="Total for " &amp; $L218</t>
  </si>
  <si>
    <t>=+K218</t>
  </si>
  <si>
    <t>=SUBTOTAL(9,T210:T217)</t>
  </si>
  <si>
    <t>=+C218</t>
  </si>
  <si>
    <t>=+D218</t>
  </si>
  <si>
    <t>=E218</t>
  </si>
  <si>
    <t>=G218</t>
  </si>
  <si>
    <t>=+N219</t>
  </si>
  <si>
    <t>=M219</t>
  </si>
  <si>
    <t>="10422"</t>
  </si>
  <si>
    <t>=NL(,"UPR30300","CHEKDATE","CHEKNMBR",$M219,"EMPLOYID",$G219)</t>
  </si>
  <si>
    <t>=NF($O220,"PAYRATE")</t>
  </si>
  <si>
    <t>=NF($O220,"PAYROLCD")</t>
  </si>
  <si>
    <t>=NF($O220,"STATECD")</t>
  </si>
  <si>
    <t>=NF($O220,"CHEKDATE")</t>
  </si>
  <si>
    <t>=NF($O220,"UPRTRXAM")</t>
  </si>
  <si>
    <t>=L220</t>
  </si>
  <si>
    <t>="Total for " &amp; $L227</t>
  </si>
  <si>
    <t>=+K227</t>
  </si>
  <si>
    <t>=SUBTOTAL(9,T220:T226)</t>
  </si>
  <si>
    <t>=+C227</t>
  </si>
  <si>
    <t>=+D227</t>
  </si>
  <si>
    <t>=E227</t>
  </si>
  <si>
    <t>=G227</t>
  </si>
  <si>
    <t>=+N228</t>
  </si>
  <si>
    <t>=M228</t>
  </si>
  <si>
    <t>="10447"</t>
  </si>
  <si>
    <t>=NL(,"UPR30300","CHEKDATE","CHEKNMBR",$M228,"EMPLOYID",$G228)</t>
  </si>
  <si>
    <t>=NF($O229,"PAYRATE")</t>
  </si>
  <si>
    <t>=NF($O229,"PAYROLCD")</t>
  </si>
  <si>
    <t>=NF($O229,"STATECD")</t>
  </si>
  <si>
    <t>=NF($O229,"CHEKDATE")</t>
  </si>
  <si>
    <t>=NF($O229,"UPRTRXAM")</t>
  </si>
  <si>
    <t>=L229</t>
  </si>
  <si>
    <t>="Total for " &amp; $L236</t>
  </si>
  <si>
    <t>=+K236</t>
  </si>
  <si>
    <t>=SUBTOTAL(9,T229:T235)</t>
  </si>
  <si>
    <t>=+C236</t>
  </si>
  <si>
    <t>=+D236</t>
  </si>
  <si>
    <t>=E236</t>
  </si>
  <si>
    <t>=G236</t>
  </si>
  <si>
    <t>=+N237</t>
  </si>
  <si>
    <t>=M237</t>
  </si>
  <si>
    <t>="10472"</t>
  </si>
  <si>
    <t>=NL(,"UPR30300","CHEKDATE","CHEKNMBR",$M237,"EMPLOYID",$G237)</t>
  </si>
  <si>
    <t>=NF($O238,"PAYRATE")</t>
  </si>
  <si>
    <t>=NF($O238,"PAYROLCD")</t>
  </si>
  <si>
    <t>=NF($O238,"STATECD")</t>
  </si>
  <si>
    <t>=NF($O238,"CHEKDATE")</t>
  </si>
  <si>
    <t>=NF($O238,"UPRTRXAM")</t>
  </si>
  <si>
    <t>=L238</t>
  </si>
  <si>
    <t>="Total for " &amp; $L245</t>
  </si>
  <si>
    <t>=+K245</t>
  </si>
  <si>
    <t>=SUBTOTAL(9,T238:T244)</t>
  </si>
  <si>
    <t>=+C245</t>
  </si>
  <si>
    <t>=+D245</t>
  </si>
  <si>
    <t>=E245</t>
  </si>
  <si>
    <t>=G245</t>
  </si>
  <si>
    <t>=+N246</t>
  </si>
  <si>
    <t>=M246</t>
  </si>
  <si>
    <t>="10497"</t>
  </si>
  <si>
    <t>=NL(,"UPR30300","CHEKDATE","CHEKNMBR",$M246,"EMPLOYID",$G246)</t>
  </si>
  <si>
    <t>=NF($O247,"PAYRATE")</t>
  </si>
  <si>
    <t>=NF($O247,"PAYROLCD")</t>
  </si>
  <si>
    <t>=NF($O247,"STATECD")</t>
  </si>
  <si>
    <t>=NF($O247,"CHEKDATE")</t>
  </si>
  <si>
    <t>=NF($O247,"UPRTRXAM")</t>
  </si>
  <si>
    <t>=L247</t>
  </si>
  <si>
    <t>="Total for " &amp; $L254</t>
  </si>
  <si>
    <t>=+K254</t>
  </si>
  <si>
    <t>=SUBTOTAL(9,T247:T253)</t>
  </si>
  <si>
    <t>="Total for " &amp; $G256</t>
  </si>
  <si>
    <t>=SUBTOTAL(9,T201:T255)</t>
  </si>
  <si>
    <t>=SUBTOTAL(9,T15:T257)</t>
  </si>
  <si>
    <t>="ADMN"</t>
  </si>
  <si>
    <t>=D259</t>
  </si>
  <si>
    <t>=NL(,"UPR41200","DSCRIPTN","EMPLCLAS",D259)</t>
  </si>
  <si>
    <t>=+I260</t>
  </si>
  <si>
    <t>=+J260</t>
  </si>
  <si>
    <t>=H260</t>
  </si>
  <si>
    <t>=NL(,"UPR00100","FRSTNAME","EMPLOYID",$H260)</t>
  </si>
  <si>
    <t>=NL(,"UPR00100","LASTNAME","EMPLOYID",$H260)</t>
  </si>
  <si>
    <t>=+N261</t>
  </si>
  <si>
    <t>=M261</t>
  </si>
  <si>
    <t>=NL(,"UPR30300","CHEKDATE","CHEKNMBR",$M261,"EMPLOYID",$G261)</t>
  </si>
  <si>
    <t>=+C263</t>
  </si>
  <si>
    <t>=+D263</t>
  </si>
  <si>
    <t>=E263</t>
  </si>
  <si>
    <t>=G263</t>
  </si>
  <si>
    <t>=+K263</t>
  </si>
  <si>
    <t>=L263</t>
  </si>
  <si>
    <t>=L265</t>
  </si>
  <si>
    <t>=+C268</t>
  </si>
  <si>
    <t>=+D268</t>
  </si>
  <si>
    <t>=E268</t>
  </si>
  <si>
    <t>=G268</t>
  </si>
  <si>
    <t>=+K268</t>
  </si>
  <si>
    <t>=L268</t>
  </si>
  <si>
    <t>="Total for " &amp; $L269</t>
  </si>
  <si>
    <t>=SUBTOTAL(9,T262:T268)</t>
  </si>
  <si>
    <t>=+N270</t>
  </si>
  <si>
    <t>=M270</t>
  </si>
  <si>
    <t>="10389"</t>
  </si>
  <si>
    <t>=NL(,"UPR30300","CHEKDATE","CHEKNMBR",$M270,"EMPLOYID",$G270)</t>
  </si>
  <si>
    <t>=L270</t>
  </si>
  <si>
    <t>=NF($O271,"PAYRATE")</t>
  </si>
  <si>
    <t>=NF($O271,"PAYROLCD")</t>
  </si>
  <si>
    <t>=NF($O271,"STATECD")</t>
  </si>
  <si>
    <t>=NF($O271,"CHEKDATE")</t>
  </si>
  <si>
    <t>=NF($O271,"UPRTRXAM")</t>
  </si>
  <si>
    <t>=+C273</t>
  </si>
  <si>
    <t>=+D273</t>
  </si>
  <si>
    <t>=E273</t>
  </si>
  <si>
    <t>=G273</t>
  </si>
  <si>
    <t>=+K273</t>
  </si>
  <si>
    <t>=L273</t>
  </si>
  <si>
    <t>=+C275</t>
  </si>
  <si>
    <t>=+D275</t>
  </si>
  <si>
    <t>=E275</t>
  </si>
  <si>
    <t>=G275</t>
  </si>
  <si>
    <t>=L275</t>
  </si>
  <si>
    <t>=E277</t>
  </si>
  <si>
    <t>=G277</t>
  </si>
  <si>
    <t>=+K277</t>
  </si>
  <si>
    <t>=L277</t>
  </si>
  <si>
    <t>="Total for " &amp; $L278</t>
  </si>
  <si>
    <t>=+K278</t>
  </si>
  <si>
    <t>=SUBTOTAL(9,T271:T277)</t>
  </si>
  <si>
    <t>=+C278</t>
  </si>
  <si>
    <t>=+D278</t>
  </si>
  <si>
    <t>=G278</t>
  </si>
  <si>
    <t>=+N279</t>
  </si>
  <si>
    <t>=M279</t>
  </si>
  <si>
    <t>="10414"</t>
  </si>
  <si>
    <t>=NL(,"UPR30300","CHEKDATE","CHEKNMBR",$M279,"EMPLOYID",$G279)</t>
  </si>
  <si>
    <t>=+C279</t>
  </si>
  <si>
    <t>=+D279</t>
  </si>
  <si>
    <t>=E279</t>
  </si>
  <si>
    <t>=G279</t>
  </si>
  <si>
    <t>=+K279</t>
  </si>
  <si>
    <t>=L279</t>
  </si>
  <si>
    <t>=NF($O280,"PAYRATE")</t>
  </si>
  <si>
    <t>=NF($O280,"PAYROLCD")</t>
  </si>
  <si>
    <t>=NF($O280,"STATECD")</t>
  </si>
  <si>
    <t>=NF($O280,"CHEKDATE")</t>
  </si>
  <si>
    <t>=NF($O280,"UPRTRXAM")</t>
  </si>
  <si>
    <t>=+C280</t>
  </si>
  <si>
    <t>=+D280</t>
  </si>
  <si>
    <t>=E280</t>
  </si>
  <si>
    <t>=G280</t>
  </si>
  <si>
    <t>=+K280</t>
  </si>
  <si>
    <t>=L280</t>
  </si>
  <si>
    <t>=+C281</t>
  </si>
  <si>
    <t>=+D281</t>
  </si>
  <si>
    <t>=E281</t>
  </si>
  <si>
    <t>=G281</t>
  </si>
  <si>
    <t>=+K281</t>
  </si>
  <si>
    <t>=L281</t>
  </si>
  <si>
    <t>=+C282</t>
  </si>
  <si>
    <t>=+D282</t>
  </si>
  <si>
    <t>=E282</t>
  </si>
  <si>
    <t>=G282</t>
  </si>
  <si>
    <t>=+K282</t>
  </si>
  <si>
    <t>=L282</t>
  </si>
  <si>
    <t>=+C283</t>
  </si>
  <si>
    <t>=+D283</t>
  </si>
  <si>
    <t>=E283</t>
  </si>
  <si>
    <t>=G283</t>
  </si>
  <si>
    <t>=+K283</t>
  </si>
  <si>
    <t>=L283</t>
  </si>
  <si>
    <t>=+C284</t>
  </si>
  <si>
    <t>=+D284</t>
  </si>
  <si>
    <t>=E284</t>
  </si>
  <si>
    <t>=G284</t>
  </si>
  <si>
    <t>=+K284</t>
  </si>
  <si>
    <t>=L284</t>
  </si>
  <si>
    <t>=+C285</t>
  </si>
  <si>
    <t>=+D285</t>
  </si>
  <si>
    <t>=E285</t>
  </si>
  <si>
    <t>=G285</t>
  </si>
  <si>
    <t>=+K285</t>
  </si>
  <si>
    <t>=L285</t>
  </si>
  <si>
    <t>=+C287</t>
  </si>
  <si>
    <t>=+D287</t>
  </si>
  <si>
    <t>=E287</t>
  </si>
  <si>
    <t>=G287</t>
  </si>
  <si>
    <t>=+K287</t>
  </si>
  <si>
    <t>=L287</t>
  </si>
  <si>
    <t>="Total for " &amp; $L288</t>
  </si>
  <si>
    <t>=+K288</t>
  </si>
  <si>
    <t>=SUBTOTAL(9,T280:T287)</t>
  </si>
  <si>
    <t>=+C288</t>
  </si>
  <si>
    <t>=+D288</t>
  </si>
  <si>
    <t>=E288</t>
  </si>
  <si>
    <t>=G288</t>
  </si>
  <si>
    <t>=+N289</t>
  </si>
  <si>
    <t>=M289</t>
  </si>
  <si>
    <t>="10439"</t>
  </si>
  <si>
    <t>=NL(,"UPR30300","CHEKDATE","CHEKNMBR",$M289,"EMPLOYID",$G289)</t>
  </si>
  <si>
    <t>=+C289</t>
  </si>
  <si>
    <t>=+D289</t>
  </si>
  <si>
    <t>=E289</t>
  </si>
  <si>
    <t>=G289</t>
  </si>
  <si>
    <t>=+K289</t>
  </si>
  <si>
    <t>=L289</t>
  </si>
  <si>
    <t>=NF($O290,"PAYRATE")</t>
  </si>
  <si>
    <t>=NF($O290,"PAYROLCD")</t>
  </si>
  <si>
    <t>=NF($O290,"STATECD")</t>
  </si>
  <si>
    <t>=NF($O290,"CHEKDATE")</t>
  </si>
  <si>
    <t>=NF($O290,"UPRTRXAM")</t>
  </si>
  <si>
    <t>=+C290</t>
  </si>
  <si>
    <t>=+D290</t>
  </si>
  <si>
    <t>=E290</t>
  </si>
  <si>
    <t>=G290</t>
  </si>
  <si>
    <t>=+K290</t>
  </si>
  <si>
    <t>=L290</t>
  </si>
  <si>
    <t>=+C291</t>
  </si>
  <si>
    <t>=+D291</t>
  </si>
  <si>
    <t>=E291</t>
  </si>
  <si>
    <t>=G291</t>
  </si>
  <si>
    <t>=+K291</t>
  </si>
  <si>
    <t>=L291</t>
  </si>
  <si>
    <t>=+C292</t>
  </si>
  <si>
    <t>=+D292</t>
  </si>
  <si>
    <t>=E292</t>
  </si>
  <si>
    <t>=G292</t>
  </si>
  <si>
    <t>=+K292</t>
  </si>
  <si>
    <t>=L292</t>
  </si>
  <si>
    <t>=+C293</t>
  </si>
  <si>
    <t>=+D293</t>
  </si>
  <si>
    <t>=E293</t>
  </si>
  <si>
    <t>=G293</t>
  </si>
  <si>
    <t>=+K293</t>
  </si>
  <si>
    <t>=L293</t>
  </si>
  <si>
    <t>=+C294</t>
  </si>
  <si>
    <t>=+D294</t>
  </si>
  <si>
    <t>=E294</t>
  </si>
  <si>
    <t>=G294</t>
  </si>
  <si>
    <t>=+K294</t>
  </si>
  <si>
    <t>=L294</t>
  </si>
  <si>
    <t>=+C296</t>
  </si>
  <si>
    <t>=+D296</t>
  </si>
  <si>
    <t>=E296</t>
  </si>
  <si>
    <t>=G296</t>
  </si>
  <si>
    <t>=+K296</t>
  </si>
  <si>
    <t>=L296</t>
  </si>
  <si>
    <t>="Total for " &amp; $L297</t>
  </si>
  <si>
    <t>=+K297</t>
  </si>
  <si>
    <t>=SUBTOTAL(9,T290:T296)</t>
  </si>
  <si>
    <t>=+C297</t>
  </si>
  <si>
    <t>=+D297</t>
  </si>
  <si>
    <t>=E297</t>
  </si>
  <si>
    <t>=G297</t>
  </si>
  <si>
    <t>=+N298</t>
  </si>
  <si>
    <t>=M298</t>
  </si>
  <si>
    <t>="10464"</t>
  </si>
  <si>
    <t>=NL(,"UPR30300","CHEKDATE","CHEKNMBR",$M298,"EMPLOYID",$G298)</t>
  </si>
  <si>
    <t>=+C298</t>
  </si>
  <si>
    <t>=+D298</t>
  </si>
  <si>
    <t>=E298</t>
  </si>
  <si>
    <t>=G298</t>
  </si>
  <si>
    <t>=+K298</t>
  </si>
  <si>
    <t>=L298</t>
  </si>
  <si>
    <t>=NF($O299,"PAYRATE")</t>
  </si>
  <si>
    <t>=NF($O299,"PAYROLCD")</t>
  </si>
  <si>
    <t>=NF($O299,"STATECD")</t>
  </si>
  <si>
    <t>=NF($O299,"CHEKDATE")</t>
  </si>
  <si>
    <t>=NF($O299,"UPRTRXAM")</t>
  </si>
  <si>
    <t>=+C299</t>
  </si>
  <si>
    <t>=+D299</t>
  </si>
  <si>
    <t>=E299</t>
  </si>
  <si>
    <t>=G299</t>
  </si>
  <si>
    <t>=+K299</t>
  </si>
  <si>
    <t>=L299</t>
  </si>
  <si>
    <t>=+C300</t>
  </si>
  <si>
    <t>=+D300</t>
  </si>
  <si>
    <t>=E300</t>
  </si>
  <si>
    <t>=G300</t>
  </si>
  <si>
    <t>=+K300</t>
  </si>
  <si>
    <t>=L300</t>
  </si>
  <si>
    <t>=+C301</t>
  </si>
  <si>
    <t>=+D301</t>
  </si>
  <si>
    <t>=E301</t>
  </si>
  <si>
    <t>=G301</t>
  </si>
  <si>
    <t>=+K301</t>
  </si>
  <si>
    <t>=L301</t>
  </si>
  <si>
    <t>=+C302</t>
  </si>
  <si>
    <t>=+D302</t>
  </si>
  <si>
    <t>=E302</t>
  </si>
  <si>
    <t>=G302</t>
  </si>
  <si>
    <t>=+K302</t>
  </si>
  <si>
    <t>=L302</t>
  </si>
  <si>
    <t>=+C303</t>
  </si>
  <si>
    <t>=+D303</t>
  </si>
  <si>
    <t>=E303</t>
  </si>
  <si>
    <t>=G303</t>
  </si>
  <si>
    <t>=+K303</t>
  </si>
  <si>
    <t>=L303</t>
  </si>
  <si>
    <t>=+C305</t>
  </si>
  <si>
    <t>=+D305</t>
  </si>
  <si>
    <t>=E305</t>
  </si>
  <si>
    <t>=G305</t>
  </si>
  <si>
    <t>=+K305</t>
  </si>
  <si>
    <t>=L305</t>
  </si>
  <si>
    <t>="Total for " &amp; $L306</t>
  </si>
  <si>
    <t>=+K306</t>
  </si>
  <si>
    <t>=SUBTOTAL(9,T299:T305)</t>
  </si>
  <si>
    <t>=+C306</t>
  </si>
  <si>
    <t>=+D306</t>
  </si>
  <si>
    <t>=E306</t>
  </si>
  <si>
    <t>=G306</t>
  </si>
  <si>
    <t>=+N307</t>
  </si>
  <si>
    <t>=M307</t>
  </si>
  <si>
    <t>="10489"</t>
  </si>
  <si>
    <t>=NL(,"UPR30300","CHEKDATE","CHEKNMBR",$M307,"EMPLOYID",$G307)</t>
  </si>
  <si>
    <t>=+C307</t>
  </si>
  <si>
    <t>=+D307</t>
  </si>
  <si>
    <t>=E307</t>
  </si>
  <si>
    <t>=G307</t>
  </si>
  <si>
    <t>=+K307</t>
  </si>
  <si>
    <t>=L307</t>
  </si>
  <si>
    <t>=NF($O308,"PAYRATE")</t>
  </si>
  <si>
    <t>=NF($O308,"PAYROLCD")</t>
  </si>
  <si>
    <t>=NF($O308,"STATECD")</t>
  </si>
  <si>
    <t>=NF($O308,"CHEKDATE")</t>
  </si>
  <si>
    <t>=NF($O308,"UPRTRXAM")</t>
  </si>
  <si>
    <t>=+C308</t>
  </si>
  <si>
    <t>=+D308</t>
  </si>
  <si>
    <t>=E308</t>
  </si>
  <si>
    <t>=G308</t>
  </si>
  <si>
    <t>=+K308</t>
  </si>
  <si>
    <t>=L308</t>
  </si>
  <si>
    <t>=+C309</t>
  </si>
  <si>
    <t>=+D309</t>
  </si>
  <si>
    <t>=E309</t>
  </si>
  <si>
    <t>=G309</t>
  </si>
  <si>
    <t>=+K309</t>
  </si>
  <si>
    <t>=L309</t>
  </si>
  <si>
    <t>=+C310</t>
  </si>
  <si>
    <t>=+D310</t>
  </si>
  <si>
    <t>=E310</t>
  </si>
  <si>
    <t>=G310</t>
  </si>
  <si>
    <t>=+K310</t>
  </si>
  <si>
    <t>=L310</t>
  </si>
  <si>
    <t>=+C311</t>
  </si>
  <si>
    <t>=+D311</t>
  </si>
  <si>
    <t>=E311</t>
  </si>
  <si>
    <t>=G311</t>
  </si>
  <si>
    <t>=+K311</t>
  </si>
  <si>
    <t>=L311</t>
  </si>
  <si>
    <t>=+C312</t>
  </si>
  <si>
    <t>=+D312</t>
  </si>
  <si>
    <t>=E312</t>
  </si>
  <si>
    <t>=G312</t>
  </si>
  <si>
    <t>=+K312</t>
  </si>
  <si>
    <t>=L312</t>
  </si>
  <si>
    <t>=+C314</t>
  </si>
  <si>
    <t>=+D314</t>
  </si>
  <si>
    <t>=E314</t>
  </si>
  <si>
    <t>=G314</t>
  </si>
  <si>
    <t>=+K314</t>
  </si>
  <si>
    <t>=L314</t>
  </si>
  <si>
    <t>="Total for " &amp; $L315</t>
  </si>
  <si>
    <t>=+K315</t>
  </si>
  <si>
    <t>=SUBTOTAL(9,T308:T314)</t>
  </si>
  <si>
    <t>=+C316</t>
  </si>
  <si>
    <t>=+D316</t>
  </si>
  <si>
    <t>=E316</t>
  </si>
  <si>
    <t>=G316</t>
  </si>
  <si>
    <t>="Total for " &amp; $G317</t>
  </si>
  <si>
    <t>=+C317</t>
  </si>
  <si>
    <t>=+D317</t>
  </si>
  <si>
    <t>=SUBTOTAL(9,T262:T316)</t>
  </si>
  <si>
    <t>=+I318</t>
  </si>
  <si>
    <t>=+J318</t>
  </si>
  <si>
    <t>=E317</t>
  </si>
  <si>
    <t>=H318</t>
  </si>
  <si>
    <t>="KAHN0001"</t>
  </si>
  <si>
    <t>=NL(,"UPR00100","FRSTNAME","EMPLOYID",$H318)</t>
  </si>
  <si>
    <t>=NL(,"UPR00100","LASTNAME","EMPLOYID",$H318)</t>
  </si>
  <si>
    <t>=+C318</t>
  </si>
  <si>
    <t>=+D318</t>
  </si>
  <si>
    <t>=E318</t>
  </si>
  <si>
    <t>=G318</t>
  </si>
  <si>
    <t>=+N319</t>
  </si>
  <si>
    <t>=M319</t>
  </si>
  <si>
    <t>=NL(,"UPR30300","CHEKDATE","CHEKNMBR",$M319,"EMPLOYID",$G319)</t>
  </si>
  <si>
    <t>=+C319</t>
  </si>
  <si>
    <t>=+D319</t>
  </si>
  <si>
    <t>=E319</t>
  </si>
  <si>
    <t>=G319</t>
  </si>
  <si>
    <t>=+K319</t>
  </si>
  <si>
    <t>=L319</t>
  </si>
  <si>
    <t>=NF($O320,"PAYRATE")</t>
  </si>
  <si>
    <t>=NF($O320,"PAYROLCD")</t>
  </si>
  <si>
    <t>=NF($O320,"STATECD")</t>
  </si>
  <si>
    <t>=NF($O320,"CHEKDATE")</t>
  </si>
  <si>
    <t>=NF($O320,"UPRTRXAM")</t>
  </si>
  <si>
    <t>=+C320</t>
  </si>
  <si>
    <t>=+D320</t>
  </si>
  <si>
    <t>=E320</t>
  </si>
  <si>
    <t>=G320</t>
  </si>
  <si>
    <t>=+K320</t>
  </si>
  <si>
    <t>=L320</t>
  </si>
  <si>
    <t>=+C321</t>
  </si>
  <si>
    <t>=+D321</t>
  </si>
  <si>
    <t>=E321</t>
  </si>
  <si>
    <t>=G321</t>
  </si>
  <si>
    <t>=+K321</t>
  </si>
  <si>
    <t>=L321</t>
  </si>
  <si>
    <t>=+C322</t>
  </si>
  <si>
    <t>=+D322</t>
  </si>
  <si>
    <t>=E322</t>
  </si>
  <si>
    <t>=G322</t>
  </si>
  <si>
    <t>=+K322</t>
  </si>
  <si>
    <t>=L322</t>
  </si>
  <si>
    <t>=+C323</t>
  </si>
  <si>
    <t>=+D323</t>
  </si>
  <si>
    <t>=E323</t>
  </si>
  <si>
    <t>=G323</t>
  </si>
  <si>
    <t>=+K323</t>
  </si>
  <si>
    <t>=L323</t>
  </si>
  <si>
    <t>=+C324</t>
  </si>
  <si>
    <t>=+D324</t>
  </si>
  <si>
    <t>=E324</t>
  </si>
  <si>
    <t>=G324</t>
  </si>
  <si>
    <t>=+K324</t>
  </si>
  <si>
    <t>=L324</t>
  </si>
  <si>
    <t>=+C326</t>
  </si>
  <si>
    <t>=+D326</t>
  </si>
  <si>
    <t>=E326</t>
  </si>
  <si>
    <t>=G326</t>
  </si>
  <si>
    <t>=+K326</t>
  </si>
  <si>
    <t>=L326</t>
  </si>
  <si>
    <t>="Total for " &amp; $L327</t>
  </si>
  <si>
    <t>=+K327</t>
  </si>
  <si>
    <t>=SUBTOTAL(9,T320:T326)</t>
  </si>
  <si>
    <t>=+C327</t>
  </si>
  <si>
    <t>=+D327</t>
  </si>
  <si>
    <t>=E327</t>
  </si>
  <si>
    <t>=G327</t>
  </si>
  <si>
    <t>=+N328</t>
  </si>
  <si>
    <t>=M328</t>
  </si>
  <si>
    <t>="10390"</t>
  </si>
  <si>
    <t>=NL(,"UPR30300","CHEKDATE","CHEKNMBR",$M328,"EMPLOYID",$G328)</t>
  </si>
  <si>
    <t>=+C328</t>
  </si>
  <si>
    <t>=+D328</t>
  </si>
  <si>
    <t>=E328</t>
  </si>
  <si>
    <t>=G328</t>
  </si>
  <si>
    <t>=+K328</t>
  </si>
  <si>
    <t>=L328</t>
  </si>
  <si>
    <t>=NF($O329,"PAYRATE")</t>
  </si>
  <si>
    <t>=NF($O329,"PAYROLCD")</t>
  </si>
  <si>
    <t>=NF($O329,"STATECD")</t>
  </si>
  <si>
    <t>=NF($O329,"CHEKDATE")</t>
  </si>
  <si>
    <t>=NF($O329,"UPRTRXAM")</t>
  </si>
  <si>
    <t>=+C329</t>
  </si>
  <si>
    <t>=+D329</t>
  </si>
  <si>
    <t>=E329</t>
  </si>
  <si>
    <t>=G329</t>
  </si>
  <si>
    <t>=+K329</t>
  </si>
  <si>
    <t>=L329</t>
  </si>
  <si>
    <t>=+C330</t>
  </si>
  <si>
    <t>=+D330</t>
  </si>
  <si>
    <t>=E330</t>
  </si>
  <si>
    <t>=G330</t>
  </si>
  <si>
    <t>=+K330</t>
  </si>
  <si>
    <t>=L330</t>
  </si>
  <si>
    <t>=+C331</t>
  </si>
  <si>
    <t>=+D331</t>
  </si>
  <si>
    <t>=E331</t>
  </si>
  <si>
    <t>=G331</t>
  </si>
  <si>
    <t>=+K331</t>
  </si>
  <si>
    <t>=L331</t>
  </si>
  <si>
    <t>=+C332</t>
  </si>
  <si>
    <t>=+D332</t>
  </si>
  <si>
    <t>=E332</t>
  </si>
  <si>
    <t>=G332</t>
  </si>
  <si>
    <t>=+K332</t>
  </si>
  <si>
    <t>=L332</t>
  </si>
  <si>
    <t>=+C333</t>
  </si>
  <si>
    <t>=+D333</t>
  </si>
  <si>
    <t>=E333</t>
  </si>
  <si>
    <t>=G333</t>
  </si>
  <si>
    <t>=+K333</t>
  </si>
  <si>
    <t>=L333</t>
  </si>
  <si>
    <t>=+C335</t>
  </si>
  <si>
    <t>=+D335</t>
  </si>
  <si>
    <t>=E335</t>
  </si>
  <si>
    <t>=G335</t>
  </si>
  <si>
    <t>=+K335</t>
  </si>
  <si>
    <t>=L335</t>
  </si>
  <si>
    <t>="Total for " &amp; $L336</t>
  </si>
  <si>
    <t>=+K336</t>
  </si>
  <si>
    <t>=SUBTOTAL(9,T329:T335)</t>
  </si>
  <si>
    <t>=+C336</t>
  </si>
  <si>
    <t>=+D336</t>
  </si>
  <si>
    <t>=E336</t>
  </si>
  <si>
    <t>=G336</t>
  </si>
  <si>
    <t>=+N337</t>
  </si>
  <si>
    <t>=M337</t>
  </si>
  <si>
    <t>="10415"</t>
  </si>
  <si>
    <t>=NL(,"UPR30300","CHEKDATE","CHEKNMBR",$M337,"EMPLOYID",$G337)</t>
  </si>
  <si>
    <t>=+C337</t>
  </si>
  <si>
    <t>=+D337</t>
  </si>
  <si>
    <t>=E337</t>
  </si>
  <si>
    <t>=G337</t>
  </si>
  <si>
    <t>=+K337</t>
  </si>
  <si>
    <t>=L337</t>
  </si>
  <si>
    <t>=NF($O338,"PAYRATE")</t>
  </si>
  <si>
    <t>=NF($O338,"PAYROLCD")</t>
  </si>
  <si>
    <t>=NF($O338,"STATECD")</t>
  </si>
  <si>
    <t>=NF($O338,"CHEKDATE")</t>
  </si>
  <si>
    <t>=NF($O338,"UPRTRXAM")</t>
  </si>
  <si>
    <t>=+C338</t>
  </si>
  <si>
    <t>=+D338</t>
  </si>
  <si>
    <t>=E338</t>
  </si>
  <si>
    <t>=G338</t>
  </si>
  <si>
    <t>=+K338</t>
  </si>
  <si>
    <t>=L338</t>
  </si>
  <si>
    <t>=+C339</t>
  </si>
  <si>
    <t>=+D339</t>
  </si>
  <si>
    <t>=E339</t>
  </si>
  <si>
    <t>=G339</t>
  </si>
  <si>
    <t>=+K339</t>
  </si>
  <si>
    <t>=L339</t>
  </si>
  <si>
    <t>=+C340</t>
  </si>
  <si>
    <t>=+D340</t>
  </si>
  <si>
    <t>=E340</t>
  </si>
  <si>
    <t>=G340</t>
  </si>
  <si>
    <t>=+K340</t>
  </si>
  <si>
    <t>=L340</t>
  </si>
  <si>
    <t>=+C341</t>
  </si>
  <si>
    <t>=+D341</t>
  </si>
  <si>
    <t>=E341</t>
  </si>
  <si>
    <t>=G341</t>
  </si>
  <si>
    <t>=+K341</t>
  </si>
  <si>
    <t>=L341</t>
  </si>
  <si>
    <t>=+C342</t>
  </si>
  <si>
    <t>=+D342</t>
  </si>
  <si>
    <t>=E342</t>
  </si>
  <si>
    <t>=G342</t>
  </si>
  <si>
    <t>=+K342</t>
  </si>
  <si>
    <t>=L342</t>
  </si>
  <si>
    <t>=+C344</t>
  </si>
  <si>
    <t>=+D344</t>
  </si>
  <si>
    <t>=E344</t>
  </si>
  <si>
    <t>=G344</t>
  </si>
  <si>
    <t>=+K344</t>
  </si>
  <si>
    <t>=L344</t>
  </si>
  <si>
    <t>="Total for " &amp; $L345</t>
  </si>
  <si>
    <t>=+K345</t>
  </si>
  <si>
    <t>=SUBTOTAL(9,T338:T344)</t>
  </si>
  <si>
    <t>=+C345</t>
  </si>
  <si>
    <t>=+D345</t>
  </si>
  <si>
    <t>=E345</t>
  </si>
  <si>
    <t>=G345</t>
  </si>
  <si>
    <t>=+N346</t>
  </si>
  <si>
    <t>=M346</t>
  </si>
  <si>
    <t>="10440"</t>
  </si>
  <si>
    <t>=NL(,"UPR30300","CHEKDATE","CHEKNMBR",$M346,"EMPLOYID",$G346)</t>
  </si>
  <si>
    <t>=+C346</t>
  </si>
  <si>
    <t>=+D346</t>
  </si>
  <si>
    <t>=E346</t>
  </si>
  <si>
    <t>=G346</t>
  </si>
  <si>
    <t>=+K346</t>
  </si>
  <si>
    <t>=L346</t>
  </si>
  <si>
    <t>=NF($O347,"PAYRATE")</t>
  </si>
  <si>
    <t>=NF($O347,"PAYROLCD")</t>
  </si>
  <si>
    <t>=NF($O347,"STATECD")</t>
  </si>
  <si>
    <t>=NF($O347,"CHEKDATE")</t>
  </si>
  <si>
    <t>=NF($O347,"UPRTRXAM")</t>
  </si>
  <si>
    <t>=+C347</t>
  </si>
  <si>
    <t>=+D347</t>
  </si>
  <si>
    <t>=E347</t>
  </si>
  <si>
    <t>=G347</t>
  </si>
  <si>
    <t>=+K347</t>
  </si>
  <si>
    <t>=L347</t>
  </si>
  <si>
    <t>=+C348</t>
  </si>
  <si>
    <t>=+D348</t>
  </si>
  <si>
    <t>=E348</t>
  </si>
  <si>
    <t>=G348</t>
  </si>
  <si>
    <t>=+K348</t>
  </si>
  <si>
    <t>=L348</t>
  </si>
  <si>
    <t>=+C349</t>
  </si>
  <si>
    <t>=+D349</t>
  </si>
  <si>
    <t>=E349</t>
  </si>
  <si>
    <t>=G349</t>
  </si>
  <si>
    <t>=+K349</t>
  </si>
  <si>
    <t>=L349</t>
  </si>
  <si>
    <t>=+C350</t>
  </si>
  <si>
    <t>=+D350</t>
  </si>
  <si>
    <t>=E350</t>
  </si>
  <si>
    <t>=G350</t>
  </si>
  <si>
    <t>=+K350</t>
  </si>
  <si>
    <t>=L350</t>
  </si>
  <si>
    <t>=+C351</t>
  </si>
  <si>
    <t>=+D351</t>
  </si>
  <si>
    <t>=E351</t>
  </si>
  <si>
    <t>=G351</t>
  </si>
  <si>
    <t>=+K351</t>
  </si>
  <si>
    <t>=L351</t>
  </si>
  <si>
    <t>=+C353</t>
  </si>
  <si>
    <t>=+D353</t>
  </si>
  <si>
    <t>=E353</t>
  </si>
  <si>
    <t>=G353</t>
  </si>
  <si>
    <t>=+K353</t>
  </si>
  <si>
    <t>=L353</t>
  </si>
  <si>
    <t>="Total for " &amp; $L354</t>
  </si>
  <si>
    <t>=+K354</t>
  </si>
  <si>
    <t>=SUBTOTAL(9,T347:T353)</t>
  </si>
  <si>
    <t>=+C354</t>
  </si>
  <si>
    <t>=+D354</t>
  </si>
  <si>
    <t>=E354</t>
  </si>
  <si>
    <t>=G354</t>
  </si>
  <si>
    <t>=+N355</t>
  </si>
  <si>
    <t>=M355</t>
  </si>
  <si>
    <t>="10465"</t>
  </si>
  <si>
    <t>=NL(,"UPR30300","CHEKDATE","CHEKNMBR",$M355,"EMPLOYID",$G355)</t>
  </si>
  <si>
    <t>=+C355</t>
  </si>
  <si>
    <t>=+D355</t>
  </si>
  <si>
    <t>=E355</t>
  </si>
  <si>
    <t>=G355</t>
  </si>
  <si>
    <t>=+K355</t>
  </si>
  <si>
    <t>=L355</t>
  </si>
  <si>
    <t>=NF($O356,"PAYRATE")</t>
  </si>
  <si>
    <t>=NF($O356,"PAYROLCD")</t>
  </si>
  <si>
    <t>=NF($O356,"STATECD")</t>
  </si>
  <si>
    <t>=NF($O356,"CHEKDATE")</t>
  </si>
  <si>
    <t>=NF($O356,"UPRTRXAM")</t>
  </si>
  <si>
    <t>=+C356</t>
  </si>
  <si>
    <t>=+D356</t>
  </si>
  <si>
    <t>=E356</t>
  </si>
  <si>
    <t>=G356</t>
  </si>
  <si>
    <t>=+K356</t>
  </si>
  <si>
    <t>=L356</t>
  </si>
  <si>
    <t>=+C357</t>
  </si>
  <si>
    <t>=+D357</t>
  </si>
  <si>
    <t>=E357</t>
  </si>
  <si>
    <t>=G357</t>
  </si>
  <si>
    <t>=+K357</t>
  </si>
  <si>
    <t>=L357</t>
  </si>
  <si>
    <t>=+C358</t>
  </si>
  <si>
    <t>=+D358</t>
  </si>
  <si>
    <t>=E358</t>
  </si>
  <si>
    <t>=G358</t>
  </si>
  <si>
    <t>=+K358</t>
  </si>
  <si>
    <t>=L358</t>
  </si>
  <si>
    <t>=+C359</t>
  </si>
  <si>
    <t>=+D359</t>
  </si>
  <si>
    <t>=E359</t>
  </si>
  <si>
    <t>=G359</t>
  </si>
  <si>
    <t>=+K359</t>
  </si>
  <si>
    <t>=L359</t>
  </si>
  <si>
    <t>=+C360</t>
  </si>
  <si>
    <t>=+D360</t>
  </si>
  <si>
    <t>=E360</t>
  </si>
  <si>
    <t>=G360</t>
  </si>
  <si>
    <t>=+K360</t>
  </si>
  <si>
    <t>=L360</t>
  </si>
  <si>
    <t>=+C362</t>
  </si>
  <si>
    <t>=+D362</t>
  </si>
  <si>
    <t>=E362</t>
  </si>
  <si>
    <t>=G362</t>
  </si>
  <si>
    <t>=+K362</t>
  </si>
  <si>
    <t>=L362</t>
  </si>
  <si>
    <t>="Total for " &amp; $L363</t>
  </si>
  <si>
    <t>=+K363</t>
  </si>
  <si>
    <t>=SUBTOTAL(9,T356:T362)</t>
  </si>
  <si>
    <t>=+C363</t>
  </si>
  <si>
    <t>=+D363</t>
  </si>
  <si>
    <t>=E363</t>
  </si>
  <si>
    <t>=G363</t>
  </si>
  <si>
    <t>=+N364</t>
  </si>
  <si>
    <t>=M364</t>
  </si>
  <si>
    <t>="10490"</t>
  </si>
  <si>
    <t>=NL(,"UPR30300","CHEKDATE","CHEKNMBR",$M364,"EMPLOYID",$G364)</t>
  </si>
  <si>
    <t>=+C364</t>
  </si>
  <si>
    <t>=+D364</t>
  </si>
  <si>
    <t>=E364</t>
  </si>
  <si>
    <t>=G364</t>
  </si>
  <si>
    <t>=+K364</t>
  </si>
  <si>
    <t>=L364</t>
  </si>
  <si>
    <t>=NF($O365,"PAYRATE")</t>
  </si>
  <si>
    <t>=NF($O365,"PAYROLCD")</t>
  </si>
  <si>
    <t>=NF($O365,"STATECD")</t>
  </si>
  <si>
    <t>=NF($O365,"CHEKDATE")</t>
  </si>
  <si>
    <t>=NF($O365,"UPRTRXAM")</t>
  </si>
  <si>
    <t>=+C365</t>
  </si>
  <si>
    <t>=+D365</t>
  </si>
  <si>
    <t>=E365</t>
  </si>
  <si>
    <t>=G365</t>
  </si>
  <si>
    <t>=+K365</t>
  </si>
  <si>
    <t>=L365</t>
  </si>
  <si>
    <t>=+C366</t>
  </si>
  <si>
    <t>=+D366</t>
  </si>
  <si>
    <t>=E366</t>
  </si>
  <si>
    <t>=G366</t>
  </si>
  <si>
    <t>=+K366</t>
  </si>
  <si>
    <t>=L366</t>
  </si>
  <si>
    <t>=+C367</t>
  </si>
  <si>
    <t>=+D367</t>
  </si>
  <si>
    <t>=E367</t>
  </si>
  <si>
    <t>=G367</t>
  </si>
  <si>
    <t>=+K367</t>
  </si>
  <si>
    <t>=L367</t>
  </si>
  <si>
    <t>=+C368</t>
  </si>
  <si>
    <t>=+D368</t>
  </si>
  <si>
    <t>=E368</t>
  </si>
  <si>
    <t>=G368</t>
  </si>
  <si>
    <t>=+K368</t>
  </si>
  <si>
    <t>=L368</t>
  </si>
  <si>
    <t>=+C369</t>
  </si>
  <si>
    <t>=+D369</t>
  </si>
  <si>
    <t>=E369</t>
  </si>
  <si>
    <t>=G369</t>
  </si>
  <si>
    <t>=+K369</t>
  </si>
  <si>
    <t>=L369</t>
  </si>
  <si>
    <t>=+C371</t>
  </si>
  <si>
    <t>=+D371</t>
  </si>
  <si>
    <t>=E371</t>
  </si>
  <si>
    <t>=G371</t>
  </si>
  <si>
    <t>=+K371</t>
  </si>
  <si>
    <t>=L371</t>
  </si>
  <si>
    <t>="Total for " &amp; $L372</t>
  </si>
  <si>
    <t>=+K372</t>
  </si>
  <si>
    <t>=SUBTOTAL(9,T365:T371)</t>
  </si>
  <si>
    <t>=+C372</t>
  </si>
  <si>
    <t>=+D372</t>
  </si>
  <si>
    <t>=E372</t>
  </si>
  <si>
    <t>=G372</t>
  </si>
  <si>
    <t>=+N373</t>
  </si>
  <si>
    <t>=M373</t>
  </si>
  <si>
    <t>="11567"</t>
  </si>
  <si>
    <t>=NL(,"UPR30300","CHEKDATE","CHEKNMBR",$M373,"EMPLOYID",$G373)</t>
  </si>
  <si>
    <t>=+C373</t>
  </si>
  <si>
    <t>=+D373</t>
  </si>
  <si>
    <t>=E373</t>
  </si>
  <si>
    <t>=G373</t>
  </si>
  <si>
    <t>=+K373</t>
  </si>
  <si>
    <t>=L373</t>
  </si>
  <si>
    <t>=NF($O374,"PAYRATE")</t>
  </si>
  <si>
    <t>=NF($O374,"PAYROLCD")</t>
  </si>
  <si>
    <t>=NF($O374,"STATECD")</t>
  </si>
  <si>
    <t>=NF($O374,"CHEKDATE")</t>
  </si>
  <si>
    <t>=NF($O374,"UPRTRXAM")</t>
  </si>
  <si>
    <t>=+C374</t>
  </si>
  <si>
    <t>=+D374</t>
  </si>
  <si>
    <t>=E374</t>
  </si>
  <si>
    <t>=G374</t>
  </si>
  <si>
    <t>=+K374</t>
  </si>
  <si>
    <t>=L374</t>
  </si>
  <si>
    <t>=+C376</t>
  </si>
  <si>
    <t>=+D376</t>
  </si>
  <si>
    <t>=E376</t>
  </si>
  <si>
    <t>=G376</t>
  </si>
  <si>
    <t>=+K376</t>
  </si>
  <si>
    <t>=L376</t>
  </si>
  <si>
    <t>="Total for " &amp; $L377</t>
  </si>
  <si>
    <t>=+K377</t>
  </si>
  <si>
    <t>=SUBTOTAL(9,T374:T376)</t>
  </si>
  <si>
    <t>=+C377</t>
  </si>
  <si>
    <t>=+D377</t>
  </si>
  <si>
    <t>=E377</t>
  </si>
  <si>
    <t>=G377</t>
  </si>
  <si>
    <t>=+N378</t>
  </si>
  <si>
    <t>=M378</t>
  </si>
  <si>
    <t>="11572"</t>
  </si>
  <si>
    <t>=NL(,"UPR30300","CHEKDATE","CHEKNMBR",$M378,"EMPLOYID",$G378)</t>
  </si>
  <si>
    <t>=+C378</t>
  </si>
  <si>
    <t>=+D378</t>
  </si>
  <si>
    <t>=E378</t>
  </si>
  <si>
    <t>=G378</t>
  </si>
  <si>
    <t>=+K378</t>
  </si>
  <si>
    <t>=L378</t>
  </si>
  <si>
    <t>=NF($O379,"PAYRATE")</t>
  </si>
  <si>
    <t>=NF($O379,"PAYROLCD")</t>
  </si>
  <si>
    <t>=NF($O379,"STATECD")</t>
  </si>
  <si>
    <t>=NF($O379,"CHEKDATE")</t>
  </si>
  <si>
    <t>=NF($O379,"UPRTRXAM")</t>
  </si>
  <si>
    <t>=+C379</t>
  </si>
  <si>
    <t>=+D379</t>
  </si>
  <si>
    <t>=E379</t>
  </si>
  <si>
    <t>=G379</t>
  </si>
  <si>
    <t>=+K379</t>
  </si>
  <si>
    <t>=L379</t>
  </si>
  <si>
    <t>=+C381</t>
  </si>
  <si>
    <t>=+D381</t>
  </si>
  <si>
    <t>=E381</t>
  </si>
  <si>
    <t>=G381</t>
  </si>
  <si>
    <t>=+K381</t>
  </si>
  <si>
    <t>=L381</t>
  </si>
  <si>
    <t>="Total for " &amp; $L382</t>
  </si>
  <si>
    <t>=+K382</t>
  </si>
  <si>
    <t>=SUBTOTAL(9,T379:T381)</t>
  </si>
  <si>
    <t>=+C383</t>
  </si>
  <si>
    <t>=+D383</t>
  </si>
  <si>
    <t>=E383</t>
  </si>
  <si>
    <t>=G383</t>
  </si>
  <si>
    <t>="Total for " &amp; $G384</t>
  </si>
  <si>
    <t>=+C384</t>
  </si>
  <si>
    <t>=+D384</t>
  </si>
  <si>
    <t>=SUBTOTAL(9,T320:T383)</t>
  </si>
  <si>
    <t>=+I385</t>
  </si>
  <si>
    <t>=+J385</t>
  </si>
  <si>
    <t>=E384</t>
  </si>
  <si>
    <t>=H385</t>
  </si>
  <si>
    <t>="REEV0001"</t>
  </si>
  <si>
    <t>=NL(,"UPR00100","FRSTNAME","EMPLOYID",$H385)</t>
  </si>
  <si>
    <t>=NL(,"UPR00100","LASTNAME","EMPLOYID",$H385)</t>
  </si>
  <si>
    <t>=+C385</t>
  </si>
  <si>
    <t>=+D385</t>
  </si>
  <si>
    <t>=E385</t>
  </si>
  <si>
    <t>=G385</t>
  </si>
  <si>
    <t>=+N386</t>
  </si>
  <si>
    <t>=M386</t>
  </si>
  <si>
    <t>=NL(,"UPR30300","CHEKDATE","CHEKNMBR",$M386,"EMPLOYID",$G386)</t>
  </si>
  <si>
    <t>=+C386</t>
  </si>
  <si>
    <t>=+D386</t>
  </si>
  <si>
    <t>=E386</t>
  </si>
  <si>
    <t>=G386</t>
  </si>
  <si>
    <t>=+K386</t>
  </si>
  <si>
    <t>=L386</t>
  </si>
  <si>
    <t>=NF($O387,"PAYRATE")</t>
  </si>
  <si>
    <t>=NF($O387,"PAYROLCD")</t>
  </si>
  <si>
    <t>=NF($O387,"STATECD")</t>
  </si>
  <si>
    <t>=NF($O387,"CHEKDATE")</t>
  </si>
  <si>
    <t>=NF($O387,"UPRTRXAM")</t>
  </si>
  <si>
    <t>=+C387</t>
  </si>
  <si>
    <t>=+D387</t>
  </si>
  <si>
    <t>=E387</t>
  </si>
  <si>
    <t>=G387</t>
  </si>
  <si>
    <t>=+K387</t>
  </si>
  <si>
    <t>=L387</t>
  </si>
  <si>
    <t>=+C388</t>
  </si>
  <si>
    <t>=+D388</t>
  </si>
  <si>
    <t>=E388</t>
  </si>
  <si>
    <t>=G388</t>
  </si>
  <si>
    <t>=+K388</t>
  </si>
  <si>
    <t>=L388</t>
  </si>
  <si>
    <t>=+C389</t>
  </si>
  <si>
    <t>=+D389</t>
  </si>
  <si>
    <t>=E389</t>
  </si>
  <si>
    <t>=G389</t>
  </si>
  <si>
    <t>=+K389</t>
  </si>
  <si>
    <t>=L389</t>
  </si>
  <si>
    <t>=+C390</t>
  </si>
  <si>
    <t>=+D390</t>
  </si>
  <si>
    <t>=E390</t>
  </si>
  <si>
    <t>=G390</t>
  </si>
  <si>
    <t>=+K390</t>
  </si>
  <si>
    <t>=L390</t>
  </si>
  <si>
    <t>=+C391</t>
  </si>
  <si>
    <t>=+D391</t>
  </si>
  <si>
    <t>=E391</t>
  </si>
  <si>
    <t>=G391</t>
  </si>
  <si>
    <t>=+K391</t>
  </si>
  <si>
    <t>=L391</t>
  </si>
  <si>
    <t>=+C393</t>
  </si>
  <si>
    <t>=+D393</t>
  </si>
  <si>
    <t>=E393</t>
  </si>
  <si>
    <t>=G393</t>
  </si>
  <si>
    <t>=+K393</t>
  </si>
  <si>
    <t>=L393</t>
  </si>
  <si>
    <t>="Total for " &amp; $L394</t>
  </si>
  <si>
    <t>=+K394</t>
  </si>
  <si>
    <t>=SUBTOTAL(9,T387:T393)</t>
  </si>
  <si>
    <t>=+C394</t>
  </si>
  <si>
    <t>=+D394</t>
  </si>
  <si>
    <t>=E394</t>
  </si>
  <si>
    <t>=G394</t>
  </si>
  <si>
    <t>=+N395</t>
  </si>
  <si>
    <t>=M395</t>
  </si>
  <si>
    <t>="10398"</t>
  </si>
  <si>
    <t>=NL(,"UPR30300","CHEKDATE","CHEKNMBR",$M395,"EMPLOYID",$G395)</t>
  </si>
  <si>
    <t>=+C395</t>
  </si>
  <si>
    <t>=+D395</t>
  </si>
  <si>
    <t>=E395</t>
  </si>
  <si>
    <t>=G395</t>
  </si>
  <si>
    <t>=+K395</t>
  </si>
  <si>
    <t>=L395</t>
  </si>
  <si>
    <t>=NF($O396,"PAYRATE")</t>
  </si>
  <si>
    <t>=NF($O396,"PAYROLCD")</t>
  </si>
  <si>
    <t>=NF($O396,"STATECD")</t>
  </si>
  <si>
    <t>=NF($O396,"CHEKDATE")</t>
  </si>
  <si>
    <t>=NF($O396,"UPRTRXAM")</t>
  </si>
  <si>
    <t>=+C396</t>
  </si>
  <si>
    <t>=+D396</t>
  </si>
  <si>
    <t>=E396</t>
  </si>
  <si>
    <t>=G396</t>
  </si>
  <si>
    <t>=+K396</t>
  </si>
  <si>
    <t>=L396</t>
  </si>
  <si>
    <t>=+C397</t>
  </si>
  <si>
    <t>=+D397</t>
  </si>
  <si>
    <t>=E397</t>
  </si>
  <si>
    <t>=G397</t>
  </si>
  <si>
    <t>=+K397</t>
  </si>
  <si>
    <t>=L397</t>
  </si>
  <si>
    <t>=+C398</t>
  </si>
  <si>
    <t>=+D398</t>
  </si>
  <si>
    <t>=E398</t>
  </si>
  <si>
    <t>=G398</t>
  </si>
  <si>
    <t>=+K398</t>
  </si>
  <si>
    <t>=L398</t>
  </si>
  <si>
    <t>=+C399</t>
  </si>
  <si>
    <t>=+D399</t>
  </si>
  <si>
    <t>=E399</t>
  </si>
  <si>
    <t>=G399</t>
  </si>
  <si>
    <t>=+K399</t>
  </si>
  <si>
    <t>=L399</t>
  </si>
  <si>
    <t>=+C400</t>
  </si>
  <si>
    <t>=+D400</t>
  </si>
  <si>
    <t>=E400</t>
  </si>
  <si>
    <t>=G400</t>
  </si>
  <si>
    <t>=+K400</t>
  </si>
  <si>
    <t>=L400</t>
  </si>
  <si>
    <t>=+C401</t>
  </si>
  <si>
    <t>=+D401</t>
  </si>
  <si>
    <t>=E401</t>
  </si>
  <si>
    <t>=G401</t>
  </si>
  <si>
    <t>=+K401</t>
  </si>
  <si>
    <t>=L401</t>
  </si>
  <si>
    <t>=+C403</t>
  </si>
  <si>
    <t>=+D403</t>
  </si>
  <si>
    <t>=E403</t>
  </si>
  <si>
    <t>=G403</t>
  </si>
  <si>
    <t>=+K403</t>
  </si>
  <si>
    <t>=L403</t>
  </si>
  <si>
    <t>="Total for " &amp; $L404</t>
  </si>
  <si>
    <t>=+K404</t>
  </si>
  <si>
    <t>=SUBTOTAL(9,T396:T403)</t>
  </si>
  <si>
    <t>=+C404</t>
  </si>
  <si>
    <t>=+D404</t>
  </si>
  <si>
    <t>=E404</t>
  </si>
  <si>
    <t>=G404</t>
  </si>
  <si>
    <t>=+N405</t>
  </si>
  <si>
    <t>=M405</t>
  </si>
  <si>
    <t>="10423"</t>
  </si>
  <si>
    <t>=NL(,"UPR30300","CHEKDATE","CHEKNMBR",$M405,"EMPLOYID",$G405)</t>
  </si>
  <si>
    <t>=+C405</t>
  </si>
  <si>
    <t>=+D405</t>
  </si>
  <si>
    <t>=E405</t>
  </si>
  <si>
    <t>=G405</t>
  </si>
  <si>
    <t>=+K405</t>
  </si>
  <si>
    <t>=L405</t>
  </si>
  <si>
    <t>=NF($O406,"PAYRATE")</t>
  </si>
  <si>
    <t>=NF($O406,"PAYROLCD")</t>
  </si>
  <si>
    <t>=NF($O406,"STATECD")</t>
  </si>
  <si>
    <t>=NF($O406,"CHEKDATE")</t>
  </si>
  <si>
    <t>=NF($O406,"UPRTRXAM")</t>
  </si>
  <si>
    <t>=+C406</t>
  </si>
  <si>
    <t>=+D406</t>
  </si>
  <si>
    <t>=E406</t>
  </si>
  <si>
    <t>=G406</t>
  </si>
  <si>
    <t>=+K406</t>
  </si>
  <si>
    <t>=L406</t>
  </si>
  <si>
    <t>=+C407</t>
  </si>
  <si>
    <t>=+D407</t>
  </si>
  <si>
    <t>=E407</t>
  </si>
  <si>
    <t>=G407</t>
  </si>
  <si>
    <t>=+K407</t>
  </si>
  <si>
    <t>=L407</t>
  </si>
  <si>
    <t>=+C408</t>
  </si>
  <si>
    <t>=+D408</t>
  </si>
  <si>
    <t>=E408</t>
  </si>
  <si>
    <t>=G408</t>
  </si>
  <si>
    <t>=+K408</t>
  </si>
  <si>
    <t>=L408</t>
  </si>
  <si>
    <t>=+C409</t>
  </si>
  <si>
    <t>=+D409</t>
  </si>
  <si>
    <t>=E409</t>
  </si>
  <si>
    <t>=G409</t>
  </si>
  <si>
    <t>=+K409</t>
  </si>
  <si>
    <t>=L409</t>
  </si>
  <si>
    <t>=+C410</t>
  </si>
  <si>
    <t>=+D410</t>
  </si>
  <si>
    <t>=E410</t>
  </si>
  <si>
    <t>=G410</t>
  </si>
  <si>
    <t>=+K410</t>
  </si>
  <si>
    <t>=L410</t>
  </si>
  <si>
    <t>=+C412</t>
  </si>
  <si>
    <t>=+D412</t>
  </si>
  <si>
    <t>=E412</t>
  </si>
  <si>
    <t>=G412</t>
  </si>
  <si>
    <t>=+K412</t>
  </si>
  <si>
    <t>=L412</t>
  </si>
  <si>
    <t>="Total for " &amp; $L413</t>
  </si>
  <si>
    <t>=+K413</t>
  </si>
  <si>
    <t>=SUBTOTAL(9,T406:T412)</t>
  </si>
  <si>
    <t>=+C413</t>
  </si>
  <si>
    <t>=+D413</t>
  </si>
  <si>
    <t>=E413</t>
  </si>
  <si>
    <t>=G413</t>
  </si>
  <si>
    <t>=+N414</t>
  </si>
  <si>
    <t>=M414</t>
  </si>
  <si>
    <t>="10448"</t>
  </si>
  <si>
    <t>=NL(,"UPR30300","CHEKDATE","CHEKNMBR",$M414,"EMPLOYID",$G414)</t>
  </si>
  <si>
    <t>=+C414</t>
  </si>
  <si>
    <t>=+D414</t>
  </si>
  <si>
    <t>=E414</t>
  </si>
  <si>
    <t>=G414</t>
  </si>
  <si>
    <t>=+K414</t>
  </si>
  <si>
    <t>=L414</t>
  </si>
  <si>
    <t>=NF($O415,"PAYRATE")</t>
  </si>
  <si>
    <t>=NF($O415,"PAYROLCD")</t>
  </si>
  <si>
    <t>=NF($O415,"STATECD")</t>
  </si>
  <si>
    <t>=NF($O415,"CHEKDATE")</t>
  </si>
  <si>
    <t>=NF($O415,"UPRTRXAM")</t>
  </si>
  <si>
    <t>=+C415</t>
  </si>
  <si>
    <t>=+D415</t>
  </si>
  <si>
    <t>=E415</t>
  </si>
  <si>
    <t>=G415</t>
  </si>
  <si>
    <t>=+K415</t>
  </si>
  <si>
    <t>=L415</t>
  </si>
  <si>
    <t>=+C416</t>
  </si>
  <si>
    <t>=+D416</t>
  </si>
  <si>
    <t>=E416</t>
  </si>
  <si>
    <t>=G416</t>
  </si>
  <si>
    <t>=+K416</t>
  </si>
  <si>
    <t>=L416</t>
  </si>
  <si>
    <t>=+C417</t>
  </si>
  <si>
    <t>=+D417</t>
  </si>
  <si>
    <t>=E417</t>
  </si>
  <si>
    <t>=G417</t>
  </si>
  <si>
    <t>=+K417</t>
  </si>
  <si>
    <t>=L417</t>
  </si>
  <si>
    <t>=+C418</t>
  </si>
  <si>
    <t>=+D418</t>
  </si>
  <si>
    <t>=E418</t>
  </si>
  <si>
    <t>=G418</t>
  </si>
  <si>
    <t>=+K418</t>
  </si>
  <si>
    <t>=L418</t>
  </si>
  <si>
    <t>=+C419</t>
  </si>
  <si>
    <t>=+D419</t>
  </si>
  <si>
    <t>=E419</t>
  </si>
  <si>
    <t>=G419</t>
  </si>
  <si>
    <t>=+K419</t>
  </si>
  <si>
    <t>=L419</t>
  </si>
  <si>
    <t>=+C421</t>
  </si>
  <si>
    <t>=+D421</t>
  </si>
  <si>
    <t>=E421</t>
  </si>
  <si>
    <t>=G421</t>
  </si>
  <si>
    <t>=+K421</t>
  </si>
  <si>
    <t>=L421</t>
  </si>
  <si>
    <t>="Total for " &amp; $L422</t>
  </si>
  <si>
    <t>=+K422</t>
  </si>
  <si>
    <t>=SUBTOTAL(9,T415:T421)</t>
  </si>
  <si>
    <t>=+C422</t>
  </si>
  <si>
    <t>=+D422</t>
  </si>
  <si>
    <t>=E422</t>
  </si>
  <si>
    <t>=G422</t>
  </si>
  <si>
    <t>=+N423</t>
  </si>
  <si>
    <t>=M423</t>
  </si>
  <si>
    <t>="10473"</t>
  </si>
  <si>
    <t>=NL(,"UPR30300","CHEKDATE","CHEKNMBR",$M423,"EMPLOYID",$G423)</t>
  </si>
  <si>
    <t>=+C423</t>
  </si>
  <si>
    <t>=+D423</t>
  </si>
  <si>
    <t>=E423</t>
  </si>
  <si>
    <t>=G423</t>
  </si>
  <si>
    <t>=+K423</t>
  </si>
  <si>
    <t>=L423</t>
  </si>
  <si>
    <t>=NF($O424,"PAYRATE")</t>
  </si>
  <si>
    <t>=NF($O424,"PAYROLCD")</t>
  </si>
  <si>
    <t>=NF($O424,"STATECD")</t>
  </si>
  <si>
    <t>=NF($O424,"CHEKDATE")</t>
  </si>
  <si>
    <t>=NF($O424,"UPRTRXAM")</t>
  </si>
  <si>
    <t>=+C424</t>
  </si>
  <si>
    <t>=+D424</t>
  </si>
  <si>
    <t>=E424</t>
  </si>
  <si>
    <t>=G424</t>
  </si>
  <si>
    <t>=+K424</t>
  </si>
  <si>
    <t>=L424</t>
  </si>
  <si>
    <t>=+C425</t>
  </si>
  <si>
    <t>=+D425</t>
  </si>
  <si>
    <t>=E425</t>
  </si>
  <si>
    <t>=G425</t>
  </si>
  <si>
    <t>=+K425</t>
  </si>
  <si>
    <t>=L425</t>
  </si>
  <si>
    <t>=+C426</t>
  </si>
  <si>
    <t>=+D426</t>
  </si>
  <si>
    <t>=E426</t>
  </si>
  <si>
    <t>=G426</t>
  </si>
  <si>
    <t>=+K426</t>
  </si>
  <si>
    <t>=L426</t>
  </si>
  <si>
    <t>=+C427</t>
  </si>
  <si>
    <t>=+D427</t>
  </si>
  <si>
    <t>=E427</t>
  </si>
  <si>
    <t>=G427</t>
  </si>
  <si>
    <t>=+K427</t>
  </si>
  <si>
    <t>=L427</t>
  </si>
  <si>
    <t>=+C428</t>
  </si>
  <si>
    <t>=+D428</t>
  </si>
  <si>
    <t>=E428</t>
  </si>
  <si>
    <t>=G428</t>
  </si>
  <si>
    <t>=+K428</t>
  </si>
  <si>
    <t>=L428</t>
  </si>
  <si>
    <t>=+C430</t>
  </si>
  <si>
    <t>=+D430</t>
  </si>
  <si>
    <t>=E430</t>
  </si>
  <si>
    <t>=G430</t>
  </si>
  <si>
    <t>=+K430</t>
  </si>
  <si>
    <t>=L430</t>
  </si>
  <si>
    <t>="Total for " &amp; $L431</t>
  </si>
  <si>
    <t>=+K431</t>
  </si>
  <si>
    <t>=SUBTOTAL(9,T424:T430)</t>
  </si>
  <si>
    <t>=+C431</t>
  </si>
  <si>
    <t>=+D431</t>
  </si>
  <si>
    <t>=E431</t>
  </si>
  <si>
    <t>=G431</t>
  </si>
  <si>
    <t>=+N432</t>
  </si>
  <si>
    <t>=M432</t>
  </si>
  <si>
    <t>="10498"</t>
  </si>
  <si>
    <t>=NL(,"UPR30300","CHEKDATE","CHEKNMBR",$M432,"EMPLOYID",$G432)</t>
  </si>
  <si>
    <t>=+C432</t>
  </si>
  <si>
    <t>=+D432</t>
  </si>
  <si>
    <t>=E432</t>
  </si>
  <si>
    <t>=G432</t>
  </si>
  <si>
    <t>=+K432</t>
  </si>
  <si>
    <t>=L432</t>
  </si>
  <si>
    <t>=NF($O433,"PAYRATE")</t>
  </si>
  <si>
    <t>=NF($O433,"PAYROLCD")</t>
  </si>
  <si>
    <t>=NF($O433,"STATECD")</t>
  </si>
  <si>
    <t>=NF($O433,"CHEKDATE")</t>
  </si>
  <si>
    <t>=NF($O433,"UPRTRXAM")</t>
  </si>
  <si>
    <t>=+C433</t>
  </si>
  <si>
    <t>=+D433</t>
  </si>
  <si>
    <t>=E433</t>
  </si>
  <si>
    <t>=G433</t>
  </si>
  <si>
    <t>=+K433</t>
  </si>
  <si>
    <t>=L433</t>
  </si>
  <si>
    <t>=+C434</t>
  </si>
  <si>
    <t>=+D434</t>
  </si>
  <si>
    <t>=E434</t>
  </si>
  <si>
    <t>=G434</t>
  </si>
  <si>
    <t>=+K434</t>
  </si>
  <si>
    <t>=L434</t>
  </si>
  <si>
    <t>=+C435</t>
  </si>
  <si>
    <t>=+D435</t>
  </si>
  <si>
    <t>=E435</t>
  </si>
  <si>
    <t>=G435</t>
  </si>
  <si>
    <t>=+K435</t>
  </si>
  <si>
    <t>=L435</t>
  </si>
  <si>
    <t>=+C436</t>
  </si>
  <si>
    <t>=+D436</t>
  </si>
  <si>
    <t>=E436</t>
  </si>
  <si>
    <t>=G436</t>
  </si>
  <si>
    <t>=+K436</t>
  </si>
  <si>
    <t>=L436</t>
  </si>
  <si>
    <t>=+C437</t>
  </si>
  <si>
    <t>=+D437</t>
  </si>
  <si>
    <t>=E437</t>
  </si>
  <si>
    <t>=G437</t>
  </si>
  <si>
    <t>=+K437</t>
  </si>
  <si>
    <t>=L437</t>
  </si>
  <si>
    <t>=+C439</t>
  </si>
  <si>
    <t>=+D439</t>
  </si>
  <si>
    <t>=E439</t>
  </si>
  <si>
    <t>=G439</t>
  </si>
  <si>
    <t>=+K439</t>
  </si>
  <si>
    <t>=L439</t>
  </si>
  <si>
    <t>="Total for " &amp; $L440</t>
  </si>
  <si>
    <t>=+K440</t>
  </si>
  <si>
    <t>=SUBTOTAL(9,T433:T439)</t>
  </si>
  <si>
    <t>=+C441</t>
  </si>
  <si>
    <t>=+D441</t>
  </si>
  <si>
    <t>=E441</t>
  </si>
  <si>
    <t>=G441</t>
  </si>
  <si>
    <t>="Total for " &amp; $G442</t>
  </si>
  <si>
    <t>=+C442</t>
  </si>
  <si>
    <t>=+D442</t>
  </si>
  <si>
    <t>=SUBTOTAL(9,T387:T441)</t>
  </si>
  <si>
    <t>=+I443</t>
  </si>
  <si>
    <t>=+J443</t>
  </si>
  <si>
    <t>=E442</t>
  </si>
  <si>
    <t>=H443</t>
  </si>
  <si>
    <t>="STEW0001"</t>
  </si>
  <si>
    <t>=NL(,"UPR00100","FRSTNAME","EMPLOYID",$H443)</t>
  </si>
  <si>
    <t>=NL(,"UPR00100","LASTNAME","EMPLOYID",$H443)</t>
  </si>
  <si>
    <t>=+C443</t>
  </si>
  <si>
    <t>=+D443</t>
  </si>
  <si>
    <t>=E443</t>
  </si>
  <si>
    <t>=G443</t>
  </si>
  <si>
    <t>=+N444</t>
  </si>
  <si>
    <t>=M444</t>
  </si>
  <si>
    <t>=NL(,"UPR30300","CHEKDATE","CHEKNMBR",$M444,"EMPLOYID",$G444)</t>
  </si>
  <si>
    <t>=+C444</t>
  </si>
  <si>
    <t>=+D444</t>
  </si>
  <si>
    <t>=E444</t>
  </si>
  <si>
    <t>=G444</t>
  </si>
  <si>
    <t>=+K444</t>
  </si>
  <si>
    <t>=L444</t>
  </si>
  <si>
    <t>=NF($O445,"PAYRATE")</t>
  </si>
  <si>
    <t>=NF($O445,"PAYROLCD")</t>
  </si>
  <si>
    <t>=NF($O445,"STATECD")</t>
  </si>
  <si>
    <t>=NF($O445,"CHEKDATE")</t>
  </si>
  <si>
    <t>=NF($O445,"UPRTRXAM")</t>
  </si>
  <si>
    <t>=+C445</t>
  </si>
  <si>
    <t>=+D445</t>
  </si>
  <si>
    <t>=E445</t>
  </si>
  <si>
    <t>=G445</t>
  </si>
  <si>
    <t>=+K445</t>
  </si>
  <si>
    <t>=L445</t>
  </si>
  <si>
    <t>=+C446</t>
  </si>
  <si>
    <t>=+D446</t>
  </si>
  <si>
    <t>=E446</t>
  </si>
  <si>
    <t>=G446</t>
  </si>
  <si>
    <t>=+K446</t>
  </si>
  <si>
    <t>=L446</t>
  </si>
  <si>
    <t>=+C447</t>
  </si>
  <si>
    <t>=+D447</t>
  </si>
  <si>
    <t>=E447</t>
  </si>
  <si>
    <t>=G447</t>
  </si>
  <si>
    <t>=+K447</t>
  </si>
  <si>
    <t>=L447</t>
  </si>
  <si>
    <t>=+C448</t>
  </si>
  <si>
    <t>=+D448</t>
  </si>
  <si>
    <t>=E448</t>
  </si>
  <si>
    <t>=G448</t>
  </si>
  <si>
    <t>=+K448</t>
  </si>
  <si>
    <t>=L448</t>
  </si>
  <si>
    <t>=+C449</t>
  </si>
  <si>
    <t>=+D449</t>
  </si>
  <si>
    <t>=E449</t>
  </si>
  <si>
    <t>=G449</t>
  </si>
  <si>
    <t>=+K449</t>
  </si>
  <si>
    <t>=L449</t>
  </si>
  <si>
    <t>=+C450</t>
  </si>
  <si>
    <t>=+D450</t>
  </si>
  <si>
    <t>=E450</t>
  </si>
  <si>
    <t>=G450</t>
  </si>
  <si>
    <t>=+K450</t>
  </si>
  <si>
    <t>=L450</t>
  </si>
  <si>
    <t>=+C451</t>
  </si>
  <si>
    <t>=+D451</t>
  </si>
  <si>
    <t>=E451</t>
  </si>
  <si>
    <t>=G451</t>
  </si>
  <si>
    <t>=+K451</t>
  </si>
  <si>
    <t>=L451</t>
  </si>
  <si>
    <t>=+C453</t>
  </si>
  <si>
    <t>=+D453</t>
  </si>
  <si>
    <t>=E453</t>
  </si>
  <si>
    <t>=G453</t>
  </si>
  <si>
    <t>=+K453</t>
  </si>
  <si>
    <t>=L453</t>
  </si>
  <si>
    <t>="Total for " &amp; $L454</t>
  </si>
  <si>
    <t>=+K454</t>
  </si>
  <si>
    <t>=SUBTOTAL(9,T445:T453)</t>
  </si>
  <si>
    <t>=+C454</t>
  </si>
  <si>
    <t>=+D454</t>
  </si>
  <si>
    <t>=E454</t>
  </si>
  <si>
    <t>=G454</t>
  </si>
  <si>
    <t>=+N455</t>
  </si>
  <si>
    <t>=M455</t>
  </si>
  <si>
    <t>="10399"</t>
  </si>
  <si>
    <t>=NL(,"UPR30300","CHEKDATE","CHEKNMBR",$M455,"EMPLOYID",$G455)</t>
  </si>
  <si>
    <t>=+C455</t>
  </si>
  <si>
    <t>=+D455</t>
  </si>
  <si>
    <t>=E455</t>
  </si>
  <si>
    <t>=G455</t>
  </si>
  <si>
    <t>=+K455</t>
  </si>
  <si>
    <t>=L455</t>
  </si>
  <si>
    <t>=NF($O456,"PAYRATE")</t>
  </si>
  <si>
    <t>=NF($O456,"PAYROLCD")</t>
  </si>
  <si>
    <t>=NF($O456,"STATECD")</t>
  </si>
  <si>
    <t>=NF($O456,"CHEKDATE")</t>
  </si>
  <si>
    <t>=NF($O456,"UPRTRXAM")</t>
  </si>
  <si>
    <t>=+C456</t>
  </si>
  <si>
    <t>=+D456</t>
  </si>
  <si>
    <t>=E456</t>
  </si>
  <si>
    <t>=G456</t>
  </si>
  <si>
    <t>=+K456</t>
  </si>
  <si>
    <t>=L456</t>
  </si>
  <si>
    <t>=+C457</t>
  </si>
  <si>
    <t>=+D457</t>
  </si>
  <si>
    <t>=E457</t>
  </si>
  <si>
    <t>=G457</t>
  </si>
  <si>
    <t>=+K457</t>
  </si>
  <si>
    <t>=L457</t>
  </si>
  <si>
    <t>=+C458</t>
  </si>
  <si>
    <t>=+D458</t>
  </si>
  <si>
    <t>=E458</t>
  </si>
  <si>
    <t>=G458</t>
  </si>
  <si>
    <t>=+K458</t>
  </si>
  <si>
    <t>=L458</t>
  </si>
  <si>
    <t>=+C459</t>
  </si>
  <si>
    <t>=+D459</t>
  </si>
  <si>
    <t>=E459</t>
  </si>
  <si>
    <t>=G459</t>
  </si>
  <si>
    <t>=+K459</t>
  </si>
  <si>
    <t>=L459</t>
  </si>
  <si>
    <t>=+C460</t>
  </si>
  <si>
    <t>=+D460</t>
  </si>
  <si>
    <t>=E460</t>
  </si>
  <si>
    <t>=G460</t>
  </si>
  <si>
    <t>=+K460</t>
  </si>
  <si>
    <t>=L460</t>
  </si>
  <si>
    <t>=+C461</t>
  </si>
  <si>
    <t>=+D461</t>
  </si>
  <si>
    <t>=E461</t>
  </si>
  <si>
    <t>=G461</t>
  </si>
  <si>
    <t>=+K461</t>
  </si>
  <si>
    <t>=L461</t>
  </si>
  <si>
    <t>=+C463</t>
  </si>
  <si>
    <t>=+D463</t>
  </si>
  <si>
    <t>=E463</t>
  </si>
  <si>
    <t>=G463</t>
  </si>
  <si>
    <t>=+K463</t>
  </si>
  <si>
    <t>=L463</t>
  </si>
  <si>
    <t>="Total for " &amp; $L464</t>
  </si>
  <si>
    <t>=+K464</t>
  </si>
  <si>
    <t>=SUBTOTAL(9,T456:T463)</t>
  </si>
  <si>
    <t>=+C464</t>
  </si>
  <si>
    <t>=+D464</t>
  </si>
  <si>
    <t>=E464</t>
  </si>
  <si>
    <t>=G464</t>
  </si>
  <si>
    <t>=+N465</t>
  </si>
  <si>
    <t>=M465</t>
  </si>
  <si>
    <t>="10424"</t>
  </si>
  <si>
    <t>=NL(,"UPR30300","CHEKDATE","CHEKNMBR",$M465,"EMPLOYID",$G465)</t>
  </si>
  <si>
    <t>=+C465</t>
  </si>
  <si>
    <t>=+D465</t>
  </si>
  <si>
    <t>=E465</t>
  </si>
  <si>
    <t>=G465</t>
  </si>
  <si>
    <t>=+K465</t>
  </si>
  <si>
    <t>=L465</t>
  </si>
  <si>
    <t>=NF($O466,"PAYRATE")</t>
  </si>
  <si>
    <t>=NF($O466,"PAYROLCD")</t>
  </si>
  <si>
    <t>=NF($O466,"STATECD")</t>
  </si>
  <si>
    <t>=NF($O466,"CHEKDATE")</t>
  </si>
  <si>
    <t>=NF($O466,"UPRTRXAM")</t>
  </si>
  <si>
    <t>=+C466</t>
  </si>
  <si>
    <t>=+D466</t>
  </si>
  <si>
    <t>=E466</t>
  </si>
  <si>
    <t>=G466</t>
  </si>
  <si>
    <t>=+K466</t>
  </si>
  <si>
    <t>=L466</t>
  </si>
  <si>
    <t>=+C467</t>
  </si>
  <si>
    <t>=+D467</t>
  </si>
  <si>
    <t>=E467</t>
  </si>
  <si>
    <t>=G467</t>
  </si>
  <si>
    <t>=+K467</t>
  </si>
  <si>
    <t>=L467</t>
  </si>
  <si>
    <t>=+C468</t>
  </si>
  <si>
    <t>=+D468</t>
  </si>
  <si>
    <t>=E468</t>
  </si>
  <si>
    <t>=G468</t>
  </si>
  <si>
    <t>=+K468</t>
  </si>
  <si>
    <t>=L468</t>
  </si>
  <si>
    <t>=+C469</t>
  </si>
  <si>
    <t>=+D469</t>
  </si>
  <si>
    <t>=E469</t>
  </si>
  <si>
    <t>=G469</t>
  </si>
  <si>
    <t>=+K469</t>
  </si>
  <si>
    <t>=L469</t>
  </si>
  <si>
    <t>=+C470</t>
  </si>
  <si>
    <t>=+D470</t>
  </si>
  <si>
    <t>=E470</t>
  </si>
  <si>
    <t>=G470</t>
  </si>
  <si>
    <t>=+K470</t>
  </si>
  <si>
    <t>=L470</t>
  </si>
  <si>
    <t>=+C471</t>
  </si>
  <si>
    <t>=+D471</t>
  </si>
  <si>
    <t>=E471</t>
  </si>
  <si>
    <t>=G471</t>
  </si>
  <si>
    <t>=+K471</t>
  </si>
  <si>
    <t>=L471</t>
  </si>
  <si>
    <t>=+C473</t>
  </si>
  <si>
    <t>=+D473</t>
  </si>
  <si>
    <t>=E473</t>
  </si>
  <si>
    <t>=G473</t>
  </si>
  <si>
    <t>=+K473</t>
  </si>
  <si>
    <t>=L473</t>
  </si>
  <si>
    <t>="Total for " &amp; $L474</t>
  </si>
  <si>
    <t>=+K474</t>
  </si>
  <si>
    <t>=SUBTOTAL(9,T466:T473)</t>
  </si>
  <si>
    <t>=+C474</t>
  </si>
  <si>
    <t>=+D474</t>
  </si>
  <si>
    <t>=E474</t>
  </si>
  <si>
    <t>=G474</t>
  </si>
  <si>
    <t>=+N475</t>
  </si>
  <si>
    <t>=M475</t>
  </si>
  <si>
    <t>="10449"</t>
  </si>
  <si>
    <t>=NL(,"UPR30300","CHEKDATE","CHEKNMBR",$M475,"EMPLOYID",$G475)</t>
  </si>
  <si>
    <t>=+C475</t>
  </si>
  <si>
    <t>=+D475</t>
  </si>
  <si>
    <t>=E475</t>
  </si>
  <si>
    <t>=G475</t>
  </si>
  <si>
    <t>=+K475</t>
  </si>
  <si>
    <t>=L475</t>
  </si>
  <si>
    <t>=NF($O476,"PAYRATE")</t>
  </si>
  <si>
    <t>=NF($O476,"PAYROLCD")</t>
  </si>
  <si>
    <t>=NF($O476,"STATECD")</t>
  </si>
  <si>
    <t>=NF($O476,"CHEKDATE")</t>
  </si>
  <si>
    <t>=NF($O476,"UPRTRXAM")</t>
  </si>
  <si>
    <t>=+C476</t>
  </si>
  <si>
    <t>=+D476</t>
  </si>
  <si>
    <t>=E476</t>
  </si>
  <si>
    <t>=G476</t>
  </si>
  <si>
    <t>=+K476</t>
  </si>
  <si>
    <t>=L476</t>
  </si>
  <si>
    <t>=+C477</t>
  </si>
  <si>
    <t>=+D477</t>
  </si>
  <si>
    <t>=E477</t>
  </si>
  <si>
    <t>=G477</t>
  </si>
  <si>
    <t>=+K477</t>
  </si>
  <si>
    <t>=L477</t>
  </si>
  <si>
    <t>=+C478</t>
  </si>
  <si>
    <t>=+D478</t>
  </si>
  <si>
    <t>=E478</t>
  </si>
  <si>
    <t>=G478</t>
  </si>
  <si>
    <t>=+K478</t>
  </si>
  <si>
    <t>=L478</t>
  </si>
  <si>
    <t>=+C479</t>
  </si>
  <si>
    <t>=+D479</t>
  </si>
  <si>
    <t>=E479</t>
  </si>
  <si>
    <t>=G479</t>
  </si>
  <si>
    <t>=+K479</t>
  </si>
  <si>
    <t>=L479</t>
  </si>
  <si>
    <t>=+C480</t>
  </si>
  <si>
    <t>=+D480</t>
  </si>
  <si>
    <t>=E480</t>
  </si>
  <si>
    <t>=G480</t>
  </si>
  <si>
    <t>=+K480</t>
  </si>
  <si>
    <t>=L480</t>
  </si>
  <si>
    <t>=+C481</t>
  </si>
  <si>
    <t>=+D481</t>
  </si>
  <si>
    <t>=E481</t>
  </si>
  <si>
    <t>=G481</t>
  </si>
  <si>
    <t>=+K481</t>
  </si>
  <si>
    <t>=L481</t>
  </si>
  <si>
    <t>=+C483</t>
  </si>
  <si>
    <t>=+D483</t>
  </si>
  <si>
    <t>=E483</t>
  </si>
  <si>
    <t>=G483</t>
  </si>
  <si>
    <t>=+K483</t>
  </si>
  <si>
    <t>=L483</t>
  </si>
  <si>
    <t>="Total for " &amp; $L484</t>
  </si>
  <si>
    <t>=+K484</t>
  </si>
  <si>
    <t>=SUBTOTAL(9,T476:T483)</t>
  </si>
  <si>
    <t>=+C484</t>
  </si>
  <si>
    <t>=+D484</t>
  </si>
  <si>
    <t>=E484</t>
  </si>
  <si>
    <t>=G484</t>
  </si>
  <si>
    <t>=+N485</t>
  </si>
  <si>
    <t>=M485</t>
  </si>
  <si>
    <t>="10474"</t>
  </si>
  <si>
    <t>=NL(,"UPR30300","CHEKDATE","CHEKNMBR",$M485,"EMPLOYID",$G485)</t>
  </si>
  <si>
    <t>=+C485</t>
  </si>
  <si>
    <t>=+D485</t>
  </si>
  <si>
    <t>=E485</t>
  </si>
  <si>
    <t>=G485</t>
  </si>
  <si>
    <t>=+K485</t>
  </si>
  <si>
    <t>=L485</t>
  </si>
  <si>
    <t>=NF($O486,"PAYRATE")</t>
  </si>
  <si>
    <t>=NF($O486,"PAYROLCD")</t>
  </si>
  <si>
    <t>=NF($O486,"STATECD")</t>
  </si>
  <si>
    <t>=NF($O486,"CHEKDATE")</t>
  </si>
  <si>
    <t>=NF($O486,"UPRTRXAM")</t>
  </si>
  <si>
    <t>=+C486</t>
  </si>
  <si>
    <t>=+D486</t>
  </si>
  <si>
    <t>=E486</t>
  </si>
  <si>
    <t>=G486</t>
  </si>
  <si>
    <t>=+K486</t>
  </si>
  <si>
    <t>=L486</t>
  </si>
  <si>
    <t>=+C487</t>
  </si>
  <si>
    <t>=+D487</t>
  </si>
  <si>
    <t>=E487</t>
  </si>
  <si>
    <t>=G487</t>
  </si>
  <si>
    <t>=+K487</t>
  </si>
  <si>
    <t>=L487</t>
  </si>
  <si>
    <t>=+C488</t>
  </si>
  <si>
    <t>=+D488</t>
  </si>
  <si>
    <t>=E488</t>
  </si>
  <si>
    <t>=G488</t>
  </si>
  <si>
    <t>=+K488</t>
  </si>
  <si>
    <t>=L488</t>
  </si>
  <si>
    <t>=+C489</t>
  </si>
  <si>
    <t>=+D489</t>
  </si>
  <si>
    <t>=E489</t>
  </si>
  <si>
    <t>=G489</t>
  </si>
  <si>
    <t>=+K489</t>
  </si>
  <si>
    <t>=L489</t>
  </si>
  <si>
    <t>=+C490</t>
  </si>
  <si>
    <t>=+D490</t>
  </si>
  <si>
    <t>=E490</t>
  </si>
  <si>
    <t>=G490</t>
  </si>
  <si>
    <t>=+K490</t>
  </si>
  <si>
    <t>=L490</t>
  </si>
  <si>
    <t>=+C491</t>
  </si>
  <si>
    <t>=+D491</t>
  </si>
  <si>
    <t>=E491</t>
  </si>
  <si>
    <t>=G491</t>
  </si>
  <si>
    <t>=+K491</t>
  </si>
  <si>
    <t>=L491</t>
  </si>
  <si>
    <t>=+C492</t>
  </si>
  <si>
    <t>=+D492</t>
  </si>
  <si>
    <t>=E492</t>
  </si>
  <si>
    <t>=G492</t>
  </si>
  <si>
    <t>=+K492</t>
  </si>
  <si>
    <t>=L492</t>
  </si>
  <si>
    <t>=+C494</t>
  </si>
  <si>
    <t>=+D494</t>
  </si>
  <si>
    <t>=E494</t>
  </si>
  <si>
    <t>=G494</t>
  </si>
  <si>
    <t>=+K494</t>
  </si>
  <si>
    <t>=L494</t>
  </si>
  <si>
    <t>="Total for " &amp; $L495</t>
  </si>
  <si>
    <t>=+K495</t>
  </si>
  <si>
    <t>=SUBTOTAL(9,T486:T494)</t>
  </si>
  <si>
    <t>=+C495</t>
  </si>
  <si>
    <t>=+D495</t>
  </si>
  <si>
    <t>=E495</t>
  </si>
  <si>
    <t>=G495</t>
  </si>
  <si>
    <t>=+N496</t>
  </si>
  <si>
    <t>=M496</t>
  </si>
  <si>
    <t>="10499"</t>
  </si>
  <si>
    <t>=NL(,"UPR30300","CHEKDATE","CHEKNMBR",$M496,"EMPLOYID",$G496)</t>
  </si>
  <si>
    <t>=+C496</t>
  </si>
  <si>
    <t>=+D496</t>
  </si>
  <si>
    <t>=E496</t>
  </si>
  <si>
    <t>=G496</t>
  </si>
  <si>
    <t>=+K496</t>
  </si>
  <si>
    <t>=L496</t>
  </si>
  <si>
    <t>=NF($O497,"PAYRATE")</t>
  </si>
  <si>
    <t>=NF($O497,"PAYROLCD")</t>
  </si>
  <si>
    <t>=NF($O497,"STATECD")</t>
  </si>
  <si>
    <t>=NF($O497,"CHEKDATE")</t>
  </si>
  <si>
    <t>=NF($O497,"UPRTRXAM")</t>
  </si>
  <si>
    <t>=+C497</t>
  </si>
  <si>
    <t>=+D497</t>
  </si>
  <si>
    <t>=E497</t>
  </si>
  <si>
    <t>=G497</t>
  </si>
  <si>
    <t>=+K497</t>
  </si>
  <si>
    <t>=L497</t>
  </si>
  <si>
    <t>=+C498</t>
  </si>
  <si>
    <t>=+D498</t>
  </si>
  <si>
    <t>=E498</t>
  </si>
  <si>
    <t>=G498</t>
  </si>
  <si>
    <t>=+K498</t>
  </si>
  <si>
    <t>=L498</t>
  </si>
  <si>
    <t>=+C499</t>
  </si>
  <si>
    <t>=+D499</t>
  </si>
  <si>
    <t>=E499</t>
  </si>
  <si>
    <t>=G499</t>
  </si>
  <si>
    <t>=+K499</t>
  </si>
  <si>
    <t>=L499</t>
  </si>
  <si>
    <t>=+C500</t>
  </si>
  <si>
    <t>=+D500</t>
  </si>
  <si>
    <t>=E500</t>
  </si>
  <si>
    <t>=G500</t>
  </si>
  <si>
    <t>=+K500</t>
  </si>
  <si>
    <t>=L500</t>
  </si>
  <si>
    <t>=+C501</t>
  </si>
  <si>
    <t>=+D501</t>
  </si>
  <si>
    <t>=E501</t>
  </si>
  <si>
    <t>=G501</t>
  </si>
  <si>
    <t>=+K501</t>
  </si>
  <si>
    <t>=L501</t>
  </si>
  <si>
    <t>=+C502</t>
  </si>
  <si>
    <t>=+D502</t>
  </si>
  <si>
    <t>=E502</t>
  </si>
  <si>
    <t>=G502</t>
  </si>
  <si>
    <t>=+K502</t>
  </si>
  <si>
    <t>=L502</t>
  </si>
  <si>
    <t>=+C504</t>
  </si>
  <si>
    <t>=+D504</t>
  </si>
  <si>
    <t>=E504</t>
  </si>
  <si>
    <t>=G504</t>
  </si>
  <si>
    <t>=+K504</t>
  </si>
  <si>
    <t>=L504</t>
  </si>
  <si>
    <t>="Total for " &amp; $L505</t>
  </si>
  <si>
    <t>=+K505</t>
  </si>
  <si>
    <t>=SUBTOTAL(9,T497:T504)</t>
  </si>
  <si>
    <t>=+C506</t>
  </si>
  <si>
    <t>=+D506</t>
  </si>
  <si>
    <t>=E506</t>
  </si>
  <si>
    <t>=G506</t>
  </si>
  <si>
    <t>="Total for " &amp; $G507</t>
  </si>
  <si>
    <t>=+C507</t>
  </si>
  <si>
    <t>=+D507</t>
  </si>
  <si>
    <t>=SUBTOTAL(9,T445:T506)</t>
  </si>
  <si>
    <t>=E508</t>
  </si>
  <si>
    <t>="Total for " &amp; F259</t>
  </si>
  <si>
    <t>=SUBTOTAL(9,T262:T508)</t>
  </si>
  <si>
    <t>="INST"</t>
  </si>
  <si>
    <t>=D510</t>
  </si>
  <si>
    <t>=NL(,"UPR41200","DSCRIPTN","EMPLCLAS",D510)</t>
  </si>
  <si>
    <t>=+I511</t>
  </si>
  <si>
    <t>=+J511</t>
  </si>
  <si>
    <t>=E510</t>
  </si>
  <si>
    <t>=H511</t>
  </si>
  <si>
    <t>=NL(,"UPR00100","FRSTNAME","EMPLOYID",$H511)</t>
  </si>
  <si>
    <t>=NL(,"UPR00100","LASTNAME","EMPLOYID",$H511)</t>
  </si>
  <si>
    <t>=+C511</t>
  </si>
  <si>
    <t>=+D511</t>
  </si>
  <si>
    <t>=E511</t>
  </si>
  <si>
    <t>=G511</t>
  </si>
  <si>
    <t>=+N512</t>
  </si>
  <si>
    <t>=M512</t>
  </si>
  <si>
    <t>=NL(,"UPR30300","CHEKDATE","CHEKNMBR",$M512,"EMPLOYID",$G512)</t>
  </si>
  <si>
    <t>=+C512</t>
  </si>
  <si>
    <t>=+D512</t>
  </si>
  <si>
    <t>=E512</t>
  </si>
  <si>
    <t>=G512</t>
  </si>
  <si>
    <t>=+K512</t>
  </si>
  <si>
    <t>=L512</t>
  </si>
  <si>
    <t>=NF($O513,"PAYRATE")</t>
  </si>
  <si>
    <t>=NF($O513,"PAYROLCD")</t>
  </si>
  <si>
    <t>=NF($O513,"STATECD")</t>
  </si>
  <si>
    <t>=NF($O513,"CHEKDATE")</t>
  </si>
  <si>
    <t>=NF($O513,"UPRTRXAM")</t>
  </si>
  <si>
    <t>=+C513</t>
  </si>
  <si>
    <t>=+D513</t>
  </si>
  <si>
    <t>=E513</t>
  </si>
  <si>
    <t>=G513</t>
  </si>
  <si>
    <t>=+K513</t>
  </si>
  <si>
    <t>=L513</t>
  </si>
  <si>
    <t>=+C514</t>
  </si>
  <si>
    <t>=+D514</t>
  </si>
  <si>
    <t>=E514</t>
  </si>
  <si>
    <t>=G514</t>
  </si>
  <si>
    <t>=+K514</t>
  </si>
  <si>
    <t>=L514</t>
  </si>
  <si>
    <t>=+C515</t>
  </si>
  <si>
    <t>=+D515</t>
  </si>
  <si>
    <t>=E515</t>
  </si>
  <si>
    <t>=G515</t>
  </si>
  <si>
    <t>=+K515</t>
  </si>
  <si>
    <t>=L515</t>
  </si>
  <si>
    <t>=+C516</t>
  </si>
  <si>
    <t>=+D516</t>
  </si>
  <si>
    <t>=E516</t>
  </si>
  <si>
    <t>=G516</t>
  </si>
  <si>
    <t>=+K516</t>
  </si>
  <si>
    <t>=L516</t>
  </si>
  <si>
    <t>=+C517</t>
  </si>
  <si>
    <t>=+D517</t>
  </si>
  <si>
    <t>=E517</t>
  </si>
  <si>
    <t>=G517</t>
  </si>
  <si>
    <t>=+K517</t>
  </si>
  <si>
    <t>=L517</t>
  </si>
  <si>
    <t>=+C519</t>
  </si>
  <si>
    <t>=+D519</t>
  </si>
  <si>
    <t>=E519</t>
  </si>
  <si>
    <t>=G519</t>
  </si>
  <si>
    <t>=+K519</t>
  </si>
  <si>
    <t>=L519</t>
  </si>
  <si>
    <t>="Total for " &amp; $L520</t>
  </si>
  <si>
    <t>=+K520</t>
  </si>
  <si>
    <t>=SUBTOTAL(9,T513:T519)</t>
  </si>
  <si>
    <t>=+C520</t>
  </si>
  <si>
    <t>=+D520</t>
  </si>
  <si>
    <t>=E520</t>
  </si>
  <si>
    <t>=G520</t>
  </si>
  <si>
    <t>=+N521</t>
  </si>
  <si>
    <t>=M521</t>
  </si>
  <si>
    <t>=NL(,"UPR30300","CHEKDATE","CHEKNMBR",$M521,"EMPLOYID",$G521)</t>
  </si>
  <si>
    <t>=+C521</t>
  </si>
  <si>
    <t>=+D521</t>
  </si>
  <si>
    <t>=E521</t>
  </si>
  <si>
    <t>=G521</t>
  </si>
  <si>
    <t>=+K521</t>
  </si>
  <si>
    <t>=L521</t>
  </si>
  <si>
    <t>=NF($O522,"PAYRATE")</t>
  </si>
  <si>
    <t>=NF($O522,"PAYROLCD")</t>
  </si>
  <si>
    <t>=NF($O522,"STATECD")</t>
  </si>
  <si>
    <t>=NF($O522,"CHEKDATE")</t>
  </si>
  <si>
    <t>=NF($O522,"UPRTRXAM")</t>
  </si>
  <si>
    <t>=+C522</t>
  </si>
  <si>
    <t>=+D522</t>
  </si>
  <si>
    <t>=E522</t>
  </si>
  <si>
    <t>=G522</t>
  </si>
  <si>
    <t>=+K522</t>
  </si>
  <si>
    <t>=L522</t>
  </si>
  <si>
    <t>=+C523</t>
  </si>
  <si>
    <t>=+D523</t>
  </si>
  <si>
    <t>=E523</t>
  </si>
  <si>
    <t>=G523</t>
  </si>
  <si>
    <t>=+K523</t>
  </si>
  <si>
    <t>=L523</t>
  </si>
  <si>
    <t>=+C524</t>
  </si>
  <si>
    <t>=+D524</t>
  </si>
  <si>
    <t>=E524</t>
  </si>
  <si>
    <t>=G524</t>
  </si>
  <si>
    <t>=+K524</t>
  </si>
  <si>
    <t>=L524</t>
  </si>
  <si>
    <t>=+C525</t>
  </si>
  <si>
    <t>=+D525</t>
  </si>
  <si>
    <t>=E525</t>
  </si>
  <si>
    <t>=G525</t>
  </si>
  <si>
    <t>=+K525</t>
  </si>
  <si>
    <t>=L525</t>
  </si>
  <si>
    <t>=+C526</t>
  </si>
  <si>
    <t>=+D526</t>
  </si>
  <si>
    <t>=E526</t>
  </si>
  <si>
    <t>=G526</t>
  </si>
  <si>
    <t>=+K526</t>
  </si>
  <si>
    <t>=L526</t>
  </si>
  <si>
    <t>=+C528</t>
  </si>
  <si>
    <t>=+D528</t>
  </si>
  <si>
    <t>=E528</t>
  </si>
  <si>
    <t>=G528</t>
  </si>
  <si>
    <t>=+K528</t>
  </si>
  <si>
    <t>=L528</t>
  </si>
  <si>
    <t>="Total for " &amp; $L529</t>
  </si>
  <si>
    <t>=+K529</t>
  </si>
  <si>
    <t>=SUBTOTAL(9,T522:T528)</t>
  </si>
  <si>
    <t>=+C529</t>
  </si>
  <si>
    <t>=+D529</t>
  </si>
  <si>
    <t>=E529</t>
  </si>
  <si>
    <t>=G529</t>
  </si>
  <si>
    <t>=+N530</t>
  </si>
  <si>
    <t>=M530</t>
  </si>
  <si>
    <t>=NL(,"UPR30300","CHEKDATE","CHEKNMBR",$M530,"EMPLOYID",$G530)</t>
  </si>
  <si>
    <t>=+C530</t>
  </si>
  <si>
    <t>=+D530</t>
  </si>
  <si>
    <t>=E530</t>
  </si>
  <si>
    <t>=G530</t>
  </si>
  <si>
    <t>=+K530</t>
  </si>
  <si>
    <t>=L530</t>
  </si>
  <si>
    <t>=NF($O531,"PAYRATE")</t>
  </si>
  <si>
    <t>=NF($O531,"PAYROLCD")</t>
  </si>
  <si>
    <t>=NF($O531,"STATECD")</t>
  </si>
  <si>
    <t>=NF($O531,"CHEKDATE")</t>
  </si>
  <si>
    <t>=NF($O531,"UPRTRXAM")</t>
  </si>
  <si>
    <t>=+C531</t>
  </si>
  <si>
    <t>=+D531</t>
  </si>
  <si>
    <t>=E531</t>
  </si>
  <si>
    <t>=G531</t>
  </si>
  <si>
    <t>=+K531</t>
  </si>
  <si>
    <t>=L531</t>
  </si>
  <si>
    <t>=+C532</t>
  </si>
  <si>
    <t>=+D532</t>
  </si>
  <si>
    <t>=E532</t>
  </si>
  <si>
    <t>=G532</t>
  </si>
  <si>
    <t>=+K532</t>
  </si>
  <si>
    <t>=L532</t>
  </si>
  <si>
    <t>=+C533</t>
  </si>
  <si>
    <t>=+D533</t>
  </si>
  <si>
    <t>=E533</t>
  </si>
  <si>
    <t>=G533</t>
  </si>
  <si>
    <t>=+K533</t>
  </si>
  <si>
    <t>=L533</t>
  </si>
  <si>
    <t>=+C534</t>
  </si>
  <si>
    <t>=+D534</t>
  </si>
  <si>
    <t>=E534</t>
  </si>
  <si>
    <t>=G534</t>
  </si>
  <si>
    <t>=+K534</t>
  </si>
  <si>
    <t>=L534</t>
  </si>
  <si>
    <t>=+C535</t>
  </si>
  <si>
    <t>=+D535</t>
  </si>
  <si>
    <t>=E535</t>
  </si>
  <si>
    <t>=G535</t>
  </si>
  <si>
    <t>=+K535</t>
  </si>
  <si>
    <t>=L535</t>
  </si>
  <si>
    <t>=+C537</t>
  </si>
  <si>
    <t>=+D537</t>
  </si>
  <si>
    <t>=E537</t>
  </si>
  <si>
    <t>=G537</t>
  </si>
  <si>
    <t>=+K537</t>
  </si>
  <si>
    <t>=L537</t>
  </si>
  <si>
    <t>="Total for " &amp; $L538</t>
  </si>
  <si>
    <t>=+K538</t>
  </si>
  <si>
    <t>=SUBTOTAL(9,T531:T537)</t>
  </si>
  <si>
    <t>=+C538</t>
  </si>
  <si>
    <t>=+D538</t>
  </si>
  <si>
    <t>=E538</t>
  </si>
  <si>
    <t>=G538</t>
  </si>
  <si>
    <t>=+N539</t>
  </si>
  <si>
    <t>=M539</t>
  </si>
  <si>
    <t>=NL(,"UPR30300","CHEKDATE","CHEKNMBR",$M539,"EMPLOYID",$G539)</t>
  </si>
  <si>
    <t>=+C539</t>
  </si>
  <si>
    <t>=+D539</t>
  </si>
  <si>
    <t>=E539</t>
  </si>
  <si>
    <t>=G539</t>
  </si>
  <si>
    <t>=+K539</t>
  </si>
  <si>
    <t>=L539</t>
  </si>
  <si>
    <t>=NF($O540,"PAYRATE")</t>
  </si>
  <si>
    <t>=NF($O540,"PAYROLCD")</t>
  </si>
  <si>
    <t>=NF($O540,"STATECD")</t>
  </si>
  <si>
    <t>=NF($O540,"CHEKDATE")</t>
  </si>
  <si>
    <t>=NF($O540,"UPRTRXAM")</t>
  </si>
  <si>
    <t>=+C540</t>
  </si>
  <si>
    <t>=+D540</t>
  </si>
  <si>
    <t>=E540</t>
  </si>
  <si>
    <t>=G540</t>
  </si>
  <si>
    <t>=+K540</t>
  </si>
  <si>
    <t>=L540</t>
  </si>
  <si>
    <t>=+C541</t>
  </si>
  <si>
    <t>=+D541</t>
  </si>
  <si>
    <t>=E541</t>
  </si>
  <si>
    <t>=G541</t>
  </si>
  <si>
    <t>=+K541</t>
  </si>
  <si>
    <t>=L541</t>
  </si>
  <si>
    <t>=+C542</t>
  </si>
  <si>
    <t>=+D542</t>
  </si>
  <si>
    <t>=E542</t>
  </si>
  <si>
    <t>=G542</t>
  </si>
  <si>
    <t>=+K542</t>
  </si>
  <si>
    <t>=L542</t>
  </si>
  <si>
    <t>=+C543</t>
  </si>
  <si>
    <t>=+D543</t>
  </si>
  <si>
    <t>=E543</t>
  </si>
  <si>
    <t>=G543</t>
  </si>
  <si>
    <t>=+K543</t>
  </si>
  <si>
    <t>=L543</t>
  </si>
  <si>
    <t>=+C544</t>
  </si>
  <si>
    <t>=+D544</t>
  </si>
  <si>
    <t>=E544</t>
  </si>
  <si>
    <t>=G544</t>
  </si>
  <si>
    <t>=+K544</t>
  </si>
  <si>
    <t>=L544</t>
  </si>
  <si>
    <t>=+C546</t>
  </si>
  <si>
    <t>=+D546</t>
  </si>
  <si>
    <t>=E546</t>
  </si>
  <si>
    <t>=G546</t>
  </si>
  <si>
    <t>=+K546</t>
  </si>
  <si>
    <t>=L546</t>
  </si>
  <si>
    <t>="Total for " &amp; $L547</t>
  </si>
  <si>
    <t>=+K547</t>
  </si>
  <si>
    <t>=SUBTOTAL(9,T540:T546)</t>
  </si>
  <si>
    <t>=+C547</t>
  </si>
  <si>
    <t>=+D547</t>
  </si>
  <si>
    <t>=E547</t>
  </si>
  <si>
    <t>=G547</t>
  </si>
  <si>
    <t>=+N548</t>
  </si>
  <si>
    <t>=M548</t>
  </si>
  <si>
    <t>=NL(,"UPR30300","CHEKDATE","CHEKNMBR",$M548,"EMPLOYID",$G548)</t>
  </si>
  <si>
    <t>=+C548</t>
  </si>
  <si>
    <t>=+D548</t>
  </si>
  <si>
    <t>=E548</t>
  </si>
  <si>
    <t>=G548</t>
  </si>
  <si>
    <t>=+K548</t>
  </si>
  <si>
    <t>=L548</t>
  </si>
  <si>
    <t>=NF($O549,"PAYRATE")</t>
  </si>
  <si>
    <t>=NF($O549,"PAYROLCD")</t>
  </si>
  <si>
    <t>=NF($O549,"STATECD")</t>
  </si>
  <si>
    <t>=NF($O549,"CHEKDATE")</t>
  </si>
  <si>
    <t>=NF($O549,"UPRTRXAM")</t>
  </si>
  <si>
    <t>=+C549</t>
  </si>
  <si>
    <t>=+D549</t>
  </si>
  <si>
    <t>=E549</t>
  </si>
  <si>
    <t>=G549</t>
  </si>
  <si>
    <t>=+K549</t>
  </si>
  <si>
    <t>=L549</t>
  </si>
  <si>
    <t>=+C550</t>
  </si>
  <si>
    <t>=+D550</t>
  </si>
  <si>
    <t>=E550</t>
  </si>
  <si>
    <t>=G550</t>
  </si>
  <si>
    <t>=+K550</t>
  </si>
  <si>
    <t>=L550</t>
  </si>
  <si>
    <t>=+C551</t>
  </si>
  <si>
    <t>=+D551</t>
  </si>
  <si>
    <t>=E551</t>
  </si>
  <si>
    <t>=G551</t>
  </si>
  <si>
    <t>=+K551</t>
  </si>
  <si>
    <t>=L551</t>
  </si>
  <si>
    <t>=+C552</t>
  </si>
  <si>
    <t>=+D552</t>
  </si>
  <si>
    <t>=E552</t>
  </si>
  <si>
    <t>=G552</t>
  </si>
  <si>
    <t>=+K552</t>
  </si>
  <si>
    <t>=L552</t>
  </si>
  <si>
    <t>=+C553</t>
  </si>
  <si>
    <t>=+D553</t>
  </si>
  <si>
    <t>=E553</t>
  </si>
  <si>
    <t>=G553</t>
  </si>
  <si>
    <t>=+K553</t>
  </si>
  <si>
    <t>=L553</t>
  </si>
  <si>
    <t>=+C554</t>
  </si>
  <si>
    <t>=+D554</t>
  </si>
  <si>
    <t>=E554</t>
  </si>
  <si>
    <t>=G554</t>
  </si>
  <si>
    <t>=+K554</t>
  </si>
  <si>
    <t>=L554</t>
  </si>
  <si>
    <t>=+C556</t>
  </si>
  <si>
    <t>=+D556</t>
  </si>
  <si>
    <t>=E556</t>
  </si>
  <si>
    <t>=G556</t>
  </si>
  <si>
    <t>=+K556</t>
  </si>
  <si>
    <t>=L556</t>
  </si>
  <si>
    <t>="Total for " &amp; $L557</t>
  </si>
  <si>
    <t>=+K557</t>
  </si>
  <si>
    <t>=SUBTOTAL(9,T549:T556)</t>
  </si>
  <si>
    <t>=+C557</t>
  </si>
  <si>
    <t>=+D557</t>
  </si>
  <si>
    <t>=E557</t>
  </si>
  <si>
    <t>=G557</t>
  </si>
  <si>
    <t>=+N558</t>
  </si>
  <si>
    <t>=M558</t>
  </si>
  <si>
    <t>=NL(,"UPR30300","CHEKDATE","CHEKNMBR",$M558,"EMPLOYID",$G558)</t>
  </si>
  <si>
    <t>=+C558</t>
  </si>
  <si>
    <t>=+D558</t>
  </si>
  <si>
    <t>=E558</t>
  </si>
  <si>
    <t>=G558</t>
  </si>
  <si>
    <t>=+K558</t>
  </si>
  <si>
    <t>=L558</t>
  </si>
  <si>
    <t>=NF($O559,"PAYRATE")</t>
  </si>
  <si>
    <t>=NF($O559,"PAYROLCD")</t>
  </si>
  <si>
    <t>=NF($O559,"STATECD")</t>
  </si>
  <si>
    <t>=NF($O559,"CHEKDATE")</t>
  </si>
  <si>
    <t>=NF($O559,"UPRTRXAM")</t>
  </si>
  <si>
    <t>=+C559</t>
  </si>
  <si>
    <t>=+D559</t>
  </si>
  <si>
    <t>=E559</t>
  </si>
  <si>
    <t>=G559</t>
  </si>
  <si>
    <t>=+K559</t>
  </si>
  <si>
    <t>=L559</t>
  </si>
  <si>
    <t>=+C560</t>
  </si>
  <si>
    <t>=+D560</t>
  </si>
  <si>
    <t>=E560</t>
  </si>
  <si>
    <t>=G560</t>
  </si>
  <si>
    <t>=+K560</t>
  </si>
  <si>
    <t>=L560</t>
  </si>
  <si>
    <t>=+C561</t>
  </si>
  <si>
    <t>=+D561</t>
  </si>
  <si>
    <t>=E561</t>
  </si>
  <si>
    <t>=G561</t>
  </si>
  <si>
    <t>=+K561</t>
  </si>
  <si>
    <t>=L561</t>
  </si>
  <si>
    <t>=+C562</t>
  </si>
  <si>
    <t>=+D562</t>
  </si>
  <si>
    <t>=E562</t>
  </si>
  <si>
    <t>=G562</t>
  </si>
  <si>
    <t>=+K562</t>
  </si>
  <si>
    <t>=L562</t>
  </si>
  <si>
    <t>=+C563</t>
  </si>
  <si>
    <t>=+D563</t>
  </si>
  <si>
    <t>=E563</t>
  </si>
  <si>
    <t>=G563</t>
  </si>
  <si>
    <t>=+K563</t>
  </si>
  <si>
    <t>=L563</t>
  </si>
  <si>
    <t>=+C565</t>
  </si>
  <si>
    <t>=+D565</t>
  </si>
  <si>
    <t>=E565</t>
  </si>
  <si>
    <t>=G565</t>
  </si>
  <si>
    <t>=+K565</t>
  </si>
  <si>
    <t>=L565</t>
  </si>
  <si>
    <t>="Total for " &amp; $L566</t>
  </si>
  <si>
    <t>=+K566</t>
  </si>
  <si>
    <t>=SUBTOTAL(9,T559:T565)</t>
  </si>
  <si>
    <t>=+C566</t>
  </si>
  <si>
    <t>=+D566</t>
  </si>
  <si>
    <t>=E566</t>
  </si>
  <si>
    <t>=G566</t>
  </si>
  <si>
    <t>=+N567</t>
  </si>
  <si>
    <t>=M567</t>
  </si>
  <si>
    <t>=NL(,"UPR30300","CHEKDATE","CHEKNMBR",$M567,"EMPLOYID",$G567)</t>
  </si>
  <si>
    <t>=+C567</t>
  </si>
  <si>
    <t>=+D567</t>
  </si>
  <si>
    <t>=E567</t>
  </si>
  <si>
    <t>=G567</t>
  </si>
  <si>
    <t>=+K567</t>
  </si>
  <si>
    <t>=L567</t>
  </si>
  <si>
    <t>=NF($O568,"PAYRATE")</t>
  </si>
  <si>
    <t>=NF($O568,"PAYROLCD")</t>
  </si>
  <si>
    <t>=NF($O568,"STATECD")</t>
  </si>
  <si>
    <t>=NF($O568,"CHEKDATE")</t>
  </si>
  <si>
    <t>=NF($O568,"UPRTRXAM")</t>
  </si>
  <si>
    <t>=+C568</t>
  </si>
  <si>
    <t>=+D568</t>
  </si>
  <si>
    <t>=E568</t>
  </si>
  <si>
    <t>=G568</t>
  </si>
  <si>
    <t>=+K568</t>
  </si>
  <si>
    <t>=L568</t>
  </si>
  <si>
    <t>=+C570</t>
  </si>
  <si>
    <t>=+D570</t>
  </si>
  <si>
    <t>=E570</t>
  </si>
  <si>
    <t>=G570</t>
  </si>
  <si>
    <t>=+K570</t>
  </si>
  <si>
    <t>=L570</t>
  </si>
  <si>
    <t>="Total for " &amp; $L571</t>
  </si>
  <si>
    <t>=+K571</t>
  </si>
  <si>
    <t>=SUBTOTAL(9,T568:T570)</t>
  </si>
  <si>
    <t>=+C571</t>
  </si>
  <si>
    <t>=+D571</t>
  </si>
  <si>
    <t>=E571</t>
  </si>
  <si>
    <t>=G571</t>
  </si>
  <si>
    <t>=+N572</t>
  </si>
  <si>
    <t>=M572</t>
  </si>
  <si>
    <t>=NL(,"UPR30300","CHEKDATE","CHEKNMBR",$M572,"EMPLOYID",$G572)</t>
  </si>
  <si>
    <t>=+C572</t>
  </si>
  <si>
    <t>=+D572</t>
  </si>
  <si>
    <t>=E572</t>
  </si>
  <si>
    <t>=G572</t>
  </si>
  <si>
    <t>=+K572</t>
  </si>
  <si>
    <t>=L572</t>
  </si>
  <si>
    <t>=NF($O573,"PAYRATE")</t>
  </si>
  <si>
    <t>=NF($O573,"PAYROLCD")</t>
  </si>
  <si>
    <t>=NF($O573,"STATECD")</t>
  </si>
  <si>
    <t>=NF($O573,"CHEKDATE")</t>
  </si>
  <si>
    <t>=NF($O573,"UPRTRXAM")</t>
  </si>
  <si>
    <t>=+C573</t>
  </si>
  <si>
    <t>=+D573</t>
  </si>
  <si>
    <t>=E573</t>
  </si>
  <si>
    <t>=G573</t>
  </si>
  <si>
    <t>=+K573</t>
  </si>
  <si>
    <t>=L573</t>
  </si>
  <si>
    <t>=+C575</t>
  </si>
  <si>
    <t>=+D575</t>
  </si>
  <si>
    <t>=E575</t>
  </si>
  <si>
    <t>=G575</t>
  </si>
  <si>
    <t>=+K575</t>
  </si>
  <si>
    <t>=L575</t>
  </si>
  <si>
    <t>="Total for " &amp; $L576</t>
  </si>
  <si>
    <t>=+K576</t>
  </si>
  <si>
    <t>=SUBTOTAL(9,T573:T575)</t>
  </si>
  <si>
    <t>=+C577</t>
  </si>
  <si>
    <t>=+D577</t>
  </si>
  <si>
    <t>=E577</t>
  </si>
  <si>
    <t>=G577</t>
  </si>
  <si>
    <t>="Total for " &amp; $G578</t>
  </si>
  <si>
    <t>=+C578</t>
  </si>
  <si>
    <t>=+D578</t>
  </si>
  <si>
    <t>=SUBTOTAL(9,T513:T577)</t>
  </si>
  <si>
    <t>=+I579</t>
  </si>
  <si>
    <t>=+J579</t>
  </si>
  <si>
    <t>=E578</t>
  </si>
  <si>
    <t>=H579</t>
  </si>
  <si>
    <t>=NL(,"UPR00100","FRSTNAME","EMPLOYID",$H579)</t>
  </si>
  <si>
    <t>=NL(,"UPR00100","LASTNAME","EMPLOYID",$H579)</t>
  </si>
  <si>
    <t>=+C579</t>
  </si>
  <si>
    <t>=+D579</t>
  </si>
  <si>
    <t>=E579</t>
  </si>
  <si>
    <t>=G579</t>
  </si>
  <si>
    <t>=+N580</t>
  </si>
  <si>
    <t>=M580</t>
  </si>
  <si>
    <t>=NL(,"UPR30300","CHEKDATE","CHEKNMBR",$M580,"EMPLOYID",$G580)</t>
  </si>
  <si>
    <t>=+C580</t>
  </si>
  <si>
    <t>=+D580</t>
  </si>
  <si>
    <t>=E580</t>
  </si>
  <si>
    <t>=G580</t>
  </si>
  <si>
    <t>=+K580</t>
  </si>
  <si>
    <t>=L580</t>
  </si>
  <si>
    <t>=NF($O581,"PAYRATE")</t>
  </si>
  <si>
    <t>=NF($O581,"PAYROLCD")</t>
  </si>
  <si>
    <t>=NF($O581,"STATECD")</t>
  </si>
  <si>
    <t>=NF($O581,"CHEKDATE")</t>
  </si>
  <si>
    <t>=NF($O581,"UPRTRXAM")</t>
  </si>
  <si>
    <t>=+C581</t>
  </si>
  <si>
    <t>=+D581</t>
  </si>
  <si>
    <t>=E581</t>
  </si>
  <si>
    <t>=G581</t>
  </si>
  <si>
    <t>=+K581</t>
  </si>
  <si>
    <t>=L581</t>
  </si>
  <si>
    <t>=+C582</t>
  </si>
  <si>
    <t>=+D582</t>
  </si>
  <si>
    <t>=E582</t>
  </si>
  <si>
    <t>=G582</t>
  </si>
  <si>
    <t>=+K582</t>
  </si>
  <si>
    <t>=L582</t>
  </si>
  <si>
    <t>=+C583</t>
  </si>
  <si>
    <t>=+D583</t>
  </si>
  <si>
    <t>=E583</t>
  </si>
  <si>
    <t>=G583</t>
  </si>
  <si>
    <t>=+K583</t>
  </si>
  <si>
    <t>=L583</t>
  </si>
  <si>
    <t>=+C584</t>
  </si>
  <si>
    <t>=+D584</t>
  </si>
  <si>
    <t>=E584</t>
  </si>
  <si>
    <t>=G584</t>
  </si>
  <si>
    <t>=+K584</t>
  </si>
  <si>
    <t>=L584</t>
  </si>
  <si>
    <t>=+C585</t>
  </si>
  <si>
    <t>=+D585</t>
  </si>
  <si>
    <t>=E585</t>
  </si>
  <si>
    <t>=G585</t>
  </si>
  <si>
    <t>=+K585</t>
  </si>
  <si>
    <t>=L585</t>
  </si>
  <si>
    <t>=+C587</t>
  </si>
  <si>
    <t>=+D587</t>
  </si>
  <si>
    <t>=E587</t>
  </si>
  <si>
    <t>=G587</t>
  </si>
  <si>
    <t>=+K587</t>
  </si>
  <si>
    <t>=L587</t>
  </si>
  <si>
    <t>="Total for " &amp; $L588</t>
  </si>
  <si>
    <t>=+K588</t>
  </si>
  <si>
    <t>=SUBTOTAL(9,T581:T587)</t>
  </si>
  <si>
    <t>=+C588</t>
  </si>
  <si>
    <t>=+D588</t>
  </si>
  <si>
    <t>=E588</t>
  </si>
  <si>
    <t>=G588</t>
  </si>
  <si>
    <t>=+N589</t>
  </si>
  <si>
    <t>=M589</t>
  </si>
  <si>
    <t>=NL(,"UPR30300","CHEKDATE","CHEKNMBR",$M589,"EMPLOYID",$G589)</t>
  </si>
  <si>
    <t>=+C589</t>
  </si>
  <si>
    <t>=+D589</t>
  </si>
  <si>
    <t>=E589</t>
  </si>
  <si>
    <t>=G589</t>
  </si>
  <si>
    <t>=+K589</t>
  </si>
  <si>
    <t>=L589</t>
  </si>
  <si>
    <t>=NF($O590,"PAYRATE")</t>
  </si>
  <si>
    <t>=NF($O590,"PAYROLCD")</t>
  </si>
  <si>
    <t>=NF($O590,"STATECD")</t>
  </si>
  <si>
    <t>=NF($O590,"CHEKDATE")</t>
  </si>
  <si>
    <t>=NF($O590,"UPRTRXAM")</t>
  </si>
  <si>
    <t>=+C590</t>
  </si>
  <si>
    <t>=+D590</t>
  </si>
  <si>
    <t>=E590</t>
  </si>
  <si>
    <t>=G590</t>
  </si>
  <si>
    <t>=+K590</t>
  </si>
  <si>
    <t>=L590</t>
  </si>
  <si>
    <t>=+C591</t>
  </si>
  <si>
    <t>=+D591</t>
  </si>
  <si>
    <t>=E591</t>
  </si>
  <si>
    <t>=G591</t>
  </si>
  <si>
    <t>=+K591</t>
  </si>
  <si>
    <t>=L591</t>
  </si>
  <si>
    <t>=+C592</t>
  </si>
  <si>
    <t>=+D592</t>
  </si>
  <si>
    <t>=E592</t>
  </si>
  <si>
    <t>=G592</t>
  </si>
  <si>
    <t>=+K592</t>
  </si>
  <si>
    <t>=L592</t>
  </si>
  <si>
    <t>=+C593</t>
  </si>
  <si>
    <t>=+D593</t>
  </si>
  <si>
    <t>=E593</t>
  </si>
  <si>
    <t>=G593</t>
  </si>
  <si>
    <t>=+K593</t>
  </si>
  <si>
    <t>=L593</t>
  </si>
  <si>
    <t>=+C594</t>
  </si>
  <si>
    <t>=+D594</t>
  </si>
  <si>
    <t>=E594</t>
  </si>
  <si>
    <t>=G594</t>
  </si>
  <si>
    <t>=+K594</t>
  </si>
  <si>
    <t>=L594</t>
  </si>
  <si>
    <t>=+C596</t>
  </si>
  <si>
    <t>=+D596</t>
  </si>
  <si>
    <t>=E596</t>
  </si>
  <si>
    <t>=G596</t>
  </si>
  <si>
    <t>=+K596</t>
  </si>
  <si>
    <t>=L596</t>
  </si>
  <si>
    <t>="Total for " &amp; $L597</t>
  </si>
  <si>
    <t>=+K597</t>
  </si>
  <si>
    <t>=SUBTOTAL(9,T590:T596)</t>
  </si>
  <si>
    <t>=+C597</t>
  </si>
  <si>
    <t>=+D597</t>
  </si>
  <si>
    <t>=E597</t>
  </si>
  <si>
    <t>=G597</t>
  </si>
  <si>
    <t>=+N598</t>
  </si>
  <si>
    <t>=M598</t>
  </si>
  <si>
    <t>=NL(,"UPR30300","CHEKDATE","CHEKNMBR",$M598,"EMPLOYID",$G598)</t>
  </si>
  <si>
    <t>=+C598</t>
  </si>
  <si>
    <t>=+D598</t>
  </si>
  <si>
    <t>=E598</t>
  </si>
  <si>
    <t>=G598</t>
  </si>
  <si>
    <t>=+K598</t>
  </si>
  <si>
    <t>=L598</t>
  </si>
  <si>
    <t>=NF($O599,"PAYRATE")</t>
  </si>
  <si>
    <t>=NF($O599,"PAYROLCD")</t>
  </si>
  <si>
    <t>=NF($O599,"STATECD")</t>
  </si>
  <si>
    <t>=NF($O599,"CHEKDATE")</t>
  </si>
  <si>
    <t>=NF($O599,"UPRTRXAM")</t>
  </si>
  <si>
    <t>=+C599</t>
  </si>
  <si>
    <t>=+D599</t>
  </si>
  <si>
    <t>=E599</t>
  </si>
  <si>
    <t>=G599</t>
  </si>
  <si>
    <t>=+K599</t>
  </si>
  <si>
    <t>=L599</t>
  </si>
  <si>
    <t>=+C600</t>
  </si>
  <si>
    <t>=+D600</t>
  </si>
  <si>
    <t>=E600</t>
  </si>
  <si>
    <t>=G600</t>
  </si>
  <si>
    <t>=+K600</t>
  </si>
  <si>
    <t>=L600</t>
  </si>
  <si>
    <t>=+C601</t>
  </si>
  <si>
    <t>=+D601</t>
  </si>
  <si>
    <t>=E601</t>
  </si>
  <si>
    <t>=G601</t>
  </si>
  <si>
    <t>=+K601</t>
  </si>
  <si>
    <t>=L601</t>
  </si>
  <si>
    <t>=+C602</t>
  </si>
  <si>
    <t>=+D602</t>
  </si>
  <si>
    <t>=E602</t>
  </si>
  <si>
    <t>=G602</t>
  </si>
  <si>
    <t>=+K602</t>
  </si>
  <si>
    <t>=L602</t>
  </si>
  <si>
    <t>=+C603</t>
  </si>
  <si>
    <t>=+D603</t>
  </si>
  <si>
    <t>=E603</t>
  </si>
  <si>
    <t>=G603</t>
  </si>
  <si>
    <t>=+K603</t>
  </si>
  <si>
    <t>=L603</t>
  </si>
  <si>
    <t>=+C605</t>
  </si>
  <si>
    <t>=+D605</t>
  </si>
  <si>
    <t>=E605</t>
  </si>
  <si>
    <t>=G605</t>
  </si>
  <si>
    <t>=+K605</t>
  </si>
  <si>
    <t>=L605</t>
  </si>
  <si>
    <t>="Total for " &amp; $L606</t>
  </si>
  <si>
    <t>=+K606</t>
  </si>
  <si>
    <t>=SUBTOTAL(9,T599:T605)</t>
  </si>
  <si>
    <t>=+C606</t>
  </si>
  <si>
    <t>=+D606</t>
  </si>
  <si>
    <t>=E606</t>
  </si>
  <si>
    <t>=G606</t>
  </si>
  <si>
    <t>=+N607</t>
  </si>
  <si>
    <t>=M607</t>
  </si>
  <si>
    <t>=NL(,"UPR30300","CHEKDATE","CHEKNMBR",$M607,"EMPLOYID",$G607)</t>
  </si>
  <si>
    <t>=+C607</t>
  </si>
  <si>
    <t>=+D607</t>
  </si>
  <si>
    <t>=E607</t>
  </si>
  <si>
    <t>=G607</t>
  </si>
  <si>
    <t>=+K607</t>
  </si>
  <si>
    <t>=L607</t>
  </si>
  <si>
    <t>=NF($O608,"PAYRATE")</t>
  </si>
  <si>
    <t>=NF($O608,"PAYROLCD")</t>
  </si>
  <si>
    <t>=NF($O608,"STATECD")</t>
  </si>
  <si>
    <t>=NF($O608,"CHEKDATE")</t>
  </si>
  <si>
    <t>=NF($O608,"UPRTRXAM")</t>
  </si>
  <si>
    <t>=+C608</t>
  </si>
  <si>
    <t>=+D608</t>
  </si>
  <si>
    <t>=E608</t>
  </si>
  <si>
    <t>=G608</t>
  </si>
  <si>
    <t>=+K608</t>
  </si>
  <si>
    <t>=L608</t>
  </si>
  <si>
    <t>=+C609</t>
  </si>
  <si>
    <t>=+D609</t>
  </si>
  <si>
    <t>=E609</t>
  </si>
  <si>
    <t>=G609</t>
  </si>
  <si>
    <t>=+K609</t>
  </si>
  <si>
    <t>=L609</t>
  </si>
  <si>
    <t>=+C610</t>
  </si>
  <si>
    <t>=+D610</t>
  </si>
  <si>
    <t>=E610</t>
  </si>
  <si>
    <t>=G610</t>
  </si>
  <si>
    <t>=+K610</t>
  </si>
  <si>
    <t>=L610</t>
  </si>
  <si>
    <t>=+C611</t>
  </si>
  <si>
    <t>=+D611</t>
  </si>
  <si>
    <t>=E611</t>
  </si>
  <si>
    <t>=G611</t>
  </si>
  <si>
    <t>=+K611</t>
  </si>
  <si>
    <t>=L611</t>
  </si>
  <si>
    <t>=+C612</t>
  </si>
  <si>
    <t>=+D612</t>
  </si>
  <si>
    <t>=E612</t>
  </si>
  <si>
    <t>=G612</t>
  </si>
  <si>
    <t>=+K612</t>
  </si>
  <si>
    <t>=L612</t>
  </si>
  <si>
    <t>=+C614</t>
  </si>
  <si>
    <t>=+D614</t>
  </si>
  <si>
    <t>=E614</t>
  </si>
  <si>
    <t>=G614</t>
  </si>
  <si>
    <t>=+K614</t>
  </si>
  <si>
    <t>=L614</t>
  </si>
  <si>
    <t>="Total for " &amp; $L615</t>
  </si>
  <si>
    <t>=+K615</t>
  </si>
  <si>
    <t>=SUBTOTAL(9,T608:T614)</t>
  </si>
  <si>
    <t>=+C615</t>
  </si>
  <si>
    <t>=+D615</t>
  </si>
  <si>
    <t>=E615</t>
  </si>
  <si>
    <t>=G615</t>
  </si>
  <si>
    <t>=+N616</t>
  </si>
  <si>
    <t>=M616</t>
  </si>
  <si>
    <t>=NL(,"UPR30300","CHEKDATE","CHEKNMBR",$M616,"EMPLOYID",$G616)</t>
  </si>
  <si>
    <t>=+C616</t>
  </si>
  <si>
    <t>=+D616</t>
  </si>
  <si>
    <t>=E616</t>
  </si>
  <si>
    <t>=G616</t>
  </si>
  <si>
    <t>=+K616</t>
  </si>
  <si>
    <t>=L616</t>
  </si>
  <si>
    <t>=NF($O617,"PAYRATE")</t>
  </si>
  <si>
    <t>=NF($O617,"PAYROLCD")</t>
  </si>
  <si>
    <t>=NF($O617,"STATECD")</t>
  </si>
  <si>
    <t>=NF($O617,"CHEKDATE")</t>
  </si>
  <si>
    <t>=NF($O617,"UPRTRXAM")</t>
  </si>
  <si>
    <t>=+C617</t>
  </si>
  <si>
    <t>=+D617</t>
  </si>
  <si>
    <t>=E617</t>
  </si>
  <si>
    <t>=G617</t>
  </si>
  <si>
    <t>=+K617</t>
  </si>
  <si>
    <t>=L617</t>
  </si>
  <si>
    <t>=+C618</t>
  </si>
  <si>
    <t>=+D618</t>
  </si>
  <si>
    <t>=E618</t>
  </si>
  <si>
    <t>=G618</t>
  </si>
  <si>
    <t>=+K618</t>
  </si>
  <si>
    <t>=L618</t>
  </si>
  <si>
    <t>=+C619</t>
  </si>
  <si>
    <t>=+D619</t>
  </si>
  <si>
    <t>=E619</t>
  </si>
  <si>
    <t>=G619</t>
  </si>
  <si>
    <t>=+K619</t>
  </si>
  <si>
    <t>=L619</t>
  </si>
  <si>
    <t>=+C620</t>
  </si>
  <si>
    <t>=+D620</t>
  </si>
  <si>
    <t>=E620</t>
  </si>
  <si>
    <t>=G620</t>
  </si>
  <si>
    <t>=+K620</t>
  </si>
  <si>
    <t>=L620</t>
  </si>
  <si>
    <t>=+C621</t>
  </si>
  <si>
    <t>=+D621</t>
  </si>
  <si>
    <t>=E621</t>
  </si>
  <si>
    <t>=G621</t>
  </si>
  <si>
    <t>=+K621</t>
  </si>
  <si>
    <t>=L621</t>
  </si>
  <si>
    <t>=+C622</t>
  </si>
  <si>
    <t>=+D622</t>
  </si>
  <si>
    <t>=E622</t>
  </si>
  <si>
    <t>=G622</t>
  </si>
  <si>
    <t>=+K622</t>
  </si>
  <si>
    <t>=L622</t>
  </si>
  <si>
    <t>=+C624</t>
  </si>
  <si>
    <t>=+D624</t>
  </si>
  <si>
    <t>=E624</t>
  </si>
  <si>
    <t>=G624</t>
  </si>
  <si>
    <t>=+K624</t>
  </si>
  <si>
    <t>=L624</t>
  </si>
  <si>
    <t>="Total for " &amp; $L625</t>
  </si>
  <si>
    <t>=+K625</t>
  </si>
  <si>
    <t>=SUBTOTAL(9,T617:T624)</t>
  </si>
  <si>
    <t>=+C625</t>
  </si>
  <si>
    <t>=+D625</t>
  </si>
  <si>
    <t>=E625</t>
  </si>
  <si>
    <t>=G625</t>
  </si>
  <si>
    <t>=+N626</t>
  </si>
  <si>
    <t>=M626</t>
  </si>
  <si>
    <t>=NL(,"UPR30300","CHEKDATE","CHEKNMBR",$M626,"EMPLOYID",$G626)</t>
  </si>
  <si>
    <t>=+C626</t>
  </si>
  <si>
    <t>=+D626</t>
  </si>
  <si>
    <t>=E626</t>
  </si>
  <si>
    <t>=G626</t>
  </si>
  <si>
    <t>=+K626</t>
  </si>
  <si>
    <t>=L626</t>
  </si>
  <si>
    <t>=NF($O627,"PAYRATE")</t>
  </si>
  <si>
    <t>=NF($O627,"PAYROLCD")</t>
  </si>
  <si>
    <t>=NF($O627,"STATECD")</t>
  </si>
  <si>
    <t>=NF($O627,"CHEKDATE")</t>
  </si>
  <si>
    <t>=NF($O627,"UPRTRXAM")</t>
  </si>
  <si>
    <t>=+C627</t>
  </si>
  <si>
    <t>=+D627</t>
  </si>
  <si>
    <t>=E627</t>
  </si>
  <si>
    <t>=G627</t>
  </si>
  <si>
    <t>=+K627</t>
  </si>
  <si>
    <t>=L627</t>
  </si>
  <si>
    <t>=+C628</t>
  </si>
  <si>
    <t>=+D628</t>
  </si>
  <si>
    <t>=E628</t>
  </si>
  <si>
    <t>=G628</t>
  </si>
  <si>
    <t>=+K628</t>
  </si>
  <si>
    <t>=L628</t>
  </si>
  <si>
    <t>=+C629</t>
  </si>
  <si>
    <t>=+D629</t>
  </si>
  <si>
    <t>=E629</t>
  </si>
  <si>
    <t>=G629</t>
  </si>
  <si>
    <t>=+K629</t>
  </si>
  <si>
    <t>=L629</t>
  </si>
  <si>
    <t>=+C630</t>
  </si>
  <si>
    <t>=+D630</t>
  </si>
  <si>
    <t>=E630</t>
  </si>
  <si>
    <t>=G630</t>
  </si>
  <si>
    <t>=+K630</t>
  </si>
  <si>
    <t>=L630</t>
  </si>
  <si>
    <t>=+C631</t>
  </si>
  <si>
    <t>=+D631</t>
  </si>
  <si>
    <t>=E631</t>
  </si>
  <si>
    <t>=G631</t>
  </si>
  <si>
    <t>=+K631</t>
  </si>
  <si>
    <t>=L631</t>
  </si>
  <si>
    <t>=+C633</t>
  </si>
  <si>
    <t>=+D633</t>
  </si>
  <si>
    <t>=E633</t>
  </si>
  <si>
    <t>=G633</t>
  </si>
  <si>
    <t>=+K633</t>
  </si>
  <si>
    <t>=L633</t>
  </si>
  <si>
    <t>="Total for " &amp; $L634</t>
  </si>
  <si>
    <t>=+K634</t>
  </si>
  <si>
    <t>=SUBTOTAL(9,T627:T633)</t>
  </si>
  <si>
    <t>=+C634</t>
  </si>
  <si>
    <t>=+D634</t>
  </si>
  <si>
    <t>=E634</t>
  </si>
  <si>
    <t>=G634</t>
  </si>
  <si>
    <t>=+N635</t>
  </si>
  <si>
    <t>=M635</t>
  </si>
  <si>
    <t>=NL(,"UPR30300","CHEKDATE","CHEKNMBR",$M635,"EMPLOYID",$G635)</t>
  </si>
  <si>
    <t>=+C635</t>
  </si>
  <si>
    <t>=+D635</t>
  </si>
  <si>
    <t>=E635</t>
  </si>
  <si>
    <t>=G635</t>
  </si>
  <si>
    <t>=+K635</t>
  </si>
  <si>
    <t>=L635</t>
  </si>
  <si>
    <t>=NF($O636,"PAYRATE")</t>
  </si>
  <si>
    <t>=NF($O636,"PAYROLCD")</t>
  </si>
  <si>
    <t>=NF($O636,"STATECD")</t>
  </si>
  <si>
    <t>=NF($O636,"CHEKDATE")</t>
  </si>
  <si>
    <t>=NF($O636,"UPRTRXAM")</t>
  </si>
  <si>
    <t>=+C636</t>
  </si>
  <si>
    <t>=+D636</t>
  </si>
  <si>
    <t>=E636</t>
  </si>
  <si>
    <t>=G636</t>
  </si>
  <si>
    <t>=+K636</t>
  </si>
  <si>
    <t>=L636</t>
  </si>
  <si>
    <t>=+C638</t>
  </si>
  <si>
    <t>=+D638</t>
  </si>
  <si>
    <t>=E638</t>
  </si>
  <si>
    <t>=G638</t>
  </si>
  <si>
    <t>=+K638</t>
  </si>
  <si>
    <t>=L638</t>
  </si>
  <si>
    <t>="Total for " &amp; $L639</t>
  </si>
  <si>
    <t>=+K639</t>
  </si>
  <si>
    <t>=SUBTOTAL(9,T636:T638)</t>
  </si>
  <si>
    <t>=+C639</t>
  </si>
  <si>
    <t>=+D639</t>
  </si>
  <si>
    <t>=E639</t>
  </si>
  <si>
    <t>=G639</t>
  </si>
  <si>
    <t>=+N640</t>
  </si>
  <si>
    <t>=M640</t>
  </si>
  <si>
    <t>=NL(,"UPR30300","CHEKDATE","CHEKNMBR",$M640,"EMPLOYID",$G640)</t>
  </si>
  <si>
    <t>=+C640</t>
  </si>
  <si>
    <t>=+D640</t>
  </si>
  <si>
    <t>=E640</t>
  </si>
  <si>
    <t>=G640</t>
  </si>
  <si>
    <t>=+K640</t>
  </si>
  <si>
    <t>=L640</t>
  </si>
  <si>
    <t>=NF($O641,"PAYRATE")</t>
  </si>
  <si>
    <t>=NF($O641,"PAYROLCD")</t>
  </si>
  <si>
    <t>=NF($O641,"STATECD")</t>
  </si>
  <si>
    <t>=NF($O641,"CHEKDATE")</t>
  </si>
  <si>
    <t>=NF($O641,"UPRTRXAM")</t>
  </si>
  <si>
    <t>=+C641</t>
  </si>
  <si>
    <t>=+D641</t>
  </si>
  <si>
    <t>=E641</t>
  </si>
  <si>
    <t>=G641</t>
  </si>
  <si>
    <t>=+K641</t>
  </si>
  <si>
    <t>=L641</t>
  </si>
  <si>
    <t>=+C643</t>
  </si>
  <si>
    <t>=+D643</t>
  </si>
  <si>
    <t>=E643</t>
  </si>
  <si>
    <t>=G643</t>
  </si>
  <si>
    <t>=+K643</t>
  </si>
  <si>
    <t>=L643</t>
  </si>
  <si>
    <t>="Total for " &amp; $L644</t>
  </si>
  <si>
    <t>=+K644</t>
  </si>
  <si>
    <t>=SUBTOTAL(9,T641:T643)</t>
  </si>
  <si>
    <t>=+C645</t>
  </si>
  <si>
    <t>=+D645</t>
  </si>
  <si>
    <t>=E645</t>
  </si>
  <si>
    <t>=G645</t>
  </si>
  <si>
    <t>="Total for " &amp; $G646</t>
  </si>
  <si>
    <t>=+C646</t>
  </si>
  <si>
    <t>=+D646</t>
  </si>
  <si>
    <t>=SUBTOTAL(9,T581:T645)</t>
  </si>
  <si>
    <t>=+I647</t>
  </si>
  <si>
    <t>=+J647</t>
  </si>
  <si>
    <t>=E646</t>
  </si>
  <si>
    <t>=H647</t>
  </si>
  <si>
    <t>="CLAY0001"</t>
  </si>
  <si>
    <t>=NL(,"UPR00100","FRSTNAME","EMPLOYID",$H647)</t>
  </si>
  <si>
    <t>=NL(,"UPR00100","LASTNAME","EMPLOYID",$H647)</t>
  </si>
  <si>
    <t>=+C647</t>
  </si>
  <si>
    <t>=+D647</t>
  </si>
  <si>
    <t>=E647</t>
  </si>
  <si>
    <t>=G647</t>
  </si>
  <si>
    <t>=+N648</t>
  </si>
  <si>
    <t>=M648</t>
  </si>
  <si>
    <t>=NL(,"UPR30300","CHEKDATE","CHEKNMBR",$M648,"EMPLOYID",$G648)</t>
  </si>
  <si>
    <t>=+C648</t>
  </si>
  <si>
    <t>=+D648</t>
  </si>
  <si>
    <t>=E648</t>
  </si>
  <si>
    <t>=G648</t>
  </si>
  <si>
    <t>=+K648</t>
  </si>
  <si>
    <t>=L648</t>
  </si>
  <si>
    <t>=NF($O649,"PAYRATE")</t>
  </si>
  <si>
    <t>=NF($O649,"PAYROLCD")</t>
  </si>
  <si>
    <t>=NF($O649,"STATECD")</t>
  </si>
  <si>
    <t>=NF($O649,"CHEKDATE")</t>
  </si>
  <si>
    <t>=NF($O649,"UPRTRXAM")</t>
  </si>
  <si>
    <t>=+C649</t>
  </si>
  <si>
    <t>=+D649</t>
  </si>
  <si>
    <t>=E649</t>
  </si>
  <si>
    <t>=G649</t>
  </si>
  <si>
    <t>=+K649</t>
  </si>
  <si>
    <t>=L649</t>
  </si>
  <si>
    <t>=+C650</t>
  </si>
  <si>
    <t>=+D650</t>
  </si>
  <si>
    <t>=E650</t>
  </si>
  <si>
    <t>=G650</t>
  </si>
  <si>
    <t>=+K650</t>
  </si>
  <si>
    <t>=L650</t>
  </si>
  <si>
    <t>=+C651</t>
  </si>
  <si>
    <t>=+D651</t>
  </si>
  <si>
    <t>=E651</t>
  </si>
  <si>
    <t>=G651</t>
  </si>
  <si>
    <t>=+K651</t>
  </si>
  <si>
    <t>=L651</t>
  </si>
  <si>
    <t>=+C652</t>
  </si>
  <si>
    <t>=+D652</t>
  </si>
  <si>
    <t>=E652</t>
  </si>
  <si>
    <t>=G652</t>
  </si>
  <si>
    <t>=+K652</t>
  </si>
  <si>
    <t>=L652</t>
  </si>
  <si>
    <t>=+C653</t>
  </si>
  <si>
    <t>=+D653</t>
  </si>
  <si>
    <t>=E653</t>
  </si>
  <si>
    <t>=G653</t>
  </si>
  <si>
    <t>=+K653</t>
  </si>
  <si>
    <t>=L653</t>
  </si>
  <si>
    <t>=+C654</t>
  </si>
  <si>
    <t>=+D654</t>
  </si>
  <si>
    <t>=E654</t>
  </si>
  <si>
    <t>=G654</t>
  </si>
  <si>
    <t>=+K654</t>
  </si>
  <si>
    <t>=L654</t>
  </si>
  <si>
    <t>=+C656</t>
  </si>
  <si>
    <t>=+D656</t>
  </si>
  <si>
    <t>=E656</t>
  </si>
  <si>
    <t>=G656</t>
  </si>
  <si>
    <t>=+K656</t>
  </si>
  <si>
    <t>=L656</t>
  </si>
  <si>
    <t>="Total for " &amp; $L657</t>
  </si>
  <si>
    <t>=+K657</t>
  </si>
  <si>
    <t>=SUBTOTAL(9,T649:T656)</t>
  </si>
  <si>
    <t>=+C657</t>
  </si>
  <si>
    <t>=+D657</t>
  </si>
  <si>
    <t>=E657</t>
  </si>
  <si>
    <t>=G657</t>
  </si>
  <si>
    <t>=+N658</t>
  </si>
  <si>
    <t>=M658</t>
  </si>
  <si>
    <t>="10382"</t>
  </si>
  <si>
    <t>=NL(,"UPR30300","CHEKDATE","CHEKNMBR",$M658,"EMPLOYID",$G658)</t>
  </si>
  <si>
    <t>=+C658</t>
  </si>
  <si>
    <t>=+D658</t>
  </si>
  <si>
    <t>=E658</t>
  </si>
  <si>
    <t>=G658</t>
  </si>
  <si>
    <t>=+K658</t>
  </si>
  <si>
    <t>=L658</t>
  </si>
  <si>
    <t>=NF($O659,"PAYRATE")</t>
  </si>
  <si>
    <t>=NF($O659,"PAYROLCD")</t>
  </si>
  <si>
    <t>=NF($O659,"STATECD")</t>
  </si>
  <si>
    <t>=NF($O659,"CHEKDATE")</t>
  </si>
  <si>
    <t>=NF($O659,"UPRTRXAM")</t>
  </si>
  <si>
    <t>=+C659</t>
  </si>
  <si>
    <t>=+D659</t>
  </si>
  <si>
    <t>=E659</t>
  </si>
  <si>
    <t>=G659</t>
  </si>
  <si>
    <t>=+K659</t>
  </si>
  <si>
    <t>=L659</t>
  </si>
  <si>
    <t>=+C660</t>
  </si>
  <si>
    <t>=+D660</t>
  </si>
  <si>
    <t>=E660</t>
  </si>
  <si>
    <t>=G660</t>
  </si>
  <si>
    <t>=+K660</t>
  </si>
  <si>
    <t>=L660</t>
  </si>
  <si>
    <t>=+C661</t>
  </si>
  <si>
    <t>=+D661</t>
  </si>
  <si>
    <t>=E661</t>
  </si>
  <si>
    <t>=G661</t>
  </si>
  <si>
    <t>=+K661</t>
  </si>
  <si>
    <t>=L661</t>
  </si>
  <si>
    <t>=+C662</t>
  </si>
  <si>
    <t>=+D662</t>
  </si>
  <si>
    <t>=E662</t>
  </si>
  <si>
    <t>=G662</t>
  </si>
  <si>
    <t>=+K662</t>
  </si>
  <si>
    <t>=L662</t>
  </si>
  <si>
    <t>=+C663</t>
  </si>
  <si>
    <t>=+D663</t>
  </si>
  <si>
    <t>=E663</t>
  </si>
  <si>
    <t>=G663</t>
  </si>
  <si>
    <t>=+K663</t>
  </si>
  <si>
    <t>=L663</t>
  </si>
  <si>
    <t>=+C664</t>
  </si>
  <si>
    <t>=+D664</t>
  </si>
  <si>
    <t>=E664</t>
  </si>
  <si>
    <t>=G664</t>
  </si>
  <si>
    <t>=+K664</t>
  </si>
  <si>
    <t>=L664</t>
  </si>
  <si>
    <t>=+C666</t>
  </si>
  <si>
    <t>=+D666</t>
  </si>
  <si>
    <t>=E666</t>
  </si>
  <si>
    <t>=G666</t>
  </si>
  <si>
    <t>=+K666</t>
  </si>
  <si>
    <t>=L666</t>
  </si>
  <si>
    <t>="Total for " &amp; $L667</t>
  </si>
  <si>
    <t>=+K667</t>
  </si>
  <si>
    <t>=SUBTOTAL(9,T659:T666)</t>
  </si>
  <si>
    <t>=+C667</t>
  </si>
  <si>
    <t>=+D667</t>
  </si>
  <si>
    <t>=E667</t>
  </si>
  <si>
    <t>=G667</t>
  </si>
  <si>
    <t>=+N668</t>
  </si>
  <si>
    <t>=M668</t>
  </si>
  <si>
    <t>="10407"</t>
  </si>
  <si>
    <t>=NL(,"UPR30300","CHEKDATE","CHEKNMBR",$M668,"EMPLOYID",$G668)</t>
  </si>
  <si>
    <t>=+C668</t>
  </si>
  <si>
    <t>=+D668</t>
  </si>
  <si>
    <t>=E668</t>
  </si>
  <si>
    <t>=G668</t>
  </si>
  <si>
    <t>=+K668</t>
  </si>
  <si>
    <t>=L668</t>
  </si>
  <si>
    <t>=NF($O669,"PAYRATE")</t>
  </si>
  <si>
    <t>=NF($O669,"PAYROLCD")</t>
  </si>
  <si>
    <t>=NF($O669,"STATECD")</t>
  </si>
  <si>
    <t>=NF($O669,"CHEKDATE")</t>
  </si>
  <si>
    <t>=NF($O669,"UPRTRXAM")</t>
  </si>
  <si>
    <t>=+C669</t>
  </si>
  <si>
    <t>=+D669</t>
  </si>
  <si>
    <t>=E669</t>
  </si>
  <si>
    <t>=G669</t>
  </si>
  <si>
    <t>=+K669</t>
  </si>
  <si>
    <t>=L669</t>
  </si>
  <si>
    <t>=+C670</t>
  </si>
  <si>
    <t>=+D670</t>
  </si>
  <si>
    <t>=E670</t>
  </si>
  <si>
    <t>=G670</t>
  </si>
  <si>
    <t>=+K670</t>
  </si>
  <si>
    <t>=L670</t>
  </si>
  <si>
    <t>=+C671</t>
  </si>
  <si>
    <t>=+D671</t>
  </si>
  <si>
    <t>=E671</t>
  </si>
  <si>
    <t>=G671</t>
  </si>
  <si>
    <t>=+K671</t>
  </si>
  <si>
    <t>=L671</t>
  </si>
  <si>
    <t>=+C672</t>
  </si>
  <si>
    <t>=+D672</t>
  </si>
  <si>
    <t>=E672</t>
  </si>
  <si>
    <t>=G672</t>
  </si>
  <si>
    <t>=+K672</t>
  </si>
  <si>
    <t>=L672</t>
  </si>
  <si>
    <t>=+C673</t>
  </si>
  <si>
    <t>=+D673</t>
  </si>
  <si>
    <t>=E673</t>
  </si>
  <si>
    <t>=G673</t>
  </si>
  <si>
    <t>=+K673</t>
  </si>
  <si>
    <t>=L673</t>
  </si>
  <si>
    <t>=+C674</t>
  </si>
  <si>
    <t>=+D674</t>
  </si>
  <si>
    <t>=E674</t>
  </si>
  <si>
    <t>=G674</t>
  </si>
  <si>
    <t>=+K674</t>
  </si>
  <si>
    <t>=L674</t>
  </si>
  <si>
    <t>=+C676</t>
  </si>
  <si>
    <t>=+D676</t>
  </si>
  <si>
    <t>=E676</t>
  </si>
  <si>
    <t>=G676</t>
  </si>
  <si>
    <t>=+K676</t>
  </si>
  <si>
    <t>=L676</t>
  </si>
  <si>
    <t>="Total for " &amp; $L677</t>
  </si>
  <si>
    <t>=+K677</t>
  </si>
  <si>
    <t>=SUBTOTAL(9,T669:T676)</t>
  </si>
  <si>
    <t>=+C677</t>
  </si>
  <si>
    <t>=+D677</t>
  </si>
  <si>
    <t>=E677</t>
  </si>
  <si>
    <t>=G677</t>
  </si>
  <si>
    <t>=+N678</t>
  </si>
  <si>
    <t>=M678</t>
  </si>
  <si>
    <t>="10432"</t>
  </si>
  <si>
    <t>=NL(,"UPR30300","CHEKDATE","CHEKNMBR",$M678,"EMPLOYID",$G678)</t>
  </si>
  <si>
    <t>=+C678</t>
  </si>
  <si>
    <t>=+D678</t>
  </si>
  <si>
    <t>=E678</t>
  </si>
  <si>
    <t>=G678</t>
  </si>
  <si>
    <t>=+K678</t>
  </si>
  <si>
    <t>=L678</t>
  </si>
  <si>
    <t>=NF($O679,"PAYRATE")</t>
  </si>
  <si>
    <t>=NF($O679,"PAYROLCD")</t>
  </si>
  <si>
    <t>=NF($O679,"STATECD")</t>
  </si>
  <si>
    <t>=NF($O679,"CHEKDATE")</t>
  </si>
  <si>
    <t>=NF($O679,"UPRTRXAM")</t>
  </si>
  <si>
    <t>=+C679</t>
  </si>
  <si>
    <t>=+D679</t>
  </si>
  <si>
    <t>=E679</t>
  </si>
  <si>
    <t>=G679</t>
  </si>
  <si>
    <t>=+K679</t>
  </si>
  <si>
    <t>=L679</t>
  </si>
  <si>
    <t>=+C680</t>
  </si>
  <si>
    <t>=+D680</t>
  </si>
  <si>
    <t>=E680</t>
  </si>
  <si>
    <t>=G680</t>
  </si>
  <si>
    <t>=+K680</t>
  </si>
  <si>
    <t>=L680</t>
  </si>
  <si>
    <t>=+C681</t>
  </si>
  <si>
    <t>=+D681</t>
  </si>
  <si>
    <t>=E681</t>
  </si>
  <si>
    <t>=G681</t>
  </si>
  <si>
    <t>=+K681</t>
  </si>
  <si>
    <t>=L681</t>
  </si>
  <si>
    <t>=+C682</t>
  </si>
  <si>
    <t>=+D682</t>
  </si>
  <si>
    <t>=E682</t>
  </si>
  <si>
    <t>=G682</t>
  </si>
  <si>
    <t>=+K682</t>
  </si>
  <si>
    <t>=L682</t>
  </si>
  <si>
    <t>=+C683</t>
  </si>
  <si>
    <t>=+D683</t>
  </si>
  <si>
    <t>=E683</t>
  </si>
  <si>
    <t>=G683</t>
  </si>
  <si>
    <t>=+K683</t>
  </si>
  <si>
    <t>=L683</t>
  </si>
  <si>
    <t>=+C684</t>
  </si>
  <si>
    <t>=+D684</t>
  </si>
  <si>
    <t>=E684</t>
  </si>
  <si>
    <t>=G684</t>
  </si>
  <si>
    <t>=+K684</t>
  </si>
  <si>
    <t>=L684</t>
  </si>
  <si>
    <t>=+C686</t>
  </si>
  <si>
    <t>=+D686</t>
  </si>
  <si>
    <t>=E686</t>
  </si>
  <si>
    <t>=G686</t>
  </si>
  <si>
    <t>=+K686</t>
  </si>
  <si>
    <t>=L686</t>
  </si>
  <si>
    <t>="Total for " &amp; $L687</t>
  </si>
  <si>
    <t>=+K687</t>
  </si>
  <si>
    <t>=SUBTOTAL(9,T679:T686)</t>
  </si>
  <si>
    <t>=+C687</t>
  </si>
  <si>
    <t>=+D687</t>
  </si>
  <si>
    <t>=E687</t>
  </si>
  <si>
    <t>=G687</t>
  </si>
  <si>
    <t>=+N688</t>
  </si>
  <si>
    <t>=M688</t>
  </si>
  <si>
    <t>="10457"</t>
  </si>
  <si>
    <t>=NL(,"UPR30300","CHEKDATE","CHEKNMBR",$M688,"EMPLOYID",$G688)</t>
  </si>
  <si>
    <t>=+C688</t>
  </si>
  <si>
    <t>=+D688</t>
  </si>
  <si>
    <t>=E688</t>
  </si>
  <si>
    <t>=G688</t>
  </si>
  <si>
    <t>=+K688</t>
  </si>
  <si>
    <t>=L688</t>
  </si>
  <si>
    <t>=NF($O689,"PAYRATE")</t>
  </si>
  <si>
    <t>=NF($O689,"PAYROLCD")</t>
  </si>
  <si>
    <t>=NF($O689,"STATECD")</t>
  </si>
  <si>
    <t>=NF($O689,"CHEKDATE")</t>
  </si>
  <si>
    <t>=NF($O689,"UPRTRXAM")</t>
  </si>
  <si>
    <t>=+C689</t>
  </si>
  <si>
    <t>=+D689</t>
  </si>
  <si>
    <t>=E689</t>
  </si>
  <si>
    <t>=G689</t>
  </si>
  <si>
    <t>=+K689</t>
  </si>
  <si>
    <t>=L689</t>
  </si>
  <si>
    <t>=+C690</t>
  </si>
  <si>
    <t>=+D690</t>
  </si>
  <si>
    <t>=E690</t>
  </si>
  <si>
    <t>=G690</t>
  </si>
  <si>
    <t>=+K690</t>
  </si>
  <si>
    <t>=L690</t>
  </si>
  <si>
    <t>=+C691</t>
  </si>
  <si>
    <t>=+D691</t>
  </si>
  <si>
    <t>=E691</t>
  </si>
  <si>
    <t>=G691</t>
  </si>
  <si>
    <t>=+K691</t>
  </si>
  <si>
    <t>=L691</t>
  </si>
  <si>
    <t>=+C692</t>
  </si>
  <si>
    <t>=+D692</t>
  </si>
  <si>
    <t>=E692</t>
  </si>
  <si>
    <t>=G692</t>
  </si>
  <si>
    <t>=+K692</t>
  </si>
  <si>
    <t>=L692</t>
  </si>
  <si>
    <t>=+C693</t>
  </si>
  <si>
    <t>=+D693</t>
  </si>
  <si>
    <t>=E693</t>
  </si>
  <si>
    <t>=G693</t>
  </si>
  <si>
    <t>=+K693</t>
  </si>
  <si>
    <t>=L693</t>
  </si>
  <si>
    <t>=+C694</t>
  </si>
  <si>
    <t>=+D694</t>
  </si>
  <si>
    <t>=E694</t>
  </si>
  <si>
    <t>=G694</t>
  </si>
  <si>
    <t>=+K694</t>
  </si>
  <si>
    <t>=L694</t>
  </si>
  <si>
    <t>=+C696</t>
  </si>
  <si>
    <t>=+D696</t>
  </si>
  <si>
    <t>=E696</t>
  </si>
  <si>
    <t>=G696</t>
  </si>
  <si>
    <t>=+K696</t>
  </si>
  <si>
    <t>=L696</t>
  </si>
  <si>
    <t>="Total for " &amp; $L697</t>
  </si>
  <si>
    <t>=+K697</t>
  </si>
  <si>
    <t>=SUBTOTAL(9,T689:T696)</t>
  </si>
  <si>
    <t>=+C697</t>
  </si>
  <si>
    <t>=+D697</t>
  </si>
  <si>
    <t>=E697</t>
  </si>
  <si>
    <t>=G697</t>
  </si>
  <si>
    <t>=+N698</t>
  </si>
  <si>
    <t>=M698</t>
  </si>
  <si>
    <t>="10482"</t>
  </si>
  <si>
    <t>=NL(,"UPR30300","CHEKDATE","CHEKNMBR",$M698,"EMPLOYID",$G698)</t>
  </si>
  <si>
    <t>=+C698</t>
  </si>
  <si>
    <t>=+D698</t>
  </si>
  <si>
    <t>=E698</t>
  </si>
  <si>
    <t>=G698</t>
  </si>
  <si>
    <t>=+K698</t>
  </si>
  <si>
    <t>=L698</t>
  </si>
  <si>
    <t>=NF($O699,"PAYRATE")</t>
  </si>
  <si>
    <t>=NF($O699,"PAYROLCD")</t>
  </si>
  <si>
    <t>=NF($O699,"STATECD")</t>
  </si>
  <si>
    <t>=NF($O699,"CHEKDATE")</t>
  </si>
  <si>
    <t>=NF($O699,"UPRTRXAM")</t>
  </si>
  <si>
    <t>=+C699</t>
  </si>
  <si>
    <t>=+D699</t>
  </si>
  <si>
    <t>=E699</t>
  </si>
  <si>
    <t>=G699</t>
  </si>
  <si>
    <t>=+K699</t>
  </si>
  <si>
    <t>=L699</t>
  </si>
  <si>
    <t>=+C700</t>
  </si>
  <si>
    <t>=+D700</t>
  </si>
  <si>
    <t>=E700</t>
  </si>
  <si>
    <t>=G700</t>
  </si>
  <si>
    <t>=+K700</t>
  </si>
  <si>
    <t>=L700</t>
  </si>
  <si>
    <t>=+C701</t>
  </si>
  <si>
    <t>=+D701</t>
  </si>
  <si>
    <t>=E701</t>
  </si>
  <si>
    <t>=G701</t>
  </si>
  <si>
    <t>=+K701</t>
  </si>
  <si>
    <t>=L701</t>
  </si>
  <si>
    <t>=+C702</t>
  </si>
  <si>
    <t>=+D702</t>
  </si>
  <si>
    <t>=E702</t>
  </si>
  <si>
    <t>=G702</t>
  </si>
  <si>
    <t>=+K702</t>
  </si>
  <si>
    <t>=L702</t>
  </si>
  <si>
    <t>=+C703</t>
  </si>
  <si>
    <t>=+D703</t>
  </si>
  <si>
    <t>=E703</t>
  </si>
  <si>
    <t>=G703</t>
  </si>
  <si>
    <t>=+K703</t>
  </si>
  <si>
    <t>=L703</t>
  </si>
  <si>
    <t>=+C704</t>
  </si>
  <si>
    <t>=+D704</t>
  </si>
  <si>
    <t>=E704</t>
  </si>
  <si>
    <t>=G704</t>
  </si>
  <si>
    <t>=+K704</t>
  </si>
  <si>
    <t>=L704</t>
  </si>
  <si>
    <t>=+C706</t>
  </si>
  <si>
    <t>=+D706</t>
  </si>
  <si>
    <t>=E706</t>
  </si>
  <si>
    <t>=G706</t>
  </si>
  <si>
    <t>=+K706</t>
  </si>
  <si>
    <t>=L706</t>
  </si>
  <si>
    <t>="Total for " &amp; $L707</t>
  </si>
  <si>
    <t>=+K707</t>
  </si>
  <si>
    <t>=SUBTOTAL(9,T699:T706)</t>
  </si>
  <si>
    <t>=+C708</t>
  </si>
  <si>
    <t>=+D708</t>
  </si>
  <si>
    <t>=E708</t>
  </si>
  <si>
    <t>=G708</t>
  </si>
  <si>
    <t>="Total for " &amp; $G709</t>
  </si>
  <si>
    <t>=+C709</t>
  </si>
  <si>
    <t>=+D709</t>
  </si>
  <si>
    <t>=SUBTOTAL(9,T649:T708)</t>
  </si>
  <si>
    <t>=+I710</t>
  </si>
  <si>
    <t>=+J710</t>
  </si>
  <si>
    <t>=E709</t>
  </si>
  <si>
    <t>=H710</t>
  </si>
  <si>
    <t>="DIAZ0001"</t>
  </si>
  <si>
    <t>=NL(,"UPR00100","FRSTNAME","EMPLOYID",$H710)</t>
  </si>
  <si>
    <t>=NL(,"UPR00100","LASTNAME","EMPLOYID",$H710)</t>
  </si>
  <si>
    <t>=+C710</t>
  </si>
  <si>
    <t>=+D710</t>
  </si>
  <si>
    <t>=E710</t>
  </si>
  <si>
    <t>=G710</t>
  </si>
  <si>
    <t>=+N711</t>
  </si>
  <si>
    <t>=M711</t>
  </si>
  <si>
    <t>=NL(,"UPR30300","CHEKDATE","CHEKNMBR",$M711,"EMPLOYID",$G711)</t>
  </si>
  <si>
    <t>=+C711</t>
  </si>
  <si>
    <t>=+D711</t>
  </si>
  <si>
    <t>=E711</t>
  </si>
  <si>
    <t>=G711</t>
  </si>
  <si>
    <t>=+K711</t>
  </si>
  <si>
    <t>=L711</t>
  </si>
  <si>
    <t>=NF($O712,"PAYRATE")</t>
  </si>
  <si>
    <t>=NF($O712,"PAYROLCD")</t>
  </si>
  <si>
    <t>=NF($O712,"STATECD")</t>
  </si>
  <si>
    <t>=NF($O712,"CHEKDATE")</t>
  </si>
  <si>
    <t>=NF($O712,"UPRTRXAM")</t>
  </si>
  <si>
    <t>=+C712</t>
  </si>
  <si>
    <t>=+D712</t>
  </si>
  <si>
    <t>=E712</t>
  </si>
  <si>
    <t>=G712</t>
  </si>
  <si>
    <t>=+K712</t>
  </si>
  <si>
    <t>=L712</t>
  </si>
  <si>
    <t>=+C713</t>
  </si>
  <si>
    <t>=+D713</t>
  </si>
  <si>
    <t>=E713</t>
  </si>
  <si>
    <t>=G713</t>
  </si>
  <si>
    <t>=+K713</t>
  </si>
  <si>
    <t>=L713</t>
  </si>
  <si>
    <t>=+C714</t>
  </si>
  <si>
    <t>=+D714</t>
  </si>
  <si>
    <t>=E714</t>
  </si>
  <si>
    <t>=G714</t>
  </si>
  <si>
    <t>=+K714</t>
  </si>
  <si>
    <t>=L714</t>
  </si>
  <si>
    <t>=+C715</t>
  </si>
  <si>
    <t>=+D715</t>
  </si>
  <si>
    <t>=E715</t>
  </si>
  <si>
    <t>=G715</t>
  </si>
  <si>
    <t>=+K715</t>
  </si>
  <si>
    <t>=L715</t>
  </si>
  <si>
    <t>=+C716</t>
  </si>
  <si>
    <t>=+D716</t>
  </si>
  <si>
    <t>=E716</t>
  </si>
  <si>
    <t>=G716</t>
  </si>
  <si>
    <t>=+K716</t>
  </si>
  <si>
    <t>=L716</t>
  </si>
  <si>
    <t>=+C718</t>
  </si>
  <si>
    <t>=+D718</t>
  </si>
  <si>
    <t>=E718</t>
  </si>
  <si>
    <t>=G718</t>
  </si>
  <si>
    <t>=+K718</t>
  </si>
  <si>
    <t>=L718</t>
  </si>
  <si>
    <t>="Total for " &amp; $L719</t>
  </si>
  <si>
    <t>=+K719</t>
  </si>
  <si>
    <t>=SUBTOTAL(9,T712:T718)</t>
  </si>
  <si>
    <t>=+C719</t>
  </si>
  <si>
    <t>=+D719</t>
  </si>
  <si>
    <t>=E719</t>
  </si>
  <si>
    <t>=G719</t>
  </si>
  <si>
    <t>=+N720</t>
  </si>
  <si>
    <t>=M720</t>
  </si>
  <si>
    <t>="10384"</t>
  </si>
  <si>
    <t>=NL(,"UPR30300","CHEKDATE","CHEKNMBR",$M720,"EMPLOYID",$G720)</t>
  </si>
  <si>
    <t>=+C720</t>
  </si>
  <si>
    <t>=+D720</t>
  </si>
  <si>
    <t>=E720</t>
  </si>
  <si>
    <t>=G720</t>
  </si>
  <si>
    <t>=+K720</t>
  </si>
  <si>
    <t>=L720</t>
  </si>
  <si>
    <t>=NF($O721,"PAYRATE")</t>
  </si>
  <si>
    <t>=NF($O721,"PAYROLCD")</t>
  </si>
  <si>
    <t>=NF($O721,"STATECD")</t>
  </si>
  <si>
    <t>=NF($O721,"CHEKDATE")</t>
  </si>
  <si>
    <t>=NF($O721,"UPRTRXAM")</t>
  </si>
  <si>
    <t>=+C721</t>
  </si>
  <si>
    <t>=+D721</t>
  </si>
  <si>
    <t>=E721</t>
  </si>
  <si>
    <t>=G721</t>
  </si>
  <si>
    <t>=+K721</t>
  </si>
  <si>
    <t>=L721</t>
  </si>
  <si>
    <t>=+C722</t>
  </si>
  <si>
    <t>=+D722</t>
  </si>
  <si>
    <t>=E722</t>
  </si>
  <si>
    <t>=G722</t>
  </si>
  <si>
    <t>=+K722</t>
  </si>
  <si>
    <t>=L722</t>
  </si>
  <si>
    <t>=+C723</t>
  </si>
  <si>
    <t>=+D723</t>
  </si>
  <si>
    <t>=E723</t>
  </si>
  <si>
    <t>=G723</t>
  </si>
  <si>
    <t>=+K723</t>
  </si>
  <si>
    <t>=L723</t>
  </si>
  <si>
    <t>=+C724</t>
  </si>
  <si>
    <t>=+D724</t>
  </si>
  <si>
    <t>=E724</t>
  </si>
  <si>
    <t>=G724</t>
  </si>
  <si>
    <t>=+K724</t>
  </si>
  <si>
    <t>=L724</t>
  </si>
  <si>
    <t>=+C725</t>
  </si>
  <si>
    <t>=+D725</t>
  </si>
  <si>
    <t>=E725</t>
  </si>
  <si>
    <t>=G725</t>
  </si>
  <si>
    <t>=+K725</t>
  </si>
  <si>
    <t>=L725</t>
  </si>
  <si>
    <t>=+C727</t>
  </si>
  <si>
    <t>=+D727</t>
  </si>
  <si>
    <t>=E727</t>
  </si>
  <si>
    <t>=G727</t>
  </si>
  <si>
    <t>=+K727</t>
  </si>
  <si>
    <t>=L727</t>
  </si>
  <si>
    <t>="Total for " &amp; $L728</t>
  </si>
  <si>
    <t>=+K728</t>
  </si>
  <si>
    <t>=SUBTOTAL(9,T721:T727)</t>
  </si>
  <si>
    <t>=+C728</t>
  </si>
  <si>
    <t>=+D728</t>
  </si>
  <si>
    <t>=E728</t>
  </si>
  <si>
    <t>=G728</t>
  </si>
  <si>
    <t>=+N729</t>
  </si>
  <si>
    <t>=M729</t>
  </si>
  <si>
    <t>="10409"</t>
  </si>
  <si>
    <t>=NL(,"UPR30300","CHEKDATE","CHEKNMBR",$M729,"EMPLOYID",$G729)</t>
  </si>
  <si>
    <t>=+C729</t>
  </si>
  <si>
    <t>=+D729</t>
  </si>
  <si>
    <t>=E729</t>
  </si>
  <si>
    <t>=G729</t>
  </si>
  <si>
    <t>=+K729</t>
  </si>
  <si>
    <t>=L729</t>
  </si>
  <si>
    <t>=NF($O730,"PAYRATE")</t>
  </si>
  <si>
    <t>=NF($O730,"PAYROLCD")</t>
  </si>
  <si>
    <t>=NF($O730,"STATECD")</t>
  </si>
  <si>
    <t>=NF($O730,"CHEKDATE")</t>
  </si>
  <si>
    <t>=NF($O730,"UPRTRXAM")</t>
  </si>
  <si>
    <t>=+C730</t>
  </si>
  <si>
    <t>=+D730</t>
  </si>
  <si>
    <t>=E730</t>
  </si>
  <si>
    <t>=G730</t>
  </si>
  <si>
    <t>=+K730</t>
  </si>
  <si>
    <t>=L730</t>
  </si>
  <si>
    <t>=+C731</t>
  </si>
  <si>
    <t>=+D731</t>
  </si>
  <si>
    <t>=E731</t>
  </si>
  <si>
    <t>=G731</t>
  </si>
  <si>
    <t>=+K731</t>
  </si>
  <si>
    <t>=L731</t>
  </si>
  <si>
    <t>=+C732</t>
  </si>
  <si>
    <t>=+D732</t>
  </si>
  <si>
    <t>=E732</t>
  </si>
  <si>
    <t>=G732</t>
  </si>
  <si>
    <t>=+K732</t>
  </si>
  <si>
    <t>=L732</t>
  </si>
  <si>
    <t>=+C733</t>
  </si>
  <si>
    <t>=+D733</t>
  </si>
  <si>
    <t>=E733</t>
  </si>
  <si>
    <t>=G733</t>
  </si>
  <si>
    <t>=+K733</t>
  </si>
  <si>
    <t>=L733</t>
  </si>
  <si>
    <t>=+C734</t>
  </si>
  <si>
    <t>=+D734</t>
  </si>
  <si>
    <t>=E734</t>
  </si>
  <si>
    <t>=G734</t>
  </si>
  <si>
    <t>=+K734</t>
  </si>
  <si>
    <t>=L734</t>
  </si>
  <si>
    <t>=+C736</t>
  </si>
  <si>
    <t>=+D736</t>
  </si>
  <si>
    <t>=E736</t>
  </si>
  <si>
    <t>=G736</t>
  </si>
  <si>
    <t>=+K736</t>
  </si>
  <si>
    <t>=L736</t>
  </si>
  <si>
    <t>="Total for " &amp; $L737</t>
  </si>
  <si>
    <t>=+K737</t>
  </si>
  <si>
    <t>=SUBTOTAL(9,T730:T736)</t>
  </si>
  <si>
    <t>=+C737</t>
  </si>
  <si>
    <t>=+D737</t>
  </si>
  <si>
    <t>=E737</t>
  </si>
  <si>
    <t>=G737</t>
  </si>
  <si>
    <t>=+N738</t>
  </si>
  <si>
    <t>=M738</t>
  </si>
  <si>
    <t>="10434"</t>
  </si>
  <si>
    <t>=NL(,"UPR30300","CHEKDATE","CHEKNMBR",$M738,"EMPLOYID",$G738)</t>
  </si>
  <si>
    <t>=+C738</t>
  </si>
  <si>
    <t>=+D738</t>
  </si>
  <si>
    <t>=E738</t>
  </si>
  <si>
    <t>=G738</t>
  </si>
  <si>
    <t>=+K738</t>
  </si>
  <si>
    <t>=L738</t>
  </si>
  <si>
    <t>=NF($O739,"PAYRATE")</t>
  </si>
  <si>
    <t>=NF($O739,"PAYROLCD")</t>
  </si>
  <si>
    <t>=NF($O739,"STATECD")</t>
  </si>
  <si>
    <t>=NF($O739,"CHEKDATE")</t>
  </si>
  <si>
    <t>=NF($O739,"UPRTRXAM")</t>
  </si>
  <si>
    <t>=+C739</t>
  </si>
  <si>
    <t>=+D739</t>
  </si>
  <si>
    <t>=E739</t>
  </si>
  <si>
    <t>=G739</t>
  </si>
  <si>
    <t>=+K739</t>
  </si>
  <si>
    <t>=L739</t>
  </si>
  <si>
    <t>=+C740</t>
  </si>
  <si>
    <t>=+D740</t>
  </si>
  <si>
    <t>=E740</t>
  </si>
  <si>
    <t>=G740</t>
  </si>
  <si>
    <t>=+K740</t>
  </si>
  <si>
    <t>=L740</t>
  </si>
  <si>
    <t>=+C741</t>
  </si>
  <si>
    <t>=+D741</t>
  </si>
  <si>
    <t>=E741</t>
  </si>
  <si>
    <t>=G741</t>
  </si>
  <si>
    <t>=+K741</t>
  </si>
  <si>
    <t>=L741</t>
  </si>
  <si>
    <t>=+C742</t>
  </si>
  <si>
    <t>=+D742</t>
  </si>
  <si>
    <t>=E742</t>
  </si>
  <si>
    <t>=G742</t>
  </si>
  <si>
    <t>=+K742</t>
  </si>
  <si>
    <t>=L742</t>
  </si>
  <si>
    <t>=+C743</t>
  </si>
  <si>
    <t>=+D743</t>
  </si>
  <si>
    <t>=E743</t>
  </si>
  <si>
    <t>=G743</t>
  </si>
  <si>
    <t>=+K743</t>
  </si>
  <si>
    <t>=L743</t>
  </si>
  <si>
    <t>=+C745</t>
  </si>
  <si>
    <t>=+D745</t>
  </si>
  <si>
    <t>=E745</t>
  </si>
  <si>
    <t>=G745</t>
  </si>
  <si>
    <t>=+K745</t>
  </si>
  <si>
    <t>=L745</t>
  </si>
  <si>
    <t>="Total for " &amp; $L746</t>
  </si>
  <si>
    <t>=+K746</t>
  </si>
  <si>
    <t>=SUBTOTAL(9,T739:T745)</t>
  </si>
  <si>
    <t>=+C746</t>
  </si>
  <si>
    <t>=+D746</t>
  </si>
  <si>
    <t>=E746</t>
  </si>
  <si>
    <t>=G746</t>
  </si>
  <si>
    <t>=+N747</t>
  </si>
  <si>
    <t>=M747</t>
  </si>
  <si>
    <t>="10459"</t>
  </si>
  <si>
    <t>=NL(,"UPR30300","CHEKDATE","CHEKNMBR",$M747,"EMPLOYID",$G747)</t>
  </si>
  <si>
    <t>=+C747</t>
  </si>
  <si>
    <t>=+D747</t>
  </si>
  <si>
    <t>=E747</t>
  </si>
  <si>
    <t>=G747</t>
  </si>
  <si>
    <t>=+K747</t>
  </si>
  <si>
    <t>=L747</t>
  </si>
  <si>
    <t>=NF($O748,"PAYRATE")</t>
  </si>
  <si>
    <t>=NF($O748,"PAYROLCD")</t>
  </si>
  <si>
    <t>=NF($O748,"STATECD")</t>
  </si>
  <si>
    <t>=NF($O748,"CHEKDATE")</t>
  </si>
  <si>
    <t>=NF($O748,"UPRTRXAM")</t>
  </si>
  <si>
    <t>=+C748</t>
  </si>
  <si>
    <t>=+D748</t>
  </si>
  <si>
    <t>=E748</t>
  </si>
  <si>
    <t>=G748</t>
  </si>
  <si>
    <t>=+K748</t>
  </si>
  <si>
    <t>=L748</t>
  </si>
  <si>
    <t>=+C749</t>
  </si>
  <si>
    <t>=+D749</t>
  </si>
  <si>
    <t>=E749</t>
  </si>
  <si>
    <t>=G749</t>
  </si>
  <si>
    <t>=+K749</t>
  </si>
  <si>
    <t>=L749</t>
  </si>
  <si>
    <t>=+C750</t>
  </si>
  <si>
    <t>=+D750</t>
  </si>
  <si>
    <t>=E750</t>
  </si>
  <si>
    <t>=G750</t>
  </si>
  <si>
    <t>=+K750</t>
  </si>
  <si>
    <t>=L750</t>
  </si>
  <si>
    <t>=+C751</t>
  </si>
  <si>
    <t>=+D751</t>
  </si>
  <si>
    <t>=E751</t>
  </si>
  <si>
    <t>=G751</t>
  </si>
  <si>
    <t>=+K751</t>
  </si>
  <si>
    <t>=L751</t>
  </si>
  <si>
    <t>=+C752</t>
  </si>
  <si>
    <t>=+D752</t>
  </si>
  <si>
    <t>=E752</t>
  </si>
  <si>
    <t>=G752</t>
  </si>
  <si>
    <t>=+K752</t>
  </si>
  <si>
    <t>=L752</t>
  </si>
  <si>
    <t>=+C753</t>
  </si>
  <si>
    <t>=+D753</t>
  </si>
  <si>
    <t>=E753</t>
  </si>
  <si>
    <t>=G753</t>
  </si>
  <si>
    <t>=+K753</t>
  </si>
  <si>
    <t>=L753</t>
  </si>
  <si>
    <t>=+C755</t>
  </si>
  <si>
    <t>=+D755</t>
  </si>
  <si>
    <t>=E755</t>
  </si>
  <si>
    <t>=G755</t>
  </si>
  <si>
    <t>=+K755</t>
  </si>
  <si>
    <t>=L755</t>
  </si>
  <si>
    <t>="Total for " &amp; $L756</t>
  </si>
  <si>
    <t>=+K756</t>
  </si>
  <si>
    <t>=SUBTOTAL(9,T748:T755)</t>
  </si>
  <si>
    <t>=+C756</t>
  </si>
  <si>
    <t>=+D756</t>
  </si>
  <si>
    <t>=E756</t>
  </si>
  <si>
    <t>=G756</t>
  </si>
  <si>
    <t>=+N757</t>
  </si>
  <si>
    <t>=M757</t>
  </si>
  <si>
    <t>="10484"</t>
  </si>
  <si>
    <t>=NL(,"UPR30300","CHEKDATE","CHEKNMBR",$M757,"EMPLOYID",$G757)</t>
  </si>
  <si>
    <t>=+C757</t>
  </si>
  <si>
    <t>=+D757</t>
  </si>
  <si>
    <t>=E757</t>
  </si>
  <si>
    <t>=G757</t>
  </si>
  <si>
    <t>=+K757</t>
  </si>
  <si>
    <t>=L757</t>
  </si>
  <si>
    <t>=NF($O758,"PAYRATE")</t>
  </si>
  <si>
    <t>=NF($O758,"PAYROLCD")</t>
  </si>
  <si>
    <t>=NF($O758,"STATECD")</t>
  </si>
  <si>
    <t>=NF($O758,"CHEKDATE")</t>
  </si>
  <si>
    <t>=NF($O758,"UPRTRXAM")</t>
  </si>
  <si>
    <t>=+C758</t>
  </si>
  <si>
    <t>=+D758</t>
  </si>
  <si>
    <t>=E758</t>
  </si>
  <si>
    <t>=G758</t>
  </si>
  <si>
    <t>=+K758</t>
  </si>
  <si>
    <t>=L758</t>
  </si>
  <si>
    <t>=+C759</t>
  </si>
  <si>
    <t>=+D759</t>
  </si>
  <si>
    <t>=E759</t>
  </si>
  <si>
    <t>=G759</t>
  </si>
  <si>
    <t>=+K759</t>
  </si>
  <si>
    <t>=L759</t>
  </si>
  <si>
    <t>=+C760</t>
  </si>
  <si>
    <t>=+D760</t>
  </si>
  <si>
    <t>=E760</t>
  </si>
  <si>
    <t>=G760</t>
  </si>
  <si>
    <t>=+K760</t>
  </si>
  <si>
    <t>=L760</t>
  </si>
  <si>
    <t>=+C761</t>
  </si>
  <si>
    <t>=+D761</t>
  </si>
  <si>
    <t>=E761</t>
  </si>
  <si>
    <t>=G761</t>
  </si>
  <si>
    <t>=+K761</t>
  </si>
  <si>
    <t>=L761</t>
  </si>
  <si>
    <t>=+C762</t>
  </si>
  <si>
    <t>=+D762</t>
  </si>
  <si>
    <t>=E762</t>
  </si>
  <si>
    <t>=G762</t>
  </si>
  <si>
    <t>=+K762</t>
  </si>
  <si>
    <t>=L762</t>
  </si>
  <si>
    <t>=+C764</t>
  </si>
  <si>
    <t>=+D764</t>
  </si>
  <si>
    <t>=E764</t>
  </si>
  <si>
    <t>=G764</t>
  </si>
  <si>
    <t>=+K764</t>
  </si>
  <si>
    <t>=L764</t>
  </si>
  <si>
    <t>="Total for " &amp; $L765</t>
  </si>
  <si>
    <t>=+K765</t>
  </si>
  <si>
    <t>=SUBTOTAL(9,T758:T764)</t>
  </si>
  <si>
    <t>=+C765</t>
  </si>
  <si>
    <t>=+D765</t>
  </si>
  <si>
    <t>=E765</t>
  </si>
  <si>
    <t>=G765</t>
  </si>
  <si>
    <t>=+N766</t>
  </si>
  <si>
    <t>=M766</t>
  </si>
  <si>
    <t>="11565"</t>
  </si>
  <si>
    <t>=NL(,"UPR30300","CHEKDATE","CHEKNMBR",$M766,"EMPLOYID",$G766)</t>
  </si>
  <si>
    <t>=+C766</t>
  </si>
  <si>
    <t>=+D766</t>
  </si>
  <si>
    <t>=E766</t>
  </si>
  <si>
    <t>=G766</t>
  </si>
  <si>
    <t>=+K766</t>
  </si>
  <si>
    <t>=L766</t>
  </si>
  <si>
    <t>=NF($O767,"PAYRATE")</t>
  </si>
  <si>
    <t>=NF($O767,"PAYROLCD")</t>
  </si>
  <si>
    <t>=NF($O767,"STATECD")</t>
  </si>
  <si>
    <t>=NF($O767,"CHEKDATE")</t>
  </si>
  <si>
    <t>=NF($O767,"UPRTRXAM")</t>
  </si>
  <si>
    <t>=+C767</t>
  </si>
  <si>
    <t>=+D767</t>
  </si>
  <si>
    <t>=E767</t>
  </si>
  <si>
    <t>=G767</t>
  </si>
  <si>
    <t>=+K767</t>
  </si>
  <si>
    <t>=L767</t>
  </si>
  <si>
    <t>=+C769</t>
  </si>
  <si>
    <t>=+D769</t>
  </si>
  <si>
    <t>=E769</t>
  </si>
  <si>
    <t>=G769</t>
  </si>
  <si>
    <t>=+K769</t>
  </si>
  <si>
    <t>=L769</t>
  </si>
  <si>
    <t>="Total for " &amp; $L770</t>
  </si>
  <si>
    <t>=+K770</t>
  </si>
  <si>
    <t>=SUBTOTAL(9,T767:T769)</t>
  </si>
  <si>
    <t>=+C770</t>
  </si>
  <si>
    <t>=+D770</t>
  </si>
  <si>
    <t>=E770</t>
  </si>
  <si>
    <t>=G770</t>
  </si>
  <si>
    <t>=+N771</t>
  </si>
  <si>
    <t>=M771</t>
  </si>
  <si>
    <t>="11570"</t>
  </si>
  <si>
    <t>=NL(,"UPR30300","CHEKDATE","CHEKNMBR",$M771,"EMPLOYID",$G771)</t>
  </si>
  <si>
    <t>=+C771</t>
  </si>
  <si>
    <t>=+D771</t>
  </si>
  <si>
    <t>=E771</t>
  </si>
  <si>
    <t>=G771</t>
  </si>
  <si>
    <t>=+K771</t>
  </si>
  <si>
    <t>=L771</t>
  </si>
  <si>
    <t>=NF($O772,"PAYRATE")</t>
  </si>
  <si>
    <t>=NF($O772,"PAYROLCD")</t>
  </si>
  <si>
    <t>=NF($O772,"STATECD")</t>
  </si>
  <si>
    <t>=NF($O772,"CHEKDATE")</t>
  </si>
  <si>
    <t>=NF($O772,"UPRTRXAM")</t>
  </si>
  <si>
    <t>=+C772</t>
  </si>
  <si>
    <t>=+D772</t>
  </si>
  <si>
    <t>=E772</t>
  </si>
  <si>
    <t>=G772</t>
  </si>
  <si>
    <t>=+K772</t>
  </si>
  <si>
    <t>=L772</t>
  </si>
  <si>
    <t>=+C774</t>
  </si>
  <si>
    <t>=+D774</t>
  </si>
  <si>
    <t>=E774</t>
  </si>
  <si>
    <t>=G774</t>
  </si>
  <si>
    <t>=+K774</t>
  </si>
  <si>
    <t>=L774</t>
  </si>
  <si>
    <t>="Total for " &amp; $L775</t>
  </si>
  <si>
    <t>=+K775</t>
  </si>
  <si>
    <t>=SUBTOTAL(9,T772:T774)</t>
  </si>
  <si>
    <t>=+C776</t>
  </si>
  <si>
    <t>=+D776</t>
  </si>
  <si>
    <t>=E776</t>
  </si>
  <si>
    <t>=G776</t>
  </si>
  <si>
    <t>="Total for " &amp; $G777</t>
  </si>
  <si>
    <t>=+C777</t>
  </si>
  <si>
    <t>=+D777</t>
  </si>
  <si>
    <t>=SUBTOTAL(9,T712:T776)</t>
  </si>
  <si>
    <t>=+I778</t>
  </si>
  <si>
    <t>=+J778</t>
  </si>
  <si>
    <t>=E777</t>
  </si>
  <si>
    <t>=H778</t>
  </si>
  <si>
    <t>="HARU0001"</t>
  </si>
  <si>
    <t>=NL(,"UPR00100","FRSTNAME","EMPLOYID",$H778)</t>
  </si>
  <si>
    <t>=NL(,"UPR00100","LASTNAME","EMPLOYID",$H778)</t>
  </si>
  <si>
    <t>=+C778</t>
  </si>
  <si>
    <t>=+D778</t>
  </si>
  <si>
    <t>=E778</t>
  </si>
  <si>
    <t>=G778</t>
  </si>
  <si>
    <t>=+N779</t>
  </si>
  <si>
    <t>=M779</t>
  </si>
  <si>
    <t>=NL(,"UPR30300","CHEKDATE","CHEKNMBR",$M779,"EMPLOYID",$G779)</t>
  </si>
  <si>
    <t>=+C779</t>
  </si>
  <si>
    <t>=+D779</t>
  </si>
  <si>
    <t>=E779</t>
  </si>
  <si>
    <t>=G779</t>
  </si>
  <si>
    <t>=+K779</t>
  </si>
  <si>
    <t>=L779</t>
  </si>
  <si>
    <t>=NF($O780,"PAYRATE")</t>
  </si>
  <si>
    <t>=NF($O780,"PAYROLCD")</t>
  </si>
  <si>
    <t>=NF($O780,"STATECD")</t>
  </si>
  <si>
    <t>=NF($O780,"CHEKDATE")</t>
  </si>
  <si>
    <t>=NF($O780,"UPRTRXAM")</t>
  </si>
  <si>
    <t>=+C780</t>
  </si>
  <si>
    <t>=+D780</t>
  </si>
  <si>
    <t>=E780</t>
  </si>
  <si>
    <t>=G780</t>
  </si>
  <si>
    <t>=+K780</t>
  </si>
  <si>
    <t>=L780</t>
  </si>
  <si>
    <t>=+C781</t>
  </si>
  <si>
    <t>=+D781</t>
  </si>
  <si>
    <t>=E781</t>
  </si>
  <si>
    <t>=G781</t>
  </si>
  <si>
    <t>=+K781</t>
  </si>
  <si>
    <t>=L781</t>
  </si>
  <si>
    <t>=+C782</t>
  </si>
  <si>
    <t>=+D782</t>
  </si>
  <si>
    <t>=E782</t>
  </si>
  <si>
    <t>=G782</t>
  </si>
  <si>
    <t>=+K782</t>
  </si>
  <si>
    <t>=L782</t>
  </si>
  <si>
    <t>=+C783</t>
  </si>
  <si>
    <t>=+D783</t>
  </si>
  <si>
    <t>=E783</t>
  </si>
  <si>
    <t>=G783</t>
  </si>
  <si>
    <t>=+K783</t>
  </si>
  <si>
    <t>=L783</t>
  </si>
  <si>
    <t>=+C784</t>
  </si>
  <si>
    <t>=+D784</t>
  </si>
  <si>
    <t>=E784</t>
  </si>
  <si>
    <t>=G784</t>
  </si>
  <si>
    <t>=+K784</t>
  </si>
  <si>
    <t>=L784</t>
  </si>
  <si>
    <t>=+C786</t>
  </si>
  <si>
    <t>=+D786</t>
  </si>
  <si>
    <t>=E786</t>
  </si>
  <si>
    <t>=G786</t>
  </si>
  <si>
    <t>=+K786</t>
  </si>
  <si>
    <t>=L786</t>
  </si>
  <si>
    <t>="Total for " &amp; $L787</t>
  </si>
  <si>
    <t>=+K787</t>
  </si>
  <si>
    <t>=SUBTOTAL(9,T780:T786)</t>
  </si>
  <si>
    <t>=+C787</t>
  </si>
  <si>
    <t>=+D787</t>
  </si>
  <si>
    <t>=E787</t>
  </si>
  <si>
    <t>=G787</t>
  </si>
  <si>
    <t>=+N788</t>
  </si>
  <si>
    <t>=M788</t>
  </si>
  <si>
    <t>="10388"</t>
  </si>
  <si>
    <t>=NL(,"UPR30300","CHEKDATE","CHEKNMBR",$M788,"EMPLOYID",$G788)</t>
  </si>
  <si>
    <t>=+C788</t>
  </si>
  <si>
    <t>=+D788</t>
  </si>
  <si>
    <t>=E788</t>
  </si>
  <si>
    <t>=G788</t>
  </si>
  <si>
    <t>=+K788</t>
  </si>
  <si>
    <t>=L788</t>
  </si>
  <si>
    <t>=NF($O789,"PAYRATE")</t>
  </si>
  <si>
    <t>=NF($O789,"PAYROLCD")</t>
  </si>
  <si>
    <t>=NF($O789,"STATECD")</t>
  </si>
  <si>
    <t>=NF($O789,"CHEKDATE")</t>
  </si>
  <si>
    <t>=NF($O789,"UPRTRXAM")</t>
  </si>
  <si>
    <t>=+C789</t>
  </si>
  <si>
    <t>=+D789</t>
  </si>
  <si>
    <t>=E789</t>
  </si>
  <si>
    <t>=G789</t>
  </si>
  <si>
    <t>=+K789</t>
  </si>
  <si>
    <t>=L789</t>
  </si>
  <si>
    <t>=+C790</t>
  </si>
  <si>
    <t>=+D790</t>
  </si>
  <si>
    <t>=E790</t>
  </si>
  <si>
    <t>=G790</t>
  </si>
  <si>
    <t>=+K790</t>
  </si>
  <si>
    <t>=L790</t>
  </si>
  <si>
    <t>=+C791</t>
  </si>
  <si>
    <t>=+D791</t>
  </si>
  <si>
    <t>=E791</t>
  </si>
  <si>
    <t>=G791</t>
  </si>
  <si>
    <t>=+K791</t>
  </si>
  <si>
    <t>=L791</t>
  </si>
  <si>
    <t>=+C792</t>
  </si>
  <si>
    <t>=+D792</t>
  </si>
  <si>
    <t>=E792</t>
  </si>
  <si>
    <t>=G792</t>
  </si>
  <si>
    <t>=+K792</t>
  </si>
  <si>
    <t>=L792</t>
  </si>
  <si>
    <t>=+C793</t>
  </si>
  <si>
    <t>=+D793</t>
  </si>
  <si>
    <t>=E793</t>
  </si>
  <si>
    <t>=G793</t>
  </si>
  <si>
    <t>=+K793</t>
  </si>
  <si>
    <t>=L793</t>
  </si>
  <si>
    <t>=+C795</t>
  </si>
  <si>
    <t>=+D795</t>
  </si>
  <si>
    <t>=E795</t>
  </si>
  <si>
    <t>=G795</t>
  </si>
  <si>
    <t>=+K795</t>
  </si>
  <si>
    <t>=L795</t>
  </si>
  <si>
    <t>="Total for " &amp; $L796</t>
  </si>
  <si>
    <t>=+K796</t>
  </si>
  <si>
    <t>=SUBTOTAL(9,T789:T795)</t>
  </si>
  <si>
    <t>=+C796</t>
  </si>
  <si>
    <t>=+D796</t>
  </si>
  <si>
    <t>=E796</t>
  </si>
  <si>
    <t>=G796</t>
  </si>
  <si>
    <t>=+N797</t>
  </si>
  <si>
    <t>=M797</t>
  </si>
  <si>
    <t>="10413"</t>
  </si>
  <si>
    <t>=NL(,"UPR30300","CHEKDATE","CHEKNMBR",$M797,"EMPLOYID",$G797)</t>
  </si>
  <si>
    <t>=+C797</t>
  </si>
  <si>
    <t>=+D797</t>
  </si>
  <si>
    <t>=E797</t>
  </si>
  <si>
    <t>=G797</t>
  </si>
  <si>
    <t>=+K797</t>
  </si>
  <si>
    <t>=L797</t>
  </si>
  <si>
    <t>=NF($O798,"PAYRATE")</t>
  </si>
  <si>
    <t>=NF($O798,"PAYROLCD")</t>
  </si>
  <si>
    <t>=NF($O798,"STATECD")</t>
  </si>
  <si>
    <t>=NF($O798,"CHEKDATE")</t>
  </si>
  <si>
    <t>=NF($O798,"UPRTRXAM")</t>
  </si>
  <si>
    <t>=+C798</t>
  </si>
  <si>
    <t>=+D798</t>
  </si>
  <si>
    <t>=E798</t>
  </si>
  <si>
    <t>=G798</t>
  </si>
  <si>
    <t>=+K798</t>
  </si>
  <si>
    <t>=L798</t>
  </si>
  <si>
    <t>=+C799</t>
  </si>
  <si>
    <t>=+D799</t>
  </si>
  <si>
    <t>=E799</t>
  </si>
  <si>
    <t>=G799</t>
  </si>
  <si>
    <t>=+K799</t>
  </si>
  <si>
    <t>=L799</t>
  </si>
  <si>
    <t>=+C800</t>
  </si>
  <si>
    <t>=+D800</t>
  </si>
  <si>
    <t>=E800</t>
  </si>
  <si>
    <t>=G800</t>
  </si>
  <si>
    <t>=+K800</t>
  </si>
  <si>
    <t>=L800</t>
  </si>
  <si>
    <t>=+C801</t>
  </si>
  <si>
    <t>=+D801</t>
  </si>
  <si>
    <t>=E801</t>
  </si>
  <si>
    <t>=G801</t>
  </si>
  <si>
    <t>=+K801</t>
  </si>
  <si>
    <t>=L801</t>
  </si>
  <si>
    <t>=+C802</t>
  </si>
  <si>
    <t>=+D802</t>
  </si>
  <si>
    <t>=E802</t>
  </si>
  <si>
    <t>=G802</t>
  </si>
  <si>
    <t>=+K802</t>
  </si>
  <si>
    <t>=L802</t>
  </si>
  <si>
    <t>=+C804</t>
  </si>
  <si>
    <t>=+D804</t>
  </si>
  <si>
    <t>=E804</t>
  </si>
  <si>
    <t>=G804</t>
  </si>
  <si>
    <t>=+K804</t>
  </si>
  <si>
    <t>=L804</t>
  </si>
  <si>
    <t>="Total for " &amp; $L805</t>
  </si>
  <si>
    <t>=+K805</t>
  </si>
  <si>
    <t>=SUBTOTAL(9,T798:T804)</t>
  </si>
  <si>
    <t>=+C805</t>
  </si>
  <si>
    <t>=+D805</t>
  </si>
  <si>
    <t>=E805</t>
  </si>
  <si>
    <t>=G805</t>
  </si>
  <si>
    <t>=+N806</t>
  </si>
  <si>
    <t>=M806</t>
  </si>
  <si>
    <t>="10438"</t>
  </si>
  <si>
    <t>=NL(,"UPR30300","CHEKDATE","CHEKNMBR",$M806,"EMPLOYID",$G806)</t>
  </si>
  <si>
    <t>=+C806</t>
  </si>
  <si>
    <t>=+D806</t>
  </si>
  <si>
    <t>=E806</t>
  </si>
  <si>
    <t>=G806</t>
  </si>
  <si>
    <t>=+K806</t>
  </si>
  <si>
    <t>=L806</t>
  </si>
  <si>
    <t>=NF($O807,"PAYRATE")</t>
  </si>
  <si>
    <t>=NF($O807,"PAYROLCD")</t>
  </si>
  <si>
    <t>=NF($O807,"STATECD")</t>
  </si>
  <si>
    <t>=NF($O807,"CHEKDATE")</t>
  </si>
  <si>
    <t>=NF($O807,"UPRTRXAM")</t>
  </si>
  <si>
    <t>=+C807</t>
  </si>
  <si>
    <t>=+D807</t>
  </si>
  <si>
    <t>=E807</t>
  </si>
  <si>
    <t>=G807</t>
  </si>
  <si>
    <t>=+K807</t>
  </si>
  <si>
    <t>=L807</t>
  </si>
  <si>
    <t>=+C808</t>
  </si>
  <si>
    <t>=+D808</t>
  </si>
  <si>
    <t>=E808</t>
  </si>
  <si>
    <t>=G808</t>
  </si>
  <si>
    <t>=+K808</t>
  </si>
  <si>
    <t>=L808</t>
  </si>
  <si>
    <t>=+C809</t>
  </si>
  <si>
    <t>=+D809</t>
  </si>
  <si>
    <t>=E809</t>
  </si>
  <si>
    <t>=G809</t>
  </si>
  <si>
    <t>=+K809</t>
  </si>
  <si>
    <t>=L809</t>
  </si>
  <si>
    <t>=+C810</t>
  </si>
  <si>
    <t>=+D810</t>
  </si>
  <si>
    <t>=E810</t>
  </si>
  <si>
    <t>=G810</t>
  </si>
  <si>
    <t>=+K810</t>
  </si>
  <si>
    <t>=L810</t>
  </si>
  <si>
    <t>=+C811</t>
  </si>
  <si>
    <t>=+D811</t>
  </si>
  <si>
    <t>=E811</t>
  </si>
  <si>
    <t>=G811</t>
  </si>
  <si>
    <t>=+K811</t>
  </si>
  <si>
    <t>=L811</t>
  </si>
  <si>
    <t>=+C813</t>
  </si>
  <si>
    <t>=+D813</t>
  </si>
  <si>
    <t>=E813</t>
  </si>
  <si>
    <t>=G813</t>
  </si>
  <si>
    <t>=+K813</t>
  </si>
  <si>
    <t>=L813</t>
  </si>
  <si>
    <t>="Total for " &amp; $L814</t>
  </si>
  <si>
    <t>=+K814</t>
  </si>
  <si>
    <t>=SUBTOTAL(9,T807:T813)</t>
  </si>
  <si>
    <t>=+C814</t>
  </si>
  <si>
    <t>=+D814</t>
  </si>
  <si>
    <t>=E814</t>
  </si>
  <si>
    <t>=G814</t>
  </si>
  <si>
    <t>=+N815</t>
  </si>
  <si>
    <t>=M815</t>
  </si>
  <si>
    <t>="10463"</t>
  </si>
  <si>
    <t>=NL(,"UPR30300","CHEKDATE","CHEKNMBR",$M815,"EMPLOYID",$G815)</t>
  </si>
  <si>
    <t>=+C815</t>
  </si>
  <si>
    <t>=+D815</t>
  </si>
  <si>
    <t>=E815</t>
  </si>
  <si>
    <t>=G815</t>
  </si>
  <si>
    <t>=+K815</t>
  </si>
  <si>
    <t>=L815</t>
  </si>
  <si>
    <t>=NF($O816,"PAYRATE")</t>
  </si>
  <si>
    <t>=NF($O816,"PAYROLCD")</t>
  </si>
  <si>
    <t>=NF($O816,"STATECD")</t>
  </si>
  <si>
    <t>=NF($O816,"CHEKDATE")</t>
  </si>
  <si>
    <t>=NF($O816,"UPRTRXAM")</t>
  </si>
  <si>
    <t>=+C816</t>
  </si>
  <si>
    <t>=+D816</t>
  </si>
  <si>
    <t>=E816</t>
  </si>
  <si>
    <t>=G816</t>
  </si>
  <si>
    <t>=+K816</t>
  </si>
  <si>
    <t>=L816</t>
  </si>
  <si>
    <t>=+C817</t>
  </si>
  <si>
    <t>=+D817</t>
  </si>
  <si>
    <t>=E817</t>
  </si>
  <si>
    <t>=G817</t>
  </si>
  <si>
    <t>=+K817</t>
  </si>
  <si>
    <t>=L817</t>
  </si>
  <si>
    <t>=+C818</t>
  </si>
  <si>
    <t>=+D818</t>
  </si>
  <si>
    <t>=E818</t>
  </si>
  <si>
    <t>=G818</t>
  </si>
  <si>
    <t>=+K818</t>
  </si>
  <si>
    <t>=L818</t>
  </si>
  <si>
    <t>=+C819</t>
  </si>
  <si>
    <t>=+D819</t>
  </si>
  <si>
    <t>=E819</t>
  </si>
  <si>
    <t>=G819</t>
  </si>
  <si>
    <t>=+K819</t>
  </si>
  <si>
    <t>=L819</t>
  </si>
  <si>
    <t>=+C820</t>
  </si>
  <si>
    <t>=+D820</t>
  </si>
  <si>
    <t>=E820</t>
  </si>
  <si>
    <t>=G820</t>
  </si>
  <si>
    <t>=+K820</t>
  </si>
  <si>
    <t>=L820</t>
  </si>
  <si>
    <t>=+C821</t>
  </si>
  <si>
    <t>=+D821</t>
  </si>
  <si>
    <t>=E821</t>
  </si>
  <si>
    <t>=G821</t>
  </si>
  <si>
    <t>=+K821</t>
  </si>
  <si>
    <t>=L821</t>
  </si>
  <si>
    <t>=+C823</t>
  </si>
  <si>
    <t>=+D823</t>
  </si>
  <si>
    <t>=E823</t>
  </si>
  <si>
    <t>=G823</t>
  </si>
  <si>
    <t>=+K823</t>
  </si>
  <si>
    <t>=L823</t>
  </si>
  <si>
    <t>="Total for " &amp; $L824</t>
  </si>
  <si>
    <t>=+K824</t>
  </si>
  <si>
    <t>=SUBTOTAL(9,T816:T823)</t>
  </si>
  <si>
    <t>=+C824</t>
  </si>
  <si>
    <t>=+D824</t>
  </si>
  <si>
    <t>=E824</t>
  </si>
  <si>
    <t>=G824</t>
  </si>
  <si>
    <t>=+N825</t>
  </si>
  <si>
    <t>=M825</t>
  </si>
  <si>
    <t>="10488"</t>
  </si>
  <si>
    <t>=NL(,"UPR30300","CHEKDATE","CHEKNMBR",$M825,"EMPLOYID",$G825)</t>
  </si>
  <si>
    <t>=+C825</t>
  </si>
  <si>
    <t>=+D825</t>
  </si>
  <si>
    <t>=E825</t>
  </si>
  <si>
    <t>=G825</t>
  </si>
  <si>
    <t>=+K825</t>
  </si>
  <si>
    <t>=L825</t>
  </si>
  <si>
    <t>=NF($O826,"PAYRATE")</t>
  </si>
  <si>
    <t>=NF($O826,"PAYROLCD")</t>
  </si>
  <si>
    <t>=NF($O826,"STATECD")</t>
  </si>
  <si>
    <t>=NF($O826,"CHEKDATE")</t>
  </si>
  <si>
    <t>=NF($O826,"UPRTRXAM")</t>
  </si>
  <si>
    <t>=+C826</t>
  </si>
  <si>
    <t>=+D826</t>
  </si>
  <si>
    <t>=E826</t>
  </si>
  <si>
    <t>=G826</t>
  </si>
  <si>
    <t>=+K826</t>
  </si>
  <si>
    <t>=L826</t>
  </si>
  <si>
    <t>=+C827</t>
  </si>
  <si>
    <t>=+D827</t>
  </si>
  <si>
    <t>=E827</t>
  </si>
  <si>
    <t>=G827</t>
  </si>
  <si>
    <t>=+K827</t>
  </si>
  <si>
    <t>=L827</t>
  </si>
  <si>
    <t>=+C828</t>
  </si>
  <si>
    <t>=+D828</t>
  </si>
  <si>
    <t>=E828</t>
  </si>
  <si>
    <t>=G828</t>
  </si>
  <si>
    <t>=+K828</t>
  </si>
  <si>
    <t>=L828</t>
  </si>
  <si>
    <t>=+C829</t>
  </si>
  <si>
    <t>=+D829</t>
  </si>
  <si>
    <t>=E829</t>
  </si>
  <si>
    <t>=G829</t>
  </si>
  <si>
    <t>=+K829</t>
  </si>
  <si>
    <t>=L829</t>
  </si>
  <si>
    <t>=+C830</t>
  </si>
  <si>
    <t>=+D830</t>
  </si>
  <si>
    <t>=E830</t>
  </si>
  <si>
    <t>=G830</t>
  </si>
  <si>
    <t>=+K830</t>
  </si>
  <si>
    <t>=L830</t>
  </si>
  <si>
    <t>=+C832</t>
  </si>
  <si>
    <t>=+D832</t>
  </si>
  <si>
    <t>=E832</t>
  </si>
  <si>
    <t>=G832</t>
  </si>
  <si>
    <t>=+K832</t>
  </si>
  <si>
    <t>=L832</t>
  </si>
  <si>
    <t>="Total for " &amp; $L833</t>
  </si>
  <si>
    <t>=+K833</t>
  </si>
  <si>
    <t>=SUBTOTAL(9,T826:T832)</t>
  </si>
  <si>
    <t>=+C833</t>
  </si>
  <si>
    <t>=+D833</t>
  </si>
  <si>
    <t>=E833</t>
  </si>
  <si>
    <t>=G833</t>
  </si>
  <si>
    <t>=+N834</t>
  </si>
  <si>
    <t>=M834</t>
  </si>
  <si>
    <t>="11566"</t>
  </si>
  <si>
    <t>=NL(,"UPR30300","CHEKDATE","CHEKNMBR",$M834,"EMPLOYID",$G834)</t>
  </si>
  <si>
    <t>=+C834</t>
  </si>
  <si>
    <t>=+D834</t>
  </si>
  <si>
    <t>=E834</t>
  </si>
  <si>
    <t>=G834</t>
  </si>
  <si>
    <t>=+K834</t>
  </si>
  <si>
    <t>=L834</t>
  </si>
  <si>
    <t>=NF($O835,"PAYRATE")</t>
  </si>
  <si>
    <t>=NF($O835,"PAYROLCD")</t>
  </si>
  <si>
    <t>=NF($O835,"STATECD")</t>
  </si>
  <si>
    <t>=NF($O835,"CHEKDATE")</t>
  </si>
  <si>
    <t>=NF($O835,"UPRTRXAM")</t>
  </si>
  <si>
    <t>=+C835</t>
  </si>
  <si>
    <t>=+D835</t>
  </si>
  <si>
    <t>=E835</t>
  </si>
  <si>
    <t>=G835</t>
  </si>
  <si>
    <t>=+K835</t>
  </si>
  <si>
    <t>=L835</t>
  </si>
  <si>
    <t>=+C837</t>
  </si>
  <si>
    <t>=+D837</t>
  </si>
  <si>
    <t>=E837</t>
  </si>
  <si>
    <t>=G837</t>
  </si>
  <si>
    <t>=+K837</t>
  </si>
  <si>
    <t>=L837</t>
  </si>
  <si>
    <t>="Total for " &amp; $L838</t>
  </si>
  <si>
    <t>=+K838</t>
  </si>
  <si>
    <t>=SUBTOTAL(9,T835:T837)</t>
  </si>
  <si>
    <t>=+C838</t>
  </si>
  <si>
    <t>=+D838</t>
  </si>
  <si>
    <t>=E838</t>
  </si>
  <si>
    <t>=G838</t>
  </si>
  <si>
    <t>=+N839</t>
  </si>
  <si>
    <t>=M839</t>
  </si>
  <si>
    <t>="11571"</t>
  </si>
  <si>
    <t>=NL(,"UPR30300","CHEKDATE","CHEKNMBR",$M839,"EMPLOYID",$G839)</t>
  </si>
  <si>
    <t>=+C839</t>
  </si>
  <si>
    <t>=+D839</t>
  </si>
  <si>
    <t>=E839</t>
  </si>
  <si>
    <t>=G839</t>
  </si>
  <si>
    <t>=+K839</t>
  </si>
  <si>
    <t>=L839</t>
  </si>
  <si>
    <t>=NF($O840,"PAYRATE")</t>
  </si>
  <si>
    <t>=NF($O840,"PAYROLCD")</t>
  </si>
  <si>
    <t>=NF($O840,"STATECD")</t>
  </si>
  <si>
    <t>=NF($O840,"CHEKDATE")</t>
  </si>
  <si>
    <t>=NF($O840,"UPRTRXAM")</t>
  </si>
  <si>
    <t>=+C840</t>
  </si>
  <si>
    <t>=+D840</t>
  </si>
  <si>
    <t>=E840</t>
  </si>
  <si>
    <t>=G840</t>
  </si>
  <si>
    <t>=+K840</t>
  </si>
  <si>
    <t>=L840</t>
  </si>
  <si>
    <t>=+C842</t>
  </si>
  <si>
    <t>=+D842</t>
  </si>
  <si>
    <t>=E842</t>
  </si>
  <si>
    <t>=G842</t>
  </si>
  <si>
    <t>=+K842</t>
  </si>
  <si>
    <t>=L842</t>
  </si>
  <si>
    <t>="Total for " &amp; $L843</t>
  </si>
  <si>
    <t>=+K843</t>
  </si>
  <si>
    <t>=SUBTOTAL(9,T840:T842)</t>
  </si>
  <si>
    <t>=+C844</t>
  </si>
  <si>
    <t>=+D844</t>
  </si>
  <si>
    <t>=E844</t>
  </si>
  <si>
    <t>=G844</t>
  </si>
  <si>
    <t>="Total for " &amp; $G845</t>
  </si>
  <si>
    <t>=+C845</t>
  </si>
  <si>
    <t>=+D845</t>
  </si>
  <si>
    <t>=SUBTOTAL(9,T780:T844)</t>
  </si>
  <si>
    <t>=+I846</t>
  </si>
  <si>
    <t>=+J846</t>
  </si>
  <si>
    <t>=E845</t>
  </si>
  <si>
    <t>=H846</t>
  </si>
  <si>
    <t>="TIAN0001"</t>
  </si>
  <si>
    <t>=NL(,"UPR00100","FRSTNAME","EMPLOYID",$H846)</t>
  </si>
  <si>
    <t>=NL(,"UPR00100","LASTNAME","EMPLOYID",$H846)</t>
  </si>
  <si>
    <t>=+C846</t>
  </si>
  <si>
    <t>=+D846</t>
  </si>
  <si>
    <t>=E846</t>
  </si>
  <si>
    <t>=G846</t>
  </si>
  <si>
    <t>=+N847</t>
  </si>
  <si>
    <t>=M847</t>
  </si>
  <si>
    <t>=NL(,"UPR30300","CHEKDATE","CHEKNMBR",$M847,"EMPLOYID",$G847)</t>
  </si>
  <si>
    <t>=+C847</t>
  </si>
  <si>
    <t>=+D847</t>
  </si>
  <si>
    <t>=E847</t>
  </si>
  <si>
    <t>=G847</t>
  </si>
  <si>
    <t>=+K847</t>
  </si>
  <si>
    <t>=L847</t>
  </si>
  <si>
    <t>=NF($O848,"PAYRATE")</t>
  </si>
  <si>
    <t>=NF($O848,"PAYROLCD")</t>
  </si>
  <si>
    <t>=NF($O848,"STATECD")</t>
  </si>
  <si>
    <t>=NF($O848,"CHEKDATE")</t>
  </si>
  <si>
    <t>=NF($O848,"UPRTRXAM")</t>
  </si>
  <si>
    <t>=+C848</t>
  </si>
  <si>
    <t>=+D848</t>
  </si>
  <si>
    <t>=E848</t>
  </si>
  <si>
    <t>=G848</t>
  </si>
  <si>
    <t>=+K848</t>
  </si>
  <si>
    <t>=L848</t>
  </si>
  <si>
    <t>=+C849</t>
  </si>
  <si>
    <t>=+D849</t>
  </si>
  <si>
    <t>=E849</t>
  </si>
  <si>
    <t>=G849</t>
  </si>
  <si>
    <t>=+K849</t>
  </si>
  <si>
    <t>=L849</t>
  </si>
  <si>
    <t>=+C850</t>
  </si>
  <si>
    <t>=+D850</t>
  </si>
  <si>
    <t>=E850</t>
  </si>
  <si>
    <t>=G850</t>
  </si>
  <si>
    <t>=+K850</t>
  </si>
  <si>
    <t>=L850</t>
  </si>
  <si>
    <t>=+C851</t>
  </si>
  <si>
    <t>=+D851</t>
  </si>
  <si>
    <t>=E851</t>
  </si>
  <si>
    <t>=G851</t>
  </si>
  <si>
    <t>=+K851</t>
  </si>
  <si>
    <t>=L851</t>
  </si>
  <si>
    <t>=+C852</t>
  </si>
  <si>
    <t>=+D852</t>
  </si>
  <si>
    <t>=E852</t>
  </si>
  <si>
    <t>=G852</t>
  </si>
  <si>
    <t>=+K852</t>
  </si>
  <si>
    <t>=L852</t>
  </si>
  <si>
    <t>=+C854</t>
  </si>
  <si>
    <t>=+D854</t>
  </si>
  <si>
    <t>=E854</t>
  </si>
  <si>
    <t>=G854</t>
  </si>
  <si>
    <t>=+K854</t>
  </si>
  <si>
    <t>=L854</t>
  </si>
  <si>
    <t>="Total for " &amp; $L855</t>
  </si>
  <si>
    <t>=+K855</t>
  </si>
  <si>
    <t>=SUBTOTAL(9,T848:T854)</t>
  </si>
  <si>
    <t>=+C855</t>
  </si>
  <si>
    <t>=+D855</t>
  </si>
  <si>
    <t>=E855</t>
  </si>
  <si>
    <t>=G855</t>
  </si>
  <si>
    <t>=+N856</t>
  </si>
  <si>
    <t>=M856</t>
  </si>
  <si>
    <t>="10400"</t>
  </si>
  <si>
    <t>=NL(,"UPR30300","CHEKDATE","CHEKNMBR",$M856,"EMPLOYID",$G856)</t>
  </si>
  <si>
    <t>=+C856</t>
  </si>
  <si>
    <t>=+D856</t>
  </si>
  <si>
    <t>=E856</t>
  </si>
  <si>
    <t>=G856</t>
  </si>
  <si>
    <t>=+K856</t>
  </si>
  <si>
    <t>=L856</t>
  </si>
  <si>
    <t>=NF($O857,"PAYRATE")</t>
  </si>
  <si>
    <t>=NF($O857,"PAYROLCD")</t>
  </si>
  <si>
    <t>=NF($O857,"STATECD")</t>
  </si>
  <si>
    <t>=NF($O857,"CHEKDATE")</t>
  </si>
  <si>
    <t>=NF($O857,"UPRTRXAM")</t>
  </si>
  <si>
    <t>=+C857</t>
  </si>
  <si>
    <t>=+D857</t>
  </si>
  <si>
    <t>=E857</t>
  </si>
  <si>
    <t>=G857</t>
  </si>
  <si>
    <t>=+K857</t>
  </si>
  <si>
    <t>=L857</t>
  </si>
  <si>
    <t>=+C858</t>
  </si>
  <si>
    <t>=+D858</t>
  </si>
  <si>
    <t>=E858</t>
  </si>
  <si>
    <t>=G858</t>
  </si>
  <si>
    <t>=+K858</t>
  </si>
  <si>
    <t>=L858</t>
  </si>
  <si>
    <t>=+C859</t>
  </si>
  <si>
    <t>=+D859</t>
  </si>
  <si>
    <t>=E859</t>
  </si>
  <si>
    <t>=G859</t>
  </si>
  <si>
    <t>=+K859</t>
  </si>
  <si>
    <t>=L859</t>
  </si>
  <si>
    <t>=+C860</t>
  </si>
  <si>
    <t>=+D860</t>
  </si>
  <si>
    <t>=E860</t>
  </si>
  <si>
    <t>=G860</t>
  </si>
  <si>
    <t>=+K860</t>
  </si>
  <si>
    <t>=L860</t>
  </si>
  <si>
    <t>=+C861</t>
  </si>
  <si>
    <t>=+D861</t>
  </si>
  <si>
    <t>=E861</t>
  </si>
  <si>
    <t>=G861</t>
  </si>
  <si>
    <t>=+K861</t>
  </si>
  <si>
    <t>=L861</t>
  </si>
  <si>
    <t>=+C863</t>
  </si>
  <si>
    <t>=+D863</t>
  </si>
  <si>
    <t>=E863</t>
  </si>
  <si>
    <t>=G863</t>
  </si>
  <si>
    <t>=+K863</t>
  </si>
  <si>
    <t>=L863</t>
  </si>
  <si>
    <t>="Total for " &amp; $L864</t>
  </si>
  <si>
    <t>=+K864</t>
  </si>
  <si>
    <t>=SUBTOTAL(9,T857:T863)</t>
  </si>
  <si>
    <t>=+C864</t>
  </si>
  <si>
    <t>=+D864</t>
  </si>
  <si>
    <t>=E864</t>
  </si>
  <si>
    <t>=G864</t>
  </si>
  <si>
    <t>=+N865</t>
  </si>
  <si>
    <t>=M865</t>
  </si>
  <si>
    <t>="10425"</t>
  </si>
  <si>
    <t>=NL(,"UPR30300","CHEKDATE","CHEKNMBR",$M865,"EMPLOYID",$G865)</t>
  </si>
  <si>
    <t>=+C865</t>
  </si>
  <si>
    <t>=+D865</t>
  </si>
  <si>
    <t>=E865</t>
  </si>
  <si>
    <t>=G865</t>
  </si>
  <si>
    <t>=+K865</t>
  </si>
  <si>
    <t>=L865</t>
  </si>
  <si>
    <t>=NF($O866,"PAYRATE")</t>
  </si>
  <si>
    <t>=NF($O866,"PAYROLCD")</t>
  </si>
  <si>
    <t>=NF($O866,"STATECD")</t>
  </si>
  <si>
    <t>=NF($O866,"CHEKDATE")</t>
  </si>
  <si>
    <t>=NF($O866,"UPRTRXAM")</t>
  </si>
  <si>
    <t>=+C866</t>
  </si>
  <si>
    <t>=+D866</t>
  </si>
  <si>
    <t>=E866</t>
  </si>
  <si>
    <t>=G866</t>
  </si>
  <si>
    <t>=+K866</t>
  </si>
  <si>
    <t>=L866</t>
  </si>
  <si>
    <t>=+C867</t>
  </si>
  <si>
    <t>=+D867</t>
  </si>
  <si>
    <t>=E867</t>
  </si>
  <si>
    <t>=G867</t>
  </si>
  <si>
    <t>=+K867</t>
  </si>
  <si>
    <t>=L867</t>
  </si>
  <si>
    <t>=+C868</t>
  </si>
  <si>
    <t>=+D868</t>
  </si>
  <si>
    <t>=E868</t>
  </si>
  <si>
    <t>=G868</t>
  </si>
  <si>
    <t>=+K868</t>
  </si>
  <si>
    <t>=L868</t>
  </si>
  <si>
    <t>=+C869</t>
  </si>
  <si>
    <t>=+D869</t>
  </si>
  <si>
    <t>=E869</t>
  </si>
  <si>
    <t>=G869</t>
  </si>
  <si>
    <t>=+K869</t>
  </si>
  <si>
    <t>=L869</t>
  </si>
  <si>
    <t>=+C870</t>
  </si>
  <si>
    <t>=+D870</t>
  </si>
  <si>
    <t>=E870</t>
  </si>
  <si>
    <t>=G870</t>
  </si>
  <si>
    <t>=+K870</t>
  </si>
  <si>
    <t>=L870</t>
  </si>
  <si>
    <t>=+C872</t>
  </si>
  <si>
    <t>=+D872</t>
  </si>
  <si>
    <t>=E872</t>
  </si>
  <si>
    <t>=G872</t>
  </si>
  <si>
    <t>=+K872</t>
  </si>
  <si>
    <t>=L872</t>
  </si>
  <si>
    <t>="Total for " &amp; $L873</t>
  </si>
  <si>
    <t>=+K873</t>
  </si>
  <si>
    <t>=SUBTOTAL(9,T866:T872)</t>
  </si>
  <si>
    <t>=+C873</t>
  </si>
  <si>
    <t>=+D873</t>
  </si>
  <si>
    <t>=E873</t>
  </si>
  <si>
    <t>=G873</t>
  </si>
  <si>
    <t>=+N874</t>
  </si>
  <si>
    <t>=M874</t>
  </si>
  <si>
    <t>="10450"</t>
  </si>
  <si>
    <t>=NL(,"UPR30300","CHEKDATE","CHEKNMBR",$M874,"EMPLOYID",$G874)</t>
  </si>
  <si>
    <t>=+C874</t>
  </si>
  <si>
    <t>=+D874</t>
  </si>
  <si>
    <t>=E874</t>
  </si>
  <si>
    <t>=G874</t>
  </si>
  <si>
    <t>=+K874</t>
  </si>
  <si>
    <t>=L874</t>
  </si>
  <si>
    <t>=NF($O875,"PAYRATE")</t>
  </si>
  <si>
    <t>=NF($O875,"PAYROLCD")</t>
  </si>
  <si>
    <t>=NF($O875,"STATECD")</t>
  </si>
  <si>
    <t>=NF($O875,"CHEKDATE")</t>
  </si>
  <si>
    <t>=NF($O875,"UPRTRXAM")</t>
  </si>
  <si>
    <t>=+C875</t>
  </si>
  <si>
    <t>=+D875</t>
  </si>
  <si>
    <t>=E875</t>
  </si>
  <si>
    <t>=G875</t>
  </si>
  <si>
    <t>=+K875</t>
  </si>
  <si>
    <t>=L875</t>
  </si>
  <si>
    <t>=+C876</t>
  </si>
  <si>
    <t>=+D876</t>
  </si>
  <si>
    <t>=E876</t>
  </si>
  <si>
    <t>=G876</t>
  </si>
  <si>
    <t>=+K876</t>
  </si>
  <si>
    <t>=L876</t>
  </si>
  <si>
    <t>=+C877</t>
  </si>
  <si>
    <t>=+D877</t>
  </si>
  <si>
    <t>=E877</t>
  </si>
  <si>
    <t>=G877</t>
  </si>
  <si>
    <t>=+K877</t>
  </si>
  <si>
    <t>=L877</t>
  </si>
  <si>
    <t>=+C878</t>
  </si>
  <si>
    <t>=+D878</t>
  </si>
  <si>
    <t>=E878</t>
  </si>
  <si>
    <t>=G878</t>
  </si>
  <si>
    <t>=+K878</t>
  </si>
  <si>
    <t>=L878</t>
  </si>
  <si>
    <t>=+C879</t>
  </si>
  <si>
    <t>=+D879</t>
  </si>
  <si>
    <t>=E879</t>
  </si>
  <si>
    <t>=G879</t>
  </si>
  <si>
    <t>=+K879</t>
  </si>
  <si>
    <t>=L879</t>
  </si>
  <si>
    <t>=+C881</t>
  </si>
  <si>
    <t>=+D881</t>
  </si>
  <si>
    <t>=E881</t>
  </si>
  <si>
    <t>=G881</t>
  </si>
  <si>
    <t>=+K881</t>
  </si>
  <si>
    <t>=L881</t>
  </si>
  <si>
    <t>="Total for " &amp; $L882</t>
  </si>
  <si>
    <t>=+K882</t>
  </si>
  <si>
    <t>=SUBTOTAL(9,T875:T881)</t>
  </si>
  <si>
    <t>=+C882</t>
  </si>
  <si>
    <t>=+D882</t>
  </si>
  <si>
    <t>=E882</t>
  </si>
  <si>
    <t>=G882</t>
  </si>
  <si>
    <t>=+N883</t>
  </si>
  <si>
    <t>=M883</t>
  </si>
  <si>
    <t>="10475"</t>
  </si>
  <si>
    <t>=NL(,"UPR30300","CHEKDATE","CHEKNMBR",$M883,"EMPLOYID",$G883)</t>
  </si>
  <si>
    <t>=+C883</t>
  </si>
  <si>
    <t>=+D883</t>
  </si>
  <si>
    <t>=E883</t>
  </si>
  <si>
    <t>=G883</t>
  </si>
  <si>
    <t>=+K883</t>
  </si>
  <si>
    <t>=L883</t>
  </si>
  <si>
    <t>=NF($O884,"PAYRATE")</t>
  </si>
  <si>
    <t>=NF($O884,"PAYROLCD")</t>
  </si>
  <si>
    <t>=NF($O884,"STATECD")</t>
  </si>
  <si>
    <t>=NF($O884,"CHEKDATE")</t>
  </si>
  <si>
    <t>=NF($O884,"UPRTRXAM")</t>
  </si>
  <si>
    <t>=+C884</t>
  </si>
  <si>
    <t>=+D884</t>
  </si>
  <si>
    <t>=E884</t>
  </si>
  <si>
    <t>=G884</t>
  </si>
  <si>
    <t>=+K884</t>
  </si>
  <si>
    <t>=L884</t>
  </si>
  <si>
    <t>=+C885</t>
  </si>
  <si>
    <t>=+D885</t>
  </si>
  <si>
    <t>=E885</t>
  </si>
  <si>
    <t>=G885</t>
  </si>
  <si>
    <t>=+K885</t>
  </si>
  <si>
    <t>=L885</t>
  </si>
  <si>
    <t>=+C886</t>
  </si>
  <si>
    <t>=+D886</t>
  </si>
  <si>
    <t>=E886</t>
  </si>
  <si>
    <t>=G886</t>
  </si>
  <si>
    <t>=+K886</t>
  </si>
  <si>
    <t>=L886</t>
  </si>
  <si>
    <t>=+C887</t>
  </si>
  <si>
    <t>=+D887</t>
  </si>
  <si>
    <t>=E887</t>
  </si>
  <si>
    <t>=G887</t>
  </si>
  <si>
    <t>=+K887</t>
  </si>
  <si>
    <t>=L887</t>
  </si>
  <si>
    <t>=+C888</t>
  </si>
  <si>
    <t>=+D888</t>
  </si>
  <si>
    <t>=E888</t>
  </si>
  <si>
    <t>=G888</t>
  </si>
  <si>
    <t>=+K888</t>
  </si>
  <si>
    <t>=L888</t>
  </si>
  <si>
    <t>=+C890</t>
  </si>
  <si>
    <t>=+D890</t>
  </si>
  <si>
    <t>=E890</t>
  </si>
  <si>
    <t>=G890</t>
  </si>
  <si>
    <t>=+K890</t>
  </si>
  <si>
    <t>=L890</t>
  </si>
  <si>
    <t>="Total for " &amp; $L891</t>
  </si>
  <si>
    <t>=+K891</t>
  </si>
  <si>
    <t>=SUBTOTAL(9,T884:T890)</t>
  </si>
  <si>
    <t>=+C891</t>
  </si>
  <si>
    <t>=+D891</t>
  </si>
  <si>
    <t>=E891</t>
  </si>
  <si>
    <t>=G891</t>
  </si>
  <si>
    <t>=+N892</t>
  </si>
  <si>
    <t>=M892</t>
  </si>
  <si>
    <t>="10500"</t>
  </si>
  <si>
    <t>=NL(,"UPR30300","CHEKDATE","CHEKNMBR",$M892,"EMPLOYID",$G892)</t>
  </si>
  <si>
    <t>=+C892</t>
  </si>
  <si>
    <t>=+D892</t>
  </si>
  <si>
    <t>=E892</t>
  </si>
  <si>
    <t>=G892</t>
  </si>
  <si>
    <t>=+K892</t>
  </si>
  <si>
    <t>=L892</t>
  </si>
  <si>
    <t>=NF($O893,"PAYRATE")</t>
  </si>
  <si>
    <t>=NF($O893,"PAYROLCD")</t>
  </si>
  <si>
    <t>=NF($O893,"STATECD")</t>
  </si>
  <si>
    <t>=NF($O893,"CHEKDATE")</t>
  </si>
  <si>
    <t>=NF($O893,"UPRTRXAM")</t>
  </si>
  <si>
    <t>=+C893</t>
  </si>
  <si>
    <t>=+D893</t>
  </si>
  <si>
    <t>=E893</t>
  </si>
  <si>
    <t>=G893</t>
  </si>
  <si>
    <t>=+K893</t>
  </si>
  <si>
    <t>=L893</t>
  </si>
  <si>
    <t>=+C894</t>
  </si>
  <si>
    <t>=+D894</t>
  </si>
  <si>
    <t>=E894</t>
  </si>
  <si>
    <t>=G894</t>
  </si>
  <si>
    <t>=+K894</t>
  </si>
  <si>
    <t>=L894</t>
  </si>
  <si>
    <t>=+C895</t>
  </si>
  <si>
    <t>=+D895</t>
  </si>
  <si>
    <t>=E895</t>
  </si>
  <si>
    <t>=G895</t>
  </si>
  <si>
    <t>=+K895</t>
  </si>
  <si>
    <t>=L895</t>
  </si>
  <si>
    <t>=+C896</t>
  </si>
  <si>
    <t>=+D896</t>
  </si>
  <si>
    <t>=E896</t>
  </si>
  <si>
    <t>=G896</t>
  </si>
  <si>
    <t>=+K896</t>
  </si>
  <si>
    <t>=L896</t>
  </si>
  <si>
    <t>=+C897</t>
  </si>
  <si>
    <t>=+D897</t>
  </si>
  <si>
    <t>=E897</t>
  </si>
  <si>
    <t>=G897</t>
  </si>
  <si>
    <t>=+K897</t>
  </si>
  <si>
    <t>=L897</t>
  </si>
  <si>
    <t>=+C899</t>
  </si>
  <si>
    <t>=+D899</t>
  </si>
  <si>
    <t>=E899</t>
  </si>
  <si>
    <t>=G899</t>
  </si>
  <si>
    <t>=+K899</t>
  </si>
  <si>
    <t>=L899</t>
  </si>
  <si>
    <t>="Total for " &amp; $L900</t>
  </si>
  <si>
    <t>=+K900</t>
  </si>
  <si>
    <t>=SUBTOTAL(9,T893:T899)</t>
  </si>
  <si>
    <t>=+C900</t>
  </si>
  <si>
    <t>=+D900</t>
  </si>
  <si>
    <t>=E900</t>
  </si>
  <si>
    <t>=G900</t>
  </si>
  <si>
    <t>=+N901</t>
  </si>
  <si>
    <t>=M901</t>
  </si>
  <si>
    <t>="11568"</t>
  </si>
  <si>
    <t>=NL(,"UPR30300","CHEKDATE","CHEKNMBR",$M901,"EMPLOYID",$G901)</t>
  </si>
  <si>
    <t>=+C901</t>
  </si>
  <si>
    <t>=+D901</t>
  </si>
  <si>
    <t>=E901</t>
  </si>
  <si>
    <t>=G901</t>
  </si>
  <si>
    <t>=+K901</t>
  </si>
  <si>
    <t>=L901</t>
  </si>
  <si>
    <t>=NF($O902,"PAYRATE")</t>
  </si>
  <si>
    <t>=NF($O902,"PAYROLCD")</t>
  </si>
  <si>
    <t>=NF($O902,"STATECD")</t>
  </si>
  <si>
    <t>=NF($O902,"CHEKDATE")</t>
  </si>
  <si>
    <t>=NF($O902,"UPRTRXAM")</t>
  </si>
  <si>
    <t>=+C902</t>
  </si>
  <si>
    <t>=+D902</t>
  </si>
  <si>
    <t>=E902</t>
  </si>
  <si>
    <t>=G902</t>
  </si>
  <si>
    <t>=+K902</t>
  </si>
  <si>
    <t>=L902</t>
  </si>
  <si>
    <t>=+C904</t>
  </si>
  <si>
    <t>=+D904</t>
  </si>
  <si>
    <t>=E904</t>
  </si>
  <si>
    <t>=G904</t>
  </si>
  <si>
    <t>=+K904</t>
  </si>
  <si>
    <t>=L904</t>
  </si>
  <si>
    <t>="Total for " &amp; $L905</t>
  </si>
  <si>
    <t>=+K905</t>
  </si>
  <si>
    <t>=SUBTOTAL(9,T902:T904)</t>
  </si>
  <si>
    <t>=+C905</t>
  </si>
  <si>
    <t>=+D905</t>
  </si>
  <si>
    <t>=E905</t>
  </si>
  <si>
    <t>=G905</t>
  </si>
  <si>
    <t>=+N906</t>
  </si>
  <si>
    <t>=M906</t>
  </si>
  <si>
    <t>="11573"</t>
  </si>
  <si>
    <t>=NL(,"UPR30300","CHEKDATE","CHEKNMBR",$M906,"EMPLOYID",$G906)</t>
  </si>
  <si>
    <t>=+C906</t>
  </si>
  <si>
    <t>=+D906</t>
  </si>
  <si>
    <t>=E906</t>
  </si>
  <si>
    <t>=G906</t>
  </si>
  <si>
    <t>=+K906</t>
  </si>
  <si>
    <t>=L906</t>
  </si>
  <si>
    <t>=NF($O907,"PAYRATE")</t>
  </si>
  <si>
    <t>=NF($O907,"PAYROLCD")</t>
  </si>
  <si>
    <t>=NF($O907,"STATECD")</t>
  </si>
  <si>
    <t>=NF($O907,"CHEKDATE")</t>
  </si>
  <si>
    <t>=NF($O907,"UPRTRXAM")</t>
  </si>
  <si>
    <t>=+C907</t>
  </si>
  <si>
    <t>=+D907</t>
  </si>
  <si>
    <t>=E907</t>
  </si>
  <si>
    <t>=G907</t>
  </si>
  <si>
    <t>=+K907</t>
  </si>
  <si>
    <t>=L907</t>
  </si>
  <si>
    <t>=+C909</t>
  </si>
  <si>
    <t>=+D909</t>
  </si>
  <si>
    <t>=E909</t>
  </si>
  <si>
    <t>=G909</t>
  </si>
  <si>
    <t>=+K909</t>
  </si>
  <si>
    <t>=L909</t>
  </si>
  <si>
    <t>="Total for " &amp; $L910</t>
  </si>
  <si>
    <t>=+K910</t>
  </si>
  <si>
    <t>=SUBTOTAL(9,T907:T909)</t>
  </si>
  <si>
    <t>=+C911</t>
  </si>
  <si>
    <t>=+D911</t>
  </si>
  <si>
    <t>=E911</t>
  </si>
  <si>
    <t>=G911</t>
  </si>
  <si>
    <t>="Total for " &amp; $G912</t>
  </si>
  <si>
    <t>=+C912</t>
  </si>
  <si>
    <t>=+D912</t>
  </si>
  <si>
    <t>=SUBTOTAL(9,T848:T911)</t>
  </si>
  <si>
    <t>=E913</t>
  </si>
  <si>
    <t>="Total for " &amp; F510</t>
  </si>
  <si>
    <t>=SUBTOTAL(9,T513:T913)</t>
  </si>
  <si>
    <t>=D915</t>
  </si>
  <si>
    <t>=NL(,"UPR41200","DSCRIPTN","EMPLCLAS",D915)</t>
  </si>
  <si>
    <t>=+I916</t>
  </si>
  <si>
    <t>=+J916</t>
  </si>
  <si>
    <t>=E915</t>
  </si>
  <si>
    <t>=H916</t>
  </si>
  <si>
    <t>=NL(,"UPR00100","FRSTNAME","EMPLOYID",$H916)</t>
  </si>
  <si>
    <t>=NL(,"UPR00100","LASTNAME","EMPLOYID",$H916)</t>
  </si>
  <si>
    <t>=+C916</t>
  </si>
  <si>
    <t>=+D916</t>
  </si>
  <si>
    <t>=E916</t>
  </si>
  <si>
    <t>=G916</t>
  </si>
  <si>
    <t>=+N917</t>
  </si>
  <si>
    <t>=M917</t>
  </si>
  <si>
    <t>=NL(,"UPR30300","CHEKDATE","CHEKNMBR",$M917,"EMPLOYID",$G917)</t>
  </si>
  <si>
    <t>=+C917</t>
  </si>
  <si>
    <t>=+D917</t>
  </si>
  <si>
    <t>=E917</t>
  </si>
  <si>
    <t>=G917</t>
  </si>
  <si>
    <t>=+K917</t>
  </si>
  <si>
    <t>=L917</t>
  </si>
  <si>
    <t>=NF($O918,"PAYRATE")</t>
  </si>
  <si>
    <t>=NF($O918,"PAYROLCD")</t>
  </si>
  <si>
    <t>=NF($O918,"STATECD")</t>
  </si>
  <si>
    <t>=NF($O918,"CHEKDATE")</t>
  </si>
  <si>
    <t>=NF($O918,"UPRTRXAM")</t>
  </si>
  <si>
    <t>=+C918</t>
  </si>
  <si>
    <t>=+D918</t>
  </si>
  <si>
    <t>=E918</t>
  </si>
  <si>
    <t>=G918</t>
  </si>
  <si>
    <t>=+K918</t>
  </si>
  <si>
    <t>=L918</t>
  </si>
  <si>
    <t>=+C919</t>
  </si>
  <si>
    <t>=+D919</t>
  </si>
  <si>
    <t>=E919</t>
  </si>
  <si>
    <t>=G919</t>
  </si>
  <si>
    <t>=+K919</t>
  </si>
  <si>
    <t>=L919</t>
  </si>
  <si>
    <t>=+C920</t>
  </si>
  <si>
    <t>=+D920</t>
  </si>
  <si>
    <t>=E920</t>
  </si>
  <si>
    <t>=G920</t>
  </si>
  <si>
    <t>=+K920</t>
  </si>
  <si>
    <t>=L920</t>
  </si>
  <si>
    <t>=+C921</t>
  </si>
  <si>
    <t>=+D921</t>
  </si>
  <si>
    <t>=E921</t>
  </si>
  <si>
    <t>=G921</t>
  </si>
  <si>
    <t>=+K921</t>
  </si>
  <si>
    <t>=L921</t>
  </si>
  <si>
    <t>=+C922</t>
  </si>
  <si>
    <t>=+D922</t>
  </si>
  <si>
    <t>=E922</t>
  </si>
  <si>
    <t>=G922</t>
  </si>
  <si>
    <t>=+K922</t>
  </si>
  <si>
    <t>=L922</t>
  </si>
  <si>
    <t>=+C924</t>
  </si>
  <si>
    <t>=+D924</t>
  </si>
  <si>
    <t>=E924</t>
  </si>
  <si>
    <t>=G924</t>
  </si>
  <si>
    <t>=+K924</t>
  </si>
  <si>
    <t>=L924</t>
  </si>
  <si>
    <t>="Total for " &amp; $L925</t>
  </si>
  <si>
    <t>=+K925</t>
  </si>
  <si>
    <t>=SUBTOTAL(9,T918:T924)</t>
  </si>
  <si>
    <t>=+C925</t>
  </si>
  <si>
    <t>=+D925</t>
  </si>
  <si>
    <t>=E925</t>
  </si>
  <si>
    <t>=G925</t>
  </si>
  <si>
    <t>=+N926</t>
  </si>
  <si>
    <t>=M926</t>
  </si>
  <si>
    <t>=NL(,"UPR30300","CHEKDATE","CHEKNMBR",$M926,"EMPLOYID",$G926)</t>
  </si>
  <si>
    <t>=+C926</t>
  </si>
  <si>
    <t>=+D926</t>
  </si>
  <si>
    <t>=E926</t>
  </si>
  <si>
    <t>=G926</t>
  </si>
  <si>
    <t>=+K926</t>
  </si>
  <si>
    <t>=L926</t>
  </si>
  <si>
    <t>=NF($O927,"PAYRATE")</t>
  </si>
  <si>
    <t>=NF($O927,"PAYROLCD")</t>
  </si>
  <si>
    <t>=NF($O927,"STATECD")</t>
  </si>
  <si>
    <t>=NF($O927,"CHEKDATE")</t>
  </si>
  <si>
    <t>=NF($O927,"UPRTRXAM")</t>
  </si>
  <si>
    <t>=+C927</t>
  </si>
  <si>
    <t>=+D927</t>
  </si>
  <si>
    <t>=E927</t>
  </si>
  <si>
    <t>=G927</t>
  </si>
  <si>
    <t>=+K927</t>
  </si>
  <si>
    <t>=L927</t>
  </si>
  <si>
    <t>=+C928</t>
  </si>
  <si>
    <t>=+D928</t>
  </si>
  <si>
    <t>=E928</t>
  </si>
  <si>
    <t>=G928</t>
  </si>
  <si>
    <t>=+K928</t>
  </si>
  <si>
    <t>=L928</t>
  </si>
  <si>
    <t>=+C929</t>
  </si>
  <si>
    <t>=+D929</t>
  </si>
  <si>
    <t>=E929</t>
  </si>
  <si>
    <t>=G929</t>
  </si>
  <si>
    <t>=+K929</t>
  </si>
  <si>
    <t>=L929</t>
  </si>
  <si>
    <t>=+C930</t>
  </si>
  <si>
    <t>=+D930</t>
  </si>
  <si>
    <t>=E930</t>
  </si>
  <si>
    <t>=G930</t>
  </si>
  <si>
    <t>=+K930</t>
  </si>
  <si>
    <t>=L930</t>
  </si>
  <si>
    <t>=+C931</t>
  </si>
  <si>
    <t>=+D931</t>
  </si>
  <si>
    <t>=E931</t>
  </si>
  <si>
    <t>=G931</t>
  </si>
  <si>
    <t>=+K931</t>
  </si>
  <si>
    <t>=L931</t>
  </si>
  <si>
    <t>=+C933</t>
  </si>
  <si>
    <t>=+D933</t>
  </si>
  <si>
    <t>=E933</t>
  </si>
  <si>
    <t>=G933</t>
  </si>
  <si>
    <t>=+K933</t>
  </si>
  <si>
    <t>=L933</t>
  </si>
  <si>
    <t>="Total for " &amp; $L934</t>
  </si>
  <si>
    <t>=+K934</t>
  </si>
  <si>
    <t>=SUBTOTAL(9,T927:T933)</t>
  </si>
  <si>
    <t>=+C934</t>
  </si>
  <si>
    <t>=+D934</t>
  </si>
  <si>
    <t>=E934</t>
  </si>
  <si>
    <t>=G934</t>
  </si>
  <si>
    <t>=+N935</t>
  </si>
  <si>
    <t>=M935</t>
  </si>
  <si>
    <t>=NL(,"UPR30300","CHEKDATE","CHEKNMBR",$M935,"EMPLOYID",$G935)</t>
  </si>
  <si>
    <t>=+C935</t>
  </si>
  <si>
    <t>=+D935</t>
  </si>
  <si>
    <t>=E935</t>
  </si>
  <si>
    <t>=G935</t>
  </si>
  <si>
    <t>=+K935</t>
  </si>
  <si>
    <t>=L935</t>
  </si>
  <si>
    <t>=NF($O936,"PAYRATE")</t>
  </si>
  <si>
    <t>=NF($O936,"PAYROLCD")</t>
  </si>
  <si>
    <t>=NF($O936,"STATECD")</t>
  </si>
  <si>
    <t>=NF($O936,"CHEKDATE")</t>
  </si>
  <si>
    <t>=NF($O936,"UPRTRXAM")</t>
  </si>
  <si>
    <t>=+C936</t>
  </si>
  <si>
    <t>=+D936</t>
  </si>
  <si>
    <t>=E936</t>
  </si>
  <si>
    <t>=G936</t>
  </si>
  <si>
    <t>=+K936</t>
  </si>
  <si>
    <t>=L936</t>
  </si>
  <si>
    <t>=+C937</t>
  </si>
  <si>
    <t>=+D937</t>
  </si>
  <si>
    <t>=E937</t>
  </si>
  <si>
    <t>=G937</t>
  </si>
  <si>
    <t>=+K937</t>
  </si>
  <si>
    <t>=L937</t>
  </si>
  <si>
    <t>=+C938</t>
  </si>
  <si>
    <t>=+D938</t>
  </si>
  <si>
    <t>=E938</t>
  </si>
  <si>
    <t>=G938</t>
  </si>
  <si>
    <t>=+K938</t>
  </si>
  <si>
    <t>=L938</t>
  </si>
  <si>
    <t>=+C939</t>
  </si>
  <si>
    <t>=+D939</t>
  </si>
  <si>
    <t>=E939</t>
  </si>
  <si>
    <t>=G939</t>
  </si>
  <si>
    <t>=+K939</t>
  </si>
  <si>
    <t>=L939</t>
  </si>
  <si>
    <t>=+C940</t>
  </si>
  <si>
    <t>=+D940</t>
  </si>
  <si>
    <t>=E940</t>
  </si>
  <si>
    <t>=G940</t>
  </si>
  <si>
    <t>=+K940</t>
  </si>
  <si>
    <t>=L940</t>
  </si>
  <si>
    <t>=+C942</t>
  </si>
  <si>
    <t>=+D942</t>
  </si>
  <si>
    <t>=E942</t>
  </si>
  <si>
    <t>=G942</t>
  </si>
  <si>
    <t>=+K942</t>
  </si>
  <si>
    <t>=L942</t>
  </si>
  <si>
    <t>="Total for " &amp; $L943</t>
  </si>
  <si>
    <t>=+K943</t>
  </si>
  <si>
    <t>=SUBTOTAL(9,T936:T942)</t>
  </si>
  <si>
    <t>=+C943</t>
  </si>
  <si>
    <t>=+D943</t>
  </si>
  <si>
    <t>=E943</t>
  </si>
  <si>
    <t>=G943</t>
  </si>
  <si>
    <t>=+N944</t>
  </si>
  <si>
    <t>=M944</t>
  </si>
  <si>
    <t>=NL(,"UPR30300","CHEKDATE","CHEKNMBR",$M944,"EMPLOYID",$G944)</t>
  </si>
  <si>
    <t>=+C944</t>
  </si>
  <si>
    <t>=+D944</t>
  </si>
  <si>
    <t>=E944</t>
  </si>
  <si>
    <t>=G944</t>
  </si>
  <si>
    <t>=+K944</t>
  </si>
  <si>
    <t>=L944</t>
  </si>
  <si>
    <t>=NF($O945,"PAYRATE")</t>
  </si>
  <si>
    <t>=NF($O945,"PAYROLCD")</t>
  </si>
  <si>
    <t>=NF($O945,"STATECD")</t>
  </si>
  <si>
    <t>=NF($O945,"CHEKDATE")</t>
  </si>
  <si>
    <t>=NF($O945,"UPRTRXAM")</t>
  </si>
  <si>
    <t>=+C945</t>
  </si>
  <si>
    <t>=+D945</t>
  </si>
  <si>
    <t>=E945</t>
  </si>
  <si>
    <t>=G945</t>
  </si>
  <si>
    <t>=+K945</t>
  </si>
  <si>
    <t>=L945</t>
  </si>
  <si>
    <t>=+C946</t>
  </si>
  <si>
    <t>=+D946</t>
  </si>
  <si>
    <t>=E946</t>
  </si>
  <si>
    <t>=G946</t>
  </si>
  <si>
    <t>=+K946</t>
  </si>
  <si>
    <t>=L946</t>
  </si>
  <si>
    <t>=+C947</t>
  </si>
  <si>
    <t>=+D947</t>
  </si>
  <si>
    <t>=E947</t>
  </si>
  <si>
    <t>=G947</t>
  </si>
  <si>
    <t>=+K947</t>
  </si>
  <si>
    <t>=L947</t>
  </si>
  <si>
    <t>=+C948</t>
  </si>
  <si>
    <t>=+D948</t>
  </si>
  <si>
    <t>=E948</t>
  </si>
  <si>
    <t>=G948</t>
  </si>
  <si>
    <t>=+K948</t>
  </si>
  <si>
    <t>=L948</t>
  </si>
  <si>
    <t>=+C949</t>
  </si>
  <si>
    <t>=+D949</t>
  </si>
  <si>
    <t>=E949</t>
  </si>
  <si>
    <t>=G949</t>
  </si>
  <si>
    <t>=+K949</t>
  </si>
  <si>
    <t>=L949</t>
  </si>
  <si>
    <t>=+C950</t>
  </si>
  <si>
    <t>=+D950</t>
  </si>
  <si>
    <t>=E950</t>
  </si>
  <si>
    <t>=G950</t>
  </si>
  <si>
    <t>=+K950</t>
  </si>
  <si>
    <t>=L950</t>
  </si>
  <si>
    <t>=+C952</t>
  </si>
  <si>
    <t>=+D952</t>
  </si>
  <si>
    <t>=E952</t>
  </si>
  <si>
    <t>=G952</t>
  </si>
  <si>
    <t>=+K952</t>
  </si>
  <si>
    <t>=L952</t>
  </si>
  <si>
    <t>="Total for " &amp; $L953</t>
  </si>
  <si>
    <t>=+K953</t>
  </si>
  <si>
    <t>=SUBTOTAL(9,T945:T952)</t>
  </si>
  <si>
    <t>=+C953</t>
  </si>
  <si>
    <t>=+D953</t>
  </si>
  <si>
    <t>=E953</t>
  </si>
  <si>
    <t>=G953</t>
  </si>
  <si>
    <t>=+N954</t>
  </si>
  <si>
    <t>=M954</t>
  </si>
  <si>
    <t>=NL(,"UPR30300","CHEKDATE","CHEKNMBR",$M954,"EMPLOYID",$G954)</t>
  </si>
  <si>
    <t>=+C954</t>
  </si>
  <si>
    <t>=+D954</t>
  </si>
  <si>
    <t>=E954</t>
  </si>
  <si>
    <t>=G954</t>
  </si>
  <si>
    <t>=+K954</t>
  </si>
  <si>
    <t>=L954</t>
  </si>
  <si>
    <t>=NF($O955,"PAYRATE")</t>
  </si>
  <si>
    <t>=NF($O955,"PAYROLCD")</t>
  </si>
  <si>
    <t>=NF($O955,"STATECD")</t>
  </si>
  <si>
    <t>=NF($O955,"CHEKDATE")</t>
  </si>
  <si>
    <t>=NF($O955,"UPRTRXAM")</t>
  </si>
  <si>
    <t>=+C955</t>
  </si>
  <si>
    <t>=+D955</t>
  </si>
  <si>
    <t>=E955</t>
  </si>
  <si>
    <t>=G955</t>
  </si>
  <si>
    <t>=+K955</t>
  </si>
  <si>
    <t>=L955</t>
  </si>
  <si>
    <t>=+C956</t>
  </si>
  <si>
    <t>=+D956</t>
  </si>
  <si>
    <t>=E956</t>
  </si>
  <si>
    <t>=G956</t>
  </si>
  <si>
    <t>=+K956</t>
  </si>
  <si>
    <t>=L956</t>
  </si>
  <si>
    <t>=+C957</t>
  </si>
  <si>
    <t>=+D957</t>
  </si>
  <si>
    <t>=E957</t>
  </si>
  <si>
    <t>=G957</t>
  </si>
  <si>
    <t>=+K957</t>
  </si>
  <si>
    <t>=L957</t>
  </si>
  <si>
    <t>=+C958</t>
  </si>
  <si>
    <t>=+D958</t>
  </si>
  <si>
    <t>=E958</t>
  </si>
  <si>
    <t>=G958</t>
  </si>
  <si>
    <t>=+K958</t>
  </si>
  <si>
    <t>=L958</t>
  </si>
  <si>
    <t>=+C959</t>
  </si>
  <si>
    <t>=+D959</t>
  </si>
  <si>
    <t>=E959</t>
  </si>
  <si>
    <t>=G959</t>
  </si>
  <si>
    <t>=+K959</t>
  </si>
  <si>
    <t>=L959</t>
  </si>
  <si>
    <t>=+C960</t>
  </si>
  <si>
    <t>=+D960</t>
  </si>
  <si>
    <t>=E960</t>
  </si>
  <si>
    <t>=G960</t>
  </si>
  <si>
    <t>=+K960</t>
  </si>
  <si>
    <t>=L960</t>
  </si>
  <si>
    <t>=+C962</t>
  </si>
  <si>
    <t>=+D962</t>
  </si>
  <si>
    <t>=E962</t>
  </si>
  <si>
    <t>=G962</t>
  </si>
  <si>
    <t>=+K962</t>
  </si>
  <si>
    <t>=L962</t>
  </si>
  <si>
    <t>="Total for " &amp; $L963</t>
  </si>
  <si>
    <t>=+K963</t>
  </si>
  <si>
    <t>=SUBTOTAL(9,T955:T962)</t>
  </si>
  <si>
    <t>=+C963</t>
  </si>
  <si>
    <t>=+D963</t>
  </si>
  <si>
    <t>=E963</t>
  </si>
  <si>
    <t>=G963</t>
  </si>
  <si>
    <t>=+N964</t>
  </si>
  <si>
    <t>=M964</t>
  </si>
  <si>
    <t>=NL(,"UPR30300","CHEKDATE","CHEKNMBR",$M964,"EMPLOYID",$G964)</t>
  </si>
  <si>
    <t>=+C964</t>
  </si>
  <si>
    <t>=+D964</t>
  </si>
  <si>
    <t>=E964</t>
  </si>
  <si>
    <t>=G964</t>
  </si>
  <si>
    <t>=+K964</t>
  </si>
  <si>
    <t>=L964</t>
  </si>
  <si>
    <t>=NF($O965,"PAYRATE")</t>
  </si>
  <si>
    <t>=NF($O965,"PAYROLCD")</t>
  </si>
  <si>
    <t>=NF($O965,"STATECD")</t>
  </si>
  <si>
    <t>=NF($O965,"CHEKDATE")</t>
  </si>
  <si>
    <t>=NF($O965,"UPRTRXAM")</t>
  </si>
  <si>
    <t>=+C965</t>
  </si>
  <si>
    <t>=+D965</t>
  </si>
  <si>
    <t>=E965</t>
  </si>
  <si>
    <t>=G965</t>
  </si>
  <si>
    <t>=+K965</t>
  </si>
  <si>
    <t>=L965</t>
  </si>
  <si>
    <t>=+C966</t>
  </si>
  <si>
    <t>=+D966</t>
  </si>
  <si>
    <t>=E966</t>
  </si>
  <si>
    <t>=G966</t>
  </si>
  <si>
    <t>=+K966</t>
  </si>
  <si>
    <t>=L966</t>
  </si>
  <si>
    <t>=+C967</t>
  </si>
  <si>
    <t>=+D967</t>
  </si>
  <si>
    <t>=E967</t>
  </si>
  <si>
    <t>=G967</t>
  </si>
  <si>
    <t>=+K967</t>
  </si>
  <si>
    <t>=L967</t>
  </si>
  <si>
    <t>=+C968</t>
  </si>
  <si>
    <t>=+D968</t>
  </si>
  <si>
    <t>=E968</t>
  </si>
  <si>
    <t>=G968</t>
  </si>
  <si>
    <t>=+K968</t>
  </si>
  <si>
    <t>=L968</t>
  </si>
  <si>
    <t>=+C969</t>
  </si>
  <si>
    <t>=+D969</t>
  </si>
  <si>
    <t>=E969</t>
  </si>
  <si>
    <t>=G969</t>
  </si>
  <si>
    <t>=+K969</t>
  </si>
  <si>
    <t>=L969</t>
  </si>
  <si>
    <t>=+C971</t>
  </si>
  <si>
    <t>=+D971</t>
  </si>
  <si>
    <t>=E971</t>
  </si>
  <si>
    <t>=G971</t>
  </si>
  <si>
    <t>=+K971</t>
  </si>
  <si>
    <t>=L971</t>
  </si>
  <si>
    <t>="Total for " &amp; $L972</t>
  </si>
  <si>
    <t>=+K972</t>
  </si>
  <si>
    <t>=SUBTOTAL(9,T965:T971)</t>
  </si>
  <si>
    <t>=+C973</t>
  </si>
  <si>
    <t>=+D973</t>
  </si>
  <si>
    <t>=E973</t>
  </si>
  <si>
    <t>=G973</t>
  </si>
  <si>
    <t>="Total for " &amp; $G974</t>
  </si>
  <si>
    <t>=+C974</t>
  </si>
  <si>
    <t>=+D974</t>
  </si>
  <si>
    <t>=SUBTOTAL(9,T918:T973)</t>
  </si>
  <si>
    <t>=+I975</t>
  </si>
  <si>
    <t>=+J975</t>
  </si>
  <si>
    <t>=E974</t>
  </si>
  <si>
    <t>=H975</t>
  </si>
  <si>
    <t>=NL(,"UPR00100","FRSTNAME","EMPLOYID",$H975)</t>
  </si>
  <si>
    <t>=NL(,"UPR00100","LASTNAME","EMPLOYID",$H975)</t>
  </si>
  <si>
    <t>=+C975</t>
  </si>
  <si>
    <t>=+D975</t>
  </si>
  <si>
    <t>=E975</t>
  </si>
  <si>
    <t>=G975</t>
  </si>
  <si>
    <t>=+N976</t>
  </si>
  <si>
    <t>=M976</t>
  </si>
  <si>
    <t>=NL(,"UPR30300","CHEKDATE","CHEKNMBR",$M976,"EMPLOYID",$G976)</t>
  </si>
  <si>
    <t>=+C976</t>
  </si>
  <si>
    <t>=+D976</t>
  </si>
  <si>
    <t>=E976</t>
  </si>
  <si>
    <t>=G976</t>
  </si>
  <si>
    <t>=+K976</t>
  </si>
  <si>
    <t>=L976</t>
  </si>
  <si>
    <t>=NF($O977,"PAYRATE")</t>
  </si>
  <si>
    <t>=NF($O977,"PAYROLCD")</t>
  </si>
  <si>
    <t>=NF($O977,"STATECD")</t>
  </si>
  <si>
    <t>=NF($O977,"CHEKDATE")</t>
  </si>
  <si>
    <t>=NF($O977,"UPRTRXAM")</t>
  </si>
  <si>
    <t>=+C977</t>
  </si>
  <si>
    <t>=+D977</t>
  </si>
  <si>
    <t>=E977</t>
  </si>
  <si>
    <t>=G977</t>
  </si>
  <si>
    <t>=+K977</t>
  </si>
  <si>
    <t>=L977</t>
  </si>
  <si>
    <t>=+C978</t>
  </si>
  <si>
    <t>=+D978</t>
  </si>
  <si>
    <t>=E978</t>
  </si>
  <si>
    <t>=G978</t>
  </si>
  <si>
    <t>=+K978</t>
  </si>
  <si>
    <t>=L978</t>
  </si>
  <si>
    <t>=+C979</t>
  </si>
  <si>
    <t>=+D979</t>
  </si>
  <si>
    <t>=E979</t>
  </si>
  <si>
    <t>=G979</t>
  </si>
  <si>
    <t>=+K979</t>
  </si>
  <si>
    <t>=L979</t>
  </si>
  <si>
    <t>=+C980</t>
  </si>
  <si>
    <t>=+D980</t>
  </si>
  <si>
    <t>=E980</t>
  </si>
  <si>
    <t>=G980</t>
  </si>
  <si>
    <t>=+K980</t>
  </si>
  <si>
    <t>=L980</t>
  </si>
  <si>
    <t>=+C981</t>
  </si>
  <si>
    <t>=+D981</t>
  </si>
  <si>
    <t>=E981</t>
  </si>
  <si>
    <t>=G981</t>
  </si>
  <si>
    <t>=+K981</t>
  </si>
  <si>
    <t>=L981</t>
  </si>
  <si>
    <t>=+C983</t>
  </si>
  <si>
    <t>=+D983</t>
  </si>
  <si>
    <t>=E983</t>
  </si>
  <si>
    <t>=G983</t>
  </si>
  <si>
    <t>=+K983</t>
  </si>
  <si>
    <t>=L983</t>
  </si>
  <si>
    <t>="Total for " &amp; $L984</t>
  </si>
  <si>
    <t>=+K984</t>
  </si>
  <si>
    <t>=SUBTOTAL(9,T977:T983)</t>
  </si>
  <si>
    <t>=+C984</t>
  </si>
  <si>
    <t>=+D984</t>
  </si>
  <si>
    <t>=E984</t>
  </si>
  <si>
    <t>=G984</t>
  </si>
  <si>
    <t>=+N985</t>
  </si>
  <si>
    <t>=M985</t>
  </si>
  <si>
    <t>=NL(,"UPR30300","CHEKDATE","CHEKNMBR",$M985,"EMPLOYID",$G985)</t>
  </si>
  <si>
    <t>=+C985</t>
  </si>
  <si>
    <t>=+D985</t>
  </si>
  <si>
    <t>=E985</t>
  </si>
  <si>
    <t>=G985</t>
  </si>
  <si>
    <t>=+K985</t>
  </si>
  <si>
    <t>=L985</t>
  </si>
  <si>
    <t>=NF($O986,"PAYRATE")</t>
  </si>
  <si>
    <t>=NF($O986,"PAYROLCD")</t>
  </si>
  <si>
    <t>=NF($O986,"STATECD")</t>
  </si>
  <si>
    <t>=NF($O986,"CHEKDATE")</t>
  </si>
  <si>
    <t>=NF($O986,"UPRTRXAM")</t>
  </si>
  <si>
    <t>=+C986</t>
  </si>
  <si>
    <t>=+D986</t>
  </si>
  <si>
    <t>=E986</t>
  </si>
  <si>
    <t>=G986</t>
  </si>
  <si>
    <t>=+K986</t>
  </si>
  <si>
    <t>=L986</t>
  </si>
  <si>
    <t>=+C987</t>
  </si>
  <si>
    <t>=+D987</t>
  </si>
  <si>
    <t>=E987</t>
  </si>
  <si>
    <t>=G987</t>
  </si>
  <si>
    <t>=+K987</t>
  </si>
  <si>
    <t>=L987</t>
  </si>
  <si>
    <t>=+C988</t>
  </si>
  <si>
    <t>=+D988</t>
  </si>
  <si>
    <t>=E988</t>
  </si>
  <si>
    <t>=G988</t>
  </si>
  <si>
    <t>=+K988</t>
  </si>
  <si>
    <t>=L988</t>
  </si>
  <si>
    <t>=+C989</t>
  </si>
  <si>
    <t>=+D989</t>
  </si>
  <si>
    <t>=E989</t>
  </si>
  <si>
    <t>=G989</t>
  </si>
  <si>
    <t>=+K989</t>
  </si>
  <si>
    <t>=L989</t>
  </si>
  <si>
    <t>=+C990</t>
  </si>
  <si>
    <t>=+D990</t>
  </si>
  <si>
    <t>=E990</t>
  </si>
  <si>
    <t>=G990</t>
  </si>
  <si>
    <t>=+K990</t>
  </si>
  <si>
    <t>=L990</t>
  </si>
  <si>
    <t>=+C992</t>
  </si>
  <si>
    <t>=+D992</t>
  </si>
  <si>
    <t>=E992</t>
  </si>
  <si>
    <t>=G992</t>
  </si>
  <si>
    <t>=+K992</t>
  </si>
  <si>
    <t>=L992</t>
  </si>
  <si>
    <t>="Total for " &amp; $L993</t>
  </si>
  <si>
    <t>=+K993</t>
  </si>
  <si>
    <t>=SUBTOTAL(9,T986:T992)</t>
  </si>
  <si>
    <t>=+C993</t>
  </si>
  <si>
    <t>=+D993</t>
  </si>
  <si>
    <t>=E993</t>
  </si>
  <si>
    <t>=G993</t>
  </si>
  <si>
    <t>=+N994</t>
  </si>
  <si>
    <t>=M994</t>
  </si>
  <si>
    <t>=NL(,"UPR30300","CHEKDATE","CHEKNMBR",$M994,"EMPLOYID",$G994)</t>
  </si>
  <si>
    <t>=+C994</t>
  </si>
  <si>
    <t>=+D994</t>
  </si>
  <si>
    <t>=E994</t>
  </si>
  <si>
    <t>=G994</t>
  </si>
  <si>
    <t>=+K994</t>
  </si>
  <si>
    <t>=L994</t>
  </si>
  <si>
    <t>=NF($O995,"PAYRATE")</t>
  </si>
  <si>
    <t>=NF($O995,"PAYROLCD")</t>
  </si>
  <si>
    <t>=NF($O995,"STATECD")</t>
  </si>
  <si>
    <t>=NF($O995,"CHEKDATE")</t>
  </si>
  <si>
    <t>=NF($O995,"UPRTRXAM")</t>
  </si>
  <si>
    <t>=+C995</t>
  </si>
  <si>
    <t>=+D995</t>
  </si>
  <si>
    <t>=E995</t>
  </si>
  <si>
    <t>=G995</t>
  </si>
  <si>
    <t>=+K995</t>
  </si>
  <si>
    <t>=L995</t>
  </si>
  <si>
    <t>=+C996</t>
  </si>
  <si>
    <t>=+D996</t>
  </si>
  <si>
    <t>=E996</t>
  </si>
  <si>
    <t>=G996</t>
  </si>
  <si>
    <t>=+K996</t>
  </si>
  <si>
    <t>=L996</t>
  </si>
  <si>
    <t>=+C997</t>
  </si>
  <si>
    <t>=+D997</t>
  </si>
  <si>
    <t>=E997</t>
  </si>
  <si>
    <t>=G997</t>
  </si>
  <si>
    <t>=+K997</t>
  </si>
  <si>
    <t>=L997</t>
  </si>
  <si>
    <t>=+C998</t>
  </si>
  <si>
    <t>=+D998</t>
  </si>
  <si>
    <t>=E998</t>
  </si>
  <si>
    <t>=G998</t>
  </si>
  <si>
    <t>=+K998</t>
  </si>
  <si>
    <t>=L998</t>
  </si>
  <si>
    <t>=+C999</t>
  </si>
  <si>
    <t>=+D999</t>
  </si>
  <si>
    <t>=E999</t>
  </si>
  <si>
    <t>=G999</t>
  </si>
  <si>
    <t>=+K999</t>
  </si>
  <si>
    <t>=L999</t>
  </si>
  <si>
    <t>=+C1001</t>
  </si>
  <si>
    <t>=+D1001</t>
  </si>
  <si>
    <t>=E1001</t>
  </si>
  <si>
    <t>=G1001</t>
  </si>
  <si>
    <t>=+K1001</t>
  </si>
  <si>
    <t>=L1001</t>
  </si>
  <si>
    <t>="Total for " &amp; $L1002</t>
  </si>
  <si>
    <t>=+K1002</t>
  </si>
  <si>
    <t>=SUBTOTAL(9,T995:T1001)</t>
  </si>
  <si>
    <t>=+C1002</t>
  </si>
  <si>
    <t>=+D1002</t>
  </si>
  <si>
    <t>=E1002</t>
  </si>
  <si>
    <t>=G1002</t>
  </si>
  <si>
    <t>=+N1003</t>
  </si>
  <si>
    <t>=M1003</t>
  </si>
  <si>
    <t>=NL(,"UPR30300","CHEKDATE","CHEKNMBR",$M1003,"EMPLOYID",$G1003)</t>
  </si>
  <si>
    <t>=+C1003</t>
  </si>
  <si>
    <t>=+D1003</t>
  </si>
  <si>
    <t>=E1003</t>
  </si>
  <si>
    <t>=G1003</t>
  </si>
  <si>
    <t>=+K1003</t>
  </si>
  <si>
    <t>=L1003</t>
  </si>
  <si>
    <t>=NF($O1004,"PAYRATE")</t>
  </si>
  <si>
    <t>=NF($O1004,"PAYROLCD")</t>
  </si>
  <si>
    <t>=NF($O1004,"STATECD")</t>
  </si>
  <si>
    <t>=NF($O1004,"CHEKDATE")</t>
  </si>
  <si>
    <t>=NF($O1004,"UPRTRXAM")</t>
  </si>
  <si>
    <t>=+C1004</t>
  </si>
  <si>
    <t>=+D1004</t>
  </si>
  <si>
    <t>=E1004</t>
  </si>
  <si>
    <t>=G1004</t>
  </si>
  <si>
    <t>=+K1004</t>
  </si>
  <si>
    <t>=L1004</t>
  </si>
  <si>
    <t>=+C1005</t>
  </si>
  <si>
    <t>=+D1005</t>
  </si>
  <si>
    <t>=E1005</t>
  </si>
  <si>
    <t>=G1005</t>
  </si>
  <si>
    <t>=+K1005</t>
  </si>
  <si>
    <t>=L1005</t>
  </si>
  <si>
    <t>=+C1006</t>
  </si>
  <si>
    <t>=+D1006</t>
  </si>
  <si>
    <t>=E1006</t>
  </si>
  <si>
    <t>=G1006</t>
  </si>
  <si>
    <t>=+K1006</t>
  </si>
  <si>
    <t>=L1006</t>
  </si>
  <si>
    <t>=+C1007</t>
  </si>
  <si>
    <t>=+D1007</t>
  </si>
  <si>
    <t>=E1007</t>
  </si>
  <si>
    <t>=G1007</t>
  </si>
  <si>
    <t>=+K1007</t>
  </si>
  <si>
    <t>=L1007</t>
  </si>
  <si>
    <t>=+C1008</t>
  </si>
  <si>
    <t>=+D1008</t>
  </si>
  <si>
    <t>=E1008</t>
  </si>
  <si>
    <t>=G1008</t>
  </si>
  <si>
    <t>=+K1008</t>
  </si>
  <si>
    <t>=L1008</t>
  </si>
  <si>
    <t>=+C1010</t>
  </si>
  <si>
    <t>=+D1010</t>
  </si>
  <si>
    <t>=E1010</t>
  </si>
  <si>
    <t>=G1010</t>
  </si>
  <si>
    <t>=+K1010</t>
  </si>
  <si>
    <t>=L1010</t>
  </si>
  <si>
    <t>="Total for " &amp; $L1011</t>
  </si>
  <si>
    <t>=+K1011</t>
  </si>
  <si>
    <t>=SUBTOTAL(9,T1004:T1010)</t>
  </si>
  <si>
    <t>=+C1011</t>
  </si>
  <si>
    <t>=+D1011</t>
  </si>
  <si>
    <t>=E1011</t>
  </si>
  <si>
    <t>=G1011</t>
  </si>
  <si>
    <t>=+N1012</t>
  </si>
  <si>
    <t>=M1012</t>
  </si>
  <si>
    <t>=NL(,"UPR30300","CHEKDATE","CHEKNMBR",$M1012,"EMPLOYID",$G1012)</t>
  </si>
  <si>
    <t>=+C1012</t>
  </si>
  <si>
    <t>=+D1012</t>
  </si>
  <si>
    <t>=E1012</t>
  </si>
  <si>
    <t>=G1012</t>
  </si>
  <si>
    <t>=+K1012</t>
  </si>
  <si>
    <t>=L1012</t>
  </si>
  <si>
    <t>=NF($O1013,"PAYRATE")</t>
  </si>
  <si>
    <t>=NF($O1013,"PAYROLCD")</t>
  </si>
  <si>
    <t>=NF($O1013,"STATECD")</t>
  </si>
  <si>
    <t>=NF($O1013,"CHEKDATE")</t>
  </si>
  <si>
    <t>=NF($O1013,"UPRTRXAM")</t>
  </si>
  <si>
    <t>=+C1013</t>
  </si>
  <si>
    <t>=+D1013</t>
  </si>
  <si>
    <t>=E1013</t>
  </si>
  <si>
    <t>=G1013</t>
  </si>
  <si>
    <t>=+K1013</t>
  </si>
  <si>
    <t>=L1013</t>
  </si>
  <si>
    <t>=+C1014</t>
  </si>
  <si>
    <t>=+D1014</t>
  </si>
  <si>
    <t>=E1014</t>
  </si>
  <si>
    <t>=G1014</t>
  </si>
  <si>
    <t>=+K1014</t>
  </si>
  <si>
    <t>=L1014</t>
  </si>
  <si>
    <t>=+C1015</t>
  </si>
  <si>
    <t>=+D1015</t>
  </si>
  <si>
    <t>=E1015</t>
  </si>
  <si>
    <t>=G1015</t>
  </si>
  <si>
    <t>=+K1015</t>
  </si>
  <si>
    <t>=L1015</t>
  </si>
  <si>
    <t>=+C1016</t>
  </si>
  <si>
    <t>=+D1016</t>
  </si>
  <si>
    <t>=E1016</t>
  </si>
  <si>
    <t>=G1016</t>
  </si>
  <si>
    <t>=+K1016</t>
  </si>
  <si>
    <t>=L1016</t>
  </si>
  <si>
    <t>=+C1017</t>
  </si>
  <si>
    <t>=+D1017</t>
  </si>
  <si>
    <t>=E1017</t>
  </si>
  <si>
    <t>=G1017</t>
  </si>
  <si>
    <t>=+K1017</t>
  </si>
  <si>
    <t>=L1017</t>
  </si>
  <si>
    <t>=+C1019</t>
  </si>
  <si>
    <t>=+D1019</t>
  </si>
  <si>
    <t>=E1019</t>
  </si>
  <si>
    <t>=G1019</t>
  </si>
  <si>
    <t>=+K1019</t>
  </si>
  <si>
    <t>=L1019</t>
  </si>
  <si>
    <t>="Total for " &amp; $L1020</t>
  </si>
  <si>
    <t>=+K1020</t>
  </si>
  <si>
    <t>=SUBTOTAL(9,T1013:T1019)</t>
  </si>
  <si>
    <t>=+C1020</t>
  </si>
  <si>
    <t>=+D1020</t>
  </si>
  <si>
    <t>=E1020</t>
  </si>
  <si>
    <t>=G1020</t>
  </si>
  <si>
    <t>=+N1021</t>
  </si>
  <si>
    <t>=M1021</t>
  </si>
  <si>
    <t>=NL(,"UPR30300","CHEKDATE","CHEKNMBR",$M1021,"EMPLOYID",$G1021)</t>
  </si>
  <si>
    <t>=+C1021</t>
  </si>
  <si>
    <t>=+D1021</t>
  </si>
  <si>
    <t>=E1021</t>
  </si>
  <si>
    <t>=G1021</t>
  </si>
  <si>
    <t>=+K1021</t>
  </si>
  <si>
    <t>=L1021</t>
  </si>
  <si>
    <t>=NF($O1022,"PAYRATE")</t>
  </si>
  <si>
    <t>=NF($O1022,"PAYROLCD")</t>
  </si>
  <si>
    <t>=NF($O1022,"STATECD")</t>
  </si>
  <si>
    <t>=NF($O1022,"CHEKDATE")</t>
  </si>
  <si>
    <t>=NF($O1022,"UPRTRXAM")</t>
  </si>
  <si>
    <t>=+C1022</t>
  </si>
  <si>
    <t>=+D1022</t>
  </si>
  <si>
    <t>=E1022</t>
  </si>
  <si>
    <t>=G1022</t>
  </si>
  <si>
    <t>=+K1022</t>
  </si>
  <si>
    <t>=L1022</t>
  </si>
  <si>
    <t>=+C1023</t>
  </si>
  <si>
    <t>=+D1023</t>
  </si>
  <si>
    <t>=E1023</t>
  </si>
  <si>
    <t>=G1023</t>
  </si>
  <si>
    <t>=+K1023</t>
  </si>
  <si>
    <t>=L1023</t>
  </si>
  <si>
    <t>=+C1024</t>
  </si>
  <si>
    <t>=+D1024</t>
  </si>
  <si>
    <t>=E1024</t>
  </si>
  <si>
    <t>=G1024</t>
  </si>
  <si>
    <t>=+K1024</t>
  </si>
  <si>
    <t>=L1024</t>
  </si>
  <si>
    <t>=+C1025</t>
  </si>
  <si>
    <t>=+D1025</t>
  </si>
  <si>
    <t>=E1025</t>
  </si>
  <si>
    <t>=G1025</t>
  </si>
  <si>
    <t>=+K1025</t>
  </si>
  <si>
    <t>=L1025</t>
  </si>
  <si>
    <t>=+C1026</t>
  </si>
  <si>
    <t>=+D1026</t>
  </si>
  <si>
    <t>=E1026</t>
  </si>
  <si>
    <t>=G1026</t>
  </si>
  <si>
    <t>=+K1026</t>
  </si>
  <si>
    <t>=L1026</t>
  </si>
  <si>
    <t>=+C1028</t>
  </si>
  <si>
    <t>=+D1028</t>
  </si>
  <si>
    <t>=E1028</t>
  </si>
  <si>
    <t>=G1028</t>
  </si>
  <si>
    <t>=+K1028</t>
  </si>
  <si>
    <t>=L1028</t>
  </si>
  <si>
    <t>="Total for " &amp; $L1029</t>
  </si>
  <si>
    <t>=+K1029</t>
  </si>
  <si>
    <t>=SUBTOTAL(9,T1022:T1028)</t>
  </si>
  <si>
    <t>=+C1029</t>
  </si>
  <si>
    <t>=+D1029</t>
  </si>
  <si>
    <t>=E1029</t>
  </si>
  <si>
    <t>=G1029</t>
  </si>
  <si>
    <t>=+N1030</t>
  </si>
  <si>
    <t>=M1030</t>
  </si>
  <si>
    <t>=NL(,"UPR30300","CHEKDATE","CHEKNMBR",$M1030,"EMPLOYID",$G1030)</t>
  </si>
  <si>
    <t>=+C1030</t>
  </si>
  <si>
    <t>=+D1030</t>
  </si>
  <si>
    <t>=E1030</t>
  </si>
  <si>
    <t>=G1030</t>
  </si>
  <si>
    <t>=+K1030</t>
  </si>
  <si>
    <t>=L1030</t>
  </si>
  <si>
    <t>=NF($O1031,"PAYRATE")</t>
  </si>
  <si>
    <t>=NF($O1031,"PAYROLCD")</t>
  </si>
  <si>
    <t>=NF($O1031,"STATECD")</t>
  </si>
  <si>
    <t>=NF($O1031,"CHEKDATE")</t>
  </si>
  <si>
    <t>=NF($O1031,"UPRTRXAM")</t>
  </si>
  <si>
    <t>=+C1031</t>
  </si>
  <si>
    <t>=+D1031</t>
  </si>
  <si>
    <t>=E1031</t>
  </si>
  <si>
    <t>=G1031</t>
  </si>
  <si>
    <t>=+K1031</t>
  </si>
  <si>
    <t>=L1031</t>
  </si>
  <si>
    <t>=+C1033</t>
  </si>
  <si>
    <t>=+D1033</t>
  </si>
  <si>
    <t>=E1033</t>
  </si>
  <si>
    <t>=G1033</t>
  </si>
  <si>
    <t>=+K1033</t>
  </si>
  <si>
    <t>=L1033</t>
  </si>
  <si>
    <t>="Total for " &amp; $L1034</t>
  </si>
  <si>
    <t>=+K1034</t>
  </si>
  <si>
    <t>=SUBTOTAL(9,T1031:T1033)</t>
  </si>
  <si>
    <t>=+C1034</t>
  </si>
  <si>
    <t>=+D1034</t>
  </si>
  <si>
    <t>=E1034</t>
  </si>
  <si>
    <t>=G1034</t>
  </si>
  <si>
    <t>=+N1035</t>
  </si>
  <si>
    <t>=M1035</t>
  </si>
  <si>
    <t>=NL(,"UPR30300","CHEKDATE","CHEKNMBR",$M1035,"EMPLOYID",$G1035)</t>
  </si>
  <si>
    <t>=+C1035</t>
  </si>
  <si>
    <t>=+D1035</t>
  </si>
  <si>
    <t>=E1035</t>
  </si>
  <si>
    <t>=G1035</t>
  </si>
  <si>
    <t>=+K1035</t>
  </si>
  <si>
    <t>=L1035</t>
  </si>
  <si>
    <t>=NF($O1036,"PAYRATE")</t>
  </si>
  <si>
    <t>=NF($O1036,"PAYROLCD")</t>
  </si>
  <si>
    <t>=NF($O1036,"STATECD")</t>
  </si>
  <si>
    <t>=NF($O1036,"CHEKDATE")</t>
  </si>
  <si>
    <t>=NF($O1036,"UPRTRXAM")</t>
  </si>
  <si>
    <t>=+C1036</t>
  </si>
  <si>
    <t>=+D1036</t>
  </si>
  <si>
    <t>=E1036</t>
  </si>
  <si>
    <t>=G1036</t>
  </si>
  <si>
    <t>=+K1036</t>
  </si>
  <si>
    <t>=L1036</t>
  </si>
  <si>
    <t>=+C1038</t>
  </si>
  <si>
    <t>=+D1038</t>
  </si>
  <si>
    <t>=E1038</t>
  </si>
  <si>
    <t>=G1038</t>
  </si>
  <si>
    <t>=+K1038</t>
  </si>
  <si>
    <t>=L1038</t>
  </si>
  <si>
    <t>="Total for " &amp; $L1039</t>
  </si>
  <si>
    <t>=+K1039</t>
  </si>
  <si>
    <t>=SUBTOTAL(9,T1036:T1038)</t>
  </si>
  <si>
    <t>=+C1040</t>
  </si>
  <si>
    <t>=+D1040</t>
  </si>
  <si>
    <t>=E1040</t>
  </si>
  <si>
    <t>=G1040</t>
  </si>
  <si>
    <t>="Total for " &amp; $G1041</t>
  </si>
  <si>
    <t>=+C1041</t>
  </si>
  <si>
    <t>=+D1041</t>
  </si>
  <si>
    <t>=SUBTOTAL(9,T977:T1040)</t>
  </si>
  <si>
    <t>=+I1042</t>
  </si>
  <si>
    <t>=+J1042</t>
  </si>
  <si>
    <t>=E1041</t>
  </si>
  <si>
    <t>=H1042</t>
  </si>
  <si>
    <t>="CHEN0001"</t>
  </si>
  <si>
    <t>=NL(,"UPR00100","FRSTNAME","EMPLOYID",$H1042)</t>
  </si>
  <si>
    <t>=NL(,"UPR00100","LASTNAME","EMPLOYID",$H1042)</t>
  </si>
  <si>
    <t>=+C1042</t>
  </si>
  <si>
    <t>=+D1042</t>
  </si>
  <si>
    <t>=E1042</t>
  </si>
  <si>
    <t>=G1042</t>
  </si>
  <si>
    <t>=+N1043</t>
  </si>
  <si>
    <t>=M1043</t>
  </si>
  <si>
    <t>=NL(,"UPR30300","CHEKDATE","CHEKNMBR",$M1043,"EMPLOYID",$G1043)</t>
  </si>
  <si>
    <t>=+C1043</t>
  </si>
  <si>
    <t>=+D1043</t>
  </si>
  <si>
    <t>=E1043</t>
  </si>
  <si>
    <t>=G1043</t>
  </si>
  <si>
    <t>=+K1043</t>
  </si>
  <si>
    <t>=L1043</t>
  </si>
  <si>
    <t>=NF($O1044,"PAYRATE")</t>
  </si>
  <si>
    <t>=NF($O1044,"PAYROLCD")</t>
  </si>
  <si>
    <t>=NF($O1044,"STATECD")</t>
  </si>
  <si>
    <t>=NF($O1044,"CHEKDATE")</t>
  </si>
  <si>
    <t>=NF($O1044,"UPRTRXAM")</t>
  </si>
  <si>
    <t>=+C1044</t>
  </si>
  <si>
    <t>=+D1044</t>
  </si>
  <si>
    <t>=E1044</t>
  </si>
  <si>
    <t>=G1044</t>
  </si>
  <si>
    <t>=+K1044</t>
  </si>
  <si>
    <t>=L1044</t>
  </si>
  <si>
    <t>=+C1045</t>
  </si>
  <si>
    <t>=+D1045</t>
  </si>
  <si>
    <t>=E1045</t>
  </si>
  <si>
    <t>=G1045</t>
  </si>
  <si>
    <t>=+K1045</t>
  </si>
  <si>
    <t>=L1045</t>
  </si>
  <si>
    <t>=+C1046</t>
  </si>
  <si>
    <t>=+D1046</t>
  </si>
  <si>
    <t>=E1046</t>
  </si>
  <si>
    <t>=G1046</t>
  </si>
  <si>
    <t>=+K1046</t>
  </si>
  <si>
    <t>=L1046</t>
  </si>
  <si>
    <t>=+C1047</t>
  </si>
  <si>
    <t>=+D1047</t>
  </si>
  <si>
    <t>=E1047</t>
  </si>
  <si>
    <t>=G1047</t>
  </si>
  <si>
    <t>=+K1047</t>
  </si>
  <si>
    <t>=L1047</t>
  </si>
  <si>
    <t>=+C1048</t>
  </si>
  <si>
    <t>=+D1048</t>
  </si>
  <si>
    <t>=E1048</t>
  </si>
  <si>
    <t>=G1048</t>
  </si>
  <si>
    <t>=+K1048</t>
  </si>
  <si>
    <t>=L1048</t>
  </si>
  <si>
    <t>=+C1050</t>
  </si>
  <si>
    <t>=+D1050</t>
  </si>
  <si>
    <t>=E1050</t>
  </si>
  <si>
    <t>=G1050</t>
  </si>
  <si>
    <t>=+K1050</t>
  </si>
  <si>
    <t>=L1050</t>
  </si>
  <si>
    <t>="Total for " &amp; $L1051</t>
  </si>
  <si>
    <t>=+K1051</t>
  </si>
  <si>
    <t>=SUBTOTAL(9,T1044:T1050)</t>
  </si>
  <si>
    <t>=+C1051</t>
  </si>
  <si>
    <t>=+D1051</t>
  </si>
  <si>
    <t>=E1051</t>
  </si>
  <si>
    <t>=G1051</t>
  </si>
  <si>
    <t>=+N1052</t>
  </si>
  <si>
    <t>=M1052</t>
  </si>
  <si>
    <t>="10381"</t>
  </si>
  <si>
    <t>=NL(,"UPR30300","CHEKDATE","CHEKNMBR",$M1052,"EMPLOYID",$G1052)</t>
  </si>
  <si>
    <t>=+C1052</t>
  </si>
  <si>
    <t>=+D1052</t>
  </si>
  <si>
    <t>=E1052</t>
  </si>
  <si>
    <t>=G1052</t>
  </si>
  <si>
    <t>=+K1052</t>
  </si>
  <si>
    <t>=L1052</t>
  </si>
  <si>
    <t>=NF($O1053,"PAYRATE")</t>
  </si>
  <si>
    <t>=NF($O1053,"PAYROLCD")</t>
  </si>
  <si>
    <t>=NF($O1053,"STATECD")</t>
  </si>
  <si>
    <t>=NF($O1053,"CHEKDATE")</t>
  </si>
  <si>
    <t>=NF($O1053,"UPRTRXAM")</t>
  </si>
  <si>
    <t>=+C1053</t>
  </si>
  <si>
    <t>=+D1053</t>
  </si>
  <si>
    <t>=E1053</t>
  </si>
  <si>
    <t>=G1053</t>
  </si>
  <si>
    <t>=+K1053</t>
  </si>
  <si>
    <t>=L1053</t>
  </si>
  <si>
    <t>=+C1054</t>
  </si>
  <si>
    <t>=+D1054</t>
  </si>
  <si>
    <t>=E1054</t>
  </si>
  <si>
    <t>=G1054</t>
  </si>
  <si>
    <t>=+K1054</t>
  </si>
  <si>
    <t>=L1054</t>
  </si>
  <si>
    <t>=+C1055</t>
  </si>
  <si>
    <t>=+D1055</t>
  </si>
  <si>
    <t>=E1055</t>
  </si>
  <si>
    <t>=G1055</t>
  </si>
  <si>
    <t>=+K1055</t>
  </si>
  <si>
    <t>=L1055</t>
  </si>
  <si>
    <t>=+C1056</t>
  </si>
  <si>
    <t>=+D1056</t>
  </si>
  <si>
    <t>=E1056</t>
  </si>
  <si>
    <t>=G1056</t>
  </si>
  <si>
    <t>=+K1056</t>
  </si>
  <si>
    <t>=L1056</t>
  </si>
  <si>
    <t>=+C1057</t>
  </si>
  <si>
    <t>=+D1057</t>
  </si>
  <si>
    <t>=E1057</t>
  </si>
  <si>
    <t>=G1057</t>
  </si>
  <si>
    <t>=+K1057</t>
  </si>
  <si>
    <t>=L1057</t>
  </si>
  <si>
    <t>=+C1059</t>
  </si>
  <si>
    <t>=+D1059</t>
  </si>
  <si>
    <t>=E1059</t>
  </si>
  <si>
    <t>=G1059</t>
  </si>
  <si>
    <t>=+K1059</t>
  </si>
  <si>
    <t>=L1059</t>
  </si>
  <si>
    <t>="Total for " &amp; $L1060</t>
  </si>
  <si>
    <t>=+K1060</t>
  </si>
  <si>
    <t>=SUBTOTAL(9,T1053:T1059)</t>
  </si>
  <si>
    <t>=+C1060</t>
  </si>
  <si>
    <t>=+D1060</t>
  </si>
  <si>
    <t>=E1060</t>
  </si>
  <si>
    <t>=G1060</t>
  </si>
  <si>
    <t>=+N1061</t>
  </si>
  <si>
    <t>=M1061</t>
  </si>
  <si>
    <t>="10406"</t>
  </si>
  <si>
    <t>=NL(,"UPR30300","CHEKDATE","CHEKNMBR",$M1061,"EMPLOYID",$G1061)</t>
  </si>
  <si>
    <t>=+C1061</t>
  </si>
  <si>
    <t>=+D1061</t>
  </si>
  <si>
    <t>=E1061</t>
  </si>
  <si>
    <t>=G1061</t>
  </si>
  <si>
    <t>=+K1061</t>
  </si>
  <si>
    <t>=L1061</t>
  </si>
  <si>
    <t>=NF($O1062,"PAYRATE")</t>
  </si>
  <si>
    <t>=NF($O1062,"PAYROLCD")</t>
  </si>
  <si>
    <t>=NF($O1062,"STATECD")</t>
  </si>
  <si>
    <t>=NF($O1062,"CHEKDATE")</t>
  </si>
  <si>
    <t>=NF($O1062,"UPRTRXAM")</t>
  </si>
  <si>
    <t>=+C1062</t>
  </si>
  <si>
    <t>=+D1062</t>
  </si>
  <si>
    <t>=E1062</t>
  </si>
  <si>
    <t>=G1062</t>
  </si>
  <si>
    <t>=+K1062</t>
  </si>
  <si>
    <t>=L1062</t>
  </si>
  <si>
    <t>=+C1063</t>
  </si>
  <si>
    <t>=+D1063</t>
  </si>
  <si>
    <t>=E1063</t>
  </si>
  <si>
    <t>=G1063</t>
  </si>
  <si>
    <t>=+K1063</t>
  </si>
  <si>
    <t>=L1063</t>
  </si>
  <si>
    <t>=+C1064</t>
  </si>
  <si>
    <t>=+D1064</t>
  </si>
  <si>
    <t>=E1064</t>
  </si>
  <si>
    <t>=G1064</t>
  </si>
  <si>
    <t>=+K1064</t>
  </si>
  <si>
    <t>=L1064</t>
  </si>
  <si>
    <t>=+C1065</t>
  </si>
  <si>
    <t>=+D1065</t>
  </si>
  <si>
    <t>=E1065</t>
  </si>
  <si>
    <t>=G1065</t>
  </si>
  <si>
    <t>=+K1065</t>
  </si>
  <si>
    <t>=L1065</t>
  </si>
  <si>
    <t>=+C1066</t>
  </si>
  <si>
    <t>=+D1066</t>
  </si>
  <si>
    <t>=E1066</t>
  </si>
  <si>
    <t>=G1066</t>
  </si>
  <si>
    <t>=+K1066</t>
  </si>
  <si>
    <t>=L1066</t>
  </si>
  <si>
    <t>=+C1068</t>
  </si>
  <si>
    <t>=+D1068</t>
  </si>
  <si>
    <t>=E1068</t>
  </si>
  <si>
    <t>=G1068</t>
  </si>
  <si>
    <t>=+K1068</t>
  </si>
  <si>
    <t>=L1068</t>
  </si>
  <si>
    <t>="Total for " &amp; $L1069</t>
  </si>
  <si>
    <t>=+K1069</t>
  </si>
  <si>
    <t>=SUBTOTAL(9,T1062:T1068)</t>
  </si>
  <si>
    <t>=+C1069</t>
  </si>
  <si>
    <t>=+D1069</t>
  </si>
  <si>
    <t>=E1069</t>
  </si>
  <si>
    <t>=G1069</t>
  </si>
  <si>
    <t>=+N1070</t>
  </si>
  <si>
    <t>=M1070</t>
  </si>
  <si>
    <t>="10431"</t>
  </si>
  <si>
    <t>=NL(,"UPR30300","CHEKDATE","CHEKNMBR",$M1070,"EMPLOYID",$G1070)</t>
  </si>
  <si>
    <t>=+C1070</t>
  </si>
  <si>
    <t>=+D1070</t>
  </si>
  <si>
    <t>=E1070</t>
  </si>
  <si>
    <t>=G1070</t>
  </si>
  <si>
    <t>=+K1070</t>
  </si>
  <si>
    <t>=L1070</t>
  </si>
  <si>
    <t>=NF($O1071,"PAYRATE")</t>
  </si>
  <si>
    <t>=NF($O1071,"PAYROLCD")</t>
  </si>
  <si>
    <t>=NF($O1071,"STATECD")</t>
  </si>
  <si>
    <t>=NF($O1071,"CHEKDATE")</t>
  </si>
  <si>
    <t>=NF($O1071,"UPRTRXAM")</t>
  </si>
  <si>
    <t>=+C1071</t>
  </si>
  <si>
    <t>=+D1071</t>
  </si>
  <si>
    <t>=E1071</t>
  </si>
  <si>
    <t>=G1071</t>
  </si>
  <si>
    <t>=+K1071</t>
  </si>
  <si>
    <t>=L1071</t>
  </si>
  <si>
    <t>=+C1072</t>
  </si>
  <si>
    <t>=+D1072</t>
  </si>
  <si>
    <t>=E1072</t>
  </si>
  <si>
    <t>=G1072</t>
  </si>
  <si>
    <t>=+K1072</t>
  </si>
  <si>
    <t>=L1072</t>
  </si>
  <si>
    <t>=+C1073</t>
  </si>
  <si>
    <t>=+D1073</t>
  </si>
  <si>
    <t>=E1073</t>
  </si>
  <si>
    <t>=G1073</t>
  </si>
  <si>
    <t>=+K1073</t>
  </si>
  <si>
    <t>=L1073</t>
  </si>
  <si>
    <t>=+C1074</t>
  </si>
  <si>
    <t>=+D1074</t>
  </si>
  <si>
    <t>=E1074</t>
  </si>
  <si>
    <t>=G1074</t>
  </si>
  <si>
    <t>=+K1074</t>
  </si>
  <si>
    <t>=L1074</t>
  </si>
  <si>
    <t>=+C1075</t>
  </si>
  <si>
    <t>=+D1075</t>
  </si>
  <si>
    <t>=E1075</t>
  </si>
  <si>
    <t>=G1075</t>
  </si>
  <si>
    <t>=+K1075</t>
  </si>
  <si>
    <t>=L1075</t>
  </si>
  <si>
    <t>=+C1076</t>
  </si>
  <si>
    <t>=+D1076</t>
  </si>
  <si>
    <t>=E1076</t>
  </si>
  <si>
    <t>=G1076</t>
  </si>
  <si>
    <t>=+K1076</t>
  </si>
  <si>
    <t>=L1076</t>
  </si>
  <si>
    <t>=+C1078</t>
  </si>
  <si>
    <t>=+D1078</t>
  </si>
  <si>
    <t>=E1078</t>
  </si>
  <si>
    <t>=G1078</t>
  </si>
  <si>
    <t>=+K1078</t>
  </si>
  <si>
    <t>=L1078</t>
  </si>
  <si>
    <t>="Total for " &amp; $L1079</t>
  </si>
  <si>
    <t>=+K1079</t>
  </si>
  <si>
    <t>=SUBTOTAL(9,T1071:T1078)</t>
  </si>
  <si>
    <t>=+C1079</t>
  </si>
  <si>
    <t>=+D1079</t>
  </si>
  <si>
    <t>=E1079</t>
  </si>
  <si>
    <t>=G1079</t>
  </si>
  <si>
    <t>=+N1080</t>
  </si>
  <si>
    <t>=M1080</t>
  </si>
  <si>
    <t>="10456"</t>
  </si>
  <si>
    <t>=NL(,"UPR30300","CHEKDATE","CHEKNMBR",$M1080,"EMPLOYID",$G1080)</t>
  </si>
  <si>
    <t>=+C1080</t>
  </si>
  <si>
    <t>=+D1080</t>
  </si>
  <si>
    <t>=E1080</t>
  </si>
  <si>
    <t>=G1080</t>
  </si>
  <si>
    <t>=+K1080</t>
  </si>
  <si>
    <t>=L1080</t>
  </si>
  <si>
    <t>=NF($O1081,"PAYRATE")</t>
  </si>
  <si>
    <t>=NF($O1081,"PAYROLCD")</t>
  </si>
  <si>
    <t>=NF($O1081,"STATECD")</t>
  </si>
  <si>
    <t>=NF($O1081,"CHEKDATE")</t>
  </si>
  <si>
    <t>=NF($O1081,"UPRTRXAM")</t>
  </si>
  <si>
    <t>=+C1081</t>
  </si>
  <si>
    <t>=+D1081</t>
  </si>
  <si>
    <t>=E1081</t>
  </si>
  <si>
    <t>=G1081</t>
  </si>
  <si>
    <t>=+K1081</t>
  </si>
  <si>
    <t>=L1081</t>
  </si>
  <si>
    <t>=+C1082</t>
  </si>
  <si>
    <t>=+D1082</t>
  </si>
  <si>
    <t>=E1082</t>
  </si>
  <si>
    <t>=G1082</t>
  </si>
  <si>
    <t>=+K1082</t>
  </si>
  <si>
    <t>=L1082</t>
  </si>
  <si>
    <t>=+C1083</t>
  </si>
  <si>
    <t>=+D1083</t>
  </si>
  <si>
    <t>=E1083</t>
  </si>
  <si>
    <t>=G1083</t>
  </si>
  <si>
    <t>=+K1083</t>
  </si>
  <si>
    <t>=L1083</t>
  </si>
  <si>
    <t>=+C1084</t>
  </si>
  <si>
    <t>=+D1084</t>
  </si>
  <si>
    <t>=E1084</t>
  </si>
  <si>
    <t>=G1084</t>
  </si>
  <si>
    <t>=+K1084</t>
  </si>
  <si>
    <t>=L1084</t>
  </si>
  <si>
    <t>=+C1085</t>
  </si>
  <si>
    <t>=+D1085</t>
  </si>
  <si>
    <t>=E1085</t>
  </si>
  <si>
    <t>=G1085</t>
  </si>
  <si>
    <t>=+K1085</t>
  </si>
  <si>
    <t>=L1085</t>
  </si>
  <si>
    <t>=+C1087</t>
  </si>
  <si>
    <t>=+D1087</t>
  </si>
  <si>
    <t>=E1087</t>
  </si>
  <si>
    <t>=G1087</t>
  </si>
  <si>
    <t>=+K1087</t>
  </si>
  <si>
    <t>=L1087</t>
  </si>
  <si>
    <t>="Total for " &amp; $L1088</t>
  </si>
  <si>
    <t>=+K1088</t>
  </si>
  <si>
    <t>=SUBTOTAL(9,T1081:T1087)</t>
  </si>
  <si>
    <t>=+C1088</t>
  </si>
  <si>
    <t>=+D1088</t>
  </si>
  <si>
    <t>=E1088</t>
  </si>
  <si>
    <t>=G1088</t>
  </si>
  <si>
    <t>=+N1089</t>
  </si>
  <si>
    <t>=M1089</t>
  </si>
  <si>
    <t>="10481"</t>
  </si>
  <si>
    <t>=NL(,"UPR30300","CHEKDATE","CHEKNMBR",$M1089,"EMPLOYID",$G1089)</t>
  </si>
  <si>
    <t>=+C1089</t>
  </si>
  <si>
    <t>=+D1089</t>
  </si>
  <si>
    <t>=E1089</t>
  </si>
  <si>
    <t>=G1089</t>
  </si>
  <si>
    <t>=+K1089</t>
  </si>
  <si>
    <t>=L1089</t>
  </si>
  <si>
    <t>=NF($O1090,"PAYRATE")</t>
  </si>
  <si>
    <t>=NF($O1090,"PAYROLCD")</t>
  </si>
  <si>
    <t>=NF($O1090,"STATECD")</t>
  </si>
  <si>
    <t>=NF($O1090,"CHEKDATE")</t>
  </si>
  <si>
    <t>=NF($O1090,"UPRTRXAM")</t>
  </si>
  <si>
    <t>=+C1090</t>
  </si>
  <si>
    <t>=+D1090</t>
  </si>
  <si>
    <t>=E1090</t>
  </si>
  <si>
    <t>=G1090</t>
  </si>
  <si>
    <t>=+K1090</t>
  </si>
  <si>
    <t>=L1090</t>
  </si>
  <si>
    <t>=+C1091</t>
  </si>
  <si>
    <t>=+D1091</t>
  </si>
  <si>
    <t>=E1091</t>
  </si>
  <si>
    <t>=G1091</t>
  </si>
  <si>
    <t>=+K1091</t>
  </si>
  <si>
    <t>=L1091</t>
  </si>
  <si>
    <t>=+C1092</t>
  </si>
  <si>
    <t>=+D1092</t>
  </si>
  <si>
    <t>=E1092</t>
  </si>
  <si>
    <t>=G1092</t>
  </si>
  <si>
    <t>=+K1092</t>
  </si>
  <si>
    <t>=L1092</t>
  </si>
  <si>
    <t>=+C1093</t>
  </si>
  <si>
    <t>=+D1093</t>
  </si>
  <si>
    <t>=E1093</t>
  </si>
  <si>
    <t>=G1093</t>
  </si>
  <si>
    <t>=+K1093</t>
  </si>
  <si>
    <t>=L1093</t>
  </si>
  <si>
    <t>=+C1094</t>
  </si>
  <si>
    <t>=+D1094</t>
  </si>
  <si>
    <t>=E1094</t>
  </si>
  <si>
    <t>=G1094</t>
  </si>
  <si>
    <t>=+K1094</t>
  </si>
  <si>
    <t>=L1094</t>
  </si>
  <si>
    <t>=+C1096</t>
  </si>
  <si>
    <t>=+D1096</t>
  </si>
  <si>
    <t>=E1096</t>
  </si>
  <si>
    <t>=G1096</t>
  </si>
  <si>
    <t>=+K1096</t>
  </si>
  <si>
    <t>=L1096</t>
  </si>
  <si>
    <t>="Total for " &amp; $L1097</t>
  </si>
  <si>
    <t>=+K1097</t>
  </si>
  <si>
    <t>=SUBTOTAL(9,T1090:T1096)</t>
  </si>
  <si>
    <t>=+C1098</t>
  </si>
  <si>
    <t>=+D1098</t>
  </si>
  <si>
    <t>=E1098</t>
  </si>
  <si>
    <t>=G1098</t>
  </si>
  <si>
    <t>="Total for " &amp; $G1099</t>
  </si>
  <si>
    <t>=+C1099</t>
  </si>
  <si>
    <t>=+D1099</t>
  </si>
  <si>
    <t>=SUBTOTAL(9,T1044:T1098)</t>
  </si>
  <si>
    <t>=+I1100</t>
  </si>
  <si>
    <t>=+J1100</t>
  </si>
  <si>
    <t>=E1099</t>
  </si>
  <si>
    <t>=H1100</t>
  </si>
  <si>
    <t>="ERIC0001"</t>
  </si>
  <si>
    <t>=NL(,"UPR00100","FRSTNAME","EMPLOYID",$H1100)</t>
  </si>
  <si>
    <t>=NL(,"UPR00100","LASTNAME","EMPLOYID",$H1100)</t>
  </si>
  <si>
    <t>=+C1100</t>
  </si>
  <si>
    <t>=+D1100</t>
  </si>
  <si>
    <t>=E1100</t>
  </si>
  <si>
    <t>=G1100</t>
  </si>
  <si>
    <t>=+N1101</t>
  </si>
  <si>
    <t>=M1101</t>
  </si>
  <si>
    <t>=NL(,"UPR30300","CHEKDATE","CHEKNMBR",$M1101,"EMPLOYID",$G1101)</t>
  </si>
  <si>
    <t>=+C1101</t>
  </si>
  <si>
    <t>=+D1101</t>
  </si>
  <si>
    <t>=E1101</t>
  </si>
  <si>
    <t>=G1101</t>
  </si>
  <si>
    <t>=+K1101</t>
  </si>
  <si>
    <t>=L1101</t>
  </si>
  <si>
    <t>=NF($O1102,"PAYRATE")</t>
  </si>
  <si>
    <t>=NF($O1102,"PAYROLCD")</t>
  </si>
  <si>
    <t>=NF($O1102,"STATECD")</t>
  </si>
  <si>
    <t>=NF($O1102,"CHEKDATE")</t>
  </si>
  <si>
    <t>=NF($O1102,"UPRTRXAM")</t>
  </si>
  <si>
    <t>=+C1102</t>
  </si>
  <si>
    <t>=+D1102</t>
  </si>
  <si>
    <t>=E1102</t>
  </si>
  <si>
    <t>=G1102</t>
  </si>
  <si>
    <t>=+K1102</t>
  </si>
  <si>
    <t>=L1102</t>
  </si>
  <si>
    <t>=+C1103</t>
  </si>
  <si>
    <t>=+D1103</t>
  </si>
  <si>
    <t>=E1103</t>
  </si>
  <si>
    <t>=G1103</t>
  </si>
  <si>
    <t>=+K1103</t>
  </si>
  <si>
    <t>=L1103</t>
  </si>
  <si>
    <t>=+C1104</t>
  </si>
  <si>
    <t>=+D1104</t>
  </si>
  <si>
    <t>=E1104</t>
  </si>
  <si>
    <t>=G1104</t>
  </si>
  <si>
    <t>=+K1104</t>
  </si>
  <si>
    <t>=L1104</t>
  </si>
  <si>
    <t>=+C1105</t>
  </si>
  <si>
    <t>=+D1105</t>
  </si>
  <si>
    <t>=E1105</t>
  </si>
  <si>
    <t>=G1105</t>
  </si>
  <si>
    <t>=+K1105</t>
  </si>
  <si>
    <t>=L1105</t>
  </si>
  <si>
    <t>=+C1106</t>
  </si>
  <si>
    <t>=+D1106</t>
  </si>
  <si>
    <t>=E1106</t>
  </si>
  <si>
    <t>=G1106</t>
  </si>
  <si>
    <t>=+K1106</t>
  </si>
  <si>
    <t>=L1106</t>
  </si>
  <si>
    <t>=+C1108</t>
  </si>
  <si>
    <t>=+D1108</t>
  </si>
  <si>
    <t>=E1108</t>
  </si>
  <si>
    <t>=G1108</t>
  </si>
  <si>
    <t>=+K1108</t>
  </si>
  <si>
    <t>=L1108</t>
  </si>
  <si>
    <t>="Total for " &amp; $L1109</t>
  </si>
  <si>
    <t>=+K1109</t>
  </si>
  <si>
    <t>=SUBTOTAL(9,T1102:T1108)</t>
  </si>
  <si>
    <t>=+C1109</t>
  </si>
  <si>
    <t>=+D1109</t>
  </si>
  <si>
    <t>=E1109</t>
  </si>
  <si>
    <t>=G1109</t>
  </si>
  <si>
    <t>=+N1110</t>
  </si>
  <si>
    <t>=M1110</t>
  </si>
  <si>
    <t>="10386"</t>
  </si>
  <si>
    <t>=NL(,"UPR30300","CHEKDATE","CHEKNMBR",$M1110,"EMPLOYID",$G1110)</t>
  </si>
  <si>
    <t>=+C1110</t>
  </si>
  <si>
    <t>=+D1110</t>
  </si>
  <si>
    <t>=E1110</t>
  </si>
  <si>
    <t>=G1110</t>
  </si>
  <si>
    <t>=+K1110</t>
  </si>
  <si>
    <t>=L1110</t>
  </si>
  <si>
    <t>=NF($O1111,"PAYRATE")</t>
  </si>
  <si>
    <t>=NF($O1111,"PAYROLCD")</t>
  </si>
  <si>
    <t>=NF($O1111,"STATECD")</t>
  </si>
  <si>
    <t>=NF($O1111,"CHEKDATE")</t>
  </si>
  <si>
    <t>=NF($O1111,"UPRTRXAM")</t>
  </si>
  <si>
    <t>=+C1111</t>
  </si>
  <si>
    <t>=+D1111</t>
  </si>
  <si>
    <t>=E1111</t>
  </si>
  <si>
    <t>=G1111</t>
  </si>
  <si>
    <t>=+K1111</t>
  </si>
  <si>
    <t>=L1111</t>
  </si>
  <si>
    <t>=+C1112</t>
  </si>
  <si>
    <t>=+D1112</t>
  </si>
  <si>
    <t>=E1112</t>
  </si>
  <si>
    <t>=G1112</t>
  </si>
  <si>
    <t>=+K1112</t>
  </si>
  <si>
    <t>=L1112</t>
  </si>
  <si>
    <t>=+C1113</t>
  </si>
  <si>
    <t>=+D1113</t>
  </si>
  <si>
    <t>=E1113</t>
  </si>
  <si>
    <t>=G1113</t>
  </si>
  <si>
    <t>=+K1113</t>
  </si>
  <si>
    <t>=L1113</t>
  </si>
  <si>
    <t>=+C1114</t>
  </si>
  <si>
    <t>=+D1114</t>
  </si>
  <si>
    <t>=E1114</t>
  </si>
  <si>
    <t>=G1114</t>
  </si>
  <si>
    <t>=+K1114</t>
  </si>
  <si>
    <t>=L1114</t>
  </si>
  <si>
    <t>=+C1115</t>
  </si>
  <si>
    <t>=+D1115</t>
  </si>
  <si>
    <t>=E1115</t>
  </si>
  <si>
    <t>=G1115</t>
  </si>
  <si>
    <t>=+K1115</t>
  </si>
  <si>
    <t>=L1115</t>
  </si>
  <si>
    <t>=+C1117</t>
  </si>
  <si>
    <t>=+D1117</t>
  </si>
  <si>
    <t>=E1117</t>
  </si>
  <si>
    <t>=G1117</t>
  </si>
  <si>
    <t>=+K1117</t>
  </si>
  <si>
    <t>=L1117</t>
  </si>
  <si>
    <t>="Total for " &amp; $L1118</t>
  </si>
  <si>
    <t>=+K1118</t>
  </si>
  <si>
    <t>=SUBTOTAL(9,T1111:T1117)</t>
  </si>
  <si>
    <t>=+C1118</t>
  </si>
  <si>
    <t>=+D1118</t>
  </si>
  <si>
    <t>=E1118</t>
  </si>
  <si>
    <t>=G1118</t>
  </si>
  <si>
    <t>=+N1119</t>
  </si>
  <si>
    <t>=M1119</t>
  </si>
  <si>
    <t>="10411"</t>
  </si>
  <si>
    <t>=NL(,"UPR30300","CHEKDATE","CHEKNMBR",$M1119,"EMPLOYID",$G1119)</t>
  </si>
  <si>
    <t>=+C1119</t>
  </si>
  <si>
    <t>=+D1119</t>
  </si>
  <si>
    <t>=E1119</t>
  </si>
  <si>
    <t>=G1119</t>
  </si>
  <si>
    <t>=+K1119</t>
  </si>
  <si>
    <t>=L1119</t>
  </si>
  <si>
    <t>=NF($O1120,"PAYRATE")</t>
  </si>
  <si>
    <t>=NF($O1120,"PAYROLCD")</t>
  </si>
  <si>
    <t>=NF($O1120,"STATECD")</t>
  </si>
  <si>
    <t>=NF($O1120,"CHEKDATE")</t>
  </si>
  <si>
    <t>=NF($O1120,"UPRTRXAM")</t>
  </si>
  <si>
    <t>=+C1120</t>
  </si>
  <si>
    <t>=+D1120</t>
  </si>
  <si>
    <t>=E1120</t>
  </si>
  <si>
    <t>=G1120</t>
  </si>
  <si>
    <t>=+K1120</t>
  </si>
  <si>
    <t>=L1120</t>
  </si>
  <si>
    <t>=+C1121</t>
  </si>
  <si>
    <t>=+D1121</t>
  </si>
  <si>
    <t>=E1121</t>
  </si>
  <si>
    <t>=G1121</t>
  </si>
  <si>
    <t>=+K1121</t>
  </si>
  <si>
    <t>=L1121</t>
  </si>
  <si>
    <t>=+C1122</t>
  </si>
  <si>
    <t>=+D1122</t>
  </si>
  <si>
    <t>=E1122</t>
  </si>
  <si>
    <t>=G1122</t>
  </si>
  <si>
    <t>=+K1122</t>
  </si>
  <si>
    <t>=L1122</t>
  </si>
  <si>
    <t>=+C1123</t>
  </si>
  <si>
    <t>=+D1123</t>
  </si>
  <si>
    <t>=E1123</t>
  </si>
  <si>
    <t>=G1123</t>
  </si>
  <si>
    <t>=+K1123</t>
  </si>
  <si>
    <t>=L1123</t>
  </si>
  <si>
    <t>=+C1124</t>
  </si>
  <si>
    <t>=+D1124</t>
  </si>
  <si>
    <t>=E1124</t>
  </si>
  <si>
    <t>=G1124</t>
  </si>
  <si>
    <t>=+K1124</t>
  </si>
  <si>
    <t>=L1124</t>
  </si>
  <si>
    <t>=+C1126</t>
  </si>
  <si>
    <t>=+D1126</t>
  </si>
  <si>
    <t>=E1126</t>
  </si>
  <si>
    <t>=G1126</t>
  </si>
  <si>
    <t>=+K1126</t>
  </si>
  <si>
    <t>=L1126</t>
  </si>
  <si>
    <t>="Total for " &amp; $L1127</t>
  </si>
  <si>
    <t>=+K1127</t>
  </si>
  <si>
    <t>=SUBTOTAL(9,T1120:T1126)</t>
  </si>
  <si>
    <t>=+C1127</t>
  </si>
  <si>
    <t>=+D1127</t>
  </si>
  <si>
    <t>=E1127</t>
  </si>
  <si>
    <t>=G1127</t>
  </si>
  <si>
    <t>=+N1128</t>
  </si>
  <si>
    <t>=M1128</t>
  </si>
  <si>
    <t>="10436"</t>
  </si>
  <si>
    <t>=NL(,"UPR30300","CHEKDATE","CHEKNMBR",$M1128,"EMPLOYID",$G1128)</t>
  </si>
  <si>
    <t>=+C1128</t>
  </si>
  <si>
    <t>=+D1128</t>
  </si>
  <si>
    <t>=E1128</t>
  </si>
  <si>
    <t>=G1128</t>
  </si>
  <si>
    <t>=+K1128</t>
  </si>
  <si>
    <t>=L1128</t>
  </si>
  <si>
    <t>=NF($O1129,"PAYRATE")</t>
  </si>
  <si>
    <t>=NF($O1129,"PAYROLCD")</t>
  </si>
  <si>
    <t>=NF($O1129,"STATECD")</t>
  </si>
  <si>
    <t>=NF($O1129,"CHEKDATE")</t>
  </si>
  <si>
    <t>=NF($O1129,"UPRTRXAM")</t>
  </si>
  <si>
    <t>=+C1129</t>
  </si>
  <si>
    <t>=+D1129</t>
  </si>
  <si>
    <t>=E1129</t>
  </si>
  <si>
    <t>=G1129</t>
  </si>
  <si>
    <t>=+K1129</t>
  </si>
  <si>
    <t>=L1129</t>
  </si>
  <si>
    <t>=+C1130</t>
  </si>
  <si>
    <t>=+D1130</t>
  </si>
  <si>
    <t>=E1130</t>
  </si>
  <si>
    <t>=G1130</t>
  </si>
  <si>
    <t>=+K1130</t>
  </si>
  <si>
    <t>=L1130</t>
  </si>
  <si>
    <t>=+C1131</t>
  </si>
  <si>
    <t>=+D1131</t>
  </si>
  <si>
    <t>=E1131</t>
  </si>
  <si>
    <t>=G1131</t>
  </si>
  <si>
    <t>=+K1131</t>
  </si>
  <si>
    <t>=L1131</t>
  </si>
  <si>
    <t>=+C1132</t>
  </si>
  <si>
    <t>=+D1132</t>
  </si>
  <si>
    <t>=E1132</t>
  </si>
  <si>
    <t>=G1132</t>
  </si>
  <si>
    <t>=+K1132</t>
  </si>
  <si>
    <t>=L1132</t>
  </si>
  <si>
    <t>=+C1133</t>
  </si>
  <si>
    <t>=+D1133</t>
  </si>
  <si>
    <t>=E1133</t>
  </si>
  <si>
    <t>=G1133</t>
  </si>
  <si>
    <t>=+K1133</t>
  </si>
  <si>
    <t>=L1133</t>
  </si>
  <si>
    <t>=+C1135</t>
  </si>
  <si>
    <t>=+D1135</t>
  </si>
  <si>
    <t>=E1135</t>
  </si>
  <si>
    <t>=G1135</t>
  </si>
  <si>
    <t>=+K1135</t>
  </si>
  <si>
    <t>=L1135</t>
  </si>
  <si>
    <t>="Total for " &amp; $L1136</t>
  </si>
  <si>
    <t>=+K1136</t>
  </si>
  <si>
    <t>=SUBTOTAL(9,T1129:T1135)</t>
  </si>
  <si>
    <t>=+C1136</t>
  </si>
  <si>
    <t>=+D1136</t>
  </si>
  <si>
    <t>=E1136</t>
  </si>
  <si>
    <t>=G1136</t>
  </si>
  <si>
    <t>=+N1137</t>
  </si>
  <si>
    <t>=M1137</t>
  </si>
  <si>
    <t>="10461"</t>
  </si>
  <si>
    <t>=NL(,"UPR30300","CHEKDATE","CHEKNMBR",$M1137,"EMPLOYID",$G1137)</t>
  </si>
  <si>
    <t>=+C1137</t>
  </si>
  <si>
    <t>=+D1137</t>
  </si>
  <si>
    <t>=E1137</t>
  </si>
  <si>
    <t>=G1137</t>
  </si>
  <si>
    <t>=+K1137</t>
  </si>
  <si>
    <t>=L1137</t>
  </si>
  <si>
    <t>=NF($O1138,"PAYRATE")</t>
  </si>
  <si>
    <t>=NF($O1138,"PAYROLCD")</t>
  </si>
  <si>
    <t>=NF($O1138,"STATECD")</t>
  </si>
  <si>
    <t>=NF($O1138,"CHEKDATE")</t>
  </si>
  <si>
    <t>=NF($O1138,"UPRTRXAM")</t>
  </si>
  <si>
    <t>=+C1138</t>
  </si>
  <si>
    <t>=+D1138</t>
  </si>
  <si>
    <t>=E1138</t>
  </si>
  <si>
    <t>=G1138</t>
  </si>
  <si>
    <t>=+K1138</t>
  </si>
  <si>
    <t>=L1138</t>
  </si>
  <si>
    <t>=+C1139</t>
  </si>
  <si>
    <t>=+D1139</t>
  </si>
  <si>
    <t>=E1139</t>
  </si>
  <si>
    <t>=G1139</t>
  </si>
  <si>
    <t>=+K1139</t>
  </si>
  <si>
    <t>=L1139</t>
  </si>
  <si>
    <t>=+C1140</t>
  </si>
  <si>
    <t>=+D1140</t>
  </si>
  <si>
    <t>=E1140</t>
  </si>
  <si>
    <t>=G1140</t>
  </si>
  <si>
    <t>=+K1140</t>
  </si>
  <si>
    <t>=L1140</t>
  </si>
  <si>
    <t>=+C1141</t>
  </si>
  <si>
    <t>=+D1141</t>
  </si>
  <si>
    <t>=E1141</t>
  </si>
  <si>
    <t>=G1141</t>
  </si>
  <si>
    <t>=+K1141</t>
  </si>
  <si>
    <t>=L1141</t>
  </si>
  <si>
    <t>=+C1142</t>
  </si>
  <si>
    <t>=+D1142</t>
  </si>
  <si>
    <t>=E1142</t>
  </si>
  <si>
    <t>=G1142</t>
  </si>
  <si>
    <t>=+K1142</t>
  </si>
  <si>
    <t>=L1142</t>
  </si>
  <si>
    <t>=+C1144</t>
  </si>
  <si>
    <t>=+D1144</t>
  </si>
  <si>
    <t>=E1144</t>
  </si>
  <si>
    <t>=G1144</t>
  </si>
  <si>
    <t>=+K1144</t>
  </si>
  <si>
    <t>=L1144</t>
  </si>
  <si>
    <t>="Total for " &amp; $L1145</t>
  </si>
  <si>
    <t>=+K1145</t>
  </si>
  <si>
    <t>=SUBTOTAL(9,T1138:T1144)</t>
  </si>
  <si>
    <t>=+C1145</t>
  </si>
  <si>
    <t>=+D1145</t>
  </si>
  <si>
    <t>=E1145</t>
  </si>
  <si>
    <t>=G1145</t>
  </si>
  <si>
    <t>=+N1146</t>
  </si>
  <si>
    <t>=M1146</t>
  </si>
  <si>
    <t>="10486"</t>
  </si>
  <si>
    <t>=NL(,"UPR30300","CHEKDATE","CHEKNMBR",$M1146,"EMPLOYID",$G1146)</t>
  </si>
  <si>
    <t>=+C1146</t>
  </si>
  <si>
    <t>=+D1146</t>
  </si>
  <si>
    <t>=E1146</t>
  </si>
  <si>
    <t>=G1146</t>
  </si>
  <si>
    <t>=+K1146</t>
  </si>
  <si>
    <t>=L1146</t>
  </si>
  <si>
    <t>=NF($O1147,"PAYRATE")</t>
  </si>
  <si>
    <t>=NF($O1147,"PAYROLCD")</t>
  </si>
  <si>
    <t>=NF($O1147,"STATECD")</t>
  </si>
  <si>
    <t>=NF($O1147,"CHEKDATE")</t>
  </si>
  <si>
    <t>=NF($O1147,"UPRTRXAM")</t>
  </si>
  <si>
    <t>=+C1147</t>
  </si>
  <si>
    <t>=+D1147</t>
  </si>
  <si>
    <t>=E1147</t>
  </si>
  <si>
    <t>=G1147</t>
  </si>
  <si>
    <t>=+K1147</t>
  </si>
  <si>
    <t>=L1147</t>
  </si>
  <si>
    <t>=+C1148</t>
  </si>
  <si>
    <t>=+D1148</t>
  </si>
  <si>
    <t>=E1148</t>
  </si>
  <si>
    <t>=G1148</t>
  </si>
  <si>
    <t>=+K1148</t>
  </si>
  <si>
    <t>=L1148</t>
  </si>
  <si>
    <t>=+C1149</t>
  </si>
  <si>
    <t>=+D1149</t>
  </si>
  <si>
    <t>=E1149</t>
  </si>
  <si>
    <t>=G1149</t>
  </si>
  <si>
    <t>=+K1149</t>
  </si>
  <si>
    <t>=L1149</t>
  </si>
  <si>
    <t>=+C1150</t>
  </si>
  <si>
    <t>=+D1150</t>
  </si>
  <si>
    <t>=E1150</t>
  </si>
  <si>
    <t>=G1150</t>
  </si>
  <si>
    <t>=+K1150</t>
  </si>
  <si>
    <t>=L1150</t>
  </si>
  <si>
    <t>=+C1151</t>
  </si>
  <si>
    <t>=+D1151</t>
  </si>
  <si>
    <t>=E1151</t>
  </si>
  <si>
    <t>=G1151</t>
  </si>
  <si>
    <t>=+K1151</t>
  </si>
  <si>
    <t>=L1151</t>
  </si>
  <si>
    <t>=+C1153</t>
  </si>
  <si>
    <t>=+D1153</t>
  </si>
  <si>
    <t>=E1153</t>
  </si>
  <si>
    <t>=G1153</t>
  </si>
  <si>
    <t>=+K1153</t>
  </si>
  <si>
    <t>=L1153</t>
  </si>
  <si>
    <t>="Total for " &amp; $L1154</t>
  </si>
  <si>
    <t>=+K1154</t>
  </si>
  <si>
    <t>=SUBTOTAL(9,T1147:T1153)</t>
  </si>
  <si>
    <t>=+C1154</t>
  </si>
  <si>
    <t>=+D1154</t>
  </si>
  <si>
    <t>=E1154</t>
  </si>
  <si>
    <t>=G1154</t>
  </si>
  <si>
    <t>=+N1155</t>
  </si>
  <si>
    <t>=M1155</t>
  </si>
  <si>
    <t>="11608"</t>
  </si>
  <si>
    <t>=NL(,"UPR30300","CHEKDATE","CHEKNMBR",$M1155,"EMPLOYID",$G1155)</t>
  </si>
  <si>
    <t>=+C1155</t>
  </si>
  <si>
    <t>=+D1155</t>
  </si>
  <si>
    <t>=E1155</t>
  </si>
  <si>
    <t>=G1155</t>
  </si>
  <si>
    <t>=+K1155</t>
  </si>
  <si>
    <t>=L1155</t>
  </si>
  <si>
    <t>=NF($O1156,"PAYRATE")</t>
  </si>
  <si>
    <t>=NF($O1156,"PAYROLCD")</t>
  </si>
  <si>
    <t>=NF($O1156,"STATECD")</t>
  </si>
  <si>
    <t>=NF($O1156,"CHEKDATE")</t>
  </si>
  <si>
    <t>=NF($O1156,"UPRTRXAM")</t>
  </si>
  <si>
    <t>=+C1156</t>
  </si>
  <si>
    <t>=+D1156</t>
  </si>
  <si>
    <t>=E1156</t>
  </si>
  <si>
    <t>=G1156</t>
  </si>
  <si>
    <t>=+K1156</t>
  </si>
  <si>
    <t>=L1156</t>
  </si>
  <si>
    <t>=+C1158</t>
  </si>
  <si>
    <t>=+D1158</t>
  </si>
  <si>
    <t>=E1158</t>
  </si>
  <si>
    <t>=G1158</t>
  </si>
  <si>
    <t>=+K1158</t>
  </si>
  <si>
    <t>=L1158</t>
  </si>
  <si>
    <t>="Total for " &amp; $L1159</t>
  </si>
  <si>
    <t>=+K1159</t>
  </si>
  <si>
    <t>=SUBTOTAL(9,T1156:T1158)</t>
  </si>
  <si>
    <t>=+C1159</t>
  </si>
  <si>
    <t>=+D1159</t>
  </si>
  <si>
    <t>=E1159</t>
  </si>
  <si>
    <t>=G1159</t>
  </si>
  <si>
    <t>=+N1160</t>
  </si>
  <si>
    <t>=M1160</t>
  </si>
  <si>
    <t>="11612"</t>
  </si>
  <si>
    <t>=NL(,"UPR30300","CHEKDATE","CHEKNMBR",$M1160,"EMPLOYID",$G1160)</t>
  </si>
  <si>
    <t>=+C1160</t>
  </si>
  <si>
    <t>=+D1160</t>
  </si>
  <si>
    <t>=E1160</t>
  </si>
  <si>
    <t>=G1160</t>
  </si>
  <si>
    <t>=+K1160</t>
  </si>
  <si>
    <t>=L1160</t>
  </si>
  <si>
    <t>=NF($O1161,"PAYRATE")</t>
  </si>
  <si>
    <t>=NF($O1161,"PAYROLCD")</t>
  </si>
  <si>
    <t>=NF($O1161,"STATECD")</t>
  </si>
  <si>
    <t>=NF($O1161,"CHEKDATE")</t>
  </si>
  <si>
    <t>=NF($O1161,"UPRTRXAM")</t>
  </si>
  <si>
    <t>=+C1161</t>
  </si>
  <si>
    <t>=+D1161</t>
  </si>
  <si>
    <t>=E1161</t>
  </si>
  <si>
    <t>=G1161</t>
  </si>
  <si>
    <t>=+K1161</t>
  </si>
  <si>
    <t>=L1161</t>
  </si>
  <si>
    <t>=+C1163</t>
  </si>
  <si>
    <t>=+D1163</t>
  </si>
  <si>
    <t>=E1163</t>
  </si>
  <si>
    <t>=G1163</t>
  </si>
  <si>
    <t>=+K1163</t>
  </si>
  <si>
    <t>=L1163</t>
  </si>
  <si>
    <t>="Total for " &amp; $L1164</t>
  </si>
  <si>
    <t>=+K1164</t>
  </si>
  <si>
    <t>=SUBTOTAL(9,T1161:T1163)</t>
  </si>
  <si>
    <t>=+C1165</t>
  </si>
  <si>
    <t>=+D1165</t>
  </si>
  <si>
    <t>=E1165</t>
  </si>
  <si>
    <t>=G1165</t>
  </si>
  <si>
    <t>="Total for " &amp; $G1166</t>
  </si>
  <si>
    <t>=+C1166</t>
  </si>
  <si>
    <t>=+D1166</t>
  </si>
  <si>
    <t>=SUBTOTAL(9,T1102:T1165)</t>
  </si>
  <si>
    <t>=+I1167</t>
  </si>
  <si>
    <t>=+J1167</t>
  </si>
  <si>
    <t>=E1166</t>
  </si>
  <si>
    <t>=H1167</t>
  </si>
  <si>
    <t>="KENN0001"</t>
  </si>
  <si>
    <t>=NL(,"UPR00100","FRSTNAME","EMPLOYID",$H1167)</t>
  </si>
  <si>
    <t>=NL(,"UPR00100","LASTNAME","EMPLOYID",$H1167)</t>
  </si>
  <si>
    <t>=+C1167</t>
  </si>
  <si>
    <t>=+D1167</t>
  </si>
  <si>
    <t>=E1167</t>
  </si>
  <si>
    <t>=G1167</t>
  </si>
  <si>
    <t>=+N1168</t>
  </si>
  <si>
    <t>=M1168</t>
  </si>
  <si>
    <t>=NL(,"UPR30300","CHEKDATE","CHEKNMBR",$M1168,"EMPLOYID",$G1168)</t>
  </si>
  <si>
    <t>=+C1168</t>
  </si>
  <si>
    <t>=+D1168</t>
  </si>
  <si>
    <t>=E1168</t>
  </si>
  <si>
    <t>=G1168</t>
  </si>
  <si>
    <t>=+K1168</t>
  </si>
  <si>
    <t>=L1168</t>
  </si>
  <si>
    <t>=NF($O1169,"PAYRATE")</t>
  </si>
  <si>
    <t>=NF($O1169,"PAYROLCD")</t>
  </si>
  <si>
    <t>=NF($O1169,"STATECD")</t>
  </si>
  <si>
    <t>=NF($O1169,"CHEKDATE")</t>
  </si>
  <si>
    <t>=NF($O1169,"UPRTRXAM")</t>
  </si>
  <si>
    <t>=+C1169</t>
  </si>
  <si>
    <t>=+D1169</t>
  </si>
  <si>
    <t>=E1169</t>
  </si>
  <si>
    <t>=G1169</t>
  </si>
  <si>
    <t>=+K1169</t>
  </si>
  <si>
    <t>=L1169</t>
  </si>
  <si>
    <t>=+C1170</t>
  </si>
  <si>
    <t>=+D1170</t>
  </si>
  <si>
    <t>=E1170</t>
  </si>
  <si>
    <t>=G1170</t>
  </si>
  <si>
    <t>=+K1170</t>
  </si>
  <si>
    <t>=L1170</t>
  </si>
  <si>
    <t>=+C1171</t>
  </si>
  <si>
    <t>=+D1171</t>
  </si>
  <si>
    <t>=E1171</t>
  </si>
  <si>
    <t>=G1171</t>
  </si>
  <si>
    <t>=+K1171</t>
  </si>
  <si>
    <t>=L1171</t>
  </si>
  <si>
    <t>=+C1172</t>
  </si>
  <si>
    <t>=+D1172</t>
  </si>
  <si>
    <t>=E1172</t>
  </si>
  <si>
    <t>=G1172</t>
  </si>
  <si>
    <t>=+K1172</t>
  </si>
  <si>
    <t>=L1172</t>
  </si>
  <si>
    <t>=+C1173</t>
  </si>
  <si>
    <t>=+D1173</t>
  </si>
  <si>
    <t>=E1173</t>
  </si>
  <si>
    <t>=G1173</t>
  </si>
  <si>
    <t>=+K1173</t>
  </si>
  <si>
    <t>=L1173</t>
  </si>
  <si>
    <t>=+C1174</t>
  </si>
  <si>
    <t>=+D1174</t>
  </si>
  <si>
    <t>=E1174</t>
  </si>
  <si>
    <t>=G1174</t>
  </si>
  <si>
    <t>=+K1174</t>
  </si>
  <si>
    <t>=L1174</t>
  </si>
  <si>
    <t>=+C1176</t>
  </si>
  <si>
    <t>=+D1176</t>
  </si>
  <si>
    <t>=E1176</t>
  </si>
  <si>
    <t>=G1176</t>
  </si>
  <si>
    <t>=+K1176</t>
  </si>
  <si>
    <t>=L1176</t>
  </si>
  <si>
    <t>="Total for " &amp; $L1177</t>
  </si>
  <si>
    <t>=+K1177</t>
  </si>
  <si>
    <t>=SUBTOTAL(9,T1169:T1176)</t>
  </si>
  <si>
    <t>=+C1177</t>
  </si>
  <si>
    <t>=+D1177</t>
  </si>
  <si>
    <t>=E1177</t>
  </si>
  <si>
    <t>=G1177</t>
  </si>
  <si>
    <t>=+N1178</t>
  </si>
  <si>
    <t>=M1178</t>
  </si>
  <si>
    <t>="10391"</t>
  </si>
  <si>
    <t>=NL(,"UPR30300","CHEKDATE","CHEKNMBR",$M1178,"EMPLOYID",$G1178)</t>
  </si>
  <si>
    <t>=+C1178</t>
  </si>
  <si>
    <t>=+D1178</t>
  </si>
  <si>
    <t>=E1178</t>
  </si>
  <si>
    <t>=G1178</t>
  </si>
  <si>
    <t>=+K1178</t>
  </si>
  <si>
    <t>=L1178</t>
  </si>
  <si>
    <t>=NF($O1179,"PAYRATE")</t>
  </si>
  <si>
    <t>=NF($O1179,"PAYROLCD")</t>
  </si>
  <si>
    <t>=NF($O1179,"STATECD")</t>
  </si>
  <si>
    <t>=NF($O1179,"CHEKDATE")</t>
  </si>
  <si>
    <t>=NF($O1179,"UPRTRXAM")</t>
  </si>
  <si>
    <t>=+C1179</t>
  </si>
  <si>
    <t>=+D1179</t>
  </si>
  <si>
    <t>=E1179</t>
  </si>
  <si>
    <t>=G1179</t>
  </si>
  <si>
    <t>=+K1179</t>
  </si>
  <si>
    <t>=L1179</t>
  </si>
  <si>
    <t>=+C1180</t>
  </si>
  <si>
    <t>=+D1180</t>
  </si>
  <si>
    <t>=E1180</t>
  </si>
  <si>
    <t>=G1180</t>
  </si>
  <si>
    <t>=+K1180</t>
  </si>
  <si>
    <t>=L1180</t>
  </si>
  <si>
    <t>=+C1181</t>
  </si>
  <si>
    <t>=+D1181</t>
  </si>
  <si>
    <t>=E1181</t>
  </si>
  <si>
    <t>=G1181</t>
  </si>
  <si>
    <t>=+K1181</t>
  </si>
  <si>
    <t>=L1181</t>
  </si>
  <si>
    <t>=+C1182</t>
  </si>
  <si>
    <t>=+D1182</t>
  </si>
  <si>
    <t>=E1182</t>
  </si>
  <si>
    <t>=G1182</t>
  </si>
  <si>
    <t>=+K1182</t>
  </si>
  <si>
    <t>=L1182</t>
  </si>
  <si>
    <t>=+C1183</t>
  </si>
  <si>
    <t>=+D1183</t>
  </si>
  <si>
    <t>=E1183</t>
  </si>
  <si>
    <t>=G1183</t>
  </si>
  <si>
    <t>=+K1183</t>
  </si>
  <si>
    <t>=L1183</t>
  </si>
  <si>
    <t>=+C1184</t>
  </si>
  <si>
    <t>=+D1184</t>
  </si>
  <si>
    <t>=E1184</t>
  </si>
  <si>
    <t>=G1184</t>
  </si>
  <si>
    <t>=+K1184</t>
  </si>
  <si>
    <t>=L1184</t>
  </si>
  <si>
    <t>=+C1186</t>
  </si>
  <si>
    <t>=+D1186</t>
  </si>
  <si>
    <t>=E1186</t>
  </si>
  <si>
    <t>=G1186</t>
  </si>
  <si>
    <t>=+K1186</t>
  </si>
  <si>
    <t>=L1186</t>
  </si>
  <si>
    <t>="Total for " &amp; $L1187</t>
  </si>
  <si>
    <t>=+K1187</t>
  </si>
  <si>
    <t>=SUBTOTAL(9,T1179:T1186)</t>
  </si>
  <si>
    <t>=+C1187</t>
  </si>
  <si>
    <t>=+D1187</t>
  </si>
  <si>
    <t>=E1187</t>
  </si>
  <si>
    <t>=G1187</t>
  </si>
  <si>
    <t>=+N1188</t>
  </si>
  <si>
    <t>=M1188</t>
  </si>
  <si>
    <t>="10416"</t>
  </si>
  <si>
    <t>=NL(,"UPR30300","CHEKDATE","CHEKNMBR",$M1188,"EMPLOYID",$G1188)</t>
  </si>
  <si>
    <t>=+C1188</t>
  </si>
  <si>
    <t>=+D1188</t>
  </si>
  <si>
    <t>=E1188</t>
  </si>
  <si>
    <t>=G1188</t>
  </si>
  <si>
    <t>=+K1188</t>
  </si>
  <si>
    <t>=L1188</t>
  </si>
  <si>
    <t>=NF($O1189,"PAYRATE")</t>
  </si>
  <si>
    <t>=NF($O1189,"PAYROLCD")</t>
  </si>
  <si>
    <t>=NF($O1189,"STATECD")</t>
  </si>
  <si>
    <t>=NF($O1189,"CHEKDATE")</t>
  </si>
  <si>
    <t>=NF($O1189,"UPRTRXAM")</t>
  </si>
  <si>
    <t>=+C1189</t>
  </si>
  <si>
    <t>=+D1189</t>
  </si>
  <si>
    <t>=E1189</t>
  </si>
  <si>
    <t>=G1189</t>
  </si>
  <si>
    <t>=+K1189</t>
  </si>
  <si>
    <t>=L1189</t>
  </si>
  <si>
    <t>=+C1190</t>
  </si>
  <si>
    <t>=+D1190</t>
  </si>
  <si>
    <t>=E1190</t>
  </si>
  <si>
    <t>=G1190</t>
  </si>
  <si>
    <t>=+K1190</t>
  </si>
  <si>
    <t>=L1190</t>
  </si>
  <si>
    <t>=+C1191</t>
  </si>
  <si>
    <t>=+D1191</t>
  </si>
  <si>
    <t>=E1191</t>
  </si>
  <si>
    <t>=G1191</t>
  </si>
  <si>
    <t>=+K1191</t>
  </si>
  <si>
    <t>=L1191</t>
  </si>
  <si>
    <t>=+C1192</t>
  </si>
  <si>
    <t>=+D1192</t>
  </si>
  <si>
    <t>=E1192</t>
  </si>
  <si>
    <t>=G1192</t>
  </si>
  <si>
    <t>=+K1192</t>
  </si>
  <si>
    <t>=L1192</t>
  </si>
  <si>
    <t>=+C1193</t>
  </si>
  <si>
    <t>=+D1193</t>
  </si>
  <si>
    <t>=E1193</t>
  </si>
  <si>
    <t>=G1193</t>
  </si>
  <si>
    <t>=+K1193</t>
  </si>
  <si>
    <t>=L1193</t>
  </si>
  <si>
    <t>=+C1194</t>
  </si>
  <si>
    <t>=+D1194</t>
  </si>
  <si>
    <t>=E1194</t>
  </si>
  <si>
    <t>=G1194</t>
  </si>
  <si>
    <t>=+K1194</t>
  </si>
  <si>
    <t>=L1194</t>
  </si>
  <si>
    <t>=+C1195</t>
  </si>
  <si>
    <t>=+D1195</t>
  </si>
  <si>
    <t>=E1195</t>
  </si>
  <si>
    <t>=G1195</t>
  </si>
  <si>
    <t>=+K1195</t>
  </si>
  <si>
    <t>=L1195</t>
  </si>
  <si>
    <t>=+C1197</t>
  </si>
  <si>
    <t>=+D1197</t>
  </si>
  <si>
    <t>=E1197</t>
  </si>
  <si>
    <t>=G1197</t>
  </si>
  <si>
    <t>=+K1197</t>
  </si>
  <si>
    <t>=L1197</t>
  </si>
  <si>
    <t>="Total for " &amp; $L1198</t>
  </si>
  <si>
    <t>=+K1198</t>
  </si>
  <si>
    <t>=SUBTOTAL(9,T1189:T1197)</t>
  </si>
  <si>
    <t>=+C1198</t>
  </si>
  <si>
    <t>=+D1198</t>
  </si>
  <si>
    <t>=E1198</t>
  </si>
  <si>
    <t>=G1198</t>
  </si>
  <si>
    <t>=+N1199</t>
  </si>
  <si>
    <t>=M1199</t>
  </si>
  <si>
    <t>="10441"</t>
  </si>
  <si>
    <t>=NL(,"UPR30300","CHEKDATE","CHEKNMBR",$M1199,"EMPLOYID",$G1199)</t>
  </si>
  <si>
    <t>=+C1199</t>
  </si>
  <si>
    <t>=+D1199</t>
  </si>
  <si>
    <t>=E1199</t>
  </si>
  <si>
    <t>=G1199</t>
  </si>
  <si>
    <t>=+K1199</t>
  </si>
  <si>
    <t>=L1199</t>
  </si>
  <si>
    <t>=NF($O1200,"PAYRATE")</t>
  </si>
  <si>
    <t>=NF($O1200,"PAYROLCD")</t>
  </si>
  <si>
    <t>=NF($O1200,"STATECD")</t>
  </si>
  <si>
    <t>=NF($O1200,"CHEKDATE")</t>
  </si>
  <si>
    <t>=NF($O1200,"UPRTRXAM")</t>
  </si>
  <si>
    <t>=+C1200</t>
  </si>
  <si>
    <t>=+D1200</t>
  </si>
  <si>
    <t>=E1200</t>
  </si>
  <si>
    <t>=G1200</t>
  </si>
  <si>
    <t>=+K1200</t>
  </si>
  <si>
    <t>=L1200</t>
  </si>
  <si>
    <t>=+C1201</t>
  </si>
  <si>
    <t>=+D1201</t>
  </si>
  <si>
    <t>=E1201</t>
  </si>
  <si>
    <t>=G1201</t>
  </si>
  <si>
    <t>=+K1201</t>
  </si>
  <si>
    <t>=L1201</t>
  </si>
  <si>
    <t>=+C1202</t>
  </si>
  <si>
    <t>=+D1202</t>
  </si>
  <si>
    <t>=E1202</t>
  </si>
  <si>
    <t>=G1202</t>
  </si>
  <si>
    <t>=+K1202</t>
  </si>
  <si>
    <t>=L1202</t>
  </si>
  <si>
    <t>=+C1203</t>
  </si>
  <si>
    <t>=+D1203</t>
  </si>
  <si>
    <t>=E1203</t>
  </si>
  <si>
    <t>=G1203</t>
  </si>
  <si>
    <t>=+K1203</t>
  </si>
  <si>
    <t>=L1203</t>
  </si>
  <si>
    <t>=+C1204</t>
  </si>
  <si>
    <t>=+D1204</t>
  </si>
  <si>
    <t>=E1204</t>
  </si>
  <si>
    <t>=G1204</t>
  </si>
  <si>
    <t>=+K1204</t>
  </si>
  <si>
    <t>=L1204</t>
  </si>
  <si>
    <t>=+C1205</t>
  </si>
  <si>
    <t>=+D1205</t>
  </si>
  <si>
    <t>=E1205</t>
  </si>
  <si>
    <t>=G1205</t>
  </si>
  <si>
    <t>=+K1205</t>
  </si>
  <si>
    <t>=L1205</t>
  </si>
  <si>
    <t>=+C1207</t>
  </si>
  <si>
    <t>=+D1207</t>
  </si>
  <si>
    <t>=E1207</t>
  </si>
  <si>
    <t>=G1207</t>
  </si>
  <si>
    <t>=+K1207</t>
  </si>
  <si>
    <t>=L1207</t>
  </si>
  <si>
    <t>="Total for " &amp; $L1208</t>
  </si>
  <si>
    <t>=+K1208</t>
  </si>
  <si>
    <t>=SUBTOTAL(9,T1200:T1207)</t>
  </si>
  <si>
    <t>=+C1208</t>
  </si>
  <si>
    <t>=+D1208</t>
  </si>
  <si>
    <t>=E1208</t>
  </si>
  <si>
    <t>=G1208</t>
  </si>
  <si>
    <t>=+N1209</t>
  </si>
  <si>
    <t>=M1209</t>
  </si>
  <si>
    <t>="10466"</t>
  </si>
  <si>
    <t>=NL(,"UPR30300","CHEKDATE","CHEKNMBR",$M1209,"EMPLOYID",$G1209)</t>
  </si>
  <si>
    <t>=+C1209</t>
  </si>
  <si>
    <t>=+D1209</t>
  </si>
  <si>
    <t>=E1209</t>
  </si>
  <si>
    <t>=G1209</t>
  </si>
  <si>
    <t>=+K1209</t>
  </si>
  <si>
    <t>=L1209</t>
  </si>
  <si>
    <t>=NF($O1210,"PAYRATE")</t>
  </si>
  <si>
    <t>=NF($O1210,"PAYROLCD")</t>
  </si>
  <si>
    <t>=NF($O1210,"STATECD")</t>
  </si>
  <si>
    <t>=NF($O1210,"CHEKDATE")</t>
  </si>
  <si>
    <t>=NF($O1210,"UPRTRXAM")</t>
  </si>
  <si>
    <t>=+C1210</t>
  </si>
  <si>
    <t>=+D1210</t>
  </si>
  <si>
    <t>=E1210</t>
  </si>
  <si>
    <t>=G1210</t>
  </si>
  <si>
    <t>=+K1210</t>
  </si>
  <si>
    <t>=L1210</t>
  </si>
  <si>
    <t>=+C1211</t>
  </si>
  <si>
    <t>=+D1211</t>
  </si>
  <si>
    <t>=E1211</t>
  </si>
  <si>
    <t>=G1211</t>
  </si>
  <si>
    <t>=+K1211</t>
  </si>
  <si>
    <t>=L1211</t>
  </si>
  <si>
    <t>=+C1212</t>
  </si>
  <si>
    <t>=+D1212</t>
  </si>
  <si>
    <t>=E1212</t>
  </si>
  <si>
    <t>=G1212</t>
  </si>
  <si>
    <t>=+K1212</t>
  </si>
  <si>
    <t>=L1212</t>
  </si>
  <si>
    <t>=+C1213</t>
  </si>
  <si>
    <t>=+D1213</t>
  </si>
  <si>
    <t>=E1213</t>
  </si>
  <si>
    <t>=G1213</t>
  </si>
  <si>
    <t>=+K1213</t>
  </si>
  <si>
    <t>=L1213</t>
  </si>
  <si>
    <t>=+C1214</t>
  </si>
  <si>
    <t>=+D1214</t>
  </si>
  <si>
    <t>=E1214</t>
  </si>
  <si>
    <t>=G1214</t>
  </si>
  <si>
    <t>=+K1214</t>
  </si>
  <si>
    <t>=L1214</t>
  </si>
  <si>
    <t>=+C1215</t>
  </si>
  <si>
    <t>=+D1215</t>
  </si>
  <si>
    <t>=E1215</t>
  </si>
  <si>
    <t>=G1215</t>
  </si>
  <si>
    <t>=+K1215</t>
  </si>
  <si>
    <t>=L1215</t>
  </si>
  <si>
    <t>=+C1217</t>
  </si>
  <si>
    <t>=+D1217</t>
  </si>
  <si>
    <t>=E1217</t>
  </si>
  <si>
    <t>=G1217</t>
  </si>
  <si>
    <t>=+K1217</t>
  </si>
  <si>
    <t>=L1217</t>
  </si>
  <si>
    <t>="Total for " &amp; $L1218</t>
  </si>
  <si>
    <t>=+K1218</t>
  </si>
  <si>
    <t>=SUBTOTAL(9,T1210:T1217)</t>
  </si>
  <si>
    <t>=+C1218</t>
  </si>
  <si>
    <t>=+D1218</t>
  </si>
  <si>
    <t>=E1218</t>
  </si>
  <si>
    <t>=G1218</t>
  </si>
  <si>
    <t>=+N1219</t>
  </si>
  <si>
    <t>=M1219</t>
  </si>
  <si>
    <t>="10491"</t>
  </si>
  <si>
    <t>=NL(,"UPR30300","CHEKDATE","CHEKNMBR",$M1219,"EMPLOYID",$G1219)</t>
  </si>
  <si>
    <t>=+C1219</t>
  </si>
  <si>
    <t>=+D1219</t>
  </si>
  <si>
    <t>=E1219</t>
  </si>
  <si>
    <t>=G1219</t>
  </si>
  <si>
    <t>=+K1219</t>
  </si>
  <si>
    <t>=L1219</t>
  </si>
  <si>
    <t>=NF($O1220,"PAYRATE")</t>
  </si>
  <si>
    <t>=NF($O1220,"PAYROLCD")</t>
  </si>
  <si>
    <t>=NF($O1220,"STATECD")</t>
  </si>
  <si>
    <t>=NF($O1220,"CHEKDATE")</t>
  </si>
  <si>
    <t>=NF($O1220,"UPRTRXAM")</t>
  </si>
  <si>
    <t>=+C1220</t>
  </si>
  <si>
    <t>=+D1220</t>
  </si>
  <si>
    <t>=E1220</t>
  </si>
  <si>
    <t>=G1220</t>
  </si>
  <si>
    <t>=+K1220</t>
  </si>
  <si>
    <t>=L1220</t>
  </si>
  <si>
    <t>=+C1221</t>
  </si>
  <si>
    <t>=+D1221</t>
  </si>
  <si>
    <t>=E1221</t>
  </si>
  <si>
    <t>=G1221</t>
  </si>
  <si>
    <t>=+K1221</t>
  </si>
  <si>
    <t>=L1221</t>
  </si>
  <si>
    <t>=+C1222</t>
  </si>
  <si>
    <t>=+D1222</t>
  </si>
  <si>
    <t>=E1222</t>
  </si>
  <si>
    <t>=G1222</t>
  </si>
  <si>
    <t>=+K1222</t>
  </si>
  <si>
    <t>=L1222</t>
  </si>
  <si>
    <t>=+C1223</t>
  </si>
  <si>
    <t>=+D1223</t>
  </si>
  <si>
    <t>=E1223</t>
  </si>
  <si>
    <t>=G1223</t>
  </si>
  <si>
    <t>=+K1223</t>
  </si>
  <si>
    <t>=L1223</t>
  </si>
  <si>
    <t>=+C1224</t>
  </si>
  <si>
    <t>=+D1224</t>
  </si>
  <si>
    <t>=E1224</t>
  </si>
  <si>
    <t>=G1224</t>
  </si>
  <si>
    <t>=+K1224</t>
  </si>
  <si>
    <t>=L1224</t>
  </si>
  <si>
    <t>=+C1225</t>
  </si>
  <si>
    <t>=+D1225</t>
  </si>
  <si>
    <t>=E1225</t>
  </si>
  <si>
    <t>=G1225</t>
  </si>
  <si>
    <t>=+K1225</t>
  </si>
  <si>
    <t>=L1225</t>
  </si>
  <si>
    <t>=+C1227</t>
  </si>
  <si>
    <t>=+D1227</t>
  </si>
  <si>
    <t>=E1227</t>
  </si>
  <si>
    <t>=G1227</t>
  </si>
  <si>
    <t>=+K1227</t>
  </si>
  <si>
    <t>=L1227</t>
  </si>
  <si>
    <t>="Total for " &amp; $L1228</t>
  </si>
  <si>
    <t>=+K1228</t>
  </si>
  <si>
    <t>=SUBTOTAL(9,T1220:T1227)</t>
  </si>
  <si>
    <t>=+C1229</t>
  </si>
  <si>
    <t>=+D1229</t>
  </si>
  <si>
    <t>=E1229</t>
  </si>
  <si>
    <t>=G1229</t>
  </si>
  <si>
    <t>="Total for " &amp; $G1230</t>
  </si>
  <si>
    <t>=+C1230</t>
  </si>
  <si>
    <t>=+D1230</t>
  </si>
  <si>
    <t>=SUBTOTAL(9,T1169:T1229)</t>
  </si>
  <si>
    <t>=+I1231</t>
  </si>
  <si>
    <t>=+J1231</t>
  </si>
  <si>
    <t>=E1230</t>
  </si>
  <si>
    <t>=H1231</t>
  </si>
  <si>
    <t>="LYON0001"</t>
  </si>
  <si>
    <t>=NL(,"UPR00100","FRSTNAME","EMPLOYID",$H1231)</t>
  </si>
  <si>
    <t>=NL(,"UPR00100","LASTNAME","EMPLOYID",$H1231)</t>
  </si>
  <si>
    <t>=+C1231</t>
  </si>
  <si>
    <t>=+D1231</t>
  </si>
  <si>
    <t>=E1231</t>
  </si>
  <si>
    <t>=G1231</t>
  </si>
  <si>
    <t>=+N1232</t>
  </si>
  <si>
    <t>=M1232</t>
  </si>
  <si>
    <t>=NL(,"UPR30300","CHEKDATE","CHEKNMBR",$M1232,"EMPLOYID",$G1232)</t>
  </si>
  <si>
    <t>=+C1232</t>
  </si>
  <si>
    <t>=+D1232</t>
  </si>
  <si>
    <t>=E1232</t>
  </si>
  <si>
    <t>=G1232</t>
  </si>
  <si>
    <t>=+K1232</t>
  </si>
  <si>
    <t>=L1232</t>
  </si>
  <si>
    <t>=NF($O1233,"PAYRATE")</t>
  </si>
  <si>
    <t>=NF($O1233,"PAYROLCD")</t>
  </si>
  <si>
    <t>=NF($O1233,"STATECD")</t>
  </si>
  <si>
    <t>=NF($O1233,"CHEKDATE")</t>
  </si>
  <si>
    <t>=NF($O1233,"UPRTRXAM")</t>
  </si>
  <si>
    <t>=+C1233</t>
  </si>
  <si>
    <t>=+D1233</t>
  </si>
  <si>
    <t>=E1233</t>
  </si>
  <si>
    <t>=G1233</t>
  </si>
  <si>
    <t>=+K1233</t>
  </si>
  <si>
    <t>=L1233</t>
  </si>
  <si>
    <t>=+C1234</t>
  </si>
  <si>
    <t>=+D1234</t>
  </si>
  <si>
    <t>=E1234</t>
  </si>
  <si>
    <t>=G1234</t>
  </si>
  <si>
    <t>=+K1234</t>
  </si>
  <si>
    <t>=L1234</t>
  </si>
  <si>
    <t>=+C1235</t>
  </si>
  <si>
    <t>=+D1235</t>
  </si>
  <si>
    <t>=E1235</t>
  </si>
  <si>
    <t>=G1235</t>
  </si>
  <si>
    <t>=+K1235</t>
  </si>
  <si>
    <t>=L1235</t>
  </si>
  <si>
    <t>=+C1236</t>
  </si>
  <si>
    <t>=+D1236</t>
  </si>
  <si>
    <t>=E1236</t>
  </si>
  <si>
    <t>=G1236</t>
  </si>
  <si>
    <t>=+K1236</t>
  </si>
  <si>
    <t>=L1236</t>
  </si>
  <si>
    <t>=+C1237</t>
  </si>
  <si>
    <t>=+D1237</t>
  </si>
  <si>
    <t>=E1237</t>
  </si>
  <si>
    <t>=G1237</t>
  </si>
  <si>
    <t>=+K1237</t>
  </si>
  <si>
    <t>=L1237</t>
  </si>
  <si>
    <t>=+C1239</t>
  </si>
  <si>
    <t>=+D1239</t>
  </si>
  <si>
    <t>=E1239</t>
  </si>
  <si>
    <t>=G1239</t>
  </si>
  <si>
    <t>=+K1239</t>
  </si>
  <si>
    <t>=L1239</t>
  </si>
  <si>
    <t>="Total for " &amp; $L1240</t>
  </si>
  <si>
    <t>=+K1240</t>
  </si>
  <si>
    <t>=SUBTOTAL(9,T1233:T1239)</t>
  </si>
  <si>
    <t>=+C1240</t>
  </si>
  <si>
    <t>=+D1240</t>
  </si>
  <si>
    <t>=E1240</t>
  </si>
  <si>
    <t>=G1240</t>
  </si>
  <si>
    <t>=+N1241</t>
  </si>
  <si>
    <t>=M1241</t>
  </si>
  <si>
    <t>="10393"</t>
  </si>
  <si>
    <t>=NL(,"UPR30300","CHEKDATE","CHEKNMBR",$M1241,"EMPLOYID",$G1241)</t>
  </si>
  <si>
    <t>=+C1241</t>
  </si>
  <si>
    <t>=+D1241</t>
  </si>
  <si>
    <t>=E1241</t>
  </si>
  <si>
    <t>=G1241</t>
  </si>
  <si>
    <t>=+K1241</t>
  </si>
  <si>
    <t>=L1241</t>
  </si>
  <si>
    <t>=NF($O1242,"PAYRATE")</t>
  </si>
  <si>
    <t>=NF($O1242,"PAYROLCD")</t>
  </si>
  <si>
    <t>=NF($O1242,"STATECD")</t>
  </si>
  <si>
    <t>=NF($O1242,"CHEKDATE")</t>
  </si>
  <si>
    <t>=NF($O1242,"UPRTRXAM")</t>
  </si>
  <si>
    <t>=+C1242</t>
  </si>
  <si>
    <t>=+D1242</t>
  </si>
  <si>
    <t>=E1242</t>
  </si>
  <si>
    <t>=G1242</t>
  </si>
  <si>
    <t>=+K1242</t>
  </si>
  <si>
    <t>=L1242</t>
  </si>
  <si>
    <t>=+C1243</t>
  </si>
  <si>
    <t>=+D1243</t>
  </si>
  <si>
    <t>=E1243</t>
  </si>
  <si>
    <t>=G1243</t>
  </si>
  <si>
    <t>=+K1243</t>
  </si>
  <si>
    <t>=L1243</t>
  </si>
  <si>
    <t>=+C1244</t>
  </si>
  <si>
    <t>=+D1244</t>
  </si>
  <si>
    <t>=E1244</t>
  </si>
  <si>
    <t>=G1244</t>
  </si>
  <si>
    <t>=+K1244</t>
  </si>
  <si>
    <t>=L1244</t>
  </si>
  <si>
    <t>=+C1245</t>
  </si>
  <si>
    <t>=+D1245</t>
  </si>
  <si>
    <t>=E1245</t>
  </si>
  <si>
    <t>=G1245</t>
  </si>
  <si>
    <t>=+K1245</t>
  </si>
  <si>
    <t>=L1245</t>
  </si>
  <si>
    <t>=+C1246</t>
  </si>
  <si>
    <t>=+D1246</t>
  </si>
  <si>
    <t>=E1246</t>
  </si>
  <si>
    <t>=G1246</t>
  </si>
  <si>
    <t>=+K1246</t>
  </si>
  <si>
    <t>=L1246</t>
  </si>
  <si>
    <t>=+C1247</t>
  </si>
  <si>
    <t>=+D1247</t>
  </si>
  <si>
    <t>=E1247</t>
  </si>
  <si>
    <t>=G1247</t>
  </si>
  <si>
    <t>=+K1247</t>
  </si>
  <si>
    <t>=L1247</t>
  </si>
  <si>
    <t>=+C1249</t>
  </si>
  <si>
    <t>=+D1249</t>
  </si>
  <si>
    <t>=E1249</t>
  </si>
  <si>
    <t>=G1249</t>
  </si>
  <si>
    <t>=+K1249</t>
  </si>
  <si>
    <t>=L1249</t>
  </si>
  <si>
    <t>="Total for " &amp; $L1250</t>
  </si>
  <si>
    <t>=+K1250</t>
  </si>
  <si>
    <t>=SUBTOTAL(9,T1242:T1249)</t>
  </si>
  <si>
    <t>=+C1250</t>
  </si>
  <si>
    <t>=+D1250</t>
  </si>
  <si>
    <t>=E1250</t>
  </si>
  <si>
    <t>=G1250</t>
  </si>
  <si>
    <t>=+N1251</t>
  </si>
  <si>
    <t>=M1251</t>
  </si>
  <si>
    <t>="10418"</t>
  </si>
  <si>
    <t>=NL(,"UPR30300","CHEKDATE","CHEKNMBR",$M1251,"EMPLOYID",$G1251)</t>
  </si>
  <si>
    <t>=+C1251</t>
  </si>
  <si>
    <t>=+D1251</t>
  </si>
  <si>
    <t>=E1251</t>
  </si>
  <si>
    <t>=G1251</t>
  </si>
  <si>
    <t>=+K1251</t>
  </si>
  <si>
    <t>=L1251</t>
  </si>
  <si>
    <t>=NF($O1252,"PAYRATE")</t>
  </si>
  <si>
    <t>=NF($O1252,"PAYROLCD")</t>
  </si>
  <si>
    <t>=NF($O1252,"STATECD")</t>
  </si>
  <si>
    <t>=NF($O1252,"CHEKDATE")</t>
  </si>
  <si>
    <t>=NF($O1252,"UPRTRXAM")</t>
  </si>
  <si>
    <t>=+C1252</t>
  </si>
  <si>
    <t>=+D1252</t>
  </si>
  <si>
    <t>=E1252</t>
  </si>
  <si>
    <t>=G1252</t>
  </si>
  <si>
    <t>=+K1252</t>
  </si>
  <si>
    <t>=L1252</t>
  </si>
  <si>
    <t>=+C1253</t>
  </si>
  <si>
    <t>=+D1253</t>
  </si>
  <si>
    <t>=E1253</t>
  </si>
  <si>
    <t>=G1253</t>
  </si>
  <si>
    <t>=+K1253</t>
  </si>
  <si>
    <t>=L1253</t>
  </si>
  <si>
    <t>=+C1254</t>
  </si>
  <si>
    <t>=+D1254</t>
  </si>
  <si>
    <t>=E1254</t>
  </si>
  <si>
    <t>=G1254</t>
  </si>
  <si>
    <t>=+K1254</t>
  </si>
  <si>
    <t>=L1254</t>
  </si>
  <si>
    <t>=+C1255</t>
  </si>
  <si>
    <t>=+D1255</t>
  </si>
  <si>
    <t>=E1255</t>
  </si>
  <si>
    <t>=G1255</t>
  </si>
  <si>
    <t>=+K1255</t>
  </si>
  <si>
    <t>=L1255</t>
  </si>
  <si>
    <t>=+C1256</t>
  </si>
  <si>
    <t>=+D1256</t>
  </si>
  <si>
    <t>=E1256</t>
  </si>
  <si>
    <t>=G1256</t>
  </si>
  <si>
    <t>=+K1256</t>
  </si>
  <si>
    <t>=L1256</t>
  </si>
  <si>
    <t>=+C1258</t>
  </si>
  <si>
    <t>=+D1258</t>
  </si>
  <si>
    <t>=E1258</t>
  </si>
  <si>
    <t>=G1258</t>
  </si>
  <si>
    <t>=+K1258</t>
  </si>
  <si>
    <t>=L1258</t>
  </si>
  <si>
    <t>="Total for " &amp; $L1259</t>
  </si>
  <si>
    <t>=+K1259</t>
  </si>
  <si>
    <t>=SUBTOTAL(9,T1252:T1258)</t>
  </si>
  <si>
    <t>=+C1259</t>
  </si>
  <si>
    <t>=+D1259</t>
  </si>
  <si>
    <t>=E1259</t>
  </si>
  <si>
    <t>=G1259</t>
  </si>
  <si>
    <t>=+N1260</t>
  </si>
  <si>
    <t>=M1260</t>
  </si>
  <si>
    <t>="10443"</t>
  </si>
  <si>
    <t>=NL(,"UPR30300","CHEKDATE","CHEKNMBR",$M1260,"EMPLOYID",$G1260)</t>
  </si>
  <si>
    <t>=+C1260</t>
  </si>
  <si>
    <t>=+D1260</t>
  </si>
  <si>
    <t>=E1260</t>
  </si>
  <si>
    <t>=G1260</t>
  </si>
  <si>
    <t>=+K1260</t>
  </si>
  <si>
    <t>=L1260</t>
  </si>
  <si>
    <t>=NF($O1261,"PAYRATE")</t>
  </si>
  <si>
    <t>=NF($O1261,"PAYROLCD")</t>
  </si>
  <si>
    <t>=NF($O1261,"STATECD")</t>
  </si>
  <si>
    <t>=NF($O1261,"CHEKDATE")</t>
  </si>
  <si>
    <t>=NF($O1261,"UPRTRXAM")</t>
  </si>
  <si>
    <t>=+C1261</t>
  </si>
  <si>
    <t>=+D1261</t>
  </si>
  <si>
    <t>=E1261</t>
  </si>
  <si>
    <t>=G1261</t>
  </si>
  <si>
    <t>=+K1261</t>
  </si>
  <si>
    <t>=L1261</t>
  </si>
  <si>
    <t>=+C1262</t>
  </si>
  <si>
    <t>=+D1262</t>
  </si>
  <si>
    <t>=E1262</t>
  </si>
  <si>
    <t>=G1262</t>
  </si>
  <si>
    <t>=+K1262</t>
  </si>
  <si>
    <t>=L1262</t>
  </si>
  <si>
    <t>=+C1263</t>
  </si>
  <si>
    <t>=+D1263</t>
  </si>
  <si>
    <t>=E1263</t>
  </si>
  <si>
    <t>=G1263</t>
  </si>
  <si>
    <t>=+K1263</t>
  </si>
  <si>
    <t>=L1263</t>
  </si>
  <si>
    <t>=+C1264</t>
  </si>
  <si>
    <t>=+D1264</t>
  </si>
  <si>
    <t>=E1264</t>
  </si>
  <si>
    <t>=G1264</t>
  </si>
  <si>
    <t>=+K1264</t>
  </si>
  <si>
    <t>=L1264</t>
  </si>
  <si>
    <t>=+C1265</t>
  </si>
  <si>
    <t>=+D1265</t>
  </si>
  <si>
    <t>=E1265</t>
  </si>
  <si>
    <t>=G1265</t>
  </si>
  <si>
    <t>=+K1265</t>
  </si>
  <si>
    <t>=L1265</t>
  </si>
  <si>
    <t>=+C1267</t>
  </si>
  <si>
    <t>=+D1267</t>
  </si>
  <si>
    <t>=E1267</t>
  </si>
  <si>
    <t>=G1267</t>
  </si>
  <si>
    <t>=+K1267</t>
  </si>
  <si>
    <t>=L1267</t>
  </si>
  <si>
    <t>="Total for " &amp; $L1268</t>
  </si>
  <si>
    <t>=+K1268</t>
  </si>
  <si>
    <t>=SUBTOTAL(9,T1261:T1267)</t>
  </si>
  <si>
    <t>=+C1268</t>
  </si>
  <si>
    <t>=+D1268</t>
  </si>
  <si>
    <t>=E1268</t>
  </si>
  <si>
    <t>=G1268</t>
  </si>
  <si>
    <t>=+N1269</t>
  </si>
  <si>
    <t>=M1269</t>
  </si>
  <si>
    <t>="10468"</t>
  </si>
  <si>
    <t>=NL(,"UPR30300","CHEKDATE","CHEKNMBR",$M1269,"EMPLOYID",$G1269)</t>
  </si>
  <si>
    <t>=+C1269</t>
  </si>
  <si>
    <t>=+D1269</t>
  </si>
  <si>
    <t>=E1269</t>
  </si>
  <si>
    <t>=G1269</t>
  </si>
  <si>
    <t>=+K1269</t>
  </si>
  <si>
    <t>=L1269</t>
  </si>
  <si>
    <t>=NF($O1270,"PAYRATE")</t>
  </si>
  <si>
    <t>=NF($O1270,"PAYROLCD")</t>
  </si>
  <si>
    <t>=NF($O1270,"STATECD")</t>
  </si>
  <si>
    <t>=NF($O1270,"CHEKDATE")</t>
  </si>
  <si>
    <t>=NF($O1270,"UPRTRXAM")</t>
  </si>
  <si>
    <t>=+C1270</t>
  </si>
  <si>
    <t>=+D1270</t>
  </si>
  <si>
    <t>=E1270</t>
  </si>
  <si>
    <t>=G1270</t>
  </si>
  <si>
    <t>=+K1270</t>
  </si>
  <si>
    <t>=L1270</t>
  </si>
  <si>
    <t>=+C1271</t>
  </si>
  <si>
    <t>=+D1271</t>
  </si>
  <si>
    <t>=E1271</t>
  </si>
  <si>
    <t>=G1271</t>
  </si>
  <si>
    <t>=+K1271</t>
  </si>
  <si>
    <t>=L1271</t>
  </si>
  <si>
    <t>=+C1272</t>
  </si>
  <si>
    <t>=+D1272</t>
  </si>
  <si>
    <t>=E1272</t>
  </si>
  <si>
    <t>=G1272</t>
  </si>
  <si>
    <t>=+K1272</t>
  </si>
  <si>
    <t>=L1272</t>
  </si>
  <si>
    <t>=+C1273</t>
  </si>
  <si>
    <t>=+D1273</t>
  </si>
  <si>
    <t>=E1273</t>
  </si>
  <si>
    <t>=G1273</t>
  </si>
  <si>
    <t>=+K1273</t>
  </si>
  <si>
    <t>=L1273</t>
  </si>
  <si>
    <t>=+C1274</t>
  </si>
  <si>
    <t>=+D1274</t>
  </si>
  <si>
    <t>=E1274</t>
  </si>
  <si>
    <t>=G1274</t>
  </si>
  <si>
    <t>=+K1274</t>
  </si>
  <si>
    <t>=L1274</t>
  </si>
  <si>
    <t>=+C1276</t>
  </si>
  <si>
    <t>=+D1276</t>
  </si>
  <si>
    <t>=E1276</t>
  </si>
  <si>
    <t>=G1276</t>
  </si>
  <si>
    <t>=+K1276</t>
  </si>
  <si>
    <t>=L1276</t>
  </si>
  <si>
    <t>="Total for " &amp; $L1277</t>
  </si>
  <si>
    <t>=+K1277</t>
  </si>
  <si>
    <t>=SUBTOTAL(9,T1270:T1276)</t>
  </si>
  <si>
    <t>=+C1277</t>
  </si>
  <si>
    <t>=+D1277</t>
  </si>
  <si>
    <t>=E1277</t>
  </si>
  <si>
    <t>=G1277</t>
  </si>
  <si>
    <t>=+N1278</t>
  </si>
  <si>
    <t>=M1278</t>
  </si>
  <si>
    <t>="10493"</t>
  </si>
  <si>
    <t>=NL(,"UPR30300","CHEKDATE","CHEKNMBR",$M1278,"EMPLOYID",$G1278)</t>
  </si>
  <si>
    <t>=+C1278</t>
  </si>
  <si>
    <t>=+D1278</t>
  </si>
  <si>
    <t>=E1278</t>
  </si>
  <si>
    <t>=G1278</t>
  </si>
  <si>
    <t>=+K1278</t>
  </si>
  <si>
    <t>=L1278</t>
  </si>
  <si>
    <t>=NF($O1279,"PAYRATE")</t>
  </si>
  <si>
    <t>=NF($O1279,"PAYROLCD")</t>
  </si>
  <si>
    <t>=NF($O1279,"STATECD")</t>
  </si>
  <si>
    <t>=NF($O1279,"CHEKDATE")</t>
  </si>
  <si>
    <t>=NF($O1279,"UPRTRXAM")</t>
  </si>
  <si>
    <t>=+C1279</t>
  </si>
  <si>
    <t>=+D1279</t>
  </si>
  <si>
    <t>=E1279</t>
  </si>
  <si>
    <t>=G1279</t>
  </si>
  <si>
    <t>=+K1279</t>
  </si>
  <si>
    <t>=L1279</t>
  </si>
  <si>
    <t>=+C1280</t>
  </si>
  <si>
    <t>=+D1280</t>
  </si>
  <si>
    <t>=E1280</t>
  </si>
  <si>
    <t>=G1280</t>
  </si>
  <si>
    <t>=+K1280</t>
  </si>
  <si>
    <t>=L1280</t>
  </si>
  <si>
    <t>=+C1281</t>
  </si>
  <si>
    <t>=+D1281</t>
  </si>
  <si>
    <t>=E1281</t>
  </si>
  <si>
    <t>=G1281</t>
  </si>
  <si>
    <t>=+K1281</t>
  </si>
  <si>
    <t>=L1281</t>
  </si>
  <si>
    <t>=+C1282</t>
  </si>
  <si>
    <t>=+D1282</t>
  </si>
  <si>
    <t>=E1282</t>
  </si>
  <si>
    <t>=G1282</t>
  </si>
  <si>
    <t>=+K1282</t>
  </si>
  <si>
    <t>=L1282</t>
  </si>
  <si>
    <t>=+C1283</t>
  </si>
  <si>
    <t>=+D1283</t>
  </si>
  <si>
    <t>=E1283</t>
  </si>
  <si>
    <t>=G1283</t>
  </si>
  <si>
    <t>=+K1283</t>
  </si>
  <si>
    <t>=L1283</t>
  </si>
  <si>
    <t>=+C1285</t>
  </si>
  <si>
    <t>=+D1285</t>
  </si>
  <si>
    <t>=E1285</t>
  </si>
  <si>
    <t>=G1285</t>
  </si>
  <si>
    <t>=+K1285</t>
  </si>
  <si>
    <t>=L1285</t>
  </si>
  <si>
    <t>="Total for " &amp; $L1286</t>
  </si>
  <si>
    <t>=+K1286</t>
  </si>
  <si>
    <t>=SUBTOTAL(9,T1279:T1285)</t>
  </si>
  <si>
    <t>=+C1287</t>
  </si>
  <si>
    <t>=+D1287</t>
  </si>
  <si>
    <t>=E1287</t>
  </si>
  <si>
    <t>=G1287</t>
  </si>
  <si>
    <t>="Total for " &amp; $G1288</t>
  </si>
  <si>
    <t>=+C1288</t>
  </si>
  <si>
    <t>=+D1288</t>
  </si>
  <si>
    <t>=SUBTOTAL(9,T1233:T1287)</t>
  </si>
  <si>
    <t>=+I1289</t>
  </si>
  <si>
    <t>=+J1289</t>
  </si>
  <si>
    <t>=E1288</t>
  </si>
  <si>
    <t>=H1289</t>
  </si>
  <si>
    <t>="LYSA0001"</t>
  </si>
  <si>
    <t>=NL(,"UPR00100","FRSTNAME","EMPLOYID",$H1289)</t>
  </si>
  <si>
    <t>=NL(,"UPR00100","LASTNAME","EMPLOYID",$H1289)</t>
  </si>
  <si>
    <t>=+C1289</t>
  </si>
  <si>
    <t>=+D1289</t>
  </si>
  <si>
    <t>=E1289</t>
  </si>
  <si>
    <t>=G1289</t>
  </si>
  <si>
    <t>=+N1290</t>
  </si>
  <si>
    <t>=M1290</t>
  </si>
  <si>
    <t>=NL(,"UPR30300","CHEKDATE","CHEKNMBR",$M1290,"EMPLOYID",$G1290)</t>
  </si>
  <si>
    <t>=+C1290</t>
  </si>
  <si>
    <t>=+D1290</t>
  </si>
  <si>
    <t>=E1290</t>
  </si>
  <si>
    <t>=G1290</t>
  </si>
  <si>
    <t>=+K1290</t>
  </si>
  <si>
    <t>=L1290</t>
  </si>
  <si>
    <t>=NF($O1291,"PAYRATE")</t>
  </si>
  <si>
    <t>=NF($O1291,"PAYROLCD")</t>
  </si>
  <si>
    <t>=NF($O1291,"STATECD")</t>
  </si>
  <si>
    <t>=NF($O1291,"CHEKDATE")</t>
  </si>
  <si>
    <t>=NF($O1291,"UPRTRXAM")</t>
  </si>
  <si>
    <t>=+C1291</t>
  </si>
  <si>
    <t>=+D1291</t>
  </si>
  <si>
    <t>=E1291</t>
  </si>
  <si>
    <t>=G1291</t>
  </si>
  <si>
    <t>=+K1291</t>
  </si>
  <si>
    <t>=L1291</t>
  </si>
  <si>
    <t>=+C1292</t>
  </si>
  <si>
    <t>=+D1292</t>
  </si>
  <si>
    <t>=E1292</t>
  </si>
  <si>
    <t>=G1292</t>
  </si>
  <si>
    <t>=+K1292</t>
  </si>
  <si>
    <t>=L1292</t>
  </si>
  <si>
    <t>=+C1293</t>
  </si>
  <si>
    <t>=+D1293</t>
  </si>
  <si>
    <t>=E1293</t>
  </si>
  <si>
    <t>=G1293</t>
  </si>
  <si>
    <t>=+K1293</t>
  </si>
  <si>
    <t>=L1293</t>
  </si>
  <si>
    <t>=+C1294</t>
  </si>
  <si>
    <t>=+D1294</t>
  </si>
  <si>
    <t>=E1294</t>
  </si>
  <si>
    <t>=G1294</t>
  </si>
  <si>
    <t>=+K1294</t>
  </si>
  <si>
    <t>=L1294</t>
  </si>
  <si>
    <t>=+C1295</t>
  </si>
  <si>
    <t>=+D1295</t>
  </si>
  <si>
    <t>=E1295</t>
  </si>
  <si>
    <t>=G1295</t>
  </si>
  <si>
    <t>=+K1295</t>
  </si>
  <si>
    <t>=L1295</t>
  </si>
  <si>
    <t>=+C1296</t>
  </si>
  <si>
    <t>=+D1296</t>
  </si>
  <si>
    <t>=E1296</t>
  </si>
  <si>
    <t>=G1296</t>
  </si>
  <si>
    <t>=+K1296</t>
  </si>
  <si>
    <t>=L1296</t>
  </si>
  <si>
    <t>=+C1298</t>
  </si>
  <si>
    <t>=+D1298</t>
  </si>
  <si>
    <t>=E1298</t>
  </si>
  <si>
    <t>=G1298</t>
  </si>
  <si>
    <t>=+K1298</t>
  </si>
  <si>
    <t>=L1298</t>
  </si>
  <si>
    <t>="Total for " &amp; $L1299</t>
  </si>
  <si>
    <t>=+K1299</t>
  </si>
  <si>
    <t>=SUBTOTAL(9,T1291:T1298)</t>
  </si>
  <si>
    <t>=+C1299</t>
  </si>
  <si>
    <t>=+D1299</t>
  </si>
  <si>
    <t>=E1299</t>
  </si>
  <si>
    <t>=G1299</t>
  </si>
  <si>
    <t>=+N1300</t>
  </si>
  <si>
    <t>=M1300</t>
  </si>
  <si>
    <t>="10394"</t>
  </si>
  <si>
    <t>=NL(,"UPR30300","CHEKDATE","CHEKNMBR",$M1300,"EMPLOYID",$G1300)</t>
  </si>
  <si>
    <t>=+C1300</t>
  </si>
  <si>
    <t>=+D1300</t>
  </si>
  <si>
    <t>=E1300</t>
  </si>
  <si>
    <t>=G1300</t>
  </si>
  <si>
    <t>=+K1300</t>
  </si>
  <si>
    <t>=L1300</t>
  </si>
  <si>
    <t>=NF($O1301,"PAYRATE")</t>
  </si>
  <si>
    <t>=NF($O1301,"PAYROLCD")</t>
  </si>
  <si>
    <t>=NF($O1301,"STATECD")</t>
  </si>
  <si>
    <t>=NF($O1301,"CHEKDATE")</t>
  </si>
  <si>
    <t>=NF($O1301,"UPRTRXAM")</t>
  </si>
  <si>
    <t>=+C1301</t>
  </si>
  <si>
    <t>=+D1301</t>
  </si>
  <si>
    <t>=E1301</t>
  </si>
  <si>
    <t>=G1301</t>
  </si>
  <si>
    <t>=+K1301</t>
  </si>
  <si>
    <t>=L1301</t>
  </si>
  <si>
    <t>=+C1302</t>
  </si>
  <si>
    <t>=+D1302</t>
  </si>
  <si>
    <t>=E1302</t>
  </si>
  <si>
    <t>=G1302</t>
  </si>
  <si>
    <t>=+K1302</t>
  </si>
  <si>
    <t>=L1302</t>
  </si>
  <si>
    <t>=+C1303</t>
  </si>
  <si>
    <t>=+D1303</t>
  </si>
  <si>
    <t>=E1303</t>
  </si>
  <si>
    <t>=G1303</t>
  </si>
  <si>
    <t>=+K1303</t>
  </si>
  <si>
    <t>=L1303</t>
  </si>
  <si>
    <t>=+C1304</t>
  </si>
  <si>
    <t>=+D1304</t>
  </si>
  <si>
    <t>=E1304</t>
  </si>
  <si>
    <t>=G1304</t>
  </si>
  <si>
    <t>=+K1304</t>
  </si>
  <si>
    <t>=L1304</t>
  </si>
  <si>
    <t>=+C1305</t>
  </si>
  <si>
    <t>=+D1305</t>
  </si>
  <si>
    <t>=E1305</t>
  </si>
  <si>
    <t>=G1305</t>
  </si>
  <si>
    <t>=+K1305</t>
  </si>
  <si>
    <t>=L1305</t>
  </si>
  <si>
    <t>=+C1306</t>
  </si>
  <si>
    <t>=+D1306</t>
  </si>
  <si>
    <t>=E1306</t>
  </si>
  <si>
    <t>=G1306</t>
  </si>
  <si>
    <t>=+K1306</t>
  </si>
  <si>
    <t>=L1306</t>
  </si>
  <si>
    <t>=+C1308</t>
  </si>
  <si>
    <t>=+D1308</t>
  </si>
  <si>
    <t>=E1308</t>
  </si>
  <si>
    <t>=G1308</t>
  </si>
  <si>
    <t>=+K1308</t>
  </si>
  <si>
    <t>=L1308</t>
  </si>
  <si>
    <t>="Total for " &amp; $L1309</t>
  </si>
  <si>
    <t>=+K1309</t>
  </si>
  <si>
    <t>=SUBTOTAL(9,T1301:T1308)</t>
  </si>
  <si>
    <t>=+C1309</t>
  </si>
  <si>
    <t>=+D1309</t>
  </si>
  <si>
    <t>=E1309</t>
  </si>
  <si>
    <t>=G1309</t>
  </si>
  <si>
    <t>=+N1310</t>
  </si>
  <si>
    <t>=M1310</t>
  </si>
  <si>
    <t>="10419"</t>
  </si>
  <si>
    <t>=NL(,"UPR30300","CHEKDATE","CHEKNMBR",$M1310,"EMPLOYID",$G1310)</t>
  </si>
  <si>
    <t>=+C1310</t>
  </si>
  <si>
    <t>=+D1310</t>
  </si>
  <si>
    <t>=E1310</t>
  </si>
  <si>
    <t>=G1310</t>
  </si>
  <si>
    <t>=+K1310</t>
  </si>
  <si>
    <t>=L1310</t>
  </si>
  <si>
    <t>=NF($O1311,"PAYRATE")</t>
  </si>
  <si>
    <t>=NF($O1311,"PAYROLCD")</t>
  </si>
  <si>
    <t>=NF($O1311,"STATECD")</t>
  </si>
  <si>
    <t>=NF($O1311,"CHEKDATE")</t>
  </si>
  <si>
    <t>=NF($O1311,"UPRTRXAM")</t>
  </si>
  <si>
    <t>=+C1311</t>
  </si>
  <si>
    <t>=+D1311</t>
  </si>
  <si>
    <t>=E1311</t>
  </si>
  <si>
    <t>=G1311</t>
  </si>
  <si>
    <t>=+K1311</t>
  </si>
  <si>
    <t>=L1311</t>
  </si>
  <si>
    <t>=+C1312</t>
  </si>
  <si>
    <t>=+D1312</t>
  </si>
  <si>
    <t>=E1312</t>
  </si>
  <si>
    <t>=G1312</t>
  </si>
  <si>
    <t>=+K1312</t>
  </si>
  <si>
    <t>=L1312</t>
  </si>
  <si>
    <t>=+C1313</t>
  </si>
  <si>
    <t>=+D1313</t>
  </si>
  <si>
    <t>=E1313</t>
  </si>
  <si>
    <t>=G1313</t>
  </si>
  <si>
    <t>=+K1313</t>
  </si>
  <si>
    <t>=L1313</t>
  </si>
  <si>
    <t>=+C1314</t>
  </si>
  <si>
    <t>=+D1314</t>
  </si>
  <si>
    <t>=E1314</t>
  </si>
  <si>
    <t>=G1314</t>
  </si>
  <si>
    <t>=+K1314</t>
  </si>
  <si>
    <t>=L1314</t>
  </si>
  <si>
    <t>=+C1315</t>
  </si>
  <si>
    <t>=+D1315</t>
  </si>
  <si>
    <t>=E1315</t>
  </si>
  <si>
    <t>=G1315</t>
  </si>
  <si>
    <t>=+K1315</t>
  </si>
  <si>
    <t>=L1315</t>
  </si>
  <si>
    <t>=+C1316</t>
  </si>
  <si>
    <t>=+D1316</t>
  </si>
  <si>
    <t>=E1316</t>
  </si>
  <si>
    <t>=G1316</t>
  </si>
  <si>
    <t>=+K1316</t>
  </si>
  <si>
    <t>=L1316</t>
  </si>
  <si>
    <t>=+C1318</t>
  </si>
  <si>
    <t>=+D1318</t>
  </si>
  <si>
    <t>=E1318</t>
  </si>
  <si>
    <t>=G1318</t>
  </si>
  <si>
    <t>=+K1318</t>
  </si>
  <si>
    <t>=L1318</t>
  </si>
  <si>
    <t>="Total for " &amp; $L1319</t>
  </si>
  <si>
    <t>=+K1319</t>
  </si>
  <si>
    <t>=SUBTOTAL(9,T1311:T1318)</t>
  </si>
  <si>
    <t>=+C1319</t>
  </si>
  <si>
    <t>=+D1319</t>
  </si>
  <si>
    <t>=E1319</t>
  </si>
  <si>
    <t>=G1319</t>
  </si>
  <si>
    <t>=+N1320</t>
  </si>
  <si>
    <t>=M1320</t>
  </si>
  <si>
    <t>="10444"</t>
  </si>
  <si>
    <t>=NL(,"UPR30300","CHEKDATE","CHEKNMBR",$M1320,"EMPLOYID",$G1320)</t>
  </si>
  <si>
    <t>=+C1320</t>
  </si>
  <si>
    <t>=+D1320</t>
  </si>
  <si>
    <t>=E1320</t>
  </si>
  <si>
    <t>=G1320</t>
  </si>
  <si>
    <t>=+K1320</t>
  </si>
  <si>
    <t>=L1320</t>
  </si>
  <si>
    <t>=NF($O1321,"PAYRATE")</t>
  </si>
  <si>
    <t>=NF($O1321,"PAYROLCD")</t>
  </si>
  <si>
    <t>=NF($O1321,"STATECD")</t>
  </si>
  <si>
    <t>=NF($O1321,"CHEKDATE")</t>
  </si>
  <si>
    <t>=NF($O1321,"UPRTRXAM")</t>
  </si>
  <si>
    <t>=+C1321</t>
  </si>
  <si>
    <t>=+D1321</t>
  </si>
  <si>
    <t>=E1321</t>
  </si>
  <si>
    <t>=G1321</t>
  </si>
  <si>
    <t>=+K1321</t>
  </si>
  <si>
    <t>=L1321</t>
  </si>
  <si>
    <t>=+C1322</t>
  </si>
  <si>
    <t>=+D1322</t>
  </si>
  <si>
    <t>=E1322</t>
  </si>
  <si>
    <t>=G1322</t>
  </si>
  <si>
    <t>=+K1322</t>
  </si>
  <si>
    <t>=L1322</t>
  </si>
  <si>
    <t>=+C1323</t>
  </si>
  <si>
    <t>=+D1323</t>
  </si>
  <si>
    <t>=E1323</t>
  </si>
  <si>
    <t>=G1323</t>
  </si>
  <si>
    <t>=+K1323</t>
  </si>
  <si>
    <t>=L1323</t>
  </si>
  <si>
    <t>=+C1324</t>
  </si>
  <si>
    <t>=+D1324</t>
  </si>
  <si>
    <t>=E1324</t>
  </si>
  <si>
    <t>=G1324</t>
  </si>
  <si>
    <t>=+K1324</t>
  </si>
  <si>
    <t>=L1324</t>
  </si>
  <si>
    <t>=+C1325</t>
  </si>
  <si>
    <t>=+D1325</t>
  </si>
  <si>
    <t>=E1325</t>
  </si>
  <si>
    <t>=G1325</t>
  </si>
  <si>
    <t>=+K1325</t>
  </si>
  <si>
    <t>=L1325</t>
  </si>
  <si>
    <t>=+C1326</t>
  </si>
  <si>
    <t>=+D1326</t>
  </si>
  <si>
    <t>=E1326</t>
  </si>
  <si>
    <t>=G1326</t>
  </si>
  <si>
    <t>=+K1326</t>
  </si>
  <si>
    <t>=L1326</t>
  </si>
  <si>
    <t>=+C1328</t>
  </si>
  <si>
    <t>=+D1328</t>
  </si>
  <si>
    <t>=E1328</t>
  </si>
  <si>
    <t>=G1328</t>
  </si>
  <si>
    <t>=+K1328</t>
  </si>
  <si>
    <t>=L1328</t>
  </si>
  <si>
    <t>="Total for " &amp; $L1329</t>
  </si>
  <si>
    <t>=+K1329</t>
  </si>
  <si>
    <t>=SUBTOTAL(9,T1321:T1328)</t>
  </si>
  <si>
    <t>=+C1329</t>
  </si>
  <si>
    <t>=+D1329</t>
  </si>
  <si>
    <t>=E1329</t>
  </si>
  <si>
    <t>=G1329</t>
  </si>
  <si>
    <t>=+N1330</t>
  </si>
  <si>
    <t>=M1330</t>
  </si>
  <si>
    <t>="10469"</t>
  </si>
  <si>
    <t>=NL(,"UPR30300","CHEKDATE","CHEKNMBR",$M1330,"EMPLOYID",$G1330)</t>
  </si>
  <si>
    <t>=+C1330</t>
  </si>
  <si>
    <t>=+D1330</t>
  </si>
  <si>
    <t>=E1330</t>
  </si>
  <si>
    <t>=G1330</t>
  </si>
  <si>
    <t>=+K1330</t>
  </si>
  <si>
    <t>=L1330</t>
  </si>
  <si>
    <t>=NF($O1331,"PAYRATE")</t>
  </si>
  <si>
    <t>=NF($O1331,"PAYROLCD")</t>
  </si>
  <si>
    <t>=NF($O1331,"STATECD")</t>
  </si>
  <si>
    <t>=NF($O1331,"CHEKDATE")</t>
  </si>
  <si>
    <t>=NF($O1331,"UPRTRXAM")</t>
  </si>
  <si>
    <t>=+C1331</t>
  </si>
  <si>
    <t>=+D1331</t>
  </si>
  <si>
    <t>=E1331</t>
  </si>
  <si>
    <t>=G1331</t>
  </si>
  <si>
    <t>=+K1331</t>
  </si>
  <si>
    <t>=L1331</t>
  </si>
  <si>
    <t>=+C1332</t>
  </si>
  <si>
    <t>=+D1332</t>
  </si>
  <si>
    <t>=E1332</t>
  </si>
  <si>
    <t>=G1332</t>
  </si>
  <si>
    <t>=+K1332</t>
  </si>
  <si>
    <t>=L1332</t>
  </si>
  <si>
    <t>=+C1333</t>
  </si>
  <si>
    <t>=+D1333</t>
  </si>
  <si>
    <t>=E1333</t>
  </si>
  <si>
    <t>=G1333</t>
  </si>
  <si>
    <t>=+K1333</t>
  </si>
  <si>
    <t>=L1333</t>
  </si>
  <si>
    <t>=+C1334</t>
  </si>
  <si>
    <t>=+D1334</t>
  </si>
  <si>
    <t>=E1334</t>
  </si>
  <si>
    <t>=G1334</t>
  </si>
  <si>
    <t>=+K1334</t>
  </si>
  <si>
    <t>=L1334</t>
  </si>
  <si>
    <t>=+C1335</t>
  </si>
  <si>
    <t>=+D1335</t>
  </si>
  <si>
    <t>=E1335</t>
  </si>
  <si>
    <t>=G1335</t>
  </si>
  <si>
    <t>=+K1335</t>
  </si>
  <si>
    <t>=L1335</t>
  </si>
  <si>
    <t>=+C1336</t>
  </si>
  <si>
    <t>=+D1336</t>
  </si>
  <si>
    <t>=E1336</t>
  </si>
  <si>
    <t>=G1336</t>
  </si>
  <si>
    <t>=+K1336</t>
  </si>
  <si>
    <t>=L1336</t>
  </si>
  <si>
    <t>=+C1338</t>
  </si>
  <si>
    <t>=+D1338</t>
  </si>
  <si>
    <t>=E1338</t>
  </si>
  <si>
    <t>=G1338</t>
  </si>
  <si>
    <t>=+K1338</t>
  </si>
  <si>
    <t>=L1338</t>
  </si>
  <si>
    <t>="Total for " &amp; $L1339</t>
  </si>
  <si>
    <t>=+K1339</t>
  </si>
  <si>
    <t>=SUBTOTAL(9,T1331:T1338)</t>
  </si>
  <si>
    <t>=+C1339</t>
  </si>
  <si>
    <t>=+D1339</t>
  </si>
  <si>
    <t>=E1339</t>
  </si>
  <si>
    <t>=G1339</t>
  </si>
  <si>
    <t>=+N1340</t>
  </si>
  <si>
    <t>=M1340</t>
  </si>
  <si>
    <t>="10494"</t>
  </si>
  <si>
    <t>=NL(,"UPR30300","CHEKDATE","CHEKNMBR",$M1340,"EMPLOYID",$G1340)</t>
  </si>
  <si>
    <t>=+C1340</t>
  </si>
  <si>
    <t>=+D1340</t>
  </si>
  <si>
    <t>=E1340</t>
  </si>
  <si>
    <t>=G1340</t>
  </si>
  <si>
    <t>=+K1340</t>
  </si>
  <si>
    <t>=L1340</t>
  </si>
  <si>
    <t>=NF($O1341,"PAYRATE")</t>
  </si>
  <si>
    <t>=NF($O1341,"PAYROLCD")</t>
  </si>
  <si>
    <t>=NF($O1341,"STATECD")</t>
  </si>
  <si>
    <t>=NF($O1341,"CHEKDATE")</t>
  </si>
  <si>
    <t>=NF($O1341,"UPRTRXAM")</t>
  </si>
  <si>
    <t>=+C1341</t>
  </si>
  <si>
    <t>=+D1341</t>
  </si>
  <si>
    <t>=E1341</t>
  </si>
  <si>
    <t>=G1341</t>
  </si>
  <si>
    <t>=+K1341</t>
  </si>
  <si>
    <t>=L1341</t>
  </si>
  <si>
    <t>=+C1342</t>
  </si>
  <si>
    <t>=+D1342</t>
  </si>
  <si>
    <t>=E1342</t>
  </si>
  <si>
    <t>=G1342</t>
  </si>
  <si>
    <t>=+K1342</t>
  </si>
  <si>
    <t>=L1342</t>
  </si>
  <si>
    <t>=+C1343</t>
  </si>
  <si>
    <t>=+D1343</t>
  </si>
  <si>
    <t>=E1343</t>
  </si>
  <si>
    <t>=G1343</t>
  </si>
  <si>
    <t>=+K1343</t>
  </si>
  <si>
    <t>=L1343</t>
  </si>
  <si>
    <t>=+C1344</t>
  </si>
  <si>
    <t>=+D1344</t>
  </si>
  <si>
    <t>=E1344</t>
  </si>
  <si>
    <t>=G1344</t>
  </si>
  <si>
    <t>=+K1344</t>
  </si>
  <si>
    <t>=L1344</t>
  </si>
  <si>
    <t>=+C1345</t>
  </si>
  <si>
    <t>=+D1345</t>
  </si>
  <si>
    <t>=E1345</t>
  </si>
  <si>
    <t>=G1345</t>
  </si>
  <si>
    <t>=+K1345</t>
  </si>
  <si>
    <t>=L1345</t>
  </si>
  <si>
    <t>=+C1346</t>
  </si>
  <si>
    <t>=+D1346</t>
  </si>
  <si>
    <t>=E1346</t>
  </si>
  <si>
    <t>=G1346</t>
  </si>
  <si>
    <t>=+K1346</t>
  </si>
  <si>
    <t>=L1346</t>
  </si>
  <si>
    <t>=+C1348</t>
  </si>
  <si>
    <t>=+D1348</t>
  </si>
  <si>
    <t>=E1348</t>
  </si>
  <si>
    <t>=G1348</t>
  </si>
  <si>
    <t>=+K1348</t>
  </si>
  <si>
    <t>=L1348</t>
  </si>
  <si>
    <t>="Total for " &amp; $L1349</t>
  </si>
  <si>
    <t>=+K1349</t>
  </si>
  <si>
    <t>=SUBTOTAL(9,T1341:T1348)</t>
  </si>
  <si>
    <t>=+C1350</t>
  </si>
  <si>
    <t>=+D1350</t>
  </si>
  <si>
    <t>=E1350</t>
  </si>
  <si>
    <t>=G1350</t>
  </si>
  <si>
    <t>="Total for " &amp; $G1351</t>
  </si>
  <si>
    <t>=+C1351</t>
  </si>
  <si>
    <t>=+D1351</t>
  </si>
  <si>
    <t>=SUBTOTAL(9,T1291:T1350)</t>
  </si>
  <si>
    <t>=+I1352</t>
  </si>
  <si>
    <t>=+J1352</t>
  </si>
  <si>
    <t>=E1351</t>
  </si>
  <si>
    <t>=H1352</t>
  </si>
  <si>
    <t>="MART0001"</t>
  </si>
  <si>
    <t>=NL(,"UPR00100","FRSTNAME","EMPLOYID",$H1352)</t>
  </si>
  <si>
    <t>=NL(,"UPR00100","LASTNAME","EMPLOYID",$H1352)</t>
  </si>
  <si>
    <t>=+C1352</t>
  </si>
  <si>
    <t>=+D1352</t>
  </si>
  <si>
    <t>=E1352</t>
  </si>
  <si>
    <t>=G1352</t>
  </si>
  <si>
    <t>=+N1353</t>
  </si>
  <si>
    <t>=M1353</t>
  </si>
  <si>
    <t>=NL(,"UPR30300","CHEKDATE","CHEKNMBR",$M1353,"EMPLOYID",$G1353)</t>
  </si>
  <si>
    <t>=+C1353</t>
  </si>
  <si>
    <t>=+D1353</t>
  </si>
  <si>
    <t>=E1353</t>
  </si>
  <si>
    <t>=G1353</t>
  </si>
  <si>
    <t>=+K1353</t>
  </si>
  <si>
    <t>=L1353</t>
  </si>
  <si>
    <t>=NF($O1354,"PAYRATE")</t>
  </si>
  <si>
    <t>=NF($O1354,"PAYROLCD")</t>
  </si>
  <si>
    <t>=NF($O1354,"STATECD")</t>
  </si>
  <si>
    <t>=NF($O1354,"CHEKDATE")</t>
  </si>
  <si>
    <t>=NF($O1354,"UPRTRXAM")</t>
  </si>
  <si>
    <t>=+C1354</t>
  </si>
  <si>
    <t>=+D1354</t>
  </si>
  <si>
    <t>=E1354</t>
  </si>
  <si>
    <t>=G1354</t>
  </si>
  <si>
    <t>=+K1354</t>
  </si>
  <si>
    <t>=L1354</t>
  </si>
  <si>
    <t>=+C1355</t>
  </si>
  <si>
    <t>=+D1355</t>
  </si>
  <si>
    <t>=E1355</t>
  </si>
  <si>
    <t>=G1355</t>
  </si>
  <si>
    <t>=+K1355</t>
  </si>
  <si>
    <t>=L1355</t>
  </si>
  <si>
    <t>=+C1356</t>
  </si>
  <si>
    <t>=+D1356</t>
  </si>
  <si>
    <t>=E1356</t>
  </si>
  <si>
    <t>=G1356</t>
  </si>
  <si>
    <t>=+K1356</t>
  </si>
  <si>
    <t>=L1356</t>
  </si>
  <si>
    <t>=+C1357</t>
  </si>
  <si>
    <t>=+D1357</t>
  </si>
  <si>
    <t>=E1357</t>
  </si>
  <si>
    <t>=G1357</t>
  </si>
  <si>
    <t>=+K1357</t>
  </si>
  <si>
    <t>=L1357</t>
  </si>
  <si>
    <t>=+C1358</t>
  </si>
  <si>
    <t>=+D1358</t>
  </si>
  <si>
    <t>=E1358</t>
  </si>
  <si>
    <t>=G1358</t>
  </si>
  <si>
    <t>=+K1358</t>
  </si>
  <si>
    <t>=L1358</t>
  </si>
  <si>
    <t>=+C1360</t>
  </si>
  <si>
    <t>=+D1360</t>
  </si>
  <si>
    <t>=E1360</t>
  </si>
  <si>
    <t>=G1360</t>
  </si>
  <si>
    <t>=+K1360</t>
  </si>
  <si>
    <t>=L1360</t>
  </si>
  <si>
    <t>="Total for " &amp; $L1361</t>
  </si>
  <si>
    <t>=+K1361</t>
  </si>
  <si>
    <t>=SUBTOTAL(9,T1354:T1360)</t>
  </si>
  <si>
    <t>=+C1361</t>
  </si>
  <si>
    <t>=+D1361</t>
  </si>
  <si>
    <t>=E1361</t>
  </si>
  <si>
    <t>=G1361</t>
  </si>
  <si>
    <t>=+N1362</t>
  </si>
  <si>
    <t>=M1362</t>
  </si>
  <si>
    <t>="10395"</t>
  </si>
  <si>
    <t>=NL(,"UPR30300","CHEKDATE","CHEKNMBR",$M1362,"EMPLOYID",$G1362)</t>
  </si>
  <si>
    <t>=+C1362</t>
  </si>
  <si>
    <t>=+D1362</t>
  </si>
  <si>
    <t>=E1362</t>
  </si>
  <si>
    <t>=G1362</t>
  </si>
  <si>
    <t>=+K1362</t>
  </si>
  <si>
    <t>=L1362</t>
  </si>
  <si>
    <t>=NF($O1363,"PAYRATE")</t>
  </si>
  <si>
    <t>=NF($O1363,"PAYROLCD")</t>
  </si>
  <si>
    <t>=NF($O1363,"STATECD")</t>
  </si>
  <si>
    <t>=NF($O1363,"CHEKDATE")</t>
  </si>
  <si>
    <t>=NF($O1363,"UPRTRXAM")</t>
  </si>
  <si>
    <t>=+C1363</t>
  </si>
  <si>
    <t>=+D1363</t>
  </si>
  <si>
    <t>=E1363</t>
  </si>
  <si>
    <t>=G1363</t>
  </si>
  <si>
    <t>=+K1363</t>
  </si>
  <si>
    <t>=L1363</t>
  </si>
  <si>
    <t>=+C1364</t>
  </si>
  <si>
    <t>=+D1364</t>
  </si>
  <si>
    <t>=E1364</t>
  </si>
  <si>
    <t>=G1364</t>
  </si>
  <si>
    <t>=+K1364</t>
  </si>
  <si>
    <t>=L1364</t>
  </si>
  <si>
    <t>=+C1365</t>
  </si>
  <si>
    <t>=+D1365</t>
  </si>
  <si>
    <t>=E1365</t>
  </si>
  <si>
    <t>=G1365</t>
  </si>
  <si>
    <t>=+K1365</t>
  </si>
  <si>
    <t>=L1365</t>
  </si>
  <si>
    <t>=+C1366</t>
  </si>
  <si>
    <t>=+D1366</t>
  </si>
  <si>
    <t>=E1366</t>
  </si>
  <si>
    <t>=G1366</t>
  </si>
  <si>
    <t>=+K1366</t>
  </si>
  <si>
    <t>=L1366</t>
  </si>
  <si>
    <t>=+C1367</t>
  </si>
  <si>
    <t>=+D1367</t>
  </si>
  <si>
    <t>=E1367</t>
  </si>
  <si>
    <t>=G1367</t>
  </si>
  <si>
    <t>=+K1367</t>
  </si>
  <si>
    <t>=L1367</t>
  </si>
  <si>
    <t>=+C1368</t>
  </si>
  <si>
    <t>=+D1368</t>
  </si>
  <si>
    <t>=E1368</t>
  </si>
  <si>
    <t>=G1368</t>
  </si>
  <si>
    <t>=+K1368</t>
  </si>
  <si>
    <t>=L1368</t>
  </si>
  <si>
    <t>=+C1370</t>
  </si>
  <si>
    <t>=+D1370</t>
  </si>
  <si>
    <t>=E1370</t>
  </si>
  <si>
    <t>=G1370</t>
  </si>
  <si>
    <t>=+K1370</t>
  </si>
  <si>
    <t>=L1370</t>
  </si>
  <si>
    <t>="Total for " &amp; $L1371</t>
  </si>
  <si>
    <t>=+K1371</t>
  </si>
  <si>
    <t>=SUBTOTAL(9,T1363:T1370)</t>
  </si>
  <si>
    <t>=+C1371</t>
  </si>
  <si>
    <t>=+D1371</t>
  </si>
  <si>
    <t>=E1371</t>
  </si>
  <si>
    <t>=G1371</t>
  </si>
  <si>
    <t>=+N1372</t>
  </si>
  <si>
    <t>=M1372</t>
  </si>
  <si>
    <t>="10420"</t>
  </si>
  <si>
    <t>=NL(,"UPR30300","CHEKDATE","CHEKNMBR",$M1372,"EMPLOYID",$G1372)</t>
  </si>
  <si>
    <t>=+C1372</t>
  </si>
  <si>
    <t>=+D1372</t>
  </si>
  <si>
    <t>=E1372</t>
  </si>
  <si>
    <t>=G1372</t>
  </si>
  <si>
    <t>=+K1372</t>
  </si>
  <si>
    <t>=L1372</t>
  </si>
  <si>
    <t>=NF($O1373,"PAYRATE")</t>
  </si>
  <si>
    <t>=NF($O1373,"PAYROLCD")</t>
  </si>
  <si>
    <t>=NF($O1373,"STATECD")</t>
  </si>
  <si>
    <t>=NF($O1373,"CHEKDATE")</t>
  </si>
  <si>
    <t>=NF($O1373,"UPRTRXAM")</t>
  </si>
  <si>
    <t>=+C1373</t>
  </si>
  <si>
    <t>=+D1373</t>
  </si>
  <si>
    <t>=E1373</t>
  </si>
  <si>
    <t>=G1373</t>
  </si>
  <si>
    <t>=+K1373</t>
  </si>
  <si>
    <t>=L1373</t>
  </si>
  <si>
    <t>=+C1374</t>
  </si>
  <si>
    <t>=+D1374</t>
  </si>
  <si>
    <t>=E1374</t>
  </si>
  <si>
    <t>=G1374</t>
  </si>
  <si>
    <t>=+K1374</t>
  </si>
  <si>
    <t>=L1374</t>
  </si>
  <si>
    <t>=+C1375</t>
  </si>
  <si>
    <t>=+D1375</t>
  </si>
  <si>
    <t>=E1375</t>
  </si>
  <si>
    <t>=G1375</t>
  </si>
  <si>
    <t>=+K1375</t>
  </si>
  <si>
    <t>=L1375</t>
  </si>
  <si>
    <t>=+C1376</t>
  </si>
  <si>
    <t>=+D1376</t>
  </si>
  <si>
    <t>=E1376</t>
  </si>
  <si>
    <t>=G1376</t>
  </si>
  <si>
    <t>=+K1376</t>
  </si>
  <si>
    <t>=L1376</t>
  </si>
  <si>
    <t>=+C1377</t>
  </si>
  <si>
    <t>=+D1377</t>
  </si>
  <si>
    <t>=E1377</t>
  </si>
  <si>
    <t>=G1377</t>
  </si>
  <si>
    <t>=+K1377</t>
  </si>
  <si>
    <t>=L1377</t>
  </si>
  <si>
    <t>=+C1379</t>
  </si>
  <si>
    <t>=+D1379</t>
  </si>
  <si>
    <t>=E1379</t>
  </si>
  <si>
    <t>=G1379</t>
  </si>
  <si>
    <t>=+K1379</t>
  </si>
  <si>
    <t>=L1379</t>
  </si>
  <si>
    <t>="Total for " &amp; $L1380</t>
  </si>
  <si>
    <t>=+K1380</t>
  </si>
  <si>
    <t>=SUBTOTAL(9,T1373:T1379)</t>
  </si>
  <si>
    <t>=+C1380</t>
  </si>
  <si>
    <t>=+D1380</t>
  </si>
  <si>
    <t>=E1380</t>
  </si>
  <si>
    <t>=G1380</t>
  </si>
  <si>
    <t>=+N1381</t>
  </si>
  <si>
    <t>=M1381</t>
  </si>
  <si>
    <t>="10445"</t>
  </si>
  <si>
    <t>=NL(,"UPR30300","CHEKDATE","CHEKNMBR",$M1381,"EMPLOYID",$G1381)</t>
  </si>
  <si>
    <t>=+C1381</t>
  </si>
  <si>
    <t>=+D1381</t>
  </si>
  <si>
    <t>=E1381</t>
  </si>
  <si>
    <t>=G1381</t>
  </si>
  <si>
    <t>=+K1381</t>
  </si>
  <si>
    <t>=L1381</t>
  </si>
  <si>
    <t>=NF($O1382,"PAYRATE")</t>
  </si>
  <si>
    <t>=NF($O1382,"PAYROLCD")</t>
  </si>
  <si>
    <t>=NF($O1382,"STATECD")</t>
  </si>
  <si>
    <t>=NF($O1382,"CHEKDATE")</t>
  </si>
  <si>
    <t>=NF($O1382,"UPRTRXAM")</t>
  </si>
  <si>
    <t>=+C1382</t>
  </si>
  <si>
    <t>=+D1382</t>
  </si>
  <si>
    <t>=E1382</t>
  </si>
  <si>
    <t>=G1382</t>
  </si>
  <si>
    <t>=+K1382</t>
  </si>
  <si>
    <t>=L1382</t>
  </si>
  <si>
    <t>=+C1383</t>
  </si>
  <si>
    <t>=+D1383</t>
  </si>
  <si>
    <t>=E1383</t>
  </si>
  <si>
    <t>=G1383</t>
  </si>
  <si>
    <t>=+K1383</t>
  </si>
  <si>
    <t>=L1383</t>
  </si>
  <si>
    <t>=+C1384</t>
  </si>
  <si>
    <t>=+D1384</t>
  </si>
  <si>
    <t>=E1384</t>
  </si>
  <si>
    <t>=G1384</t>
  </si>
  <si>
    <t>=+K1384</t>
  </si>
  <si>
    <t>=L1384</t>
  </si>
  <si>
    <t>=+C1385</t>
  </si>
  <si>
    <t>=+D1385</t>
  </si>
  <si>
    <t>=E1385</t>
  </si>
  <si>
    <t>=G1385</t>
  </si>
  <si>
    <t>=+K1385</t>
  </si>
  <si>
    <t>=L1385</t>
  </si>
  <si>
    <t>=+C1386</t>
  </si>
  <si>
    <t>=+D1386</t>
  </si>
  <si>
    <t>=E1386</t>
  </si>
  <si>
    <t>=G1386</t>
  </si>
  <si>
    <t>=+K1386</t>
  </si>
  <si>
    <t>=L1386</t>
  </si>
  <si>
    <t>=+C1388</t>
  </si>
  <si>
    <t>=+D1388</t>
  </si>
  <si>
    <t>=E1388</t>
  </si>
  <si>
    <t>=G1388</t>
  </si>
  <si>
    <t>=+K1388</t>
  </si>
  <si>
    <t>=L1388</t>
  </si>
  <si>
    <t>="Total for " &amp; $L1389</t>
  </si>
  <si>
    <t>=+K1389</t>
  </si>
  <si>
    <t>=SUBTOTAL(9,T1382:T1388)</t>
  </si>
  <si>
    <t>=+C1389</t>
  </si>
  <si>
    <t>=+D1389</t>
  </si>
  <si>
    <t>=E1389</t>
  </si>
  <si>
    <t>=G1389</t>
  </si>
  <si>
    <t>=+N1390</t>
  </si>
  <si>
    <t>=M1390</t>
  </si>
  <si>
    <t>="10470"</t>
  </si>
  <si>
    <t>=NL(,"UPR30300","CHEKDATE","CHEKNMBR",$M1390,"EMPLOYID",$G1390)</t>
  </si>
  <si>
    <t>=+C1390</t>
  </si>
  <si>
    <t>=+D1390</t>
  </si>
  <si>
    <t>=E1390</t>
  </si>
  <si>
    <t>=G1390</t>
  </si>
  <si>
    <t>=+K1390</t>
  </si>
  <si>
    <t>=L1390</t>
  </si>
  <si>
    <t>=NF($O1391,"PAYRATE")</t>
  </si>
  <si>
    <t>=NF($O1391,"PAYROLCD")</t>
  </si>
  <si>
    <t>=NF($O1391,"STATECD")</t>
  </si>
  <si>
    <t>=NF($O1391,"CHEKDATE")</t>
  </si>
  <si>
    <t>=NF($O1391,"UPRTRXAM")</t>
  </si>
  <si>
    <t>=+C1391</t>
  </si>
  <si>
    <t>=+D1391</t>
  </si>
  <si>
    <t>=E1391</t>
  </si>
  <si>
    <t>=G1391</t>
  </si>
  <si>
    <t>=+K1391</t>
  </si>
  <si>
    <t>=L1391</t>
  </si>
  <si>
    <t>=+C1392</t>
  </si>
  <si>
    <t>=+D1392</t>
  </si>
  <si>
    <t>=E1392</t>
  </si>
  <si>
    <t>=G1392</t>
  </si>
  <si>
    <t>=+K1392</t>
  </si>
  <si>
    <t>=L1392</t>
  </si>
  <si>
    <t>=+C1393</t>
  </si>
  <si>
    <t>=+D1393</t>
  </si>
  <si>
    <t>=E1393</t>
  </si>
  <si>
    <t>=G1393</t>
  </si>
  <si>
    <t>=+K1393</t>
  </si>
  <si>
    <t>=L1393</t>
  </si>
  <si>
    <t>=+C1394</t>
  </si>
  <si>
    <t>=+D1394</t>
  </si>
  <si>
    <t>=E1394</t>
  </si>
  <si>
    <t>=G1394</t>
  </si>
  <si>
    <t>=+K1394</t>
  </si>
  <si>
    <t>=L1394</t>
  </si>
  <si>
    <t>=+C1395</t>
  </si>
  <si>
    <t>=+D1395</t>
  </si>
  <si>
    <t>=E1395</t>
  </si>
  <si>
    <t>=G1395</t>
  </si>
  <si>
    <t>=+K1395</t>
  </si>
  <si>
    <t>=L1395</t>
  </si>
  <si>
    <t>=+C1396</t>
  </si>
  <si>
    <t>=+D1396</t>
  </si>
  <si>
    <t>=E1396</t>
  </si>
  <si>
    <t>=G1396</t>
  </si>
  <si>
    <t>=+K1396</t>
  </si>
  <si>
    <t>=L1396</t>
  </si>
  <si>
    <t>=+C1398</t>
  </si>
  <si>
    <t>=+D1398</t>
  </si>
  <si>
    <t>=E1398</t>
  </si>
  <si>
    <t>=G1398</t>
  </si>
  <si>
    <t>=+K1398</t>
  </si>
  <si>
    <t>=L1398</t>
  </si>
  <si>
    <t>="Total for " &amp; $L1399</t>
  </si>
  <si>
    <t>=+K1399</t>
  </si>
  <si>
    <t>=SUBTOTAL(9,T1391:T1398)</t>
  </si>
  <si>
    <t>=+C1399</t>
  </si>
  <si>
    <t>=+D1399</t>
  </si>
  <si>
    <t>=E1399</t>
  </si>
  <si>
    <t>=G1399</t>
  </si>
  <si>
    <t>=+N1400</t>
  </si>
  <si>
    <t>=M1400</t>
  </si>
  <si>
    <t>="10495"</t>
  </si>
  <si>
    <t>=NL(,"UPR30300","CHEKDATE","CHEKNMBR",$M1400,"EMPLOYID",$G1400)</t>
  </si>
  <si>
    <t>=+C1400</t>
  </si>
  <si>
    <t>=+D1400</t>
  </si>
  <si>
    <t>=E1400</t>
  </si>
  <si>
    <t>=G1400</t>
  </si>
  <si>
    <t>=+K1400</t>
  </si>
  <si>
    <t>=L1400</t>
  </si>
  <si>
    <t>=NF($O1401,"PAYRATE")</t>
  </si>
  <si>
    <t>=NF($O1401,"PAYROLCD")</t>
  </si>
  <si>
    <t>=NF($O1401,"STATECD")</t>
  </si>
  <si>
    <t>=NF($O1401,"CHEKDATE")</t>
  </si>
  <si>
    <t>=NF($O1401,"UPRTRXAM")</t>
  </si>
  <si>
    <t>=+C1401</t>
  </si>
  <si>
    <t>=+D1401</t>
  </si>
  <si>
    <t>=E1401</t>
  </si>
  <si>
    <t>=G1401</t>
  </si>
  <si>
    <t>=+K1401</t>
  </si>
  <si>
    <t>=L1401</t>
  </si>
  <si>
    <t>=+C1402</t>
  </si>
  <si>
    <t>=+D1402</t>
  </si>
  <si>
    <t>=E1402</t>
  </si>
  <si>
    <t>=G1402</t>
  </si>
  <si>
    <t>=+K1402</t>
  </si>
  <si>
    <t>=L1402</t>
  </si>
  <si>
    <t>=+C1403</t>
  </si>
  <si>
    <t>=+D1403</t>
  </si>
  <si>
    <t>=E1403</t>
  </si>
  <si>
    <t>=G1403</t>
  </si>
  <si>
    <t>=+K1403</t>
  </si>
  <si>
    <t>=L1403</t>
  </si>
  <si>
    <t>=+C1404</t>
  </si>
  <si>
    <t>=+D1404</t>
  </si>
  <si>
    <t>=E1404</t>
  </si>
  <si>
    <t>=G1404</t>
  </si>
  <si>
    <t>=+K1404</t>
  </si>
  <si>
    <t>=L1404</t>
  </si>
  <si>
    <t>=+C1405</t>
  </si>
  <si>
    <t>=+D1405</t>
  </si>
  <si>
    <t>=E1405</t>
  </si>
  <si>
    <t>=G1405</t>
  </si>
  <si>
    <t>=+K1405</t>
  </si>
  <si>
    <t>=L1405</t>
  </si>
  <si>
    <t>=+C1407</t>
  </si>
  <si>
    <t>=+D1407</t>
  </si>
  <si>
    <t>=E1407</t>
  </si>
  <si>
    <t>=G1407</t>
  </si>
  <si>
    <t>=+K1407</t>
  </si>
  <si>
    <t>=L1407</t>
  </si>
  <si>
    <t>="Total for " &amp; $L1408</t>
  </si>
  <si>
    <t>=+K1408</t>
  </si>
  <si>
    <t>=SUBTOTAL(9,T1401:T1407)</t>
  </si>
  <si>
    <t>=+C1408</t>
  </si>
  <si>
    <t>=+D1408</t>
  </si>
  <si>
    <t>=E1408</t>
  </si>
  <si>
    <t>=G1408</t>
  </si>
  <si>
    <t>=+N1409</t>
  </si>
  <si>
    <t>=M1409</t>
  </si>
  <si>
    <t>="11609"</t>
  </si>
  <si>
    <t>=NL(,"UPR30300","CHEKDATE","CHEKNMBR",$M1409,"EMPLOYID",$G1409)</t>
  </si>
  <si>
    <t>=+C1409</t>
  </si>
  <si>
    <t>=+D1409</t>
  </si>
  <si>
    <t>=E1409</t>
  </si>
  <si>
    <t>=G1409</t>
  </si>
  <si>
    <t>=+K1409</t>
  </si>
  <si>
    <t>=L1409</t>
  </si>
  <si>
    <t>=NF($O1410,"PAYRATE")</t>
  </si>
  <si>
    <t>=NF($O1410,"PAYROLCD")</t>
  </si>
  <si>
    <t>=NF($O1410,"STATECD")</t>
  </si>
  <si>
    <t>=NF($O1410,"CHEKDATE")</t>
  </si>
  <si>
    <t>=NF($O1410,"UPRTRXAM")</t>
  </si>
  <si>
    <t>=+C1410</t>
  </si>
  <si>
    <t>=+D1410</t>
  </si>
  <si>
    <t>=E1410</t>
  </si>
  <si>
    <t>=G1410</t>
  </si>
  <si>
    <t>=+K1410</t>
  </si>
  <si>
    <t>=L1410</t>
  </si>
  <si>
    <t>=+C1412</t>
  </si>
  <si>
    <t>=+D1412</t>
  </si>
  <si>
    <t>=E1412</t>
  </si>
  <si>
    <t>=G1412</t>
  </si>
  <si>
    <t>=+K1412</t>
  </si>
  <si>
    <t>=L1412</t>
  </si>
  <si>
    <t>="Total for " &amp; $L1413</t>
  </si>
  <si>
    <t>=+K1413</t>
  </si>
  <si>
    <t>=SUBTOTAL(9,T1410:T1412)</t>
  </si>
  <si>
    <t>=+C1413</t>
  </si>
  <si>
    <t>=+D1413</t>
  </si>
  <si>
    <t>=E1413</t>
  </si>
  <si>
    <t>=G1413</t>
  </si>
  <si>
    <t>=+N1414</t>
  </si>
  <si>
    <t>=M1414</t>
  </si>
  <si>
    <t>="11613"</t>
  </si>
  <si>
    <t>=NL(,"UPR30300","CHEKDATE","CHEKNMBR",$M1414,"EMPLOYID",$G1414)</t>
  </si>
  <si>
    <t>=+C1414</t>
  </si>
  <si>
    <t>=+D1414</t>
  </si>
  <si>
    <t>=E1414</t>
  </si>
  <si>
    <t>=G1414</t>
  </si>
  <si>
    <t>=+K1414</t>
  </si>
  <si>
    <t>=L1414</t>
  </si>
  <si>
    <t>=NF($O1415,"PAYRATE")</t>
  </si>
  <si>
    <t>=NF($O1415,"PAYROLCD")</t>
  </si>
  <si>
    <t>=NF($O1415,"STATECD")</t>
  </si>
  <si>
    <t>=NF($O1415,"CHEKDATE")</t>
  </si>
  <si>
    <t>=NF($O1415,"UPRTRXAM")</t>
  </si>
  <si>
    <t>=+C1415</t>
  </si>
  <si>
    <t>=+D1415</t>
  </si>
  <si>
    <t>=E1415</t>
  </si>
  <si>
    <t>=G1415</t>
  </si>
  <si>
    <t>=+K1415</t>
  </si>
  <si>
    <t>=L1415</t>
  </si>
  <si>
    <t>=+C1417</t>
  </si>
  <si>
    <t>=+D1417</t>
  </si>
  <si>
    <t>=E1417</t>
  </si>
  <si>
    <t>=G1417</t>
  </si>
  <si>
    <t>=+K1417</t>
  </si>
  <si>
    <t>=L1417</t>
  </si>
  <si>
    <t>="Total for " &amp; $L1418</t>
  </si>
  <si>
    <t>=+K1418</t>
  </si>
  <si>
    <t>=SUBTOTAL(9,T1415:T1417)</t>
  </si>
  <si>
    <t>=+C1419</t>
  </si>
  <si>
    <t>=+D1419</t>
  </si>
  <si>
    <t>=E1419</t>
  </si>
  <si>
    <t>=G1419</t>
  </si>
  <si>
    <t>="Total for " &amp; $G1420</t>
  </si>
  <si>
    <t>=+C1420</t>
  </si>
  <si>
    <t>=+D1420</t>
  </si>
  <si>
    <t>=SUBTOTAL(9,T1354:T1419)</t>
  </si>
  <si>
    <t>=+I1421</t>
  </si>
  <si>
    <t>=+J1421</t>
  </si>
  <si>
    <t>=E1420</t>
  </si>
  <si>
    <t>=H1421</t>
  </si>
  <si>
    <t>="MUGH0001"</t>
  </si>
  <si>
    <t>=NL(,"UPR00100","FRSTNAME","EMPLOYID",$H1421)</t>
  </si>
  <si>
    <t>=NL(,"UPR00100","LASTNAME","EMPLOYID",$H1421)</t>
  </si>
  <si>
    <t>=+C1421</t>
  </si>
  <si>
    <t>=+D1421</t>
  </si>
  <si>
    <t>=E1421</t>
  </si>
  <si>
    <t>=G1421</t>
  </si>
  <si>
    <t>=+N1422</t>
  </si>
  <si>
    <t>=M1422</t>
  </si>
  <si>
    <t>=NL(,"UPR30300","CHEKDATE","CHEKNMBR",$M1422,"EMPLOYID",$G1422)</t>
  </si>
  <si>
    <t>=+C1422</t>
  </si>
  <si>
    <t>=+D1422</t>
  </si>
  <si>
    <t>=E1422</t>
  </si>
  <si>
    <t>=G1422</t>
  </si>
  <si>
    <t>=+K1422</t>
  </si>
  <si>
    <t>=L1422</t>
  </si>
  <si>
    <t>=NF($O1423,"PAYRATE")</t>
  </si>
  <si>
    <t>=NF($O1423,"PAYROLCD")</t>
  </si>
  <si>
    <t>=NF($O1423,"STATECD")</t>
  </si>
  <si>
    <t>=NF($O1423,"CHEKDATE")</t>
  </si>
  <si>
    <t>=NF($O1423,"UPRTRXAM")</t>
  </si>
  <si>
    <t>=+C1423</t>
  </si>
  <si>
    <t>=+D1423</t>
  </si>
  <si>
    <t>=E1423</t>
  </si>
  <si>
    <t>=G1423</t>
  </si>
  <si>
    <t>=+K1423</t>
  </si>
  <si>
    <t>=L1423</t>
  </si>
  <si>
    <t>=+C1424</t>
  </si>
  <si>
    <t>=+D1424</t>
  </si>
  <si>
    <t>=E1424</t>
  </si>
  <si>
    <t>=G1424</t>
  </si>
  <si>
    <t>=+K1424</t>
  </si>
  <si>
    <t>=L1424</t>
  </si>
  <si>
    <t>=+C1425</t>
  </si>
  <si>
    <t>=+D1425</t>
  </si>
  <si>
    <t>=E1425</t>
  </si>
  <si>
    <t>=G1425</t>
  </si>
  <si>
    <t>=+K1425</t>
  </si>
  <si>
    <t>=L1425</t>
  </si>
  <si>
    <t>=+C1426</t>
  </si>
  <si>
    <t>=+D1426</t>
  </si>
  <si>
    <t>=E1426</t>
  </si>
  <si>
    <t>=G1426</t>
  </si>
  <si>
    <t>=+K1426</t>
  </si>
  <si>
    <t>=L1426</t>
  </si>
  <si>
    <t>=+C1427</t>
  </si>
  <si>
    <t>=+D1427</t>
  </si>
  <si>
    <t>=E1427</t>
  </si>
  <si>
    <t>=G1427</t>
  </si>
  <si>
    <t>=+K1427</t>
  </si>
  <si>
    <t>=L1427</t>
  </si>
  <si>
    <t>=+C1429</t>
  </si>
  <si>
    <t>=+D1429</t>
  </si>
  <si>
    <t>=E1429</t>
  </si>
  <si>
    <t>=G1429</t>
  </si>
  <si>
    <t>=+K1429</t>
  </si>
  <si>
    <t>=L1429</t>
  </si>
  <si>
    <t>="Total for " &amp; $L1430</t>
  </si>
  <si>
    <t>=+K1430</t>
  </si>
  <si>
    <t>=SUBTOTAL(9,T1423:T1429)</t>
  </si>
  <si>
    <t>=+C1430</t>
  </si>
  <si>
    <t>=+D1430</t>
  </si>
  <si>
    <t>=E1430</t>
  </si>
  <si>
    <t>=G1430</t>
  </si>
  <si>
    <t>=+N1431</t>
  </si>
  <si>
    <t>=M1431</t>
  </si>
  <si>
    <t>="10396"</t>
  </si>
  <si>
    <t>=NL(,"UPR30300","CHEKDATE","CHEKNMBR",$M1431,"EMPLOYID",$G1431)</t>
  </si>
  <si>
    <t>=+C1431</t>
  </si>
  <si>
    <t>=+D1431</t>
  </si>
  <si>
    <t>=E1431</t>
  </si>
  <si>
    <t>=G1431</t>
  </si>
  <si>
    <t>=+K1431</t>
  </si>
  <si>
    <t>=L1431</t>
  </si>
  <si>
    <t>=NF($O1432,"PAYRATE")</t>
  </si>
  <si>
    <t>=NF($O1432,"PAYROLCD")</t>
  </si>
  <si>
    <t>=NF($O1432,"STATECD")</t>
  </si>
  <si>
    <t>=NF($O1432,"CHEKDATE")</t>
  </si>
  <si>
    <t>=NF($O1432,"UPRTRXAM")</t>
  </si>
  <si>
    <t>=+C1432</t>
  </si>
  <si>
    <t>=+D1432</t>
  </si>
  <si>
    <t>=E1432</t>
  </si>
  <si>
    <t>=G1432</t>
  </si>
  <si>
    <t>=+K1432</t>
  </si>
  <si>
    <t>=L1432</t>
  </si>
  <si>
    <t>=+C1433</t>
  </si>
  <si>
    <t>=+D1433</t>
  </si>
  <si>
    <t>=E1433</t>
  </si>
  <si>
    <t>=G1433</t>
  </si>
  <si>
    <t>=+K1433</t>
  </si>
  <si>
    <t>=L1433</t>
  </si>
  <si>
    <t>=+C1434</t>
  </si>
  <si>
    <t>=+D1434</t>
  </si>
  <si>
    <t>=E1434</t>
  </si>
  <si>
    <t>=G1434</t>
  </si>
  <si>
    <t>=+K1434</t>
  </si>
  <si>
    <t>=L1434</t>
  </si>
  <si>
    <t>=+C1435</t>
  </si>
  <si>
    <t>=+D1435</t>
  </si>
  <si>
    <t>=E1435</t>
  </si>
  <si>
    <t>=G1435</t>
  </si>
  <si>
    <t>=+K1435</t>
  </si>
  <si>
    <t>=L1435</t>
  </si>
  <si>
    <t>=+C1436</t>
  </si>
  <si>
    <t>=+D1436</t>
  </si>
  <si>
    <t>=E1436</t>
  </si>
  <si>
    <t>=G1436</t>
  </si>
  <si>
    <t>=+K1436</t>
  </si>
  <si>
    <t>=L1436</t>
  </si>
  <si>
    <t>=+C1438</t>
  </si>
  <si>
    <t>=+D1438</t>
  </si>
  <si>
    <t>=E1438</t>
  </si>
  <si>
    <t>=G1438</t>
  </si>
  <si>
    <t>=+K1438</t>
  </si>
  <si>
    <t>=L1438</t>
  </si>
  <si>
    <t>="Total for " &amp; $L1439</t>
  </si>
  <si>
    <t>=+K1439</t>
  </si>
  <si>
    <t>=SUBTOTAL(9,T1432:T1438)</t>
  </si>
  <si>
    <t>=+C1439</t>
  </si>
  <si>
    <t>=+D1439</t>
  </si>
  <si>
    <t>=E1439</t>
  </si>
  <si>
    <t>=G1439</t>
  </si>
  <si>
    <t>=+N1440</t>
  </si>
  <si>
    <t>=M1440</t>
  </si>
  <si>
    <t>="10421"</t>
  </si>
  <si>
    <t>=NL(,"UPR30300","CHEKDATE","CHEKNMBR",$M1440,"EMPLOYID",$G1440)</t>
  </si>
  <si>
    <t>=+C1440</t>
  </si>
  <si>
    <t>=+D1440</t>
  </si>
  <si>
    <t>=E1440</t>
  </si>
  <si>
    <t>=G1440</t>
  </si>
  <si>
    <t>=+K1440</t>
  </si>
  <si>
    <t>=L1440</t>
  </si>
  <si>
    <t>=NF($O1441,"PAYRATE")</t>
  </si>
  <si>
    <t>=NF($O1441,"PAYROLCD")</t>
  </si>
  <si>
    <t>=NF($O1441,"STATECD")</t>
  </si>
  <si>
    <t>=NF($O1441,"CHEKDATE")</t>
  </si>
  <si>
    <t>=NF($O1441,"UPRTRXAM")</t>
  </si>
  <si>
    <t>=+C1441</t>
  </si>
  <si>
    <t>=+D1441</t>
  </si>
  <si>
    <t>=E1441</t>
  </si>
  <si>
    <t>=G1441</t>
  </si>
  <si>
    <t>=+K1441</t>
  </si>
  <si>
    <t>=L1441</t>
  </si>
  <si>
    <t>=+C1442</t>
  </si>
  <si>
    <t>=+D1442</t>
  </si>
  <si>
    <t>=E1442</t>
  </si>
  <si>
    <t>=G1442</t>
  </si>
  <si>
    <t>=+K1442</t>
  </si>
  <si>
    <t>=L1442</t>
  </si>
  <si>
    <t>=+C1443</t>
  </si>
  <si>
    <t>=+D1443</t>
  </si>
  <si>
    <t>=E1443</t>
  </si>
  <si>
    <t>=G1443</t>
  </si>
  <si>
    <t>=+K1443</t>
  </si>
  <si>
    <t>=L1443</t>
  </si>
  <si>
    <t>=+C1444</t>
  </si>
  <si>
    <t>=+D1444</t>
  </si>
  <si>
    <t>=E1444</t>
  </si>
  <si>
    <t>=G1444</t>
  </si>
  <si>
    <t>=+K1444</t>
  </si>
  <si>
    <t>=L1444</t>
  </si>
  <si>
    <t>=+C1445</t>
  </si>
  <si>
    <t>=+D1445</t>
  </si>
  <si>
    <t>=E1445</t>
  </si>
  <si>
    <t>=G1445</t>
  </si>
  <si>
    <t>=+K1445</t>
  </si>
  <si>
    <t>=L1445</t>
  </si>
  <si>
    <t>=+C1447</t>
  </si>
  <si>
    <t>=+D1447</t>
  </si>
  <si>
    <t>=E1447</t>
  </si>
  <si>
    <t>=G1447</t>
  </si>
  <si>
    <t>=+K1447</t>
  </si>
  <si>
    <t>=L1447</t>
  </si>
  <si>
    <t>="Total for " &amp; $L1448</t>
  </si>
  <si>
    <t>=+K1448</t>
  </si>
  <si>
    <t>=SUBTOTAL(9,T1441:T1447)</t>
  </si>
  <si>
    <t>=+C1448</t>
  </si>
  <si>
    <t>=+D1448</t>
  </si>
  <si>
    <t>=E1448</t>
  </si>
  <si>
    <t>=G1448</t>
  </si>
  <si>
    <t>=+N1449</t>
  </si>
  <si>
    <t>=M1449</t>
  </si>
  <si>
    <t>="10446"</t>
  </si>
  <si>
    <t>=NL(,"UPR30300","CHEKDATE","CHEKNMBR",$M1449,"EMPLOYID",$G1449)</t>
  </si>
  <si>
    <t>=+C1449</t>
  </si>
  <si>
    <t>=+D1449</t>
  </si>
  <si>
    <t>=E1449</t>
  </si>
  <si>
    <t>=G1449</t>
  </si>
  <si>
    <t>=+K1449</t>
  </si>
  <si>
    <t>=L1449</t>
  </si>
  <si>
    <t>=NF($O1450,"PAYRATE")</t>
  </si>
  <si>
    <t>=NF($O1450,"PAYROLCD")</t>
  </si>
  <si>
    <t>=NF($O1450,"STATECD")</t>
  </si>
  <si>
    <t>=NF($O1450,"CHEKDATE")</t>
  </si>
  <si>
    <t>=NF($O1450,"UPRTRXAM")</t>
  </si>
  <si>
    <t>=+C1450</t>
  </si>
  <si>
    <t>=+D1450</t>
  </si>
  <si>
    <t>=E1450</t>
  </si>
  <si>
    <t>=G1450</t>
  </si>
  <si>
    <t>=+K1450</t>
  </si>
  <si>
    <t>=L1450</t>
  </si>
  <si>
    <t>=+C1451</t>
  </si>
  <si>
    <t>=+D1451</t>
  </si>
  <si>
    <t>=E1451</t>
  </si>
  <si>
    <t>=G1451</t>
  </si>
  <si>
    <t>=+K1451</t>
  </si>
  <si>
    <t>=L1451</t>
  </si>
  <si>
    <t>=+C1452</t>
  </si>
  <si>
    <t>=+D1452</t>
  </si>
  <si>
    <t>=E1452</t>
  </si>
  <si>
    <t>=G1452</t>
  </si>
  <si>
    <t>=+K1452</t>
  </si>
  <si>
    <t>=L1452</t>
  </si>
  <si>
    <t>=+C1453</t>
  </si>
  <si>
    <t>=+D1453</t>
  </si>
  <si>
    <t>=E1453</t>
  </si>
  <si>
    <t>=G1453</t>
  </si>
  <si>
    <t>=+K1453</t>
  </si>
  <si>
    <t>=L1453</t>
  </si>
  <si>
    <t>=+C1454</t>
  </si>
  <si>
    <t>=+D1454</t>
  </si>
  <si>
    <t>=E1454</t>
  </si>
  <si>
    <t>=G1454</t>
  </si>
  <si>
    <t>=+K1454</t>
  </si>
  <si>
    <t>=L1454</t>
  </si>
  <si>
    <t>=+C1456</t>
  </si>
  <si>
    <t>=+D1456</t>
  </si>
  <si>
    <t>=E1456</t>
  </si>
  <si>
    <t>=G1456</t>
  </si>
  <si>
    <t>=+K1456</t>
  </si>
  <si>
    <t>=L1456</t>
  </si>
  <si>
    <t>="Total for " &amp; $L1457</t>
  </si>
  <si>
    <t>=+K1457</t>
  </si>
  <si>
    <t>=SUBTOTAL(9,T1450:T1456)</t>
  </si>
  <si>
    <t>=+C1457</t>
  </si>
  <si>
    <t>=+D1457</t>
  </si>
  <si>
    <t>=E1457</t>
  </si>
  <si>
    <t>=G1457</t>
  </si>
  <si>
    <t>=+N1458</t>
  </si>
  <si>
    <t>=M1458</t>
  </si>
  <si>
    <t>="10471"</t>
  </si>
  <si>
    <t>=NL(,"UPR30300","CHEKDATE","CHEKNMBR",$M1458,"EMPLOYID",$G1458)</t>
  </si>
  <si>
    <t>=+C1458</t>
  </si>
  <si>
    <t>=+D1458</t>
  </si>
  <si>
    <t>=E1458</t>
  </si>
  <si>
    <t>=G1458</t>
  </si>
  <si>
    <t>=+K1458</t>
  </si>
  <si>
    <t>=L1458</t>
  </si>
  <si>
    <t>=NF($O1459,"PAYRATE")</t>
  </si>
  <si>
    <t>=NF($O1459,"PAYROLCD")</t>
  </si>
  <si>
    <t>=NF($O1459,"STATECD")</t>
  </si>
  <si>
    <t>=NF($O1459,"CHEKDATE")</t>
  </si>
  <si>
    <t>=NF($O1459,"UPRTRXAM")</t>
  </si>
  <si>
    <t>=+C1459</t>
  </si>
  <si>
    <t>=+D1459</t>
  </si>
  <si>
    <t>=E1459</t>
  </si>
  <si>
    <t>=G1459</t>
  </si>
  <si>
    <t>=+K1459</t>
  </si>
  <si>
    <t>=L1459</t>
  </si>
  <si>
    <t>=+C1460</t>
  </si>
  <si>
    <t>=+D1460</t>
  </si>
  <si>
    <t>=E1460</t>
  </si>
  <si>
    <t>=G1460</t>
  </si>
  <si>
    <t>=+K1460</t>
  </si>
  <si>
    <t>=L1460</t>
  </si>
  <si>
    <t>=+C1461</t>
  </si>
  <si>
    <t>=+D1461</t>
  </si>
  <si>
    <t>=E1461</t>
  </si>
  <si>
    <t>=G1461</t>
  </si>
  <si>
    <t>=+K1461</t>
  </si>
  <si>
    <t>=L1461</t>
  </si>
  <si>
    <t>=+C1462</t>
  </si>
  <si>
    <t>=+D1462</t>
  </si>
  <si>
    <t>=E1462</t>
  </si>
  <si>
    <t>=G1462</t>
  </si>
  <si>
    <t>=+K1462</t>
  </si>
  <si>
    <t>=L1462</t>
  </si>
  <si>
    <t>=+C1463</t>
  </si>
  <si>
    <t>=+D1463</t>
  </si>
  <si>
    <t>=E1463</t>
  </si>
  <si>
    <t>=G1463</t>
  </si>
  <si>
    <t>=+K1463</t>
  </si>
  <si>
    <t>=L1463</t>
  </si>
  <si>
    <t>=+C1465</t>
  </si>
  <si>
    <t>=+D1465</t>
  </si>
  <si>
    <t>=E1465</t>
  </si>
  <si>
    <t>=G1465</t>
  </si>
  <si>
    <t>=+K1465</t>
  </si>
  <si>
    <t>=L1465</t>
  </si>
  <si>
    <t>="Total for " &amp; $L1466</t>
  </si>
  <si>
    <t>=+K1466</t>
  </si>
  <si>
    <t>=SUBTOTAL(9,T1459:T1465)</t>
  </si>
  <si>
    <t>=+C1466</t>
  </si>
  <si>
    <t>=+D1466</t>
  </si>
  <si>
    <t>=E1466</t>
  </si>
  <si>
    <t>=G1466</t>
  </si>
  <si>
    <t>=+N1467</t>
  </si>
  <si>
    <t>=M1467</t>
  </si>
  <si>
    <t>="10496"</t>
  </si>
  <si>
    <t>=NL(,"UPR30300","CHEKDATE","CHEKNMBR",$M1467,"EMPLOYID",$G1467)</t>
  </si>
  <si>
    <t>=+C1467</t>
  </si>
  <si>
    <t>=+D1467</t>
  </si>
  <si>
    <t>=E1467</t>
  </si>
  <si>
    <t>=G1467</t>
  </si>
  <si>
    <t>=+K1467</t>
  </si>
  <si>
    <t>=L1467</t>
  </si>
  <si>
    <t>=NF($O1468,"PAYRATE")</t>
  </si>
  <si>
    <t>=NF($O1468,"PAYROLCD")</t>
  </si>
  <si>
    <t>=NF($O1468,"STATECD")</t>
  </si>
  <si>
    <t>=NF($O1468,"CHEKDATE")</t>
  </si>
  <si>
    <t>=NF($O1468,"UPRTRXAM")</t>
  </si>
  <si>
    <t>=+C1468</t>
  </si>
  <si>
    <t>=+D1468</t>
  </si>
  <si>
    <t>=E1468</t>
  </si>
  <si>
    <t>=G1468</t>
  </si>
  <si>
    <t>=+K1468</t>
  </si>
  <si>
    <t>=L1468</t>
  </si>
  <si>
    <t>=+C1469</t>
  </si>
  <si>
    <t>=+D1469</t>
  </si>
  <si>
    <t>=E1469</t>
  </si>
  <si>
    <t>=G1469</t>
  </si>
  <si>
    <t>=+K1469</t>
  </si>
  <si>
    <t>=L1469</t>
  </si>
  <si>
    <t>=+C1470</t>
  </si>
  <si>
    <t>=+D1470</t>
  </si>
  <si>
    <t>=E1470</t>
  </si>
  <si>
    <t>=G1470</t>
  </si>
  <si>
    <t>=+K1470</t>
  </si>
  <si>
    <t>=L1470</t>
  </si>
  <si>
    <t>=+C1471</t>
  </si>
  <si>
    <t>=+D1471</t>
  </si>
  <si>
    <t>=E1471</t>
  </si>
  <si>
    <t>=G1471</t>
  </si>
  <si>
    <t>=+K1471</t>
  </si>
  <si>
    <t>=L1471</t>
  </si>
  <si>
    <t>=+C1472</t>
  </si>
  <si>
    <t>=+D1472</t>
  </si>
  <si>
    <t>=E1472</t>
  </si>
  <si>
    <t>=G1472</t>
  </si>
  <si>
    <t>=+K1472</t>
  </si>
  <si>
    <t>=L1472</t>
  </si>
  <si>
    <t>=+C1474</t>
  </si>
  <si>
    <t>=+D1474</t>
  </si>
  <si>
    <t>=E1474</t>
  </si>
  <si>
    <t>=G1474</t>
  </si>
  <si>
    <t>=+K1474</t>
  </si>
  <si>
    <t>=L1474</t>
  </si>
  <si>
    <t>="Total for " &amp; $L1475</t>
  </si>
  <si>
    <t>=+K1475</t>
  </si>
  <si>
    <t>=SUBTOTAL(9,T1468:T1474)</t>
  </si>
  <si>
    <t>=+C1476</t>
  </si>
  <si>
    <t>=+D1476</t>
  </si>
  <si>
    <t>=E1476</t>
  </si>
  <si>
    <t>=G1476</t>
  </si>
  <si>
    <t>="Total for " &amp; $G1477</t>
  </si>
  <si>
    <t>=+C1477</t>
  </si>
  <si>
    <t>=+D1477</t>
  </si>
  <si>
    <t>=SUBTOTAL(9,T1423:T1476)</t>
  </si>
  <si>
    <t>=+I1478</t>
  </si>
  <si>
    <t>=+J1478</t>
  </si>
  <si>
    <t>=E1477</t>
  </si>
  <si>
    <t>=H1478</t>
  </si>
  <si>
    <t>="WEST0001"</t>
  </si>
  <si>
    <t>=NL(,"UPR00100","FRSTNAME","EMPLOYID",$H1478)</t>
  </si>
  <si>
    <t>=NL(,"UPR00100","LASTNAME","EMPLOYID",$H1478)</t>
  </si>
  <si>
    <t>=+C1478</t>
  </si>
  <si>
    <t>=+D1478</t>
  </si>
  <si>
    <t>=E1478</t>
  </si>
  <si>
    <t>=G1478</t>
  </si>
  <si>
    <t>=+N1479</t>
  </si>
  <si>
    <t>=M1479</t>
  </si>
  <si>
    <t>=NL(,"UPR30300","CHEKDATE","CHEKNMBR",$M1479,"EMPLOYID",$G1479)</t>
  </si>
  <si>
    <t>=+C1479</t>
  </si>
  <si>
    <t>=+D1479</t>
  </si>
  <si>
    <t>=E1479</t>
  </si>
  <si>
    <t>=G1479</t>
  </si>
  <si>
    <t>=+K1479</t>
  </si>
  <si>
    <t>=L1479</t>
  </si>
  <si>
    <t>=NF($O1480,"PAYRATE")</t>
  </si>
  <si>
    <t>=NF($O1480,"PAYROLCD")</t>
  </si>
  <si>
    <t>=NF($O1480,"STATECD")</t>
  </si>
  <si>
    <t>=NF($O1480,"CHEKDATE")</t>
  </si>
  <si>
    <t>=NF($O1480,"UPRTRXAM")</t>
  </si>
  <si>
    <t>=+C1480</t>
  </si>
  <si>
    <t>=+D1480</t>
  </si>
  <si>
    <t>=E1480</t>
  </si>
  <si>
    <t>=G1480</t>
  </si>
  <si>
    <t>=+K1480</t>
  </si>
  <si>
    <t>=L1480</t>
  </si>
  <si>
    <t>=+C1481</t>
  </si>
  <si>
    <t>=+D1481</t>
  </si>
  <si>
    <t>=E1481</t>
  </si>
  <si>
    <t>=G1481</t>
  </si>
  <si>
    <t>=+K1481</t>
  </si>
  <si>
    <t>=L1481</t>
  </si>
  <si>
    <t>=+C1482</t>
  </si>
  <si>
    <t>=+D1482</t>
  </si>
  <si>
    <t>=E1482</t>
  </si>
  <si>
    <t>=G1482</t>
  </si>
  <si>
    <t>=+K1482</t>
  </si>
  <si>
    <t>=L1482</t>
  </si>
  <si>
    <t>=+C1483</t>
  </si>
  <si>
    <t>=+D1483</t>
  </si>
  <si>
    <t>=E1483</t>
  </si>
  <si>
    <t>=G1483</t>
  </si>
  <si>
    <t>=+K1483</t>
  </si>
  <si>
    <t>=L1483</t>
  </si>
  <si>
    <t>=+C1484</t>
  </si>
  <si>
    <t>=+D1484</t>
  </si>
  <si>
    <t>=E1484</t>
  </si>
  <si>
    <t>=G1484</t>
  </si>
  <si>
    <t>=+K1484</t>
  </si>
  <si>
    <t>=L1484</t>
  </si>
  <si>
    <t>=+C1485</t>
  </si>
  <si>
    <t>=+D1485</t>
  </si>
  <si>
    <t>=E1485</t>
  </si>
  <si>
    <t>=G1485</t>
  </si>
  <si>
    <t>=+K1485</t>
  </si>
  <si>
    <t>=L1485</t>
  </si>
  <si>
    <t>=+C1487</t>
  </si>
  <si>
    <t>=+D1487</t>
  </si>
  <si>
    <t>=E1487</t>
  </si>
  <si>
    <t>=G1487</t>
  </si>
  <si>
    <t>=+K1487</t>
  </si>
  <si>
    <t>=L1487</t>
  </si>
  <si>
    <t>="Total for " &amp; $L1488</t>
  </si>
  <si>
    <t>=+K1488</t>
  </si>
  <si>
    <t>=SUBTOTAL(9,T1480:T1487)</t>
  </si>
  <si>
    <t>=+C1488</t>
  </si>
  <si>
    <t>=+D1488</t>
  </si>
  <si>
    <t>=E1488</t>
  </si>
  <si>
    <t>=G1488</t>
  </si>
  <si>
    <t>=+N1489</t>
  </si>
  <si>
    <t>=M1489</t>
  </si>
  <si>
    <t>="10402"</t>
  </si>
  <si>
    <t>=NL(,"UPR30300","CHEKDATE","CHEKNMBR",$M1489,"EMPLOYID",$G1489)</t>
  </si>
  <si>
    <t>=+C1489</t>
  </si>
  <si>
    <t>=+D1489</t>
  </si>
  <si>
    <t>=E1489</t>
  </si>
  <si>
    <t>=G1489</t>
  </si>
  <si>
    <t>=+K1489</t>
  </si>
  <si>
    <t>=L1489</t>
  </si>
  <si>
    <t>=NF($O1490,"PAYRATE")</t>
  </si>
  <si>
    <t>=NF($O1490,"PAYROLCD")</t>
  </si>
  <si>
    <t>=NF($O1490,"STATECD")</t>
  </si>
  <si>
    <t>=NF($O1490,"CHEKDATE")</t>
  </si>
  <si>
    <t>=NF($O1490,"UPRTRXAM")</t>
  </si>
  <si>
    <t>=+C1490</t>
  </si>
  <si>
    <t>=+D1490</t>
  </si>
  <si>
    <t>=E1490</t>
  </si>
  <si>
    <t>=G1490</t>
  </si>
  <si>
    <t>=+K1490</t>
  </si>
  <si>
    <t>=L1490</t>
  </si>
  <si>
    <t>=+C1491</t>
  </si>
  <si>
    <t>=+D1491</t>
  </si>
  <si>
    <t>=E1491</t>
  </si>
  <si>
    <t>=G1491</t>
  </si>
  <si>
    <t>=+K1491</t>
  </si>
  <si>
    <t>=L1491</t>
  </si>
  <si>
    <t>=+C1492</t>
  </si>
  <si>
    <t>=+D1492</t>
  </si>
  <si>
    <t>=E1492</t>
  </si>
  <si>
    <t>=G1492</t>
  </si>
  <si>
    <t>=+K1492</t>
  </si>
  <si>
    <t>=L1492</t>
  </si>
  <si>
    <t>=+C1493</t>
  </si>
  <si>
    <t>=+D1493</t>
  </si>
  <si>
    <t>=E1493</t>
  </si>
  <si>
    <t>=G1493</t>
  </si>
  <si>
    <t>=+K1493</t>
  </si>
  <si>
    <t>=L1493</t>
  </si>
  <si>
    <t>=+C1494</t>
  </si>
  <si>
    <t>=+D1494</t>
  </si>
  <si>
    <t>=E1494</t>
  </si>
  <si>
    <t>=G1494</t>
  </si>
  <si>
    <t>=+K1494</t>
  </si>
  <si>
    <t>=L1494</t>
  </si>
  <si>
    <t>=+C1495</t>
  </si>
  <si>
    <t>=+D1495</t>
  </si>
  <si>
    <t>=E1495</t>
  </si>
  <si>
    <t>=G1495</t>
  </si>
  <si>
    <t>=+K1495</t>
  </si>
  <si>
    <t>=L1495</t>
  </si>
  <si>
    <t>=+C1497</t>
  </si>
  <si>
    <t>=+D1497</t>
  </si>
  <si>
    <t>=E1497</t>
  </si>
  <si>
    <t>=G1497</t>
  </si>
  <si>
    <t>=+K1497</t>
  </si>
  <si>
    <t>=L1497</t>
  </si>
  <si>
    <t>="Total for " &amp; $L1498</t>
  </si>
  <si>
    <t>=+K1498</t>
  </si>
  <si>
    <t>=SUBTOTAL(9,T1490:T1497)</t>
  </si>
  <si>
    <t>=+C1498</t>
  </si>
  <si>
    <t>=+D1498</t>
  </si>
  <si>
    <t>=E1498</t>
  </si>
  <si>
    <t>=G1498</t>
  </si>
  <si>
    <t>=+N1499</t>
  </si>
  <si>
    <t>=M1499</t>
  </si>
  <si>
    <t>="10427"</t>
  </si>
  <si>
    <t>=NL(,"UPR30300","CHEKDATE","CHEKNMBR",$M1499,"EMPLOYID",$G1499)</t>
  </si>
  <si>
    <t>=+C1499</t>
  </si>
  <si>
    <t>=+D1499</t>
  </si>
  <si>
    <t>=E1499</t>
  </si>
  <si>
    <t>=G1499</t>
  </si>
  <si>
    <t>=+K1499</t>
  </si>
  <si>
    <t>=L1499</t>
  </si>
  <si>
    <t>=NF($O1500,"PAYRATE")</t>
  </si>
  <si>
    <t>=NF($O1500,"PAYROLCD")</t>
  </si>
  <si>
    <t>=NF($O1500,"STATECD")</t>
  </si>
  <si>
    <t>=NF($O1500,"CHEKDATE")</t>
  </si>
  <si>
    <t>=NF($O1500,"UPRTRXAM")</t>
  </si>
  <si>
    <t>=+C1500</t>
  </si>
  <si>
    <t>=+D1500</t>
  </si>
  <si>
    <t>=E1500</t>
  </si>
  <si>
    <t>=G1500</t>
  </si>
  <si>
    <t>=+K1500</t>
  </si>
  <si>
    <t>=L1500</t>
  </si>
  <si>
    <t>=+C1501</t>
  </si>
  <si>
    <t>=+D1501</t>
  </si>
  <si>
    <t>=E1501</t>
  </si>
  <si>
    <t>=G1501</t>
  </si>
  <si>
    <t>=+K1501</t>
  </si>
  <si>
    <t>=L1501</t>
  </si>
  <si>
    <t>=+C1502</t>
  </si>
  <si>
    <t>=+D1502</t>
  </si>
  <si>
    <t>=E1502</t>
  </si>
  <si>
    <t>=G1502</t>
  </si>
  <si>
    <t>=+K1502</t>
  </si>
  <si>
    <t>=L1502</t>
  </si>
  <si>
    <t>=+C1503</t>
  </si>
  <si>
    <t>=+D1503</t>
  </si>
  <si>
    <t>=E1503</t>
  </si>
  <si>
    <t>=G1503</t>
  </si>
  <si>
    <t>=+K1503</t>
  </si>
  <si>
    <t>=L1503</t>
  </si>
  <si>
    <t>=+C1504</t>
  </si>
  <si>
    <t>=+D1504</t>
  </si>
  <si>
    <t>=E1504</t>
  </si>
  <si>
    <t>=G1504</t>
  </si>
  <si>
    <t>=+K1504</t>
  </si>
  <si>
    <t>=L1504</t>
  </si>
  <si>
    <t>=+C1505</t>
  </si>
  <si>
    <t>=+D1505</t>
  </si>
  <si>
    <t>=E1505</t>
  </si>
  <si>
    <t>=G1505</t>
  </si>
  <si>
    <t>=+K1505</t>
  </si>
  <si>
    <t>=L1505</t>
  </si>
  <si>
    <t>=+C1507</t>
  </si>
  <si>
    <t>=+D1507</t>
  </si>
  <si>
    <t>=E1507</t>
  </si>
  <si>
    <t>=G1507</t>
  </si>
  <si>
    <t>=+K1507</t>
  </si>
  <si>
    <t>=L1507</t>
  </si>
  <si>
    <t>="Total for " &amp; $L1508</t>
  </si>
  <si>
    <t>=+K1508</t>
  </si>
  <si>
    <t>=SUBTOTAL(9,T1500:T1507)</t>
  </si>
  <si>
    <t>=+C1508</t>
  </si>
  <si>
    <t>=+D1508</t>
  </si>
  <si>
    <t>=E1508</t>
  </si>
  <si>
    <t>=G1508</t>
  </si>
  <si>
    <t>=+N1509</t>
  </si>
  <si>
    <t>=M1509</t>
  </si>
  <si>
    <t>="10452"</t>
  </si>
  <si>
    <t>=NL(,"UPR30300","CHEKDATE","CHEKNMBR",$M1509,"EMPLOYID",$G1509)</t>
  </si>
  <si>
    <t>=+C1509</t>
  </si>
  <si>
    <t>=+D1509</t>
  </si>
  <si>
    <t>=E1509</t>
  </si>
  <si>
    <t>=G1509</t>
  </si>
  <si>
    <t>=+K1509</t>
  </si>
  <si>
    <t>=L1509</t>
  </si>
  <si>
    <t>=NF($O1510,"PAYRATE")</t>
  </si>
  <si>
    <t>=NF($O1510,"PAYROLCD")</t>
  </si>
  <si>
    <t>=NF($O1510,"STATECD")</t>
  </si>
  <si>
    <t>=NF($O1510,"CHEKDATE")</t>
  </si>
  <si>
    <t>=NF($O1510,"UPRTRXAM")</t>
  </si>
  <si>
    <t>=+C1510</t>
  </si>
  <si>
    <t>=+D1510</t>
  </si>
  <si>
    <t>=E1510</t>
  </si>
  <si>
    <t>=G1510</t>
  </si>
  <si>
    <t>=+K1510</t>
  </si>
  <si>
    <t>=L1510</t>
  </si>
  <si>
    <t>=+C1511</t>
  </si>
  <si>
    <t>=+D1511</t>
  </si>
  <si>
    <t>=E1511</t>
  </si>
  <si>
    <t>=G1511</t>
  </si>
  <si>
    <t>=+K1511</t>
  </si>
  <si>
    <t>=L1511</t>
  </si>
  <si>
    <t>=+C1512</t>
  </si>
  <si>
    <t>=+D1512</t>
  </si>
  <si>
    <t>=E1512</t>
  </si>
  <si>
    <t>=G1512</t>
  </si>
  <si>
    <t>=+K1512</t>
  </si>
  <si>
    <t>=L1512</t>
  </si>
  <si>
    <t>=+C1513</t>
  </si>
  <si>
    <t>=+D1513</t>
  </si>
  <si>
    <t>=E1513</t>
  </si>
  <si>
    <t>=G1513</t>
  </si>
  <si>
    <t>=+K1513</t>
  </si>
  <si>
    <t>=L1513</t>
  </si>
  <si>
    <t>=+C1514</t>
  </si>
  <si>
    <t>=+D1514</t>
  </si>
  <si>
    <t>=E1514</t>
  </si>
  <si>
    <t>=G1514</t>
  </si>
  <si>
    <t>=+K1514</t>
  </si>
  <si>
    <t>=L1514</t>
  </si>
  <si>
    <t>=+C1515</t>
  </si>
  <si>
    <t>=+D1515</t>
  </si>
  <si>
    <t>=E1515</t>
  </si>
  <si>
    <t>=G1515</t>
  </si>
  <si>
    <t>=+K1515</t>
  </si>
  <si>
    <t>=L1515</t>
  </si>
  <si>
    <t>=+C1517</t>
  </si>
  <si>
    <t>=+D1517</t>
  </si>
  <si>
    <t>=E1517</t>
  </si>
  <si>
    <t>=G1517</t>
  </si>
  <si>
    <t>=+K1517</t>
  </si>
  <si>
    <t>=L1517</t>
  </si>
  <si>
    <t>="Total for " &amp; $L1518</t>
  </si>
  <si>
    <t>=+K1518</t>
  </si>
  <si>
    <t>=SUBTOTAL(9,T1510:T1517)</t>
  </si>
  <si>
    <t>=+C1518</t>
  </si>
  <si>
    <t>=+D1518</t>
  </si>
  <si>
    <t>=E1518</t>
  </si>
  <si>
    <t>=G1518</t>
  </si>
  <si>
    <t>=+N1519</t>
  </si>
  <si>
    <t>=M1519</t>
  </si>
  <si>
    <t>="10477"</t>
  </si>
  <si>
    <t>=NL(,"UPR30300","CHEKDATE","CHEKNMBR",$M1519,"EMPLOYID",$G1519)</t>
  </si>
  <si>
    <t>=+C1519</t>
  </si>
  <si>
    <t>=+D1519</t>
  </si>
  <si>
    <t>=E1519</t>
  </si>
  <si>
    <t>=G1519</t>
  </si>
  <si>
    <t>=+K1519</t>
  </si>
  <si>
    <t>=L1519</t>
  </si>
  <si>
    <t>=NF($O1520,"PAYRATE")</t>
  </si>
  <si>
    <t>=NF($O1520,"PAYROLCD")</t>
  </si>
  <si>
    <t>=NF($O1520,"STATECD")</t>
  </si>
  <si>
    <t>=NF($O1520,"CHEKDATE")</t>
  </si>
  <si>
    <t>=NF($O1520,"UPRTRXAM")</t>
  </si>
  <si>
    <t>=+C1520</t>
  </si>
  <si>
    <t>=+D1520</t>
  </si>
  <si>
    <t>=E1520</t>
  </si>
  <si>
    <t>=G1520</t>
  </si>
  <si>
    <t>=+K1520</t>
  </si>
  <si>
    <t>=L1520</t>
  </si>
  <si>
    <t>=+C1521</t>
  </si>
  <si>
    <t>=+D1521</t>
  </si>
  <si>
    <t>=E1521</t>
  </si>
  <si>
    <t>=G1521</t>
  </si>
  <si>
    <t>=+K1521</t>
  </si>
  <si>
    <t>=L1521</t>
  </si>
  <si>
    <t>=+C1522</t>
  </si>
  <si>
    <t>=+D1522</t>
  </si>
  <si>
    <t>=E1522</t>
  </si>
  <si>
    <t>=G1522</t>
  </si>
  <si>
    <t>=+K1522</t>
  </si>
  <si>
    <t>=L1522</t>
  </si>
  <si>
    <t>=+C1523</t>
  </si>
  <si>
    <t>=+D1523</t>
  </si>
  <si>
    <t>=E1523</t>
  </si>
  <si>
    <t>=G1523</t>
  </si>
  <si>
    <t>=+K1523</t>
  </si>
  <si>
    <t>=L1523</t>
  </si>
  <si>
    <t>=+C1524</t>
  </si>
  <si>
    <t>=+D1524</t>
  </si>
  <si>
    <t>=E1524</t>
  </si>
  <si>
    <t>=G1524</t>
  </si>
  <si>
    <t>=+K1524</t>
  </si>
  <si>
    <t>=L1524</t>
  </si>
  <si>
    <t>=+C1525</t>
  </si>
  <si>
    <t>=+D1525</t>
  </si>
  <si>
    <t>=E1525</t>
  </si>
  <si>
    <t>=G1525</t>
  </si>
  <si>
    <t>=+K1525</t>
  </si>
  <si>
    <t>=L1525</t>
  </si>
  <si>
    <t>=+C1527</t>
  </si>
  <si>
    <t>=+D1527</t>
  </si>
  <si>
    <t>=E1527</t>
  </si>
  <si>
    <t>=G1527</t>
  </si>
  <si>
    <t>=+K1527</t>
  </si>
  <si>
    <t>=L1527</t>
  </si>
  <si>
    <t>="Total for " &amp; $L1528</t>
  </si>
  <si>
    <t>=+K1528</t>
  </si>
  <si>
    <t>=SUBTOTAL(9,T1520:T1527)</t>
  </si>
  <si>
    <t>=+C1528</t>
  </si>
  <si>
    <t>=+D1528</t>
  </si>
  <si>
    <t>=E1528</t>
  </si>
  <si>
    <t>=G1528</t>
  </si>
  <si>
    <t>=+N1529</t>
  </si>
  <si>
    <t>=M1529</t>
  </si>
  <si>
    <t>="10502"</t>
  </si>
  <si>
    <t>=NL(,"UPR30300","CHEKDATE","CHEKNMBR",$M1529,"EMPLOYID",$G1529)</t>
  </si>
  <si>
    <t>=+C1529</t>
  </si>
  <si>
    <t>=+D1529</t>
  </si>
  <si>
    <t>=E1529</t>
  </si>
  <si>
    <t>=G1529</t>
  </si>
  <si>
    <t>=+K1529</t>
  </si>
  <si>
    <t>=L1529</t>
  </si>
  <si>
    <t>=NF($O1530,"PAYRATE")</t>
  </si>
  <si>
    <t>=NF($O1530,"PAYROLCD")</t>
  </si>
  <si>
    <t>=NF($O1530,"STATECD")</t>
  </si>
  <si>
    <t>=NF($O1530,"CHEKDATE")</t>
  </si>
  <si>
    <t>=NF($O1530,"UPRTRXAM")</t>
  </si>
  <si>
    <t>=+C1530</t>
  </si>
  <si>
    <t>=+D1530</t>
  </si>
  <si>
    <t>=E1530</t>
  </si>
  <si>
    <t>=G1530</t>
  </si>
  <si>
    <t>=+K1530</t>
  </si>
  <si>
    <t>=L1530</t>
  </si>
  <si>
    <t>=+C1531</t>
  </si>
  <si>
    <t>=+D1531</t>
  </si>
  <si>
    <t>=E1531</t>
  </si>
  <si>
    <t>=G1531</t>
  </si>
  <si>
    <t>=+K1531</t>
  </si>
  <si>
    <t>=L1531</t>
  </si>
  <si>
    <t>=+C1532</t>
  </si>
  <si>
    <t>=+D1532</t>
  </si>
  <si>
    <t>=E1532</t>
  </si>
  <si>
    <t>=G1532</t>
  </si>
  <si>
    <t>=+K1532</t>
  </si>
  <si>
    <t>=L1532</t>
  </si>
  <si>
    <t>=+C1533</t>
  </si>
  <si>
    <t>=+D1533</t>
  </si>
  <si>
    <t>=E1533</t>
  </si>
  <si>
    <t>=G1533</t>
  </si>
  <si>
    <t>=+K1533</t>
  </si>
  <si>
    <t>=L1533</t>
  </si>
  <si>
    <t>=+C1534</t>
  </si>
  <si>
    <t>=+D1534</t>
  </si>
  <si>
    <t>=E1534</t>
  </si>
  <si>
    <t>=G1534</t>
  </si>
  <si>
    <t>=+K1534</t>
  </si>
  <si>
    <t>=L1534</t>
  </si>
  <si>
    <t>=+C1535</t>
  </si>
  <si>
    <t>=+D1535</t>
  </si>
  <si>
    <t>=E1535</t>
  </si>
  <si>
    <t>=G1535</t>
  </si>
  <si>
    <t>=+K1535</t>
  </si>
  <si>
    <t>=L1535</t>
  </si>
  <si>
    <t>=+C1537</t>
  </si>
  <si>
    <t>=+D1537</t>
  </si>
  <si>
    <t>=E1537</t>
  </si>
  <si>
    <t>=G1537</t>
  </si>
  <si>
    <t>=+K1537</t>
  </si>
  <si>
    <t>=L1537</t>
  </si>
  <si>
    <t>="Total for " &amp; $L1538</t>
  </si>
  <si>
    <t>=+K1538</t>
  </si>
  <si>
    <t>=SUBTOTAL(9,T1530:T1537)</t>
  </si>
  <si>
    <t>=+C1538</t>
  </si>
  <si>
    <t>=+D1538</t>
  </si>
  <si>
    <t>=E1538</t>
  </si>
  <si>
    <t>=G1538</t>
  </si>
  <si>
    <t>=+N1539</t>
  </si>
  <si>
    <t>=M1539</t>
  </si>
  <si>
    <t>="11610"</t>
  </si>
  <si>
    <t>=NL(,"UPR30300","CHEKDATE","CHEKNMBR",$M1539,"EMPLOYID",$G1539)</t>
  </si>
  <si>
    <t>=+C1539</t>
  </si>
  <si>
    <t>=+D1539</t>
  </si>
  <si>
    <t>=E1539</t>
  </si>
  <si>
    <t>=G1539</t>
  </si>
  <si>
    <t>=+K1539</t>
  </si>
  <si>
    <t>=L1539</t>
  </si>
  <si>
    <t>=NF($O1540,"PAYRATE")</t>
  </si>
  <si>
    <t>=NF($O1540,"PAYROLCD")</t>
  </si>
  <si>
    <t>=NF($O1540,"STATECD")</t>
  </si>
  <si>
    <t>=NF($O1540,"CHEKDATE")</t>
  </si>
  <si>
    <t>=NF($O1540,"UPRTRXAM")</t>
  </si>
  <si>
    <t>=+C1540</t>
  </si>
  <si>
    <t>=+D1540</t>
  </si>
  <si>
    <t>=E1540</t>
  </si>
  <si>
    <t>=G1540</t>
  </si>
  <si>
    <t>=+K1540</t>
  </si>
  <si>
    <t>=L1540</t>
  </si>
  <si>
    <t>=+C1542</t>
  </si>
  <si>
    <t>=+D1542</t>
  </si>
  <si>
    <t>=E1542</t>
  </si>
  <si>
    <t>=G1542</t>
  </si>
  <si>
    <t>=+K1542</t>
  </si>
  <si>
    <t>=L1542</t>
  </si>
  <si>
    <t>="Total for " &amp; $L1543</t>
  </si>
  <si>
    <t>=+K1543</t>
  </si>
  <si>
    <t>=SUBTOTAL(9,T1540:T1542)</t>
  </si>
  <si>
    <t>=+C1543</t>
  </si>
  <si>
    <t>=+D1543</t>
  </si>
  <si>
    <t>=E1543</t>
  </si>
  <si>
    <t>=G1543</t>
  </si>
  <si>
    <t>=+N1544</t>
  </si>
  <si>
    <t>=M1544</t>
  </si>
  <si>
    <t>="11614"</t>
  </si>
  <si>
    <t>=NL(,"UPR30300","CHEKDATE","CHEKNMBR",$M1544,"EMPLOYID",$G1544)</t>
  </si>
  <si>
    <t>=+C1544</t>
  </si>
  <si>
    <t>=+D1544</t>
  </si>
  <si>
    <t>=E1544</t>
  </si>
  <si>
    <t>=G1544</t>
  </si>
  <si>
    <t>=+K1544</t>
  </si>
  <si>
    <t>=L1544</t>
  </si>
  <si>
    <t>=NF($O1545,"PAYRATE")</t>
  </si>
  <si>
    <t>=NF($O1545,"PAYROLCD")</t>
  </si>
  <si>
    <t>=NF($O1545,"STATECD")</t>
  </si>
  <si>
    <t>=NF($O1545,"CHEKDATE")</t>
  </si>
  <si>
    <t>=NF($O1545,"UPRTRXAM")</t>
  </si>
  <si>
    <t>=+C1545</t>
  </si>
  <si>
    <t>=+D1545</t>
  </si>
  <si>
    <t>=E1545</t>
  </si>
  <si>
    <t>=G1545</t>
  </si>
  <si>
    <t>=+K1545</t>
  </si>
  <si>
    <t>=L1545</t>
  </si>
  <si>
    <t>=+C1547</t>
  </si>
  <si>
    <t>=+D1547</t>
  </si>
  <si>
    <t>=E1547</t>
  </si>
  <si>
    <t>=G1547</t>
  </si>
  <si>
    <t>=+K1547</t>
  </si>
  <si>
    <t>=L1547</t>
  </si>
  <si>
    <t>="Total for " &amp; $L1548</t>
  </si>
  <si>
    <t>=+K1548</t>
  </si>
  <si>
    <t>=SUBTOTAL(9,T1545:T1547)</t>
  </si>
  <si>
    <t>=+C1549</t>
  </si>
  <si>
    <t>=+D1549</t>
  </si>
  <si>
    <t>=E1549</t>
  </si>
  <si>
    <t>=G1549</t>
  </si>
  <si>
    <t>="Total for " &amp; $G1550</t>
  </si>
  <si>
    <t>=+C1550</t>
  </si>
  <si>
    <t>=+D1550</t>
  </si>
  <si>
    <t>=SUBTOTAL(9,T1480:T1549)</t>
  </si>
  <si>
    <t>=E1551</t>
  </si>
  <si>
    <t>="Total for " &amp; F915</t>
  </si>
  <si>
    <t>=SUBTOTAL(9,T918:T1551)</t>
  </si>
  <si>
    <t>="SUPP"</t>
  </si>
  <si>
    <t>=D1553</t>
  </si>
  <si>
    <t>=NL(,"UPR41200","DSCRIPTN","EMPLCLAS",D1553)</t>
  </si>
  <si>
    <t>=+I1554</t>
  </si>
  <si>
    <t>=+J1554</t>
  </si>
  <si>
    <t>=E1553</t>
  </si>
  <si>
    <t>=H1554</t>
  </si>
  <si>
    <t>=NL(,"UPR00100","FRSTNAME","EMPLOYID",$H1554)</t>
  </si>
  <si>
    <t>=NL(,"UPR00100","LASTNAME","EMPLOYID",$H1554)</t>
  </si>
  <si>
    <t>=+C1554</t>
  </si>
  <si>
    <t>=+D1554</t>
  </si>
  <si>
    <t>=E1554</t>
  </si>
  <si>
    <t>=G1554</t>
  </si>
  <si>
    <t>=+N1555</t>
  </si>
  <si>
    <t>=M1555</t>
  </si>
  <si>
    <t>=NL(,"UPR30300","CHEKDATE","CHEKNMBR",$M1555,"EMPLOYID",$G1555)</t>
  </si>
  <si>
    <t>=+C1555</t>
  </si>
  <si>
    <t>=+D1555</t>
  </si>
  <si>
    <t>=E1555</t>
  </si>
  <si>
    <t>=G1555</t>
  </si>
  <si>
    <t>=+K1555</t>
  </si>
  <si>
    <t>=L1555</t>
  </si>
  <si>
    <t>=NF($O1556,"PAYRATE")</t>
  </si>
  <si>
    <t>=NF($O1556,"PAYROLCD")</t>
  </si>
  <si>
    <t>=NF($O1556,"STATECD")</t>
  </si>
  <si>
    <t>=NF($O1556,"CHEKDATE")</t>
  </si>
  <si>
    <t>=NF($O1556,"UPRTRXAM")</t>
  </si>
  <si>
    <t>=+C1556</t>
  </si>
  <si>
    <t>=+D1556</t>
  </si>
  <si>
    <t>=E1556</t>
  </si>
  <si>
    <t>=G1556</t>
  </si>
  <si>
    <t>=+K1556</t>
  </si>
  <si>
    <t>=L1556</t>
  </si>
  <si>
    <t>=+C1557</t>
  </si>
  <si>
    <t>=+D1557</t>
  </si>
  <si>
    <t>=E1557</t>
  </si>
  <si>
    <t>=G1557</t>
  </si>
  <si>
    <t>=+K1557</t>
  </si>
  <si>
    <t>=L1557</t>
  </si>
  <si>
    <t>=+C1558</t>
  </si>
  <si>
    <t>=+D1558</t>
  </si>
  <si>
    <t>=E1558</t>
  </si>
  <si>
    <t>=G1558</t>
  </si>
  <si>
    <t>=+K1558</t>
  </si>
  <si>
    <t>=L1558</t>
  </si>
  <si>
    <t>=+C1559</t>
  </si>
  <si>
    <t>=+D1559</t>
  </si>
  <si>
    <t>=E1559</t>
  </si>
  <si>
    <t>=G1559</t>
  </si>
  <si>
    <t>=+K1559</t>
  </si>
  <si>
    <t>=L1559</t>
  </si>
  <si>
    <t>=+C1560</t>
  </si>
  <si>
    <t>=+D1560</t>
  </si>
  <si>
    <t>=E1560</t>
  </si>
  <si>
    <t>=G1560</t>
  </si>
  <si>
    <t>=+K1560</t>
  </si>
  <si>
    <t>=L1560</t>
  </si>
  <si>
    <t>=+C1561</t>
  </si>
  <si>
    <t>=+D1561</t>
  </si>
  <si>
    <t>=E1561</t>
  </si>
  <si>
    <t>=G1561</t>
  </si>
  <si>
    <t>=+K1561</t>
  </si>
  <si>
    <t>=L1561</t>
  </si>
  <si>
    <t>=+C1563</t>
  </si>
  <si>
    <t>=+D1563</t>
  </si>
  <si>
    <t>=E1563</t>
  </si>
  <si>
    <t>=G1563</t>
  </si>
  <si>
    <t>=+K1563</t>
  </si>
  <si>
    <t>=L1563</t>
  </si>
  <si>
    <t>="Total for " &amp; $L1564</t>
  </si>
  <si>
    <t>=+K1564</t>
  </si>
  <si>
    <t>=SUBTOTAL(9,T1556:T1563)</t>
  </si>
  <si>
    <t>=+C1564</t>
  </si>
  <si>
    <t>=+D1564</t>
  </si>
  <si>
    <t>=E1564</t>
  </si>
  <si>
    <t>=G1564</t>
  </si>
  <si>
    <t>=+N1565</t>
  </si>
  <si>
    <t>=M1565</t>
  </si>
  <si>
    <t>="DD000000000000000040"</t>
  </si>
  <si>
    <t>=NL(,"UPR30300","CHEKDATE","CHEKNMBR",$M1565,"EMPLOYID",$G1565)</t>
  </si>
  <si>
    <t>=+C1565</t>
  </si>
  <si>
    <t>=+D1565</t>
  </si>
  <si>
    <t>=E1565</t>
  </si>
  <si>
    <t>=G1565</t>
  </si>
  <si>
    <t>=+K1565</t>
  </si>
  <si>
    <t>=L1565</t>
  </si>
  <si>
    <t>=NF($O1566,"PAYRATE")</t>
  </si>
  <si>
    <t>=NF($O1566,"PAYROLCD")</t>
  </si>
  <si>
    <t>=NF($O1566,"STATECD")</t>
  </si>
  <si>
    <t>=NF($O1566,"CHEKDATE")</t>
  </si>
  <si>
    <t>=NF($O1566,"UPRTRXAM")</t>
  </si>
  <si>
    <t>=+C1566</t>
  </si>
  <si>
    <t>=+D1566</t>
  </si>
  <si>
    <t>=E1566</t>
  </si>
  <si>
    <t>=G1566</t>
  </si>
  <si>
    <t>=+K1566</t>
  </si>
  <si>
    <t>=L1566</t>
  </si>
  <si>
    <t>=+C1567</t>
  </si>
  <si>
    <t>=+D1567</t>
  </si>
  <si>
    <t>=E1567</t>
  </si>
  <si>
    <t>=G1567</t>
  </si>
  <si>
    <t>=+K1567</t>
  </si>
  <si>
    <t>=L1567</t>
  </si>
  <si>
    <t>=+C1568</t>
  </si>
  <si>
    <t>=+D1568</t>
  </si>
  <si>
    <t>=E1568</t>
  </si>
  <si>
    <t>=G1568</t>
  </si>
  <si>
    <t>=+K1568</t>
  </si>
  <si>
    <t>=L1568</t>
  </si>
  <si>
    <t>=+C1569</t>
  </si>
  <si>
    <t>=+D1569</t>
  </si>
  <si>
    <t>=E1569</t>
  </si>
  <si>
    <t>=G1569</t>
  </si>
  <si>
    <t>=+K1569</t>
  </si>
  <si>
    <t>=L1569</t>
  </si>
  <si>
    <t>=+C1570</t>
  </si>
  <si>
    <t>=+D1570</t>
  </si>
  <si>
    <t>=E1570</t>
  </si>
  <si>
    <t>=G1570</t>
  </si>
  <si>
    <t>=+K1570</t>
  </si>
  <si>
    <t>=L1570</t>
  </si>
  <si>
    <t>=+C1571</t>
  </si>
  <si>
    <t>=+D1571</t>
  </si>
  <si>
    <t>=E1571</t>
  </si>
  <si>
    <t>=G1571</t>
  </si>
  <si>
    <t>=+K1571</t>
  </si>
  <si>
    <t>=L1571</t>
  </si>
  <si>
    <t>=+C1573</t>
  </si>
  <si>
    <t>=+D1573</t>
  </si>
  <si>
    <t>=E1573</t>
  </si>
  <si>
    <t>=G1573</t>
  </si>
  <si>
    <t>=+K1573</t>
  </si>
  <si>
    <t>=L1573</t>
  </si>
  <si>
    <t>="Total for " &amp; $L1574</t>
  </si>
  <si>
    <t>=+K1574</t>
  </si>
  <si>
    <t>=SUBTOTAL(9,T1566:T1573)</t>
  </si>
  <si>
    <t>=+C1574</t>
  </si>
  <si>
    <t>=+D1574</t>
  </si>
  <si>
    <t>=E1574</t>
  </si>
  <si>
    <t>=G1574</t>
  </si>
  <si>
    <t>=+N1575</t>
  </si>
  <si>
    <t>=M1575</t>
  </si>
  <si>
    <t>="DD000000000000000043"</t>
  </si>
  <si>
    <t>=NL(,"UPR30300","CHEKDATE","CHEKNMBR",$M1575,"EMPLOYID",$G1575)</t>
  </si>
  <si>
    <t>=+C1575</t>
  </si>
  <si>
    <t>=+D1575</t>
  </si>
  <si>
    <t>=E1575</t>
  </si>
  <si>
    <t>=G1575</t>
  </si>
  <si>
    <t>=+K1575</t>
  </si>
  <si>
    <t>=L1575</t>
  </si>
  <si>
    <t>=NF($O1576,"PAYRATE")</t>
  </si>
  <si>
    <t>=NF($O1576,"PAYROLCD")</t>
  </si>
  <si>
    <t>=NF($O1576,"STATECD")</t>
  </si>
  <si>
    <t>=NF($O1576,"CHEKDATE")</t>
  </si>
  <si>
    <t>=NF($O1576,"UPRTRXAM")</t>
  </si>
  <si>
    <t>=+C1576</t>
  </si>
  <si>
    <t>=+D1576</t>
  </si>
  <si>
    <t>=E1576</t>
  </si>
  <si>
    <t>=G1576</t>
  </si>
  <si>
    <t>=+K1576</t>
  </si>
  <si>
    <t>=L1576</t>
  </si>
  <si>
    <t>=+C1577</t>
  </si>
  <si>
    <t>=+D1577</t>
  </si>
  <si>
    <t>=E1577</t>
  </si>
  <si>
    <t>=G1577</t>
  </si>
  <si>
    <t>=+K1577</t>
  </si>
  <si>
    <t>=L1577</t>
  </si>
  <si>
    <t>=+C1578</t>
  </si>
  <si>
    <t>=+D1578</t>
  </si>
  <si>
    <t>=E1578</t>
  </si>
  <si>
    <t>=G1578</t>
  </si>
  <si>
    <t>=+K1578</t>
  </si>
  <si>
    <t>=L1578</t>
  </si>
  <si>
    <t>=+C1579</t>
  </si>
  <si>
    <t>=+D1579</t>
  </si>
  <si>
    <t>=E1579</t>
  </si>
  <si>
    <t>=G1579</t>
  </si>
  <si>
    <t>=+K1579</t>
  </si>
  <si>
    <t>=L1579</t>
  </si>
  <si>
    <t>=+C1580</t>
  </si>
  <si>
    <t>=+D1580</t>
  </si>
  <si>
    <t>=E1580</t>
  </si>
  <si>
    <t>=G1580</t>
  </si>
  <si>
    <t>=+K1580</t>
  </si>
  <si>
    <t>=L1580</t>
  </si>
  <si>
    <t>=+C1581</t>
  </si>
  <si>
    <t>=+D1581</t>
  </si>
  <si>
    <t>=E1581</t>
  </si>
  <si>
    <t>=G1581</t>
  </si>
  <si>
    <t>=+K1581</t>
  </si>
  <si>
    <t>=L1581</t>
  </si>
  <si>
    <t>=+C1583</t>
  </si>
  <si>
    <t>=+D1583</t>
  </si>
  <si>
    <t>=E1583</t>
  </si>
  <si>
    <t>=G1583</t>
  </si>
  <si>
    <t>=+K1583</t>
  </si>
  <si>
    <t>=L1583</t>
  </si>
  <si>
    <t>="Total for " &amp; $L1584</t>
  </si>
  <si>
    <t>=+K1584</t>
  </si>
  <si>
    <t>=SUBTOTAL(9,T1576:T1583)</t>
  </si>
  <si>
    <t>=+C1584</t>
  </si>
  <si>
    <t>=+D1584</t>
  </si>
  <si>
    <t>=E1584</t>
  </si>
  <si>
    <t>=G1584</t>
  </si>
  <si>
    <t>=+N1585</t>
  </si>
  <si>
    <t>=M1585</t>
  </si>
  <si>
    <t>="DD000000000000000046"</t>
  </si>
  <si>
    <t>=NL(,"UPR30300","CHEKDATE","CHEKNMBR",$M1585,"EMPLOYID",$G1585)</t>
  </si>
  <si>
    <t>=+C1585</t>
  </si>
  <si>
    <t>=+D1585</t>
  </si>
  <si>
    <t>=E1585</t>
  </si>
  <si>
    <t>=G1585</t>
  </si>
  <si>
    <t>=+K1585</t>
  </si>
  <si>
    <t>=L1585</t>
  </si>
  <si>
    <t>=NF($O1586,"PAYRATE")</t>
  </si>
  <si>
    <t>=NF($O1586,"PAYROLCD")</t>
  </si>
  <si>
    <t>=NF($O1586,"STATECD")</t>
  </si>
  <si>
    <t>=NF($O1586,"CHEKDATE")</t>
  </si>
  <si>
    <t>=NF($O1586,"UPRTRXAM")</t>
  </si>
  <si>
    <t>=+C1586</t>
  </si>
  <si>
    <t>=+D1586</t>
  </si>
  <si>
    <t>=E1586</t>
  </si>
  <si>
    <t>=G1586</t>
  </si>
  <si>
    <t>=+K1586</t>
  </si>
  <si>
    <t>=L1586</t>
  </si>
  <si>
    <t>=+C1587</t>
  </si>
  <si>
    <t>=+D1587</t>
  </si>
  <si>
    <t>=E1587</t>
  </si>
  <si>
    <t>=G1587</t>
  </si>
  <si>
    <t>=+K1587</t>
  </si>
  <si>
    <t>=L1587</t>
  </si>
  <si>
    <t>=+C1588</t>
  </si>
  <si>
    <t>=+D1588</t>
  </si>
  <si>
    <t>=E1588</t>
  </si>
  <si>
    <t>=G1588</t>
  </si>
  <si>
    <t>=+K1588</t>
  </si>
  <si>
    <t>=L1588</t>
  </si>
  <si>
    <t>=+C1589</t>
  </si>
  <si>
    <t>=+D1589</t>
  </si>
  <si>
    <t>=E1589</t>
  </si>
  <si>
    <t>=G1589</t>
  </si>
  <si>
    <t>=+K1589</t>
  </si>
  <si>
    <t>=L1589</t>
  </si>
  <si>
    <t>=+C1590</t>
  </si>
  <si>
    <t>=+D1590</t>
  </si>
  <si>
    <t>=E1590</t>
  </si>
  <si>
    <t>=G1590</t>
  </si>
  <si>
    <t>=+K1590</t>
  </si>
  <si>
    <t>=L1590</t>
  </si>
  <si>
    <t>=+C1591</t>
  </si>
  <si>
    <t>=+D1591</t>
  </si>
  <si>
    <t>=E1591</t>
  </si>
  <si>
    <t>=G1591</t>
  </si>
  <si>
    <t>=+K1591</t>
  </si>
  <si>
    <t>=L1591</t>
  </si>
  <si>
    <t>=+C1593</t>
  </si>
  <si>
    <t>=+D1593</t>
  </si>
  <si>
    <t>=E1593</t>
  </si>
  <si>
    <t>=G1593</t>
  </si>
  <si>
    <t>=+K1593</t>
  </si>
  <si>
    <t>=L1593</t>
  </si>
  <si>
    <t>="Total for " &amp; $L1594</t>
  </si>
  <si>
    <t>=+K1594</t>
  </si>
  <si>
    <t>=SUBTOTAL(9,T1586:T1593)</t>
  </si>
  <si>
    <t>=+C1594</t>
  </si>
  <si>
    <t>=+D1594</t>
  </si>
  <si>
    <t>=E1594</t>
  </si>
  <si>
    <t>=G1594</t>
  </si>
  <si>
    <t>=+N1595</t>
  </si>
  <si>
    <t>=M1595</t>
  </si>
  <si>
    <t>="DD000000000000000049"</t>
  </si>
  <si>
    <t>=NL(,"UPR30300","CHEKDATE","CHEKNMBR",$M1595,"EMPLOYID",$G1595)</t>
  </si>
  <si>
    <t>=+C1595</t>
  </si>
  <si>
    <t>=+D1595</t>
  </si>
  <si>
    <t>=E1595</t>
  </si>
  <si>
    <t>=G1595</t>
  </si>
  <si>
    <t>=+K1595</t>
  </si>
  <si>
    <t>=L1595</t>
  </si>
  <si>
    <t>=NF($O1596,"PAYRATE")</t>
  </si>
  <si>
    <t>=NF($O1596,"PAYROLCD")</t>
  </si>
  <si>
    <t>=NF($O1596,"STATECD")</t>
  </si>
  <si>
    <t>=NF($O1596,"CHEKDATE")</t>
  </si>
  <si>
    <t>=NF($O1596,"UPRTRXAM")</t>
  </si>
  <si>
    <t>=+C1596</t>
  </si>
  <si>
    <t>=+D1596</t>
  </si>
  <si>
    <t>=E1596</t>
  </si>
  <si>
    <t>=G1596</t>
  </si>
  <si>
    <t>=+K1596</t>
  </si>
  <si>
    <t>=L1596</t>
  </si>
  <si>
    <t>=+C1597</t>
  </si>
  <si>
    <t>=+D1597</t>
  </si>
  <si>
    <t>=E1597</t>
  </si>
  <si>
    <t>=G1597</t>
  </si>
  <si>
    <t>=+K1597</t>
  </si>
  <si>
    <t>=L1597</t>
  </si>
  <si>
    <t>=+C1598</t>
  </si>
  <si>
    <t>=+D1598</t>
  </si>
  <si>
    <t>=E1598</t>
  </si>
  <si>
    <t>=G1598</t>
  </si>
  <si>
    <t>=+K1598</t>
  </si>
  <si>
    <t>=L1598</t>
  </si>
  <si>
    <t>=+C1599</t>
  </si>
  <si>
    <t>=+D1599</t>
  </si>
  <si>
    <t>=E1599</t>
  </si>
  <si>
    <t>=G1599</t>
  </si>
  <si>
    <t>=+K1599</t>
  </si>
  <si>
    <t>=L1599</t>
  </si>
  <si>
    <t>=+C1600</t>
  </si>
  <si>
    <t>=+D1600</t>
  </si>
  <si>
    <t>=E1600</t>
  </si>
  <si>
    <t>=G1600</t>
  </si>
  <si>
    <t>=+K1600</t>
  </si>
  <si>
    <t>=L1600</t>
  </si>
  <si>
    <t>=+C1601</t>
  </si>
  <si>
    <t>=+D1601</t>
  </si>
  <si>
    <t>=E1601</t>
  </si>
  <si>
    <t>=G1601</t>
  </si>
  <si>
    <t>=+K1601</t>
  </si>
  <si>
    <t>=L1601</t>
  </si>
  <si>
    <t>=+C1603</t>
  </si>
  <si>
    <t>=+D1603</t>
  </si>
  <si>
    <t>=E1603</t>
  </si>
  <si>
    <t>=G1603</t>
  </si>
  <si>
    <t>=+K1603</t>
  </si>
  <si>
    <t>=L1603</t>
  </si>
  <si>
    <t>="Total for " &amp; $L1604</t>
  </si>
  <si>
    <t>=+K1604</t>
  </si>
  <si>
    <t>=SUBTOTAL(9,T1596:T1603)</t>
  </si>
  <si>
    <t>=+C1604</t>
  </si>
  <si>
    <t>=+D1604</t>
  </si>
  <si>
    <t>=E1604</t>
  </si>
  <si>
    <t>=G1604</t>
  </si>
  <si>
    <t>=+N1605</t>
  </si>
  <si>
    <t>=M1605</t>
  </si>
  <si>
    <t>="DD000000000000000052"</t>
  </si>
  <si>
    <t>=NL(,"UPR30300","CHEKDATE","CHEKNMBR",$M1605,"EMPLOYID",$G1605)</t>
  </si>
  <si>
    <t>=+C1605</t>
  </si>
  <si>
    <t>=+D1605</t>
  </si>
  <si>
    <t>=E1605</t>
  </si>
  <si>
    <t>=G1605</t>
  </si>
  <si>
    <t>=+K1605</t>
  </si>
  <si>
    <t>=L1605</t>
  </si>
  <si>
    <t>=NF($O1606,"PAYRATE")</t>
  </si>
  <si>
    <t>=NF($O1606,"PAYROLCD")</t>
  </si>
  <si>
    <t>=NF($O1606,"STATECD")</t>
  </si>
  <si>
    <t>=NF($O1606,"CHEKDATE")</t>
  </si>
  <si>
    <t>=NF($O1606,"UPRTRXAM")</t>
  </si>
  <si>
    <t>=+C1606</t>
  </si>
  <si>
    <t>=+D1606</t>
  </si>
  <si>
    <t>=E1606</t>
  </si>
  <si>
    <t>=G1606</t>
  </si>
  <si>
    <t>=+K1606</t>
  </si>
  <si>
    <t>=L1606</t>
  </si>
  <si>
    <t>=+C1607</t>
  </si>
  <si>
    <t>=+D1607</t>
  </si>
  <si>
    <t>=E1607</t>
  </si>
  <si>
    <t>=G1607</t>
  </si>
  <si>
    <t>=+K1607</t>
  </si>
  <si>
    <t>=L1607</t>
  </si>
  <si>
    <t>=+C1608</t>
  </si>
  <si>
    <t>=+D1608</t>
  </si>
  <si>
    <t>=E1608</t>
  </si>
  <si>
    <t>=G1608</t>
  </si>
  <si>
    <t>=+K1608</t>
  </si>
  <si>
    <t>=L1608</t>
  </si>
  <si>
    <t>=+C1609</t>
  </si>
  <si>
    <t>=+D1609</t>
  </si>
  <si>
    <t>=E1609</t>
  </si>
  <si>
    <t>=G1609</t>
  </si>
  <si>
    <t>=+K1609</t>
  </si>
  <si>
    <t>=L1609</t>
  </si>
  <si>
    <t>=+C1610</t>
  </si>
  <si>
    <t>=+D1610</t>
  </si>
  <si>
    <t>=E1610</t>
  </si>
  <si>
    <t>=G1610</t>
  </si>
  <si>
    <t>=+K1610</t>
  </si>
  <si>
    <t>=L1610</t>
  </si>
  <si>
    <t>=+C1611</t>
  </si>
  <si>
    <t>=+D1611</t>
  </si>
  <si>
    <t>=E1611</t>
  </si>
  <si>
    <t>=G1611</t>
  </si>
  <si>
    <t>=+K1611</t>
  </si>
  <si>
    <t>=L1611</t>
  </si>
  <si>
    <t>=+C1613</t>
  </si>
  <si>
    <t>=+D1613</t>
  </si>
  <si>
    <t>=E1613</t>
  </si>
  <si>
    <t>=G1613</t>
  </si>
  <si>
    <t>=+K1613</t>
  </si>
  <si>
    <t>=L1613</t>
  </si>
  <si>
    <t>="Total for " &amp; $L1614</t>
  </si>
  <si>
    <t>=+K1614</t>
  </si>
  <si>
    <t>=SUBTOTAL(9,T1606:T1613)</t>
  </si>
  <si>
    <t>=+C1614</t>
  </si>
  <si>
    <t>=+D1614</t>
  </si>
  <si>
    <t>=E1614</t>
  </si>
  <si>
    <t>=G1614</t>
  </si>
  <si>
    <t>=+N1615</t>
  </si>
  <si>
    <t>=M1615</t>
  </si>
  <si>
    <t>="DD000000000000000185"</t>
  </si>
  <si>
    <t>=NL(,"UPR30300","CHEKDATE","CHEKNMBR",$M1615,"EMPLOYID",$G1615)</t>
  </si>
  <si>
    <t>=+C1615</t>
  </si>
  <si>
    <t>=+D1615</t>
  </si>
  <si>
    <t>=E1615</t>
  </si>
  <si>
    <t>=G1615</t>
  </si>
  <si>
    <t>=+K1615</t>
  </si>
  <si>
    <t>=L1615</t>
  </si>
  <si>
    <t>=NF($O1616,"PAYRATE")</t>
  </si>
  <si>
    <t>=NF($O1616,"PAYROLCD")</t>
  </si>
  <si>
    <t>=NF($O1616,"STATECD")</t>
  </si>
  <si>
    <t>=NF($O1616,"CHEKDATE")</t>
  </si>
  <si>
    <t>=NF($O1616,"UPRTRXAM")</t>
  </si>
  <si>
    <t>=+C1616</t>
  </si>
  <si>
    <t>=+D1616</t>
  </si>
  <si>
    <t>=E1616</t>
  </si>
  <si>
    <t>=G1616</t>
  </si>
  <si>
    <t>=+K1616</t>
  </si>
  <si>
    <t>=L1616</t>
  </si>
  <si>
    <t>=+C1618</t>
  </si>
  <si>
    <t>=+D1618</t>
  </si>
  <si>
    <t>=E1618</t>
  </si>
  <si>
    <t>=G1618</t>
  </si>
  <si>
    <t>=+K1618</t>
  </si>
  <si>
    <t>=L1618</t>
  </si>
  <si>
    <t>="Total for " &amp; $L1619</t>
  </si>
  <si>
    <t>=+K1619</t>
  </si>
  <si>
    <t>=SUBTOTAL(9,T1616:T1618)</t>
  </si>
  <si>
    <t>=+C1619</t>
  </si>
  <si>
    <t>=+D1619</t>
  </si>
  <si>
    <t>=E1619</t>
  </si>
  <si>
    <t>=G1619</t>
  </si>
  <si>
    <t>=+N1620</t>
  </si>
  <si>
    <t>=M1620</t>
  </si>
  <si>
    <t>="DD000000000000000187"</t>
  </si>
  <si>
    <t>=NL(,"UPR30300","CHEKDATE","CHEKNMBR",$M1620,"EMPLOYID",$G1620)</t>
  </si>
  <si>
    <t>=+C1620</t>
  </si>
  <si>
    <t>=+D1620</t>
  </si>
  <si>
    <t>=E1620</t>
  </si>
  <si>
    <t>=G1620</t>
  </si>
  <si>
    <t>=+K1620</t>
  </si>
  <si>
    <t>=L1620</t>
  </si>
  <si>
    <t>=NF($O1621,"PAYRATE")</t>
  </si>
  <si>
    <t>=NF($O1621,"PAYROLCD")</t>
  </si>
  <si>
    <t>=NF($O1621,"STATECD")</t>
  </si>
  <si>
    <t>=NF($O1621,"CHEKDATE")</t>
  </si>
  <si>
    <t>=NF($O1621,"UPRTRXAM")</t>
  </si>
  <si>
    <t>=+C1621</t>
  </si>
  <si>
    <t>=+D1621</t>
  </si>
  <si>
    <t>=E1621</t>
  </si>
  <si>
    <t>=G1621</t>
  </si>
  <si>
    <t>=+K1621</t>
  </si>
  <si>
    <t>=L1621</t>
  </si>
  <si>
    <t>=+C1623</t>
  </si>
  <si>
    <t>=+D1623</t>
  </si>
  <si>
    <t>=E1623</t>
  </si>
  <si>
    <t>=G1623</t>
  </si>
  <si>
    <t>=+K1623</t>
  </si>
  <si>
    <t>=L1623</t>
  </si>
  <si>
    <t>="Total for " &amp; $L1624</t>
  </si>
  <si>
    <t>=+K1624</t>
  </si>
  <si>
    <t>=SUBTOTAL(9,T1621:T1623)</t>
  </si>
  <si>
    <t>=+C1625</t>
  </si>
  <si>
    <t>=+D1625</t>
  </si>
  <si>
    <t>=E1625</t>
  </si>
  <si>
    <t>=G1625</t>
  </si>
  <si>
    <t>="Total for " &amp; $G1626</t>
  </si>
  <si>
    <t>=+C1626</t>
  </si>
  <si>
    <t>=+D1626</t>
  </si>
  <si>
    <t>=SUBTOTAL(9,T1556:T1625)</t>
  </si>
  <si>
    <t>=+I1627</t>
  </si>
  <si>
    <t>=+J1627</t>
  </si>
  <si>
    <t>=E1626</t>
  </si>
  <si>
    <t>=H1627</t>
  </si>
  <si>
    <t>="FLOO0001"</t>
  </si>
  <si>
    <t>=NL(,"UPR00100","FRSTNAME","EMPLOYID",$H1627)</t>
  </si>
  <si>
    <t>=NL(,"UPR00100","LASTNAME","EMPLOYID",$H1627)</t>
  </si>
  <si>
    <t>=+C1627</t>
  </si>
  <si>
    <t>=+D1627</t>
  </si>
  <si>
    <t>=E1627</t>
  </si>
  <si>
    <t>=G1627</t>
  </si>
  <si>
    <t>=+N1628</t>
  </si>
  <si>
    <t>=M1628</t>
  </si>
  <si>
    <t>=NL(,"UPR30300","CHEKDATE","CHEKNMBR",$M1628,"EMPLOYID",$G1628)</t>
  </si>
  <si>
    <t>=+C1628</t>
  </si>
  <si>
    <t>=+D1628</t>
  </si>
  <si>
    <t>=E1628</t>
  </si>
  <si>
    <t>=G1628</t>
  </si>
  <si>
    <t>=+K1628</t>
  </si>
  <si>
    <t>=L1628</t>
  </si>
  <si>
    <t>=NF($O1629,"PAYRATE")</t>
  </si>
  <si>
    <t>=NF($O1629,"PAYROLCD")</t>
  </si>
  <si>
    <t>=NF($O1629,"STATECD")</t>
  </si>
  <si>
    <t>=NF($O1629,"CHEKDATE")</t>
  </si>
  <si>
    <t>=NF($O1629,"UPRTRXAM")</t>
  </si>
  <si>
    <t>=+C1629</t>
  </si>
  <si>
    <t>=+D1629</t>
  </si>
  <si>
    <t>=E1629</t>
  </si>
  <si>
    <t>=G1629</t>
  </si>
  <si>
    <t>=+K1629</t>
  </si>
  <si>
    <t>=L1629</t>
  </si>
  <si>
    <t>=+C1630</t>
  </si>
  <si>
    <t>=+D1630</t>
  </si>
  <si>
    <t>=E1630</t>
  </si>
  <si>
    <t>=G1630</t>
  </si>
  <si>
    <t>=+K1630</t>
  </si>
  <si>
    <t>=L1630</t>
  </si>
  <si>
    <t>=+C1631</t>
  </si>
  <si>
    <t>=+D1631</t>
  </si>
  <si>
    <t>=E1631</t>
  </si>
  <si>
    <t>=G1631</t>
  </si>
  <si>
    <t>=+K1631</t>
  </si>
  <si>
    <t>=L1631</t>
  </si>
  <si>
    <t>=+C1632</t>
  </si>
  <si>
    <t>=+D1632</t>
  </si>
  <si>
    <t>=E1632</t>
  </si>
  <si>
    <t>=G1632</t>
  </si>
  <si>
    <t>=+K1632</t>
  </si>
  <si>
    <t>=L1632</t>
  </si>
  <si>
    <t>=+C1633</t>
  </si>
  <si>
    <t>=+D1633</t>
  </si>
  <si>
    <t>=E1633</t>
  </si>
  <si>
    <t>=G1633</t>
  </si>
  <si>
    <t>=+K1633</t>
  </si>
  <si>
    <t>=L1633</t>
  </si>
  <si>
    <t>=+C1634</t>
  </si>
  <si>
    <t>=+D1634</t>
  </si>
  <si>
    <t>=E1634</t>
  </si>
  <si>
    <t>=G1634</t>
  </si>
  <si>
    <t>=+K1634</t>
  </si>
  <si>
    <t>=L1634</t>
  </si>
  <si>
    <t>=+C1636</t>
  </si>
  <si>
    <t>=+D1636</t>
  </si>
  <si>
    <t>=E1636</t>
  </si>
  <si>
    <t>=G1636</t>
  </si>
  <si>
    <t>=+K1636</t>
  </si>
  <si>
    <t>=L1636</t>
  </si>
  <si>
    <t>="Total for " &amp; $L1637</t>
  </si>
  <si>
    <t>=+K1637</t>
  </si>
  <si>
    <t>=SUBTOTAL(9,T1629:T1636)</t>
  </si>
  <si>
    <t>=+C1637</t>
  </si>
  <si>
    <t>=+D1637</t>
  </si>
  <si>
    <t>=E1637</t>
  </si>
  <si>
    <t>=G1637</t>
  </si>
  <si>
    <t>=+N1638</t>
  </si>
  <si>
    <t>=M1638</t>
  </si>
  <si>
    <t>="10387"</t>
  </si>
  <si>
    <t>=NL(,"UPR30300","CHEKDATE","CHEKNMBR",$M1638,"EMPLOYID",$G1638)</t>
  </si>
  <si>
    <t>=+C1638</t>
  </si>
  <si>
    <t>=+D1638</t>
  </si>
  <si>
    <t>=E1638</t>
  </si>
  <si>
    <t>=G1638</t>
  </si>
  <si>
    <t>=+K1638</t>
  </si>
  <si>
    <t>=L1638</t>
  </si>
  <si>
    <t>=NF($O1639,"PAYRATE")</t>
  </si>
  <si>
    <t>=NF($O1639,"PAYROLCD")</t>
  </si>
  <si>
    <t>=NF($O1639,"STATECD")</t>
  </si>
  <si>
    <t>=NF($O1639,"CHEKDATE")</t>
  </si>
  <si>
    <t>=NF($O1639,"UPRTRXAM")</t>
  </si>
  <si>
    <t>=+C1639</t>
  </si>
  <si>
    <t>=+D1639</t>
  </si>
  <si>
    <t>=E1639</t>
  </si>
  <si>
    <t>=G1639</t>
  </si>
  <si>
    <t>=+K1639</t>
  </si>
  <si>
    <t>=L1639</t>
  </si>
  <si>
    <t>=+C1640</t>
  </si>
  <si>
    <t>=+D1640</t>
  </si>
  <si>
    <t>=E1640</t>
  </si>
  <si>
    <t>=G1640</t>
  </si>
  <si>
    <t>=+K1640</t>
  </si>
  <si>
    <t>=L1640</t>
  </si>
  <si>
    <t>=+C1641</t>
  </si>
  <si>
    <t>=+D1641</t>
  </si>
  <si>
    <t>=E1641</t>
  </si>
  <si>
    <t>=G1641</t>
  </si>
  <si>
    <t>=+K1641</t>
  </si>
  <si>
    <t>=L1641</t>
  </si>
  <si>
    <t>=+C1642</t>
  </si>
  <si>
    <t>=+D1642</t>
  </si>
  <si>
    <t>=E1642</t>
  </si>
  <si>
    <t>=G1642</t>
  </si>
  <si>
    <t>=+K1642</t>
  </si>
  <si>
    <t>=L1642</t>
  </si>
  <si>
    <t>=+C1643</t>
  </si>
  <si>
    <t>=+D1643</t>
  </si>
  <si>
    <t>=E1643</t>
  </si>
  <si>
    <t>=G1643</t>
  </si>
  <si>
    <t>=+K1643</t>
  </si>
  <si>
    <t>=L1643</t>
  </si>
  <si>
    <t>=+C1644</t>
  </si>
  <si>
    <t>=+D1644</t>
  </si>
  <si>
    <t>=E1644</t>
  </si>
  <si>
    <t>=G1644</t>
  </si>
  <si>
    <t>=+K1644</t>
  </si>
  <si>
    <t>=L1644</t>
  </si>
  <si>
    <t>=+C1646</t>
  </si>
  <si>
    <t>=+D1646</t>
  </si>
  <si>
    <t>=E1646</t>
  </si>
  <si>
    <t>=G1646</t>
  </si>
  <si>
    <t>=+K1646</t>
  </si>
  <si>
    <t>=L1646</t>
  </si>
  <si>
    <t>="Total for " &amp; $L1647</t>
  </si>
  <si>
    <t>=+K1647</t>
  </si>
  <si>
    <t>=SUBTOTAL(9,T1639:T1646)</t>
  </si>
  <si>
    <t>=+C1647</t>
  </si>
  <si>
    <t>=+D1647</t>
  </si>
  <si>
    <t>=E1647</t>
  </si>
  <si>
    <t>=G1647</t>
  </si>
  <si>
    <t>=+N1648</t>
  </si>
  <si>
    <t>=M1648</t>
  </si>
  <si>
    <t>="10412"</t>
  </si>
  <si>
    <t>=NL(,"UPR30300","CHEKDATE","CHEKNMBR",$M1648,"EMPLOYID",$G1648)</t>
  </si>
  <si>
    <t>=+C1648</t>
  </si>
  <si>
    <t>=+D1648</t>
  </si>
  <si>
    <t>=E1648</t>
  </si>
  <si>
    <t>=G1648</t>
  </si>
  <si>
    <t>=+K1648</t>
  </si>
  <si>
    <t>=L1648</t>
  </si>
  <si>
    <t>=NF($O1649,"PAYRATE")</t>
  </si>
  <si>
    <t>=NF($O1649,"PAYROLCD")</t>
  </si>
  <si>
    <t>=NF($O1649,"STATECD")</t>
  </si>
  <si>
    <t>=NF($O1649,"CHEKDATE")</t>
  </si>
  <si>
    <t>=NF($O1649,"UPRTRXAM")</t>
  </si>
  <si>
    <t>=+C1649</t>
  </si>
  <si>
    <t>=+D1649</t>
  </si>
  <si>
    <t>=E1649</t>
  </si>
  <si>
    <t>=G1649</t>
  </si>
  <si>
    <t>=+K1649</t>
  </si>
  <si>
    <t>=L1649</t>
  </si>
  <si>
    <t>=+C1650</t>
  </si>
  <si>
    <t>=+D1650</t>
  </si>
  <si>
    <t>=E1650</t>
  </si>
  <si>
    <t>=G1650</t>
  </si>
  <si>
    <t>=+K1650</t>
  </si>
  <si>
    <t>=L1650</t>
  </si>
  <si>
    <t>=+C1651</t>
  </si>
  <si>
    <t>=+D1651</t>
  </si>
  <si>
    <t>=E1651</t>
  </si>
  <si>
    <t>=G1651</t>
  </si>
  <si>
    <t>=+K1651</t>
  </si>
  <si>
    <t>=L1651</t>
  </si>
  <si>
    <t>=+C1652</t>
  </si>
  <si>
    <t>=+D1652</t>
  </si>
  <si>
    <t>=E1652</t>
  </si>
  <si>
    <t>=G1652</t>
  </si>
  <si>
    <t>=+K1652</t>
  </si>
  <si>
    <t>=L1652</t>
  </si>
  <si>
    <t>=+C1653</t>
  </si>
  <si>
    <t>=+D1653</t>
  </si>
  <si>
    <t>=E1653</t>
  </si>
  <si>
    <t>=G1653</t>
  </si>
  <si>
    <t>=+K1653</t>
  </si>
  <si>
    <t>=L1653</t>
  </si>
  <si>
    <t>=+C1654</t>
  </si>
  <si>
    <t>=+D1654</t>
  </si>
  <si>
    <t>=E1654</t>
  </si>
  <si>
    <t>=G1654</t>
  </si>
  <si>
    <t>=+K1654</t>
  </si>
  <si>
    <t>=L1654</t>
  </si>
  <si>
    <t>=+C1655</t>
  </si>
  <si>
    <t>=+D1655</t>
  </si>
  <si>
    <t>=E1655</t>
  </si>
  <si>
    <t>=G1655</t>
  </si>
  <si>
    <t>=+K1655</t>
  </si>
  <si>
    <t>=L1655</t>
  </si>
  <si>
    <t>=+C1657</t>
  </si>
  <si>
    <t>=+D1657</t>
  </si>
  <si>
    <t>=E1657</t>
  </si>
  <si>
    <t>=G1657</t>
  </si>
  <si>
    <t>=+K1657</t>
  </si>
  <si>
    <t>=L1657</t>
  </si>
  <si>
    <t>="Total for " &amp; $L1658</t>
  </si>
  <si>
    <t>=+K1658</t>
  </si>
  <si>
    <t>=SUBTOTAL(9,T1649:T1657)</t>
  </si>
  <si>
    <t>=+C1658</t>
  </si>
  <si>
    <t>=+D1658</t>
  </si>
  <si>
    <t>=E1658</t>
  </si>
  <si>
    <t>=G1658</t>
  </si>
  <si>
    <t>=+N1659</t>
  </si>
  <si>
    <t>=M1659</t>
  </si>
  <si>
    <t>="10437"</t>
  </si>
  <si>
    <t>=NL(,"UPR30300","CHEKDATE","CHEKNMBR",$M1659,"EMPLOYID",$G1659)</t>
  </si>
  <si>
    <t>=+C1659</t>
  </si>
  <si>
    <t>=+D1659</t>
  </si>
  <si>
    <t>=E1659</t>
  </si>
  <si>
    <t>=G1659</t>
  </si>
  <si>
    <t>=+K1659</t>
  </si>
  <si>
    <t>=L1659</t>
  </si>
  <si>
    <t>=NF($O1660,"PAYRATE")</t>
  </si>
  <si>
    <t>=NF($O1660,"PAYROLCD")</t>
  </si>
  <si>
    <t>=NF($O1660,"STATECD")</t>
  </si>
  <si>
    <t>=NF($O1660,"CHEKDATE")</t>
  </si>
  <si>
    <t>=NF($O1660,"UPRTRXAM")</t>
  </si>
  <si>
    <t>=+C1660</t>
  </si>
  <si>
    <t>=+D1660</t>
  </si>
  <si>
    <t>=E1660</t>
  </si>
  <si>
    <t>=G1660</t>
  </si>
  <si>
    <t>=+K1660</t>
  </si>
  <si>
    <t>=L1660</t>
  </si>
  <si>
    <t>=+C1661</t>
  </si>
  <si>
    <t>=+D1661</t>
  </si>
  <si>
    <t>=E1661</t>
  </si>
  <si>
    <t>=G1661</t>
  </si>
  <si>
    <t>=+K1661</t>
  </si>
  <si>
    <t>=L1661</t>
  </si>
  <si>
    <t>=+C1662</t>
  </si>
  <si>
    <t>=+D1662</t>
  </si>
  <si>
    <t>=E1662</t>
  </si>
  <si>
    <t>=G1662</t>
  </si>
  <si>
    <t>=+K1662</t>
  </si>
  <si>
    <t>=L1662</t>
  </si>
  <si>
    <t>=+C1663</t>
  </si>
  <si>
    <t>=+D1663</t>
  </si>
  <si>
    <t>=E1663</t>
  </si>
  <si>
    <t>=G1663</t>
  </si>
  <si>
    <t>=+K1663</t>
  </si>
  <si>
    <t>=L1663</t>
  </si>
  <si>
    <t>=+C1664</t>
  </si>
  <si>
    <t>=+D1664</t>
  </si>
  <si>
    <t>=E1664</t>
  </si>
  <si>
    <t>=G1664</t>
  </si>
  <si>
    <t>=+K1664</t>
  </si>
  <si>
    <t>=L1664</t>
  </si>
  <si>
    <t>=+C1665</t>
  </si>
  <si>
    <t>=+D1665</t>
  </si>
  <si>
    <t>=E1665</t>
  </si>
  <si>
    <t>=G1665</t>
  </si>
  <si>
    <t>=+K1665</t>
  </si>
  <si>
    <t>=L1665</t>
  </si>
  <si>
    <t>=+C1667</t>
  </si>
  <si>
    <t>=+D1667</t>
  </si>
  <si>
    <t>=E1667</t>
  </si>
  <si>
    <t>=G1667</t>
  </si>
  <si>
    <t>=+K1667</t>
  </si>
  <si>
    <t>=L1667</t>
  </si>
  <si>
    <t>="Total for " &amp; $L1668</t>
  </si>
  <si>
    <t>=+K1668</t>
  </si>
  <si>
    <t>=SUBTOTAL(9,T1660:T1667)</t>
  </si>
  <si>
    <t>=+C1668</t>
  </si>
  <si>
    <t>=+D1668</t>
  </si>
  <si>
    <t>=E1668</t>
  </si>
  <si>
    <t>=G1668</t>
  </si>
  <si>
    <t>=+N1669</t>
  </si>
  <si>
    <t>=M1669</t>
  </si>
  <si>
    <t>="10462"</t>
  </si>
  <si>
    <t>=NL(,"UPR30300","CHEKDATE","CHEKNMBR",$M1669,"EMPLOYID",$G1669)</t>
  </si>
  <si>
    <t>=+C1669</t>
  </si>
  <si>
    <t>=+D1669</t>
  </si>
  <si>
    <t>=E1669</t>
  </si>
  <si>
    <t>=G1669</t>
  </si>
  <si>
    <t>=+K1669</t>
  </si>
  <si>
    <t>=L1669</t>
  </si>
  <si>
    <t>=NF($O1670,"PAYRATE")</t>
  </si>
  <si>
    <t>=NF($O1670,"PAYROLCD")</t>
  </si>
  <si>
    <t>=NF($O1670,"STATECD")</t>
  </si>
  <si>
    <t>=NF($O1670,"CHEKDATE")</t>
  </si>
  <si>
    <t>=NF($O1670,"UPRTRXAM")</t>
  </si>
  <si>
    <t>=+C1670</t>
  </si>
  <si>
    <t>=+D1670</t>
  </si>
  <si>
    <t>=E1670</t>
  </si>
  <si>
    <t>=G1670</t>
  </si>
  <si>
    <t>=+K1670</t>
  </si>
  <si>
    <t>=L1670</t>
  </si>
  <si>
    <t>=+C1671</t>
  </si>
  <si>
    <t>=+D1671</t>
  </si>
  <si>
    <t>=E1671</t>
  </si>
  <si>
    <t>=G1671</t>
  </si>
  <si>
    <t>=+K1671</t>
  </si>
  <si>
    <t>=L1671</t>
  </si>
  <si>
    <t>=+C1672</t>
  </si>
  <si>
    <t>=+D1672</t>
  </si>
  <si>
    <t>=E1672</t>
  </si>
  <si>
    <t>=G1672</t>
  </si>
  <si>
    <t>=+K1672</t>
  </si>
  <si>
    <t>=L1672</t>
  </si>
  <si>
    <t>=+C1673</t>
  </si>
  <si>
    <t>=+D1673</t>
  </si>
  <si>
    <t>=E1673</t>
  </si>
  <si>
    <t>=G1673</t>
  </si>
  <si>
    <t>=+K1673</t>
  </si>
  <si>
    <t>=L1673</t>
  </si>
  <si>
    <t>=+C1674</t>
  </si>
  <si>
    <t>=+D1674</t>
  </si>
  <si>
    <t>=E1674</t>
  </si>
  <si>
    <t>=G1674</t>
  </si>
  <si>
    <t>=+K1674</t>
  </si>
  <si>
    <t>=L1674</t>
  </si>
  <si>
    <t>=+C1675</t>
  </si>
  <si>
    <t>=+D1675</t>
  </si>
  <si>
    <t>=E1675</t>
  </si>
  <si>
    <t>=G1675</t>
  </si>
  <si>
    <t>=+K1675</t>
  </si>
  <si>
    <t>=L1675</t>
  </si>
  <si>
    <t>=+C1677</t>
  </si>
  <si>
    <t>=+D1677</t>
  </si>
  <si>
    <t>=E1677</t>
  </si>
  <si>
    <t>=G1677</t>
  </si>
  <si>
    <t>=+K1677</t>
  </si>
  <si>
    <t>=L1677</t>
  </si>
  <si>
    <t>="Total for " &amp; $L1678</t>
  </si>
  <si>
    <t>=+K1678</t>
  </si>
  <si>
    <t>=SUBTOTAL(9,T1670:T1677)</t>
  </si>
  <si>
    <t>=+C1678</t>
  </si>
  <si>
    <t>=+D1678</t>
  </si>
  <si>
    <t>=E1678</t>
  </si>
  <si>
    <t>=G1678</t>
  </si>
  <si>
    <t>=+N1679</t>
  </si>
  <si>
    <t>=M1679</t>
  </si>
  <si>
    <t>="10487"</t>
  </si>
  <si>
    <t>=NL(,"UPR30300","CHEKDATE","CHEKNMBR",$M1679,"EMPLOYID",$G1679)</t>
  </si>
  <si>
    <t>=+C1679</t>
  </si>
  <si>
    <t>=+D1679</t>
  </si>
  <si>
    <t>=E1679</t>
  </si>
  <si>
    <t>=G1679</t>
  </si>
  <si>
    <t>=+K1679</t>
  </si>
  <si>
    <t>=L1679</t>
  </si>
  <si>
    <t>=NF($O1680,"PAYRATE")</t>
  </si>
  <si>
    <t>=NF($O1680,"PAYROLCD")</t>
  </si>
  <si>
    <t>=NF($O1680,"STATECD")</t>
  </si>
  <si>
    <t>=NF($O1680,"CHEKDATE")</t>
  </si>
  <si>
    <t>=NF($O1680,"UPRTRXAM")</t>
  </si>
  <si>
    <t>=+C1680</t>
  </si>
  <si>
    <t>=+D1680</t>
  </si>
  <si>
    <t>=E1680</t>
  </si>
  <si>
    <t>=G1680</t>
  </si>
  <si>
    <t>=+K1680</t>
  </si>
  <si>
    <t>=L1680</t>
  </si>
  <si>
    <t>=+C1681</t>
  </si>
  <si>
    <t>=+D1681</t>
  </si>
  <si>
    <t>=E1681</t>
  </si>
  <si>
    <t>=G1681</t>
  </si>
  <si>
    <t>=+K1681</t>
  </si>
  <si>
    <t>=L1681</t>
  </si>
  <si>
    <t>=+C1682</t>
  </si>
  <si>
    <t>=+D1682</t>
  </si>
  <si>
    <t>=E1682</t>
  </si>
  <si>
    <t>=G1682</t>
  </si>
  <si>
    <t>=+K1682</t>
  </si>
  <si>
    <t>=L1682</t>
  </si>
  <si>
    <t>=+C1683</t>
  </si>
  <si>
    <t>=+D1683</t>
  </si>
  <si>
    <t>=E1683</t>
  </si>
  <si>
    <t>=G1683</t>
  </si>
  <si>
    <t>=+K1683</t>
  </si>
  <si>
    <t>=L1683</t>
  </si>
  <si>
    <t>=+C1684</t>
  </si>
  <si>
    <t>=+D1684</t>
  </si>
  <si>
    <t>=E1684</t>
  </si>
  <si>
    <t>=G1684</t>
  </si>
  <si>
    <t>=+K1684</t>
  </si>
  <si>
    <t>=L1684</t>
  </si>
  <si>
    <t>=+C1685</t>
  </si>
  <si>
    <t>=+D1685</t>
  </si>
  <si>
    <t>=E1685</t>
  </si>
  <si>
    <t>=G1685</t>
  </si>
  <si>
    <t>=+K1685</t>
  </si>
  <si>
    <t>=L1685</t>
  </si>
  <si>
    <t>=+C1687</t>
  </si>
  <si>
    <t>=+D1687</t>
  </si>
  <si>
    <t>=E1687</t>
  </si>
  <si>
    <t>=G1687</t>
  </si>
  <si>
    <t>=+K1687</t>
  </si>
  <si>
    <t>=L1687</t>
  </si>
  <si>
    <t>="Total for " &amp; $L1688</t>
  </si>
  <si>
    <t>=+K1688</t>
  </si>
  <si>
    <t>=SUBTOTAL(9,T1680:T1687)</t>
  </si>
  <si>
    <t>=+C1689</t>
  </si>
  <si>
    <t>=+D1689</t>
  </si>
  <si>
    <t>=E1689</t>
  </si>
  <si>
    <t>=G1689</t>
  </si>
  <si>
    <t>="Total for " &amp; $G1690</t>
  </si>
  <si>
    <t>=+C1690</t>
  </si>
  <si>
    <t>=+D1690</t>
  </si>
  <si>
    <t>=SUBTOTAL(9,T1629:T1689)</t>
  </si>
  <si>
    <t>=+I1691</t>
  </si>
  <si>
    <t>=+J1691</t>
  </si>
  <si>
    <t>=E1690</t>
  </si>
  <si>
    <t>=H1691</t>
  </si>
  <si>
    <t>="TIBB0001"</t>
  </si>
  <si>
    <t>=NL(,"UPR00100","FRSTNAME","EMPLOYID",$H1691)</t>
  </si>
  <si>
    <t>=NL(,"UPR00100","LASTNAME","EMPLOYID",$H1691)</t>
  </si>
  <si>
    <t>=+C1691</t>
  </si>
  <si>
    <t>=+D1691</t>
  </si>
  <si>
    <t>=E1691</t>
  </si>
  <si>
    <t>=G1691</t>
  </si>
  <si>
    <t>=+N1692</t>
  </si>
  <si>
    <t>=M1692</t>
  </si>
  <si>
    <t>=NL(,"UPR30300","CHEKDATE","CHEKNMBR",$M1692,"EMPLOYID",$G1692)</t>
  </si>
  <si>
    <t>=+C1692</t>
  </si>
  <si>
    <t>=+D1692</t>
  </si>
  <si>
    <t>=E1692</t>
  </si>
  <si>
    <t>=G1692</t>
  </si>
  <si>
    <t>=+K1692</t>
  </si>
  <si>
    <t>=L1692</t>
  </si>
  <si>
    <t>=NF($O1693,"PAYRATE")</t>
  </si>
  <si>
    <t>=NF($O1693,"PAYROLCD")</t>
  </si>
  <si>
    <t>=NF($O1693,"STATECD")</t>
  </si>
  <si>
    <t>=NF($O1693,"CHEKDATE")</t>
  </si>
  <si>
    <t>=NF($O1693,"UPRTRXAM")</t>
  </si>
  <si>
    <t>=+C1693</t>
  </si>
  <si>
    <t>=+D1693</t>
  </si>
  <si>
    <t>=E1693</t>
  </si>
  <si>
    <t>=G1693</t>
  </si>
  <si>
    <t>=+K1693</t>
  </si>
  <si>
    <t>=L1693</t>
  </si>
  <si>
    <t>=+C1694</t>
  </si>
  <si>
    <t>=+D1694</t>
  </si>
  <si>
    <t>=E1694</t>
  </si>
  <si>
    <t>=G1694</t>
  </si>
  <si>
    <t>=+K1694</t>
  </si>
  <si>
    <t>=L1694</t>
  </si>
  <si>
    <t>=+C1695</t>
  </si>
  <si>
    <t>=+D1695</t>
  </si>
  <si>
    <t>=E1695</t>
  </si>
  <si>
    <t>=G1695</t>
  </si>
  <si>
    <t>=+K1695</t>
  </si>
  <si>
    <t>=L1695</t>
  </si>
  <si>
    <t>=+C1696</t>
  </si>
  <si>
    <t>=+D1696</t>
  </si>
  <si>
    <t>=E1696</t>
  </si>
  <si>
    <t>=G1696</t>
  </si>
  <si>
    <t>=+K1696</t>
  </si>
  <si>
    <t>=L1696</t>
  </si>
  <si>
    <t>=+C1697</t>
  </si>
  <si>
    <t>=+D1697</t>
  </si>
  <si>
    <t>=E1697</t>
  </si>
  <si>
    <t>=G1697</t>
  </si>
  <si>
    <t>=+K1697</t>
  </si>
  <si>
    <t>=L1697</t>
  </si>
  <si>
    <t>=+C1698</t>
  </si>
  <si>
    <t>=+D1698</t>
  </si>
  <si>
    <t>=E1698</t>
  </si>
  <si>
    <t>=G1698</t>
  </si>
  <si>
    <t>=+K1698</t>
  </si>
  <si>
    <t>=L1698</t>
  </si>
  <si>
    <t>=+C1699</t>
  </si>
  <si>
    <t>=+D1699</t>
  </si>
  <si>
    <t>=E1699</t>
  </si>
  <si>
    <t>=G1699</t>
  </si>
  <si>
    <t>=+K1699</t>
  </si>
  <si>
    <t>=L1699</t>
  </si>
  <si>
    <t>=+C1701</t>
  </si>
  <si>
    <t>=+D1701</t>
  </si>
  <si>
    <t>=E1701</t>
  </si>
  <si>
    <t>=G1701</t>
  </si>
  <si>
    <t>=+K1701</t>
  </si>
  <si>
    <t>=L1701</t>
  </si>
  <si>
    <t>="Total for " &amp; $L1702</t>
  </si>
  <si>
    <t>=+K1702</t>
  </si>
  <si>
    <t>=SUBTOTAL(9,T1693:T1701)</t>
  </si>
  <si>
    <t>=+C1702</t>
  </si>
  <si>
    <t>=+D1702</t>
  </si>
  <si>
    <t>=E1702</t>
  </si>
  <si>
    <t>=G1702</t>
  </si>
  <si>
    <t>=+N1703</t>
  </si>
  <si>
    <t>=M1703</t>
  </si>
  <si>
    <t>="10401"</t>
  </si>
  <si>
    <t>=NL(,"UPR30300","CHEKDATE","CHEKNMBR",$M1703,"EMPLOYID",$G1703)</t>
  </si>
  <si>
    <t>=+C1703</t>
  </si>
  <si>
    <t>=+D1703</t>
  </si>
  <si>
    <t>=E1703</t>
  </si>
  <si>
    <t>=G1703</t>
  </si>
  <si>
    <t>=+K1703</t>
  </si>
  <si>
    <t>=L1703</t>
  </si>
  <si>
    <t>=NF($O1704,"PAYRATE")</t>
  </si>
  <si>
    <t>=NF($O1704,"PAYROLCD")</t>
  </si>
  <si>
    <t>=NF($O1704,"STATECD")</t>
  </si>
  <si>
    <t>=NF($O1704,"CHEKDATE")</t>
  </si>
  <si>
    <t>=NF($O1704,"UPRTRXAM")</t>
  </si>
  <si>
    <t>=+C1704</t>
  </si>
  <si>
    <t>=+D1704</t>
  </si>
  <si>
    <t>=E1704</t>
  </si>
  <si>
    <t>=G1704</t>
  </si>
  <si>
    <t>=+K1704</t>
  </si>
  <si>
    <t>=L1704</t>
  </si>
  <si>
    <t>=+C1705</t>
  </si>
  <si>
    <t>=+D1705</t>
  </si>
  <si>
    <t>=E1705</t>
  </si>
  <si>
    <t>=G1705</t>
  </si>
  <si>
    <t>=+K1705</t>
  </si>
  <si>
    <t>=L1705</t>
  </si>
  <si>
    <t>=+C1706</t>
  </si>
  <si>
    <t>=+D1706</t>
  </si>
  <si>
    <t>=E1706</t>
  </si>
  <si>
    <t>=G1706</t>
  </si>
  <si>
    <t>=+K1706</t>
  </si>
  <si>
    <t>=L1706</t>
  </si>
  <si>
    <t>=+C1707</t>
  </si>
  <si>
    <t>=+D1707</t>
  </si>
  <si>
    <t>=E1707</t>
  </si>
  <si>
    <t>=G1707</t>
  </si>
  <si>
    <t>=+K1707</t>
  </si>
  <si>
    <t>=L1707</t>
  </si>
  <si>
    <t>=+C1708</t>
  </si>
  <si>
    <t>=+D1708</t>
  </si>
  <si>
    <t>=E1708</t>
  </si>
  <si>
    <t>=G1708</t>
  </si>
  <si>
    <t>=+K1708</t>
  </si>
  <si>
    <t>=L1708</t>
  </si>
  <si>
    <t>=+C1709</t>
  </si>
  <si>
    <t>=+D1709</t>
  </si>
  <si>
    <t>=E1709</t>
  </si>
  <si>
    <t>=G1709</t>
  </si>
  <si>
    <t>=+K1709</t>
  </si>
  <si>
    <t>=L1709</t>
  </si>
  <si>
    <t>=+C1711</t>
  </si>
  <si>
    <t>=+D1711</t>
  </si>
  <si>
    <t>=E1711</t>
  </si>
  <si>
    <t>=G1711</t>
  </si>
  <si>
    <t>=+K1711</t>
  </si>
  <si>
    <t>=L1711</t>
  </si>
  <si>
    <t>="Total for " &amp; $L1712</t>
  </si>
  <si>
    <t>=+K1712</t>
  </si>
  <si>
    <t>=SUBTOTAL(9,T1704:T1711)</t>
  </si>
  <si>
    <t>=+C1712</t>
  </si>
  <si>
    <t>=+D1712</t>
  </si>
  <si>
    <t>=E1712</t>
  </si>
  <si>
    <t>=G1712</t>
  </si>
  <si>
    <t>=+N1713</t>
  </si>
  <si>
    <t>=M1713</t>
  </si>
  <si>
    <t>="10426"</t>
  </si>
  <si>
    <t>=NL(,"UPR30300","CHEKDATE","CHEKNMBR",$M1713,"EMPLOYID",$G1713)</t>
  </si>
  <si>
    <t>=+C1713</t>
  </si>
  <si>
    <t>=+D1713</t>
  </si>
  <si>
    <t>=E1713</t>
  </si>
  <si>
    <t>=G1713</t>
  </si>
  <si>
    <t>=+K1713</t>
  </si>
  <si>
    <t>=L1713</t>
  </si>
  <si>
    <t>=NF($O1714,"PAYRATE")</t>
  </si>
  <si>
    <t>=NF($O1714,"PAYROLCD")</t>
  </si>
  <si>
    <t>=NF($O1714,"STATECD")</t>
  </si>
  <si>
    <t>=NF($O1714,"CHEKDATE")</t>
  </si>
  <si>
    <t>=NF($O1714,"UPRTRXAM")</t>
  </si>
  <si>
    <t>=+C1714</t>
  </si>
  <si>
    <t>=+D1714</t>
  </si>
  <si>
    <t>=E1714</t>
  </si>
  <si>
    <t>=G1714</t>
  </si>
  <si>
    <t>=+K1714</t>
  </si>
  <si>
    <t>=L1714</t>
  </si>
  <si>
    <t>=+C1715</t>
  </si>
  <si>
    <t>=+D1715</t>
  </si>
  <si>
    <t>=E1715</t>
  </si>
  <si>
    <t>=G1715</t>
  </si>
  <si>
    <t>=+K1715</t>
  </si>
  <si>
    <t>=L1715</t>
  </si>
  <si>
    <t>=+C1716</t>
  </si>
  <si>
    <t>=+D1716</t>
  </si>
  <si>
    <t>=E1716</t>
  </si>
  <si>
    <t>=G1716</t>
  </si>
  <si>
    <t>=+K1716</t>
  </si>
  <si>
    <t>=L1716</t>
  </si>
  <si>
    <t>=+C1717</t>
  </si>
  <si>
    <t>=+D1717</t>
  </si>
  <si>
    <t>=E1717</t>
  </si>
  <si>
    <t>=G1717</t>
  </si>
  <si>
    <t>=+K1717</t>
  </si>
  <si>
    <t>=L1717</t>
  </si>
  <si>
    <t>=+C1718</t>
  </si>
  <si>
    <t>=+D1718</t>
  </si>
  <si>
    <t>=E1718</t>
  </si>
  <si>
    <t>=G1718</t>
  </si>
  <si>
    <t>=+K1718</t>
  </si>
  <si>
    <t>=L1718</t>
  </si>
  <si>
    <t>=+C1719</t>
  </si>
  <si>
    <t>=+D1719</t>
  </si>
  <si>
    <t>=E1719</t>
  </si>
  <si>
    <t>=G1719</t>
  </si>
  <si>
    <t>=+K1719</t>
  </si>
  <si>
    <t>=L1719</t>
  </si>
  <si>
    <t>=+C1721</t>
  </si>
  <si>
    <t>=+D1721</t>
  </si>
  <si>
    <t>=E1721</t>
  </si>
  <si>
    <t>=G1721</t>
  </si>
  <si>
    <t>=+K1721</t>
  </si>
  <si>
    <t>=L1721</t>
  </si>
  <si>
    <t>="Total for " &amp; $L1722</t>
  </si>
  <si>
    <t>=+K1722</t>
  </si>
  <si>
    <t>=SUBTOTAL(9,T1714:T1721)</t>
  </si>
  <si>
    <t>=+C1722</t>
  </si>
  <si>
    <t>=+D1722</t>
  </si>
  <si>
    <t>=E1722</t>
  </si>
  <si>
    <t>=G1722</t>
  </si>
  <si>
    <t>=+N1723</t>
  </si>
  <si>
    <t>=M1723</t>
  </si>
  <si>
    <t>="10451"</t>
  </si>
  <si>
    <t>=NL(,"UPR30300","CHEKDATE","CHEKNMBR",$M1723,"EMPLOYID",$G1723)</t>
  </si>
  <si>
    <t>=+C1723</t>
  </si>
  <si>
    <t>=+D1723</t>
  </si>
  <si>
    <t>=E1723</t>
  </si>
  <si>
    <t>=G1723</t>
  </si>
  <si>
    <t>=+K1723</t>
  </si>
  <si>
    <t>=L1723</t>
  </si>
  <si>
    <t>=NF($O1724,"PAYRATE")</t>
  </si>
  <si>
    <t>=NF($O1724,"PAYROLCD")</t>
  </si>
  <si>
    <t>=NF($O1724,"STATECD")</t>
  </si>
  <si>
    <t>=NF($O1724,"CHEKDATE")</t>
  </si>
  <si>
    <t>=NF($O1724,"UPRTRXAM")</t>
  </si>
  <si>
    <t>=+C1724</t>
  </si>
  <si>
    <t>=+D1724</t>
  </si>
  <si>
    <t>=E1724</t>
  </si>
  <si>
    <t>=G1724</t>
  </si>
  <si>
    <t>=+K1724</t>
  </si>
  <si>
    <t>=L1724</t>
  </si>
  <si>
    <t>=+C1725</t>
  </si>
  <si>
    <t>=+D1725</t>
  </si>
  <si>
    <t>=E1725</t>
  </si>
  <si>
    <t>=G1725</t>
  </si>
  <si>
    <t>=+K1725</t>
  </si>
  <si>
    <t>=L1725</t>
  </si>
  <si>
    <t>=+C1726</t>
  </si>
  <si>
    <t>=+D1726</t>
  </si>
  <si>
    <t>=E1726</t>
  </si>
  <si>
    <t>=G1726</t>
  </si>
  <si>
    <t>=+K1726</t>
  </si>
  <si>
    <t>=L1726</t>
  </si>
  <si>
    <t>=+C1727</t>
  </si>
  <si>
    <t>=+D1727</t>
  </si>
  <si>
    <t>=E1727</t>
  </si>
  <si>
    <t>=G1727</t>
  </si>
  <si>
    <t>=+K1727</t>
  </si>
  <si>
    <t>=L1727</t>
  </si>
  <si>
    <t>=+C1728</t>
  </si>
  <si>
    <t>=+D1728</t>
  </si>
  <si>
    <t>=E1728</t>
  </si>
  <si>
    <t>=G1728</t>
  </si>
  <si>
    <t>=+K1728</t>
  </si>
  <si>
    <t>=L1728</t>
  </si>
  <si>
    <t>=+C1729</t>
  </si>
  <si>
    <t>=+D1729</t>
  </si>
  <si>
    <t>=E1729</t>
  </si>
  <si>
    <t>=G1729</t>
  </si>
  <si>
    <t>=+K1729</t>
  </si>
  <si>
    <t>=L1729</t>
  </si>
  <si>
    <t>=+C1731</t>
  </si>
  <si>
    <t>=+D1731</t>
  </si>
  <si>
    <t>=E1731</t>
  </si>
  <si>
    <t>=G1731</t>
  </si>
  <si>
    <t>=+K1731</t>
  </si>
  <si>
    <t>=L1731</t>
  </si>
  <si>
    <t>="Total for " &amp; $L1732</t>
  </si>
  <si>
    <t>=+K1732</t>
  </si>
  <si>
    <t>=SUBTOTAL(9,T1724:T1731)</t>
  </si>
  <si>
    <t>=+C1732</t>
  </si>
  <si>
    <t>=+D1732</t>
  </si>
  <si>
    <t>=E1732</t>
  </si>
  <si>
    <t>=G1732</t>
  </si>
  <si>
    <t>=+N1733</t>
  </si>
  <si>
    <t>=M1733</t>
  </si>
  <si>
    <t>="10476"</t>
  </si>
  <si>
    <t>=NL(,"UPR30300","CHEKDATE","CHEKNMBR",$M1733,"EMPLOYID",$G1733)</t>
  </si>
  <si>
    <t>=+C1733</t>
  </si>
  <si>
    <t>=+D1733</t>
  </si>
  <si>
    <t>=E1733</t>
  </si>
  <si>
    <t>=G1733</t>
  </si>
  <si>
    <t>=+K1733</t>
  </si>
  <si>
    <t>=L1733</t>
  </si>
  <si>
    <t>=NF($O1734,"PAYRATE")</t>
  </si>
  <si>
    <t>=NF($O1734,"PAYROLCD")</t>
  </si>
  <si>
    <t>=NF($O1734,"STATECD")</t>
  </si>
  <si>
    <t>=NF($O1734,"CHEKDATE")</t>
  </si>
  <si>
    <t>=NF($O1734,"UPRTRXAM")</t>
  </si>
  <si>
    <t>=+C1734</t>
  </si>
  <si>
    <t>=+D1734</t>
  </si>
  <si>
    <t>=E1734</t>
  </si>
  <si>
    <t>=G1734</t>
  </si>
  <si>
    <t>=+K1734</t>
  </si>
  <si>
    <t>=L1734</t>
  </si>
  <si>
    <t>=+C1735</t>
  </si>
  <si>
    <t>=+D1735</t>
  </si>
  <si>
    <t>=E1735</t>
  </si>
  <si>
    <t>=G1735</t>
  </si>
  <si>
    <t>=+K1735</t>
  </si>
  <si>
    <t>=L1735</t>
  </si>
  <si>
    <t>=+C1736</t>
  </si>
  <si>
    <t>=+D1736</t>
  </si>
  <si>
    <t>=E1736</t>
  </si>
  <si>
    <t>=G1736</t>
  </si>
  <si>
    <t>=+K1736</t>
  </si>
  <si>
    <t>=L1736</t>
  </si>
  <si>
    <t>=+C1737</t>
  </si>
  <si>
    <t>=+D1737</t>
  </si>
  <si>
    <t>=E1737</t>
  </si>
  <si>
    <t>=G1737</t>
  </si>
  <si>
    <t>=+K1737</t>
  </si>
  <si>
    <t>=L1737</t>
  </si>
  <si>
    <t>=+C1738</t>
  </si>
  <si>
    <t>=+D1738</t>
  </si>
  <si>
    <t>=E1738</t>
  </si>
  <si>
    <t>=G1738</t>
  </si>
  <si>
    <t>=+K1738</t>
  </si>
  <si>
    <t>=L1738</t>
  </si>
  <si>
    <t>=+C1739</t>
  </si>
  <si>
    <t>=+D1739</t>
  </si>
  <si>
    <t>=E1739</t>
  </si>
  <si>
    <t>=G1739</t>
  </si>
  <si>
    <t>=+K1739</t>
  </si>
  <si>
    <t>=L1739</t>
  </si>
  <si>
    <t>=+C1741</t>
  </si>
  <si>
    <t>=+D1741</t>
  </si>
  <si>
    <t>=E1741</t>
  </si>
  <si>
    <t>=G1741</t>
  </si>
  <si>
    <t>=+K1741</t>
  </si>
  <si>
    <t>=L1741</t>
  </si>
  <si>
    <t>="Total for " &amp; $L1742</t>
  </si>
  <si>
    <t>=+K1742</t>
  </si>
  <si>
    <t>=SUBTOTAL(9,T1734:T1741)</t>
  </si>
  <si>
    <t>=+C1742</t>
  </si>
  <si>
    <t>=+D1742</t>
  </si>
  <si>
    <t>=E1742</t>
  </si>
  <si>
    <t>=G1742</t>
  </si>
  <si>
    <t>=+N1743</t>
  </si>
  <si>
    <t>=M1743</t>
  </si>
  <si>
    <t>="10501"</t>
  </si>
  <si>
    <t>=NL(,"UPR30300","CHEKDATE","CHEKNMBR",$M1743,"EMPLOYID",$G1743)</t>
  </si>
  <si>
    <t>=+C1743</t>
  </si>
  <si>
    <t>=+D1743</t>
  </si>
  <si>
    <t>=E1743</t>
  </si>
  <si>
    <t>=G1743</t>
  </si>
  <si>
    <t>=+K1743</t>
  </si>
  <si>
    <t>=L1743</t>
  </si>
  <si>
    <t>=NF($O1744,"PAYRATE")</t>
  </si>
  <si>
    <t>=NF($O1744,"PAYROLCD")</t>
  </si>
  <si>
    <t>=NF($O1744,"STATECD")</t>
  </si>
  <si>
    <t>=NF($O1744,"CHEKDATE")</t>
  </si>
  <si>
    <t>=NF($O1744,"UPRTRXAM")</t>
  </si>
  <si>
    <t>=+C1744</t>
  </si>
  <si>
    <t>=+D1744</t>
  </si>
  <si>
    <t>=E1744</t>
  </si>
  <si>
    <t>=G1744</t>
  </si>
  <si>
    <t>=+K1744</t>
  </si>
  <si>
    <t>=L1744</t>
  </si>
  <si>
    <t>=+C1745</t>
  </si>
  <si>
    <t>=+D1745</t>
  </si>
  <si>
    <t>=E1745</t>
  </si>
  <si>
    <t>=G1745</t>
  </si>
  <si>
    <t>=+K1745</t>
  </si>
  <si>
    <t>=L1745</t>
  </si>
  <si>
    <t>=+C1746</t>
  </si>
  <si>
    <t>=+D1746</t>
  </si>
  <si>
    <t>=E1746</t>
  </si>
  <si>
    <t>=G1746</t>
  </si>
  <si>
    <t>=+K1746</t>
  </si>
  <si>
    <t>=L1746</t>
  </si>
  <si>
    <t>=+C1747</t>
  </si>
  <si>
    <t>=+D1747</t>
  </si>
  <si>
    <t>=E1747</t>
  </si>
  <si>
    <t>=G1747</t>
  </si>
  <si>
    <t>=+K1747</t>
  </si>
  <si>
    <t>=L1747</t>
  </si>
  <si>
    <t>=+C1748</t>
  </si>
  <si>
    <t>=+D1748</t>
  </si>
  <si>
    <t>=E1748</t>
  </si>
  <si>
    <t>=G1748</t>
  </si>
  <si>
    <t>=+K1748</t>
  </si>
  <si>
    <t>=L1748</t>
  </si>
  <si>
    <t>=+C1749</t>
  </si>
  <si>
    <t>=+D1749</t>
  </si>
  <si>
    <t>=E1749</t>
  </si>
  <si>
    <t>=G1749</t>
  </si>
  <si>
    <t>=+K1749</t>
  </si>
  <si>
    <t>=L1749</t>
  </si>
  <si>
    <t>=+C1751</t>
  </si>
  <si>
    <t>=+D1751</t>
  </si>
  <si>
    <t>=E1751</t>
  </si>
  <si>
    <t>=G1751</t>
  </si>
  <si>
    <t>=+K1751</t>
  </si>
  <si>
    <t>=L1751</t>
  </si>
  <si>
    <t>="Total for " &amp; $L1752</t>
  </si>
  <si>
    <t>=+K1752</t>
  </si>
  <si>
    <t>=SUBTOTAL(9,T1744:T1751)</t>
  </si>
  <si>
    <t>=+C1753</t>
  </si>
  <si>
    <t>=+D1753</t>
  </si>
  <si>
    <t>=E1753</t>
  </si>
  <si>
    <t>=G1753</t>
  </si>
  <si>
    <t>="Total for " &amp; $G1754</t>
  </si>
  <si>
    <t>=+C1754</t>
  </si>
  <si>
    <t>=+D1754</t>
  </si>
  <si>
    <t>=SUBTOTAL(9,T1693:T1753)</t>
  </si>
  <si>
    <t>=+I1755</t>
  </si>
  <si>
    <t>=+J1755</t>
  </si>
  <si>
    <t>=E1754</t>
  </si>
  <si>
    <t>=H1755</t>
  </si>
  <si>
    <t>="YOUN0001"</t>
  </si>
  <si>
    <t>=NL(,"UPR00100","FRSTNAME","EMPLOYID",$H1755)</t>
  </si>
  <si>
    <t>=NL(,"UPR00100","LASTNAME","EMPLOYID",$H1755)</t>
  </si>
  <si>
    <t>=+C1755</t>
  </si>
  <si>
    <t>=+D1755</t>
  </si>
  <si>
    <t>=E1755</t>
  </si>
  <si>
    <t>=G1755</t>
  </si>
  <si>
    <t>=+N1756</t>
  </si>
  <si>
    <t>=M1756</t>
  </si>
  <si>
    <t>=NL(,"UPR30300","CHEKDATE","CHEKNMBR",$M1756,"EMPLOYID",$G1756)</t>
  </si>
  <si>
    <t>=+C1756</t>
  </si>
  <si>
    <t>=+D1756</t>
  </si>
  <si>
    <t>=E1756</t>
  </si>
  <si>
    <t>=G1756</t>
  </si>
  <si>
    <t>=+K1756</t>
  </si>
  <si>
    <t>=L1756</t>
  </si>
  <si>
    <t>=NF($O1757,"PAYRATE")</t>
  </si>
  <si>
    <t>=NF($O1757,"PAYROLCD")</t>
  </si>
  <si>
    <t>=NF($O1757,"STATECD")</t>
  </si>
  <si>
    <t>=NF($O1757,"CHEKDATE")</t>
  </si>
  <si>
    <t>=NF($O1757,"UPRTRXAM")</t>
  </si>
  <si>
    <t>=+C1757</t>
  </si>
  <si>
    <t>=+D1757</t>
  </si>
  <si>
    <t>=E1757</t>
  </si>
  <si>
    <t>=G1757</t>
  </si>
  <si>
    <t>=+K1757</t>
  </si>
  <si>
    <t>=L1757</t>
  </si>
  <si>
    <t>=+C1758</t>
  </si>
  <si>
    <t>=+D1758</t>
  </si>
  <si>
    <t>=E1758</t>
  </si>
  <si>
    <t>=G1758</t>
  </si>
  <si>
    <t>=+K1758</t>
  </si>
  <si>
    <t>=L1758</t>
  </si>
  <si>
    <t>=+C1759</t>
  </si>
  <si>
    <t>=+D1759</t>
  </si>
  <si>
    <t>=E1759</t>
  </si>
  <si>
    <t>=G1759</t>
  </si>
  <si>
    <t>=+K1759</t>
  </si>
  <si>
    <t>=L1759</t>
  </si>
  <si>
    <t>=+C1760</t>
  </si>
  <si>
    <t>=+D1760</t>
  </si>
  <si>
    <t>=E1760</t>
  </si>
  <si>
    <t>=G1760</t>
  </si>
  <si>
    <t>=+K1760</t>
  </si>
  <si>
    <t>=L1760</t>
  </si>
  <si>
    <t>=+C1761</t>
  </si>
  <si>
    <t>=+D1761</t>
  </si>
  <si>
    <t>=E1761</t>
  </si>
  <si>
    <t>=G1761</t>
  </si>
  <si>
    <t>=+K1761</t>
  </si>
  <si>
    <t>=L1761</t>
  </si>
  <si>
    <t>=+C1762</t>
  </si>
  <si>
    <t>=+D1762</t>
  </si>
  <si>
    <t>=E1762</t>
  </si>
  <si>
    <t>=G1762</t>
  </si>
  <si>
    <t>=+K1762</t>
  </si>
  <si>
    <t>=L1762</t>
  </si>
  <si>
    <t>=+C1763</t>
  </si>
  <si>
    <t>=+D1763</t>
  </si>
  <si>
    <t>=E1763</t>
  </si>
  <si>
    <t>=G1763</t>
  </si>
  <si>
    <t>=+K1763</t>
  </si>
  <si>
    <t>=L1763</t>
  </si>
  <si>
    <t>=+C1765</t>
  </si>
  <si>
    <t>=+D1765</t>
  </si>
  <si>
    <t>=E1765</t>
  </si>
  <si>
    <t>=G1765</t>
  </si>
  <si>
    <t>=+K1765</t>
  </si>
  <si>
    <t>=L1765</t>
  </si>
  <si>
    <t>="Total for " &amp; $L1766</t>
  </si>
  <si>
    <t>=+K1766</t>
  </si>
  <si>
    <t>=SUBTOTAL(9,T1757:T1765)</t>
  </si>
  <si>
    <t>=+C1766</t>
  </si>
  <si>
    <t>=+D1766</t>
  </si>
  <si>
    <t>=E1766</t>
  </si>
  <si>
    <t>=G1766</t>
  </si>
  <si>
    <t>=+N1767</t>
  </si>
  <si>
    <t>=M1767</t>
  </si>
  <si>
    <t>="10403"</t>
  </si>
  <si>
    <t>=NL(,"UPR30300","CHEKDATE","CHEKNMBR",$M1767,"EMPLOYID",$G1767)</t>
  </si>
  <si>
    <t>=+C1767</t>
  </si>
  <si>
    <t>=+D1767</t>
  </si>
  <si>
    <t>=E1767</t>
  </si>
  <si>
    <t>=G1767</t>
  </si>
  <si>
    <t>=+K1767</t>
  </si>
  <si>
    <t>=L1767</t>
  </si>
  <si>
    <t>=NF($O1768,"PAYRATE")</t>
  </si>
  <si>
    <t>=NF($O1768,"PAYROLCD")</t>
  </si>
  <si>
    <t>=NF($O1768,"STATECD")</t>
  </si>
  <si>
    <t>=NF($O1768,"CHEKDATE")</t>
  </si>
  <si>
    <t>=NF($O1768,"UPRTRXAM")</t>
  </si>
  <si>
    <t>=+C1768</t>
  </si>
  <si>
    <t>=+D1768</t>
  </si>
  <si>
    <t>=E1768</t>
  </si>
  <si>
    <t>=G1768</t>
  </si>
  <si>
    <t>=+K1768</t>
  </si>
  <si>
    <t>=L1768</t>
  </si>
  <si>
    <t>=+C1769</t>
  </si>
  <si>
    <t>=+D1769</t>
  </si>
  <si>
    <t>=E1769</t>
  </si>
  <si>
    <t>=G1769</t>
  </si>
  <si>
    <t>=+K1769</t>
  </si>
  <si>
    <t>=L1769</t>
  </si>
  <si>
    <t>=+C1770</t>
  </si>
  <si>
    <t>=+D1770</t>
  </si>
  <si>
    <t>=E1770</t>
  </si>
  <si>
    <t>=G1770</t>
  </si>
  <si>
    <t>=+K1770</t>
  </si>
  <si>
    <t>=L1770</t>
  </si>
  <si>
    <t>=+C1771</t>
  </si>
  <si>
    <t>=+D1771</t>
  </si>
  <si>
    <t>=E1771</t>
  </si>
  <si>
    <t>=G1771</t>
  </si>
  <si>
    <t>=+K1771</t>
  </si>
  <si>
    <t>=L1771</t>
  </si>
  <si>
    <t>=+C1772</t>
  </si>
  <si>
    <t>=+D1772</t>
  </si>
  <si>
    <t>=E1772</t>
  </si>
  <si>
    <t>=G1772</t>
  </si>
  <si>
    <t>=+K1772</t>
  </si>
  <si>
    <t>=L1772</t>
  </si>
  <si>
    <t>=+C1773</t>
  </si>
  <si>
    <t>=+D1773</t>
  </si>
  <si>
    <t>=E1773</t>
  </si>
  <si>
    <t>=G1773</t>
  </si>
  <si>
    <t>=+K1773</t>
  </si>
  <si>
    <t>=L1773</t>
  </si>
  <si>
    <t>=+C1775</t>
  </si>
  <si>
    <t>=+D1775</t>
  </si>
  <si>
    <t>=E1775</t>
  </si>
  <si>
    <t>=G1775</t>
  </si>
  <si>
    <t>=+K1775</t>
  </si>
  <si>
    <t>=L1775</t>
  </si>
  <si>
    <t>="Total for " &amp; $L1776</t>
  </si>
  <si>
    <t>=+K1776</t>
  </si>
  <si>
    <t>=SUBTOTAL(9,T1768:T1775)</t>
  </si>
  <si>
    <t>=+C1776</t>
  </si>
  <si>
    <t>=+D1776</t>
  </si>
  <si>
    <t>=E1776</t>
  </si>
  <si>
    <t>=G1776</t>
  </si>
  <si>
    <t>=+N1777</t>
  </si>
  <si>
    <t>=M1777</t>
  </si>
  <si>
    <t>="10428"</t>
  </si>
  <si>
    <t>=NL(,"UPR30300","CHEKDATE","CHEKNMBR",$M1777,"EMPLOYID",$G1777)</t>
  </si>
  <si>
    <t>=+C1777</t>
  </si>
  <si>
    <t>=+D1777</t>
  </si>
  <si>
    <t>=E1777</t>
  </si>
  <si>
    <t>=G1777</t>
  </si>
  <si>
    <t>=+K1777</t>
  </si>
  <si>
    <t>=L1777</t>
  </si>
  <si>
    <t>=NF($O1778,"PAYRATE")</t>
  </si>
  <si>
    <t>=NF($O1778,"PAYROLCD")</t>
  </si>
  <si>
    <t>=NF($O1778,"STATECD")</t>
  </si>
  <si>
    <t>=NF($O1778,"CHEKDATE")</t>
  </si>
  <si>
    <t>=NF($O1778,"UPRTRXAM")</t>
  </si>
  <si>
    <t>=+C1778</t>
  </si>
  <si>
    <t>=+D1778</t>
  </si>
  <si>
    <t>=E1778</t>
  </si>
  <si>
    <t>=G1778</t>
  </si>
  <si>
    <t>=+K1778</t>
  </si>
  <si>
    <t>=L1778</t>
  </si>
  <si>
    <t>=+C1779</t>
  </si>
  <si>
    <t>=+D1779</t>
  </si>
  <si>
    <t>=E1779</t>
  </si>
  <si>
    <t>=G1779</t>
  </si>
  <si>
    <t>=+K1779</t>
  </si>
  <si>
    <t>=L1779</t>
  </si>
  <si>
    <t>=+C1780</t>
  </si>
  <si>
    <t>=+D1780</t>
  </si>
  <si>
    <t>=E1780</t>
  </si>
  <si>
    <t>=G1780</t>
  </si>
  <si>
    <t>=+K1780</t>
  </si>
  <si>
    <t>=L1780</t>
  </si>
  <si>
    <t>=+C1781</t>
  </si>
  <si>
    <t>=+D1781</t>
  </si>
  <si>
    <t>=E1781</t>
  </si>
  <si>
    <t>=G1781</t>
  </si>
  <si>
    <t>=+K1781</t>
  </si>
  <si>
    <t>=L1781</t>
  </si>
  <si>
    <t>=+C1782</t>
  </si>
  <si>
    <t>=+D1782</t>
  </si>
  <si>
    <t>=E1782</t>
  </si>
  <si>
    <t>=G1782</t>
  </si>
  <si>
    <t>=+K1782</t>
  </si>
  <si>
    <t>=L1782</t>
  </si>
  <si>
    <t>=+C1783</t>
  </si>
  <si>
    <t>=+D1783</t>
  </si>
  <si>
    <t>=E1783</t>
  </si>
  <si>
    <t>=G1783</t>
  </si>
  <si>
    <t>=+K1783</t>
  </si>
  <si>
    <t>=L1783</t>
  </si>
  <si>
    <t>=+C1785</t>
  </si>
  <si>
    <t>=+D1785</t>
  </si>
  <si>
    <t>=E1785</t>
  </si>
  <si>
    <t>=G1785</t>
  </si>
  <si>
    <t>=+K1785</t>
  </si>
  <si>
    <t>=L1785</t>
  </si>
  <si>
    <t>="Total for " &amp; $L1786</t>
  </si>
  <si>
    <t>=+K1786</t>
  </si>
  <si>
    <t>=SUBTOTAL(9,T1778:T1785)</t>
  </si>
  <si>
    <t>=+C1786</t>
  </si>
  <si>
    <t>=+D1786</t>
  </si>
  <si>
    <t>=E1786</t>
  </si>
  <si>
    <t>=G1786</t>
  </si>
  <si>
    <t>=+N1787</t>
  </si>
  <si>
    <t>=M1787</t>
  </si>
  <si>
    <t>="10453"</t>
  </si>
  <si>
    <t>=NL(,"UPR30300","CHEKDATE","CHEKNMBR",$M1787,"EMPLOYID",$G1787)</t>
  </si>
  <si>
    <t>=+C1787</t>
  </si>
  <si>
    <t>=+D1787</t>
  </si>
  <si>
    <t>=E1787</t>
  </si>
  <si>
    <t>=G1787</t>
  </si>
  <si>
    <t>=+K1787</t>
  </si>
  <si>
    <t>=L1787</t>
  </si>
  <si>
    <t>=NF($O1788,"PAYRATE")</t>
  </si>
  <si>
    <t>=NF($O1788,"PAYROLCD")</t>
  </si>
  <si>
    <t>=NF($O1788,"STATECD")</t>
  </si>
  <si>
    <t>=NF($O1788,"CHEKDATE")</t>
  </si>
  <si>
    <t>=NF($O1788,"UPRTRXAM")</t>
  </si>
  <si>
    <t>=+C1788</t>
  </si>
  <si>
    <t>=+D1788</t>
  </si>
  <si>
    <t>=E1788</t>
  </si>
  <si>
    <t>=G1788</t>
  </si>
  <si>
    <t>=+K1788</t>
  </si>
  <si>
    <t>=L1788</t>
  </si>
  <si>
    <t>=+C1789</t>
  </si>
  <si>
    <t>=+D1789</t>
  </si>
  <si>
    <t>=E1789</t>
  </si>
  <si>
    <t>=G1789</t>
  </si>
  <si>
    <t>=+K1789</t>
  </si>
  <si>
    <t>=L1789</t>
  </si>
  <si>
    <t>=+C1790</t>
  </si>
  <si>
    <t>=+D1790</t>
  </si>
  <si>
    <t>=E1790</t>
  </si>
  <si>
    <t>=G1790</t>
  </si>
  <si>
    <t>=+K1790</t>
  </si>
  <si>
    <t>=L1790</t>
  </si>
  <si>
    <t>=+C1791</t>
  </si>
  <si>
    <t>=+D1791</t>
  </si>
  <si>
    <t>=E1791</t>
  </si>
  <si>
    <t>=G1791</t>
  </si>
  <si>
    <t>=+K1791</t>
  </si>
  <si>
    <t>=L1791</t>
  </si>
  <si>
    <t>=+C1792</t>
  </si>
  <si>
    <t>=+D1792</t>
  </si>
  <si>
    <t>=E1792</t>
  </si>
  <si>
    <t>=G1792</t>
  </si>
  <si>
    <t>=+K1792</t>
  </si>
  <si>
    <t>=L1792</t>
  </si>
  <si>
    <t>=+C1793</t>
  </si>
  <si>
    <t>=+D1793</t>
  </si>
  <si>
    <t>=E1793</t>
  </si>
  <si>
    <t>=G1793</t>
  </si>
  <si>
    <t>=+K1793</t>
  </si>
  <si>
    <t>=L1793</t>
  </si>
  <si>
    <t>=+C1795</t>
  </si>
  <si>
    <t>=+D1795</t>
  </si>
  <si>
    <t>=E1795</t>
  </si>
  <si>
    <t>=G1795</t>
  </si>
  <si>
    <t>=+K1795</t>
  </si>
  <si>
    <t>=L1795</t>
  </si>
  <si>
    <t>="Total for " &amp; $L1796</t>
  </si>
  <si>
    <t>=+K1796</t>
  </si>
  <si>
    <t>=SUBTOTAL(9,T1788:T1795)</t>
  </si>
  <si>
    <t>=+C1796</t>
  </si>
  <si>
    <t>=+D1796</t>
  </si>
  <si>
    <t>=E1796</t>
  </si>
  <si>
    <t>=G1796</t>
  </si>
  <si>
    <t>=+N1797</t>
  </si>
  <si>
    <t>=M1797</t>
  </si>
  <si>
    <t>="10478"</t>
  </si>
  <si>
    <t>=NL(,"UPR30300","CHEKDATE","CHEKNMBR",$M1797,"EMPLOYID",$G1797)</t>
  </si>
  <si>
    <t>=+C1797</t>
  </si>
  <si>
    <t>=+D1797</t>
  </si>
  <si>
    <t>=E1797</t>
  </si>
  <si>
    <t>=G1797</t>
  </si>
  <si>
    <t>=+K1797</t>
  </si>
  <si>
    <t>=L1797</t>
  </si>
  <si>
    <t>=NF($O1798,"PAYRATE")</t>
  </si>
  <si>
    <t>=NF($O1798,"PAYROLCD")</t>
  </si>
  <si>
    <t>=NF($O1798,"STATECD")</t>
  </si>
  <si>
    <t>=NF($O1798,"CHEKDATE")</t>
  </si>
  <si>
    <t>=NF($O1798,"UPRTRXAM")</t>
  </si>
  <si>
    <t>=+C1798</t>
  </si>
  <si>
    <t>=+D1798</t>
  </si>
  <si>
    <t>=E1798</t>
  </si>
  <si>
    <t>=G1798</t>
  </si>
  <si>
    <t>=+K1798</t>
  </si>
  <si>
    <t>=L1798</t>
  </si>
  <si>
    <t>=+C1799</t>
  </si>
  <si>
    <t>=+D1799</t>
  </si>
  <si>
    <t>=E1799</t>
  </si>
  <si>
    <t>=G1799</t>
  </si>
  <si>
    <t>=+K1799</t>
  </si>
  <si>
    <t>=L1799</t>
  </si>
  <si>
    <t>=+C1800</t>
  </si>
  <si>
    <t>=+D1800</t>
  </si>
  <si>
    <t>=E1800</t>
  </si>
  <si>
    <t>=G1800</t>
  </si>
  <si>
    <t>=+K1800</t>
  </si>
  <si>
    <t>=L1800</t>
  </si>
  <si>
    <t>=+C1801</t>
  </si>
  <si>
    <t>=+D1801</t>
  </si>
  <si>
    <t>=E1801</t>
  </si>
  <si>
    <t>=G1801</t>
  </si>
  <si>
    <t>=+K1801</t>
  </si>
  <si>
    <t>=L1801</t>
  </si>
  <si>
    <t>=+C1802</t>
  </si>
  <si>
    <t>=+D1802</t>
  </si>
  <si>
    <t>=E1802</t>
  </si>
  <si>
    <t>=G1802</t>
  </si>
  <si>
    <t>=+K1802</t>
  </si>
  <si>
    <t>=L1802</t>
  </si>
  <si>
    <t>=+C1803</t>
  </si>
  <si>
    <t>=+D1803</t>
  </si>
  <si>
    <t>=E1803</t>
  </si>
  <si>
    <t>=G1803</t>
  </si>
  <si>
    <t>=+K1803</t>
  </si>
  <si>
    <t>=L1803</t>
  </si>
  <si>
    <t>=+C1805</t>
  </si>
  <si>
    <t>=+D1805</t>
  </si>
  <si>
    <t>=E1805</t>
  </si>
  <si>
    <t>=G1805</t>
  </si>
  <si>
    <t>=+K1805</t>
  </si>
  <si>
    <t>=L1805</t>
  </si>
  <si>
    <t>="Total for " &amp; $L1806</t>
  </si>
  <si>
    <t>=+K1806</t>
  </si>
  <si>
    <t>=SUBTOTAL(9,T1798:T1805)</t>
  </si>
  <si>
    <t>=+C1806</t>
  </si>
  <si>
    <t>=+D1806</t>
  </si>
  <si>
    <t>=E1806</t>
  </si>
  <si>
    <t>=G1806</t>
  </si>
  <si>
    <t>=+N1807</t>
  </si>
  <si>
    <t>=M1807</t>
  </si>
  <si>
    <t>="10503"</t>
  </si>
  <si>
    <t>=NL(,"UPR30300","CHEKDATE","CHEKNMBR",$M1807,"EMPLOYID",$G1807)</t>
  </si>
  <si>
    <t>=+C1807</t>
  </si>
  <si>
    <t>=+D1807</t>
  </si>
  <si>
    <t>=E1807</t>
  </si>
  <si>
    <t>=G1807</t>
  </si>
  <si>
    <t>=+K1807</t>
  </si>
  <si>
    <t>=L1807</t>
  </si>
  <si>
    <t>=NF($O1808,"PAYRATE")</t>
  </si>
  <si>
    <t>=NF($O1808,"PAYROLCD")</t>
  </si>
  <si>
    <t>=NF($O1808,"STATECD")</t>
  </si>
  <si>
    <t>=NF($O1808,"CHEKDATE")</t>
  </si>
  <si>
    <t>=NF($O1808,"UPRTRXAM")</t>
  </si>
  <si>
    <t>=+C1808</t>
  </si>
  <si>
    <t>=+D1808</t>
  </si>
  <si>
    <t>=E1808</t>
  </si>
  <si>
    <t>=G1808</t>
  </si>
  <si>
    <t>=+K1808</t>
  </si>
  <si>
    <t>=L1808</t>
  </si>
  <si>
    <t>=+C1809</t>
  </si>
  <si>
    <t>=+D1809</t>
  </si>
  <si>
    <t>=E1809</t>
  </si>
  <si>
    <t>=G1809</t>
  </si>
  <si>
    <t>=+K1809</t>
  </si>
  <si>
    <t>=L1809</t>
  </si>
  <si>
    <t>=+C1810</t>
  </si>
  <si>
    <t>=+D1810</t>
  </si>
  <si>
    <t>=E1810</t>
  </si>
  <si>
    <t>=G1810</t>
  </si>
  <si>
    <t>=+K1810</t>
  </si>
  <si>
    <t>=L1810</t>
  </si>
  <si>
    <t>=+C1811</t>
  </si>
  <si>
    <t>=+D1811</t>
  </si>
  <si>
    <t>=E1811</t>
  </si>
  <si>
    <t>=G1811</t>
  </si>
  <si>
    <t>=+K1811</t>
  </si>
  <si>
    <t>=L1811</t>
  </si>
  <si>
    <t>=+C1812</t>
  </si>
  <si>
    <t>=+D1812</t>
  </si>
  <si>
    <t>=E1812</t>
  </si>
  <si>
    <t>=G1812</t>
  </si>
  <si>
    <t>=+K1812</t>
  </si>
  <si>
    <t>=L1812</t>
  </si>
  <si>
    <t>=+C1813</t>
  </si>
  <si>
    <t>=+D1813</t>
  </si>
  <si>
    <t>=E1813</t>
  </si>
  <si>
    <t>=G1813</t>
  </si>
  <si>
    <t>=+K1813</t>
  </si>
  <si>
    <t>=L1813</t>
  </si>
  <si>
    <t>=+C1815</t>
  </si>
  <si>
    <t>=+D1815</t>
  </si>
  <si>
    <t>=E1815</t>
  </si>
  <si>
    <t>=G1815</t>
  </si>
  <si>
    <t>=+K1815</t>
  </si>
  <si>
    <t>=L1815</t>
  </si>
  <si>
    <t>="Total for " &amp; $L1816</t>
  </si>
  <si>
    <t>=+K1816</t>
  </si>
  <si>
    <t>=SUBTOTAL(9,T1808:T1815)</t>
  </si>
  <si>
    <t>=+C1817</t>
  </si>
  <si>
    <t>=+D1817</t>
  </si>
  <si>
    <t>=E1817</t>
  </si>
  <si>
    <t>=G1817</t>
  </si>
  <si>
    <t>="Total for " &amp; $G1818</t>
  </si>
  <si>
    <t>=+C1818</t>
  </si>
  <si>
    <t>=+D1818</t>
  </si>
  <si>
    <t>=SUBTOTAL(9,T1757:T1817)</t>
  </si>
  <si>
    <t>=E1819</t>
  </si>
  <si>
    <t>="Total for " &amp; F1553</t>
  </si>
  <si>
    <t>=SUBTOTAL(9,T1556:T1819)</t>
  </si>
  <si>
    <t>=SUBTOTAL(9,T15:T1821)</t>
  </si>
  <si>
    <t>About the report</t>
  </si>
  <si>
    <t>Modifying your report</t>
  </si>
  <si>
    <t>Version of Jet</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</si>
  <si>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</si>
  <si>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</si>
  <si>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</si>
  <si>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</si>
  <si>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</si>
  <si>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</si>
  <si>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</si>
  <si>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</si>
  <si>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</si>
  <si>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</si>
  <si>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</si>
  <si>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</si>
  <si>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</si>
  <si>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</si>
  <si>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</si>
  <si>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</si>
  <si>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</si>
  <si>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provides information about payroll transactions.  It is based on the transactions in table OPR30300.</t>
  </si>
  <si>
    <t>Auto+Hide+HideSheet+Values+Formulas=Sheet2,Sheet3+FormulasOnly</t>
  </si>
  <si>
    <t>=CHEKDATE</t>
  </si>
  <si>
    <t>=EMPLCLAS</t>
  </si>
  <si>
    <t>=EMPLOYID</t>
  </si>
  <si>
    <t>=PAYROLCD</t>
  </si>
  <si>
    <t>=STATECD</t>
  </si>
  <si>
    <t>=NL("Rows=10","UPR30300","EMPLCLAS","CHEKDATE",$H$4,"EMPLCLAS",$H$5,"EMPLOYID",$H$6,"PAYROLCD",$H$7,"STATECD",$H$8)</t>
  </si>
  <si>
    <t>=NL("Rows=7","UPR30300","EMPLOYID","CHEKDATE",$H$4,"EMPLCLAS","@@"&amp;$E13,"EMPLOYID",$H$6,"PAYROLCD",$H$7,"STATECD",$H$8)</t>
  </si>
  <si>
    <t>=NL("Rows=4","UPR30300","CHEKNMBR","CHEKDATE",$H$4,"EMPLCLAS","@@"&amp;$E14,"EMPLOYID","@@"&amp;$G14,"PAYROLCD",$H$7,"STATECD",$H$8)</t>
  </si>
  <si>
    <t>=NL("Rows","UPR30300",{"PAYRATE","PAYROLCD","STATECD","CHEKDATE","UPRTRXAM"},"+CHEKDATE",$H$4,"EMPLCLAS","@@"&amp;$E15,"EMPLOYID","@@"&amp;$G15,"PAYROLCD",$H$7,"STATECD",$H$8,"CHEKNMBR","@@"&amp;$L15)</t>
  </si>
  <si>
    <t>Auto+Hide+Values+Formulas=Sheet4,Sheet5+FormulasOnly</t>
  </si>
  <si>
    <t>Auto+Hide+HideSheet+Values+Formulas=Sheet6,Sheet2,Sheet3</t>
  </si>
  <si>
    <t>Auto+Hide+HideSheet+Values+Formulas=Sheet6,Sheet2,Sheet3+FormulasOnly</t>
  </si>
  <si>
    <t>Auto+Hide+Values+Formulas=Sheet7,Sheet4,Sheet5</t>
  </si>
  <si>
    <t>="""GP Direct"",""Fabrikam, Inc."",""UPR30300"",""PAYRATE"",""0.00000"",""PAYROLCD"",""401K"",""STATECD"","""",""CHEKDATE"",""1/1/2015"",""UPRTRXAM"",""36.35000"""</t>
  </si>
  <si>
    <t>="""GP Direct"",""Fabrikam, Inc."",""UPR30300"",""PAYRATE"",""0.00000"",""PAYROLCD"",""IL"",""STATECD"","""",""CHEKDATE"",""1/1/2015"",""UPRTRXAM"",""13.38000"""</t>
  </si>
  <si>
    <t>="""GP Direct"",""Fabrikam, Inc."",""UPR30300"",""PAYRATE"",""0.00000"",""PAYROLCD"",""INS"",""STATECD"","""",""CHEKDATE"",""1/1/2015"",""UPRTRXAM"",""49.36000"""</t>
  </si>
  <si>
    <t>="""GP Direct"",""Fabrikam, Inc."",""UPR30300"",""PAYRATE"",""0.00000"",""PAYROLCD"",""INS2"",""STATECD"","""",""CHEKDATE"",""1/1/2015"",""UPRTRXAM"",""72.95000"""</t>
  </si>
  <si>
    <t>="""GP Direct"",""Fabrikam, Inc."",""UPR30300"",""PAYRATE"",""0.00000"",""PAYROLCD"",""MED"",""STATECD"","""",""CHEKDATE"",""1/1/2015"",""UPRTRXAM"",""20.00000"""</t>
  </si>
  <si>
    <t>="""GP Direct"",""Fabrikam, Inc."",""UPR30300"",""PAYRATE"",""21811.00000"",""PAYROLCD"",""SALY"",""STATECD"",""IL"",""CHEKDATE"",""1/1/2015"",""UPRTRXAM"",""908.79000"""</t>
  </si>
  <si>
    <t>=NL("Rows","UPR30300",{"PAYRATE","PAYROLCD","STATECD","CHEKDATE","UPRTRXAM"},"+CHEKDATE",$H$4,"EMPLCLAS","@@"&amp;$E25,"EMPLOYID","@@"&amp;$G25,"PAYROLCD",$H$7,"STATECD",$H$8,"CHEKNMBR","@@"&amp;$L25)</t>
  </si>
  <si>
    <t>="""GP Direct"",""Fabrikam, Inc."",""UPR30300"",""PAYRATE"",""0.00000"",""PAYROLCD"",""401K"",""STATECD"","""",""CHEKDATE"",""2/1/2015"",""UPRTRXAM"",""36.35000"""</t>
  </si>
  <si>
    <t>="""GP Direct"",""Fabrikam, Inc."",""UPR30300"",""PAYRATE"",""0.00000"",""PAYROLCD"",""IL"",""STATECD"","""",""CHEKDATE"",""2/1/2015"",""UPRTRXAM"",""13.38000"""</t>
  </si>
  <si>
    <t>="""GP Direct"",""Fabrikam, Inc."",""UPR30300"",""PAYRATE"",""0.00000"",""PAYROLCD"",""INS"",""STATECD"","""",""CHEKDATE"",""2/1/2015"",""UPRTRXAM"",""49.36000"""</t>
  </si>
  <si>
    <t>="""GP Direct"",""Fabrikam, Inc."",""UPR30300"",""PAYRATE"",""0.00000"",""PAYROLCD"",""INS2"",""STATECD"","""",""CHEKDATE"",""2/1/2015"",""UPRTRXAM"",""72.95000"""</t>
  </si>
  <si>
    <t>="""GP Direct"",""Fabrikam, Inc."",""UPR30300"",""PAYRATE"",""0.00000"",""PAYROLCD"",""MED"",""STATECD"","""",""CHEKDATE"",""2/1/2015"",""UPRTRXAM"",""20.00000"""</t>
  </si>
  <si>
    <t>="""GP Direct"",""Fabrikam, Inc."",""UPR30300"",""PAYRATE"",""21811.00000"",""PAYROLCD"",""SALY"",""STATECD"",""IL"",""CHEKDATE"",""2/1/2015"",""UPRTRXAM"",""908.79000"""</t>
  </si>
  <si>
    <t>=NL("Rows","UPR30300",{"PAYRATE","PAYROLCD","STATECD","CHEKDATE","UPRTRXAM"},"+CHEKDATE",$H$4,"EMPLCLAS","@@"&amp;$E35,"EMPLOYID","@@"&amp;$G35,"PAYROLCD",$H$7,"STATECD",$H$8,"CHEKNMBR","@@"&amp;$L35)</t>
  </si>
  <si>
    <t>="""GP Direct"",""Fabrikam, Inc."",""UPR30300"",""PAYRATE"",""0.00000"",""PAYROLCD"",""401K"",""STATECD"","""",""CHEKDATE"",""3/1/2015"",""UPRTRXAM"",""36.35000"""</t>
  </si>
  <si>
    <t>="""GP Direct"",""Fabrikam, Inc."",""UPR30300"",""PAYRATE"",""0.00000"",""PAYROLCD"",""IL"",""STATECD"","""",""CHEKDATE"",""3/1/2015"",""UPRTRXAM"",""13.38000"""</t>
  </si>
  <si>
    <t>="""GP Direct"",""Fabrikam, Inc."",""UPR30300"",""PAYRATE"",""0.00000"",""PAYROLCD"",""INS"",""STATECD"","""",""CHEKDATE"",""3/1/2015"",""UPRTRXAM"",""49.36000"""</t>
  </si>
  <si>
    <t>="""GP Direct"",""Fabrikam, Inc."",""UPR30300"",""PAYRATE"",""0.00000"",""PAYROLCD"",""INS2"",""STATECD"","""",""CHEKDATE"",""3/1/2015"",""UPRTRXAM"",""72.95000"""</t>
  </si>
  <si>
    <t>="""GP Direct"",""Fabrikam, Inc."",""UPR30300"",""PAYRATE"",""0.00000"",""PAYROLCD"",""MED"",""STATECD"","""",""CHEKDATE"",""3/1/2015"",""UPRTRXAM"",""20.00000"""</t>
  </si>
  <si>
    <t>="""GP Direct"",""Fabrikam, Inc."",""UPR30300"",""PAYRATE"",""21811.00000"",""PAYROLCD"",""SALY"",""STATECD"",""IL"",""CHEKDATE"",""3/1/2015"",""UPRTRXAM"",""908.79000"""</t>
  </si>
  <si>
    <t>=NL("Rows","UPR30300",{"PAYRATE","PAYROLCD","STATECD","CHEKDATE","UPRTRXAM"},"+CHEKDATE",$H$4,"EMPLCLAS","@@"&amp;$E45,"EMPLOYID","@@"&amp;$G45,"PAYROLCD",$H$7,"STATECD",$H$8,"CHEKNMBR","@@"&amp;$L45)</t>
  </si>
  <si>
    <t>="""GP Direct"",""Fabrikam, Inc."",""UPR30300"",""PAYRATE"",""0.00000"",""PAYROLCD"",""401K"",""STATECD"","""",""CHEKDATE"",""4/1/2015"",""UPRTRXAM"",""33.00000"""</t>
  </si>
  <si>
    <t>="""GP Direct"",""Fabrikam, Inc."",""UPR30300"",""PAYRATE"",""0.00000"",""PAYROLCD"",""IL"",""STATECD"","""",""CHEKDATE"",""4/1/2015"",""UPRTRXAM"",""10.97000"""</t>
  </si>
  <si>
    <t>="""GP Direct"",""Fabrikam, Inc."",""UPR30300"",""PAYRATE"",""0.00000"",""PAYROLCD"",""INS"",""STATECD"","""",""CHEKDATE"",""4/1/2015"",""UPRTRXAM"",""49.36000"""</t>
  </si>
  <si>
    <t>="""GP Direct"",""Fabrikam, Inc."",""UPR30300"",""PAYRATE"",""0.00000"",""PAYROLCD"",""INS2"",""STATECD"","""",""CHEKDATE"",""4/1/2015"",""UPRTRXAM"",""72.95000"""</t>
  </si>
  <si>
    <t>="""GP Direct"",""Fabrikam, Inc."",""UPR30300"",""PAYRATE"",""0.00000"",""PAYROLCD"",""MED"",""STATECD"","""",""CHEKDATE"",""4/1/2015"",""UPRTRXAM"",""20.00000"""</t>
  </si>
  <si>
    <t>="""GP Direct"",""Fabrikam, Inc."",""UPR30300"",""PAYRATE"",""0.00000"",""PAYROLCD"",""SICK"",""STATECD"",""IL"",""CHEKDATE"",""4/1/2015"",""UPRTRXAM"",""0.00000"""</t>
  </si>
  <si>
    <t>="""GP Direct"",""Fabrikam, Inc."",""UPR30300"",""PAYRATE"",""10.48604"",""PAYROLCD"",""SALY"",""STATECD"",""IL"",""CHEKDATE"",""4/1/2015"",""UPRTRXAM"",""824.90000"""</t>
  </si>
  <si>
    <t>=NL("Rows","UPR30300",{"PAYRATE","PAYROLCD","STATECD","CHEKDATE","UPRTRXAM"},"+CHEKDATE",$H$4,"EMPLCLAS","@@"&amp;$E56,"EMPLOYID","@@"&amp;$G56,"PAYROLCD",$H$7,"STATECD",$H$8,"CHEKNMBR","@@"&amp;$L56)</t>
  </si>
  <si>
    <t>="""GP Direct"",""Fabrikam, Inc."",""UPR30300"",""PAYRATE"",""0.00000"",""PAYROLCD"",""401K"",""STATECD"","""",""CHEKDATE"",""5/1/2015"",""UPRTRXAM"",""33.00000"""</t>
  </si>
  <si>
    <t>="""GP Direct"",""Fabrikam, Inc."",""UPR30300"",""PAYRATE"",""0.00000"",""PAYROLCD"",""IL"",""STATECD"","""",""CHEKDATE"",""5/1/2015"",""UPRTRXAM"",""10.97000"""</t>
  </si>
  <si>
    <t>="""GP Direct"",""Fabrikam, Inc."",""UPR30300"",""PAYRATE"",""0.00000"",""PAYROLCD"",""INS"",""STATECD"","""",""CHEKDATE"",""5/1/2015"",""UPRTRXAM"",""49.36000"""</t>
  </si>
  <si>
    <t>="""GP Direct"",""Fabrikam, Inc."",""UPR30300"",""PAYRATE"",""0.00000"",""PAYROLCD"",""INS2"",""STATECD"","""",""CHEKDATE"",""5/1/2015"",""UPRTRXAM"",""72.95000"""</t>
  </si>
  <si>
    <t>="""GP Direct"",""Fabrikam, Inc."",""UPR30300"",""PAYRATE"",""0.00000"",""PAYROLCD"",""MED"",""STATECD"","""",""CHEKDATE"",""5/1/2015"",""UPRTRXAM"",""20.00000"""</t>
  </si>
  <si>
    <t>="""GP Direct"",""Fabrikam, Inc."",""UPR30300"",""PAYRATE"",""0.00000"",""PAYROLCD"",""SICK"",""STATECD"",""IL"",""CHEKDATE"",""5/1/2015"",""UPRTRXAM"",""0.00000"""</t>
  </si>
  <si>
    <t>="""GP Direct"",""Fabrikam, Inc."",""UPR30300"",""PAYRATE"",""10.48604"",""PAYROLCD"",""SALY"",""STATECD"",""IL"",""CHEKDATE"",""5/1/2015"",""UPRTRXAM"",""824.90000"""</t>
  </si>
  <si>
    <t>=NL("Rows","UPR30300",{"PAYRATE","PAYROLCD","STATECD","CHEKDATE","UPRTRXAM"},"+CHEKDATE",$H$4,"EMPLCLAS","@@"&amp;$E67,"EMPLOYID","@@"&amp;$G67,"PAYROLCD",$H$7,"STATECD",$H$8,"CHEKNMBR","@@"&amp;$L67)</t>
  </si>
  <si>
    <t>="""GP Direct"",""Fabrikam, Inc."",""UPR30300"",""PAYRATE"",""0.00000"",""PAYROLCD"",""401K"",""STATECD"","""",""CHEKDATE"",""6/1/2015"",""UPRTRXAM"",""36.35000"""</t>
  </si>
  <si>
    <t>="""GP Direct"",""Fabrikam, Inc."",""UPR30300"",""PAYRATE"",""0.00000"",""PAYROLCD"",""IL"",""STATECD"","""",""CHEKDATE"",""6/1/2015"",""UPRTRXAM"",""13.38000"""</t>
  </si>
  <si>
    <t>="""GP Direct"",""Fabrikam, Inc."",""UPR30300"",""PAYRATE"",""0.00000"",""PAYROLCD"",""INS"",""STATECD"","""",""CHEKDATE"",""6/1/2015"",""UPRTRXAM"",""49.36000"""</t>
  </si>
  <si>
    <t>="""GP Direct"",""Fabrikam, Inc."",""UPR30300"",""PAYRATE"",""0.00000"",""PAYROLCD"",""INS2"",""STATECD"","""",""CHEKDATE"",""6/1/2015"",""UPRTRXAM"",""72.95000"""</t>
  </si>
  <si>
    <t>="""GP Direct"",""Fabrikam, Inc."",""UPR30300"",""PAYRATE"",""0.00000"",""PAYROLCD"",""MED"",""STATECD"","""",""CHEKDATE"",""6/1/2015"",""UPRTRXAM"",""20.00000"""</t>
  </si>
  <si>
    <t>="""GP Direct"",""Fabrikam, Inc."",""UPR30300"",""PAYRATE"",""21811.00000"",""PAYROLCD"",""SALY"",""STATECD"",""IL"",""CHEKDATE"",""6/1/2015"",""UPRTRXAM"",""908.79000"""</t>
  </si>
  <si>
    <t>=NL("Rows=4","UPR30300","CHEKNMBR","CHEKDATE",$H$4,"EMPLCLAS","@@"&amp;$E79,"EMPLOYID","@@"&amp;$G79,"PAYROLCD",$H$7,"STATECD",$H$8)</t>
  </si>
  <si>
    <t>=NL("Rows","UPR30300",{"PAYRATE","PAYROLCD","STATECD","CHEKDATE","UPRTRXAM"},"+CHEKDATE",$H$4,"EMPLCLAS","@@"&amp;$E80,"EMPLOYID","@@"&amp;$G80,"PAYROLCD",$H$7,"STATECD",$H$8,"CHEKNMBR","@@"&amp;$L80)</t>
  </si>
  <si>
    <t>="""GP Direct"",""Fabrikam, Inc."",""UPR30300"",""PAYRATE"",""0.00000"",""PAYROLCD"",""401K"",""STATECD"","""",""CHEKDATE"",""1/1/2015"",""UPRTRXAM"",""26.73000"""</t>
  </si>
  <si>
    <t>="""GP Direct"",""Fabrikam, Inc."",""UPR30300"",""PAYRATE"",""0.00000"",""PAYROLCD"",""IL"",""STATECD"","""",""CHEKDATE"",""1/1/2015"",""UPRTRXAM"",""24.53000"""</t>
  </si>
  <si>
    <t>="""GP Direct"",""Fabrikam, Inc."",""UPR30300"",""PAYRATE"",""0.00000"",""PAYROLCD"",""MED"",""STATECD"","""",""CHEKDATE"",""1/1/2015"",""UPRTRXAM"",""5.00000"""</t>
  </si>
  <si>
    <t>="""GP Direct"",""Fabrikam, Inc."",""UPR30300"",""PAYRATE"",""21384.00000"",""PAYROLCD"",""SALY"",""STATECD"",""IL"",""CHEKDATE"",""1/1/2015"",""UPRTRXAM"",""891.00000"""</t>
  </si>
  <si>
    <t>=NL("Rows","UPR30300",{"PAYRATE","PAYROLCD","STATECD","CHEKDATE","UPRTRXAM"},"+CHEKDATE",$H$4,"EMPLCLAS","@@"&amp;$E89,"EMPLOYID","@@"&amp;$G89,"PAYROLCD",$H$7,"STATECD",$H$8,"CHEKNMBR","@@"&amp;$L89)</t>
  </si>
  <si>
    <t>="""GP Direct"",""Fabrikam, Inc."",""UPR30300"",""PAYRATE"",""0.00000"",""PAYROLCD"",""401K"",""STATECD"","""",""CHEKDATE"",""2/1/2015"",""UPRTRXAM"",""26.73000"""</t>
  </si>
  <si>
    <t>="""GP Direct"",""Fabrikam, Inc."",""UPR30300"",""PAYRATE"",""0.00000"",""PAYROLCD"",""IL"",""STATECD"","""",""CHEKDATE"",""2/1/2015"",""UPRTRXAM"",""24.53000"""</t>
  </si>
  <si>
    <t>="""GP Direct"",""Fabrikam, Inc."",""UPR30300"",""PAYRATE"",""0.00000"",""PAYROLCD"",""MED"",""STATECD"","""",""CHEKDATE"",""2/1/2015"",""UPRTRXAM"",""5.00000"""</t>
  </si>
  <si>
    <t>="""GP Direct"",""Fabrikam, Inc."",""UPR30300"",""PAYRATE"",""21384.00000"",""PAYROLCD"",""SALY"",""STATECD"",""IL"",""CHEKDATE"",""2/1/2015"",""UPRTRXAM"",""891.00000"""</t>
  </si>
  <si>
    <t>=NL("Rows","UPR30300",{"PAYRATE","PAYROLCD","STATECD","CHEKDATE","UPRTRXAM"},"+CHEKDATE",$H$4,"EMPLCLAS","@@"&amp;$E98,"EMPLOYID","@@"&amp;$G98,"PAYROLCD",$H$7,"STATECD",$H$8,"CHEKNMBR","@@"&amp;$L98)</t>
  </si>
  <si>
    <t>="""GP Direct"",""Fabrikam, Inc."",""UPR30300"",""PAYRATE"",""0.00000"",""PAYROLCD"",""401K"",""STATECD"","""",""CHEKDATE"",""3/1/2015"",""UPRTRXAM"",""24.26000"""</t>
  </si>
  <si>
    <t>="""GP Direct"",""Fabrikam, Inc."",""UPR30300"",""PAYRATE"",""0.00000"",""PAYROLCD"",""HOLI"",""STATECD"",""IL"",""CHEKDATE"",""3/1/2015"",""UPRTRXAM"",""0.00000"""</t>
  </si>
  <si>
    <t>="""GP Direct"",""Fabrikam, Inc."",""UPR30300"",""PAYRATE"",""0.00000"",""PAYROLCD"",""IL"",""STATECD"","""",""CHEKDATE"",""3/1/2015"",""UPRTRXAM"",""22.13000"""</t>
  </si>
  <si>
    <t>="""GP Direct"",""Fabrikam, Inc."",""UPR30300"",""PAYRATE"",""0.00000"",""PAYROLCD"",""MED"",""STATECD"","""",""CHEKDATE"",""3/1/2015"",""UPRTRXAM"",""5.00000"""</t>
  </si>
  <si>
    <t>="""GP Direct"",""Fabrikam, Inc."",""UPR30300"",""PAYRATE"",""10.28077"",""PAYROLCD"",""SALY"",""STATECD"",""IL"",""CHEKDATE"",""3/1/2015"",""UPRTRXAM"",""808.75000"""</t>
  </si>
  <si>
    <t>=NL("Rows","UPR30300",{"PAYRATE","PAYROLCD","STATECD","CHEKDATE","UPRTRXAM"},"+CHEKDATE",$H$4,"EMPLCLAS","@@"&amp;$E108,"EMPLOYID","@@"&amp;$G108,"PAYROLCD",$H$7,"STATECD",$H$8,"CHEKNMBR","@@"&amp;$L108)</t>
  </si>
  <si>
    <t>="""GP Direct"",""Fabrikam, Inc."",""UPR30300"",""PAYRATE"",""0.00000"",""PAYROLCD"",""401K"",""STATECD"","""",""CHEKDATE"",""4/1/2015"",""UPRTRXAM"",""26.73000"""</t>
  </si>
  <si>
    <t>="""GP Direct"",""Fabrikam, Inc."",""UPR30300"",""PAYRATE"",""0.00000"",""PAYROLCD"",""IL"",""STATECD"","""",""CHEKDATE"",""4/1/2015"",""UPRTRXAM"",""24.53000"""</t>
  </si>
  <si>
    <t>="""GP Direct"",""Fabrikam, Inc."",""UPR30300"",""PAYRATE"",""0.00000"",""PAYROLCD"",""MED"",""STATECD"","""",""CHEKDATE"",""4/1/2015"",""UPRTRXAM"",""5.00000"""</t>
  </si>
  <si>
    <t>="""GP Direct"",""Fabrikam, Inc."",""UPR30300"",""PAYRATE"",""21384.00000"",""PAYROLCD"",""SALY"",""STATECD"",""IL"",""CHEKDATE"",""4/1/2015"",""UPRTRXAM"",""891.00000"""</t>
  </si>
  <si>
    <t>=NL("Rows","UPR30300",{"PAYRATE","PAYROLCD","STATECD","CHEKDATE","UPRTRXAM"},"+CHEKDATE",$H$4,"EMPLCLAS","@@"&amp;$E117,"EMPLOYID","@@"&amp;$G117,"PAYROLCD",$H$7,"STATECD",$H$8,"CHEKNMBR","@@"&amp;$L117)</t>
  </si>
  <si>
    <t>="""GP Direct"",""Fabrikam, Inc."",""UPR30300"",""PAYRATE"",""0.00000"",""PAYROLCD"",""401K"",""STATECD"","""",""CHEKDATE"",""5/1/2015"",""UPRTRXAM"",""26.73000"""</t>
  </si>
  <si>
    <t>="""GP Direct"",""Fabrikam, Inc."",""UPR30300"",""PAYRATE"",""0.00000"",""PAYROLCD"",""IL"",""STATECD"","""",""CHEKDATE"",""5/1/2015"",""UPRTRXAM"",""24.53000"""</t>
  </si>
  <si>
    <t>="""GP Direct"",""Fabrikam, Inc."",""UPR30300"",""PAYRATE"",""0.00000"",""PAYROLCD"",""MED"",""STATECD"","""",""CHEKDATE"",""5/1/2015"",""UPRTRXAM"",""5.00000"""</t>
  </si>
  <si>
    <t>="""GP Direct"",""Fabrikam, Inc."",""UPR30300"",""PAYRATE"",""21384.00000"",""PAYROLCD"",""SALY"",""STATECD"",""IL"",""CHEKDATE"",""5/1/2015"",""UPRTRXAM"",""891.00000"""</t>
  </si>
  <si>
    <t>=NL("Rows","UPR30300",{"PAYRATE","PAYROLCD","STATECD","CHEKDATE","UPRTRXAM"},"+CHEKDATE",$H$4,"EMPLCLAS","@@"&amp;$E126,"EMPLOYID","@@"&amp;$G126,"PAYROLCD",$H$7,"STATECD",$H$8,"CHEKNMBR","@@"&amp;$L126)</t>
  </si>
  <si>
    <t>="""GP Direct"",""Fabrikam, Inc."",""UPR30300"",""PAYRATE"",""0.00000"",""PAYROLCD"",""401K"",""STATECD"","""",""CHEKDATE"",""6/1/2015"",""UPRTRXAM"",""26.73000"""</t>
  </si>
  <si>
    <t>="""GP Direct"",""Fabrikam, Inc."",""UPR30300"",""PAYRATE"",""0.00000"",""PAYROLCD"",""IL"",""STATECD"","""",""CHEKDATE"",""6/1/2015"",""UPRTRXAM"",""24.53000"""</t>
  </si>
  <si>
    <t>="""GP Direct"",""Fabrikam, Inc."",""UPR30300"",""PAYRATE"",""0.00000"",""PAYROLCD"",""MED"",""STATECD"","""",""CHEKDATE"",""6/1/2015"",""UPRTRXAM"",""5.00000"""</t>
  </si>
  <si>
    <t>="""GP Direct"",""Fabrikam, Inc."",""UPR30300"",""PAYRATE"",""21384.00000"",""PAYROLCD"",""SALY"",""STATECD"",""IL"",""CHEKDATE"",""6/1/2015"",""UPRTRXAM"",""891.00000"""</t>
  </si>
  <si>
    <t>=NL("Rows=4","UPR30300","CHEKNMBR","CHEKDATE",$H$4,"EMPLCLAS","@@"&amp;$E137,"EMPLOYID","@@"&amp;$G137,"PAYROLCD",$H$7,"STATECD",$H$8)</t>
  </si>
  <si>
    <t>=NL("Rows","UPR30300",{"PAYRATE","PAYROLCD","STATECD","CHEKDATE","UPRTRXAM"},"+CHEKDATE",$H$4,"EMPLCLAS","@@"&amp;$E138,"EMPLOYID","@@"&amp;$G138,"PAYROLCD",$H$7,"STATECD",$H$8,"CHEKNMBR","@@"&amp;$L138)</t>
  </si>
  <si>
    <t>="""GP Direct"",""Fabrikam, Inc."",""UPR30300"",""PAYRATE"",""0.00000"",""PAYROLCD"",""401K"",""STATECD"","""",""CHEKDATE"",""1/1/2015"",""UPRTRXAM"",""50.52000"""</t>
  </si>
  <si>
    <t>="""GP Direct"",""Fabrikam, Inc."",""UPR30300"",""PAYRATE"",""0.00000"",""PAYROLCD"",""IL"",""STATECD"","""",""CHEKDATE"",""1/1/2015"",""UPRTRXAM"",""21.09000"""</t>
  </si>
  <si>
    <t>="""GP Direct"",""Fabrikam, Inc."",""UPR30300"",""PAYRATE"",""30314.00000"",""PAYROLCD"",""SALY"",""STATECD"",""IL"",""CHEKDATE"",""1/1/2015"",""UPRTRXAM"",""1263.08000"""</t>
  </si>
  <si>
    <t>=NL("Rows","UPR30300",{"PAYRATE","PAYROLCD","STATECD","CHEKDATE","UPRTRXAM"},"+CHEKDATE",$H$4,"EMPLCLAS","@@"&amp;$E148,"EMPLOYID","@@"&amp;$G148,"PAYROLCD",$H$7,"STATECD",$H$8,"CHEKNMBR","@@"&amp;$L148)</t>
  </si>
  <si>
    <t>="""GP Direct"",""Fabrikam, Inc."",""UPR30300"",""PAYRATE"",""0.00000"",""PAYROLCD"",""401K"",""STATECD"","""",""CHEKDATE"",""2/1/2015"",""UPRTRXAM"",""50.52000"""</t>
  </si>
  <si>
    <t>="""GP Direct"",""Fabrikam, Inc."",""UPR30300"",""PAYRATE"",""0.00000"",""PAYROLCD"",""IL"",""STATECD"","""",""CHEKDATE"",""2/1/2015"",""UPRTRXAM"",""21.09000"""</t>
  </si>
  <si>
    <t>="""GP Direct"",""Fabrikam, Inc."",""UPR30300"",""PAYRATE"",""30314.00000"",""PAYROLCD"",""SALY"",""STATECD"",""IL"",""CHEKDATE"",""2/1/2015"",""UPRTRXAM"",""1263.08000"""</t>
  </si>
  <si>
    <t>=NL("Rows","UPR30300",{"PAYRATE","PAYROLCD","STATECD","CHEKDATE","UPRTRXAM"},"+CHEKDATE",$H$4,"EMPLCLAS","@@"&amp;$E158,"EMPLOYID","@@"&amp;$G158,"PAYROLCD",$H$7,"STATECD",$H$8,"CHEKNMBR","@@"&amp;$L158)</t>
  </si>
  <si>
    <t>="""GP Direct"",""Fabrikam, Inc."",""UPR30300"",""PAYRATE"",""0.00000"",""PAYROLCD"",""401K"",""STATECD"","""",""CHEKDATE"",""3/1/2015"",""UPRTRXAM"",""50.52000"""</t>
  </si>
  <si>
    <t>="""GP Direct"",""Fabrikam, Inc."",""UPR30300"",""PAYRATE"",""0.00000"",""PAYROLCD"",""IL"",""STATECD"","""",""CHEKDATE"",""3/1/2015"",""UPRTRXAM"",""21.09000"""</t>
  </si>
  <si>
    <t>="""GP Direct"",""Fabrikam, Inc."",""UPR30300"",""PAYRATE"",""30314.00000"",""PAYROLCD"",""SALY"",""STATECD"",""IL"",""CHEKDATE"",""3/1/2015"",""UPRTRXAM"",""1263.08000"""</t>
  </si>
  <si>
    <t>=NL("Rows","UPR30300",{"PAYRATE","PAYROLCD","STATECD","CHEKDATE","UPRTRXAM"},"+CHEKDATE",$H$4,"EMPLCLAS","@@"&amp;$E168,"EMPLOYID","@@"&amp;$G168,"PAYROLCD",$H$7,"STATECD",$H$8,"CHEKNMBR","@@"&amp;$L168)</t>
  </si>
  <si>
    <t>="""GP Direct"",""Fabrikam, Inc."",""UPR30300"",""PAYRATE"",""0.00000"",""PAYROLCD"",""401K"",""STATECD"","""",""CHEKDATE"",""4/1/2015"",""UPRTRXAM"",""50.52000"""</t>
  </si>
  <si>
    <t>="""GP Direct"",""Fabrikam, Inc."",""UPR30300"",""PAYRATE"",""0.00000"",""PAYROLCD"",""IL"",""STATECD"","""",""CHEKDATE"",""4/1/2015"",""UPRTRXAM"",""21.09000"""</t>
  </si>
  <si>
    <t>="""GP Direct"",""Fabrikam, Inc."",""UPR30300"",""PAYRATE"",""30314.00000"",""PAYROLCD"",""SALY"",""STATECD"",""IL"",""CHEKDATE"",""4/1/2015"",""UPRTRXAM"",""1263.08000"""</t>
  </si>
  <si>
    <t>=NL("Rows","UPR30300",{"PAYRATE","PAYROLCD","STATECD","CHEKDATE","UPRTRXAM"},"+CHEKDATE",$H$4,"EMPLCLAS","@@"&amp;$E178,"EMPLOYID","@@"&amp;$G178,"PAYROLCD",$H$7,"STATECD",$H$8,"CHEKNMBR","@@"&amp;$L178)</t>
  </si>
  <si>
    <t>="""GP Direct"",""Fabrikam, Inc."",""UPR30300"",""PAYRATE"",""0.00000"",""PAYROLCD"",""401K"",""STATECD"","""",""CHEKDATE"",""5/1/2015"",""UPRTRXAM"",""50.52000"""</t>
  </si>
  <si>
    <t>="""GP Direct"",""Fabrikam, Inc."",""UPR30300"",""PAYRATE"",""0.00000"",""PAYROLCD"",""IL"",""STATECD"","""",""CHEKDATE"",""5/1/2015"",""UPRTRXAM"",""21.09000"""</t>
  </si>
  <si>
    <t>="""GP Direct"",""Fabrikam, Inc."",""UPR30300"",""PAYRATE"",""30314.00000"",""PAYROLCD"",""SALY"",""STATECD"",""IL"",""CHEKDATE"",""5/1/2015"",""UPRTRXAM"",""1263.08000"""</t>
  </si>
  <si>
    <t>=NL("Rows","UPR30300",{"PAYRATE","PAYROLCD","STATECD","CHEKDATE","UPRTRXAM"},"+CHEKDATE",$H$4,"EMPLCLAS","@@"&amp;$E188,"EMPLOYID","@@"&amp;$G188,"PAYROLCD",$H$7,"STATECD",$H$8,"CHEKNMBR","@@"&amp;$L188)</t>
  </si>
  <si>
    <t>="""GP Direct"",""Fabrikam, Inc."",""UPR30300"",""PAYRATE"",""0.00000"",""PAYROLCD"",""401K"",""STATECD"","""",""CHEKDATE"",""6/1/2015"",""UPRTRXAM"",""50.52000"""</t>
  </si>
  <si>
    <t>="""GP Direct"",""Fabrikam, Inc."",""UPR30300"",""PAYRATE"",""0.00000"",""PAYROLCD"",""IL"",""STATECD"","""",""CHEKDATE"",""6/1/2015"",""UPRTRXAM"",""21.09000"""</t>
  </si>
  <si>
    <t>="""GP Direct"",""Fabrikam, Inc."",""UPR30300"",""PAYRATE"",""30314.00000"",""PAYROLCD"",""SALY"",""STATECD"",""IL"",""CHEKDATE"",""6/1/2015"",""UPRTRXAM"",""1263.08000"""</t>
  </si>
  <si>
    <t>=NL("Rows=4","UPR30300","CHEKNMBR","CHEKDATE",$H$4,"EMPLCLAS","@@"&amp;$E200,"EMPLOYID","@@"&amp;$G200,"PAYROLCD",$H$7,"STATECD",$H$8)</t>
  </si>
  <si>
    <t>=NL("Rows","UPR30300",{"PAYRATE","PAYROLCD","STATECD","CHEKDATE","UPRTRXAM"},"+CHEKDATE",$H$4,"EMPLCLAS","@@"&amp;$E201,"EMPLOYID","@@"&amp;$G201,"PAYROLCD",$H$7,"STATECD",$H$8,"CHEKNMBR","@@"&amp;$L201)</t>
  </si>
  <si>
    <t>="""GP Direct"",""Fabrikam, Inc."",""UPR30300"",""PAYRATE"",""0.00000"",""PAYROLCD"",""401K"",""STATECD"","""",""CHEKDATE"",""1/1/2015"",""UPRTRXAM"",""25.46000"""</t>
  </si>
  <si>
    <t>="""GP Direct"",""Fabrikam, Inc."",""UPR30300"",""PAYRATE"",""0.00000"",""PAYROLCD"",""IL"",""STATECD"","""",""CHEKDATE"",""1/1/2015"",""UPRTRXAM"",""23.29000"""</t>
  </si>
  <si>
    <t>="""GP Direct"",""Fabrikam, Inc."",""UPR30300"",""PAYRATE"",""20366.00000"",""PAYROLCD"",""SALY"",""STATECD"",""IL"",""CHEKDATE"",""1/1/2015"",""UPRTRXAM"",""848.58000"""</t>
  </si>
  <si>
    <t>=NL("Rows","UPR30300",{"PAYRATE","PAYROLCD","STATECD","CHEKDATE","UPRTRXAM"},"+CHEKDATE",$H$4,"EMPLCLAS","@@"&amp;$E210,"EMPLOYID","@@"&amp;$G210,"PAYROLCD",$H$7,"STATECD",$H$8,"CHEKNMBR","@@"&amp;$L210)</t>
  </si>
  <si>
    <t>="""GP Direct"",""Fabrikam, Inc."",""UPR30300"",""PAYRATE"",""0.00000"",""PAYROLCD"",""401K"",""STATECD"","""",""CHEKDATE"",""2/1/2015"",""UPRTRXAM"",""23.11000"""</t>
  </si>
  <si>
    <t>="""GP Direct"",""Fabrikam, Inc."",""UPR30300"",""PAYRATE"",""0.00000"",""PAYROLCD"",""HOLI"",""STATECD"",""IL"",""CHEKDATE"",""2/1/2015"",""UPRTRXAM"",""0.00000"""</t>
  </si>
  <si>
    <t>="""GP Direct"",""Fabrikam, Inc."",""UPR30300"",""PAYRATE"",""0.00000"",""PAYROLCD"",""IL"",""STATECD"","""",""CHEKDATE"",""2/1/2015"",""UPRTRXAM"",""21.01000"""</t>
  </si>
  <si>
    <t>="""GP Direct"",""Fabrikam, Inc."",""UPR30300"",""PAYRATE"",""9.79131"",""PAYROLCD"",""SALY"",""STATECD"",""IL"",""CHEKDATE"",""2/1/2015"",""UPRTRXAM"",""770.25000"""</t>
  </si>
  <si>
    <t>=NL("Rows","UPR30300",{"PAYRATE","PAYROLCD","STATECD","CHEKDATE","UPRTRXAM"},"+CHEKDATE",$H$4,"EMPLCLAS","@@"&amp;$E220,"EMPLOYID","@@"&amp;$G220,"PAYROLCD",$H$7,"STATECD",$H$8,"CHEKNMBR","@@"&amp;$L220)</t>
  </si>
  <si>
    <t>="""GP Direct"",""Fabrikam, Inc."",""UPR30300"",""PAYRATE"",""0.00000"",""PAYROLCD"",""401K"",""STATECD"","""",""CHEKDATE"",""3/1/2015"",""UPRTRXAM"",""25.46000"""</t>
  </si>
  <si>
    <t>="""GP Direct"",""Fabrikam, Inc."",""UPR30300"",""PAYRATE"",""0.00000"",""PAYROLCD"",""IL"",""STATECD"","""",""CHEKDATE"",""3/1/2015"",""UPRTRXAM"",""23.29000"""</t>
  </si>
  <si>
    <t>="""GP Direct"",""Fabrikam, Inc."",""UPR30300"",""PAYRATE"",""20366.00000"",""PAYROLCD"",""SALY"",""STATECD"",""IL"",""CHEKDATE"",""3/1/2015"",""UPRTRXAM"",""848.58000"""</t>
  </si>
  <si>
    <t>=NL("Rows","UPR30300",{"PAYRATE","PAYROLCD","STATECD","CHEKDATE","UPRTRXAM"},"+CHEKDATE",$H$4,"EMPLCLAS","@@"&amp;$E229,"EMPLOYID","@@"&amp;$G229,"PAYROLCD",$H$7,"STATECD",$H$8,"CHEKNMBR","@@"&amp;$L229)</t>
  </si>
  <si>
    <t>="""GP Direct"",""Fabrikam, Inc."",""UPR30300"",""PAYRATE"",""0.00000"",""PAYROLCD"",""401K"",""STATECD"","""",""CHEKDATE"",""4/1/2015"",""UPRTRXAM"",""25.46000"""</t>
  </si>
  <si>
    <t>="""GP Direct"",""Fabrikam, Inc."",""UPR30300"",""PAYRATE"",""0.00000"",""PAYROLCD"",""IL"",""STATECD"","""",""CHEKDATE"",""4/1/2015"",""UPRTRXAM"",""23.29000"""</t>
  </si>
  <si>
    <t>="""GP Direct"",""Fabrikam, Inc."",""UPR30300"",""PAYRATE"",""20366.00000"",""PAYROLCD"",""SALY"",""STATECD"",""IL"",""CHEKDATE"",""4/1/2015"",""UPRTRXAM"",""848.58000"""</t>
  </si>
  <si>
    <t>=NL("Rows","UPR30300",{"PAYRATE","PAYROLCD","STATECD","CHEKDATE","UPRTRXAM"},"+CHEKDATE",$H$4,"EMPLCLAS","@@"&amp;$E238,"EMPLOYID","@@"&amp;$G238,"PAYROLCD",$H$7,"STATECD",$H$8,"CHEKNMBR","@@"&amp;$L238)</t>
  </si>
  <si>
    <t>="""GP Direct"",""Fabrikam, Inc."",""UPR30300"",""PAYRATE"",""0.00000"",""PAYROLCD"",""401K"",""STATECD"","""",""CHEKDATE"",""5/1/2015"",""UPRTRXAM"",""25.46000"""</t>
  </si>
  <si>
    <t>="""GP Direct"",""Fabrikam, Inc."",""UPR30300"",""PAYRATE"",""0.00000"",""PAYROLCD"",""IL"",""STATECD"","""",""CHEKDATE"",""5/1/2015"",""UPRTRXAM"",""23.29000"""</t>
  </si>
  <si>
    <t>="""GP Direct"",""Fabrikam, Inc."",""UPR30300"",""PAYRATE"",""20366.00000"",""PAYROLCD"",""SALY"",""STATECD"",""IL"",""CHEKDATE"",""5/1/2015"",""UPRTRXAM"",""848.58000"""</t>
  </si>
  <si>
    <t>=NL("Rows","UPR30300",{"PAYRATE","PAYROLCD","STATECD","CHEKDATE","UPRTRXAM"},"+CHEKDATE",$H$4,"EMPLCLAS","@@"&amp;$E247,"EMPLOYID","@@"&amp;$G247,"PAYROLCD",$H$7,"STATECD",$H$8,"CHEKNMBR","@@"&amp;$L247)</t>
  </si>
  <si>
    <t>="""GP Direct"",""Fabrikam, Inc."",""UPR30300"",""PAYRATE"",""0.00000"",""PAYROLCD"",""401K"",""STATECD"","""",""CHEKDATE"",""6/1/2015"",""UPRTRXAM"",""25.46000"""</t>
  </si>
  <si>
    <t>="""GP Direct"",""Fabrikam, Inc."",""UPR30300"",""PAYRATE"",""0.00000"",""PAYROLCD"",""IL"",""STATECD"","""",""CHEKDATE"",""6/1/2015"",""UPRTRXAM"",""23.29000"""</t>
  </si>
  <si>
    <t>="""GP Direct"",""Fabrikam, Inc."",""UPR30300"",""PAYRATE"",""20366.00000"",""PAYROLCD"",""SALY"",""STATECD"",""IL"",""CHEKDATE"",""6/1/2015"",""UPRTRXAM"",""848.58000"""</t>
  </si>
  <si>
    <t>=NL("Rows=7","UPR30300","EMPLOYID","CHEKDATE",$H$4,"EMPLCLAS","@@"&amp;$E260,"EMPLOYID",$H$6,"PAYROLCD",$H$7,"STATECD",$H$8)</t>
  </si>
  <si>
    <t>=NL("Rows=4","UPR30300","CHEKNMBR","CHEKDATE",$H$4,"EMPLCLAS","@@"&amp;$E261,"EMPLOYID","@@"&amp;$G261,"PAYROLCD",$H$7,"STATECD",$H$8)</t>
  </si>
  <si>
    <t>=NL("Rows","UPR30300",{"PAYRATE","PAYROLCD","STATECD","CHEKDATE","UPRTRXAM"},"+CHEKDATE",$H$4,"EMPLCLAS","@@"&amp;$E262,"EMPLOYID","@@"&amp;$G262,"PAYROLCD",$H$7,"STATECD",$H$8,"CHEKNMBR","@@"&amp;$L262)</t>
  </si>
  <si>
    <t>="""GP Direct"",""Fabrikam, Inc."",""UPR30300"",""PAYRATE"",""0.00000"",""PAYROLCD"",""401K"",""STATECD"","""",""CHEKDATE"",""1/1/2015"",""UPRTRXAM"",""40.63000"""</t>
  </si>
  <si>
    <t>="""GP Direct"",""Fabrikam, Inc."",""UPR30300"",""PAYRATE"",""0.00000"",""PAYROLCD"",""IL"",""STATECD"","""",""CHEKDATE"",""1/1/2015"",""UPRTRXAM"",""38.01000"""</t>
  </si>
  <si>
    <t>="""GP Direct"",""Fabrikam, Inc."",""UPR30300"",""PAYRATE"",""32500.00000"",""PAYROLCD"",""SALY"",""STATECD"",""IL"",""CHEKDATE"",""1/1/2015"",""UPRTRXAM"",""1354.17000"""</t>
  </si>
  <si>
    <t>=NL("Rows","UPR30300",{"PAYRATE","PAYROLCD","STATECD","CHEKDATE","UPRTRXAM"},"+CHEKDATE",$H$4,"EMPLCLAS","@@"&amp;$E271,"EMPLOYID","@@"&amp;$G271,"PAYROLCD",$H$7,"STATECD",$H$8,"CHEKNMBR","@@"&amp;$L271)</t>
  </si>
  <si>
    <t>="""GP Direct"",""Fabrikam, Inc."",""UPR30300"",""PAYRATE"",""0.00000"",""PAYROLCD"",""401K"",""STATECD"","""",""CHEKDATE"",""2/1/2015"",""UPRTRXAM"",""40.63000"""</t>
  </si>
  <si>
    <t>="""GP Direct"",""Fabrikam, Inc."",""UPR30300"",""PAYRATE"",""0.00000"",""PAYROLCD"",""IL"",""STATECD"","""",""CHEKDATE"",""2/1/2015"",""UPRTRXAM"",""38.01000"""</t>
  </si>
  <si>
    <t>="""GP Direct"",""Fabrikam, Inc."",""UPR30300"",""PAYRATE"",""32500.00000"",""PAYROLCD"",""SALY"",""STATECD"",""IL"",""CHEKDATE"",""2/1/2015"",""UPRTRXAM"",""1354.17000"""</t>
  </si>
  <si>
    <t>=NL("Rows","UPR30300",{"PAYRATE","PAYROLCD","STATECD","CHEKDATE","UPRTRXAM"},"+CHEKDATE",$H$4,"EMPLCLAS","@@"&amp;$E280,"EMPLOYID","@@"&amp;$G280,"PAYROLCD",$H$7,"STATECD",$H$8,"CHEKNMBR","@@"&amp;$L280)</t>
  </si>
  <si>
    <t>="""GP Direct"",""Fabrikam, Inc."",""UPR30300"",""PAYRATE"",""0.00000"",""PAYROLCD"",""401K"",""STATECD"","""",""CHEKDATE"",""3/1/2015"",""UPRTRXAM"",""36.88000"""</t>
  </si>
  <si>
    <t>="""GP Direct"",""Fabrikam, Inc."",""UPR30300"",""PAYRATE"",""0.00000"",""PAYROLCD"",""IL"",""STATECD"","""",""CHEKDATE"",""3/1/2015"",""UPRTRXAM"",""34.37000"""</t>
  </si>
  <si>
    <t>="""GP Direct"",""Fabrikam, Inc."",""UPR30300"",""PAYRATE"",""15.62504"",""PAYROLCD"",""SALY"",""STATECD"",""IL"",""CHEKDATE"",""3/1/2015"",""UPRTRXAM"",""1229.17000"""</t>
  </si>
  <si>
    <t>=NL("Rows","UPR30300",{"PAYRATE","PAYROLCD","STATECD","CHEKDATE","UPRTRXAM"},"+CHEKDATE",$H$4,"EMPLCLAS","@@"&amp;$E290,"EMPLOYID","@@"&amp;$G290,"PAYROLCD",$H$7,"STATECD",$H$8,"CHEKNMBR","@@"&amp;$L290)</t>
  </si>
  <si>
    <t>="""GP Direct"",""Fabrikam, Inc."",""UPR30300"",""PAYRATE"",""0.00000"",""PAYROLCD"",""401K"",""STATECD"","""",""CHEKDATE"",""4/1/2015"",""UPRTRXAM"",""40.63000"""</t>
  </si>
  <si>
    <t>="""GP Direct"",""Fabrikam, Inc."",""UPR30300"",""PAYRATE"",""0.00000"",""PAYROLCD"",""IL"",""STATECD"","""",""CHEKDATE"",""4/1/2015"",""UPRTRXAM"",""38.01000"""</t>
  </si>
  <si>
    <t>="""GP Direct"",""Fabrikam, Inc."",""UPR30300"",""PAYRATE"",""32500.00000"",""PAYROLCD"",""SALY"",""STATECD"",""IL"",""CHEKDATE"",""4/1/2015"",""UPRTRXAM"",""1354.17000"""</t>
  </si>
  <si>
    <t>=NL("Rows","UPR30300",{"PAYRATE","PAYROLCD","STATECD","CHEKDATE","UPRTRXAM"},"+CHEKDATE",$H$4,"EMPLCLAS","@@"&amp;$E299,"EMPLOYID","@@"&amp;$G299,"PAYROLCD",$H$7,"STATECD",$H$8,"CHEKNMBR","@@"&amp;$L299)</t>
  </si>
  <si>
    <t>="""GP Direct"",""Fabrikam, Inc."",""UPR30300"",""PAYRATE"",""0.00000"",""PAYROLCD"",""401K"",""STATECD"","""",""CHEKDATE"",""5/1/2015"",""UPRTRXAM"",""40.63000"""</t>
  </si>
  <si>
    <t>="""GP Direct"",""Fabrikam, Inc."",""UPR30300"",""PAYRATE"",""0.00000"",""PAYROLCD"",""IL"",""STATECD"","""",""CHEKDATE"",""5/1/2015"",""UPRTRXAM"",""38.01000"""</t>
  </si>
  <si>
    <t>="""GP Direct"",""Fabrikam, Inc."",""UPR30300"",""PAYRATE"",""32500.00000"",""PAYROLCD"",""SALY"",""STATECD"",""IL"",""CHEKDATE"",""5/1/2015"",""UPRTRXAM"",""1354.17000"""</t>
  </si>
  <si>
    <t>=NL("Rows","UPR30300",{"PAYRATE","PAYROLCD","STATECD","CHEKDATE","UPRTRXAM"},"+CHEKDATE",$H$4,"EMPLCLAS","@@"&amp;$E308,"EMPLOYID","@@"&amp;$G308,"PAYROLCD",$H$7,"STATECD",$H$8,"CHEKNMBR","@@"&amp;$L308)</t>
  </si>
  <si>
    <t>="""GP Direct"",""Fabrikam, Inc."",""UPR30300"",""PAYRATE"",""0.00000"",""PAYROLCD"",""401K"",""STATECD"","""",""CHEKDATE"",""6/1/2015"",""UPRTRXAM"",""40.63000"""</t>
  </si>
  <si>
    <t>="""GP Direct"",""Fabrikam, Inc."",""UPR30300"",""PAYRATE"",""0.00000"",""PAYROLCD"",""IL"",""STATECD"","""",""CHEKDATE"",""6/1/2015"",""UPRTRXAM"",""38.01000"""</t>
  </si>
  <si>
    <t>="""GP Direct"",""Fabrikam, Inc."",""UPR30300"",""PAYRATE"",""32500.00000"",""PAYROLCD"",""SALY"",""STATECD"",""IL"",""CHEKDATE"",""6/1/2015"",""UPRTRXAM"",""1354.17000"""</t>
  </si>
  <si>
    <t>=NL("Rows=4","UPR30300","CHEKNMBR","CHEKDATE",$H$4,"EMPLCLAS","@@"&amp;$E319,"EMPLOYID","@@"&amp;$G319,"PAYROLCD",$H$7,"STATECD",$H$8)</t>
  </si>
  <si>
    <t>=NL("Rows","UPR30300",{"PAYRATE","PAYROLCD","STATECD","CHEKDATE","UPRTRXAM"},"+CHEKDATE",$H$4,"EMPLCLAS","@@"&amp;$E320,"EMPLOYID","@@"&amp;$G320,"PAYROLCD",$H$7,"STATECD",$H$8,"CHEKNMBR","@@"&amp;$L320)</t>
  </si>
  <si>
    <t>="""GP Direct"",""Fabrikam, Inc."",""UPR30300"",""PAYRATE"",""0.00000"",""PAYROLCD"",""401K"",""STATECD"","""",""CHEKDATE"",""1/1/2015"",""UPRTRXAM"",""20.54000"""</t>
  </si>
  <si>
    <t>="""GP Direct"",""Fabrikam, Inc."",""UPR30300"",""PAYRATE"",""0.00000"",""PAYROLCD"",""IL"",""STATECD"","""",""CHEKDATE"",""1/1/2015"",""UPRTRXAM"",""18.52000"""</t>
  </si>
  <si>
    <t>="""GP Direct"",""Fabrikam, Inc."",""UPR30300"",""PAYRATE"",""7.90000"",""PAYROLCD"",""HOUR"",""STATECD"",""IL"",""CHEKDATE"",""1/1/2015"",""UPRTRXAM"",""684.69000"""</t>
  </si>
  <si>
    <t>=NL("Rows","UPR30300",{"PAYRATE","PAYROLCD","STATECD","CHEKDATE","UPRTRXAM"},"+CHEKDATE",$H$4,"EMPLCLAS","@@"&amp;$E329,"EMPLOYID","@@"&amp;$G329,"PAYROLCD",$H$7,"STATECD",$H$8,"CHEKNMBR","@@"&amp;$L329)</t>
  </si>
  <si>
    <t>="""GP Direct"",""Fabrikam, Inc."",""UPR30300"",""PAYRATE"",""0.00000"",""PAYROLCD"",""401K"",""STATECD"","""",""CHEKDATE"",""2/1/2015"",""UPRTRXAM"",""20.54000"""</t>
  </si>
  <si>
    <t>="""GP Direct"",""Fabrikam, Inc."",""UPR30300"",""PAYRATE"",""0.00000"",""PAYROLCD"",""IL"",""STATECD"","""",""CHEKDATE"",""2/1/2015"",""UPRTRXAM"",""18.52000"""</t>
  </si>
  <si>
    <t>="""GP Direct"",""Fabrikam, Inc."",""UPR30300"",""PAYRATE"",""7.90000"",""PAYROLCD"",""HOUR"",""STATECD"",""IL"",""CHEKDATE"",""2/1/2015"",""UPRTRXAM"",""684.69000"""</t>
  </si>
  <si>
    <t>=NL("Rows","UPR30300",{"PAYRATE","PAYROLCD","STATECD","CHEKDATE","UPRTRXAM"},"+CHEKDATE",$H$4,"EMPLCLAS","@@"&amp;$E338,"EMPLOYID","@@"&amp;$G338,"PAYROLCD",$H$7,"STATECD",$H$8,"CHEKNMBR","@@"&amp;$L338)</t>
  </si>
  <si>
    <t>="""GP Direct"",""Fabrikam, Inc."",""UPR30300"",""PAYRATE"",""0.00000"",""PAYROLCD"",""401K"",""STATECD"","""",""CHEKDATE"",""3/1/2015"",""UPRTRXAM"",""20.54000"""</t>
  </si>
  <si>
    <t>="""GP Direct"",""Fabrikam, Inc."",""UPR30300"",""PAYRATE"",""0.00000"",""PAYROLCD"",""IL"",""STATECD"","""",""CHEKDATE"",""3/1/2015"",""UPRTRXAM"",""18.52000"""</t>
  </si>
  <si>
    <t>="""GP Direct"",""Fabrikam, Inc."",""UPR30300"",""PAYRATE"",""7.90000"",""PAYROLCD"",""HOUR"",""STATECD"",""IL"",""CHEKDATE"",""3/1/2015"",""UPRTRXAM"",""684.69000"""</t>
  </si>
  <si>
    <t>=NL("Rows","UPR30300",{"PAYRATE","PAYROLCD","STATECD","CHEKDATE","UPRTRXAM"},"+CHEKDATE",$H$4,"EMPLCLAS","@@"&amp;$E347,"EMPLOYID","@@"&amp;$G347,"PAYROLCD",$H$7,"STATECD",$H$8,"CHEKNMBR","@@"&amp;$L347)</t>
  </si>
  <si>
    <t>="""GP Direct"",""Fabrikam, Inc."",""UPR30300"",""PAYRATE"",""0.00000"",""PAYROLCD"",""401K"",""STATECD"","""",""CHEKDATE"",""4/1/2015"",""UPRTRXAM"",""20.54000"""</t>
  </si>
  <si>
    <t>="""GP Direct"",""Fabrikam, Inc."",""UPR30300"",""PAYRATE"",""0.00000"",""PAYROLCD"",""IL"",""STATECD"","""",""CHEKDATE"",""4/1/2015"",""UPRTRXAM"",""18.52000"""</t>
  </si>
  <si>
    <t>="""GP Direct"",""Fabrikam, Inc."",""UPR30300"",""PAYRATE"",""7.90000"",""PAYROLCD"",""HOUR"",""STATECD"",""IL"",""CHEKDATE"",""4/1/2015"",""UPRTRXAM"",""684.69000"""</t>
  </si>
  <si>
    <t>=NL("Rows","UPR30300",{"PAYRATE","PAYROLCD","STATECD","CHEKDATE","UPRTRXAM"},"+CHEKDATE",$H$4,"EMPLCLAS","@@"&amp;$E356,"EMPLOYID","@@"&amp;$G356,"PAYROLCD",$H$7,"STATECD",$H$8,"CHEKNMBR","@@"&amp;$L356)</t>
  </si>
  <si>
    <t>="""GP Direct"",""Fabrikam, Inc."",""UPR30300"",""PAYRATE"",""0.00000"",""PAYROLCD"",""401K"",""STATECD"","""",""CHEKDATE"",""5/1/2015"",""UPRTRXAM"",""20.54000"""</t>
  </si>
  <si>
    <t>="""GP Direct"",""Fabrikam, Inc."",""UPR30300"",""PAYRATE"",""0.00000"",""PAYROLCD"",""IL"",""STATECD"","""",""CHEKDATE"",""5/1/2015"",""UPRTRXAM"",""18.52000"""</t>
  </si>
  <si>
    <t>="""GP Direct"",""Fabrikam, Inc."",""UPR30300"",""PAYRATE"",""7.90000"",""PAYROLCD"",""HOUR"",""STATECD"",""IL"",""CHEKDATE"",""5/1/2015"",""UPRTRXAM"",""684.69000"""</t>
  </si>
  <si>
    <t>=NL("Rows","UPR30300",{"PAYRATE","PAYROLCD","STATECD","CHEKDATE","UPRTRXAM"},"+CHEKDATE",$H$4,"EMPLCLAS","@@"&amp;$E365,"EMPLOYID","@@"&amp;$G365,"PAYROLCD",$H$7,"STATECD",$H$8,"CHEKNMBR","@@"&amp;$L365)</t>
  </si>
  <si>
    <t>="""GP Direct"",""Fabrikam, Inc."",""UPR30300"",""PAYRATE"",""0.00000"",""PAYROLCD"",""401K"",""STATECD"","""",""CHEKDATE"",""6/1/2015"",""UPRTRXAM"",""20.54000"""</t>
  </si>
  <si>
    <t>="""GP Direct"",""Fabrikam, Inc."",""UPR30300"",""PAYRATE"",""0.00000"",""PAYROLCD"",""IL"",""STATECD"","""",""CHEKDATE"",""6/1/2015"",""UPRTRXAM"",""18.52000"""</t>
  </si>
  <si>
    <t>="""GP Direct"",""Fabrikam, Inc."",""UPR30300"",""PAYRATE"",""7.90000"",""PAYROLCD"",""HOUR"",""STATECD"",""IL"",""CHEKDATE"",""6/1/2015"",""UPRTRXAM"",""684.69000"""</t>
  </si>
  <si>
    <t>=NL("Rows","UPR30300",{"PAYRATE","PAYROLCD","STATECD","CHEKDATE","UPRTRXAM"},"+CHEKDATE",$H$4,"EMPLCLAS","@@"&amp;$E374,"EMPLOYID","@@"&amp;$G374,"PAYROLCD",$H$7,"STATECD",$H$8,"CHEKNMBR","@@"&amp;$L374)</t>
  </si>
  <si>
    <t>="""GP Direct"",""Fabrikam, Inc."",""UPR30300"",""PAYRATE"",""700.00000"",""PAYROLCD"",""BONS"",""STATECD"",""IL"",""CHEKDATE"",""1/1/2015"",""UPRTRXAM"",""700.00000"""</t>
  </si>
  <si>
    <t>=NF($O375,"PAYRATE")</t>
  </si>
  <si>
    <t>=NF($O375,"PAYROLCD")</t>
  </si>
  <si>
    <t>=NF($O375,"STATECD")</t>
  </si>
  <si>
    <t>=NF($O375,"CHEKDATE")</t>
  </si>
  <si>
    <t>=NF($O375,"UPRTRXAM")</t>
  </si>
  <si>
    <t>=NL("Rows","UPR30300",{"PAYRATE","PAYROLCD","STATECD","CHEKDATE","UPRTRXAM"},"+CHEKDATE",$H$4,"EMPLCLAS","@@"&amp;$E379,"EMPLOYID","@@"&amp;$G379,"PAYROLCD",$H$7,"STATECD",$H$8,"CHEKNMBR","@@"&amp;$L379)</t>
  </si>
  <si>
    <t>="""GP Direct"",""Fabrikam, Inc."",""UPR30300"",""PAYRATE"",""400.00000"",""PAYROLCD"",""BONS"",""STATECD"",""IL"",""CHEKDATE"",""6/1/2015"",""UPRTRXAM"",""400.00000"""</t>
  </si>
  <si>
    <t>=NF($O380,"PAYRATE")</t>
  </si>
  <si>
    <t>=NF($O380,"PAYROLCD")</t>
  </si>
  <si>
    <t>=NF($O380,"STATECD")</t>
  </si>
  <si>
    <t>=NF($O380,"CHEKDATE")</t>
  </si>
  <si>
    <t>=NF($O380,"UPRTRXAM")</t>
  </si>
  <si>
    <t>=NL("Rows=4","UPR30300","CHEKNMBR","CHEKDATE",$H$4,"EMPLCLAS","@@"&amp;$E386,"EMPLOYID","@@"&amp;$G386,"PAYROLCD",$H$7,"STATECD",$H$8)</t>
  </si>
  <si>
    <t>=NL("Rows","UPR30300",{"PAYRATE","PAYROLCD","STATECD","CHEKDATE","UPRTRXAM"},"+CHEKDATE",$H$4,"EMPLCLAS","@@"&amp;$E387,"EMPLOYID","@@"&amp;$G387,"PAYROLCD",$H$7,"STATECD",$H$8,"CHEKNMBR","@@"&amp;$L387)</t>
  </si>
  <si>
    <t>="""GP Direct"",""Fabrikam, Inc."",""UPR30300"",""PAYRATE"",""0.00000"",""PAYROLCD"",""401K"",""STATECD"","""",""CHEKDATE"",""1/1/2015"",""UPRTRXAM"",""32.57000"""</t>
  </si>
  <si>
    <t>="""GP Direct"",""Fabrikam, Inc."",""UPR30300"",""PAYRATE"",""0.00000"",""PAYROLCD"",""IL"",""STATECD"","""",""CHEKDATE"",""1/1/2015"",""UPRTRXAM"",""30.19000"""</t>
  </si>
  <si>
    <t>="""GP Direct"",""Fabrikam, Inc."",""UPR30300"",""PAYRATE"",""26057.00000"",""PAYROLCD"",""SALY"",""STATECD"",""IL"",""CHEKDATE"",""1/1/2015"",""UPRTRXAM"",""1085.71000"""</t>
  </si>
  <si>
    <t>=NL("Rows","UPR30300",{"PAYRATE","PAYROLCD","STATECD","CHEKDATE","UPRTRXAM"},"+CHEKDATE",$H$4,"EMPLCLAS","@@"&amp;$E396,"EMPLOYID","@@"&amp;$G396,"PAYROLCD",$H$7,"STATECD",$H$8,"CHEKNMBR","@@"&amp;$L396)</t>
  </si>
  <si>
    <t>="""GP Direct"",""Fabrikam, Inc."",""UPR30300"",""PAYRATE"",""0.00000"",""PAYROLCD"",""401K"",""STATECD"","""",""CHEKDATE"",""2/1/2015"",""UPRTRXAM"",""26.56000"""</t>
  </si>
  <si>
    <t>="""GP Direct"",""Fabrikam, Inc."",""UPR30300"",""PAYRATE"",""0.00000"",""PAYROLCD"",""IL"",""STATECD"","""",""CHEKDATE"",""2/1/2015"",""UPRTRXAM"",""24.36000"""</t>
  </si>
  <si>
    <t>="""GP Direct"",""Fabrikam, Inc."",""UPR30300"",""PAYRATE"",""12.52742"",""PAYROLCD"",""SALY"",""STATECD"",""IL"",""CHEKDATE"",""2/1/2015"",""UPRTRXAM"",""885.27000"""</t>
  </si>
  <si>
    <t>=NL("Rows","UPR30300",{"PAYRATE","PAYROLCD","STATECD","CHEKDATE","UPRTRXAM"},"+CHEKDATE",$H$4,"EMPLCLAS","@@"&amp;$E406,"EMPLOYID","@@"&amp;$G406,"PAYROLCD",$H$7,"STATECD",$H$8,"CHEKNMBR","@@"&amp;$L406)</t>
  </si>
  <si>
    <t>="""GP Direct"",""Fabrikam, Inc."",""UPR30300"",""PAYRATE"",""0.00000"",""PAYROLCD"",""401K"",""STATECD"","""",""CHEKDATE"",""3/1/2015"",""UPRTRXAM"",""32.57000"""</t>
  </si>
  <si>
    <t>="""GP Direct"",""Fabrikam, Inc."",""UPR30300"",""PAYRATE"",""0.00000"",""PAYROLCD"",""IL"",""STATECD"","""",""CHEKDATE"",""3/1/2015"",""UPRTRXAM"",""30.19000"""</t>
  </si>
  <si>
    <t>="""GP Direct"",""Fabrikam, Inc."",""UPR30300"",""PAYRATE"",""26057.00000"",""PAYROLCD"",""SALY"",""STATECD"",""IL"",""CHEKDATE"",""3/1/2015"",""UPRTRXAM"",""1085.71000"""</t>
  </si>
  <si>
    <t>=NL("Rows","UPR30300",{"PAYRATE","PAYROLCD","STATECD","CHEKDATE","UPRTRXAM"},"+CHEKDATE",$H$4,"EMPLCLAS","@@"&amp;$E415,"EMPLOYID","@@"&amp;$G415,"PAYROLCD",$H$7,"STATECD",$H$8,"CHEKNMBR","@@"&amp;$L415)</t>
  </si>
  <si>
    <t>="""GP Direct"",""Fabrikam, Inc."",""UPR30300"",""PAYRATE"",""0.00000"",""PAYROLCD"",""401K"",""STATECD"","""",""CHEKDATE"",""4/1/2015"",""UPRTRXAM"",""32.57000"""</t>
  </si>
  <si>
    <t>="""GP Direct"",""Fabrikam, Inc."",""UPR30300"",""PAYRATE"",""0.00000"",""PAYROLCD"",""IL"",""STATECD"","""",""CHEKDATE"",""4/1/2015"",""UPRTRXAM"",""30.19000"""</t>
  </si>
  <si>
    <t>="""GP Direct"",""Fabrikam, Inc."",""UPR30300"",""PAYRATE"",""26057.00000"",""PAYROLCD"",""SALY"",""STATECD"",""IL"",""CHEKDATE"",""4/1/2015"",""UPRTRXAM"",""1085.71000"""</t>
  </si>
  <si>
    <t>=NL("Rows","UPR30300",{"PAYRATE","PAYROLCD","STATECD","CHEKDATE","UPRTRXAM"},"+CHEKDATE",$H$4,"EMPLCLAS","@@"&amp;$E424,"EMPLOYID","@@"&amp;$G424,"PAYROLCD",$H$7,"STATECD",$H$8,"CHEKNMBR","@@"&amp;$L424)</t>
  </si>
  <si>
    <t>="""GP Direct"",""Fabrikam, Inc."",""UPR30300"",""PAYRATE"",""0.00000"",""PAYROLCD"",""401K"",""STATECD"","""",""CHEKDATE"",""5/1/2015"",""UPRTRXAM"",""32.57000"""</t>
  </si>
  <si>
    <t>="""GP Direct"",""Fabrikam, Inc."",""UPR30300"",""PAYRATE"",""0.00000"",""PAYROLCD"",""IL"",""STATECD"","""",""CHEKDATE"",""5/1/2015"",""UPRTRXAM"",""30.19000"""</t>
  </si>
  <si>
    <t>="""GP Direct"",""Fabrikam, Inc."",""UPR30300"",""PAYRATE"",""26057.00000"",""PAYROLCD"",""SALY"",""STATECD"",""IL"",""CHEKDATE"",""5/1/2015"",""UPRTRXAM"",""1085.71000"""</t>
  </si>
  <si>
    <t>=NL("Rows","UPR30300",{"PAYRATE","PAYROLCD","STATECD","CHEKDATE","UPRTRXAM"},"+CHEKDATE",$H$4,"EMPLCLAS","@@"&amp;$E433,"EMPLOYID","@@"&amp;$G433,"PAYROLCD",$H$7,"STATECD",$H$8,"CHEKNMBR","@@"&amp;$L433)</t>
  </si>
  <si>
    <t>="""GP Direct"",""Fabrikam, Inc."",""UPR30300"",""PAYRATE"",""0.00000"",""PAYROLCD"",""401K"",""STATECD"","""",""CHEKDATE"",""6/1/2015"",""UPRTRXAM"",""32.57000"""</t>
  </si>
  <si>
    <t>="""GP Direct"",""Fabrikam, Inc."",""UPR30300"",""PAYRATE"",""0.00000"",""PAYROLCD"",""IL"",""STATECD"","""",""CHEKDATE"",""6/1/2015"",""UPRTRXAM"",""30.19000"""</t>
  </si>
  <si>
    <t>="""GP Direct"",""Fabrikam, Inc."",""UPR30300"",""PAYRATE"",""26057.00000"",""PAYROLCD"",""SALY"",""STATECD"",""IL"",""CHEKDATE"",""6/1/2015"",""UPRTRXAM"",""1085.71000"""</t>
  </si>
  <si>
    <t>=NL("Rows=4","UPR30300","CHEKNMBR","CHEKDATE",$H$4,"EMPLCLAS","@@"&amp;$E444,"EMPLOYID","@@"&amp;$G444,"PAYROLCD",$H$7,"STATECD",$H$8)</t>
  </si>
  <si>
    <t>=NL("Rows","UPR30300",{"PAYRATE","PAYROLCD","STATECD","CHEKDATE","UPRTRXAM"},"+CHEKDATE",$H$4,"EMPLCLAS","@@"&amp;$E445,"EMPLOYID","@@"&amp;$G445,"PAYROLCD",$H$7,"STATECD",$H$8,"CHEKNMBR","@@"&amp;$L445)</t>
  </si>
  <si>
    <t>="""GP Direct"",""Fabrikam, Inc."",""UPR30300"",""PAYRATE"",""0.00000"",""PAYROLCD"",""401K"",""STATECD"","""",""CHEKDATE"",""1/1/2015"",""UPRTRXAM"",""92.01000"""</t>
  </si>
  <si>
    <t>="""GP Direct"",""Fabrikam, Inc."",""UPR30300"",""PAYRATE"",""0.00000"",""PAYROLCD"",""HOLI"",""STATECD"",""IL"",""CHEKDATE"",""1/1/2015"",""UPRTRXAM"",""0.00000"""</t>
  </si>
  <si>
    <t>="""GP Direct"",""Fabrikam, Inc."",""UPR30300"",""PAYRATE"",""0.00000"",""PAYROLCD"",""IL"",""STATECD"","""",""CHEKDATE"",""1/1/2015"",""UPRTRXAM"",""42.15000"""</t>
  </si>
  <si>
    <t>="""GP Direct"",""Fabrikam, Inc."",""UPR30300"",""PAYRATE"",""23.39135"",""PAYROLCD"",""SALY"",""STATECD"",""IL"",""CHEKDATE"",""1/1/2015"",""UPRTRXAM"",""1840.12000"""</t>
  </si>
  <si>
    <t>=NL("Rows","UPR30300",{"PAYRATE","PAYROLCD","STATECD","CHEKDATE","UPRTRXAM"},"+CHEKDATE",$H$4,"EMPLCLAS","@@"&amp;$E456,"EMPLOYID","@@"&amp;$G456,"PAYROLCD",$H$7,"STATECD",$H$8,"CHEKNMBR","@@"&amp;$L456)</t>
  </si>
  <si>
    <t>="""GP Direct"",""Fabrikam, Inc."",""UPR30300"",""PAYRATE"",""0.00000"",""PAYROLCD"",""401K"",""STATECD"","""",""CHEKDATE"",""2/1/2015"",""UPRTRXAM"",""101.36000"""</t>
  </si>
  <si>
    <t>="""GP Direct"",""Fabrikam, Inc."",""UPR30300"",""PAYRATE"",""0.00000"",""PAYROLCD"",""IL"",""STATECD"","""",""CHEKDATE"",""2/1/2015"",""UPRTRXAM"",""47.49000"""</t>
  </si>
  <si>
    <t>="""GP Direct"",""Fabrikam, Inc."",""UPR30300"",""PAYRATE"",""48654.00000"",""PAYROLCD"",""SALY"",""STATECD"",""IL"",""CHEKDATE"",""2/1/2015"",""UPRTRXAM"",""2027.25000"""</t>
  </si>
  <si>
    <t>=NL("Rows","UPR30300",{"PAYRATE","PAYROLCD","STATECD","CHEKDATE","UPRTRXAM"},"+CHEKDATE",$H$4,"EMPLCLAS","@@"&amp;$E466,"EMPLOYID","@@"&amp;$G466,"PAYROLCD",$H$7,"STATECD",$H$8,"CHEKNMBR","@@"&amp;$L466)</t>
  </si>
  <si>
    <t>="""GP Direct"",""Fabrikam, Inc."",""UPR30300"",""PAYRATE"",""0.00000"",""PAYROLCD"",""401K"",""STATECD"","""",""CHEKDATE"",""3/1/2015"",""UPRTRXAM"",""101.36000"""</t>
  </si>
  <si>
    <t>="""GP Direct"",""Fabrikam, Inc."",""UPR30300"",""PAYRATE"",""0.00000"",""PAYROLCD"",""IL"",""STATECD"","""",""CHEKDATE"",""3/1/2015"",""UPRTRXAM"",""47.49000"""</t>
  </si>
  <si>
    <t>="""GP Direct"",""Fabrikam, Inc."",""UPR30300"",""PAYRATE"",""48654.00000"",""PAYROLCD"",""SALY"",""STATECD"",""IL"",""CHEKDATE"",""3/1/2015"",""UPRTRXAM"",""2027.25000"""</t>
  </si>
  <si>
    <t>=NL("Rows","UPR30300",{"PAYRATE","PAYROLCD","STATECD","CHEKDATE","UPRTRXAM"},"+CHEKDATE",$H$4,"EMPLCLAS","@@"&amp;$E476,"EMPLOYID","@@"&amp;$G476,"PAYROLCD",$H$7,"STATECD",$H$8,"CHEKNMBR","@@"&amp;$L476)</t>
  </si>
  <si>
    <t>="""GP Direct"",""Fabrikam, Inc."",""UPR30300"",""PAYRATE"",""0.00000"",""PAYROLCD"",""401K"",""STATECD"","""",""CHEKDATE"",""4/1/2015"",""UPRTRXAM"",""101.36000"""</t>
  </si>
  <si>
    <t>="""GP Direct"",""Fabrikam, Inc."",""UPR30300"",""PAYRATE"",""0.00000"",""PAYROLCD"",""IL"",""STATECD"","""",""CHEKDATE"",""4/1/2015"",""UPRTRXAM"",""47.49000"""</t>
  </si>
  <si>
    <t>="""GP Direct"",""Fabrikam, Inc."",""UPR30300"",""PAYRATE"",""48654.00000"",""PAYROLCD"",""SALY"",""STATECD"",""IL"",""CHEKDATE"",""4/1/2015"",""UPRTRXAM"",""2027.25000"""</t>
  </si>
  <si>
    <t>=NL("Rows","UPR30300",{"PAYRATE","PAYROLCD","STATECD","CHEKDATE","UPRTRXAM"},"+CHEKDATE",$H$4,"EMPLCLAS","@@"&amp;$E486,"EMPLOYID","@@"&amp;$G486,"PAYROLCD",$H$7,"STATECD",$H$8,"CHEKNMBR","@@"&amp;$L486)</t>
  </si>
  <si>
    <t>="""GP Direct"",""Fabrikam, Inc."",""UPR30300"",""PAYRATE"",""0.00000"",""PAYROLCD"",""401K"",""STATECD"","""",""CHEKDATE"",""5/1/2015"",""UPRTRXAM"",""92.01000"""</t>
  </si>
  <si>
    <t>="""GP Direct"",""Fabrikam, Inc."",""UPR30300"",""PAYRATE"",""0.00000"",""PAYROLCD"",""IL"",""STATECD"","""",""CHEKDATE"",""5/1/2015"",""UPRTRXAM"",""42.15000"""</t>
  </si>
  <si>
    <t>="""GP Direct"",""Fabrikam, Inc."",""UPR30300"",""PAYRATE"",""23.39135"",""PAYROLCD"",""SALY"",""STATECD"",""IL"",""CHEKDATE"",""5/1/2015"",""UPRTRXAM"",""1840.12000"""</t>
  </si>
  <si>
    <t>=NL("Rows","UPR30300",{"PAYRATE","PAYROLCD","STATECD","CHEKDATE","UPRTRXAM"},"+CHEKDATE",$H$4,"EMPLCLAS","@@"&amp;$E497,"EMPLOYID","@@"&amp;$G497,"PAYROLCD",$H$7,"STATECD",$H$8,"CHEKNMBR","@@"&amp;$L497)</t>
  </si>
  <si>
    <t>="""GP Direct"",""Fabrikam, Inc."",""UPR30300"",""PAYRATE"",""0.00000"",""PAYROLCD"",""401K"",""STATECD"","""",""CHEKDATE"",""6/1/2015"",""UPRTRXAM"",""101.36000"""</t>
  </si>
  <si>
    <t>="""GP Direct"",""Fabrikam, Inc."",""UPR30300"",""PAYRATE"",""0.00000"",""PAYROLCD"",""IL"",""STATECD"","""",""CHEKDATE"",""6/1/2015"",""UPRTRXAM"",""47.49000"""</t>
  </si>
  <si>
    <t>="""GP Direct"",""Fabrikam, Inc."",""UPR30300"",""PAYRATE"",""48654.00000"",""PAYROLCD"",""SALY"",""STATECD"",""IL"",""CHEKDATE"",""6/1/2015"",""UPRTRXAM"",""2027.25000"""</t>
  </si>
  <si>
    <t>=NL("Rows=7","UPR30300","EMPLOYID","CHEKDATE",$H$4,"EMPLCLAS","@@"&amp;$E511,"EMPLOYID",$H$6,"PAYROLCD",$H$7,"STATECD",$H$8)</t>
  </si>
  <si>
    <t>=NL("Rows=4","UPR30300","CHEKNMBR","CHEKDATE",$H$4,"EMPLCLAS","@@"&amp;$E512,"EMPLOYID","@@"&amp;$G512,"PAYROLCD",$H$7,"STATECD",$H$8)</t>
  </si>
  <si>
    <t>=NL("Rows","UPR30300",{"PAYRATE","PAYROLCD","STATECD","CHEKDATE","UPRTRXAM"},"+CHEKDATE",$H$4,"EMPLCLAS","@@"&amp;$E513,"EMPLOYID","@@"&amp;$G513,"PAYROLCD",$H$7,"STATECD",$H$8,"CHEKNMBR","@@"&amp;$L513)</t>
  </si>
  <si>
    <t>="""GP Direct"",""Fabrikam, Inc."",""UPR30300"",""PAYRATE"",""0.00000"",""PAYROLCD"",""401K"",""STATECD"","""",""CHEKDATE"",""1/1/2015"",""UPRTRXAM"",""39.26000"""</t>
  </si>
  <si>
    <t>="""GP Direct"",""Fabrikam, Inc."",""UPR30300"",""PAYRATE"",""0.00000"",""PAYROLCD"",""IN"",""STATECD"","""",""CHEKDATE"",""1/1/2015"",""UPRTRXAM"",""40.16000"""</t>
  </si>
  <si>
    <t>="""GP Direct"",""Fabrikam, Inc."",""UPR30300"",""PAYRATE"",""15.10000"",""PAYROLCD"",""HOUR"",""STATECD"",""IN"",""CHEKDATE"",""1/1/2015"",""UPRTRXAM"",""1308.72000"""</t>
  </si>
  <si>
    <t>=NL("Rows","UPR30300",{"PAYRATE","PAYROLCD","STATECD","CHEKDATE","UPRTRXAM"},"+CHEKDATE",$H$4,"EMPLCLAS","@@"&amp;$E522,"EMPLOYID","@@"&amp;$G522,"PAYROLCD",$H$7,"STATECD",$H$8,"CHEKNMBR","@@"&amp;$L522)</t>
  </si>
  <si>
    <t>="""GP Direct"",""Fabrikam, Inc."",""UPR30300"",""PAYRATE"",""0.00000"",""PAYROLCD"",""401K"",""STATECD"","""",""CHEKDATE"",""2/1/2015"",""UPRTRXAM"",""39.26000"""</t>
  </si>
  <si>
    <t>="""GP Direct"",""Fabrikam, Inc."",""UPR30300"",""PAYRATE"",""0.00000"",""PAYROLCD"",""IN"",""STATECD"","""",""CHEKDATE"",""2/1/2015"",""UPRTRXAM"",""40.16000"""</t>
  </si>
  <si>
    <t>="""GP Direct"",""Fabrikam, Inc."",""UPR30300"",""PAYRATE"",""15.10000"",""PAYROLCD"",""HOUR"",""STATECD"",""IN"",""CHEKDATE"",""2/1/2015"",""UPRTRXAM"",""1308.72000"""</t>
  </si>
  <si>
    <t>=NL("Rows","UPR30300",{"PAYRATE","PAYROLCD","STATECD","CHEKDATE","UPRTRXAM"},"+CHEKDATE",$H$4,"EMPLCLAS","@@"&amp;$E531,"EMPLOYID","@@"&amp;$G531,"PAYROLCD",$H$7,"STATECD",$H$8,"CHEKNMBR","@@"&amp;$L531)</t>
  </si>
  <si>
    <t>="""GP Direct"",""Fabrikam, Inc."",""UPR30300"",""PAYRATE"",""0.00000"",""PAYROLCD"",""401K"",""STATECD"","""",""CHEKDATE"",""3/1/2015"",""UPRTRXAM"",""39.26000"""</t>
  </si>
  <si>
    <t>="""GP Direct"",""Fabrikam, Inc."",""UPR30300"",""PAYRATE"",""0.00000"",""PAYROLCD"",""IN"",""STATECD"","""",""CHEKDATE"",""3/1/2015"",""UPRTRXAM"",""40.16000"""</t>
  </si>
  <si>
    <t>="""GP Direct"",""Fabrikam, Inc."",""UPR30300"",""PAYRATE"",""15.10000"",""PAYROLCD"",""HOUR"",""STATECD"",""IN"",""CHEKDATE"",""3/1/2015"",""UPRTRXAM"",""1308.72000"""</t>
  </si>
  <si>
    <t>=NL("Rows","UPR30300",{"PAYRATE","PAYROLCD","STATECD","CHEKDATE","UPRTRXAM"},"+CHEKDATE",$H$4,"EMPLCLAS","@@"&amp;$E540,"EMPLOYID","@@"&amp;$G540,"PAYROLCD",$H$7,"STATECD",$H$8,"CHEKNMBR","@@"&amp;$L540)</t>
  </si>
  <si>
    <t>="""GP Direct"",""Fabrikam, Inc."",""UPR30300"",""PAYRATE"",""0.00000"",""PAYROLCD"",""401K"",""STATECD"","""",""CHEKDATE"",""4/1/2015"",""UPRTRXAM"",""39.26000"""</t>
  </si>
  <si>
    <t>="""GP Direct"",""Fabrikam, Inc."",""UPR30300"",""PAYRATE"",""0.00000"",""PAYROLCD"",""IN"",""STATECD"","""",""CHEKDATE"",""4/1/2015"",""UPRTRXAM"",""40.16000"""</t>
  </si>
  <si>
    <t>="""GP Direct"",""Fabrikam, Inc."",""UPR30300"",""PAYRATE"",""15.10000"",""PAYROLCD"",""HOUR"",""STATECD"",""IN"",""CHEKDATE"",""4/1/2015"",""UPRTRXAM"",""1308.72000"""</t>
  </si>
  <si>
    <t>=NL("Rows","UPR30300",{"PAYRATE","PAYROLCD","STATECD","CHEKDATE","UPRTRXAM"},"+CHEKDATE",$H$4,"EMPLCLAS","@@"&amp;$E549,"EMPLOYID","@@"&amp;$G549,"PAYROLCD",$H$7,"STATECD",$H$8,"CHEKNMBR","@@"&amp;$L549)</t>
  </si>
  <si>
    <t>="""GP Direct"",""Fabrikam, Inc."",""UPR30300"",""PAYRATE"",""0.00000"",""PAYROLCD"",""401K"",""STATECD"","""",""CHEKDATE"",""5/1/2015"",""UPRTRXAM"",""39.26000"""</t>
  </si>
  <si>
    <t>="""GP Direct"",""Fabrikam, Inc."",""UPR30300"",""PAYRATE"",""0.00000"",""PAYROLCD"",""IN"",""STATECD"","""",""CHEKDATE"",""5/1/2015"",""UPRTRXAM"",""40.16000"""</t>
  </si>
  <si>
    <t>="""GP Direct"",""Fabrikam, Inc."",""UPR30300"",""PAYRATE"",""15.10000"",""PAYROLCD"",""HOLI"",""STATECD"",""IN"",""CHEKDATE"",""5/1/2015"",""UPRTRXAM"",""241.60000"""</t>
  </si>
  <si>
    <t>="""GP Direct"",""Fabrikam, Inc."",""UPR30300"",""PAYRATE"",""15.10000"",""PAYROLCD"",""HOUR"",""STATECD"",""IN"",""CHEKDATE"",""5/1/2015"",""UPRTRXAM"",""1067.12000"""</t>
  </si>
  <si>
    <t>=NL("Rows","UPR30300",{"PAYRATE","PAYROLCD","STATECD","CHEKDATE","UPRTRXAM"},"+CHEKDATE",$H$4,"EMPLCLAS","@@"&amp;$E559,"EMPLOYID","@@"&amp;$G559,"PAYROLCD",$H$7,"STATECD",$H$8,"CHEKNMBR","@@"&amp;$L559)</t>
  </si>
  <si>
    <t>="""GP Direct"",""Fabrikam, Inc."",""UPR30300"",""PAYRATE"",""0.00000"",""PAYROLCD"",""401K"",""STATECD"","""",""CHEKDATE"",""6/1/2015"",""UPRTRXAM"",""39.26000"""</t>
  </si>
  <si>
    <t>="""GP Direct"",""Fabrikam, Inc."",""UPR30300"",""PAYRATE"",""0.00000"",""PAYROLCD"",""IN"",""STATECD"","""",""CHEKDATE"",""6/1/2015"",""UPRTRXAM"",""40.16000"""</t>
  </si>
  <si>
    <t>="""GP Direct"",""Fabrikam, Inc."",""UPR30300"",""PAYRATE"",""15.10000"",""PAYROLCD"",""HOUR"",""STATECD"",""IN"",""CHEKDATE"",""6/1/2015"",""UPRTRXAM"",""1308.72000"""</t>
  </si>
  <si>
    <t>=NL("Rows","UPR30300",{"PAYRATE","PAYROLCD","STATECD","CHEKDATE","UPRTRXAM"},"+CHEKDATE",$H$4,"EMPLCLAS","@@"&amp;$E568,"EMPLOYID","@@"&amp;$G568,"PAYROLCD",$H$7,"STATECD",$H$8,"CHEKNMBR","@@"&amp;$L568)</t>
  </si>
  <si>
    <t>="""GP Direct"",""Fabrikam, Inc."",""UPR30300"",""PAYRATE"",""900.00000"",""PAYROLCD"",""BONS"",""STATECD"",""IN"",""CHEKDATE"",""1/1/2015"",""UPRTRXAM"",""900.00000"""</t>
  </si>
  <si>
    <t>=NF($O569,"PAYRATE")</t>
  </si>
  <si>
    <t>=NF($O569,"PAYROLCD")</t>
  </si>
  <si>
    <t>=NF($O569,"STATECD")</t>
  </si>
  <si>
    <t>=NF($O569,"CHEKDATE")</t>
  </si>
  <si>
    <t>=NF($O569,"UPRTRXAM")</t>
  </si>
  <si>
    <t>=NL("Rows","UPR30300",{"PAYRATE","PAYROLCD","STATECD","CHEKDATE","UPRTRXAM"},"+CHEKDATE",$H$4,"EMPLCLAS","@@"&amp;$E573,"EMPLOYID","@@"&amp;$G573,"PAYROLCD",$H$7,"STATECD",$H$8,"CHEKNMBR","@@"&amp;$L573)</t>
  </si>
  <si>
    <t>="""GP Direct"",""Fabrikam, Inc."",""UPR30300"",""PAYRATE"",""300.00000"",""PAYROLCD"",""BONS"",""STATECD"",""IN"",""CHEKDATE"",""6/1/2015"",""UPRTRXAM"",""300.00000"""</t>
  </si>
  <si>
    <t>=NF($O574,"PAYRATE")</t>
  </si>
  <si>
    <t>=NF($O574,"PAYROLCD")</t>
  </si>
  <si>
    <t>=NF($O574,"STATECD")</t>
  </si>
  <si>
    <t>=NF($O574,"CHEKDATE")</t>
  </si>
  <si>
    <t>=NF($O574,"UPRTRXAM")</t>
  </si>
  <si>
    <t>=NL("Rows=4","UPR30300","CHEKNMBR","CHEKDATE",$H$4,"EMPLCLAS","@@"&amp;$E580,"EMPLOYID","@@"&amp;$G580,"PAYROLCD",$H$7,"STATECD",$H$8)</t>
  </si>
  <si>
    <t>=NL("Rows","UPR30300",{"PAYRATE","PAYROLCD","STATECD","CHEKDATE","UPRTRXAM"},"+CHEKDATE",$H$4,"EMPLCLAS","@@"&amp;$E581,"EMPLOYID","@@"&amp;$G581,"PAYROLCD",$H$7,"STATECD",$H$8,"CHEKNMBR","@@"&amp;$L581)</t>
  </si>
  <si>
    <t>="""GP Direct"",""Fabrikam, Inc."",""UPR30300"",""PAYRATE"",""0.00000"",""PAYROLCD"",""401K"",""STATECD"","""",""CHEKDATE"",""1/1/2015"",""UPRTRXAM"",""55.82000"""</t>
  </si>
  <si>
    <t>="""GP Direct"",""Fabrikam, Inc."",""UPR30300"",""PAYRATE"",""0.00000"",""PAYROLCD"",""WI"",""STATECD"","""",""CHEKDATE"",""1/1/2015"",""UPRTRXAM"",""71.88000"""</t>
  </si>
  <si>
    <t>="""GP Direct"",""Fabrikam, Inc."",""UPR30300"",""PAYRATE"",""16.10000"",""PAYROLCD"",""HOUR"",""STATECD"",""WI"",""CHEKDATE"",""1/1/2015"",""UPRTRXAM"",""1395.39000"""</t>
  </si>
  <si>
    <t>=NL("Rows","UPR30300",{"PAYRATE","PAYROLCD","STATECD","CHEKDATE","UPRTRXAM"},"+CHEKDATE",$H$4,"EMPLCLAS","@@"&amp;$E590,"EMPLOYID","@@"&amp;$G590,"PAYROLCD",$H$7,"STATECD",$H$8,"CHEKNMBR","@@"&amp;$L590)</t>
  </si>
  <si>
    <t>="""GP Direct"",""Fabrikam, Inc."",""UPR30300"",""PAYRATE"",""0.00000"",""PAYROLCD"",""401K"",""STATECD"","""",""CHEKDATE"",""2/1/2015"",""UPRTRXAM"",""55.82000"""</t>
  </si>
  <si>
    <t>="""GP Direct"",""Fabrikam, Inc."",""UPR30300"",""PAYRATE"",""0.00000"",""PAYROLCD"",""WI"",""STATECD"","""",""CHEKDATE"",""2/1/2015"",""UPRTRXAM"",""71.88000"""</t>
  </si>
  <si>
    <t>="""GP Direct"",""Fabrikam, Inc."",""UPR30300"",""PAYRATE"",""16.10000"",""PAYROLCD"",""HOUR"",""STATECD"",""WI"",""CHEKDATE"",""2/1/2015"",""UPRTRXAM"",""1395.39000"""</t>
  </si>
  <si>
    <t>=NL("Rows","UPR30300",{"PAYRATE","PAYROLCD","STATECD","CHEKDATE","UPRTRXAM"},"+CHEKDATE",$H$4,"EMPLCLAS","@@"&amp;$E599,"EMPLOYID","@@"&amp;$G599,"PAYROLCD",$H$7,"STATECD",$H$8,"CHEKNMBR","@@"&amp;$L599)</t>
  </si>
  <si>
    <t>="""GP Direct"",""Fabrikam, Inc."",""UPR30300"",""PAYRATE"",""0.00000"",""PAYROLCD"",""401K"",""STATECD"","""",""CHEKDATE"",""3/1/2015"",""UPRTRXAM"",""55.82000"""</t>
  </si>
  <si>
    <t>="""GP Direct"",""Fabrikam, Inc."",""UPR30300"",""PAYRATE"",""0.00000"",""PAYROLCD"",""WI"",""STATECD"","""",""CHEKDATE"",""3/1/2015"",""UPRTRXAM"",""71.88000"""</t>
  </si>
  <si>
    <t>="""GP Direct"",""Fabrikam, Inc."",""UPR30300"",""PAYRATE"",""16.10000"",""PAYROLCD"",""HOUR"",""STATECD"",""WI"",""CHEKDATE"",""3/1/2015"",""UPRTRXAM"",""1395.39000"""</t>
  </si>
  <si>
    <t>=NL("Rows","UPR30300",{"PAYRATE","PAYROLCD","STATECD","CHEKDATE","UPRTRXAM"},"+CHEKDATE",$H$4,"EMPLCLAS","@@"&amp;$E608,"EMPLOYID","@@"&amp;$G608,"PAYROLCD",$H$7,"STATECD",$H$8,"CHEKNMBR","@@"&amp;$L608)</t>
  </si>
  <si>
    <t>="""GP Direct"",""Fabrikam, Inc."",""UPR30300"",""PAYRATE"",""0.00000"",""PAYROLCD"",""401K"",""STATECD"","""",""CHEKDATE"",""4/1/2015"",""UPRTRXAM"",""55.82000"""</t>
  </si>
  <si>
    <t>="""GP Direct"",""Fabrikam, Inc."",""UPR30300"",""PAYRATE"",""0.00000"",""PAYROLCD"",""WI"",""STATECD"","""",""CHEKDATE"",""4/1/2015"",""UPRTRXAM"",""71.88000"""</t>
  </si>
  <si>
    <t>="""GP Direct"",""Fabrikam, Inc."",""UPR30300"",""PAYRATE"",""16.10000"",""PAYROLCD"",""HOUR"",""STATECD"",""WI"",""CHEKDATE"",""4/1/2015"",""UPRTRXAM"",""1395.39000"""</t>
  </si>
  <si>
    <t>=NL("Rows","UPR30300",{"PAYRATE","PAYROLCD","STATECD","CHEKDATE","UPRTRXAM"},"+CHEKDATE",$H$4,"EMPLCLAS","@@"&amp;$E617,"EMPLOYID","@@"&amp;$G617,"PAYROLCD",$H$7,"STATECD",$H$8,"CHEKNMBR","@@"&amp;$L617)</t>
  </si>
  <si>
    <t>="""GP Direct"",""Fabrikam, Inc."",""UPR30300"",""PAYRATE"",""0.00000"",""PAYROLCD"",""401K"",""STATECD"","""",""CHEKDATE"",""5/1/2015"",""UPRTRXAM"",""55.82000"""</t>
  </si>
  <si>
    <t>="""GP Direct"",""Fabrikam, Inc."",""UPR30300"",""PAYRATE"",""0.00000"",""PAYROLCD"",""WI"",""STATECD"","""",""CHEKDATE"",""5/1/2015"",""UPRTRXAM"",""71.88000"""</t>
  </si>
  <si>
    <t>="""GP Direct"",""Fabrikam, Inc."",""UPR30300"",""PAYRATE"",""16.10000"",""PAYROLCD"",""HOLI"",""STATECD"",""WI"",""CHEKDATE"",""5/1/2015"",""UPRTRXAM"",""128.80000"""</t>
  </si>
  <si>
    <t>="""GP Direct"",""Fabrikam, Inc."",""UPR30300"",""PAYRATE"",""16.10000"",""PAYROLCD"",""HOUR"",""STATECD"",""WI"",""CHEKDATE"",""5/1/2015"",""UPRTRXAM"",""1266.59000"""</t>
  </si>
  <si>
    <t>=NL("Rows","UPR30300",{"PAYRATE","PAYROLCD","STATECD","CHEKDATE","UPRTRXAM"},"+CHEKDATE",$H$4,"EMPLCLAS","@@"&amp;$E627,"EMPLOYID","@@"&amp;$G627,"PAYROLCD",$H$7,"STATECD",$H$8,"CHEKNMBR","@@"&amp;$L627)</t>
  </si>
  <si>
    <t>="""GP Direct"",""Fabrikam, Inc."",""UPR30300"",""PAYRATE"",""0.00000"",""PAYROLCD"",""401K"",""STATECD"","""",""CHEKDATE"",""6/1/2015"",""UPRTRXAM"",""55.82000"""</t>
  </si>
  <si>
    <t>="""GP Direct"",""Fabrikam, Inc."",""UPR30300"",""PAYRATE"",""0.00000"",""PAYROLCD"",""WI"",""STATECD"","""",""CHEKDATE"",""6/1/2015"",""UPRTRXAM"",""71.88000"""</t>
  </si>
  <si>
    <t>="""GP Direct"",""Fabrikam, Inc."",""UPR30300"",""PAYRATE"",""16.10000"",""PAYROLCD"",""HOUR"",""STATECD"",""WI"",""CHEKDATE"",""6/1/2015"",""UPRTRXAM"",""1395.39000"""</t>
  </si>
  <si>
    <t>=NL("Rows","UPR30300",{"PAYRATE","PAYROLCD","STATECD","CHEKDATE","UPRTRXAM"},"+CHEKDATE",$H$4,"EMPLCLAS","@@"&amp;$E636,"EMPLOYID","@@"&amp;$G636,"PAYROLCD",$H$7,"STATECD",$H$8,"CHEKNMBR","@@"&amp;$L636)</t>
  </si>
  <si>
    <t>="""GP Direct"",""Fabrikam, Inc."",""UPR30300"",""PAYRATE"",""500.00000"",""PAYROLCD"",""BONS"",""STATECD"",""WI"",""CHEKDATE"",""1/1/2015"",""UPRTRXAM"",""500.00000"""</t>
  </si>
  <si>
    <t>=NF($O637,"PAYRATE")</t>
  </si>
  <si>
    <t>=NF($O637,"PAYROLCD")</t>
  </si>
  <si>
    <t>=NF($O637,"STATECD")</t>
  </si>
  <si>
    <t>=NF($O637,"CHEKDATE")</t>
  </si>
  <si>
    <t>=NF($O637,"UPRTRXAM")</t>
  </si>
  <si>
    <t>=NL("Rows","UPR30300",{"PAYRATE","PAYROLCD","STATECD","CHEKDATE","UPRTRXAM"},"+CHEKDATE",$H$4,"EMPLCLAS","@@"&amp;$E641,"EMPLOYID","@@"&amp;$G641,"PAYROLCD",$H$7,"STATECD",$H$8,"CHEKNMBR","@@"&amp;$L641)</t>
  </si>
  <si>
    <t>="""GP Direct"",""Fabrikam, Inc."",""UPR30300"",""PAYRATE"",""400.00000"",""PAYROLCD"",""BONS"",""STATECD"",""WI"",""CHEKDATE"",""6/1/2015"",""UPRTRXAM"",""400.00000"""</t>
  </si>
  <si>
    <t>=NF($O642,"PAYRATE")</t>
  </si>
  <si>
    <t>=NF($O642,"PAYROLCD")</t>
  </si>
  <si>
    <t>=NF($O642,"STATECD")</t>
  </si>
  <si>
    <t>=NF($O642,"CHEKDATE")</t>
  </si>
  <si>
    <t>=NF($O642,"UPRTRXAM")</t>
  </si>
  <si>
    <t>=NL("Rows=4","UPR30300","CHEKNMBR","CHEKDATE",$H$4,"EMPLCLAS","@@"&amp;$E648,"EMPLOYID","@@"&amp;$G648,"PAYROLCD",$H$7,"STATECD",$H$8)</t>
  </si>
  <si>
    <t>=NL("Rows","UPR30300",{"PAYRATE","PAYROLCD","STATECD","CHEKDATE","UPRTRXAM"},"+CHEKDATE",$H$4,"EMPLCLAS","@@"&amp;$E649,"EMPLOYID","@@"&amp;$G649,"PAYROLCD",$H$7,"STATECD",$H$8,"CHEKNMBR","@@"&amp;$L649)</t>
  </si>
  <si>
    <t>="""GP Direct"",""Fabrikam, Inc."",""UPR30300"",""PAYRATE"",""0.00000"",""PAYROLCD"",""401K"",""STATECD"","""",""CHEKDATE"",""1/1/2015"",""UPRTRXAM"",""52.50000"""</t>
  </si>
  <si>
    <t>="""GP Direct"",""Fabrikam, Inc."",""UPR30300"",""PAYRATE"",""0.00000"",""PAYROLCD"",""INS1"",""STATECD"","""",""CHEKDATE"",""1/1/2015"",""UPRTRXAM"",""47.95000"""</t>
  </si>
  <si>
    <t>="""GP Direct"",""Fabrikam, Inc."",""UPR30300"",""PAYRATE"",""0.00000"",""PAYROLCD"",""NE"",""STATECD"","""",""CHEKDATE"",""1/1/2015"",""UPRTRXAM"",""28.22000"""</t>
  </si>
  <si>
    <t>="""GP Direct"",""Fabrikam, Inc."",""UPR30300"",""PAYRATE"",""31500.00000"",""PAYROLCD"",""SALY"",""STATECD"",""NE"",""CHEKDATE"",""1/1/2015"",""UPRTRXAM"",""1312.50000"""</t>
  </si>
  <si>
    <t>=NL("Rows","UPR30300",{"PAYRATE","PAYROLCD","STATECD","CHEKDATE","UPRTRXAM"},"+CHEKDATE",$H$4,"EMPLCLAS","@@"&amp;$E659,"EMPLOYID","@@"&amp;$G659,"PAYROLCD",$H$7,"STATECD",$H$8,"CHEKNMBR","@@"&amp;$L659)</t>
  </si>
  <si>
    <t>="""GP Direct"",""Fabrikam, Inc."",""UPR30300"",""PAYRATE"",""0.00000"",""PAYROLCD"",""401K"",""STATECD"","""",""CHEKDATE"",""2/1/2015"",""UPRTRXAM"",""52.50000"""</t>
  </si>
  <si>
    <t>="""GP Direct"",""Fabrikam, Inc."",""UPR30300"",""PAYRATE"",""0.00000"",""PAYROLCD"",""INS1"",""STATECD"","""",""CHEKDATE"",""2/1/2015"",""UPRTRXAM"",""47.95000"""</t>
  </si>
  <si>
    <t>="""GP Direct"",""Fabrikam, Inc."",""UPR30300"",""PAYRATE"",""0.00000"",""PAYROLCD"",""NE"",""STATECD"","""",""CHEKDATE"",""2/1/2015"",""UPRTRXAM"",""28.22000"""</t>
  </si>
  <si>
    <t>="""GP Direct"",""Fabrikam, Inc."",""UPR30300"",""PAYRATE"",""31500.00000"",""PAYROLCD"",""SALY"",""STATECD"",""NE"",""CHEKDATE"",""2/1/2015"",""UPRTRXAM"",""1312.50000"""</t>
  </si>
  <si>
    <t>=NL("Rows","UPR30300",{"PAYRATE","PAYROLCD","STATECD","CHEKDATE","UPRTRXAM"},"+CHEKDATE",$H$4,"EMPLCLAS","@@"&amp;$E669,"EMPLOYID","@@"&amp;$G669,"PAYROLCD",$H$7,"STATECD",$H$8,"CHEKNMBR","@@"&amp;$L669)</t>
  </si>
  <si>
    <t>="""GP Direct"",""Fabrikam, Inc."",""UPR30300"",""PAYRATE"",""0.00000"",""PAYROLCD"",""401K"",""STATECD"","""",""CHEKDATE"",""3/1/2015"",""UPRTRXAM"",""52.50000"""</t>
  </si>
  <si>
    <t>="""GP Direct"",""Fabrikam, Inc."",""UPR30300"",""PAYRATE"",""0.00000"",""PAYROLCD"",""INS1"",""STATECD"","""",""CHEKDATE"",""3/1/2015"",""UPRTRXAM"",""47.95000"""</t>
  </si>
  <si>
    <t>="""GP Direct"",""Fabrikam, Inc."",""UPR30300"",""PAYRATE"",""0.00000"",""PAYROLCD"",""NE"",""STATECD"","""",""CHEKDATE"",""3/1/2015"",""UPRTRXAM"",""28.22000"""</t>
  </si>
  <si>
    <t>="""GP Direct"",""Fabrikam, Inc."",""UPR30300"",""PAYRATE"",""31500.00000"",""PAYROLCD"",""SALY"",""STATECD"",""NE"",""CHEKDATE"",""3/1/2015"",""UPRTRXAM"",""1312.50000"""</t>
  </si>
  <si>
    <t>=NL("Rows","UPR30300",{"PAYRATE","PAYROLCD","STATECD","CHEKDATE","UPRTRXAM"},"+CHEKDATE",$H$4,"EMPLCLAS","@@"&amp;$E679,"EMPLOYID","@@"&amp;$G679,"PAYROLCD",$H$7,"STATECD",$H$8,"CHEKNMBR","@@"&amp;$L679)</t>
  </si>
  <si>
    <t>="""GP Direct"",""Fabrikam, Inc."",""UPR30300"",""PAYRATE"",""0.00000"",""PAYROLCD"",""401K"",""STATECD"","""",""CHEKDATE"",""4/1/2015"",""UPRTRXAM"",""52.50000"""</t>
  </si>
  <si>
    <t>="""GP Direct"",""Fabrikam, Inc."",""UPR30300"",""PAYRATE"",""0.00000"",""PAYROLCD"",""INS1"",""STATECD"","""",""CHEKDATE"",""4/1/2015"",""UPRTRXAM"",""47.95000"""</t>
  </si>
  <si>
    <t>="""GP Direct"",""Fabrikam, Inc."",""UPR30300"",""PAYRATE"",""0.00000"",""PAYROLCD"",""NE"",""STATECD"","""",""CHEKDATE"",""4/1/2015"",""UPRTRXAM"",""28.22000"""</t>
  </si>
  <si>
    <t>="""GP Direct"",""Fabrikam, Inc."",""UPR30300"",""PAYRATE"",""31500.00000"",""PAYROLCD"",""SALY"",""STATECD"",""NE"",""CHEKDATE"",""4/1/2015"",""UPRTRXAM"",""1312.50000"""</t>
  </si>
  <si>
    <t>=NL("Rows","UPR30300",{"PAYRATE","PAYROLCD","STATECD","CHEKDATE","UPRTRXAM"},"+CHEKDATE",$H$4,"EMPLCLAS","@@"&amp;$E689,"EMPLOYID","@@"&amp;$G689,"PAYROLCD",$H$7,"STATECD",$H$8,"CHEKNMBR","@@"&amp;$L689)</t>
  </si>
  <si>
    <t>="""GP Direct"",""Fabrikam, Inc."",""UPR30300"",""PAYRATE"",""0.00000"",""PAYROLCD"",""401K"",""STATECD"","""",""CHEKDATE"",""5/1/2015"",""UPRTRXAM"",""52.50000"""</t>
  </si>
  <si>
    <t>="""GP Direct"",""Fabrikam, Inc."",""UPR30300"",""PAYRATE"",""0.00000"",""PAYROLCD"",""INS1"",""STATECD"","""",""CHEKDATE"",""5/1/2015"",""UPRTRXAM"",""47.95000"""</t>
  </si>
  <si>
    <t>="""GP Direct"",""Fabrikam, Inc."",""UPR30300"",""PAYRATE"",""0.00000"",""PAYROLCD"",""NE"",""STATECD"","""",""CHEKDATE"",""5/1/2015"",""UPRTRXAM"",""28.22000"""</t>
  </si>
  <si>
    <t>="""GP Direct"",""Fabrikam, Inc."",""UPR30300"",""PAYRATE"",""31500.00000"",""PAYROLCD"",""SALY"",""STATECD"",""NE"",""CHEKDATE"",""5/1/2015"",""UPRTRXAM"",""1312.50000"""</t>
  </si>
  <si>
    <t>=NL("Rows","UPR30300",{"PAYRATE","PAYROLCD","STATECD","CHEKDATE","UPRTRXAM"},"+CHEKDATE",$H$4,"EMPLCLAS","@@"&amp;$E699,"EMPLOYID","@@"&amp;$G699,"PAYROLCD",$H$7,"STATECD",$H$8,"CHEKNMBR","@@"&amp;$L699)</t>
  </si>
  <si>
    <t>="""GP Direct"",""Fabrikam, Inc."",""UPR30300"",""PAYRATE"",""0.00000"",""PAYROLCD"",""401K"",""STATECD"","""",""CHEKDATE"",""6/1/2015"",""UPRTRXAM"",""52.50000"""</t>
  </si>
  <si>
    <t>="""GP Direct"",""Fabrikam, Inc."",""UPR30300"",""PAYRATE"",""0.00000"",""PAYROLCD"",""INS1"",""STATECD"","""",""CHEKDATE"",""6/1/2015"",""UPRTRXAM"",""47.95000"""</t>
  </si>
  <si>
    <t>="""GP Direct"",""Fabrikam, Inc."",""UPR30300"",""PAYRATE"",""0.00000"",""PAYROLCD"",""NE"",""STATECD"","""",""CHEKDATE"",""6/1/2015"",""UPRTRXAM"",""28.22000"""</t>
  </si>
  <si>
    <t>="""GP Direct"",""Fabrikam, Inc."",""UPR30300"",""PAYRATE"",""31500.00000"",""PAYROLCD"",""SALY"",""STATECD"",""NE"",""CHEKDATE"",""6/1/2015"",""UPRTRXAM"",""1312.50000"""</t>
  </si>
  <si>
    <t>=NL("Rows=4","UPR30300","CHEKNMBR","CHEKDATE",$H$4,"EMPLCLAS","@@"&amp;$E711,"EMPLOYID","@@"&amp;$G711,"PAYROLCD",$H$7,"STATECD",$H$8)</t>
  </si>
  <si>
    <t>=NL("Rows","UPR30300",{"PAYRATE","PAYROLCD","STATECD","CHEKDATE","UPRTRXAM"},"+CHEKDATE",$H$4,"EMPLCLAS","@@"&amp;$E712,"EMPLOYID","@@"&amp;$G712,"PAYROLCD",$H$7,"STATECD",$H$8,"CHEKNMBR","@@"&amp;$L712)</t>
  </si>
  <si>
    <t>="""GP Direct"",""Fabrikam, Inc."",""UPR30300"",""PAYRATE"",""0.00000"",""PAYROLCD"",""401K"",""STATECD"","""",""CHEKDATE"",""1/1/2015"",""UPRTRXAM"",""44.46000"""</t>
  </si>
  <si>
    <t>="""GP Direct"",""Fabrikam, Inc."",""UPR30300"",""PAYRATE"",""0.00000"",""PAYROLCD"",""MI"",""STATECD"","""",""CHEKDATE"",""1/1/2015"",""UPRTRXAM"",""52.14000"""</t>
  </si>
  <si>
    <t>="""GP Direct"",""Fabrikam, Inc."",""UPR30300"",""PAYRATE"",""17.10000"",""PAYROLCD"",""HOUR"",""STATECD"",""MI"",""CHEKDATE"",""1/1/2015"",""UPRTRXAM"",""1482.06000"""</t>
  </si>
  <si>
    <t>=NL("Rows","UPR30300",{"PAYRATE","PAYROLCD","STATECD","CHEKDATE","UPRTRXAM"},"+CHEKDATE",$H$4,"EMPLCLAS","@@"&amp;$E721,"EMPLOYID","@@"&amp;$G721,"PAYROLCD",$H$7,"STATECD",$H$8,"CHEKNMBR","@@"&amp;$L721)</t>
  </si>
  <si>
    <t>="""GP Direct"",""Fabrikam, Inc."",""UPR30300"",""PAYRATE"",""0.00000"",""PAYROLCD"",""401K"",""STATECD"","""",""CHEKDATE"",""2/1/2015"",""UPRTRXAM"",""44.46000"""</t>
  </si>
  <si>
    <t>="""GP Direct"",""Fabrikam, Inc."",""UPR30300"",""PAYRATE"",""0.00000"",""PAYROLCD"",""MI"",""STATECD"","""",""CHEKDATE"",""2/1/2015"",""UPRTRXAM"",""52.14000"""</t>
  </si>
  <si>
    <t>="""GP Direct"",""Fabrikam, Inc."",""UPR30300"",""PAYRATE"",""17.10000"",""PAYROLCD"",""HOUR"",""STATECD"",""MI"",""CHEKDATE"",""2/1/2015"",""UPRTRXAM"",""1482.06000"""</t>
  </si>
  <si>
    <t>=NL("Rows","UPR30300",{"PAYRATE","PAYROLCD","STATECD","CHEKDATE","UPRTRXAM"},"+CHEKDATE",$H$4,"EMPLCLAS","@@"&amp;$E730,"EMPLOYID","@@"&amp;$G730,"PAYROLCD",$H$7,"STATECD",$H$8,"CHEKNMBR","@@"&amp;$L730)</t>
  </si>
  <si>
    <t>="""GP Direct"",""Fabrikam, Inc."",""UPR30300"",""PAYRATE"",""0.00000"",""PAYROLCD"",""401K"",""STATECD"","""",""CHEKDATE"",""3/1/2015"",""UPRTRXAM"",""44.46000"""</t>
  </si>
  <si>
    <t>="""GP Direct"",""Fabrikam, Inc."",""UPR30300"",""PAYRATE"",""0.00000"",""PAYROLCD"",""MI"",""STATECD"","""",""CHEKDATE"",""3/1/2015"",""UPRTRXAM"",""52.14000"""</t>
  </si>
  <si>
    <t>="""GP Direct"",""Fabrikam, Inc."",""UPR30300"",""PAYRATE"",""17.10000"",""PAYROLCD"",""HOUR"",""STATECD"",""MI"",""CHEKDATE"",""3/1/2015"",""UPRTRXAM"",""1482.06000"""</t>
  </si>
  <si>
    <t>=NL("Rows","UPR30300",{"PAYRATE","PAYROLCD","STATECD","CHEKDATE","UPRTRXAM"},"+CHEKDATE",$H$4,"EMPLCLAS","@@"&amp;$E739,"EMPLOYID","@@"&amp;$G739,"PAYROLCD",$H$7,"STATECD",$H$8,"CHEKNMBR","@@"&amp;$L739)</t>
  </si>
  <si>
    <t>="""GP Direct"",""Fabrikam, Inc."",""UPR30300"",""PAYRATE"",""0.00000"",""PAYROLCD"",""401K"",""STATECD"","""",""CHEKDATE"",""4/1/2015"",""UPRTRXAM"",""44.46000"""</t>
  </si>
  <si>
    <t>="""GP Direct"",""Fabrikam, Inc."",""UPR30300"",""PAYRATE"",""0.00000"",""PAYROLCD"",""MI"",""STATECD"","""",""CHEKDATE"",""4/1/2015"",""UPRTRXAM"",""52.14000"""</t>
  </si>
  <si>
    <t>="""GP Direct"",""Fabrikam, Inc."",""UPR30300"",""PAYRATE"",""17.10000"",""PAYROLCD"",""HOUR"",""STATECD"",""MI"",""CHEKDATE"",""4/1/2015"",""UPRTRXAM"",""1482.06000"""</t>
  </si>
  <si>
    <t>=NL("Rows","UPR30300",{"PAYRATE","PAYROLCD","STATECD","CHEKDATE","UPRTRXAM"},"+CHEKDATE",$H$4,"EMPLCLAS","@@"&amp;$E748,"EMPLOYID","@@"&amp;$G748,"PAYROLCD",$H$7,"STATECD",$H$8,"CHEKNMBR","@@"&amp;$L748)</t>
  </si>
  <si>
    <t>="""GP Direct"",""Fabrikam, Inc."",""UPR30300"",""PAYRATE"",""0.00000"",""PAYROLCD"",""401K"",""STATECD"","""",""CHEKDATE"",""5/1/2015"",""UPRTRXAM"",""44.46000"""</t>
  </si>
  <si>
    <t>="""GP Direct"",""Fabrikam, Inc."",""UPR30300"",""PAYRATE"",""0.00000"",""PAYROLCD"",""MI"",""STATECD"","""",""CHEKDATE"",""5/1/2015"",""UPRTRXAM"",""52.14000"""</t>
  </si>
  <si>
    <t>="""GP Direct"",""Fabrikam, Inc."",""UPR30300"",""PAYRATE"",""17.10000"",""PAYROLCD"",""HOUR"",""STATECD"",""MI"",""CHEKDATE"",""5/1/2015"",""UPRTRXAM"",""1345.26000"""</t>
  </si>
  <si>
    <t>="""GP Direct"",""Fabrikam, Inc."",""UPR30300"",""PAYRATE"",""17.10000"",""PAYROLCD"",""SICK"",""STATECD"",""MI"",""CHEKDATE"",""5/1/2015"",""UPRTRXAM"",""136.80000"""</t>
  </si>
  <si>
    <t>=NL("Rows","UPR30300",{"PAYRATE","PAYROLCD","STATECD","CHEKDATE","UPRTRXAM"},"+CHEKDATE",$H$4,"EMPLCLAS","@@"&amp;$E758,"EMPLOYID","@@"&amp;$G758,"PAYROLCD",$H$7,"STATECD",$H$8,"CHEKNMBR","@@"&amp;$L758)</t>
  </si>
  <si>
    <t>="""GP Direct"",""Fabrikam, Inc."",""UPR30300"",""PAYRATE"",""0.00000"",""PAYROLCD"",""401K"",""STATECD"","""",""CHEKDATE"",""6/1/2015"",""UPRTRXAM"",""44.46000"""</t>
  </si>
  <si>
    <t>="""GP Direct"",""Fabrikam, Inc."",""UPR30300"",""PAYRATE"",""0.00000"",""PAYROLCD"",""MI"",""STATECD"","""",""CHEKDATE"",""6/1/2015"",""UPRTRXAM"",""52.14000"""</t>
  </si>
  <si>
    <t>="""GP Direct"",""Fabrikam, Inc."",""UPR30300"",""PAYRATE"",""17.10000"",""PAYROLCD"",""HOUR"",""STATECD"",""MI"",""CHEKDATE"",""6/1/2015"",""UPRTRXAM"",""1482.06000"""</t>
  </si>
  <si>
    <t>=NL("Rows","UPR30300",{"PAYRATE","PAYROLCD","STATECD","CHEKDATE","UPRTRXAM"},"+CHEKDATE",$H$4,"EMPLCLAS","@@"&amp;$E767,"EMPLOYID","@@"&amp;$G767,"PAYROLCD",$H$7,"STATECD",$H$8,"CHEKNMBR","@@"&amp;$L767)</t>
  </si>
  <si>
    <t>="""GP Direct"",""Fabrikam, Inc."",""UPR30300"",""PAYRATE"",""600.00000"",""PAYROLCD"",""BONS"",""STATECD"",""MI"",""CHEKDATE"",""1/1/2015"",""UPRTRXAM"",""600.00000"""</t>
  </si>
  <si>
    <t>=NF($O768,"PAYRATE")</t>
  </si>
  <si>
    <t>=NF($O768,"PAYROLCD")</t>
  </si>
  <si>
    <t>=NF($O768,"STATECD")</t>
  </si>
  <si>
    <t>=NF($O768,"CHEKDATE")</t>
  </si>
  <si>
    <t>=NF($O768,"UPRTRXAM")</t>
  </si>
  <si>
    <t>=NL("Rows","UPR30300",{"PAYRATE","PAYROLCD","STATECD","CHEKDATE","UPRTRXAM"},"+CHEKDATE",$H$4,"EMPLCLAS","@@"&amp;$E772,"EMPLOYID","@@"&amp;$G772,"PAYROLCD",$H$7,"STATECD",$H$8,"CHEKNMBR","@@"&amp;$L772)</t>
  </si>
  <si>
    <t>="""GP Direct"",""Fabrikam, Inc."",""UPR30300"",""PAYRATE"",""500.00000"",""PAYROLCD"",""BONS"",""STATECD"",""MI"",""CHEKDATE"",""6/1/2015"",""UPRTRXAM"",""500.00000"""</t>
  </si>
  <si>
    <t>=NF($O773,"PAYRATE")</t>
  </si>
  <si>
    <t>=NF($O773,"PAYROLCD")</t>
  </si>
  <si>
    <t>=NF($O773,"STATECD")</t>
  </si>
  <si>
    <t>=NF($O773,"CHEKDATE")</t>
  </si>
  <si>
    <t>=NF($O773,"UPRTRXAM")</t>
  </si>
  <si>
    <t>=NL("Rows=4","UPR30300","CHEKNMBR","CHEKDATE",$H$4,"EMPLCLAS","@@"&amp;$E779,"EMPLOYID","@@"&amp;$G779,"PAYROLCD",$H$7,"STATECD",$H$8)</t>
  </si>
  <si>
    <t>=NL("Rows","UPR30300",{"PAYRATE","PAYROLCD","STATECD","CHEKDATE","UPRTRXAM"},"+CHEKDATE",$H$4,"EMPLCLAS","@@"&amp;$E780,"EMPLOYID","@@"&amp;$G780,"PAYROLCD",$H$7,"STATECD",$H$8,"CHEKNMBR","@@"&amp;$L780)</t>
  </si>
  <si>
    <t>="""GP Direct"",""Fabrikam, Inc."",""UPR30300"",""PAYRATE"",""0.00000"",""PAYROLCD"",""401K"",""STATECD"","""",""CHEKDATE"",""1/1/2015"",""UPRTRXAM"",""40.82000"""</t>
  </si>
  <si>
    <t>="""GP Direct"",""Fabrikam, Inc."",""UPR30300"",""PAYRATE"",""0.00000"",""PAYROLCD"",""IA"",""STATECD"","""",""CHEKDATE"",""1/1/2015"",""UPRTRXAM"",""53.00000"""</t>
  </si>
  <si>
    <t>="""GP Direct"",""Fabrikam, Inc."",""UPR30300"",""PAYRATE"",""15.70000"",""PAYROLCD"",""HOUR"",""STATECD"",""IA"",""CHEKDATE"",""1/1/2015"",""UPRTRXAM"",""1360.72000"""</t>
  </si>
  <si>
    <t>=NL("Rows","UPR30300",{"PAYRATE","PAYROLCD","STATECD","CHEKDATE","UPRTRXAM"},"+CHEKDATE",$H$4,"EMPLCLAS","@@"&amp;$E789,"EMPLOYID","@@"&amp;$G789,"PAYROLCD",$H$7,"STATECD",$H$8,"CHEKNMBR","@@"&amp;$L789)</t>
  </si>
  <si>
    <t>="""GP Direct"",""Fabrikam, Inc."",""UPR30300"",""PAYRATE"",""0.00000"",""PAYROLCD"",""401K"",""STATECD"","""",""CHEKDATE"",""2/1/2015"",""UPRTRXAM"",""40.82000"""</t>
  </si>
  <si>
    <t>="""GP Direct"",""Fabrikam, Inc."",""UPR30300"",""PAYRATE"",""0.00000"",""PAYROLCD"",""IA"",""STATECD"","""",""CHEKDATE"",""2/1/2015"",""UPRTRXAM"",""53.00000"""</t>
  </si>
  <si>
    <t>="""GP Direct"",""Fabrikam, Inc."",""UPR30300"",""PAYRATE"",""15.70000"",""PAYROLCD"",""HOUR"",""STATECD"",""IA"",""CHEKDATE"",""2/1/2015"",""UPRTRXAM"",""1360.72000"""</t>
  </si>
  <si>
    <t>=NL("Rows","UPR30300",{"PAYRATE","PAYROLCD","STATECD","CHEKDATE","UPRTRXAM"},"+CHEKDATE",$H$4,"EMPLCLAS","@@"&amp;$E798,"EMPLOYID","@@"&amp;$G798,"PAYROLCD",$H$7,"STATECD",$H$8,"CHEKNMBR","@@"&amp;$L798)</t>
  </si>
  <si>
    <t>="""GP Direct"",""Fabrikam, Inc."",""UPR30300"",""PAYRATE"",""0.00000"",""PAYROLCD"",""401K"",""STATECD"","""",""CHEKDATE"",""3/1/2015"",""UPRTRXAM"",""40.82000"""</t>
  </si>
  <si>
    <t>="""GP Direct"",""Fabrikam, Inc."",""UPR30300"",""PAYRATE"",""0.00000"",""PAYROLCD"",""IA"",""STATECD"","""",""CHEKDATE"",""3/1/2015"",""UPRTRXAM"",""53.00000"""</t>
  </si>
  <si>
    <t>="""GP Direct"",""Fabrikam, Inc."",""UPR30300"",""PAYRATE"",""15.70000"",""PAYROLCD"",""HOUR"",""STATECD"",""IA"",""CHEKDATE"",""3/1/2015"",""UPRTRXAM"",""1360.72000"""</t>
  </si>
  <si>
    <t>=NL("Rows","UPR30300",{"PAYRATE","PAYROLCD","STATECD","CHEKDATE","UPRTRXAM"},"+CHEKDATE",$H$4,"EMPLCLAS","@@"&amp;$E807,"EMPLOYID","@@"&amp;$G807,"PAYROLCD",$H$7,"STATECD",$H$8,"CHEKNMBR","@@"&amp;$L807)</t>
  </si>
  <si>
    <t>="""GP Direct"",""Fabrikam, Inc."",""UPR30300"",""PAYRATE"",""0.00000"",""PAYROLCD"",""401K"",""STATECD"","""",""CHEKDATE"",""4/1/2015"",""UPRTRXAM"",""40.82000"""</t>
  </si>
  <si>
    <t>="""GP Direct"",""Fabrikam, Inc."",""UPR30300"",""PAYRATE"",""0.00000"",""PAYROLCD"",""IA"",""STATECD"","""",""CHEKDATE"",""4/1/2015"",""UPRTRXAM"",""53.00000"""</t>
  </si>
  <si>
    <t>="""GP Direct"",""Fabrikam, Inc."",""UPR30300"",""PAYRATE"",""15.70000"",""PAYROLCD"",""HOUR"",""STATECD"",""IA"",""CHEKDATE"",""4/1/2015"",""UPRTRXAM"",""1360.72000"""</t>
  </si>
  <si>
    <t>=NL("Rows","UPR30300",{"PAYRATE","PAYROLCD","STATECD","CHEKDATE","UPRTRXAM"},"+CHEKDATE",$H$4,"EMPLCLAS","@@"&amp;$E816,"EMPLOYID","@@"&amp;$G816,"PAYROLCD",$H$7,"STATECD",$H$8,"CHEKNMBR","@@"&amp;$L816)</t>
  </si>
  <si>
    <t>="""GP Direct"",""Fabrikam, Inc."",""UPR30300"",""PAYRATE"",""0.00000"",""PAYROLCD"",""401K"",""STATECD"","""",""CHEKDATE"",""5/1/2015"",""UPRTRXAM"",""40.82000"""</t>
  </si>
  <si>
    <t>="""GP Direct"",""Fabrikam, Inc."",""UPR30300"",""PAYRATE"",""0.00000"",""PAYROLCD"",""IA"",""STATECD"","""",""CHEKDATE"",""5/1/2015"",""UPRTRXAM"",""53.00000"""</t>
  </si>
  <si>
    <t>="""GP Direct"",""Fabrikam, Inc."",""UPR30300"",""PAYRATE"",""15.70000"",""PAYROLCD"",""HOLI"",""STATECD"",""IA"",""CHEKDATE"",""5/1/2015"",""UPRTRXAM"",""251.20000"""</t>
  </si>
  <si>
    <t>="""GP Direct"",""Fabrikam, Inc."",""UPR30300"",""PAYRATE"",""15.70000"",""PAYROLCD"",""HOUR"",""STATECD"",""IA"",""CHEKDATE"",""5/1/2015"",""UPRTRXAM"",""1109.52000"""</t>
  </si>
  <si>
    <t>=NL("Rows","UPR30300",{"PAYRATE","PAYROLCD","STATECD","CHEKDATE","UPRTRXAM"},"+CHEKDATE",$H$4,"EMPLCLAS","@@"&amp;$E826,"EMPLOYID","@@"&amp;$G826,"PAYROLCD",$H$7,"STATECD",$H$8,"CHEKNMBR","@@"&amp;$L826)</t>
  </si>
  <si>
    <t>="""GP Direct"",""Fabrikam, Inc."",""UPR30300"",""PAYRATE"",""0.00000"",""PAYROLCD"",""401K"",""STATECD"","""",""CHEKDATE"",""6/1/2015"",""UPRTRXAM"",""40.82000"""</t>
  </si>
  <si>
    <t>="""GP Direct"",""Fabrikam, Inc."",""UPR30300"",""PAYRATE"",""0.00000"",""PAYROLCD"",""IA"",""STATECD"","""",""CHEKDATE"",""6/1/2015"",""UPRTRXAM"",""53.00000"""</t>
  </si>
  <si>
    <t>="""GP Direct"",""Fabrikam, Inc."",""UPR30300"",""PAYRATE"",""15.70000"",""PAYROLCD"",""HOUR"",""STATECD"",""IA"",""CHEKDATE"",""6/1/2015"",""UPRTRXAM"",""1360.72000"""</t>
  </si>
  <si>
    <t>=NL("Rows","UPR30300",{"PAYRATE","PAYROLCD","STATECD","CHEKDATE","UPRTRXAM"},"+CHEKDATE",$H$4,"EMPLCLAS","@@"&amp;$E835,"EMPLOYID","@@"&amp;$G835,"PAYROLCD",$H$7,"STATECD",$H$8,"CHEKNMBR","@@"&amp;$L835)</t>
  </si>
  <si>
    <t>="""GP Direct"",""Fabrikam, Inc."",""UPR30300"",""PAYRATE"",""600.00000"",""PAYROLCD"",""BONS"",""STATECD"",""IA"",""CHEKDATE"",""1/1/2015"",""UPRTRXAM"",""600.00000"""</t>
  </si>
  <si>
    <t>=NF($O836,"PAYRATE")</t>
  </si>
  <si>
    <t>=NF($O836,"PAYROLCD")</t>
  </si>
  <si>
    <t>=NF($O836,"STATECD")</t>
  </si>
  <si>
    <t>=NF($O836,"CHEKDATE")</t>
  </si>
  <si>
    <t>=NF($O836,"UPRTRXAM")</t>
  </si>
  <si>
    <t>=NL("Rows","UPR30300",{"PAYRATE","PAYROLCD","STATECD","CHEKDATE","UPRTRXAM"},"+CHEKDATE",$H$4,"EMPLCLAS","@@"&amp;$E840,"EMPLOYID","@@"&amp;$G840,"PAYROLCD",$H$7,"STATECD",$H$8,"CHEKNMBR","@@"&amp;$L840)</t>
  </si>
  <si>
    <t>="""GP Direct"",""Fabrikam, Inc."",""UPR30300"",""PAYRATE"",""600.00000"",""PAYROLCD"",""BONS"",""STATECD"",""IA"",""CHEKDATE"",""6/1/2015"",""UPRTRXAM"",""600.00000"""</t>
  </si>
  <si>
    <t>=NF($O841,"PAYRATE")</t>
  </si>
  <si>
    <t>=NF($O841,"PAYROLCD")</t>
  </si>
  <si>
    <t>=NF($O841,"STATECD")</t>
  </si>
  <si>
    <t>=NF($O841,"CHEKDATE")</t>
  </si>
  <si>
    <t>=NF($O841,"UPRTRXAM")</t>
  </si>
  <si>
    <t>=NL("Rows=4","UPR30300","CHEKNMBR","CHEKDATE",$H$4,"EMPLCLAS","@@"&amp;$E847,"EMPLOYID","@@"&amp;$G847,"PAYROLCD",$H$7,"STATECD",$H$8)</t>
  </si>
  <si>
    <t>=NL("Rows","UPR30300",{"PAYRATE","PAYROLCD","STATECD","CHEKDATE","UPRTRXAM"},"+CHEKDATE",$H$4,"EMPLCLAS","@@"&amp;$E848,"EMPLOYID","@@"&amp;$G848,"PAYROLCD",$H$7,"STATECD",$H$8,"CHEKNMBR","@@"&amp;$L848)</t>
  </si>
  <si>
    <t>="""GP Direct"",""Fabrikam, Inc."",""UPR30300"",""PAYRATE"",""0.00000"",""PAYROLCD"",""401K"",""STATECD"","""",""CHEKDATE"",""1/1/2015"",""UPRTRXAM"",""36.66000"""</t>
  </si>
  <si>
    <t>="""GP Direct"",""Fabrikam, Inc."",""UPR30300"",""PAYRATE"",""0.00000"",""PAYROLCD"",""MO"",""STATECD"","""",""CHEKDATE"",""1/1/2015"",""UPRTRXAM"",""27.00000"""</t>
  </si>
  <si>
    <t>="""GP Direct"",""Fabrikam, Inc."",""UPR30300"",""PAYRATE"",""14.10000"",""PAYROLCD"",""HOUR"",""STATECD"",""MO"",""CHEKDATE"",""1/1/2015"",""UPRTRXAM"",""1222.05000"""</t>
  </si>
  <si>
    <t>=NL("Rows","UPR30300",{"PAYRATE","PAYROLCD","STATECD","CHEKDATE","UPRTRXAM"},"+CHEKDATE",$H$4,"EMPLCLAS","@@"&amp;$E857,"EMPLOYID","@@"&amp;$G857,"PAYROLCD",$H$7,"STATECD",$H$8,"CHEKNMBR","@@"&amp;$L857)</t>
  </si>
  <si>
    <t>="""GP Direct"",""Fabrikam, Inc."",""UPR30300"",""PAYRATE"",""0.00000"",""PAYROLCD"",""401K"",""STATECD"","""",""CHEKDATE"",""2/1/2015"",""UPRTRXAM"",""36.66000"""</t>
  </si>
  <si>
    <t>="""GP Direct"",""Fabrikam, Inc."",""UPR30300"",""PAYRATE"",""0.00000"",""PAYROLCD"",""MO"",""STATECD"","""",""CHEKDATE"",""2/1/2015"",""UPRTRXAM"",""27.00000"""</t>
  </si>
  <si>
    <t>="""GP Direct"",""Fabrikam, Inc."",""UPR30300"",""PAYRATE"",""14.10000"",""PAYROLCD"",""HOUR"",""STATECD"",""MO"",""CHEKDATE"",""2/1/2015"",""UPRTRXAM"",""1222.05000"""</t>
  </si>
  <si>
    <t>=NL("Rows","UPR30300",{"PAYRATE","PAYROLCD","STATECD","CHEKDATE","UPRTRXAM"},"+CHEKDATE",$H$4,"EMPLCLAS","@@"&amp;$E866,"EMPLOYID","@@"&amp;$G866,"PAYROLCD",$H$7,"STATECD",$H$8,"CHEKNMBR","@@"&amp;$L866)</t>
  </si>
  <si>
    <t>="""GP Direct"",""Fabrikam, Inc."",""UPR30300"",""PAYRATE"",""0.00000"",""PAYROLCD"",""401K"",""STATECD"","""",""CHEKDATE"",""3/1/2015"",""UPRTRXAM"",""36.66000"""</t>
  </si>
  <si>
    <t>="""GP Direct"",""Fabrikam, Inc."",""UPR30300"",""PAYRATE"",""0.00000"",""PAYROLCD"",""MO"",""STATECD"","""",""CHEKDATE"",""3/1/2015"",""UPRTRXAM"",""27.00000"""</t>
  </si>
  <si>
    <t>="""GP Direct"",""Fabrikam, Inc."",""UPR30300"",""PAYRATE"",""14.10000"",""PAYROLCD"",""HOUR"",""STATECD"",""MO"",""CHEKDATE"",""3/1/2015"",""UPRTRXAM"",""1222.05000"""</t>
  </si>
  <si>
    <t>=NL("Rows","UPR30300",{"PAYRATE","PAYROLCD","STATECD","CHEKDATE","UPRTRXAM"},"+CHEKDATE",$H$4,"EMPLCLAS","@@"&amp;$E875,"EMPLOYID","@@"&amp;$G875,"PAYROLCD",$H$7,"STATECD",$H$8,"CHEKNMBR","@@"&amp;$L875)</t>
  </si>
  <si>
    <t>="""GP Direct"",""Fabrikam, Inc."",""UPR30300"",""PAYRATE"",""0.00000"",""PAYROLCD"",""401K"",""STATECD"","""",""CHEKDATE"",""4/1/2015"",""UPRTRXAM"",""36.66000"""</t>
  </si>
  <si>
    <t>="""GP Direct"",""Fabrikam, Inc."",""UPR30300"",""PAYRATE"",""0.00000"",""PAYROLCD"",""MO"",""STATECD"","""",""CHEKDATE"",""4/1/2015"",""UPRTRXAM"",""27.00000"""</t>
  </si>
  <si>
    <t>="""GP Direct"",""Fabrikam, Inc."",""UPR30300"",""PAYRATE"",""14.10000"",""PAYROLCD"",""HOUR"",""STATECD"",""MO"",""CHEKDATE"",""4/1/2015"",""UPRTRXAM"",""1222.05000"""</t>
  </si>
  <si>
    <t>=NL("Rows","UPR30300",{"PAYRATE","PAYROLCD","STATECD","CHEKDATE","UPRTRXAM"},"+CHEKDATE",$H$4,"EMPLCLAS","@@"&amp;$E884,"EMPLOYID","@@"&amp;$G884,"PAYROLCD",$H$7,"STATECD",$H$8,"CHEKNMBR","@@"&amp;$L884)</t>
  </si>
  <si>
    <t>="""GP Direct"",""Fabrikam, Inc."",""UPR30300"",""PAYRATE"",""0.00000"",""PAYROLCD"",""401K"",""STATECD"","""",""CHEKDATE"",""5/1/2015"",""UPRTRXAM"",""36.66000"""</t>
  </si>
  <si>
    <t>="""GP Direct"",""Fabrikam, Inc."",""UPR30300"",""PAYRATE"",""0.00000"",""PAYROLCD"",""MO"",""STATECD"","""",""CHEKDATE"",""5/1/2015"",""UPRTRXAM"",""27.00000"""</t>
  </si>
  <si>
    <t>="""GP Direct"",""Fabrikam, Inc."",""UPR30300"",""PAYRATE"",""14.10000"",""PAYROLCD"",""HOUR"",""STATECD"",""MO"",""CHEKDATE"",""5/1/2015"",""UPRTRXAM"",""1222.05000"""</t>
  </si>
  <si>
    <t>=NL("Rows","UPR30300",{"PAYRATE","PAYROLCD","STATECD","CHEKDATE","UPRTRXAM"},"+CHEKDATE",$H$4,"EMPLCLAS","@@"&amp;$E893,"EMPLOYID","@@"&amp;$G893,"PAYROLCD",$H$7,"STATECD",$H$8,"CHEKNMBR","@@"&amp;$L893)</t>
  </si>
  <si>
    <t>="""GP Direct"",""Fabrikam, Inc."",""UPR30300"",""PAYRATE"",""0.00000"",""PAYROLCD"",""401K"",""STATECD"","""",""CHEKDATE"",""6/1/2015"",""UPRTRXAM"",""36.66000"""</t>
  </si>
  <si>
    <t>="""GP Direct"",""Fabrikam, Inc."",""UPR30300"",""PAYRATE"",""0.00000"",""PAYROLCD"",""MO"",""STATECD"","""",""CHEKDATE"",""6/1/2015"",""UPRTRXAM"",""27.00000"""</t>
  </si>
  <si>
    <t>="""GP Direct"",""Fabrikam, Inc."",""UPR30300"",""PAYRATE"",""14.10000"",""PAYROLCD"",""HOUR"",""STATECD"",""MO"",""CHEKDATE"",""6/1/2015"",""UPRTRXAM"",""1222.05000"""</t>
  </si>
  <si>
    <t>=NL("Rows","UPR30300",{"PAYRATE","PAYROLCD","STATECD","CHEKDATE","UPRTRXAM"},"+CHEKDATE",$H$4,"EMPLCLAS","@@"&amp;$E902,"EMPLOYID","@@"&amp;$G902,"PAYROLCD",$H$7,"STATECD",$H$8,"CHEKNMBR","@@"&amp;$L902)</t>
  </si>
  <si>
    <t>="""GP Direct"",""Fabrikam, Inc."",""UPR30300"",""PAYRATE"",""900.00000"",""PAYROLCD"",""BONS"",""STATECD"",""MO"",""CHEKDATE"",""1/1/2015"",""UPRTRXAM"",""900.00000"""</t>
  </si>
  <si>
    <t>=NF($O903,"PAYRATE")</t>
  </si>
  <si>
    <t>=NF($O903,"PAYROLCD")</t>
  </si>
  <si>
    <t>=NF($O903,"STATECD")</t>
  </si>
  <si>
    <t>=NF($O903,"CHEKDATE")</t>
  </si>
  <si>
    <t>=NF($O903,"UPRTRXAM")</t>
  </si>
  <si>
    <t>=NL("Rows","UPR30300",{"PAYRATE","PAYROLCD","STATECD","CHEKDATE","UPRTRXAM"},"+CHEKDATE",$H$4,"EMPLCLAS","@@"&amp;$E907,"EMPLOYID","@@"&amp;$G907,"PAYROLCD",$H$7,"STATECD",$H$8,"CHEKNMBR","@@"&amp;$L907)</t>
  </si>
  <si>
    <t>="""GP Direct"",""Fabrikam, Inc."",""UPR30300"",""PAYRATE"",""600.00000"",""PAYROLCD"",""BONS"",""STATECD"",""MO"",""CHEKDATE"",""6/1/2015"",""UPRTRXAM"",""600.00000"""</t>
  </si>
  <si>
    <t>=NF($O908,"PAYRATE")</t>
  </si>
  <si>
    <t>=NF($O908,"PAYROLCD")</t>
  </si>
  <si>
    <t>=NF($O908,"STATECD")</t>
  </si>
  <si>
    <t>=NF($O908,"CHEKDATE")</t>
  </si>
  <si>
    <t>=NF($O908,"UPRTRXAM")</t>
  </si>
  <si>
    <t>=NL("Rows=7","UPR30300","EMPLOYID","CHEKDATE",$H$4,"EMPLCLAS","@@"&amp;$E916,"EMPLOYID",$H$6,"PAYROLCD",$H$7,"STATECD",$H$8)</t>
  </si>
  <si>
    <t>=NL("Rows=4","UPR30300","CHEKNMBR","CHEKDATE",$H$4,"EMPLCLAS","@@"&amp;$E917,"EMPLOYID","@@"&amp;$G917,"PAYROLCD",$H$7,"STATECD",$H$8)</t>
  </si>
  <si>
    <t>=NL("Rows","UPR30300",{"PAYRATE","PAYROLCD","STATECD","CHEKDATE","UPRTRXAM"},"+CHEKDATE",$H$4,"EMPLCLAS","@@"&amp;$E918,"EMPLOYID","@@"&amp;$G918,"PAYROLCD",$H$7,"STATECD",$H$8,"CHEKNMBR","@@"&amp;$L918)</t>
  </si>
  <si>
    <t>="""GP Direct"",""Fabrikam, Inc."",""UPR30300"",""PAYRATE"",""0.00000"",""PAYROLCD"",""401K"",""STATECD"","""",""CHEKDATE"",""1/1/2015"",""UPRTRXAM"",""39.38000"""</t>
  </si>
  <si>
    <t>="""GP Direct"",""Fabrikam, Inc."",""UPR30300"",""PAYRATE"",""0.00000"",""PAYROLCD"",""IL"",""STATECD"","""",""CHEKDATE"",""1/1/2015"",""UPRTRXAM"",""36.79000"""</t>
  </si>
  <si>
    <t>="""GP Direct"",""Fabrikam, Inc."",""UPR30300"",""PAYRATE"",""31500.00000"",""PAYROLCD"",""SALY"",""STATECD"",""IL"",""CHEKDATE"",""1/1/2015"",""UPRTRXAM"",""1312.50000"""</t>
  </si>
  <si>
    <t>=NL("Rows","UPR30300",{"PAYRATE","PAYROLCD","STATECD","CHEKDATE","UPRTRXAM"},"+CHEKDATE",$H$4,"EMPLCLAS","@@"&amp;$E927,"EMPLOYID","@@"&amp;$G927,"PAYROLCD",$H$7,"STATECD",$H$8,"CHEKNMBR","@@"&amp;$L927)</t>
  </si>
  <si>
    <t>="""GP Direct"",""Fabrikam, Inc."",""UPR30300"",""PAYRATE"",""0.00000"",""PAYROLCD"",""401K"",""STATECD"","""",""CHEKDATE"",""2/1/2015"",""UPRTRXAM"",""39.38000"""</t>
  </si>
  <si>
    <t>="""GP Direct"",""Fabrikam, Inc."",""UPR30300"",""PAYRATE"",""0.00000"",""PAYROLCD"",""IL"",""STATECD"","""",""CHEKDATE"",""2/1/2015"",""UPRTRXAM"",""36.79000"""</t>
  </si>
  <si>
    <t>="""GP Direct"",""Fabrikam, Inc."",""UPR30300"",""PAYRATE"",""31500.00000"",""PAYROLCD"",""SALY"",""STATECD"",""IL"",""CHEKDATE"",""2/1/2015"",""UPRTRXAM"",""1312.50000"""</t>
  </si>
  <si>
    <t>=NL("Rows","UPR30300",{"PAYRATE","PAYROLCD","STATECD","CHEKDATE","UPRTRXAM"},"+CHEKDATE",$H$4,"EMPLCLAS","@@"&amp;$E936,"EMPLOYID","@@"&amp;$G936,"PAYROLCD",$H$7,"STATECD",$H$8,"CHEKNMBR","@@"&amp;$L936)</t>
  </si>
  <si>
    <t>="""GP Direct"",""Fabrikam, Inc."",""UPR30300"",""PAYRATE"",""0.00000"",""PAYROLCD"",""401K"",""STATECD"","""",""CHEKDATE"",""3/1/2015"",""UPRTRXAM"",""39.38000"""</t>
  </si>
  <si>
    <t>="""GP Direct"",""Fabrikam, Inc."",""UPR30300"",""PAYRATE"",""0.00000"",""PAYROLCD"",""IL"",""STATECD"","""",""CHEKDATE"",""3/1/2015"",""UPRTRXAM"",""36.79000"""</t>
  </si>
  <si>
    <t>="""GP Direct"",""Fabrikam, Inc."",""UPR30300"",""PAYRATE"",""31500.00000"",""PAYROLCD"",""SALY"",""STATECD"",""IL"",""CHEKDATE"",""3/1/2015"",""UPRTRXAM"",""1312.50000"""</t>
  </si>
  <si>
    <t>=NL("Rows","UPR30300",{"PAYRATE","PAYROLCD","STATECD","CHEKDATE","UPRTRXAM"},"+CHEKDATE",$H$4,"EMPLCLAS","@@"&amp;$E945,"EMPLOYID","@@"&amp;$G945,"PAYROLCD",$H$7,"STATECD",$H$8,"CHEKNMBR","@@"&amp;$L945)</t>
  </si>
  <si>
    <t>="""GP Direct"",""Fabrikam, Inc."",""UPR30300"",""PAYRATE"",""0.00000"",""PAYROLCD"",""401K"",""STATECD"","""",""CHEKDATE"",""4/1/2015"",""UPRTRXAM"",""35.74000"""</t>
  </si>
  <si>
    <t>="""GP Direct"",""Fabrikam, Inc."",""UPR30300"",""PAYRATE"",""0.00000"",""PAYROLCD"",""HOLI"",""STATECD"",""IL"",""CHEKDATE"",""4/1/2015"",""UPRTRXAM"",""0.00000"""</t>
  </si>
  <si>
    <t>="""GP Direct"",""Fabrikam, Inc."",""UPR30300"",""PAYRATE"",""0.00000"",""PAYROLCD"",""IL"",""STATECD"","""",""CHEKDATE"",""4/1/2015"",""UPRTRXAM"",""33.27000"""</t>
  </si>
  <si>
    <t>="""GP Direct"",""Fabrikam, Inc."",""UPR30300"",""PAYRATE"",""15.14423"",""PAYROLCD"",""SALY"",""STATECD"",""IL"",""CHEKDATE"",""4/1/2015"",""UPRTRXAM"",""1191.35000"""</t>
  </si>
  <si>
    <t>=NL("Rows","UPR30300",{"PAYRATE","PAYROLCD","STATECD","CHEKDATE","UPRTRXAM"},"+CHEKDATE",$H$4,"EMPLCLAS","@@"&amp;$E955,"EMPLOYID","@@"&amp;$G955,"PAYROLCD",$H$7,"STATECD",$H$8,"CHEKNMBR","@@"&amp;$L955)</t>
  </si>
  <si>
    <t>="""GP Direct"",""Fabrikam, Inc."",""UPR30300"",""PAYRATE"",""0.00000"",""PAYROLCD"",""401K"",""STATECD"","""",""CHEKDATE"",""5/1/2015"",""UPRTRXAM"",""35.74000"""</t>
  </si>
  <si>
    <t>="""GP Direct"",""Fabrikam, Inc."",""UPR30300"",""PAYRATE"",""0.00000"",""PAYROLCD"",""IL"",""STATECD"","""",""CHEKDATE"",""5/1/2015"",""UPRTRXAM"",""33.27000"""</t>
  </si>
  <si>
    <t>="""GP Direct"",""Fabrikam, Inc."",""UPR30300"",""PAYRATE"",""0.00000"",""PAYROLCD"",""VACN"",""STATECD"",""IL"",""CHEKDATE"",""5/1/2015"",""UPRTRXAM"",""0.00000"""</t>
  </si>
  <si>
    <t>="""GP Direct"",""Fabrikam, Inc."",""UPR30300"",""PAYRATE"",""15.14423"",""PAYROLCD"",""SALY"",""STATECD"",""IL"",""CHEKDATE"",""5/1/2015"",""UPRTRXAM"",""1191.35000"""</t>
  </si>
  <si>
    <t>=NL("Rows","UPR30300",{"PAYRATE","PAYROLCD","STATECD","CHEKDATE","UPRTRXAM"},"+CHEKDATE",$H$4,"EMPLCLAS","@@"&amp;$E965,"EMPLOYID","@@"&amp;$G965,"PAYROLCD",$H$7,"STATECD",$H$8,"CHEKNMBR","@@"&amp;$L965)</t>
  </si>
  <si>
    <t>="""GP Direct"",""Fabrikam, Inc."",""UPR30300"",""PAYRATE"",""0.00000"",""PAYROLCD"",""401K"",""STATECD"","""",""CHEKDATE"",""6/1/2015"",""UPRTRXAM"",""39.38000"""</t>
  </si>
  <si>
    <t>="""GP Direct"",""Fabrikam, Inc."",""UPR30300"",""PAYRATE"",""0.00000"",""PAYROLCD"",""IL"",""STATECD"","""",""CHEKDATE"",""6/1/2015"",""UPRTRXAM"",""36.79000"""</t>
  </si>
  <si>
    <t>="""GP Direct"",""Fabrikam, Inc."",""UPR30300"",""PAYRATE"",""31500.00000"",""PAYROLCD"",""SALY"",""STATECD"",""IL"",""CHEKDATE"",""6/1/2015"",""UPRTRXAM"",""1312.50000"""</t>
  </si>
  <si>
    <t>=NL("Rows=4","UPR30300","CHEKNMBR","CHEKDATE",$H$4,"EMPLCLAS","@@"&amp;$E976,"EMPLOYID","@@"&amp;$G976,"PAYROLCD",$H$7,"STATECD",$H$8)</t>
  </si>
  <si>
    <t>=NL("Rows","UPR30300",{"PAYRATE","PAYROLCD","STATECD","CHEKDATE","UPRTRXAM"},"+CHEKDATE",$H$4,"EMPLCLAS","@@"&amp;$E977,"EMPLOYID","@@"&amp;$G977,"PAYROLCD",$H$7,"STATECD",$H$8,"CHEKNMBR","@@"&amp;$L977)</t>
  </si>
  <si>
    <t>="""GP Direct"",""Fabrikam, Inc."",""UPR30300"",""PAYRATE"",""0.00000"",""PAYROLCD"",""401K"",""STATECD"","""",""CHEKDATE"",""1/1/2015"",""UPRTRXAM"",""25.00000"""</t>
  </si>
  <si>
    <t>="""GP Direct"",""Fabrikam, Inc."",""UPR30300"",""PAYRATE"",""0.00000"",""PAYROLCD"",""NE"",""STATECD"","""",""CHEKDATE"",""1/1/2015"",""UPRTRXAM"",""16.91000"""</t>
  </si>
  <si>
    <t>="""GP Direct"",""Fabrikam, Inc."",""UPR30300"",""PAYRATE"",""20000.00000"",""PAYROLCD"",""SALY"",""STATECD"",""NE"",""CHEKDATE"",""1/1/2015"",""UPRTRXAM"",""833.33000"""</t>
  </si>
  <si>
    <t>=NL("Rows","UPR30300",{"PAYRATE","PAYROLCD","STATECD","CHEKDATE","UPRTRXAM"},"+CHEKDATE",$H$4,"EMPLCLAS","@@"&amp;$E986,"EMPLOYID","@@"&amp;$G986,"PAYROLCD",$H$7,"STATECD",$H$8,"CHEKNMBR","@@"&amp;$L986)</t>
  </si>
  <si>
    <t>="""GP Direct"",""Fabrikam, Inc."",""UPR30300"",""PAYRATE"",""0.00000"",""PAYROLCD"",""401K"",""STATECD"","""",""CHEKDATE"",""2/1/2015"",""UPRTRXAM"",""25.00000"""</t>
  </si>
  <si>
    <t>="""GP Direct"",""Fabrikam, Inc."",""UPR30300"",""PAYRATE"",""0.00000"",""PAYROLCD"",""NE"",""STATECD"","""",""CHEKDATE"",""2/1/2015"",""UPRTRXAM"",""16.91000"""</t>
  </si>
  <si>
    <t>="""GP Direct"",""Fabrikam, Inc."",""UPR30300"",""PAYRATE"",""20000.00000"",""PAYROLCD"",""SALY"",""STATECD"",""NE"",""CHEKDATE"",""2/1/2015"",""UPRTRXAM"",""833.33000"""</t>
  </si>
  <si>
    <t>=NL("Rows","UPR30300",{"PAYRATE","PAYROLCD","STATECD","CHEKDATE","UPRTRXAM"},"+CHEKDATE",$H$4,"EMPLCLAS","@@"&amp;$E995,"EMPLOYID","@@"&amp;$G995,"PAYROLCD",$H$7,"STATECD",$H$8,"CHEKNMBR","@@"&amp;$L995)</t>
  </si>
  <si>
    <t>="""GP Direct"",""Fabrikam, Inc."",""UPR30300"",""PAYRATE"",""0.00000"",""PAYROLCD"",""401K"",""STATECD"","""",""CHEKDATE"",""3/1/2015"",""UPRTRXAM"",""25.00000"""</t>
  </si>
  <si>
    <t>="""GP Direct"",""Fabrikam, Inc."",""UPR30300"",""PAYRATE"",""0.00000"",""PAYROLCD"",""NE"",""STATECD"","""",""CHEKDATE"",""3/1/2015"",""UPRTRXAM"",""16.91000"""</t>
  </si>
  <si>
    <t>="""GP Direct"",""Fabrikam, Inc."",""UPR30300"",""PAYRATE"",""20000.00000"",""PAYROLCD"",""SALY"",""STATECD"",""NE"",""CHEKDATE"",""3/1/2015"",""UPRTRXAM"",""833.33000"""</t>
  </si>
  <si>
    <t>=NL("Rows","UPR30300",{"PAYRATE","PAYROLCD","STATECD","CHEKDATE","UPRTRXAM"},"+CHEKDATE",$H$4,"EMPLCLAS","@@"&amp;$E1004,"EMPLOYID","@@"&amp;$G1004,"PAYROLCD",$H$7,"STATECD",$H$8,"CHEKNMBR","@@"&amp;$L1004)</t>
  </si>
  <si>
    <t>="""GP Direct"",""Fabrikam, Inc."",""UPR30300"",""PAYRATE"",""0.00000"",""PAYROLCD"",""401K"",""STATECD"","""",""CHEKDATE"",""4/1/2015"",""UPRTRXAM"",""25.00000"""</t>
  </si>
  <si>
    <t>="""GP Direct"",""Fabrikam, Inc."",""UPR30300"",""PAYRATE"",""0.00000"",""PAYROLCD"",""NE"",""STATECD"","""",""CHEKDATE"",""4/1/2015"",""UPRTRXAM"",""16.91000"""</t>
  </si>
  <si>
    <t>="""GP Direct"",""Fabrikam, Inc."",""UPR30300"",""PAYRATE"",""20000.00000"",""PAYROLCD"",""SALY"",""STATECD"",""NE"",""CHEKDATE"",""4/1/2015"",""UPRTRXAM"",""833.33000"""</t>
  </si>
  <si>
    <t>=NL("Rows","UPR30300",{"PAYRATE","PAYROLCD","STATECD","CHEKDATE","UPRTRXAM"},"+CHEKDATE",$H$4,"EMPLCLAS","@@"&amp;$E1013,"EMPLOYID","@@"&amp;$G1013,"PAYROLCD",$H$7,"STATECD",$H$8,"CHEKNMBR","@@"&amp;$L1013)</t>
  </si>
  <si>
    <t>="""GP Direct"",""Fabrikam, Inc."",""UPR30300"",""PAYRATE"",""0.00000"",""PAYROLCD"",""401K"",""STATECD"","""",""CHEKDATE"",""5/1/2015"",""UPRTRXAM"",""25.00000"""</t>
  </si>
  <si>
    <t>="""GP Direct"",""Fabrikam, Inc."",""UPR30300"",""PAYRATE"",""0.00000"",""PAYROLCD"",""NE"",""STATECD"","""",""CHEKDATE"",""5/1/2015"",""UPRTRXAM"",""16.91000"""</t>
  </si>
  <si>
    <t>="""GP Direct"",""Fabrikam, Inc."",""UPR30300"",""PAYRATE"",""20000.00000"",""PAYROLCD"",""SALY"",""STATECD"",""NE"",""CHEKDATE"",""5/1/2015"",""UPRTRXAM"",""833.33000"""</t>
  </si>
  <si>
    <t>=NL("Rows","UPR30300",{"PAYRATE","PAYROLCD","STATECD","CHEKDATE","UPRTRXAM"},"+CHEKDATE",$H$4,"EMPLCLAS","@@"&amp;$E1022,"EMPLOYID","@@"&amp;$G1022,"PAYROLCD",$H$7,"STATECD",$H$8,"CHEKNMBR","@@"&amp;$L1022)</t>
  </si>
  <si>
    <t>="""GP Direct"",""Fabrikam, Inc."",""UPR30300"",""PAYRATE"",""0.00000"",""PAYROLCD"",""401K"",""STATECD"","""",""CHEKDATE"",""6/1/2015"",""UPRTRXAM"",""25.00000"""</t>
  </si>
  <si>
    <t>="""GP Direct"",""Fabrikam, Inc."",""UPR30300"",""PAYRATE"",""0.00000"",""PAYROLCD"",""NE"",""STATECD"","""",""CHEKDATE"",""6/1/2015"",""UPRTRXAM"",""16.91000"""</t>
  </si>
  <si>
    <t>="""GP Direct"",""Fabrikam, Inc."",""UPR30300"",""PAYRATE"",""20000.00000"",""PAYROLCD"",""SALY"",""STATECD"",""NE"",""CHEKDATE"",""6/1/2015"",""UPRTRXAM"",""833.33000"""</t>
  </si>
  <si>
    <t>=NL("Rows","UPR30300",{"PAYRATE","PAYROLCD","STATECD","CHEKDATE","UPRTRXAM"},"+CHEKDATE",$H$4,"EMPLCLAS","@@"&amp;$E1031,"EMPLOYID","@@"&amp;$G1031,"PAYROLCD",$H$7,"STATECD",$H$8,"CHEKNMBR","@@"&amp;$L1031)</t>
  </si>
  <si>
    <t>="""GP Direct"",""Fabrikam, Inc."",""UPR30300"",""PAYRATE"",""8750.00000"",""PAYROLCD"",""COMM"",""STATECD"",""NE"",""CHEKDATE"",""1/1/2015"",""UPRTRXAM"",""8750.00000"""</t>
  </si>
  <si>
    <t>=NF($O1032,"PAYRATE")</t>
  </si>
  <si>
    <t>=NF($O1032,"PAYROLCD")</t>
  </si>
  <si>
    <t>=NF($O1032,"STATECD")</t>
  </si>
  <si>
    <t>=NF($O1032,"CHEKDATE")</t>
  </si>
  <si>
    <t>=NF($O1032,"UPRTRXAM")</t>
  </si>
  <si>
    <t>=NL("Rows","UPR30300",{"PAYRATE","PAYROLCD","STATECD","CHEKDATE","UPRTRXAM"},"+CHEKDATE",$H$4,"EMPLCLAS","@@"&amp;$E1036,"EMPLOYID","@@"&amp;$G1036,"PAYROLCD",$H$7,"STATECD",$H$8,"CHEKNMBR","@@"&amp;$L1036)</t>
  </si>
  <si>
    <t>="""GP Direct"",""Fabrikam, Inc."",""UPR30300"",""PAYRATE"",""8750.00000"",""PAYROLCD"",""COMM"",""STATECD"",""NE"",""CHEKDATE"",""6/1/2015"",""UPRTRXAM"",""8750.00000"""</t>
  </si>
  <si>
    <t>=NF($O1037,"PAYRATE")</t>
  </si>
  <si>
    <t>=NF($O1037,"PAYROLCD")</t>
  </si>
  <si>
    <t>=NF($O1037,"STATECD")</t>
  </si>
  <si>
    <t>=NF($O1037,"CHEKDATE")</t>
  </si>
  <si>
    <t>=NF($O1037,"UPRTRXAM")</t>
  </si>
  <si>
    <t>=NL("Rows=4","UPR30300","CHEKNMBR","CHEKDATE",$H$4,"EMPLCLAS","@@"&amp;$E1043,"EMPLOYID","@@"&amp;$G1043,"PAYROLCD",$H$7,"STATECD",$H$8)</t>
  </si>
  <si>
    <t>=NL("Rows","UPR30300",{"PAYRATE","PAYROLCD","STATECD","CHEKDATE","UPRTRXAM"},"+CHEKDATE",$H$4,"EMPLCLAS","@@"&amp;$E1044,"EMPLOYID","@@"&amp;$G1044,"PAYROLCD",$H$7,"STATECD",$H$8,"CHEKNMBR","@@"&amp;$L1044)</t>
  </si>
  <si>
    <t>="""GP Direct"",""Fabrikam, Inc."",""UPR30300"",""PAYRATE"",""0.00000"",""PAYROLCD"",""401K"",""STATECD"","""",""CHEKDATE"",""1/1/2015"",""UPRTRXAM"",""20.75000"""</t>
  </si>
  <si>
    <t>="""GP Direct"",""Fabrikam, Inc."",""UPR30300"",""PAYRATE"",""0.00000"",""PAYROLCD"",""IL"",""STATECD"","""",""CHEKDATE"",""1/1/2015"",""UPRTRXAM"",""18.72000"""</t>
  </si>
  <si>
    <t>="""GP Direct"",""Fabrikam, Inc."",""UPR30300"",""PAYRATE"",""16596.00000"",""PAYROLCD"",""SALY"",""STATECD"",""IL"",""CHEKDATE"",""1/1/2015"",""UPRTRXAM"",""691.50000"""</t>
  </si>
  <si>
    <t>=NL("Rows","UPR30300",{"PAYRATE","PAYROLCD","STATECD","CHEKDATE","UPRTRXAM"},"+CHEKDATE",$H$4,"EMPLCLAS","@@"&amp;$E1053,"EMPLOYID","@@"&amp;$G1053,"PAYROLCD",$H$7,"STATECD",$H$8,"CHEKNMBR","@@"&amp;$L1053)</t>
  </si>
  <si>
    <t>="""GP Direct"",""Fabrikam, Inc."",""UPR30300"",""PAYRATE"",""0.00000"",""PAYROLCD"",""401K"",""STATECD"","""",""CHEKDATE"",""2/1/2015"",""UPRTRXAM"",""20.75000"""</t>
  </si>
  <si>
    <t>="""GP Direct"",""Fabrikam, Inc."",""UPR30300"",""PAYRATE"",""0.00000"",""PAYROLCD"",""IL"",""STATECD"","""",""CHEKDATE"",""2/1/2015"",""UPRTRXAM"",""18.72000"""</t>
  </si>
  <si>
    <t>="""GP Direct"",""Fabrikam, Inc."",""UPR30300"",""PAYRATE"",""16596.00000"",""PAYROLCD"",""SALY"",""STATECD"",""IL"",""CHEKDATE"",""2/1/2015"",""UPRTRXAM"",""691.50000"""</t>
  </si>
  <si>
    <t>=NL("Rows","UPR30300",{"PAYRATE","PAYROLCD","STATECD","CHEKDATE","UPRTRXAM"},"+CHEKDATE",$H$4,"EMPLCLAS","@@"&amp;$E1062,"EMPLOYID","@@"&amp;$G1062,"PAYROLCD",$H$7,"STATECD",$H$8,"CHEKNMBR","@@"&amp;$L1062)</t>
  </si>
  <si>
    <t>="""GP Direct"",""Fabrikam, Inc."",""UPR30300"",""PAYRATE"",""0.00000"",""PAYROLCD"",""401K"",""STATECD"","""",""CHEKDATE"",""3/1/2015"",""UPRTRXAM"",""20.75000"""</t>
  </si>
  <si>
    <t>="""GP Direct"",""Fabrikam, Inc."",""UPR30300"",""PAYRATE"",""0.00000"",""PAYROLCD"",""IL"",""STATECD"","""",""CHEKDATE"",""3/1/2015"",""UPRTRXAM"",""18.72000"""</t>
  </si>
  <si>
    <t>="""GP Direct"",""Fabrikam, Inc."",""UPR30300"",""PAYRATE"",""16596.00000"",""PAYROLCD"",""SALY"",""STATECD"",""IL"",""CHEKDATE"",""3/1/2015"",""UPRTRXAM"",""691.50000"""</t>
  </si>
  <si>
    <t>=NL("Rows","UPR30300",{"PAYRATE","PAYROLCD","STATECD","CHEKDATE","UPRTRXAM"},"+CHEKDATE",$H$4,"EMPLCLAS","@@"&amp;$E1071,"EMPLOYID","@@"&amp;$G1071,"PAYROLCD",$H$7,"STATECD",$H$8,"CHEKNMBR","@@"&amp;$L1071)</t>
  </si>
  <si>
    <t>="""GP Direct"",""Fabrikam, Inc."",""UPR30300"",""PAYRATE"",""0.00000"",""PAYROLCD"",""401K"",""STATECD"","""",""CHEKDATE"",""4/1/2015"",""UPRTRXAM"",""16.92000"""</t>
  </si>
  <si>
    <t>="""GP Direct"",""Fabrikam, Inc."",""UPR30300"",""PAYRATE"",""0.00000"",""PAYROLCD"",""IL"",""STATECD"","""",""CHEKDATE"",""4/1/2015"",""UPRTRXAM"",""15.01000"""</t>
  </si>
  <si>
    <t>="""GP Direct"",""Fabrikam, Inc."",""UPR30300"",""PAYRATE"",""7.97885"",""PAYROLCD"",""SALY"",""STATECD"",""IL"",""CHEKDATE"",""4/1/2015"",""UPRTRXAM"",""563.84000"""</t>
  </si>
  <si>
    <t>=NL("Rows","UPR30300",{"PAYRATE","PAYROLCD","STATECD","CHEKDATE","UPRTRXAM"},"+CHEKDATE",$H$4,"EMPLCLAS","@@"&amp;$E1081,"EMPLOYID","@@"&amp;$G1081,"PAYROLCD",$H$7,"STATECD",$H$8,"CHEKNMBR","@@"&amp;$L1081)</t>
  </si>
  <si>
    <t>="""GP Direct"",""Fabrikam, Inc."",""UPR30300"",""PAYRATE"",""0.00000"",""PAYROLCD"",""401K"",""STATECD"","""",""CHEKDATE"",""5/1/2015"",""UPRTRXAM"",""20.75000"""</t>
  </si>
  <si>
    <t>="""GP Direct"",""Fabrikam, Inc."",""UPR30300"",""PAYRATE"",""0.00000"",""PAYROLCD"",""IL"",""STATECD"","""",""CHEKDATE"",""5/1/2015"",""UPRTRXAM"",""18.72000"""</t>
  </si>
  <si>
    <t>="""GP Direct"",""Fabrikam, Inc."",""UPR30300"",""PAYRATE"",""16596.00000"",""PAYROLCD"",""SALY"",""STATECD"",""IL"",""CHEKDATE"",""5/1/2015"",""UPRTRXAM"",""691.50000"""</t>
  </si>
  <si>
    <t>=NL("Rows","UPR30300",{"PAYRATE","PAYROLCD","STATECD","CHEKDATE","UPRTRXAM"},"+CHEKDATE",$H$4,"EMPLCLAS","@@"&amp;$E1090,"EMPLOYID","@@"&amp;$G1090,"PAYROLCD",$H$7,"STATECD",$H$8,"CHEKNMBR","@@"&amp;$L1090)</t>
  </si>
  <si>
    <t>="""GP Direct"",""Fabrikam, Inc."",""UPR30300"",""PAYRATE"",""0.00000"",""PAYROLCD"",""401K"",""STATECD"","""",""CHEKDATE"",""6/1/2015"",""UPRTRXAM"",""20.75000"""</t>
  </si>
  <si>
    <t>="""GP Direct"",""Fabrikam, Inc."",""UPR30300"",""PAYRATE"",""0.00000"",""PAYROLCD"",""IL"",""STATECD"","""",""CHEKDATE"",""6/1/2015"",""UPRTRXAM"",""18.72000"""</t>
  </si>
  <si>
    <t>="""GP Direct"",""Fabrikam, Inc."",""UPR30300"",""PAYRATE"",""16596.00000"",""PAYROLCD"",""SALY"",""STATECD"",""IL"",""CHEKDATE"",""6/1/2015"",""UPRTRXAM"",""691.50000"""</t>
  </si>
  <si>
    <t>=NL("Rows=4","UPR30300","CHEKNMBR","CHEKDATE",$H$4,"EMPLCLAS","@@"&amp;$E1101,"EMPLOYID","@@"&amp;$G1101,"PAYROLCD",$H$7,"STATECD",$H$8)</t>
  </si>
  <si>
    <t>=NL("Rows","UPR30300",{"PAYRATE","PAYROLCD","STATECD","CHEKDATE","UPRTRXAM"},"+CHEKDATE",$H$4,"EMPLCLAS","@@"&amp;$E1102,"EMPLOYID","@@"&amp;$G1102,"PAYROLCD",$H$7,"STATECD",$H$8,"CHEKNMBR","@@"&amp;$L1102)</t>
  </si>
  <si>
    <t>="""GP Direct"",""Fabrikam, Inc."",""UPR30300"",""PAYRATE"",""0.00000"",""PAYROLCD"",""401K"",""STATECD"","""",""CHEKDATE"",""1/1/2015"",""UPRTRXAM"",""30.00000"""</t>
  </si>
  <si>
    <t>="""GP Direct"",""Fabrikam, Inc."",""UPR30300"",""PAYRATE"",""0.00000"",""PAYROLCD"",""IN"",""STATECD"","""",""CHEKDATE"",""1/1/2015"",""UPRTRXAM"",""31.39000"""</t>
  </si>
  <si>
    <t>="""GP Direct"",""Fabrikam, Inc."",""UPR30300"",""PAYRATE"",""24000.00000"",""PAYROLCD"",""SALY"",""STATECD"",""IN"",""CHEKDATE"",""1/1/2015"",""UPRTRXAM"",""1000.00000"""</t>
  </si>
  <si>
    <t>=NL("Rows","UPR30300",{"PAYRATE","PAYROLCD","STATECD","CHEKDATE","UPRTRXAM"},"+CHEKDATE",$H$4,"EMPLCLAS","@@"&amp;$E1111,"EMPLOYID","@@"&amp;$G1111,"PAYROLCD",$H$7,"STATECD",$H$8,"CHEKNMBR","@@"&amp;$L1111)</t>
  </si>
  <si>
    <t>="""GP Direct"",""Fabrikam, Inc."",""UPR30300"",""PAYRATE"",""0.00000"",""PAYROLCD"",""401K"",""STATECD"","""",""CHEKDATE"",""2/1/2015"",""UPRTRXAM"",""30.00000"""</t>
  </si>
  <si>
    <t>="""GP Direct"",""Fabrikam, Inc."",""UPR30300"",""PAYRATE"",""0.00000"",""PAYROLCD"",""IN"",""STATECD"","""",""CHEKDATE"",""2/1/2015"",""UPRTRXAM"",""31.39000"""</t>
  </si>
  <si>
    <t>="""GP Direct"",""Fabrikam, Inc."",""UPR30300"",""PAYRATE"",""24000.00000"",""PAYROLCD"",""SALY"",""STATECD"",""IN"",""CHEKDATE"",""2/1/2015"",""UPRTRXAM"",""1000.00000"""</t>
  </si>
  <si>
    <t>=NL("Rows","UPR30300",{"PAYRATE","PAYROLCD","STATECD","CHEKDATE","UPRTRXAM"},"+CHEKDATE",$H$4,"EMPLCLAS","@@"&amp;$E1120,"EMPLOYID","@@"&amp;$G1120,"PAYROLCD",$H$7,"STATECD",$H$8,"CHEKNMBR","@@"&amp;$L1120)</t>
  </si>
  <si>
    <t>="""GP Direct"",""Fabrikam, Inc."",""UPR30300"",""PAYRATE"",""0.00000"",""PAYROLCD"",""401K"",""STATECD"","""",""CHEKDATE"",""3/1/2015"",""UPRTRXAM"",""30.00000"""</t>
  </si>
  <si>
    <t>="""GP Direct"",""Fabrikam, Inc."",""UPR30300"",""PAYRATE"",""0.00000"",""PAYROLCD"",""IN"",""STATECD"","""",""CHEKDATE"",""3/1/2015"",""UPRTRXAM"",""31.39000"""</t>
  </si>
  <si>
    <t>="""GP Direct"",""Fabrikam, Inc."",""UPR30300"",""PAYRATE"",""24000.00000"",""PAYROLCD"",""SALY"",""STATECD"",""IN"",""CHEKDATE"",""3/1/2015"",""UPRTRXAM"",""1000.00000"""</t>
  </si>
  <si>
    <t>=NL("Rows","UPR30300",{"PAYRATE","PAYROLCD","STATECD","CHEKDATE","UPRTRXAM"},"+CHEKDATE",$H$4,"EMPLCLAS","@@"&amp;$E1129,"EMPLOYID","@@"&amp;$G1129,"PAYROLCD",$H$7,"STATECD",$H$8,"CHEKNMBR","@@"&amp;$L1129)</t>
  </si>
  <si>
    <t>="""GP Direct"",""Fabrikam, Inc."",""UPR30300"",""PAYRATE"",""0.00000"",""PAYROLCD"",""401K"",""STATECD"","""",""CHEKDATE"",""4/1/2015"",""UPRTRXAM"",""30.00000"""</t>
  </si>
  <si>
    <t>="""GP Direct"",""Fabrikam, Inc."",""UPR30300"",""PAYRATE"",""0.00000"",""PAYROLCD"",""IN"",""STATECD"","""",""CHEKDATE"",""4/1/2015"",""UPRTRXAM"",""31.39000"""</t>
  </si>
  <si>
    <t>="""GP Direct"",""Fabrikam, Inc."",""UPR30300"",""PAYRATE"",""24000.00000"",""PAYROLCD"",""SALY"",""STATECD"",""IN"",""CHEKDATE"",""4/1/2015"",""UPRTRXAM"",""1000.00000"""</t>
  </si>
  <si>
    <t>=NL("Rows","UPR30300",{"PAYRATE","PAYROLCD","STATECD","CHEKDATE","UPRTRXAM"},"+CHEKDATE",$H$4,"EMPLCLAS","@@"&amp;$E1138,"EMPLOYID","@@"&amp;$G1138,"PAYROLCD",$H$7,"STATECD",$H$8,"CHEKNMBR","@@"&amp;$L1138)</t>
  </si>
  <si>
    <t>="""GP Direct"",""Fabrikam, Inc."",""UPR30300"",""PAYRATE"",""0.00000"",""PAYROLCD"",""401K"",""STATECD"","""",""CHEKDATE"",""5/1/2015"",""UPRTRXAM"",""30.00000"""</t>
  </si>
  <si>
    <t>="""GP Direct"",""Fabrikam, Inc."",""UPR30300"",""PAYRATE"",""0.00000"",""PAYROLCD"",""IN"",""STATECD"","""",""CHEKDATE"",""5/1/2015"",""UPRTRXAM"",""31.39000"""</t>
  </si>
  <si>
    <t>="""GP Direct"",""Fabrikam, Inc."",""UPR30300"",""PAYRATE"",""24000.00000"",""PAYROLCD"",""SALY"",""STATECD"",""IN"",""CHEKDATE"",""5/1/2015"",""UPRTRXAM"",""1000.00000"""</t>
  </si>
  <si>
    <t>=NL("Rows","UPR30300",{"PAYRATE","PAYROLCD","STATECD","CHEKDATE","UPRTRXAM"},"+CHEKDATE",$H$4,"EMPLCLAS","@@"&amp;$E1147,"EMPLOYID","@@"&amp;$G1147,"PAYROLCD",$H$7,"STATECD",$H$8,"CHEKNMBR","@@"&amp;$L1147)</t>
  </si>
  <si>
    <t>="""GP Direct"",""Fabrikam, Inc."",""UPR30300"",""PAYRATE"",""0.00000"",""PAYROLCD"",""401K"",""STATECD"","""",""CHEKDATE"",""6/1/2015"",""UPRTRXAM"",""30.00000"""</t>
  </si>
  <si>
    <t>="""GP Direct"",""Fabrikam, Inc."",""UPR30300"",""PAYRATE"",""0.00000"",""PAYROLCD"",""IN"",""STATECD"","""",""CHEKDATE"",""6/1/2015"",""UPRTRXAM"",""31.39000"""</t>
  </si>
  <si>
    <t>="""GP Direct"",""Fabrikam, Inc."",""UPR30300"",""PAYRATE"",""24000.00000"",""PAYROLCD"",""SALY"",""STATECD"",""IN"",""CHEKDATE"",""6/1/2015"",""UPRTRXAM"",""1000.00000"""</t>
  </si>
  <si>
    <t>=NL("Rows","UPR30300",{"PAYRATE","PAYROLCD","STATECD","CHEKDATE","UPRTRXAM"},"+CHEKDATE",$H$4,"EMPLCLAS","@@"&amp;$E1156,"EMPLOYID","@@"&amp;$G1156,"PAYROLCD",$H$7,"STATECD",$H$8,"CHEKNMBR","@@"&amp;$L1156)</t>
  </si>
  <si>
    <t>="""GP Direct"",""Fabrikam, Inc."",""UPR30300"",""PAYRATE"",""5550.00000"",""PAYROLCD"",""COMM"",""STATECD"",""IN"",""CHEKDATE"",""1/1/2015"",""UPRTRXAM"",""5550.00000"""</t>
  </si>
  <si>
    <t>=NF($O1157,"PAYRATE")</t>
  </si>
  <si>
    <t>=NF($O1157,"PAYROLCD")</t>
  </si>
  <si>
    <t>=NF($O1157,"STATECD")</t>
  </si>
  <si>
    <t>=NF($O1157,"CHEKDATE")</t>
  </si>
  <si>
    <t>=NF($O1157,"UPRTRXAM")</t>
  </si>
  <si>
    <t>=NL("Rows","UPR30300",{"PAYRATE","PAYROLCD","STATECD","CHEKDATE","UPRTRXAM"},"+CHEKDATE",$H$4,"EMPLCLAS","@@"&amp;$E1161,"EMPLOYID","@@"&amp;$G1161,"PAYROLCD",$H$7,"STATECD",$H$8,"CHEKNMBR","@@"&amp;$L1161)</t>
  </si>
  <si>
    <t>="""GP Direct"",""Fabrikam, Inc."",""UPR30300"",""PAYRATE"",""5550.00000"",""PAYROLCD"",""COMM"",""STATECD"",""IN"",""CHEKDATE"",""6/1/2015"",""UPRTRXAM"",""5550.00000"""</t>
  </si>
  <si>
    <t>=NF($O1162,"PAYRATE")</t>
  </si>
  <si>
    <t>=NF($O1162,"PAYROLCD")</t>
  </si>
  <si>
    <t>=NF($O1162,"STATECD")</t>
  </si>
  <si>
    <t>=NF($O1162,"CHEKDATE")</t>
  </si>
  <si>
    <t>=NF($O1162,"UPRTRXAM")</t>
  </si>
  <si>
    <t>=NL("Rows=4","UPR30300","CHEKNMBR","CHEKDATE",$H$4,"EMPLCLAS","@@"&amp;$E1168,"EMPLOYID","@@"&amp;$G1168,"PAYROLCD",$H$7,"STATECD",$H$8)</t>
  </si>
  <si>
    <t>=NL("Rows","UPR30300",{"PAYRATE","PAYROLCD","STATECD","CHEKDATE","UPRTRXAM"},"+CHEKDATE",$H$4,"EMPLCLAS","@@"&amp;$E1169,"EMPLOYID","@@"&amp;$G1169,"PAYROLCD",$H$7,"STATECD",$H$8,"CHEKNMBR","@@"&amp;$L1169)</t>
  </si>
  <si>
    <t>="""GP Direct"",""Fabrikam, Inc."",""UPR30300"",""PAYRATE"",""0.00000"",""PAYROLCD"",""401K"",""STATECD"","""",""CHEKDATE"",""1/1/2015"",""UPRTRXAM"",""50.37000"""</t>
  </si>
  <si>
    <t>="""GP Direct"",""Fabrikam, Inc."",""UPR30300"",""PAYRATE"",""0.00000"",""PAYROLCD"",""IL"",""STATECD"","""",""CHEKDATE"",""1/1/2015"",""UPRTRXAM"",""22.12000"""</t>
  </si>
  <si>
    <t>="""GP Direct"",""Fabrikam, Inc."",""UPR30300"",""PAYRATE"",""24178.00000"",""PAYROLCD"",""SALY"",""STATECD"",""IL"",""CHEKDATE"",""1/1/2015"",""UPRTRXAM"",""1007.42000"""</t>
  </si>
  <si>
    <t>=NL("Rows","UPR30300",{"PAYRATE","PAYROLCD","STATECD","CHEKDATE","UPRTRXAM"},"+CHEKDATE",$H$4,"EMPLCLAS","@@"&amp;$E1179,"EMPLOYID","@@"&amp;$G1179,"PAYROLCD",$H$7,"STATECD",$H$8,"CHEKNMBR","@@"&amp;$L1179)</t>
  </si>
  <si>
    <t>="""GP Direct"",""Fabrikam, Inc."",""UPR30300"",""PAYRATE"",""0.00000"",""PAYROLCD"",""401K"",""STATECD"","""",""CHEKDATE"",""2/1/2015"",""UPRTRXAM"",""50.37000"""</t>
  </si>
  <si>
    <t>="""GP Direct"",""Fabrikam, Inc."",""UPR30300"",""PAYRATE"",""0.00000"",""PAYROLCD"",""IL"",""STATECD"","""",""CHEKDATE"",""2/1/2015"",""UPRTRXAM"",""22.12000"""</t>
  </si>
  <si>
    <t>="""GP Direct"",""Fabrikam, Inc."",""UPR30300"",""PAYRATE"",""24178.00000"",""PAYROLCD"",""SALY"",""STATECD"",""IL"",""CHEKDATE"",""2/1/2015"",""UPRTRXAM"",""1007.42000"""</t>
  </si>
  <si>
    <t>=NL("Rows","UPR30300",{"PAYRATE","PAYROLCD","STATECD","CHEKDATE","UPRTRXAM"},"+CHEKDATE",$H$4,"EMPLCLAS","@@"&amp;$E1189,"EMPLOYID","@@"&amp;$G1189,"PAYROLCD",$H$7,"STATECD",$H$8,"CHEKNMBR","@@"&amp;$L1189)</t>
  </si>
  <si>
    <t>="""GP Direct"",""Fabrikam, Inc."",""UPR30300"",""PAYRATE"",""0.00000"",""PAYROLCD"",""401K"",""STATECD"","""",""CHEKDATE"",""3/1/2015"",""UPRTRXAM"",""45.72000"""</t>
  </si>
  <si>
    <t>="""GP Direct"",""Fabrikam, Inc."",""UPR30300"",""PAYRATE"",""0.00000"",""PAYROLCD"",""IL"",""STATECD"","""",""CHEKDATE"",""3/1/2015"",""UPRTRXAM"",""19.47000"""</t>
  </si>
  <si>
    <t>="""GP Direct"",""Fabrikam, Inc."",""UPR30300"",""PAYRATE"",""11.62408"",""PAYROLCD"",""SALY"",""STATECD"",""IL"",""CHEKDATE"",""3/1/2015"",""UPRTRXAM"",""914.43000"""</t>
  </si>
  <si>
    <t>=NL("Rows","UPR30300",{"PAYRATE","PAYROLCD","STATECD","CHEKDATE","UPRTRXAM"},"+CHEKDATE",$H$4,"EMPLCLAS","@@"&amp;$E1200,"EMPLOYID","@@"&amp;$G1200,"PAYROLCD",$H$7,"STATECD",$H$8,"CHEKNMBR","@@"&amp;$L1200)</t>
  </si>
  <si>
    <t>="""GP Direct"",""Fabrikam, Inc."",""UPR30300"",""PAYRATE"",""0.00000"",""PAYROLCD"",""401K"",""STATECD"","""",""CHEKDATE"",""4/1/2015"",""UPRTRXAM"",""50.37000"""</t>
  </si>
  <si>
    <t>="""GP Direct"",""Fabrikam, Inc."",""UPR30300"",""PAYRATE"",""0.00000"",""PAYROLCD"",""IL"",""STATECD"","""",""CHEKDATE"",""4/1/2015"",""UPRTRXAM"",""22.12000"""</t>
  </si>
  <si>
    <t>="""GP Direct"",""Fabrikam, Inc."",""UPR30300"",""PAYRATE"",""24178.00000"",""PAYROLCD"",""SALY"",""STATECD"",""IL"",""CHEKDATE"",""4/1/2015"",""UPRTRXAM"",""1007.42000"""</t>
  </si>
  <si>
    <t>=NL("Rows","UPR30300",{"PAYRATE","PAYROLCD","STATECD","CHEKDATE","UPRTRXAM"},"+CHEKDATE",$H$4,"EMPLCLAS","@@"&amp;$E1210,"EMPLOYID","@@"&amp;$G1210,"PAYROLCD",$H$7,"STATECD",$H$8,"CHEKNMBR","@@"&amp;$L1210)</t>
  </si>
  <si>
    <t>="""GP Direct"",""Fabrikam, Inc."",""UPR30300"",""PAYRATE"",""0.00000"",""PAYROLCD"",""401K"",""STATECD"","""",""CHEKDATE"",""5/1/2015"",""UPRTRXAM"",""50.37000"""</t>
  </si>
  <si>
    <t>="""GP Direct"",""Fabrikam, Inc."",""UPR30300"",""PAYRATE"",""0.00000"",""PAYROLCD"",""IL"",""STATECD"","""",""CHEKDATE"",""5/1/2015"",""UPRTRXAM"",""22.12000"""</t>
  </si>
  <si>
    <t>="""GP Direct"",""Fabrikam, Inc."",""UPR30300"",""PAYRATE"",""24178.00000"",""PAYROLCD"",""SALY"",""STATECD"",""IL"",""CHEKDATE"",""5/1/2015"",""UPRTRXAM"",""1007.42000"""</t>
  </si>
  <si>
    <t>=NL("Rows","UPR30300",{"PAYRATE","PAYROLCD","STATECD","CHEKDATE","UPRTRXAM"},"+CHEKDATE",$H$4,"EMPLCLAS","@@"&amp;$E1220,"EMPLOYID","@@"&amp;$G1220,"PAYROLCD",$H$7,"STATECD",$H$8,"CHEKNMBR","@@"&amp;$L1220)</t>
  </si>
  <si>
    <t>="""GP Direct"",""Fabrikam, Inc."",""UPR30300"",""PAYRATE"",""0.00000"",""PAYROLCD"",""401K"",""STATECD"","""",""CHEKDATE"",""6/1/2015"",""UPRTRXAM"",""50.37000"""</t>
  </si>
  <si>
    <t>="""GP Direct"",""Fabrikam, Inc."",""UPR30300"",""PAYRATE"",""0.00000"",""PAYROLCD"",""IL"",""STATECD"","""",""CHEKDATE"",""6/1/2015"",""UPRTRXAM"",""22.12000"""</t>
  </si>
  <si>
    <t>="""GP Direct"",""Fabrikam, Inc."",""UPR30300"",""PAYRATE"",""24178.00000"",""PAYROLCD"",""SALY"",""STATECD"",""IL"",""CHEKDATE"",""6/1/2015"",""UPRTRXAM"",""1007.42000"""</t>
  </si>
  <si>
    <t>=NL("Rows=4","UPR30300","CHEKNMBR","CHEKDATE",$H$4,"EMPLCLAS","@@"&amp;$E1232,"EMPLOYID","@@"&amp;$G1232,"PAYROLCD",$H$7,"STATECD",$H$8)</t>
  </si>
  <si>
    <t>=NL("Rows","UPR30300",{"PAYRATE","PAYROLCD","STATECD","CHEKDATE","UPRTRXAM"},"+CHEKDATE",$H$4,"EMPLCLAS","@@"&amp;$E1233,"EMPLOYID","@@"&amp;$G1233,"PAYROLCD",$H$7,"STATECD",$H$8,"CHEKNMBR","@@"&amp;$L1233)</t>
  </si>
  <si>
    <t>="""GP Direct"",""Fabrikam, Inc."",""UPR30300"",""PAYRATE"",""0.00000"",""PAYROLCD"",""401K"",""STATECD"","""",""CHEKDATE"",""1/1/2015"",""UPRTRXAM"",""21.79000"""</t>
  </si>
  <si>
    <t>="""GP Direct"",""Fabrikam, Inc."",""UPR30300"",""PAYRATE"",""0.00000"",""PAYROLCD"",""IL"",""STATECD"","""",""CHEKDATE"",""1/1/2015"",""UPRTRXAM"",""19.74000"""</t>
  </si>
  <si>
    <t>="""GP Direct"",""Fabrikam, Inc."",""UPR30300"",""PAYRATE"",""17432.00000"",""PAYROLCD"",""SALY"",""STATECD"",""IL"",""CHEKDATE"",""1/1/2015"",""UPRTRXAM"",""726.33000"""</t>
  </si>
  <si>
    <t>=NL("Rows","UPR30300",{"PAYRATE","PAYROLCD","STATECD","CHEKDATE","UPRTRXAM"},"+CHEKDATE",$H$4,"EMPLCLAS","@@"&amp;$E1242,"EMPLOYID","@@"&amp;$G1242,"PAYROLCD",$H$7,"STATECD",$H$8,"CHEKNMBR","@@"&amp;$L1242)</t>
  </si>
  <si>
    <t>="""GP Direct"",""Fabrikam, Inc."",""UPR30300"",""PAYRATE"",""0.00000"",""PAYROLCD"",""401K"",""STATECD"","""",""CHEKDATE"",""2/1/2015"",""UPRTRXAM"",""19.78000"""</t>
  </si>
  <si>
    <t>="""GP Direct"",""Fabrikam, Inc."",""UPR30300"",""PAYRATE"",""0.00000"",""PAYROLCD"",""IL"",""STATECD"","""",""CHEKDATE"",""2/1/2015"",""UPRTRXAM"",""17.79000"""</t>
  </si>
  <si>
    <t>="""GP Direct"",""Fabrikam, Inc."",""UPR30300"",""PAYRATE"",""8.38073"",""PAYROLCD"",""SALY"",""STATECD"",""IL"",""CHEKDATE"",""2/1/2015"",""UPRTRXAM"",""659.28000"""</t>
  </si>
  <si>
    <t>=NL("Rows","UPR30300",{"PAYRATE","PAYROLCD","STATECD","CHEKDATE","UPRTRXAM"},"+CHEKDATE",$H$4,"EMPLCLAS","@@"&amp;$E1252,"EMPLOYID","@@"&amp;$G1252,"PAYROLCD",$H$7,"STATECD",$H$8,"CHEKNMBR","@@"&amp;$L1252)</t>
  </si>
  <si>
    <t>="""GP Direct"",""Fabrikam, Inc."",""UPR30300"",""PAYRATE"",""0.00000"",""PAYROLCD"",""401K"",""STATECD"","""",""CHEKDATE"",""3/1/2015"",""UPRTRXAM"",""21.79000"""</t>
  </si>
  <si>
    <t>="""GP Direct"",""Fabrikam, Inc."",""UPR30300"",""PAYRATE"",""0.00000"",""PAYROLCD"",""IL"",""STATECD"","""",""CHEKDATE"",""3/1/2015"",""UPRTRXAM"",""19.74000"""</t>
  </si>
  <si>
    <t>="""GP Direct"",""Fabrikam, Inc."",""UPR30300"",""PAYRATE"",""17432.00000"",""PAYROLCD"",""SALY"",""STATECD"",""IL"",""CHEKDATE"",""3/1/2015"",""UPRTRXAM"",""726.33000"""</t>
  </si>
  <si>
    <t>=NL("Rows","UPR30300",{"PAYRATE","PAYROLCD","STATECD","CHEKDATE","UPRTRXAM"},"+CHEKDATE",$H$4,"EMPLCLAS","@@"&amp;$E1261,"EMPLOYID","@@"&amp;$G1261,"PAYROLCD",$H$7,"STATECD",$H$8,"CHEKNMBR","@@"&amp;$L1261)</t>
  </si>
  <si>
    <t>="""GP Direct"",""Fabrikam, Inc."",""UPR30300"",""PAYRATE"",""0.00000"",""PAYROLCD"",""401K"",""STATECD"","""",""CHEKDATE"",""4/1/2015"",""UPRTRXAM"",""21.79000"""</t>
  </si>
  <si>
    <t>="""GP Direct"",""Fabrikam, Inc."",""UPR30300"",""PAYRATE"",""0.00000"",""PAYROLCD"",""IL"",""STATECD"","""",""CHEKDATE"",""4/1/2015"",""UPRTRXAM"",""19.74000"""</t>
  </si>
  <si>
    <t>="""GP Direct"",""Fabrikam, Inc."",""UPR30300"",""PAYRATE"",""17432.00000"",""PAYROLCD"",""SALY"",""STATECD"",""IL"",""CHEKDATE"",""4/1/2015"",""UPRTRXAM"",""726.33000"""</t>
  </si>
  <si>
    <t>=NL("Rows","UPR30300",{"PAYRATE","PAYROLCD","STATECD","CHEKDATE","UPRTRXAM"},"+CHEKDATE",$H$4,"EMPLCLAS","@@"&amp;$E1270,"EMPLOYID","@@"&amp;$G1270,"PAYROLCD",$H$7,"STATECD",$H$8,"CHEKNMBR","@@"&amp;$L1270)</t>
  </si>
  <si>
    <t>="""GP Direct"",""Fabrikam, Inc."",""UPR30300"",""PAYRATE"",""0.00000"",""PAYROLCD"",""401K"",""STATECD"","""",""CHEKDATE"",""5/1/2015"",""UPRTRXAM"",""21.79000"""</t>
  </si>
  <si>
    <t>="""GP Direct"",""Fabrikam, Inc."",""UPR30300"",""PAYRATE"",""0.00000"",""PAYROLCD"",""IL"",""STATECD"","""",""CHEKDATE"",""5/1/2015"",""UPRTRXAM"",""19.74000"""</t>
  </si>
  <si>
    <t>="""GP Direct"",""Fabrikam, Inc."",""UPR30300"",""PAYRATE"",""17432.00000"",""PAYROLCD"",""SALY"",""STATECD"",""IL"",""CHEKDATE"",""5/1/2015"",""UPRTRXAM"",""726.33000"""</t>
  </si>
  <si>
    <t>=NL("Rows","UPR30300",{"PAYRATE","PAYROLCD","STATECD","CHEKDATE","UPRTRXAM"},"+CHEKDATE",$H$4,"EMPLCLAS","@@"&amp;$E1279,"EMPLOYID","@@"&amp;$G1279,"PAYROLCD",$H$7,"STATECD",$H$8,"CHEKNMBR","@@"&amp;$L1279)</t>
  </si>
  <si>
    <t>="""GP Direct"",""Fabrikam, Inc."",""UPR30300"",""PAYRATE"",""0.00000"",""PAYROLCD"",""401K"",""STATECD"","""",""CHEKDATE"",""6/1/2015"",""UPRTRXAM"",""21.79000"""</t>
  </si>
  <si>
    <t>="""GP Direct"",""Fabrikam, Inc."",""UPR30300"",""PAYRATE"",""0.00000"",""PAYROLCD"",""IL"",""STATECD"","""",""CHEKDATE"",""6/1/2015"",""UPRTRXAM"",""19.74000"""</t>
  </si>
  <si>
    <t>="""GP Direct"",""Fabrikam, Inc."",""UPR30300"",""PAYRATE"",""17432.00000"",""PAYROLCD"",""SALY"",""STATECD"",""IL"",""CHEKDATE"",""6/1/2015"",""UPRTRXAM"",""726.33000"""</t>
  </si>
  <si>
    <t>=NL("Rows=4","UPR30300","CHEKNMBR","CHEKDATE",$H$4,"EMPLCLAS","@@"&amp;$E1290,"EMPLOYID","@@"&amp;$G1290,"PAYROLCD",$H$7,"STATECD",$H$8)</t>
  </si>
  <si>
    <t>=NL("Rows","UPR30300",{"PAYRATE","PAYROLCD","STATECD","CHEKDATE","UPRTRXAM"},"+CHEKDATE",$H$4,"EMPLCLAS","@@"&amp;$E1291,"EMPLOYID","@@"&amp;$G1291,"PAYROLCD",$H$7,"STATECD",$H$8,"CHEKNMBR","@@"&amp;$L1291)</t>
  </si>
  <si>
    <t>="""GP Direct"",""Fabrikam, Inc."",""UPR30300"",""PAYRATE"",""0.00000"",""PAYROLCD"",""401K"",""STATECD"","""",""CHEKDATE"",""1/1/2015"",""UPRTRXAM"",""22.44000"""</t>
  </si>
  <si>
    <t>="""GP Direct"",""Fabrikam, Inc."",""UPR30300"",""PAYRATE"",""0.00000"",""PAYROLCD"",""IL"",""STATECD"","""",""CHEKDATE"",""1/1/2015"",""UPRTRXAM"",""8.98000"""</t>
  </si>
  <si>
    <t>="""GP Direct"",""Fabrikam, Inc."",""UPR30300"",""PAYRATE"",""17955.00000"",""PAYROLCD"",""SALY"",""STATECD"",""IL"",""CHEKDATE"",""1/1/2015"",""UPRTRXAM"",""748.13000"""</t>
  </si>
  <si>
    <t>=NL("Rows","UPR30300",{"PAYRATE","PAYROLCD","STATECD","CHEKDATE","UPRTRXAM"},"+CHEKDATE",$H$4,"EMPLCLAS","@@"&amp;$E1301,"EMPLOYID","@@"&amp;$G1301,"PAYROLCD",$H$7,"STATECD",$H$8,"CHEKNMBR","@@"&amp;$L1301)</t>
  </si>
  <si>
    <t>="""GP Direct"",""Fabrikam, Inc."",""UPR30300"",""PAYRATE"",""0.00000"",""PAYROLCD"",""401K"",""STATECD"","""",""CHEKDATE"",""2/1/2015"",""UPRTRXAM"",""22.44000"""</t>
  </si>
  <si>
    <t>="""GP Direct"",""Fabrikam, Inc."",""UPR30300"",""PAYRATE"",""0.00000"",""PAYROLCD"",""IL"",""STATECD"","""",""CHEKDATE"",""2/1/2015"",""UPRTRXAM"",""8.98000"""</t>
  </si>
  <si>
    <t>="""GP Direct"",""Fabrikam, Inc."",""UPR30300"",""PAYRATE"",""17955.00000"",""PAYROLCD"",""SALY"",""STATECD"",""IL"",""CHEKDATE"",""2/1/2015"",""UPRTRXAM"",""748.13000"""</t>
  </si>
  <si>
    <t>=NL("Rows","UPR30300",{"PAYRATE","PAYROLCD","STATECD","CHEKDATE","UPRTRXAM"},"+CHEKDATE",$H$4,"EMPLCLAS","@@"&amp;$E1311,"EMPLOYID","@@"&amp;$G1311,"PAYROLCD",$H$7,"STATECD",$H$8,"CHEKNMBR","@@"&amp;$L1311)</t>
  </si>
  <si>
    <t>="""GP Direct"",""Fabrikam, Inc."",""UPR30300"",""PAYRATE"",""0.00000"",""PAYROLCD"",""401K"",""STATECD"","""",""CHEKDATE"",""3/1/2015"",""UPRTRXAM"",""22.44000"""</t>
  </si>
  <si>
    <t>="""GP Direct"",""Fabrikam, Inc."",""UPR30300"",""PAYRATE"",""0.00000"",""PAYROLCD"",""IL"",""STATECD"","""",""CHEKDATE"",""3/1/2015"",""UPRTRXAM"",""8.98000"""</t>
  </si>
  <si>
    <t>="""GP Direct"",""Fabrikam, Inc."",""UPR30300"",""PAYRATE"",""17955.00000"",""PAYROLCD"",""SALY"",""STATECD"",""IL"",""CHEKDATE"",""3/1/2015"",""UPRTRXAM"",""748.13000"""</t>
  </si>
  <si>
    <t>=NL("Rows","UPR30300",{"PAYRATE","PAYROLCD","STATECD","CHEKDATE","UPRTRXAM"},"+CHEKDATE",$H$4,"EMPLCLAS","@@"&amp;$E1321,"EMPLOYID","@@"&amp;$G1321,"PAYROLCD",$H$7,"STATECD",$H$8,"CHEKNMBR","@@"&amp;$L1321)</t>
  </si>
  <si>
    <t>="""GP Direct"",""Fabrikam, Inc."",""UPR30300"",""PAYRATE"",""0.00000"",""PAYROLCD"",""401K"",""STATECD"","""",""CHEKDATE"",""4/1/2015"",""UPRTRXAM"",""22.44000"""</t>
  </si>
  <si>
    <t>="""GP Direct"",""Fabrikam, Inc."",""UPR30300"",""PAYRATE"",""0.00000"",""PAYROLCD"",""IL"",""STATECD"","""",""CHEKDATE"",""4/1/2015"",""UPRTRXAM"",""8.98000"""</t>
  </si>
  <si>
    <t>="""GP Direct"",""Fabrikam, Inc."",""UPR30300"",""PAYRATE"",""17955.00000"",""PAYROLCD"",""SALY"",""STATECD"",""IL"",""CHEKDATE"",""4/1/2015"",""UPRTRXAM"",""748.13000"""</t>
  </si>
  <si>
    <t>=NL("Rows","UPR30300",{"PAYRATE","PAYROLCD","STATECD","CHEKDATE","UPRTRXAM"},"+CHEKDATE",$H$4,"EMPLCLAS","@@"&amp;$E1331,"EMPLOYID","@@"&amp;$G1331,"PAYROLCD",$H$7,"STATECD",$H$8,"CHEKNMBR","@@"&amp;$L1331)</t>
  </si>
  <si>
    <t>="""GP Direct"",""Fabrikam, Inc."",""UPR30300"",""PAYRATE"",""0.00000"",""PAYROLCD"",""401K"",""STATECD"","""",""CHEKDATE"",""5/1/2015"",""UPRTRXAM"",""22.44000"""</t>
  </si>
  <si>
    <t>="""GP Direct"",""Fabrikam, Inc."",""UPR30300"",""PAYRATE"",""0.00000"",""PAYROLCD"",""IL"",""STATECD"","""",""CHEKDATE"",""5/1/2015"",""UPRTRXAM"",""8.98000"""</t>
  </si>
  <si>
    <t>="""GP Direct"",""Fabrikam, Inc."",""UPR30300"",""PAYRATE"",""17955.00000"",""PAYROLCD"",""SALY"",""STATECD"",""IL"",""CHEKDATE"",""5/1/2015"",""UPRTRXAM"",""748.13000"""</t>
  </si>
  <si>
    <t>=NL("Rows","UPR30300",{"PAYRATE","PAYROLCD","STATECD","CHEKDATE","UPRTRXAM"},"+CHEKDATE",$H$4,"EMPLCLAS","@@"&amp;$E1341,"EMPLOYID","@@"&amp;$G1341,"PAYROLCD",$H$7,"STATECD",$H$8,"CHEKNMBR","@@"&amp;$L1341)</t>
  </si>
  <si>
    <t>="""GP Direct"",""Fabrikam, Inc."",""UPR30300"",""PAYRATE"",""0.00000"",""PAYROLCD"",""401K"",""STATECD"","""",""CHEKDATE"",""6/1/2015"",""UPRTRXAM"",""22.44000"""</t>
  </si>
  <si>
    <t>="""GP Direct"",""Fabrikam, Inc."",""UPR30300"",""PAYRATE"",""0.00000"",""PAYROLCD"",""IL"",""STATECD"","""",""CHEKDATE"",""6/1/2015"",""UPRTRXAM"",""8.98000"""</t>
  </si>
  <si>
    <t>="""GP Direct"",""Fabrikam, Inc."",""UPR30300"",""PAYRATE"",""17955.00000"",""PAYROLCD"",""SALY"",""STATECD"",""IL"",""CHEKDATE"",""6/1/2015"",""UPRTRXAM"",""748.13000"""</t>
  </si>
  <si>
    <t>=NL("Rows=4","UPR30300","CHEKNMBR","CHEKDATE",$H$4,"EMPLCLAS","@@"&amp;$E1353,"EMPLOYID","@@"&amp;$G1353,"PAYROLCD",$H$7,"STATECD",$H$8)</t>
  </si>
  <si>
    <t>=NL("Rows","UPR30300",{"PAYRATE","PAYROLCD","STATECD","CHEKDATE","UPRTRXAM"},"+CHEKDATE",$H$4,"EMPLCLAS","@@"&amp;$E1354,"EMPLOYID","@@"&amp;$G1354,"PAYROLCD",$H$7,"STATECD",$H$8,"CHEKNMBR","@@"&amp;$L1354)</t>
  </si>
  <si>
    <t>="""GP Direct"",""Fabrikam, Inc."",""UPR30300"",""PAYRATE"",""0.00000"",""PAYROLCD"",""MED"",""STATECD"","""",""CHEKDATE"",""1/1/2015"",""UPRTRXAM"",""10.00000"""</t>
  </si>
  <si>
    <t>="""GP Direct"",""Fabrikam, Inc."",""UPR30300"",""PAYRATE"",""0.00000"",""PAYROLCD"",""MN"",""STATECD"","""",""CHEKDATE"",""1/1/2015"",""UPRTRXAM"",""13.24000"""</t>
  </si>
  <si>
    <t>="""GP Direct"",""Fabrikam, Inc."",""UPR30300"",""PAYRATE"",""24000.00000"",""PAYROLCD"",""SALY"",""STATECD"",""MN"",""CHEKDATE"",""1/1/2015"",""UPRTRXAM"",""1000.00000"""</t>
  </si>
  <si>
    <t>=NL("Rows","UPR30300",{"PAYRATE","PAYROLCD","STATECD","CHEKDATE","UPRTRXAM"},"+CHEKDATE",$H$4,"EMPLCLAS","@@"&amp;$E1363,"EMPLOYID","@@"&amp;$G1363,"PAYROLCD",$H$7,"STATECD",$H$8,"CHEKNMBR","@@"&amp;$L1363)</t>
  </si>
  <si>
    <t>="""GP Direct"",""Fabrikam, Inc."",""UPR30300"",""PAYRATE"",""0.00000"",""PAYROLCD"",""401K"",""STATECD"","""",""CHEKDATE"",""2/1/2015"",""UPRTRXAM"",""24.46000"""</t>
  </si>
  <si>
    <t>="""GP Direct"",""Fabrikam, Inc."",""UPR30300"",""PAYRATE"",""0.00000"",""PAYROLCD"",""HOLI"",""STATECD"",""MN"",""CHEKDATE"",""2/1/2015"",""UPRTRXAM"",""0.00000"""</t>
  </si>
  <si>
    <t>="""GP Direct"",""Fabrikam, Inc."",""UPR30300"",""PAYRATE"",""0.00000"",""PAYROLCD"",""MED"",""STATECD"","""",""CHEKDATE"",""2/1/2015"",""UPRTRXAM"",""10.00000"""</t>
  </si>
  <si>
    <t>="""GP Direct"",""Fabrikam, Inc."",""UPR30300"",""PAYRATE"",""0.00000"",""PAYROLCD"",""MN"",""STATECD"","""",""CHEKDATE"",""2/1/2015"",""UPRTRXAM"",""3.66000"""</t>
  </si>
  <si>
    <t>="""GP Direct"",""Fabrikam, Inc."",""UPR30300"",""PAYRATE"",""11.53846"",""PAYROLCD"",""SALY"",""STATECD"",""MN"",""CHEKDATE"",""2/1/2015"",""UPRTRXAM"",""815.38000"""</t>
  </si>
  <si>
    <t>=NL("Rows","UPR30300",{"PAYRATE","PAYROLCD","STATECD","CHEKDATE","UPRTRXAM"},"+CHEKDATE",$H$4,"EMPLCLAS","@@"&amp;$E1373,"EMPLOYID","@@"&amp;$G1373,"PAYROLCD",$H$7,"STATECD",$H$8,"CHEKNMBR","@@"&amp;$L1373)</t>
  </si>
  <si>
    <t>="""GP Direct"",""Fabrikam, Inc."",""UPR30300"",""PAYRATE"",""0.00000"",""PAYROLCD"",""MED"",""STATECD"","""",""CHEKDATE"",""3/1/2015"",""UPRTRXAM"",""10.00000"""</t>
  </si>
  <si>
    <t>="""GP Direct"",""Fabrikam, Inc."",""UPR30300"",""PAYRATE"",""0.00000"",""PAYROLCD"",""MN"",""STATECD"","""",""CHEKDATE"",""3/1/2015"",""UPRTRXAM"",""13.24000"""</t>
  </si>
  <si>
    <t>="""GP Direct"",""Fabrikam, Inc."",""UPR30300"",""PAYRATE"",""24000.00000"",""PAYROLCD"",""SALY"",""STATECD"",""MN"",""CHEKDATE"",""3/1/2015"",""UPRTRXAM"",""1000.00000"""</t>
  </si>
  <si>
    <t>=NL("Rows","UPR30300",{"PAYRATE","PAYROLCD","STATECD","CHEKDATE","UPRTRXAM"},"+CHEKDATE",$H$4,"EMPLCLAS","@@"&amp;$E1382,"EMPLOYID","@@"&amp;$G1382,"PAYROLCD",$H$7,"STATECD",$H$8,"CHEKNMBR","@@"&amp;$L1382)</t>
  </si>
  <si>
    <t>="""GP Direct"",""Fabrikam, Inc."",""UPR30300"",""PAYRATE"",""0.00000"",""PAYROLCD"",""MED"",""STATECD"","""",""CHEKDATE"",""4/1/2015"",""UPRTRXAM"",""10.00000"""</t>
  </si>
  <si>
    <t>="""GP Direct"",""Fabrikam, Inc."",""UPR30300"",""PAYRATE"",""0.00000"",""PAYROLCD"",""MN"",""STATECD"","""",""CHEKDATE"",""4/1/2015"",""UPRTRXAM"",""13.24000"""</t>
  </si>
  <si>
    <t>="""GP Direct"",""Fabrikam, Inc."",""UPR30300"",""PAYRATE"",""24000.00000"",""PAYROLCD"",""SALY"",""STATECD"",""MN"",""CHEKDATE"",""4/1/2015"",""UPRTRXAM"",""1000.00000"""</t>
  </si>
  <si>
    <t>=NL("Rows","UPR30300",{"PAYRATE","PAYROLCD","STATECD","CHEKDATE","UPRTRXAM"},"+CHEKDATE",$H$4,"EMPLCLAS","@@"&amp;$E1391,"EMPLOYID","@@"&amp;$G1391,"PAYROLCD",$H$7,"STATECD",$H$8,"CHEKNMBR","@@"&amp;$L1391)</t>
  </si>
  <si>
    <t>="""GP Direct"",""Fabrikam, Inc."",""UPR30300"",""PAYRATE"",""0.00000"",""PAYROLCD"",""401K"",""STATECD"","""",""CHEKDATE"",""5/1/2015"",""UPRTRXAM"",""27.23000"""</t>
  </si>
  <si>
    <t>="""GP Direct"",""Fabrikam, Inc."",""UPR30300"",""PAYRATE"",""0.00000"",""PAYROLCD"",""MED"",""STATECD"","""",""CHEKDATE"",""5/1/2015"",""UPRTRXAM"",""10.00000"""</t>
  </si>
  <si>
    <t>="""GP Direct"",""Fabrikam, Inc."",""UPR30300"",""PAYRATE"",""0.00000"",""PAYROLCD"",""MN"",""STATECD"","""",""CHEKDATE"",""5/1/2015"",""UPRTRXAM"",""8.45000"""</t>
  </si>
  <si>
    <t>="""GP Direct"",""Fabrikam, Inc."",""UPR30300"",""PAYRATE"",""0.00000"",""PAYROLCD"",""VACN"",""STATECD"",""MN"",""CHEKDATE"",""5/1/2015"",""UPRTRXAM"",""0.00000"""</t>
  </si>
  <si>
    <t>="""GP Direct"",""Fabrikam, Inc."",""UPR30300"",""PAYRATE"",""11.53846"",""PAYROLCD"",""SALY"",""STATECD"",""MN"",""CHEKDATE"",""5/1/2015"",""UPRTRXAM"",""907.69000"""</t>
  </si>
  <si>
    <t>=NL("Rows","UPR30300",{"PAYRATE","PAYROLCD","STATECD","CHEKDATE","UPRTRXAM"},"+CHEKDATE",$H$4,"EMPLCLAS","@@"&amp;$E1401,"EMPLOYID","@@"&amp;$G1401,"PAYROLCD",$H$7,"STATECD",$H$8,"CHEKNMBR","@@"&amp;$L1401)</t>
  </si>
  <si>
    <t>="""GP Direct"",""Fabrikam, Inc."",""UPR30300"",""PAYRATE"",""0.00000"",""PAYROLCD"",""MED"",""STATECD"","""",""CHEKDATE"",""6/1/2015"",""UPRTRXAM"",""10.00000"""</t>
  </si>
  <si>
    <t>="""GP Direct"",""Fabrikam, Inc."",""UPR30300"",""PAYRATE"",""0.00000"",""PAYROLCD"",""MN"",""STATECD"","""",""CHEKDATE"",""6/1/2015"",""UPRTRXAM"",""13.24000"""</t>
  </si>
  <si>
    <t>="""GP Direct"",""Fabrikam, Inc."",""UPR30300"",""PAYRATE"",""24000.00000"",""PAYROLCD"",""SALY"",""STATECD"",""MN"",""CHEKDATE"",""6/1/2015"",""UPRTRXAM"",""1000.00000"""</t>
  </si>
  <si>
    <t>=NL("Rows","UPR30300",{"PAYRATE","PAYROLCD","STATECD","CHEKDATE","UPRTRXAM"},"+CHEKDATE",$H$4,"EMPLCLAS","@@"&amp;$E1410,"EMPLOYID","@@"&amp;$G1410,"PAYROLCD",$H$7,"STATECD",$H$8,"CHEKNMBR","@@"&amp;$L1410)</t>
  </si>
  <si>
    <t>="""GP Direct"",""Fabrikam, Inc."",""UPR30300"",""PAYRATE"",""6570.00000"",""PAYROLCD"",""COMM"",""STATECD"",""MN"",""CHEKDATE"",""1/1/2015"",""UPRTRXAM"",""6570.00000"""</t>
  </si>
  <si>
    <t>=NF($O1411,"PAYRATE")</t>
  </si>
  <si>
    <t>=NF($O1411,"PAYROLCD")</t>
  </si>
  <si>
    <t>=NF($O1411,"STATECD")</t>
  </si>
  <si>
    <t>=NF($O1411,"CHEKDATE")</t>
  </si>
  <si>
    <t>=NF($O1411,"UPRTRXAM")</t>
  </si>
  <si>
    <t>=NL("Rows","UPR30300",{"PAYRATE","PAYROLCD","STATECD","CHEKDATE","UPRTRXAM"},"+CHEKDATE",$H$4,"EMPLCLAS","@@"&amp;$E1415,"EMPLOYID","@@"&amp;$G1415,"PAYROLCD",$H$7,"STATECD",$H$8,"CHEKNMBR","@@"&amp;$L1415)</t>
  </si>
  <si>
    <t>="""GP Direct"",""Fabrikam, Inc."",""UPR30300"",""PAYRATE"",""6570.00000"",""PAYROLCD"",""COMM"",""STATECD"",""MN"",""CHEKDATE"",""6/1/2015"",""UPRTRXAM"",""6570.00000"""</t>
  </si>
  <si>
    <t>=NF($O1416,"PAYRATE")</t>
  </si>
  <si>
    <t>=NF($O1416,"PAYROLCD")</t>
  </si>
  <si>
    <t>=NF($O1416,"STATECD")</t>
  </si>
  <si>
    <t>=NF($O1416,"CHEKDATE")</t>
  </si>
  <si>
    <t>=NF($O1416,"UPRTRXAM")</t>
  </si>
  <si>
    <t>=NL("Rows=4","UPR30300","CHEKNMBR","CHEKDATE",$H$4,"EMPLCLAS","@@"&amp;$E1422,"EMPLOYID","@@"&amp;$G1422,"PAYROLCD",$H$7,"STATECD",$H$8)</t>
  </si>
  <si>
    <t>=NL("Rows","UPR30300",{"PAYRATE","PAYROLCD","STATECD","CHEKDATE","UPRTRXAM"},"+CHEKDATE",$H$4,"EMPLCLAS","@@"&amp;$E1423,"EMPLOYID","@@"&amp;$G1423,"PAYROLCD",$H$7,"STATECD",$H$8,"CHEKNMBR","@@"&amp;$L1423)</t>
  </si>
  <si>
    <t>="""GP Direct"",""Fabrikam, Inc."",""UPR30300"",""PAYRATE"",""0.00000"",""PAYROLCD"",""401K"",""STATECD"","""",""CHEKDATE"",""1/1/2015"",""UPRTRXAM"",""21.57000"""</t>
  </si>
  <si>
    <t>="""GP Direct"",""Fabrikam, Inc."",""UPR30300"",""PAYRATE"",""0.00000"",""PAYROLCD"",""IL"",""STATECD"","""",""CHEKDATE"",""1/1/2015"",""UPRTRXAM"",""19.53000"""</t>
  </si>
  <si>
    <t>="""GP Direct"",""Fabrikam, Inc."",""UPR30300"",""PAYRATE"",""17259.00000"",""PAYROLCD"",""SALY"",""STATECD"",""IL"",""CHEKDATE"",""1/1/2015"",""UPRTRXAM"",""719.13000"""</t>
  </si>
  <si>
    <t>=NL("Rows","UPR30300",{"PAYRATE","PAYROLCD","STATECD","CHEKDATE","UPRTRXAM"},"+CHEKDATE",$H$4,"EMPLCLAS","@@"&amp;$E1432,"EMPLOYID","@@"&amp;$G1432,"PAYROLCD",$H$7,"STATECD",$H$8,"CHEKNMBR","@@"&amp;$L1432)</t>
  </si>
  <si>
    <t>="""GP Direct"",""Fabrikam, Inc."",""UPR30300"",""PAYRATE"",""0.00000"",""PAYROLCD"",""401K"",""STATECD"","""",""CHEKDATE"",""2/1/2015"",""UPRTRXAM"",""21.57000"""</t>
  </si>
  <si>
    <t>="""GP Direct"",""Fabrikam, Inc."",""UPR30300"",""PAYRATE"",""0.00000"",""PAYROLCD"",""IL"",""STATECD"","""",""CHEKDATE"",""2/1/2015"",""UPRTRXAM"",""19.53000"""</t>
  </si>
  <si>
    <t>="""GP Direct"",""Fabrikam, Inc."",""UPR30300"",""PAYRATE"",""17259.00000"",""PAYROLCD"",""SALY"",""STATECD"",""IL"",""CHEKDATE"",""2/1/2015"",""UPRTRXAM"",""719.13000"""</t>
  </si>
  <si>
    <t>=NL("Rows","UPR30300",{"PAYRATE","PAYROLCD","STATECD","CHEKDATE","UPRTRXAM"},"+CHEKDATE",$H$4,"EMPLCLAS","@@"&amp;$E1441,"EMPLOYID","@@"&amp;$G1441,"PAYROLCD",$H$7,"STATECD",$H$8,"CHEKNMBR","@@"&amp;$L1441)</t>
  </si>
  <si>
    <t>="""GP Direct"",""Fabrikam, Inc."",""UPR30300"",""PAYRATE"",""0.00000"",""PAYROLCD"",""401K"",""STATECD"","""",""CHEKDATE"",""3/1/2015"",""UPRTRXAM"",""21.57000"""</t>
  </si>
  <si>
    <t>="""GP Direct"",""Fabrikam, Inc."",""UPR30300"",""PAYRATE"",""0.00000"",""PAYROLCD"",""IL"",""STATECD"","""",""CHEKDATE"",""3/1/2015"",""UPRTRXAM"",""19.53000"""</t>
  </si>
  <si>
    <t>="""GP Direct"",""Fabrikam, Inc."",""UPR30300"",""PAYRATE"",""17259.00000"",""PAYROLCD"",""SALY"",""STATECD"",""IL"",""CHEKDATE"",""3/1/2015"",""UPRTRXAM"",""719.13000"""</t>
  </si>
  <si>
    <t>=NL("Rows","UPR30300",{"PAYRATE","PAYROLCD","STATECD","CHEKDATE","UPRTRXAM"},"+CHEKDATE",$H$4,"EMPLCLAS","@@"&amp;$E1450,"EMPLOYID","@@"&amp;$G1450,"PAYROLCD",$H$7,"STATECD",$H$8,"CHEKNMBR","@@"&amp;$L1450)</t>
  </si>
  <si>
    <t>="""GP Direct"",""Fabrikam, Inc."",""UPR30300"",""PAYRATE"",""0.00000"",""PAYROLCD"",""401K"",""STATECD"","""",""CHEKDATE"",""4/1/2015"",""UPRTRXAM"",""21.57000"""</t>
  </si>
  <si>
    <t>="""GP Direct"",""Fabrikam, Inc."",""UPR30300"",""PAYRATE"",""0.00000"",""PAYROLCD"",""IL"",""STATECD"","""",""CHEKDATE"",""4/1/2015"",""UPRTRXAM"",""19.53000"""</t>
  </si>
  <si>
    <t>="""GP Direct"",""Fabrikam, Inc."",""UPR30300"",""PAYRATE"",""17259.00000"",""PAYROLCD"",""SALY"",""STATECD"",""IL"",""CHEKDATE"",""4/1/2015"",""UPRTRXAM"",""719.13000"""</t>
  </si>
  <si>
    <t>=NL("Rows","UPR30300",{"PAYRATE","PAYROLCD","STATECD","CHEKDATE","UPRTRXAM"},"+CHEKDATE",$H$4,"EMPLCLAS","@@"&amp;$E1459,"EMPLOYID","@@"&amp;$G1459,"PAYROLCD",$H$7,"STATECD",$H$8,"CHEKNMBR","@@"&amp;$L1459)</t>
  </si>
  <si>
    <t>="""GP Direct"",""Fabrikam, Inc."",""UPR30300"",""PAYRATE"",""0.00000"",""PAYROLCD"",""401K"",""STATECD"","""",""CHEKDATE"",""5/1/2015"",""UPRTRXAM"",""21.57000"""</t>
  </si>
  <si>
    <t>="""GP Direct"",""Fabrikam, Inc."",""UPR30300"",""PAYRATE"",""0.00000"",""PAYROLCD"",""IL"",""STATECD"","""",""CHEKDATE"",""5/1/2015"",""UPRTRXAM"",""19.53000"""</t>
  </si>
  <si>
    <t>="""GP Direct"",""Fabrikam, Inc."",""UPR30300"",""PAYRATE"",""17259.00000"",""PAYROLCD"",""SALY"",""STATECD"",""IL"",""CHEKDATE"",""5/1/2015"",""UPRTRXAM"",""719.13000"""</t>
  </si>
  <si>
    <t>=NL("Rows","UPR30300",{"PAYRATE","PAYROLCD","STATECD","CHEKDATE","UPRTRXAM"},"+CHEKDATE",$H$4,"EMPLCLAS","@@"&amp;$E1468,"EMPLOYID","@@"&amp;$G1468,"PAYROLCD",$H$7,"STATECD",$H$8,"CHEKNMBR","@@"&amp;$L1468)</t>
  </si>
  <si>
    <t>="""GP Direct"",""Fabrikam, Inc."",""UPR30300"",""PAYRATE"",""0.00000"",""PAYROLCD"",""401K"",""STATECD"","""",""CHEKDATE"",""6/1/2015"",""UPRTRXAM"",""21.57000"""</t>
  </si>
  <si>
    <t>="""GP Direct"",""Fabrikam, Inc."",""UPR30300"",""PAYRATE"",""0.00000"",""PAYROLCD"",""IL"",""STATECD"","""",""CHEKDATE"",""6/1/2015"",""UPRTRXAM"",""19.53000"""</t>
  </si>
  <si>
    <t>="""GP Direct"",""Fabrikam, Inc."",""UPR30300"",""PAYRATE"",""17259.00000"",""PAYROLCD"",""SALY"",""STATECD"",""IL"",""CHEKDATE"",""6/1/2015"",""UPRTRXAM"",""719.13000"""</t>
  </si>
  <si>
    <t>=NL("Rows=4","UPR30300","CHEKNMBR","CHEKDATE",$H$4,"EMPLCLAS","@@"&amp;$E1479,"EMPLOYID","@@"&amp;$G1479,"PAYROLCD",$H$7,"STATECD",$H$8)</t>
  </si>
  <si>
    <t>=NL("Rows","UPR30300",{"PAYRATE","PAYROLCD","STATECD","CHEKDATE","UPRTRXAM"},"+CHEKDATE",$H$4,"EMPLCLAS","@@"&amp;$E1480,"EMPLOYID","@@"&amp;$G1480,"PAYROLCD",$H$7,"STATECD",$H$8,"CHEKNMBR","@@"&amp;$L1480)</t>
  </si>
  <si>
    <t>="""GP Direct"",""Fabrikam, Inc."",""UPR30300"",""PAYRATE"",""0.00000"",""PAYROLCD"",""IL"",""STATECD"","""",""CHEKDATE"",""1/1/2015"",""UPRTRXAM"",""22.51000"""</t>
  </si>
  <si>
    <t>="""GP Direct"",""Fabrikam, Inc."",""UPR30300"",""PAYRATE"",""24000.00000"",""PAYROLCD"",""SALY"",""STATECD"",""IL"",""CHEKDATE"",""1/1/2015"",""UPRTRXAM"",""1000.00000"""</t>
  </si>
  <si>
    <t>=NL("Rows","UPR30300",{"PAYRATE","PAYROLCD","STATECD","CHEKDATE","UPRTRXAM"},"+CHEKDATE",$H$4,"EMPLCLAS","@@"&amp;$E1490,"EMPLOYID","@@"&amp;$G1490,"PAYROLCD",$H$7,"STATECD",$H$8,"CHEKNMBR","@@"&amp;$L1490)</t>
  </si>
  <si>
    <t>="""GP Direct"",""Fabrikam, Inc."",""UPR30300"",""PAYRATE"",""0.00000"",""PAYROLCD"",""IL"",""STATECD"","""",""CHEKDATE"",""2/1/2015"",""UPRTRXAM"",""22.51000"""</t>
  </si>
  <si>
    <t>="""GP Direct"",""Fabrikam, Inc."",""UPR30300"",""PAYRATE"",""24000.00000"",""PAYROLCD"",""SALY"",""STATECD"",""IL"",""CHEKDATE"",""2/1/2015"",""UPRTRXAM"",""1000.00000"""</t>
  </si>
  <si>
    <t>=NL("Rows","UPR30300",{"PAYRATE","PAYROLCD","STATECD","CHEKDATE","UPRTRXAM"},"+CHEKDATE",$H$4,"EMPLCLAS","@@"&amp;$E1500,"EMPLOYID","@@"&amp;$G1500,"PAYROLCD",$H$7,"STATECD",$H$8,"CHEKNMBR","@@"&amp;$L1500)</t>
  </si>
  <si>
    <t>="""GP Direct"",""Fabrikam, Inc."",""UPR30300"",""PAYRATE"",""0.00000"",""PAYROLCD"",""IL"",""STATECD"","""",""CHEKDATE"",""3/1/2015"",""UPRTRXAM"",""22.51000"""</t>
  </si>
  <si>
    <t>="""GP Direct"",""Fabrikam, Inc."",""UPR30300"",""PAYRATE"",""24000.00000"",""PAYROLCD"",""SALY"",""STATECD"",""IL"",""CHEKDATE"",""3/1/2015"",""UPRTRXAM"",""1000.00000"""</t>
  </si>
  <si>
    <t>=NL("Rows","UPR30300",{"PAYRATE","PAYROLCD","STATECD","CHEKDATE","UPRTRXAM"},"+CHEKDATE",$H$4,"EMPLCLAS","@@"&amp;$E1510,"EMPLOYID","@@"&amp;$G1510,"PAYROLCD",$H$7,"STATECD",$H$8,"CHEKNMBR","@@"&amp;$L1510)</t>
  </si>
  <si>
    <t>="""GP Direct"",""Fabrikam, Inc."",""UPR30300"",""PAYRATE"",""0.00000"",""PAYROLCD"",""IL"",""STATECD"","""",""CHEKDATE"",""4/1/2015"",""UPRTRXAM"",""22.51000"""</t>
  </si>
  <si>
    <t>="""GP Direct"",""Fabrikam, Inc."",""UPR30300"",""PAYRATE"",""24000.00000"",""PAYROLCD"",""SALY"",""STATECD"",""IL"",""CHEKDATE"",""4/1/2015"",""UPRTRXAM"",""1000.00000"""</t>
  </si>
  <si>
    <t>=NL("Rows","UPR30300",{"PAYRATE","PAYROLCD","STATECD","CHEKDATE","UPRTRXAM"},"+CHEKDATE",$H$4,"EMPLCLAS","@@"&amp;$E1520,"EMPLOYID","@@"&amp;$G1520,"PAYROLCD",$H$7,"STATECD",$H$8,"CHEKNMBR","@@"&amp;$L1520)</t>
  </si>
  <si>
    <t>="""GP Direct"",""Fabrikam, Inc."",""UPR30300"",""PAYRATE"",""0.00000"",""PAYROLCD"",""IL"",""STATECD"","""",""CHEKDATE"",""5/1/2015"",""UPRTRXAM"",""22.51000"""</t>
  </si>
  <si>
    <t>="""GP Direct"",""Fabrikam, Inc."",""UPR30300"",""PAYRATE"",""24000.00000"",""PAYROLCD"",""SALY"",""STATECD"",""IL"",""CHEKDATE"",""5/1/2015"",""UPRTRXAM"",""1000.00000"""</t>
  </si>
  <si>
    <t>=NL("Rows","UPR30300",{"PAYRATE","PAYROLCD","STATECD","CHEKDATE","UPRTRXAM"},"+CHEKDATE",$H$4,"EMPLCLAS","@@"&amp;$E1530,"EMPLOYID","@@"&amp;$G1530,"PAYROLCD",$H$7,"STATECD",$H$8,"CHEKNMBR","@@"&amp;$L1530)</t>
  </si>
  <si>
    <t>="""GP Direct"",""Fabrikam, Inc."",""UPR30300"",""PAYRATE"",""0.00000"",""PAYROLCD"",""IL"",""STATECD"","""",""CHEKDATE"",""6/1/2015"",""UPRTRXAM"",""22.51000"""</t>
  </si>
  <si>
    <t>="""GP Direct"",""Fabrikam, Inc."",""UPR30300"",""PAYRATE"",""24000.00000"",""PAYROLCD"",""SALY"",""STATECD"",""IL"",""CHEKDATE"",""6/1/2015"",""UPRTRXAM"",""1000.00000"""</t>
  </si>
  <si>
    <t>=NL("Rows","UPR30300",{"PAYRATE","PAYROLCD","STATECD","CHEKDATE","UPRTRXAM"},"+CHEKDATE",$H$4,"EMPLCLAS","@@"&amp;$E1540,"EMPLOYID","@@"&amp;$G1540,"PAYROLCD",$H$7,"STATECD",$H$8,"CHEKNMBR","@@"&amp;$L1540)</t>
  </si>
  <si>
    <t>="""GP Direct"",""Fabrikam, Inc."",""UPR30300"",""PAYRATE"",""7300.00000"",""PAYROLCD"",""COMM"",""STATECD"",""IL"",""CHEKDATE"",""1/1/2015"",""UPRTRXAM"",""7300.00000"""</t>
  </si>
  <si>
    <t>=NF($O1541,"PAYRATE")</t>
  </si>
  <si>
    <t>=NF($O1541,"PAYROLCD")</t>
  </si>
  <si>
    <t>=NF($O1541,"STATECD")</t>
  </si>
  <si>
    <t>=NF($O1541,"CHEKDATE")</t>
  </si>
  <si>
    <t>=NF($O1541,"UPRTRXAM")</t>
  </si>
  <si>
    <t>=NL("Rows","UPR30300",{"PAYRATE","PAYROLCD","STATECD","CHEKDATE","UPRTRXAM"},"+CHEKDATE",$H$4,"EMPLCLAS","@@"&amp;$E1545,"EMPLOYID","@@"&amp;$G1545,"PAYROLCD",$H$7,"STATECD",$H$8,"CHEKNMBR","@@"&amp;$L1545)</t>
  </si>
  <si>
    <t>="""GP Direct"",""Fabrikam, Inc."",""UPR30300"",""PAYRATE"",""7300.00000"",""PAYROLCD"",""COMM"",""STATECD"",""IL"",""CHEKDATE"",""6/1/2015"",""UPRTRXAM"",""7300.00000"""</t>
  </si>
  <si>
    <t>=NF($O1546,"PAYRATE")</t>
  </si>
  <si>
    <t>=NF($O1546,"PAYROLCD")</t>
  </si>
  <si>
    <t>=NF($O1546,"STATECD")</t>
  </si>
  <si>
    <t>=NF($O1546,"CHEKDATE")</t>
  </si>
  <si>
    <t>=NF($O1546,"UPRTRXAM")</t>
  </si>
  <si>
    <t>=NL("Rows=7","UPR30300","EMPLOYID","CHEKDATE",$H$4,"EMPLCLAS","@@"&amp;$E1554,"EMPLOYID",$H$6,"PAYROLCD",$H$7,"STATECD",$H$8)</t>
  </si>
  <si>
    <t>=NL("Rows=4","UPR30300","CHEKNMBR","CHEKDATE",$H$4,"EMPLCLAS","@@"&amp;$E1555,"EMPLOYID","@@"&amp;$G1555,"PAYROLCD",$H$7,"STATECD",$H$8)</t>
  </si>
  <si>
    <t>=NL("Rows","UPR30300",{"PAYRATE","PAYROLCD","STATECD","CHEKDATE","UPRTRXAM"},"+CHEKDATE",$H$4,"EMPLCLAS","@@"&amp;$E1556,"EMPLOYID","@@"&amp;$G1556,"PAYROLCD",$H$7,"STATECD",$H$8,"CHEKNMBR","@@"&amp;$L1556)</t>
  </si>
  <si>
    <t>="""GP Direct"",""Fabrikam, Inc."",""UPR30300"",""PAYRATE"",""0.00000"",""PAYROLCD"",""401K"",""STATECD"","""",""CHEKDATE"",""1/1/2015"",""UPRTRXAM"",""28.13000"""</t>
  </si>
  <si>
    <t>="""GP Direct"",""Fabrikam, Inc."",""UPR30300"",""PAYRATE"",""0.00000"",""PAYROLCD"",""IL"",""STATECD"","""",""CHEKDATE"",""1/1/2015"",""UPRTRXAM"",""14.49000"""</t>
  </si>
  <si>
    <t>="""GP Direct"",""Fabrikam, Inc."",""UPR30300"",""PAYRATE"",""22500.00000"",""PAYROLCD"",""SALY"",""STATECD"",""IL"",""CHEKDATE"",""1/1/2015"",""UPRTRXAM"",""937.50000"""</t>
  </si>
  <si>
    <t>=NL("Rows","UPR30300",{"PAYRATE","PAYROLCD","STATECD","CHEKDATE","UPRTRXAM"},"+CHEKDATE",$H$4,"EMPLCLAS","@@"&amp;$E1566,"EMPLOYID","@@"&amp;$G1566,"PAYROLCD",$H$7,"STATECD",$H$8,"CHEKNMBR","@@"&amp;$L1566)</t>
  </si>
  <si>
    <t>="""GP Direct"",""Fabrikam, Inc."",""UPR30300"",""PAYRATE"",""0.00000"",""PAYROLCD"",""401K"",""STATECD"","""",""CHEKDATE"",""2/1/2015"",""UPRTRXAM"",""28.13000"""</t>
  </si>
  <si>
    <t>="""GP Direct"",""Fabrikam, Inc."",""UPR30300"",""PAYRATE"",""0.00000"",""PAYROLCD"",""IL"",""STATECD"","""",""CHEKDATE"",""2/1/2015"",""UPRTRXAM"",""14.49000"""</t>
  </si>
  <si>
    <t>="""GP Direct"",""Fabrikam, Inc."",""UPR30300"",""PAYRATE"",""22500.00000"",""PAYROLCD"",""SALY"",""STATECD"",""IL"",""CHEKDATE"",""2/1/2015"",""UPRTRXAM"",""937.50000"""</t>
  </si>
  <si>
    <t>=NL("Rows","UPR30300",{"PAYRATE","PAYROLCD","STATECD","CHEKDATE","UPRTRXAM"},"+CHEKDATE",$H$4,"EMPLCLAS","@@"&amp;$E1576,"EMPLOYID","@@"&amp;$G1576,"PAYROLCD",$H$7,"STATECD",$H$8,"CHEKNMBR","@@"&amp;$L1576)</t>
  </si>
  <si>
    <t>="""GP Direct"",""Fabrikam, Inc."",""UPR30300"",""PAYRATE"",""0.00000"",""PAYROLCD"",""401K"",""STATECD"","""",""CHEKDATE"",""3/1/2015"",""UPRTRXAM"",""28.13000"""</t>
  </si>
  <si>
    <t>="""GP Direct"",""Fabrikam, Inc."",""UPR30300"",""PAYRATE"",""0.00000"",""PAYROLCD"",""IL"",""STATECD"","""",""CHEKDATE"",""3/1/2015"",""UPRTRXAM"",""14.49000"""</t>
  </si>
  <si>
    <t>="""GP Direct"",""Fabrikam, Inc."",""UPR30300"",""PAYRATE"",""22500.00000"",""PAYROLCD"",""SALY"",""STATECD"",""IL"",""CHEKDATE"",""3/1/2015"",""UPRTRXAM"",""937.50000"""</t>
  </si>
  <si>
    <t>=NL("Rows","UPR30300",{"PAYRATE","PAYROLCD","STATECD","CHEKDATE","UPRTRXAM"},"+CHEKDATE",$H$4,"EMPLCLAS","@@"&amp;$E1586,"EMPLOYID","@@"&amp;$G1586,"PAYROLCD",$H$7,"STATECD",$H$8,"CHEKNMBR","@@"&amp;$L1586)</t>
  </si>
  <si>
    <t>="""GP Direct"",""Fabrikam, Inc."",""UPR30300"",""PAYRATE"",""0.00000"",""PAYROLCD"",""401K"",""STATECD"","""",""CHEKDATE"",""4/1/2015"",""UPRTRXAM"",""28.13000"""</t>
  </si>
  <si>
    <t>="""GP Direct"",""Fabrikam, Inc."",""UPR30300"",""PAYRATE"",""0.00000"",""PAYROLCD"",""IL"",""STATECD"","""",""CHEKDATE"",""4/1/2015"",""UPRTRXAM"",""14.49000"""</t>
  </si>
  <si>
    <t>="""GP Direct"",""Fabrikam, Inc."",""UPR30300"",""PAYRATE"",""22500.00000"",""PAYROLCD"",""SALY"",""STATECD"",""IL"",""CHEKDATE"",""4/1/2015"",""UPRTRXAM"",""937.50000"""</t>
  </si>
  <si>
    <t>=NL("Rows","UPR30300",{"PAYRATE","PAYROLCD","STATECD","CHEKDATE","UPRTRXAM"},"+CHEKDATE",$H$4,"EMPLCLAS","@@"&amp;$E1596,"EMPLOYID","@@"&amp;$G1596,"PAYROLCD",$H$7,"STATECD",$H$8,"CHEKNMBR","@@"&amp;$L1596)</t>
  </si>
  <si>
    <t>="""GP Direct"",""Fabrikam, Inc."",""UPR30300"",""PAYRATE"",""0.00000"",""PAYROLCD"",""401K"",""STATECD"","""",""CHEKDATE"",""5/1/2015"",""UPRTRXAM"",""28.13000"""</t>
  </si>
  <si>
    <t>="""GP Direct"",""Fabrikam, Inc."",""UPR30300"",""PAYRATE"",""0.00000"",""PAYROLCD"",""IL"",""STATECD"","""",""CHEKDATE"",""5/1/2015"",""UPRTRXAM"",""14.49000"""</t>
  </si>
  <si>
    <t>="""GP Direct"",""Fabrikam, Inc."",""UPR30300"",""PAYRATE"",""22500.00000"",""PAYROLCD"",""SALY"",""STATECD"",""IL"",""CHEKDATE"",""5/1/2015"",""UPRTRXAM"",""937.50000"""</t>
  </si>
  <si>
    <t>=NL("Rows","UPR30300",{"PAYRATE","PAYROLCD","STATECD","CHEKDATE","UPRTRXAM"},"+CHEKDATE",$H$4,"EMPLCLAS","@@"&amp;$E1606,"EMPLOYID","@@"&amp;$G1606,"PAYROLCD",$H$7,"STATECD",$H$8,"CHEKNMBR","@@"&amp;$L1606)</t>
  </si>
  <si>
    <t>="""GP Direct"",""Fabrikam, Inc."",""UPR30300"",""PAYRATE"",""0.00000"",""PAYROLCD"",""401K"",""STATECD"","""",""CHEKDATE"",""6/1/2015"",""UPRTRXAM"",""28.13000"""</t>
  </si>
  <si>
    <t>="""GP Direct"",""Fabrikam, Inc."",""UPR30300"",""PAYRATE"",""0.00000"",""PAYROLCD"",""IL"",""STATECD"","""",""CHEKDATE"",""6/1/2015"",""UPRTRXAM"",""14.49000"""</t>
  </si>
  <si>
    <t>="""GP Direct"",""Fabrikam, Inc."",""UPR30300"",""PAYRATE"",""22500.00000"",""PAYROLCD"",""SALY"",""STATECD"",""IL"",""CHEKDATE"",""6/1/2015"",""UPRTRXAM"",""937.50000"""</t>
  </si>
  <si>
    <t>=NL("Rows","UPR30300",{"PAYRATE","PAYROLCD","STATECD","CHEKDATE","UPRTRXAM"},"+CHEKDATE",$H$4,"EMPLCLAS","@@"&amp;$E1616,"EMPLOYID","@@"&amp;$G1616,"PAYROLCD",$H$7,"STATECD",$H$8,"CHEKNMBR","@@"&amp;$L1616)</t>
  </si>
  <si>
    <t>="""GP Direct"",""Fabrikam, Inc."",""UPR30300"",""PAYRATE"",""500.00000"",""PAYROLCD"",""BONS"",""STATECD"",""IL"",""CHEKDATE"",""1/1/2015"",""UPRTRXAM"",""500.00000"""</t>
  </si>
  <si>
    <t>=NF($O1617,"PAYRATE")</t>
  </si>
  <si>
    <t>=NF($O1617,"PAYROLCD")</t>
  </si>
  <si>
    <t>=NF($O1617,"STATECD")</t>
  </si>
  <si>
    <t>=NF($O1617,"CHEKDATE")</t>
  </si>
  <si>
    <t>=NF($O1617,"UPRTRXAM")</t>
  </si>
  <si>
    <t>=NL("Rows","UPR30300",{"PAYRATE","PAYROLCD","STATECD","CHEKDATE","UPRTRXAM"},"+CHEKDATE",$H$4,"EMPLCLAS","@@"&amp;$E1621,"EMPLOYID","@@"&amp;$G1621,"PAYROLCD",$H$7,"STATECD",$H$8,"CHEKNMBR","@@"&amp;$L1621)</t>
  </si>
  <si>
    <t>="""GP Direct"",""Fabrikam, Inc."",""UPR30300"",""PAYRATE"",""900.00000"",""PAYROLCD"",""BONS"",""STATECD"",""IL"",""CHEKDATE"",""6/1/2015"",""UPRTRXAM"",""900.00000"""</t>
  </si>
  <si>
    <t>=NF($O1622,"PAYRATE")</t>
  </si>
  <si>
    <t>=NF($O1622,"PAYROLCD")</t>
  </si>
  <si>
    <t>=NF($O1622,"STATECD")</t>
  </si>
  <si>
    <t>=NF($O1622,"CHEKDATE")</t>
  </si>
  <si>
    <t>=NF($O1622,"UPRTRXAM")</t>
  </si>
  <si>
    <t>=NL("Rows=4","UPR30300","CHEKNMBR","CHEKDATE",$H$4,"EMPLCLAS","@@"&amp;$E1628,"EMPLOYID","@@"&amp;$G1628,"PAYROLCD",$H$7,"STATECD",$H$8)</t>
  </si>
  <si>
    <t>=NL("Rows","UPR30300",{"PAYRATE","PAYROLCD","STATECD","CHEKDATE","UPRTRXAM"},"+CHEKDATE",$H$4,"EMPLCLAS","@@"&amp;$E1629,"EMPLOYID","@@"&amp;$G1629,"PAYROLCD",$H$7,"STATECD",$H$8,"CHEKNMBR","@@"&amp;$L1629)</t>
  </si>
  <si>
    <t>="""GP Direct"",""Fabrikam, Inc."",""UPR30300"",""PAYRATE"",""0.00000"",""PAYROLCD"",""401K"",""STATECD"","""",""CHEKDATE"",""1/1/2015"",""UPRTRXAM"",""45.63000"""</t>
  </si>
  <si>
    <t>="""GP Direct"",""Fabrikam, Inc."",""UPR30300"",""PAYRATE"",""0.00000"",""PAYROLCD"",""IL"",""STATECD"","""",""CHEKDATE"",""1/1/2015"",""UPRTRXAM"",""15.72000"""</t>
  </si>
  <si>
    <t>="""GP Direct"",""Fabrikam, Inc."",""UPR30300"",""PAYRATE"",""21900.00000"",""PAYROLCD"",""SALY"",""STATECD"",""IL"",""CHEKDATE"",""1/1/2015"",""UPRTRXAM"",""912.50000"""</t>
  </si>
  <si>
    <t>=NL("Rows","UPR30300",{"PAYRATE","PAYROLCD","STATECD","CHEKDATE","UPRTRXAM"},"+CHEKDATE",$H$4,"EMPLCLAS","@@"&amp;$E1639,"EMPLOYID","@@"&amp;$G1639,"PAYROLCD",$H$7,"STATECD",$H$8,"CHEKNMBR","@@"&amp;$L1639)</t>
  </si>
  <si>
    <t>="""GP Direct"",""Fabrikam, Inc."",""UPR30300"",""PAYRATE"",""0.00000"",""PAYROLCD"",""401K"",""STATECD"","""",""CHEKDATE"",""2/1/2015"",""UPRTRXAM"",""45.63000"""</t>
  </si>
  <si>
    <t>="""GP Direct"",""Fabrikam, Inc."",""UPR30300"",""PAYRATE"",""0.00000"",""PAYROLCD"",""IL"",""STATECD"","""",""CHEKDATE"",""2/1/2015"",""UPRTRXAM"",""15.72000"""</t>
  </si>
  <si>
    <t>="""GP Direct"",""Fabrikam, Inc."",""UPR30300"",""PAYRATE"",""21900.00000"",""PAYROLCD"",""SALY"",""STATECD"",""IL"",""CHEKDATE"",""2/1/2015"",""UPRTRXAM"",""912.50000"""</t>
  </si>
  <si>
    <t>=NL("Rows","UPR30300",{"PAYRATE","PAYROLCD","STATECD","CHEKDATE","UPRTRXAM"},"+CHEKDATE",$H$4,"EMPLCLAS","@@"&amp;$E1649,"EMPLOYID","@@"&amp;$G1649,"PAYROLCD",$H$7,"STATECD",$H$8,"CHEKNMBR","@@"&amp;$L1649)</t>
  </si>
  <si>
    <t>="""GP Direct"",""Fabrikam, Inc."",""UPR30300"",""PAYRATE"",""0.00000"",""PAYROLCD"",""401K"",""STATECD"","""",""CHEKDATE"",""3/1/2015"",""UPRTRXAM"",""37.20000"""</t>
  </si>
  <si>
    <t>="""GP Direct"",""Fabrikam, Inc."",""UPR30300"",""PAYRATE"",""0.00000"",""PAYROLCD"",""IL"",""STATECD"","""",""CHEKDATE"",""3/1/2015"",""UPRTRXAM"",""10.92000"""</t>
  </si>
  <si>
    <t>="""GP Direct"",""Fabrikam, Inc."",""UPR30300"",""PAYRATE"",""10.52885"",""PAYROLCD"",""SALY"",""STATECD"",""IL"",""CHEKDATE"",""3/1/2015"",""UPRTRXAM"",""744.04000"""</t>
  </si>
  <si>
    <t>=NL("Rows","UPR30300",{"PAYRATE","PAYROLCD","STATECD","CHEKDATE","UPRTRXAM"},"+CHEKDATE",$H$4,"EMPLCLAS","@@"&amp;$E1660,"EMPLOYID","@@"&amp;$G1660,"PAYROLCD",$H$7,"STATECD",$H$8,"CHEKNMBR","@@"&amp;$L1660)</t>
  </si>
  <si>
    <t>="""GP Direct"",""Fabrikam, Inc."",""UPR30300"",""PAYRATE"",""0.00000"",""PAYROLCD"",""401K"",""STATECD"","""",""CHEKDATE"",""4/1/2015"",""UPRTRXAM"",""45.63000"""</t>
  </si>
  <si>
    <t>="""GP Direct"",""Fabrikam, Inc."",""UPR30300"",""PAYRATE"",""0.00000"",""PAYROLCD"",""IL"",""STATECD"","""",""CHEKDATE"",""4/1/2015"",""UPRTRXAM"",""15.72000"""</t>
  </si>
  <si>
    <t>="""GP Direct"",""Fabrikam, Inc."",""UPR30300"",""PAYRATE"",""21900.00000"",""PAYROLCD"",""SALY"",""STATECD"",""IL"",""CHEKDATE"",""4/1/2015"",""UPRTRXAM"",""912.50000"""</t>
  </si>
  <si>
    <t>=NL("Rows","UPR30300",{"PAYRATE","PAYROLCD","STATECD","CHEKDATE","UPRTRXAM"},"+CHEKDATE",$H$4,"EMPLCLAS","@@"&amp;$E1670,"EMPLOYID","@@"&amp;$G1670,"PAYROLCD",$H$7,"STATECD",$H$8,"CHEKNMBR","@@"&amp;$L1670)</t>
  </si>
  <si>
    <t>="""GP Direct"",""Fabrikam, Inc."",""UPR30300"",""PAYRATE"",""0.00000"",""PAYROLCD"",""401K"",""STATECD"","""",""CHEKDATE"",""5/1/2015"",""UPRTRXAM"",""45.63000"""</t>
  </si>
  <si>
    <t>="""GP Direct"",""Fabrikam, Inc."",""UPR30300"",""PAYRATE"",""0.00000"",""PAYROLCD"",""IL"",""STATECD"","""",""CHEKDATE"",""5/1/2015"",""UPRTRXAM"",""15.72000"""</t>
  </si>
  <si>
    <t>="""GP Direct"",""Fabrikam, Inc."",""UPR30300"",""PAYRATE"",""21900.00000"",""PAYROLCD"",""SALY"",""STATECD"",""IL"",""CHEKDATE"",""5/1/2015"",""UPRTRXAM"",""912.50000"""</t>
  </si>
  <si>
    <t>=NL("Rows","UPR30300",{"PAYRATE","PAYROLCD","STATECD","CHEKDATE","UPRTRXAM"},"+CHEKDATE",$H$4,"EMPLCLAS","@@"&amp;$E1680,"EMPLOYID","@@"&amp;$G1680,"PAYROLCD",$H$7,"STATECD",$H$8,"CHEKNMBR","@@"&amp;$L1680)</t>
  </si>
  <si>
    <t>="""GP Direct"",""Fabrikam, Inc."",""UPR30300"",""PAYRATE"",""0.00000"",""PAYROLCD"",""401K"",""STATECD"","""",""CHEKDATE"",""6/1/2015"",""UPRTRXAM"",""45.63000"""</t>
  </si>
  <si>
    <t>="""GP Direct"",""Fabrikam, Inc."",""UPR30300"",""PAYRATE"",""0.00000"",""PAYROLCD"",""IL"",""STATECD"","""",""CHEKDATE"",""6/1/2015"",""UPRTRXAM"",""15.72000"""</t>
  </si>
  <si>
    <t>="""GP Direct"",""Fabrikam, Inc."",""UPR30300"",""PAYRATE"",""21900.00000"",""PAYROLCD"",""SALY"",""STATECD"",""IL"",""CHEKDATE"",""6/1/2015"",""UPRTRXAM"",""912.50000"""</t>
  </si>
  <si>
    <t>=NL("Rows=4","UPR30300","CHEKNMBR","CHEKDATE",$H$4,"EMPLCLAS","@@"&amp;$E1692,"EMPLOYID","@@"&amp;$G1692,"PAYROLCD",$H$7,"STATECD",$H$8)</t>
  </si>
  <si>
    <t>=NL("Rows","UPR30300",{"PAYRATE","PAYROLCD","STATECD","CHEKDATE","UPRTRXAM"},"+CHEKDATE",$H$4,"EMPLCLAS","@@"&amp;$E1693,"EMPLOYID","@@"&amp;$G1693,"PAYROLCD",$H$7,"STATECD",$H$8,"CHEKNMBR","@@"&amp;$L1693)</t>
  </si>
  <si>
    <t>="""GP Direct"",""Fabrikam, Inc."",""UPR30300"",""PAYRATE"",""0.00000"",""PAYROLCD"",""401K"",""STATECD"","""",""CHEKDATE"",""1/1/2015"",""UPRTRXAM"",""24.22000"""</t>
  </si>
  <si>
    <t>="""GP Direct"",""Fabrikam, Inc."",""UPR30300"",""PAYRATE"",""0.00000"",""PAYROLCD"",""IL"",""STATECD"","""",""CHEKDATE"",""1/1/2015"",""UPRTRXAM"",""19.90000"""</t>
  </si>
  <si>
    <t>="""GP Direct"",""Fabrikam, Inc."",""UPR30300"",""PAYRATE"",""11.42308"",""PAYROLCD"",""SALY"",""STATECD"",""IL"",""CHEKDATE"",""1/1/2015"",""UPRTRXAM"",""807.23000"""</t>
  </si>
  <si>
    <t>=NL("Rows","UPR30300",{"PAYRATE","PAYROLCD","STATECD","CHEKDATE","UPRTRXAM"},"+CHEKDATE",$H$4,"EMPLCLAS","@@"&amp;$E1704,"EMPLOYID","@@"&amp;$G1704,"PAYROLCD",$H$7,"STATECD",$H$8,"CHEKNMBR","@@"&amp;$L1704)</t>
  </si>
  <si>
    <t>="""GP Direct"",""Fabrikam, Inc."",""UPR30300"",""PAYRATE"",""0.00000"",""PAYROLCD"",""401K"",""STATECD"","""",""CHEKDATE"",""2/1/2015"",""UPRTRXAM"",""29.70000"""</t>
  </si>
  <si>
    <t>="""GP Direct"",""Fabrikam, Inc."",""UPR30300"",""PAYRATE"",""0.00000"",""PAYROLCD"",""IL"",""STATECD"","""",""CHEKDATE"",""2/1/2015"",""UPRTRXAM"",""25.22000"""</t>
  </si>
  <si>
    <t>="""GP Direct"",""Fabrikam, Inc."",""UPR30300"",""PAYRATE"",""23760.00000"",""PAYROLCD"",""SALY"",""STATECD"",""IL"",""CHEKDATE"",""2/1/2015"",""UPRTRXAM"",""990.00000"""</t>
  </si>
  <si>
    <t>=NL("Rows","UPR30300",{"PAYRATE","PAYROLCD","STATECD","CHEKDATE","UPRTRXAM"},"+CHEKDATE",$H$4,"EMPLCLAS","@@"&amp;$E1714,"EMPLOYID","@@"&amp;$G1714,"PAYROLCD",$H$7,"STATECD",$H$8,"CHEKNMBR","@@"&amp;$L1714)</t>
  </si>
  <si>
    <t>="""GP Direct"",""Fabrikam, Inc."",""UPR30300"",""PAYRATE"",""0.00000"",""PAYROLCD"",""401K"",""STATECD"","""",""CHEKDATE"",""3/1/2015"",""UPRTRXAM"",""29.70000"""</t>
  </si>
  <si>
    <t>="""GP Direct"",""Fabrikam, Inc."",""UPR30300"",""PAYRATE"",""0.00000"",""PAYROLCD"",""IL"",""STATECD"","""",""CHEKDATE"",""3/1/2015"",""UPRTRXAM"",""25.22000"""</t>
  </si>
  <si>
    <t>="""GP Direct"",""Fabrikam, Inc."",""UPR30300"",""PAYRATE"",""23760.00000"",""PAYROLCD"",""SALY"",""STATECD"",""IL"",""CHEKDATE"",""3/1/2015"",""UPRTRXAM"",""990.00000"""</t>
  </si>
  <si>
    <t>=NL("Rows","UPR30300",{"PAYRATE","PAYROLCD","STATECD","CHEKDATE","UPRTRXAM"},"+CHEKDATE",$H$4,"EMPLCLAS","@@"&amp;$E1724,"EMPLOYID","@@"&amp;$G1724,"PAYROLCD",$H$7,"STATECD",$H$8,"CHEKNMBR","@@"&amp;$L1724)</t>
  </si>
  <si>
    <t>="""GP Direct"",""Fabrikam, Inc."",""UPR30300"",""PAYRATE"",""0.00000"",""PAYROLCD"",""401K"",""STATECD"","""",""CHEKDATE"",""4/1/2015"",""UPRTRXAM"",""29.70000"""</t>
  </si>
  <si>
    <t>="""GP Direct"",""Fabrikam, Inc."",""UPR30300"",""PAYRATE"",""0.00000"",""PAYROLCD"",""IL"",""STATECD"","""",""CHEKDATE"",""4/1/2015"",""UPRTRXAM"",""25.22000"""</t>
  </si>
  <si>
    <t>="""GP Direct"",""Fabrikam, Inc."",""UPR30300"",""PAYRATE"",""23760.00000"",""PAYROLCD"",""SALY"",""STATECD"",""IL"",""CHEKDATE"",""4/1/2015"",""UPRTRXAM"",""990.00000"""</t>
  </si>
  <si>
    <t>=NL("Rows","UPR30300",{"PAYRATE","PAYROLCD","STATECD","CHEKDATE","UPRTRXAM"},"+CHEKDATE",$H$4,"EMPLCLAS","@@"&amp;$E1734,"EMPLOYID","@@"&amp;$G1734,"PAYROLCD",$H$7,"STATECD",$H$8,"CHEKNMBR","@@"&amp;$L1734)</t>
  </si>
  <si>
    <t>="""GP Direct"",""Fabrikam, Inc."",""UPR30300"",""PAYRATE"",""0.00000"",""PAYROLCD"",""401K"",""STATECD"","""",""CHEKDATE"",""5/1/2015"",""UPRTRXAM"",""29.70000"""</t>
  </si>
  <si>
    <t>="""GP Direct"",""Fabrikam, Inc."",""UPR30300"",""PAYRATE"",""0.00000"",""PAYROLCD"",""IL"",""STATECD"","""",""CHEKDATE"",""5/1/2015"",""UPRTRXAM"",""25.22000"""</t>
  </si>
  <si>
    <t>="""GP Direct"",""Fabrikam, Inc."",""UPR30300"",""PAYRATE"",""23760.00000"",""PAYROLCD"",""SALY"",""STATECD"",""IL"",""CHEKDATE"",""5/1/2015"",""UPRTRXAM"",""990.00000"""</t>
  </si>
  <si>
    <t>=NL("Rows","UPR30300",{"PAYRATE","PAYROLCD","STATECD","CHEKDATE","UPRTRXAM"},"+CHEKDATE",$H$4,"EMPLCLAS","@@"&amp;$E1744,"EMPLOYID","@@"&amp;$G1744,"PAYROLCD",$H$7,"STATECD",$H$8,"CHEKNMBR","@@"&amp;$L1744)</t>
  </si>
  <si>
    <t>="""GP Direct"",""Fabrikam, Inc."",""UPR30300"",""PAYRATE"",""0.00000"",""PAYROLCD"",""401K"",""STATECD"","""",""CHEKDATE"",""6/1/2015"",""UPRTRXAM"",""29.70000"""</t>
  </si>
  <si>
    <t>="""GP Direct"",""Fabrikam, Inc."",""UPR30300"",""PAYRATE"",""0.00000"",""PAYROLCD"",""IL"",""STATECD"","""",""CHEKDATE"",""6/1/2015"",""UPRTRXAM"",""25.22000"""</t>
  </si>
  <si>
    <t>="""GP Direct"",""Fabrikam, Inc."",""UPR30300"",""PAYRATE"",""23760.00000"",""PAYROLCD"",""SALY"",""STATECD"",""IL"",""CHEKDATE"",""6/1/2015"",""UPRTRXAM"",""990.00000"""</t>
  </si>
  <si>
    <t>=NL("Rows=4","UPR30300","CHEKNMBR","CHEKDATE",$H$4,"EMPLCLAS","@@"&amp;$E1756,"EMPLOYID","@@"&amp;$G1756,"PAYROLCD",$H$7,"STATECD",$H$8)</t>
  </si>
  <si>
    <t>=NL("Rows","UPR30300",{"PAYRATE","PAYROLCD","STATECD","CHEKDATE","UPRTRXAM"},"+CHEKDATE",$H$4,"EMPLCLAS","@@"&amp;$E1757,"EMPLOYID","@@"&amp;$G1757,"PAYROLCD",$H$7,"STATECD",$H$8,"CHEKNMBR","@@"&amp;$L1757)</t>
  </si>
  <si>
    <t>="""GP Direct"",""Fabrikam, Inc."",""UPR30300"",""PAYRATE"",""0.00000"",""PAYROLCD"",""401K"",""STATECD"","""",""CHEKDATE"",""1/1/2015"",""UPRTRXAM"",""24.17000"""</t>
  </si>
  <si>
    <t>="""GP Direct"",""Fabrikam, Inc."",""UPR30300"",""PAYRATE"",""0.00000"",""PAYROLCD"",""IL"",""STATECD"","""",""CHEKDATE"",""1/1/2015"",""UPRTRXAM"",""13.15000"""</t>
  </si>
  <si>
    <t>="""GP Direct"",""Fabrikam, Inc."",""UPR30300"",""PAYRATE"",""10.24038"",""PAYROLCD"",""SALY"",""STATECD"",""IL"",""CHEKDATE"",""1/1/2015"",""UPRTRXAM"",""805.58000"""</t>
  </si>
  <si>
    <t>=NL("Rows","UPR30300",{"PAYRATE","PAYROLCD","STATECD","CHEKDATE","UPRTRXAM"},"+CHEKDATE",$H$4,"EMPLCLAS","@@"&amp;$E1768,"EMPLOYID","@@"&amp;$G1768,"PAYROLCD",$H$7,"STATECD",$H$8,"CHEKNMBR","@@"&amp;$L1768)</t>
  </si>
  <si>
    <t>="""GP Direct"",""Fabrikam, Inc."",""UPR30300"",""PAYRATE"",""0.00000"",""PAYROLCD"",""401K"",""STATECD"","""",""CHEKDATE"",""2/1/2015"",""UPRTRXAM"",""26.63000"""</t>
  </si>
  <si>
    <t>="""GP Direct"",""Fabrikam, Inc."",""UPR30300"",""PAYRATE"",""0.00000"",""PAYROLCD"",""IL"",""STATECD"","""",""CHEKDATE"",""2/1/2015"",""UPRTRXAM"",""15.54000"""</t>
  </si>
  <si>
    <t>="""GP Direct"",""Fabrikam, Inc."",""UPR30300"",""PAYRATE"",""21300.00000"",""PAYROLCD"",""SALY"",""STATECD"",""IL"",""CHEKDATE"",""2/1/2015"",""UPRTRXAM"",""887.50000"""</t>
  </si>
  <si>
    <t>=NL("Rows","UPR30300",{"PAYRATE","PAYROLCD","STATECD","CHEKDATE","UPRTRXAM"},"+CHEKDATE",$H$4,"EMPLCLAS","@@"&amp;$E1778,"EMPLOYID","@@"&amp;$G1778,"PAYROLCD",$H$7,"STATECD",$H$8,"CHEKNMBR","@@"&amp;$L1778)</t>
  </si>
  <si>
    <t>="""GP Direct"",""Fabrikam, Inc."",""UPR30300"",""PAYRATE"",""0.00000"",""PAYROLCD"",""401K"",""STATECD"","""",""CHEKDATE"",""3/1/2015"",""UPRTRXAM"",""26.63000"""</t>
  </si>
  <si>
    <t>="""GP Direct"",""Fabrikam, Inc."",""UPR30300"",""PAYRATE"",""0.00000"",""PAYROLCD"",""IL"",""STATECD"","""",""CHEKDATE"",""3/1/2015"",""UPRTRXAM"",""15.54000"""</t>
  </si>
  <si>
    <t>="""GP Direct"",""Fabrikam, Inc."",""UPR30300"",""PAYRATE"",""21300.00000"",""PAYROLCD"",""SALY"",""STATECD"",""IL"",""CHEKDATE"",""3/1/2015"",""UPRTRXAM"",""887.50000"""</t>
  </si>
  <si>
    <t>=NL("Rows","UPR30300",{"PAYRATE","PAYROLCD","STATECD","CHEKDATE","UPRTRXAM"},"+CHEKDATE",$H$4,"EMPLCLAS","@@"&amp;$E1788,"EMPLOYID","@@"&amp;$G1788,"PAYROLCD",$H$7,"STATECD",$H$8,"CHEKNMBR","@@"&amp;$L1788)</t>
  </si>
  <si>
    <t>="""GP Direct"",""Fabrikam, Inc."",""UPR30300"",""PAYRATE"",""0.00000"",""PAYROLCD"",""401K"",""STATECD"","""",""CHEKDATE"",""4/1/2015"",""UPRTRXAM"",""26.63000"""</t>
  </si>
  <si>
    <t>="""GP Direct"",""Fabrikam, Inc."",""UPR30300"",""PAYRATE"",""0.00000"",""PAYROLCD"",""IL"",""STATECD"","""",""CHEKDATE"",""4/1/2015"",""UPRTRXAM"",""15.54000"""</t>
  </si>
  <si>
    <t>="""GP Direct"",""Fabrikam, Inc."",""UPR30300"",""PAYRATE"",""21300.00000"",""PAYROLCD"",""SALY"",""STATECD"",""IL"",""CHEKDATE"",""4/1/2015"",""UPRTRXAM"",""887.50000"""</t>
  </si>
  <si>
    <t>=NL("Rows","UPR30300",{"PAYRATE","PAYROLCD","STATECD","CHEKDATE","UPRTRXAM"},"+CHEKDATE",$H$4,"EMPLCLAS","@@"&amp;$E1798,"EMPLOYID","@@"&amp;$G1798,"PAYROLCD",$H$7,"STATECD",$H$8,"CHEKNMBR","@@"&amp;$L1798)</t>
  </si>
  <si>
    <t>="""GP Direct"",""Fabrikam, Inc."",""UPR30300"",""PAYRATE"",""0.00000"",""PAYROLCD"",""401K"",""STATECD"","""",""CHEKDATE"",""5/1/2015"",""UPRTRXAM"",""26.63000"""</t>
  </si>
  <si>
    <t>="""GP Direct"",""Fabrikam, Inc."",""UPR30300"",""PAYRATE"",""0.00000"",""PAYROLCD"",""IL"",""STATECD"","""",""CHEKDATE"",""5/1/2015"",""UPRTRXAM"",""15.54000"""</t>
  </si>
  <si>
    <t>="""GP Direct"",""Fabrikam, Inc."",""UPR30300"",""PAYRATE"",""21300.00000"",""PAYROLCD"",""SALY"",""STATECD"",""IL"",""CHEKDATE"",""5/1/2015"",""UPRTRXAM"",""887.50000"""</t>
  </si>
  <si>
    <t>=NL("Rows","UPR30300",{"PAYRATE","PAYROLCD","STATECD","CHEKDATE","UPRTRXAM"},"+CHEKDATE",$H$4,"EMPLCLAS","@@"&amp;$E1808,"EMPLOYID","@@"&amp;$G1808,"PAYROLCD",$H$7,"STATECD",$H$8,"CHEKNMBR","@@"&amp;$L1808)</t>
  </si>
  <si>
    <t>="""GP Direct"",""Fabrikam, Inc."",""UPR30300"",""PAYRATE"",""0.00000"",""PAYROLCD"",""401K"",""STATECD"","""",""CHEKDATE"",""6/1/2015"",""UPRTRXAM"",""26.63000"""</t>
  </si>
  <si>
    <t>="""GP Direct"",""Fabrikam, Inc."",""UPR30300"",""PAYRATE"",""0.00000"",""PAYROLCD"",""IL"",""STATECD"","""",""CHEKDATE"",""6/1/2015"",""UPRTRXAM"",""15.54000"""</t>
  </si>
  <si>
    <t>="""GP Direct"",""Fabrikam, Inc."",""UPR30300"",""PAYRATE"",""21300.00000"",""PAYROLCD"",""SALY"",""STATECD"",""IL"",""CHEKDATE"",""6/1/2015"",""UPRTRXAM"",""887.50000"""</t>
  </si>
  <si>
    <t>=NF($O16,"PAYRATE")</t>
  </si>
  <si>
    <t>=NF($O17,"PAYRATE")</t>
  </si>
  <si>
    <t>=NF($O18,"PAYRATE")</t>
  </si>
  <si>
    <t>=NF($O19,"PAYRATE")</t>
  </si>
  <si>
    <t>=NF($O20,"PAYRATE")</t>
  </si>
  <si>
    <t>=NF($O21,"PAYRATE")</t>
  </si>
  <si>
    <t>=NF($O16,"PAYROLCD")</t>
  </si>
  <si>
    <t>=NF($O17,"PAYROLCD")</t>
  </si>
  <si>
    <t>=NF($O18,"PAYROLCD")</t>
  </si>
  <si>
    <t>=NF($O19,"PAYROLCD")</t>
  </si>
  <si>
    <t>=NF($O20,"PAYROLCD")</t>
  </si>
  <si>
    <t>=NF($O21,"PAYROLCD")</t>
  </si>
  <si>
    <t>=NF($O16,"STATECD")</t>
  </si>
  <si>
    <t>=NF($O17,"STATECD")</t>
  </si>
  <si>
    <t>=NF($O18,"STATECD")</t>
  </si>
  <si>
    <t>=NF($O19,"STATECD")</t>
  </si>
  <si>
    <t>=NF($O20,"STATECD")</t>
  </si>
  <si>
    <t>=NF($O21,"STATECD")</t>
  </si>
  <si>
    <t>=NF($O16,"CHEKDATE")</t>
  </si>
  <si>
    <t>=NF($O17,"CHEKDATE")</t>
  </si>
  <si>
    <t>=NF($O18,"CHEKDATE")</t>
  </si>
  <si>
    <t>=NF($O19,"CHEKDATE")</t>
  </si>
  <si>
    <t>=NF($O20,"CHEKDATE")</t>
  </si>
  <si>
    <t>=NF($O21,"CHEKDATE")</t>
  </si>
  <si>
    <t>=NF($O16,"UPRTRXAM")</t>
  </si>
  <si>
    <t>=NF($O17,"UPRTRXAM")</t>
  </si>
  <si>
    <t>=NF($O18,"UPRTRXAM")</t>
  </si>
  <si>
    <t>=NF($O19,"UPRTRXAM")</t>
  </si>
  <si>
    <t>=NF($O20,"UPRTRXAM")</t>
  </si>
  <si>
    <t>=NF($O21,"UPRTRXAM")</t>
  </si>
  <si>
    <t>=NF($O68,"PAYRATE")</t>
  </si>
  <si>
    <t>=NF($O69,"PAYRATE")</t>
  </si>
  <si>
    <t>=NF($O70,"PAYRATE")</t>
  </si>
  <si>
    <t>=NF($O71,"PAYRATE")</t>
  </si>
  <si>
    <t>=NF($O72,"PAYRATE")</t>
  </si>
  <si>
    <t>=NF($O73,"PAYRATE")</t>
  </si>
  <si>
    <t>=NF($O68,"PAYROLCD")</t>
  </si>
  <si>
    <t>=NF($O69,"PAYROLCD")</t>
  </si>
  <si>
    <t>=NF($O70,"PAYROLCD")</t>
  </si>
  <si>
    <t>=NF($O71,"PAYROLCD")</t>
  </si>
  <si>
    <t>=NF($O72,"PAYROLCD")</t>
  </si>
  <si>
    <t>=NF($O73,"PAYROLCD")</t>
  </si>
  <si>
    <t>=NF($O68,"STATECD")</t>
  </si>
  <si>
    <t>=NF($O69,"STATECD")</t>
  </si>
  <si>
    <t>=NF($O70,"STATECD")</t>
  </si>
  <si>
    <t>=NF($O71,"STATECD")</t>
  </si>
  <si>
    <t>=NF($O72,"STATECD")</t>
  </si>
  <si>
    <t>=NF($O73,"STATECD")</t>
  </si>
  <si>
    <t>=NF($O68,"CHEKDATE")</t>
  </si>
  <si>
    <t>=NF($O69,"CHEKDATE")</t>
  </si>
  <si>
    <t>=NF($O70,"CHEKDATE")</t>
  </si>
  <si>
    <t>=NF($O71,"CHEKDATE")</t>
  </si>
  <si>
    <t>=NF($O72,"CHEKDATE")</t>
  </si>
  <si>
    <t>=NF($O73,"CHEKDATE")</t>
  </si>
  <si>
    <t>=NF($O68,"UPRTRXAM")</t>
  </si>
  <si>
    <t>=NF($O69,"UPRTRXAM")</t>
  </si>
  <si>
    <t>=NF($O70,"UPRTRXAM")</t>
  </si>
  <si>
    <t>=NF($O71,"UPRTRXAM")</t>
  </si>
  <si>
    <t>=NF($O72,"UPRTRXAM")</t>
  </si>
  <si>
    <t>=NF($O73,"UPRTRXAM")</t>
  </si>
  <si>
    <t>=NF($O57,"PAYRATE")</t>
  </si>
  <si>
    <t>=NF($O58,"PAYRATE")</t>
  </si>
  <si>
    <t>=NF($O59,"PAYRATE")</t>
  </si>
  <si>
    <t>=NF($O60,"PAYRATE")</t>
  </si>
  <si>
    <t>=NF($O61,"PAYRATE")</t>
  </si>
  <si>
    <t>=NF($O62,"PAYRATE")</t>
  </si>
  <si>
    <t>=NF($O63,"PAYRATE")</t>
  </si>
  <si>
    <t>=NF($O57,"PAYROLCD")</t>
  </si>
  <si>
    <t>=NF($O58,"PAYROLCD")</t>
  </si>
  <si>
    <t>=NF($O59,"PAYROLCD")</t>
  </si>
  <si>
    <t>=NF($O60,"PAYROLCD")</t>
  </si>
  <si>
    <t>=NF($O61,"PAYROLCD")</t>
  </si>
  <si>
    <t>=NF($O62,"PAYROLCD")</t>
  </si>
  <si>
    <t>=NF($O63,"PAYROLCD")</t>
  </si>
  <si>
    <t>=NF($O57,"STATECD")</t>
  </si>
  <si>
    <t>=NF($O58,"STATECD")</t>
  </si>
  <si>
    <t>=NF($O59,"STATECD")</t>
  </si>
  <si>
    <t>=NF($O60,"STATECD")</t>
  </si>
  <si>
    <t>=NF($O61,"STATECD")</t>
  </si>
  <si>
    <t>=NF($O62,"STATECD")</t>
  </si>
  <si>
    <t>=NF($O63,"STATECD")</t>
  </si>
  <si>
    <t>=NF($O57,"CHEKDATE")</t>
  </si>
  <si>
    <t>=NF($O58,"CHEKDATE")</t>
  </si>
  <si>
    <t>=NF($O59,"CHEKDATE")</t>
  </si>
  <si>
    <t>=NF($O60,"CHEKDATE")</t>
  </si>
  <si>
    <t>=NF($O61,"CHEKDATE")</t>
  </si>
  <si>
    <t>=NF($O62,"CHEKDATE")</t>
  </si>
  <si>
    <t>=NF($O63,"CHEKDATE")</t>
  </si>
  <si>
    <t>=NF($O57,"UPRTRXAM")</t>
  </si>
  <si>
    <t>=NF($O58,"UPRTRXAM")</t>
  </si>
  <si>
    <t>=NF($O59,"UPRTRXAM")</t>
  </si>
  <si>
    <t>=NF($O60,"UPRTRXAM")</t>
  </si>
  <si>
    <t>=NF($O61,"UPRTRXAM")</t>
  </si>
  <si>
    <t>=NF($O62,"UPRTRXAM")</t>
  </si>
  <si>
    <t>=NF($O63,"UPRTRXAM")</t>
  </si>
  <si>
    <t>=NF($O46,"PAYRATE")</t>
  </si>
  <si>
    <t>=NF($O47,"PAYRATE")</t>
  </si>
  <si>
    <t>=NF($O48,"PAYRATE")</t>
  </si>
  <si>
    <t>=NF($O49,"PAYRATE")</t>
  </si>
  <si>
    <t>=NF($O50,"PAYRATE")</t>
  </si>
  <si>
    <t>=NF($O51,"PAYRATE")</t>
  </si>
  <si>
    <t>=NF($O52,"PAYRATE")</t>
  </si>
  <si>
    <t>=NF($O46,"PAYROLCD")</t>
  </si>
  <si>
    <t>=NF($O47,"PAYROLCD")</t>
  </si>
  <si>
    <t>=NF($O48,"PAYROLCD")</t>
  </si>
  <si>
    <t>=NF($O49,"PAYROLCD")</t>
  </si>
  <si>
    <t>=NF($O50,"PAYROLCD")</t>
  </si>
  <si>
    <t>=NF($O51,"PAYROLCD")</t>
  </si>
  <si>
    <t>=NF($O52,"PAYROLCD")</t>
  </si>
  <si>
    <t>=NF($O46,"STATECD")</t>
  </si>
  <si>
    <t>=NF($O47,"STATECD")</t>
  </si>
  <si>
    <t>=NF($O48,"STATECD")</t>
  </si>
  <si>
    <t>=NF($O49,"STATECD")</t>
  </si>
  <si>
    <t>=NF($O50,"STATECD")</t>
  </si>
  <si>
    <t>=NF($O51,"STATECD")</t>
  </si>
  <si>
    <t>=NF($O52,"STATECD")</t>
  </si>
  <si>
    <t>=NF($O46,"CHEKDATE")</t>
  </si>
  <si>
    <t>=NF($O47,"CHEKDATE")</t>
  </si>
  <si>
    <t>=NF($O48,"CHEKDATE")</t>
  </si>
  <si>
    <t>=NF($O49,"CHEKDATE")</t>
  </si>
  <si>
    <t>=NF($O50,"CHEKDATE")</t>
  </si>
  <si>
    <t>=NF($O51,"CHEKDATE")</t>
  </si>
  <si>
    <t>=NF($O52,"CHEKDATE")</t>
  </si>
  <si>
    <t>=NF($O46,"UPRTRXAM")</t>
  </si>
  <si>
    <t>=NF($O47,"UPRTRXAM")</t>
  </si>
  <si>
    <t>=NF($O48,"UPRTRXAM")</t>
  </si>
  <si>
    <t>=NF($O49,"UPRTRXAM")</t>
  </si>
  <si>
    <t>=NF($O50,"UPRTRXAM")</t>
  </si>
  <si>
    <t>=NF($O51,"UPRTRXAM")</t>
  </si>
  <si>
    <t>=NF($O52,"UPRTRXAM")</t>
  </si>
  <si>
    <t>=NF($O36,"PAYRATE")</t>
  </si>
  <si>
    <t>=NF($O37,"PAYRATE")</t>
  </si>
  <si>
    <t>=NF($O38,"PAYRATE")</t>
  </si>
  <si>
    <t>=NF($O39,"PAYRATE")</t>
  </si>
  <si>
    <t>=NF($O40,"PAYRATE")</t>
  </si>
  <si>
    <t>=NF($O41,"PAYRATE")</t>
  </si>
  <si>
    <t>=NF($O36,"PAYROLCD")</t>
  </si>
  <si>
    <t>=NF($O37,"PAYROLCD")</t>
  </si>
  <si>
    <t>=NF($O38,"PAYROLCD")</t>
  </si>
  <si>
    <t>=NF($O39,"PAYROLCD")</t>
  </si>
  <si>
    <t>=NF($O40,"PAYROLCD")</t>
  </si>
  <si>
    <t>=NF($O41,"PAYROLCD")</t>
  </si>
  <si>
    <t>=NF($O36,"STATECD")</t>
  </si>
  <si>
    <t>=NF($O37,"STATECD")</t>
  </si>
  <si>
    <t>=NF($O38,"STATECD")</t>
  </si>
  <si>
    <t>=NF($O39,"STATECD")</t>
  </si>
  <si>
    <t>=NF($O40,"STATECD")</t>
  </si>
  <si>
    <t>=NF($O41,"STATECD")</t>
  </si>
  <si>
    <t>=NF($O36,"CHEKDATE")</t>
  </si>
  <si>
    <t>=NF($O37,"CHEKDATE")</t>
  </si>
  <si>
    <t>=NF($O38,"CHEKDATE")</t>
  </si>
  <si>
    <t>=NF($O39,"CHEKDATE")</t>
  </si>
  <si>
    <t>=NF($O40,"CHEKDATE")</t>
  </si>
  <si>
    <t>=NF($O41,"CHEKDATE")</t>
  </si>
  <si>
    <t>=NF($O36,"UPRTRXAM")</t>
  </si>
  <si>
    <t>=NF($O37,"UPRTRXAM")</t>
  </si>
  <si>
    <t>=NF($O38,"UPRTRXAM")</t>
  </si>
  <si>
    <t>=NF($O39,"UPRTRXAM")</t>
  </si>
  <si>
    <t>=NF($O40,"UPRTRXAM")</t>
  </si>
  <si>
    <t>=NF($O41,"UPRTRXAM")</t>
  </si>
  <si>
    <t>=NF($O26,"PAYRATE")</t>
  </si>
  <si>
    <t>=NF($O27,"PAYRATE")</t>
  </si>
  <si>
    <t>=NF($O28,"PAYRATE")</t>
  </si>
  <si>
    <t>=NF($O29,"PAYRATE")</t>
  </si>
  <si>
    <t>=NF($O30,"PAYRATE")</t>
  </si>
  <si>
    <t>=NF($O31,"PAYRATE")</t>
  </si>
  <si>
    <t>=NF($O26,"PAYROLCD")</t>
  </si>
  <si>
    <t>=NF($O27,"PAYROLCD")</t>
  </si>
  <si>
    <t>=NF($O28,"PAYROLCD")</t>
  </si>
  <si>
    <t>=NF($O29,"PAYROLCD")</t>
  </si>
  <si>
    <t>=NF($O30,"PAYROLCD")</t>
  </si>
  <si>
    <t>=NF($O31,"PAYROLCD")</t>
  </si>
  <si>
    <t>=NF($O26,"STATECD")</t>
  </si>
  <si>
    <t>=NF($O27,"STATECD")</t>
  </si>
  <si>
    <t>=NF($O28,"STATECD")</t>
  </si>
  <si>
    <t>=NF($O29,"STATECD")</t>
  </si>
  <si>
    <t>=NF($O30,"STATECD")</t>
  </si>
  <si>
    <t>=NF($O31,"STATECD")</t>
  </si>
  <si>
    <t>=NF($O26,"CHEKDATE")</t>
  </si>
  <si>
    <t>=NF($O27,"CHEKDATE")</t>
  </si>
  <si>
    <t>=NF($O28,"CHEKDATE")</t>
  </si>
  <si>
    <t>=NF($O29,"CHEKDATE")</t>
  </si>
  <si>
    <t>=NF($O30,"CHEKDATE")</t>
  </si>
  <si>
    <t>=NF($O31,"CHEKDATE")</t>
  </si>
  <si>
    <t>=NF($O26,"UPRTRXAM")</t>
  </si>
  <si>
    <t>=NF($O27,"UPRTRXAM")</t>
  </si>
  <si>
    <t>=NF($O28,"UPRTRXAM")</t>
  </si>
  <si>
    <t>=NF($O29,"UPRTRXAM")</t>
  </si>
  <si>
    <t>=NF($O30,"UPRTRXAM")</t>
  </si>
  <si>
    <t>=NF($O31,"UPRTRXAM")</t>
  </si>
  <si>
    <t>=NF($O202,"PAYRATE")</t>
  </si>
  <si>
    <t>=NF($O203,"PAYRATE")</t>
  </si>
  <si>
    <t>=NF($O204,"PAYRATE")</t>
  </si>
  <si>
    <t>=NF($O205,"PAYRATE")</t>
  </si>
  <si>
    <t>=NF($O206,"PAYRATE")</t>
  </si>
  <si>
    <t>=NF($O202,"PAYROLCD")</t>
  </si>
  <si>
    <t>=NF($O203,"PAYROLCD")</t>
  </si>
  <si>
    <t>=NF($O204,"PAYROLCD")</t>
  </si>
  <si>
    <t>=NF($O205,"PAYROLCD")</t>
  </si>
  <si>
    <t>=NF($O206,"PAYROLCD")</t>
  </si>
  <si>
    <t>=NF($O202,"STATECD")</t>
  </si>
  <si>
    <t>=NF($O203,"STATECD")</t>
  </si>
  <si>
    <t>=NF($O204,"STATECD")</t>
  </si>
  <si>
    <t>=NF($O205,"STATECD")</t>
  </si>
  <si>
    <t>=NF($O206,"STATECD")</t>
  </si>
  <si>
    <t>=NF($O202,"CHEKDATE")</t>
  </si>
  <si>
    <t>=NF($O203,"CHEKDATE")</t>
  </si>
  <si>
    <t>=NF($O204,"CHEKDATE")</t>
  </si>
  <si>
    <t>=NF($O205,"CHEKDATE")</t>
  </si>
  <si>
    <t>=NF($O206,"CHEKDATE")</t>
  </si>
  <si>
    <t>=NF($O202,"UPRTRXAM")</t>
  </si>
  <si>
    <t>=NF($O203,"UPRTRXAM")</t>
  </si>
  <si>
    <t>=NF($O204,"UPRTRXAM")</t>
  </si>
  <si>
    <t>=NF($O205,"UPRTRXAM")</t>
  </si>
  <si>
    <t>=NF($O206,"UPRTRXAM")</t>
  </si>
  <si>
    <t>=NF($O248,"PAYRATE")</t>
  </si>
  <si>
    <t>=NF($O249,"PAYRATE")</t>
  </si>
  <si>
    <t>=NF($O250,"PAYRATE")</t>
  </si>
  <si>
    <t>=NF($O251,"PAYRATE")</t>
  </si>
  <si>
    <t>=NF($O252,"PAYRATE")</t>
  </si>
  <si>
    <t>=NF($O248,"PAYROLCD")</t>
  </si>
  <si>
    <t>=NF($O249,"PAYROLCD")</t>
  </si>
  <si>
    <t>=NF($O250,"PAYROLCD")</t>
  </si>
  <si>
    <t>=NF($O251,"PAYROLCD")</t>
  </si>
  <si>
    <t>=NF($O252,"PAYROLCD")</t>
  </si>
  <si>
    <t>=NF($O248,"STATECD")</t>
  </si>
  <si>
    <t>=NF($O249,"STATECD")</t>
  </si>
  <si>
    <t>=NF($O250,"STATECD")</t>
  </si>
  <si>
    <t>=NF($O251,"STATECD")</t>
  </si>
  <si>
    <t>=NF($O252,"STATECD")</t>
  </si>
  <si>
    <t>=NF($O248,"CHEKDATE")</t>
  </si>
  <si>
    <t>=NF($O249,"CHEKDATE")</t>
  </si>
  <si>
    <t>=NF($O250,"CHEKDATE")</t>
  </si>
  <si>
    <t>=NF($O251,"CHEKDATE")</t>
  </si>
  <si>
    <t>=NF($O252,"CHEKDATE")</t>
  </si>
  <si>
    <t>=NF($O248,"UPRTRXAM")</t>
  </si>
  <si>
    <t>=NF($O249,"UPRTRXAM")</t>
  </si>
  <si>
    <t>=NF($O250,"UPRTRXAM")</t>
  </si>
  <si>
    <t>=NF($O251,"UPRTRXAM")</t>
  </si>
  <si>
    <t>=NF($O252,"UPRTRXAM")</t>
  </si>
  <si>
    <t>=NF($O239,"PAYRATE")</t>
  </si>
  <si>
    <t>=NF($O240,"PAYRATE")</t>
  </si>
  <si>
    <t>=NF($O241,"PAYRATE")</t>
  </si>
  <si>
    <t>=NF($O242,"PAYRATE")</t>
  </si>
  <si>
    <t>=NF($O243,"PAYRATE")</t>
  </si>
  <si>
    <t>=NF($O239,"PAYROLCD")</t>
  </si>
  <si>
    <t>=NF($O240,"PAYROLCD")</t>
  </si>
  <si>
    <t>=NF($O241,"PAYROLCD")</t>
  </si>
  <si>
    <t>=NF($O242,"PAYROLCD")</t>
  </si>
  <si>
    <t>=NF($O243,"PAYROLCD")</t>
  </si>
  <si>
    <t>=NF($O239,"STATECD")</t>
  </si>
  <si>
    <t>=NF($O240,"STATECD")</t>
  </si>
  <si>
    <t>=NF($O241,"STATECD")</t>
  </si>
  <si>
    <t>=NF($O242,"STATECD")</t>
  </si>
  <si>
    <t>=NF($O243,"STATECD")</t>
  </si>
  <si>
    <t>=NF($O239,"CHEKDATE")</t>
  </si>
  <si>
    <t>=NF($O240,"CHEKDATE")</t>
  </si>
  <si>
    <t>=NF($O241,"CHEKDATE")</t>
  </si>
  <si>
    <t>=NF($O242,"CHEKDATE")</t>
  </si>
  <si>
    <t>=NF($O243,"CHEKDATE")</t>
  </si>
  <si>
    <t>=NF($O239,"UPRTRXAM")</t>
  </si>
  <si>
    <t>=NF($O240,"UPRTRXAM")</t>
  </si>
  <si>
    <t>=NF($O241,"UPRTRXAM")</t>
  </si>
  <si>
    <t>=NF($O242,"UPRTRXAM")</t>
  </si>
  <si>
    <t>=NF($O243,"UPRTRXAM")</t>
  </si>
  <si>
    <t>=NF($O230,"PAYRATE")</t>
  </si>
  <si>
    <t>=NF($O231,"PAYRATE")</t>
  </si>
  <si>
    <t>=NF($O232,"PAYRATE")</t>
  </si>
  <si>
    <t>=NF($O233,"PAYRATE")</t>
  </si>
  <si>
    <t>=NF($O234,"PAYRATE")</t>
  </si>
  <si>
    <t>=NF($O230,"PAYROLCD")</t>
  </si>
  <si>
    <t>=NF($O231,"PAYROLCD")</t>
  </si>
  <si>
    <t>=NF($O232,"PAYROLCD")</t>
  </si>
  <si>
    <t>=NF($O233,"PAYROLCD")</t>
  </si>
  <si>
    <t>=NF($O234,"PAYROLCD")</t>
  </si>
  <si>
    <t>=NF($O230,"STATECD")</t>
  </si>
  <si>
    <t>=NF($O231,"STATECD")</t>
  </si>
  <si>
    <t>=NF($O232,"STATECD")</t>
  </si>
  <si>
    <t>=NF($O233,"STATECD")</t>
  </si>
  <si>
    <t>=NF($O234,"STATECD")</t>
  </si>
  <si>
    <t>=NF($O230,"CHEKDATE")</t>
  </si>
  <si>
    <t>=NF($O231,"CHEKDATE")</t>
  </si>
  <si>
    <t>=NF($O232,"CHEKDATE")</t>
  </si>
  <si>
    <t>=NF($O233,"CHEKDATE")</t>
  </si>
  <si>
    <t>=NF($O234,"CHEKDATE")</t>
  </si>
  <si>
    <t>=NF($O230,"UPRTRXAM")</t>
  </si>
  <si>
    <t>=NF($O231,"UPRTRXAM")</t>
  </si>
  <si>
    <t>=NF($O232,"UPRTRXAM")</t>
  </si>
  <si>
    <t>=NF($O233,"UPRTRXAM")</t>
  </si>
  <si>
    <t>=NF($O234,"UPRTRXAM")</t>
  </si>
  <si>
    <t>=NF($O221,"PAYRATE")</t>
  </si>
  <si>
    <t>=NF($O222,"PAYRATE")</t>
  </si>
  <si>
    <t>=NF($O223,"PAYRATE")</t>
  </si>
  <si>
    <t>=NF($O224,"PAYRATE")</t>
  </si>
  <si>
    <t>=NF($O225,"PAYRATE")</t>
  </si>
  <si>
    <t>=NF($O221,"PAYROLCD")</t>
  </si>
  <si>
    <t>=NF($O222,"PAYROLCD")</t>
  </si>
  <si>
    <t>=NF($O223,"PAYROLCD")</t>
  </si>
  <si>
    <t>=NF($O224,"PAYROLCD")</t>
  </si>
  <si>
    <t>=NF($O225,"PAYROLCD")</t>
  </si>
  <si>
    <t>=NF($O221,"STATECD")</t>
  </si>
  <si>
    <t>=NF($O222,"STATECD")</t>
  </si>
  <si>
    <t>=NF($O223,"STATECD")</t>
  </si>
  <si>
    <t>=NF($O224,"STATECD")</t>
  </si>
  <si>
    <t>=NF($O225,"STATECD")</t>
  </si>
  <si>
    <t>=NF($O221,"CHEKDATE")</t>
  </si>
  <si>
    <t>=NF($O222,"CHEKDATE")</t>
  </si>
  <si>
    <t>=NF($O223,"CHEKDATE")</t>
  </si>
  <si>
    <t>=NF($O224,"CHEKDATE")</t>
  </si>
  <si>
    <t>=NF($O225,"CHEKDATE")</t>
  </si>
  <si>
    <t>=NF($O221,"UPRTRXAM")</t>
  </si>
  <si>
    <t>=NF($O222,"UPRTRXAM")</t>
  </si>
  <si>
    <t>=NF($O223,"UPRTRXAM")</t>
  </si>
  <si>
    <t>=NF($O224,"UPRTRXAM")</t>
  </si>
  <si>
    <t>=NF($O225,"UPRTRXAM")</t>
  </si>
  <si>
    <t>=NF($O211,"PAYRATE")</t>
  </si>
  <si>
    <t>=NF($O212,"PAYRATE")</t>
  </si>
  <si>
    <t>=NF($O213,"PAYRATE")</t>
  </si>
  <si>
    <t>=NF($O214,"PAYRATE")</t>
  </si>
  <si>
    <t>=NF($O215,"PAYRATE")</t>
  </si>
  <si>
    <t>=NF($O216,"PAYRATE")</t>
  </si>
  <si>
    <t>=NF($O211,"PAYROLCD")</t>
  </si>
  <si>
    <t>=NF($O212,"PAYROLCD")</t>
  </si>
  <si>
    <t>=NF($O213,"PAYROLCD")</t>
  </si>
  <si>
    <t>=NF($O214,"PAYROLCD")</t>
  </si>
  <si>
    <t>=NF($O215,"PAYROLCD")</t>
  </si>
  <si>
    <t>=NF($O216,"PAYROLCD")</t>
  </si>
  <si>
    <t>=NF($O211,"STATECD")</t>
  </si>
  <si>
    <t>=NF($O212,"STATECD")</t>
  </si>
  <si>
    <t>=NF($O213,"STATECD")</t>
  </si>
  <si>
    <t>=NF($O214,"STATECD")</t>
  </si>
  <si>
    <t>=NF($O215,"STATECD")</t>
  </si>
  <si>
    <t>=NF($O216,"STATECD")</t>
  </si>
  <si>
    <t>=NF($O211,"CHEKDATE")</t>
  </si>
  <si>
    <t>=NF($O212,"CHEKDATE")</t>
  </si>
  <si>
    <t>=NF($O213,"CHEKDATE")</t>
  </si>
  <si>
    <t>=NF($O214,"CHEKDATE")</t>
  </si>
  <si>
    <t>=NF($O215,"CHEKDATE")</t>
  </si>
  <si>
    <t>=NF($O216,"CHEKDATE")</t>
  </si>
  <si>
    <t>=NF($O211,"UPRTRXAM")</t>
  </si>
  <si>
    <t>=NF($O212,"UPRTRXAM")</t>
  </si>
  <si>
    <t>=NF($O213,"UPRTRXAM")</t>
  </si>
  <si>
    <t>=NF($O214,"UPRTRXAM")</t>
  </si>
  <si>
    <t>=NF($O215,"UPRTRXAM")</t>
  </si>
  <si>
    <t>=NF($O216,"UPRTRXAM")</t>
  </si>
  <si>
    <t>=NF($O139,"PAYRATE")</t>
  </si>
  <si>
    <t>=NF($O140,"PAYRATE")</t>
  </si>
  <si>
    <t>=NF($O141,"PAYRATE")</t>
  </si>
  <si>
    <t>=NF($O142,"PAYRATE")</t>
  </si>
  <si>
    <t>=NF($O143,"PAYRATE")</t>
  </si>
  <si>
    <t>=NF($O144,"PAYRATE")</t>
  </si>
  <si>
    <t>=NF($O139,"PAYROLCD")</t>
  </si>
  <si>
    <t>=NF($O140,"PAYROLCD")</t>
  </si>
  <si>
    <t>=NF($O141,"PAYROLCD")</t>
  </si>
  <si>
    <t>=NF($O142,"PAYROLCD")</t>
  </si>
  <si>
    <t>=NF($O143,"PAYROLCD")</t>
  </si>
  <si>
    <t>=NF($O144,"PAYROLCD")</t>
  </si>
  <si>
    <t>=NF($O139,"STATECD")</t>
  </si>
  <si>
    <t>=NF($O140,"STATECD")</t>
  </si>
  <si>
    <t>=NF($O141,"STATECD")</t>
  </si>
  <si>
    <t>=NF($O142,"STATECD")</t>
  </si>
  <si>
    <t>=NF($O143,"STATECD")</t>
  </si>
  <si>
    <t>=NF($O144,"STATECD")</t>
  </si>
  <si>
    <t>=NF($O139,"CHEKDATE")</t>
  </si>
  <si>
    <t>=NF($O140,"CHEKDATE")</t>
  </si>
  <si>
    <t>=NF($O141,"CHEKDATE")</t>
  </si>
  <si>
    <t>=NF($O142,"CHEKDATE")</t>
  </si>
  <si>
    <t>=NF($O143,"CHEKDATE")</t>
  </si>
  <si>
    <t>=NF($O144,"CHEKDATE")</t>
  </si>
  <si>
    <t>=NF($O139,"UPRTRXAM")</t>
  </si>
  <si>
    <t>=NF($O140,"UPRTRXAM")</t>
  </si>
  <si>
    <t>=NF($O141,"UPRTRXAM")</t>
  </si>
  <si>
    <t>=NF($O142,"UPRTRXAM")</t>
  </si>
  <si>
    <t>=NF($O143,"UPRTRXAM")</t>
  </si>
  <si>
    <t>=NF($O144,"UPRTRXAM")</t>
  </si>
  <si>
    <t>=NF($O189,"PAYRATE")</t>
  </si>
  <si>
    <t>=NF($O190,"PAYRATE")</t>
  </si>
  <si>
    <t>=NF($O191,"PAYRATE")</t>
  </si>
  <si>
    <t>=NF($O192,"PAYRATE")</t>
  </si>
  <si>
    <t>=NF($O193,"PAYRATE")</t>
  </si>
  <si>
    <t>=NF($O194,"PAYRATE")</t>
  </si>
  <si>
    <t>=NF($O189,"PAYROLCD")</t>
  </si>
  <si>
    <t>=NF($O190,"PAYROLCD")</t>
  </si>
  <si>
    <t>=NF($O191,"PAYROLCD")</t>
  </si>
  <si>
    <t>=NF($O192,"PAYROLCD")</t>
  </si>
  <si>
    <t>=NF($O193,"PAYROLCD")</t>
  </si>
  <si>
    <t>=NF($O194,"PAYROLCD")</t>
  </si>
  <si>
    <t>=NF($O189,"STATECD")</t>
  </si>
  <si>
    <t>=NF($O190,"STATECD")</t>
  </si>
  <si>
    <t>=NF($O191,"STATECD")</t>
  </si>
  <si>
    <t>=NF($O192,"STATECD")</t>
  </si>
  <si>
    <t>=NF($O193,"STATECD")</t>
  </si>
  <si>
    <t>=NF($O194,"STATECD")</t>
  </si>
  <si>
    <t>=NF($O189,"CHEKDATE")</t>
  </si>
  <si>
    <t>=NF($O190,"CHEKDATE")</t>
  </si>
  <si>
    <t>=NF($O191,"CHEKDATE")</t>
  </si>
  <si>
    <t>=NF($O192,"CHEKDATE")</t>
  </si>
  <si>
    <t>=NF($O193,"CHEKDATE")</t>
  </si>
  <si>
    <t>=NF($O194,"CHEKDATE")</t>
  </si>
  <si>
    <t>=NF($O189,"UPRTRXAM")</t>
  </si>
  <si>
    <t>=NF($O190,"UPRTRXAM")</t>
  </si>
  <si>
    <t>=NF($O191,"UPRTRXAM")</t>
  </si>
  <si>
    <t>=NF($O192,"UPRTRXAM")</t>
  </si>
  <si>
    <t>=NF($O193,"UPRTRXAM")</t>
  </si>
  <si>
    <t>=NF($O194,"UPRTRXAM")</t>
  </si>
  <si>
    <t>=NF($O179,"PAYRATE")</t>
  </si>
  <si>
    <t>=NF($O180,"PAYRATE")</t>
  </si>
  <si>
    <t>=NF($O181,"PAYRATE")</t>
  </si>
  <si>
    <t>=NF($O182,"PAYRATE")</t>
  </si>
  <si>
    <t>=NF($O183,"PAYRATE")</t>
  </si>
  <si>
    <t>=NF($O184,"PAYRATE")</t>
  </si>
  <si>
    <t>=NF($O179,"PAYROLCD")</t>
  </si>
  <si>
    <t>=NF($O180,"PAYROLCD")</t>
  </si>
  <si>
    <t>=NF($O181,"PAYROLCD")</t>
  </si>
  <si>
    <t>=NF($O182,"PAYROLCD")</t>
  </si>
  <si>
    <t>=NF($O183,"PAYROLCD")</t>
  </si>
  <si>
    <t>=NF($O184,"PAYROLCD")</t>
  </si>
  <si>
    <t>=NF($O179,"STATECD")</t>
  </si>
  <si>
    <t>=NF($O180,"STATECD")</t>
  </si>
  <si>
    <t>=NF($O181,"STATECD")</t>
  </si>
  <si>
    <t>=NF($O182,"STATECD")</t>
  </si>
  <si>
    <t>=NF($O183,"STATECD")</t>
  </si>
  <si>
    <t>=NF($O184,"STATECD")</t>
  </si>
  <si>
    <t>=NF($O179,"CHEKDATE")</t>
  </si>
  <si>
    <t>=NF($O180,"CHEKDATE")</t>
  </si>
  <si>
    <t>=NF($O181,"CHEKDATE")</t>
  </si>
  <si>
    <t>=NF($O182,"CHEKDATE")</t>
  </si>
  <si>
    <t>=NF($O183,"CHEKDATE")</t>
  </si>
  <si>
    <t>=NF($O184,"CHEKDATE")</t>
  </si>
  <si>
    <t>=NF($O179,"UPRTRXAM")</t>
  </si>
  <si>
    <t>=NF($O180,"UPRTRXAM")</t>
  </si>
  <si>
    <t>=NF($O181,"UPRTRXAM")</t>
  </si>
  <si>
    <t>=NF($O182,"UPRTRXAM")</t>
  </si>
  <si>
    <t>=NF($O183,"UPRTRXAM")</t>
  </si>
  <si>
    <t>=NF($O184,"UPRTRXAM")</t>
  </si>
  <si>
    <t>=NF($O169,"PAYRATE")</t>
  </si>
  <si>
    <t>=NF($O170,"PAYRATE")</t>
  </si>
  <si>
    <t>=NF($O171,"PAYRATE")</t>
  </si>
  <si>
    <t>=NF($O172,"PAYRATE")</t>
  </si>
  <si>
    <t>=NF($O173,"PAYRATE")</t>
  </si>
  <si>
    <t>=NF($O174,"PAYRATE")</t>
  </si>
  <si>
    <t>=NF($O169,"PAYROLCD")</t>
  </si>
  <si>
    <t>=NF($O170,"PAYROLCD")</t>
  </si>
  <si>
    <t>=NF($O171,"PAYROLCD")</t>
  </si>
  <si>
    <t>=NF($O172,"PAYROLCD")</t>
  </si>
  <si>
    <t>=NF($O173,"PAYROLCD")</t>
  </si>
  <si>
    <t>=NF($O174,"PAYROLCD")</t>
  </si>
  <si>
    <t>=NF($O169,"STATECD")</t>
  </si>
  <si>
    <t>=NF($O170,"STATECD")</t>
  </si>
  <si>
    <t>=NF($O171,"STATECD")</t>
  </si>
  <si>
    <t>=NF($O172,"STATECD")</t>
  </si>
  <si>
    <t>=NF($O173,"STATECD")</t>
  </si>
  <si>
    <t>=NF($O174,"STATECD")</t>
  </si>
  <si>
    <t>=NF($O169,"CHEKDATE")</t>
  </si>
  <si>
    <t>=NF($O170,"CHEKDATE")</t>
  </si>
  <si>
    <t>=NF($O171,"CHEKDATE")</t>
  </si>
  <si>
    <t>=NF($O172,"CHEKDATE")</t>
  </si>
  <si>
    <t>=NF($O173,"CHEKDATE")</t>
  </si>
  <si>
    <t>=NF($O174,"CHEKDATE")</t>
  </si>
  <si>
    <t>=NF($O169,"UPRTRXAM")</t>
  </si>
  <si>
    <t>=NF($O170,"UPRTRXAM")</t>
  </si>
  <si>
    <t>=NF($O171,"UPRTRXAM")</t>
  </si>
  <si>
    <t>=NF($O172,"UPRTRXAM")</t>
  </si>
  <si>
    <t>=NF($O173,"UPRTRXAM")</t>
  </si>
  <si>
    <t>=NF($O174,"UPRTRXAM")</t>
  </si>
  <si>
    <t>=NF($O159,"PAYRATE")</t>
  </si>
  <si>
    <t>=NF($O160,"PAYRATE")</t>
  </si>
  <si>
    <t>=NF($O161,"PAYRATE")</t>
  </si>
  <si>
    <t>=NF($O162,"PAYRATE")</t>
  </si>
  <si>
    <t>=NF($O163,"PAYRATE")</t>
  </si>
  <si>
    <t>=NF($O164,"PAYRATE")</t>
  </si>
  <si>
    <t>=NF($O159,"PAYROLCD")</t>
  </si>
  <si>
    <t>=NF($O160,"PAYROLCD")</t>
  </si>
  <si>
    <t>=NF($O161,"PAYROLCD")</t>
  </si>
  <si>
    <t>=NF($O162,"PAYROLCD")</t>
  </si>
  <si>
    <t>=NF($O163,"PAYROLCD")</t>
  </si>
  <si>
    <t>=NF($O164,"PAYROLCD")</t>
  </si>
  <si>
    <t>=NF($O159,"STATECD")</t>
  </si>
  <si>
    <t>=NF($O160,"STATECD")</t>
  </si>
  <si>
    <t>=NF($O161,"STATECD")</t>
  </si>
  <si>
    <t>=NF($O162,"STATECD")</t>
  </si>
  <si>
    <t>=NF($O163,"STATECD")</t>
  </si>
  <si>
    <t>=NF($O164,"STATECD")</t>
  </si>
  <si>
    <t>=NF($O159,"CHEKDATE")</t>
  </si>
  <si>
    <t>=NF($O160,"CHEKDATE")</t>
  </si>
  <si>
    <t>=NF($O161,"CHEKDATE")</t>
  </si>
  <si>
    <t>=NF($O162,"CHEKDATE")</t>
  </si>
  <si>
    <t>=NF($O163,"CHEKDATE")</t>
  </si>
  <si>
    <t>=NF($O164,"CHEKDATE")</t>
  </si>
  <si>
    <t>=NF($O159,"UPRTRXAM")</t>
  </si>
  <si>
    <t>=NF($O160,"UPRTRXAM")</t>
  </si>
  <si>
    <t>=NF($O161,"UPRTRXAM")</t>
  </si>
  <si>
    <t>=NF($O162,"UPRTRXAM")</t>
  </si>
  <si>
    <t>=NF($O163,"UPRTRXAM")</t>
  </si>
  <si>
    <t>=NF($O164,"UPRTRXAM")</t>
  </si>
  <si>
    <t>=NF($O149,"PAYRATE")</t>
  </si>
  <si>
    <t>=NF($O150,"PAYRATE")</t>
  </si>
  <si>
    <t>=NF($O151,"PAYRATE")</t>
  </si>
  <si>
    <t>=NF($O152,"PAYRATE")</t>
  </si>
  <si>
    <t>=NF($O153,"PAYRATE")</t>
  </si>
  <si>
    <t>=NF($O154,"PAYRATE")</t>
  </si>
  <si>
    <t>=NF($O149,"PAYROLCD")</t>
  </si>
  <si>
    <t>=NF($O150,"PAYROLCD")</t>
  </si>
  <si>
    <t>=NF($O151,"PAYROLCD")</t>
  </si>
  <si>
    <t>=NF($O152,"PAYROLCD")</t>
  </si>
  <si>
    <t>=NF($O153,"PAYROLCD")</t>
  </si>
  <si>
    <t>=NF($O154,"PAYROLCD")</t>
  </si>
  <si>
    <t>=NF($O149,"STATECD")</t>
  </si>
  <si>
    <t>=NF($O150,"STATECD")</t>
  </si>
  <si>
    <t>=NF($O151,"STATECD")</t>
  </si>
  <si>
    <t>=NF($O152,"STATECD")</t>
  </si>
  <si>
    <t>=NF($O153,"STATECD")</t>
  </si>
  <si>
    <t>=NF($O154,"STATECD")</t>
  </si>
  <si>
    <t>=NF($O149,"CHEKDATE")</t>
  </si>
  <si>
    <t>=NF($O150,"CHEKDATE")</t>
  </si>
  <si>
    <t>=NF($O151,"CHEKDATE")</t>
  </si>
  <si>
    <t>=NF($O152,"CHEKDATE")</t>
  </si>
  <si>
    <t>=NF($O153,"CHEKDATE")</t>
  </si>
  <si>
    <t>=NF($O154,"CHEKDATE")</t>
  </si>
  <si>
    <t>=NF($O149,"UPRTRXAM")</t>
  </si>
  <si>
    <t>=NF($O150,"UPRTRXAM")</t>
  </si>
  <si>
    <t>=NF($O151,"UPRTRXAM")</t>
  </si>
  <si>
    <t>=NF($O152,"UPRTRXAM")</t>
  </si>
  <si>
    <t>=NF($O153,"UPRTRXAM")</t>
  </si>
  <si>
    <t>=NF($O154,"UPRTRXAM")</t>
  </si>
  <si>
    <t>=NF($O81,"PAYRATE")</t>
  </si>
  <si>
    <t>=NF($O82,"PAYRATE")</t>
  </si>
  <si>
    <t>=NF($O83,"PAYRATE")</t>
  </si>
  <si>
    <t>=NF($O84,"PAYRATE")</t>
  </si>
  <si>
    <t>=NF($O85,"PAYRATE")</t>
  </si>
  <si>
    <t>=NF($O81,"PAYROLCD")</t>
  </si>
  <si>
    <t>=NF($O82,"PAYROLCD")</t>
  </si>
  <si>
    <t>=NF($O83,"PAYROLCD")</t>
  </si>
  <si>
    <t>=NF($O84,"PAYROLCD")</t>
  </si>
  <si>
    <t>=NF($O85,"PAYROLCD")</t>
  </si>
  <si>
    <t>=NF($O81,"STATECD")</t>
  </si>
  <si>
    <t>=NF($O82,"STATECD")</t>
  </si>
  <si>
    <t>=NF($O83,"STATECD")</t>
  </si>
  <si>
    <t>=NF($O84,"STATECD")</t>
  </si>
  <si>
    <t>=NF($O85,"STATECD")</t>
  </si>
  <si>
    <t>=NF($O81,"CHEKDATE")</t>
  </si>
  <si>
    <t>=NF($O82,"CHEKDATE")</t>
  </si>
  <si>
    <t>=NF($O83,"CHEKDATE")</t>
  </si>
  <si>
    <t>=NF($O84,"CHEKDATE")</t>
  </si>
  <si>
    <t>=NF($O85,"CHEKDATE")</t>
  </si>
  <si>
    <t>=NF($O81,"UPRTRXAM")</t>
  </si>
  <si>
    <t>=NF($O82,"UPRTRXAM")</t>
  </si>
  <si>
    <t>=NF($O83,"UPRTRXAM")</t>
  </si>
  <si>
    <t>=NF($O84,"UPRTRXAM")</t>
  </si>
  <si>
    <t>=NF($O85,"UPRTRXAM")</t>
  </si>
  <si>
    <t>=NF($O127,"PAYRATE")</t>
  </si>
  <si>
    <t>=NF($O128,"PAYRATE")</t>
  </si>
  <si>
    <t>=NF($O129,"PAYRATE")</t>
  </si>
  <si>
    <t>=NF($O130,"PAYRATE")</t>
  </si>
  <si>
    <t>=NF($O131,"PAYRATE")</t>
  </si>
  <si>
    <t>=NF($O127,"PAYROLCD")</t>
  </si>
  <si>
    <t>=NF($O128,"PAYROLCD")</t>
  </si>
  <si>
    <t>=NF($O129,"PAYROLCD")</t>
  </si>
  <si>
    <t>=NF($O130,"PAYROLCD")</t>
  </si>
  <si>
    <t>=NF($O131,"PAYROLCD")</t>
  </si>
  <si>
    <t>=NF($O127,"STATECD")</t>
  </si>
  <si>
    <t>=NF($O128,"STATECD")</t>
  </si>
  <si>
    <t>=NF($O129,"STATECD")</t>
  </si>
  <si>
    <t>=NF($O130,"STATECD")</t>
  </si>
  <si>
    <t>=NF($O131,"STATECD")</t>
  </si>
  <si>
    <t>=NF($O127,"CHEKDATE")</t>
  </si>
  <si>
    <t>=NF($O128,"CHEKDATE")</t>
  </si>
  <si>
    <t>=NF($O129,"CHEKDATE")</t>
  </si>
  <si>
    <t>=NF($O130,"CHEKDATE")</t>
  </si>
  <si>
    <t>=NF($O131,"CHEKDATE")</t>
  </si>
  <si>
    <t>=NF($O127,"UPRTRXAM")</t>
  </si>
  <si>
    <t>=NF($O128,"UPRTRXAM")</t>
  </si>
  <si>
    <t>=NF($O129,"UPRTRXAM")</t>
  </si>
  <si>
    <t>=NF($O130,"UPRTRXAM")</t>
  </si>
  <si>
    <t>=NF($O131,"UPRTRXAM")</t>
  </si>
  <si>
    <t>=NF($O118,"PAYRATE")</t>
  </si>
  <si>
    <t>=NF($O119,"PAYRATE")</t>
  </si>
  <si>
    <t>=NF($O120,"PAYRATE")</t>
  </si>
  <si>
    <t>=NF($O121,"PAYRATE")</t>
  </si>
  <si>
    <t>=NF($O122,"PAYRATE")</t>
  </si>
  <si>
    <t>=NF($O118,"PAYROLCD")</t>
  </si>
  <si>
    <t>=NF($O119,"PAYROLCD")</t>
  </si>
  <si>
    <t>=NF($O120,"PAYROLCD")</t>
  </si>
  <si>
    <t>=NF($O121,"PAYROLCD")</t>
  </si>
  <si>
    <t>=NF($O122,"PAYROLCD")</t>
  </si>
  <si>
    <t>=NF($O118,"STATECD")</t>
  </si>
  <si>
    <t>=NF($O119,"STATECD")</t>
  </si>
  <si>
    <t>=NF($O120,"STATECD")</t>
  </si>
  <si>
    <t>=NF($O121,"STATECD")</t>
  </si>
  <si>
    <t>=NF($O122,"STATECD")</t>
  </si>
  <si>
    <t>=NF($O118,"CHEKDATE")</t>
  </si>
  <si>
    <t>=NF($O119,"CHEKDATE")</t>
  </si>
  <si>
    <t>=NF($O120,"CHEKDATE")</t>
  </si>
  <si>
    <t>=NF($O121,"CHEKDATE")</t>
  </si>
  <si>
    <t>=NF($O122,"CHEKDATE")</t>
  </si>
  <si>
    <t>=NF($O118,"UPRTRXAM")</t>
  </si>
  <si>
    <t>=NF($O119,"UPRTRXAM")</t>
  </si>
  <si>
    <t>=NF($O120,"UPRTRXAM")</t>
  </si>
  <si>
    <t>=NF($O121,"UPRTRXAM")</t>
  </si>
  <si>
    <t>=NF($O122,"UPRTRXAM")</t>
  </si>
  <si>
    <t>=NF($O109,"PAYRATE")</t>
  </si>
  <si>
    <t>=NF($O110,"PAYRATE")</t>
  </si>
  <si>
    <t>=NF($O111,"PAYRATE")</t>
  </si>
  <si>
    <t>=NF($O112,"PAYRATE")</t>
  </si>
  <si>
    <t>=NF($O113,"PAYRATE")</t>
  </si>
  <si>
    <t>=NF($O109,"PAYROLCD")</t>
  </si>
  <si>
    <t>=NF($O110,"PAYROLCD")</t>
  </si>
  <si>
    <t>=NF($O111,"PAYROLCD")</t>
  </si>
  <si>
    <t>=NF($O112,"PAYROLCD")</t>
  </si>
  <si>
    <t>=NF($O113,"PAYROLCD")</t>
  </si>
  <si>
    <t>=NF($O109,"STATECD")</t>
  </si>
  <si>
    <t>=NF($O110,"STATECD")</t>
  </si>
  <si>
    <t>=NF($O111,"STATECD")</t>
  </si>
  <si>
    <t>=NF($O112,"STATECD")</t>
  </si>
  <si>
    <t>=NF($O113,"STATECD")</t>
  </si>
  <si>
    <t>=NF($O109,"CHEKDATE")</t>
  </si>
  <si>
    <t>=NF($O110,"CHEKDATE")</t>
  </si>
  <si>
    <t>=NF($O111,"CHEKDATE")</t>
  </si>
  <si>
    <t>=NF($O112,"CHEKDATE")</t>
  </si>
  <si>
    <t>=NF($O113,"CHEKDATE")</t>
  </si>
  <si>
    <t>=NF($O109,"UPRTRXAM")</t>
  </si>
  <si>
    <t>=NF($O110,"UPRTRXAM")</t>
  </si>
  <si>
    <t>=NF($O111,"UPRTRXAM")</t>
  </si>
  <si>
    <t>=NF($O112,"UPRTRXAM")</t>
  </si>
  <si>
    <t>=NF($O113,"UPRTRXAM")</t>
  </si>
  <si>
    <t>=NF($O99,"PAYRATE")</t>
  </si>
  <si>
    <t>=NF($O100,"PAYRATE")</t>
  </si>
  <si>
    <t>=NF($O101,"PAYRATE")</t>
  </si>
  <si>
    <t>=NF($O102,"PAYRATE")</t>
  </si>
  <si>
    <t>=NF($O103,"PAYRATE")</t>
  </si>
  <si>
    <t>=NF($O104,"PAYRATE")</t>
  </si>
  <si>
    <t>=NF($O99,"PAYROLCD")</t>
  </si>
  <si>
    <t>=NF($O100,"PAYROLCD")</t>
  </si>
  <si>
    <t>=NF($O101,"PAYROLCD")</t>
  </si>
  <si>
    <t>=NF($O102,"PAYROLCD")</t>
  </si>
  <si>
    <t>=NF($O103,"PAYROLCD")</t>
  </si>
  <si>
    <t>=NF($O104,"PAYROLCD")</t>
  </si>
  <si>
    <t>=NF($O99,"STATECD")</t>
  </si>
  <si>
    <t>=NF($O100,"STATECD")</t>
  </si>
  <si>
    <t>=NF($O101,"STATECD")</t>
  </si>
  <si>
    <t>=NF($O102,"STATECD")</t>
  </si>
  <si>
    <t>=NF($O103,"STATECD")</t>
  </si>
  <si>
    <t>=NF($O104,"STATECD")</t>
  </si>
  <si>
    <t>=NF($O99,"CHEKDATE")</t>
  </si>
  <si>
    <t>=NF($O100,"CHEKDATE")</t>
  </si>
  <si>
    <t>=NF($O101,"CHEKDATE")</t>
  </si>
  <si>
    <t>=NF($O102,"CHEKDATE")</t>
  </si>
  <si>
    <t>=NF($O103,"CHEKDATE")</t>
  </si>
  <si>
    <t>=NF($O104,"CHEKDATE")</t>
  </si>
  <si>
    <t>=NF($O99,"UPRTRXAM")</t>
  </si>
  <si>
    <t>=NF($O100,"UPRTRXAM")</t>
  </si>
  <si>
    <t>=NF($O101,"UPRTRXAM")</t>
  </si>
  <si>
    <t>=NF($O102,"UPRTRXAM")</t>
  </si>
  <si>
    <t>=NF($O103,"UPRTRXAM")</t>
  </si>
  <si>
    <t>=NF($O104,"UPRTRXAM")</t>
  </si>
  <si>
    <t>=NF($O90,"PAYRATE")</t>
  </si>
  <si>
    <t>=NF($O91,"PAYRATE")</t>
  </si>
  <si>
    <t>=NF($O92,"PAYRATE")</t>
  </si>
  <si>
    <t>=NF($O93,"PAYRATE")</t>
  </si>
  <si>
    <t>=NF($O94,"PAYRATE")</t>
  </si>
  <si>
    <t>=NF($O90,"PAYROLCD")</t>
  </si>
  <si>
    <t>=NF($O91,"PAYROLCD")</t>
  </si>
  <si>
    <t>=NF($O92,"PAYROLCD")</t>
  </si>
  <si>
    <t>=NF($O93,"PAYROLCD")</t>
  </si>
  <si>
    <t>=NF($O94,"PAYROLCD")</t>
  </si>
  <si>
    <t>=NF($O90,"STATECD")</t>
  </si>
  <si>
    <t>=NF($O91,"STATECD")</t>
  </si>
  <si>
    <t>=NF($O92,"STATECD")</t>
  </si>
  <si>
    <t>=NF($O93,"STATECD")</t>
  </si>
  <si>
    <t>=NF($O94,"STATECD")</t>
  </si>
  <si>
    <t>=NF($O90,"CHEKDATE")</t>
  </si>
  <si>
    <t>=NF($O91,"CHEKDATE")</t>
  </si>
  <si>
    <t>=NF($O92,"CHEKDATE")</t>
  </si>
  <si>
    <t>=NF($O93,"CHEKDATE")</t>
  </si>
  <si>
    <t>=NF($O94,"CHEKDATE")</t>
  </si>
  <si>
    <t>=NF($O90,"UPRTRXAM")</t>
  </si>
  <si>
    <t>=NF($O91,"UPRTRXAM")</t>
  </si>
  <si>
    <t>=NF($O92,"UPRTRXAM")</t>
  </si>
  <si>
    <t>=NF($O93,"UPRTRXAM")</t>
  </si>
  <si>
    <t>=NF($O94,"UPRTRXAM")</t>
  </si>
  <si>
    <t>=NF($O1557,"PAYRATE")</t>
  </si>
  <si>
    <t>=NF($O1558,"PAYRATE")</t>
  </si>
  <si>
    <t>=NF($O1559,"PAYRATE")</t>
  </si>
  <si>
    <t>=NF($O1560,"PAYRATE")</t>
  </si>
  <si>
    <t>=NF($O1561,"PAYRATE")</t>
  </si>
  <si>
    <t>=NF($O1562,"PAYRATE")</t>
  </si>
  <si>
    <t>=NF($O1557,"PAYROLCD")</t>
  </si>
  <si>
    <t>=NF($O1558,"PAYROLCD")</t>
  </si>
  <si>
    <t>=NF($O1559,"PAYROLCD")</t>
  </si>
  <si>
    <t>=NF($O1560,"PAYROLCD")</t>
  </si>
  <si>
    <t>=NF($O1561,"PAYROLCD")</t>
  </si>
  <si>
    <t>=NF($O1562,"PAYROLCD")</t>
  </si>
  <si>
    <t>=NF($O1557,"STATECD")</t>
  </si>
  <si>
    <t>=NF($O1558,"STATECD")</t>
  </si>
  <si>
    <t>=NF($O1559,"STATECD")</t>
  </si>
  <si>
    <t>=NF($O1560,"STATECD")</t>
  </si>
  <si>
    <t>=NF($O1561,"STATECD")</t>
  </si>
  <si>
    <t>=NF($O1562,"STATECD")</t>
  </si>
  <si>
    <t>=NF($O1557,"CHEKDATE")</t>
  </si>
  <si>
    <t>=NF($O1558,"CHEKDATE")</t>
  </si>
  <si>
    <t>=NF($O1559,"CHEKDATE")</t>
  </si>
  <si>
    <t>=NF($O1560,"CHEKDATE")</t>
  </si>
  <si>
    <t>=NF($O1561,"CHEKDATE")</t>
  </si>
  <si>
    <t>=NF($O1562,"CHEKDATE")</t>
  </si>
  <si>
    <t>=NF($O1557,"UPRTRXAM")</t>
  </si>
  <si>
    <t>=NF($O1558,"UPRTRXAM")</t>
  </si>
  <si>
    <t>=NF($O1559,"UPRTRXAM")</t>
  </si>
  <si>
    <t>=NF($O1560,"UPRTRXAM")</t>
  </si>
  <si>
    <t>=NF($O1561,"UPRTRXAM")</t>
  </si>
  <si>
    <t>=NF($O1562,"UPRTRXAM")</t>
  </si>
  <si>
    <t>=NF($O1607,"PAYRATE")</t>
  </si>
  <si>
    <t>=NF($O1608,"PAYRATE")</t>
  </si>
  <si>
    <t>=NF($O1609,"PAYRATE")</t>
  </si>
  <si>
    <t>=NF($O1610,"PAYRATE")</t>
  </si>
  <si>
    <t>=NF($O1611,"PAYRATE")</t>
  </si>
  <si>
    <t>=NF($O1612,"PAYRATE")</t>
  </si>
  <si>
    <t>=NF($O1607,"PAYROLCD")</t>
  </si>
  <si>
    <t>=NF($O1608,"PAYROLCD")</t>
  </si>
  <si>
    <t>=NF($O1609,"PAYROLCD")</t>
  </si>
  <si>
    <t>=NF($O1610,"PAYROLCD")</t>
  </si>
  <si>
    <t>=NF($O1611,"PAYROLCD")</t>
  </si>
  <si>
    <t>=NF($O1612,"PAYROLCD")</t>
  </si>
  <si>
    <t>=NF($O1607,"STATECD")</t>
  </si>
  <si>
    <t>=NF($O1608,"STATECD")</t>
  </si>
  <si>
    <t>=NF($O1609,"STATECD")</t>
  </si>
  <si>
    <t>=NF($O1610,"STATECD")</t>
  </si>
  <si>
    <t>=NF($O1611,"STATECD")</t>
  </si>
  <si>
    <t>=NF($O1612,"STATECD")</t>
  </si>
  <si>
    <t>=NF($O1607,"CHEKDATE")</t>
  </si>
  <si>
    <t>=NF($O1608,"CHEKDATE")</t>
  </si>
  <si>
    <t>=NF($O1609,"CHEKDATE")</t>
  </si>
  <si>
    <t>=NF($O1610,"CHEKDATE")</t>
  </si>
  <si>
    <t>=NF($O1611,"CHEKDATE")</t>
  </si>
  <si>
    <t>=NF($O1612,"CHEKDATE")</t>
  </si>
  <si>
    <t>=NF($O1607,"UPRTRXAM")</t>
  </si>
  <si>
    <t>=NF($O1608,"UPRTRXAM")</t>
  </si>
  <si>
    <t>=NF($O1609,"UPRTRXAM")</t>
  </si>
  <si>
    <t>=NF($O1610,"UPRTRXAM")</t>
  </si>
  <si>
    <t>=NF($O1611,"UPRTRXAM")</t>
  </si>
  <si>
    <t>=NF($O1612,"UPRTRXAM")</t>
  </si>
  <si>
    <t>=NF($O1597,"PAYRATE")</t>
  </si>
  <si>
    <t>=NF($O1598,"PAYRATE")</t>
  </si>
  <si>
    <t>=NF($O1599,"PAYRATE")</t>
  </si>
  <si>
    <t>=NF($O1600,"PAYRATE")</t>
  </si>
  <si>
    <t>=NF($O1601,"PAYRATE")</t>
  </si>
  <si>
    <t>=NF($O1602,"PAYRATE")</t>
  </si>
  <si>
    <t>=NF($O1597,"PAYROLCD")</t>
  </si>
  <si>
    <t>=NF($O1598,"PAYROLCD")</t>
  </si>
  <si>
    <t>=NF($O1599,"PAYROLCD")</t>
  </si>
  <si>
    <t>=NF($O1600,"PAYROLCD")</t>
  </si>
  <si>
    <t>=NF($O1601,"PAYROLCD")</t>
  </si>
  <si>
    <t>=NF($O1602,"PAYROLCD")</t>
  </si>
  <si>
    <t>=NF($O1597,"STATECD")</t>
  </si>
  <si>
    <t>=NF($O1598,"STATECD")</t>
  </si>
  <si>
    <t>=NF($O1599,"STATECD")</t>
  </si>
  <si>
    <t>=NF($O1600,"STATECD")</t>
  </si>
  <si>
    <t>=NF($O1601,"STATECD")</t>
  </si>
  <si>
    <t>=NF($O1602,"STATECD")</t>
  </si>
  <si>
    <t>=NF($O1597,"CHEKDATE")</t>
  </si>
  <si>
    <t>=NF($O1598,"CHEKDATE")</t>
  </si>
  <si>
    <t>=NF($O1599,"CHEKDATE")</t>
  </si>
  <si>
    <t>=NF($O1600,"CHEKDATE")</t>
  </si>
  <si>
    <t>=NF($O1601,"CHEKDATE")</t>
  </si>
  <si>
    <t>=NF($O1602,"CHEKDATE")</t>
  </si>
  <si>
    <t>=NF($O1597,"UPRTRXAM")</t>
  </si>
  <si>
    <t>=NF($O1598,"UPRTRXAM")</t>
  </si>
  <si>
    <t>=NF($O1599,"UPRTRXAM")</t>
  </si>
  <si>
    <t>=NF($O1600,"UPRTRXAM")</t>
  </si>
  <si>
    <t>=NF($O1601,"UPRTRXAM")</t>
  </si>
  <si>
    <t>=NF($O1602,"UPRTRXAM")</t>
  </si>
  <si>
    <t>=NF($O1587,"PAYRATE")</t>
  </si>
  <si>
    <t>=NF($O1588,"PAYRATE")</t>
  </si>
  <si>
    <t>=NF($O1589,"PAYRATE")</t>
  </si>
  <si>
    <t>=NF($O1590,"PAYRATE")</t>
  </si>
  <si>
    <t>=NF($O1591,"PAYRATE")</t>
  </si>
  <si>
    <t>=NF($O1592,"PAYRATE")</t>
  </si>
  <si>
    <t>=NF($O1587,"PAYROLCD")</t>
  </si>
  <si>
    <t>=NF($O1588,"PAYROLCD")</t>
  </si>
  <si>
    <t>=NF($O1589,"PAYROLCD")</t>
  </si>
  <si>
    <t>=NF($O1590,"PAYROLCD")</t>
  </si>
  <si>
    <t>=NF($O1591,"PAYROLCD")</t>
  </si>
  <si>
    <t>=NF($O1592,"PAYROLCD")</t>
  </si>
  <si>
    <t>=NF($O1587,"STATECD")</t>
  </si>
  <si>
    <t>=NF($O1588,"STATECD")</t>
  </si>
  <si>
    <t>=NF($O1589,"STATECD")</t>
  </si>
  <si>
    <t>=NF($O1590,"STATECD")</t>
  </si>
  <si>
    <t>=NF($O1591,"STATECD")</t>
  </si>
  <si>
    <t>=NF($O1592,"STATECD")</t>
  </si>
  <si>
    <t>=NF($O1587,"CHEKDATE")</t>
  </si>
  <si>
    <t>=NF($O1588,"CHEKDATE")</t>
  </si>
  <si>
    <t>=NF($O1589,"CHEKDATE")</t>
  </si>
  <si>
    <t>=NF($O1590,"CHEKDATE")</t>
  </si>
  <si>
    <t>=NF($O1591,"CHEKDATE")</t>
  </si>
  <si>
    <t>=NF($O1592,"CHEKDATE")</t>
  </si>
  <si>
    <t>=NF($O1587,"UPRTRXAM")</t>
  </si>
  <si>
    <t>=NF($O1588,"UPRTRXAM")</t>
  </si>
  <si>
    <t>=NF($O1589,"UPRTRXAM")</t>
  </si>
  <si>
    <t>=NF($O1590,"UPRTRXAM")</t>
  </si>
  <si>
    <t>=NF($O1591,"UPRTRXAM")</t>
  </si>
  <si>
    <t>=NF($O1592,"UPRTRXAM")</t>
  </si>
  <si>
    <t>=NF($O1577,"PAYRATE")</t>
  </si>
  <si>
    <t>=NF($O1578,"PAYRATE")</t>
  </si>
  <si>
    <t>=NF($O1579,"PAYRATE")</t>
  </si>
  <si>
    <t>=NF($O1580,"PAYRATE")</t>
  </si>
  <si>
    <t>=NF($O1581,"PAYRATE")</t>
  </si>
  <si>
    <t>=NF($O1582,"PAYRATE")</t>
  </si>
  <si>
    <t>=NF($O1577,"PAYROLCD")</t>
  </si>
  <si>
    <t>=NF($O1578,"PAYROLCD")</t>
  </si>
  <si>
    <t>=NF($O1579,"PAYROLCD")</t>
  </si>
  <si>
    <t>=NF($O1580,"PAYROLCD")</t>
  </si>
  <si>
    <t>=NF($O1581,"PAYROLCD")</t>
  </si>
  <si>
    <t>=NF($O1582,"PAYROLCD")</t>
  </si>
  <si>
    <t>=NF($O1577,"STATECD")</t>
  </si>
  <si>
    <t>=NF($O1578,"STATECD")</t>
  </si>
  <si>
    <t>=NF($O1579,"STATECD")</t>
  </si>
  <si>
    <t>=NF($O1580,"STATECD")</t>
  </si>
  <si>
    <t>=NF($O1581,"STATECD")</t>
  </si>
  <si>
    <t>=NF($O1582,"STATECD")</t>
  </si>
  <si>
    <t>=NF($O1577,"CHEKDATE")</t>
  </si>
  <si>
    <t>=NF($O1578,"CHEKDATE")</t>
  </si>
  <si>
    <t>=NF($O1579,"CHEKDATE")</t>
  </si>
  <si>
    <t>=NF($O1580,"CHEKDATE")</t>
  </si>
  <si>
    <t>=NF($O1581,"CHEKDATE")</t>
  </si>
  <si>
    <t>=NF($O1582,"CHEKDATE")</t>
  </si>
  <si>
    <t>=NF($O1577,"UPRTRXAM")</t>
  </si>
  <si>
    <t>=NF($O1578,"UPRTRXAM")</t>
  </si>
  <si>
    <t>=NF($O1579,"UPRTRXAM")</t>
  </si>
  <si>
    <t>=NF($O1580,"UPRTRXAM")</t>
  </si>
  <si>
    <t>=NF($O1581,"UPRTRXAM")</t>
  </si>
  <si>
    <t>=NF($O1582,"UPRTRXAM")</t>
  </si>
  <si>
    <t>=NF($O1567,"PAYRATE")</t>
  </si>
  <si>
    <t>=NF($O1568,"PAYRATE")</t>
  </si>
  <si>
    <t>=NF($O1569,"PAYRATE")</t>
  </si>
  <si>
    <t>=NF($O1570,"PAYRATE")</t>
  </si>
  <si>
    <t>=NF($O1571,"PAYRATE")</t>
  </si>
  <si>
    <t>=NF($O1572,"PAYRATE")</t>
  </si>
  <si>
    <t>=NF($O1567,"PAYROLCD")</t>
  </si>
  <si>
    <t>=NF($O1568,"PAYROLCD")</t>
  </si>
  <si>
    <t>=NF($O1569,"PAYROLCD")</t>
  </si>
  <si>
    <t>=NF($O1570,"PAYROLCD")</t>
  </si>
  <si>
    <t>=NF($O1571,"PAYROLCD")</t>
  </si>
  <si>
    <t>=NF($O1572,"PAYROLCD")</t>
  </si>
  <si>
    <t>=NF($O1567,"STATECD")</t>
  </si>
  <si>
    <t>=NF($O1568,"STATECD")</t>
  </si>
  <si>
    <t>=NF($O1569,"STATECD")</t>
  </si>
  <si>
    <t>=NF($O1570,"STATECD")</t>
  </si>
  <si>
    <t>=NF($O1571,"STATECD")</t>
  </si>
  <si>
    <t>=NF($O1572,"STATECD")</t>
  </si>
  <si>
    <t>=NF($O1567,"CHEKDATE")</t>
  </si>
  <si>
    <t>=NF($O1568,"CHEKDATE")</t>
  </si>
  <si>
    <t>=NF($O1569,"CHEKDATE")</t>
  </si>
  <si>
    <t>=NF($O1570,"CHEKDATE")</t>
  </si>
  <si>
    <t>=NF($O1571,"CHEKDATE")</t>
  </si>
  <si>
    <t>=NF($O1572,"CHEKDATE")</t>
  </si>
  <si>
    <t>=NF($O1567,"UPRTRXAM")</t>
  </si>
  <si>
    <t>=NF($O1568,"UPRTRXAM")</t>
  </si>
  <si>
    <t>=NF($O1569,"UPRTRXAM")</t>
  </si>
  <si>
    <t>=NF($O1570,"UPRTRXAM")</t>
  </si>
  <si>
    <t>=NF($O1571,"UPRTRXAM")</t>
  </si>
  <si>
    <t>=NF($O1572,"UPRTRXAM")</t>
  </si>
  <si>
    <t>=NF($O1758,"PAYRATE")</t>
  </si>
  <si>
    <t>=NF($O1759,"PAYRATE")</t>
  </si>
  <si>
    <t>=NF($O1760,"PAYRATE")</t>
  </si>
  <si>
    <t>=NF($O1761,"PAYRATE")</t>
  </si>
  <si>
    <t>=NF($O1762,"PAYRATE")</t>
  </si>
  <si>
    <t>=NF($O1763,"PAYRATE")</t>
  </si>
  <si>
    <t>=NF($O1764,"PAYRATE")</t>
  </si>
  <si>
    <t>=NF($O1758,"PAYROLCD")</t>
  </si>
  <si>
    <t>=NF($O1759,"PAYROLCD")</t>
  </si>
  <si>
    <t>=NF($O1760,"PAYROLCD")</t>
  </si>
  <si>
    <t>=NF($O1761,"PAYROLCD")</t>
  </si>
  <si>
    <t>=NF($O1762,"PAYROLCD")</t>
  </si>
  <si>
    <t>=NF($O1763,"PAYROLCD")</t>
  </si>
  <si>
    <t>=NF($O1764,"PAYROLCD")</t>
  </si>
  <si>
    <t>=NF($O1758,"STATECD")</t>
  </si>
  <si>
    <t>=NF($O1759,"STATECD")</t>
  </si>
  <si>
    <t>=NF($O1760,"STATECD")</t>
  </si>
  <si>
    <t>=NF($O1761,"STATECD")</t>
  </si>
  <si>
    <t>=NF($O1762,"STATECD")</t>
  </si>
  <si>
    <t>=NF($O1763,"STATECD")</t>
  </si>
  <si>
    <t>=NF($O1764,"STATECD")</t>
  </si>
  <si>
    <t>=NF($O1758,"CHEKDATE")</t>
  </si>
  <si>
    <t>=NF($O1759,"CHEKDATE")</t>
  </si>
  <si>
    <t>=NF($O1760,"CHEKDATE")</t>
  </si>
  <si>
    <t>=NF($O1761,"CHEKDATE")</t>
  </si>
  <si>
    <t>=NF($O1762,"CHEKDATE")</t>
  </si>
  <si>
    <t>=NF($O1763,"CHEKDATE")</t>
  </si>
  <si>
    <t>=NF($O1764,"CHEKDATE")</t>
  </si>
  <si>
    <t>=NF($O1758,"UPRTRXAM")</t>
  </si>
  <si>
    <t>=NF($O1759,"UPRTRXAM")</t>
  </si>
  <si>
    <t>=NF($O1760,"UPRTRXAM")</t>
  </si>
  <si>
    <t>=NF($O1761,"UPRTRXAM")</t>
  </si>
  <si>
    <t>=NF($O1762,"UPRTRXAM")</t>
  </si>
  <si>
    <t>=NF($O1763,"UPRTRXAM")</t>
  </si>
  <si>
    <t>=NF($O1764,"UPRTRXAM")</t>
  </si>
  <si>
    <t>=NF($O1809,"PAYRATE")</t>
  </si>
  <si>
    <t>=NF($O1810,"PAYRATE")</t>
  </si>
  <si>
    <t>=NF($O1811,"PAYRATE")</t>
  </si>
  <si>
    <t>=NF($O1812,"PAYRATE")</t>
  </si>
  <si>
    <t>=NF($O1813,"PAYRATE")</t>
  </si>
  <si>
    <t>=NF($O1814,"PAYRATE")</t>
  </si>
  <si>
    <t>=NF($O1809,"PAYROLCD")</t>
  </si>
  <si>
    <t>=NF($O1810,"PAYROLCD")</t>
  </si>
  <si>
    <t>=NF($O1811,"PAYROLCD")</t>
  </si>
  <si>
    <t>=NF($O1812,"PAYROLCD")</t>
  </si>
  <si>
    <t>=NF($O1813,"PAYROLCD")</t>
  </si>
  <si>
    <t>=NF($O1814,"PAYROLCD")</t>
  </si>
  <si>
    <t>=NF($O1809,"STATECD")</t>
  </si>
  <si>
    <t>=NF($O1810,"STATECD")</t>
  </si>
  <si>
    <t>=NF($O1811,"STATECD")</t>
  </si>
  <si>
    <t>=NF($O1812,"STATECD")</t>
  </si>
  <si>
    <t>=NF($O1813,"STATECD")</t>
  </si>
  <si>
    <t>=NF($O1814,"STATECD")</t>
  </si>
  <si>
    <t>=NF($O1809,"CHEKDATE")</t>
  </si>
  <si>
    <t>=NF($O1810,"CHEKDATE")</t>
  </si>
  <si>
    <t>=NF($O1811,"CHEKDATE")</t>
  </si>
  <si>
    <t>=NF($O1812,"CHEKDATE")</t>
  </si>
  <si>
    <t>=NF($O1813,"CHEKDATE")</t>
  </si>
  <si>
    <t>=NF($O1814,"CHEKDATE")</t>
  </si>
  <si>
    <t>=NF($O1809,"UPRTRXAM")</t>
  </si>
  <si>
    <t>=NF($O1810,"UPRTRXAM")</t>
  </si>
  <si>
    <t>=NF($O1811,"UPRTRXAM")</t>
  </si>
  <si>
    <t>=NF($O1812,"UPRTRXAM")</t>
  </si>
  <si>
    <t>=NF($O1813,"UPRTRXAM")</t>
  </si>
  <si>
    <t>=NF($O1814,"UPRTRXAM")</t>
  </si>
  <si>
    <t>=NF($O1799,"PAYRATE")</t>
  </si>
  <si>
    <t>=NF($O1800,"PAYRATE")</t>
  </si>
  <si>
    <t>=NF($O1801,"PAYRATE")</t>
  </si>
  <si>
    <t>=NF($O1802,"PAYRATE")</t>
  </si>
  <si>
    <t>=NF($O1803,"PAYRATE")</t>
  </si>
  <si>
    <t>=NF($O1804,"PAYRATE")</t>
  </si>
  <si>
    <t>=NF($O1799,"PAYROLCD")</t>
  </si>
  <si>
    <t>=NF($O1800,"PAYROLCD")</t>
  </si>
  <si>
    <t>=NF($O1801,"PAYROLCD")</t>
  </si>
  <si>
    <t>=NF($O1802,"PAYROLCD")</t>
  </si>
  <si>
    <t>=NF($O1803,"PAYROLCD")</t>
  </si>
  <si>
    <t>=NF($O1804,"PAYROLCD")</t>
  </si>
  <si>
    <t>=NF($O1799,"STATECD")</t>
  </si>
  <si>
    <t>=NF($O1800,"STATECD")</t>
  </si>
  <si>
    <t>=NF($O1801,"STATECD")</t>
  </si>
  <si>
    <t>=NF($O1802,"STATECD")</t>
  </si>
  <si>
    <t>=NF($O1803,"STATECD")</t>
  </si>
  <si>
    <t>=NF($O1804,"STATECD")</t>
  </si>
  <si>
    <t>=NF($O1799,"CHEKDATE")</t>
  </si>
  <si>
    <t>=NF($O1800,"CHEKDATE")</t>
  </si>
  <si>
    <t>=NF($O1801,"CHEKDATE")</t>
  </si>
  <si>
    <t>=NF($O1802,"CHEKDATE")</t>
  </si>
  <si>
    <t>=NF($O1803,"CHEKDATE")</t>
  </si>
  <si>
    <t>=NF($O1804,"CHEKDATE")</t>
  </si>
  <si>
    <t>=NF($O1799,"UPRTRXAM")</t>
  </si>
  <si>
    <t>=NF($O1800,"UPRTRXAM")</t>
  </si>
  <si>
    <t>=NF($O1801,"UPRTRXAM")</t>
  </si>
  <si>
    <t>=NF($O1802,"UPRTRXAM")</t>
  </si>
  <si>
    <t>=NF($O1803,"UPRTRXAM")</t>
  </si>
  <si>
    <t>=NF($O1804,"UPRTRXAM")</t>
  </si>
  <si>
    <t>=NF($O1789,"PAYRATE")</t>
  </si>
  <si>
    <t>=NF($O1790,"PAYRATE")</t>
  </si>
  <si>
    <t>=NF($O1791,"PAYRATE")</t>
  </si>
  <si>
    <t>=NF($O1792,"PAYRATE")</t>
  </si>
  <si>
    <t>=NF($O1793,"PAYRATE")</t>
  </si>
  <si>
    <t>=NF($O1794,"PAYRATE")</t>
  </si>
  <si>
    <t>=NF($O1789,"PAYROLCD")</t>
  </si>
  <si>
    <t>=NF($O1790,"PAYROLCD")</t>
  </si>
  <si>
    <t>=NF($O1791,"PAYROLCD")</t>
  </si>
  <si>
    <t>=NF($O1792,"PAYROLCD")</t>
  </si>
  <si>
    <t>=NF($O1793,"PAYROLCD")</t>
  </si>
  <si>
    <t>=NF($O1794,"PAYROLCD")</t>
  </si>
  <si>
    <t>=NF($O1789,"STATECD")</t>
  </si>
  <si>
    <t>=NF($O1790,"STATECD")</t>
  </si>
  <si>
    <t>=NF($O1791,"STATECD")</t>
  </si>
  <si>
    <t>=NF($O1792,"STATECD")</t>
  </si>
  <si>
    <t>=NF($O1793,"STATECD")</t>
  </si>
  <si>
    <t>=NF($O1794,"STATECD")</t>
  </si>
  <si>
    <t>=NF($O1789,"CHEKDATE")</t>
  </si>
  <si>
    <t>=NF($O1790,"CHEKDATE")</t>
  </si>
  <si>
    <t>=NF($O1791,"CHEKDATE")</t>
  </si>
  <si>
    <t>=NF($O1792,"CHEKDATE")</t>
  </si>
  <si>
    <t>=NF($O1793,"CHEKDATE")</t>
  </si>
  <si>
    <t>=NF($O1794,"CHEKDATE")</t>
  </si>
  <si>
    <t>=NF($O1789,"UPRTRXAM")</t>
  </si>
  <si>
    <t>=NF($O1790,"UPRTRXAM")</t>
  </si>
  <si>
    <t>=NF($O1791,"UPRTRXAM")</t>
  </si>
  <si>
    <t>=NF($O1792,"UPRTRXAM")</t>
  </si>
  <si>
    <t>=NF($O1793,"UPRTRXAM")</t>
  </si>
  <si>
    <t>=NF($O1794,"UPRTRXAM")</t>
  </si>
  <si>
    <t>=NF($O1779,"PAYRATE")</t>
  </si>
  <si>
    <t>=NF($O1780,"PAYRATE")</t>
  </si>
  <si>
    <t>=NF($O1781,"PAYRATE")</t>
  </si>
  <si>
    <t>=NF($O1782,"PAYRATE")</t>
  </si>
  <si>
    <t>=NF($O1783,"PAYRATE")</t>
  </si>
  <si>
    <t>=NF($O1784,"PAYRATE")</t>
  </si>
  <si>
    <t>=NF($O1779,"PAYROLCD")</t>
  </si>
  <si>
    <t>=NF($O1780,"PAYROLCD")</t>
  </si>
  <si>
    <t>=NF($O1781,"PAYROLCD")</t>
  </si>
  <si>
    <t>=NF($O1782,"PAYROLCD")</t>
  </si>
  <si>
    <t>=NF($O1783,"PAYROLCD")</t>
  </si>
  <si>
    <t>=NF($O1784,"PAYROLCD")</t>
  </si>
  <si>
    <t>=NF($O1779,"STATECD")</t>
  </si>
  <si>
    <t>=NF($O1780,"STATECD")</t>
  </si>
  <si>
    <t>=NF($O1781,"STATECD")</t>
  </si>
  <si>
    <t>=NF($O1782,"STATECD")</t>
  </si>
  <si>
    <t>=NF($O1783,"STATECD")</t>
  </si>
  <si>
    <t>=NF($O1784,"STATECD")</t>
  </si>
  <si>
    <t>=NF($O1779,"CHEKDATE")</t>
  </si>
  <si>
    <t>=NF($O1780,"CHEKDATE")</t>
  </si>
  <si>
    <t>=NF($O1781,"CHEKDATE")</t>
  </si>
  <si>
    <t>=NF($O1782,"CHEKDATE")</t>
  </si>
  <si>
    <t>=NF($O1783,"CHEKDATE")</t>
  </si>
  <si>
    <t>=NF($O1784,"CHEKDATE")</t>
  </si>
  <si>
    <t>=NF($O1779,"UPRTRXAM")</t>
  </si>
  <si>
    <t>=NF($O1780,"UPRTRXAM")</t>
  </si>
  <si>
    <t>=NF($O1781,"UPRTRXAM")</t>
  </si>
  <si>
    <t>=NF($O1782,"UPRTRXAM")</t>
  </si>
  <si>
    <t>=NF($O1783,"UPRTRXAM")</t>
  </si>
  <si>
    <t>=NF($O1784,"UPRTRXAM")</t>
  </si>
  <si>
    <t>=NF($O1769,"PAYRATE")</t>
  </si>
  <si>
    <t>=NF($O1770,"PAYRATE")</t>
  </si>
  <si>
    <t>=NF($O1771,"PAYRATE")</t>
  </si>
  <si>
    <t>=NF($O1772,"PAYRATE")</t>
  </si>
  <si>
    <t>=NF($O1773,"PAYRATE")</t>
  </si>
  <si>
    <t>=NF($O1774,"PAYRATE")</t>
  </si>
  <si>
    <t>=NF($O1769,"PAYROLCD")</t>
  </si>
  <si>
    <t>=NF($O1770,"PAYROLCD")</t>
  </si>
  <si>
    <t>=NF($O1771,"PAYROLCD")</t>
  </si>
  <si>
    <t>=NF($O1772,"PAYROLCD")</t>
  </si>
  <si>
    <t>=NF($O1773,"PAYROLCD")</t>
  </si>
  <si>
    <t>=NF($O1774,"PAYROLCD")</t>
  </si>
  <si>
    <t>=NF($O1769,"STATECD")</t>
  </si>
  <si>
    <t>=NF($O1770,"STATECD")</t>
  </si>
  <si>
    <t>=NF($O1771,"STATECD")</t>
  </si>
  <si>
    <t>=NF($O1772,"STATECD")</t>
  </si>
  <si>
    <t>=NF($O1773,"STATECD")</t>
  </si>
  <si>
    <t>=NF($O1774,"STATECD")</t>
  </si>
  <si>
    <t>=NF($O1769,"CHEKDATE")</t>
  </si>
  <si>
    <t>=NF($O1770,"CHEKDATE")</t>
  </si>
  <si>
    <t>=NF($O1771,"CHEKDATE")</t>
  </si>
  <si>
    <t>=NF($O1772,"CHEKDATE")</t>
  </si>
  <si>
    <t>=NF($O1773,"CHEKDATE")</t>
  </si>
  <si>
    <t>=NF($O1774,"CHEKDATE")</t>
  </si>
  <si>
    <t>=NF($O1769,"UPRTRXAM")</t>
  </si>
  <si>
    <t>=NF($O1770,"UPRTRXAM")</t>
  </si>
  <si>
    <t>=NF($O1771,"UPRTRXAM")</t>
  </si>
  <si>
    <t>=NF($O1772,"UPRTRXAM")</t>
  </si>
  <si>
    <t>=NF($O1773,"UPRTRXAM")</t>
  </si>
  <si>
    <t>=NF($O1774,"UPRTRXAM")</t>
  </si>
  <si>
    <t>=NF($O1694,"PAYRATE")</t>
  </si>
  <si>
    <t>=NF($O1695,"PAYRATE")</t>
  </si>
  <si>
    <t>=NF($O1696,"PAYRATE")</t>
  </si>
  <si>
    <t>=NF($O1697,"PAYRATE")</t>
  </si>
  <si>
    <t>=NF($O1698,"PAYRATE")</t>
  </si>
  <si>
    <t>=NF($O1699,"PAYRATE")</t>
  </si>
  <si>
    <t>=NF($O1700,"PAYRATE")</t>
  </si>
  <si>
    <t>=NF($O1694,"PAYROLCD")</t>
  </si>
  <si>
    <t>=NF($O1695,"PAYROLCD")</t>
  </si>
  <si>
    <t>=NF($O1696,"PAYROLCD")</t>
  </si>
  <si>
    <t>=NF($O1697,"PAYROLCD")</t>
  </si>
  <si>
    <t>=NF($O1698,"PAYROLCD")</t>
  </si>
  <si>
    <t>=NF($O1699,"PAYROLCD")</t>
  </si>
  <si>
    <t>=NF($O1700,"PAYROLCD")</t>
  </si>
  <si>
    <t>=NF($O1694,"STATECD")</t>
  </si>
  <si>
    <t>=NF($O1695,"STATECD")</t>
  </si>
  <si>
    <t>=NF($O1696,"STATECD")</t>
  </si>
  <si>
    <t>=NF($O1697,"STATECD")</t>
  </si>
  <si>
    <t>=NF($O1698,"STATECD")</t>
  </si>
  <si>
    <t>=NF($O1699,"STATECD")</t>
  </si>
  <si>
    <t>=NF($O1700,"STATECD")</t>
  </si>
  <si>
    <t>=NF($O1694,"CHEKDATE")</t>
  </si>
  <si>
    <t>=NF($O1695,"CHEKDATE")</t>
  </si>
  <si>
    <t>=NF($O1696,"CHEKDATE")</t>
  </si>
  <si>
    <t>=NF($O1697,"CHEKDATE")</t>
  </si>
  <si>
    <t>=NF($O1698,"CHEKDATE")</t>
  </si>
  <si>
    <t>=NF($O1699,"CHEKDATE")</t>
  </si>
  <si>
    <t>=NF($O1700,"CHEKDATE")</t>
  </si>
  <si>
    <t>=NF($O1694,"UPRTRXAM")</t>
  </si>
  <si>
    <t>=NF($O1695,"UPRTRXAM")</t>
  </si>
  <si>
    <t>=NF($O1696,"UPRTRXAM")</t>
  </si>
  <si>
    <t>=NF($O1697,"UPRTRXAM")</t>
  </si>
  <si>
    <t>=NF($O1698,"UPRTRXAM")</t>
  </si>
  <si>
    <t>=NF($O1699,"UPRTRXAM")</t>
  </si>
  <si>
    <t>=NF($O1700,"UPRTRXAM")</t>
  </si>
  <si>
    <t>=NF($O1745,"PAYRATE")</t>
  </si>
  <si>
    <t>=NF($O1746,"PAYRATE")</t>
  </si>
  <si>
    <t>=NF($O1747,"PAYRATE")</t>
  </si>
  <si>
    <t>=NF($O1748,"PAYRATE")</t>
  </si>
  <si>
    <t>=NF($O1749,"PAYRATE")</t>
  </si>
  <si>
    <t>=NF($O1750,"PAYRATE")</t>
  </si>
  <si>
    <t>=NF($O1745,"PAYROLCD")</t>
  </si>
  <si>
    <t>=NF($O1746,"PAYROLCD")</t>
  </si>
  <si>
    <t>=NF($O1747,"PAYROLCD")</t>
  </si>
  <si>
    <t>=NF($O1748,"PAYROLCD")</t>
  </si>
  <si>
    <t>=NF($O1749,"PAYROLCD")</t>
  </si>
  <si>
    <t>=NF($O1750,"PAYROLCD")</t>
  </si>
  <si>
    <t>=NF($O1745,"STATECD")</t>
  </si>
  <si>
    <t>=NF($O1746,"STATECD")</t>
  </si>
  <si>
    <t>=NF($O1747,"STATECD")</t>
  </si>
  <si>
    <t>=NF($O1748,"STATECD")</t>
  </si>
  <si>
    <t>=NF($O1749,"STATECD")</t>
  </si>
  <si>
    <t>=NF($O1750,"STATECD")</t>
  </si>
  <si>
    <t>=NF($O1745,"CHEKDATE")</t>
  </si>
  <si>
    <t>=NF($O1746,"CHEKDATE")</t>
  </si>
  <si>
    <t>=NF($O1747,"CHEKDATE")</t>
  </si>
  <si>
    <t>=NF($O1748,"CHEKDATE")</t>
  </si>
  <si>
    <t>=NF($O1749,"CHEKDATE")</t>
  </si>
  <si>
    <t>=NF($O1750,"CHEKDATE")</t>
  </si>
  <si>
    <t>=NF($O1745,"UPRTRXAM")</t>
  </si>
  <si>
    <t>=NF($O1746,"UPRTRXAM")</t>
  </si>
  <si>
    <t>=NF($O1747,"UPRTRXAM")</t>
  </si>
  <si>
    <t>=NF($O1748,"UPRTRXAM")</t>
  </si>
  <si>
    <t>=NF($O1749,"UPRTRXAM")</t>
  </si>
  <si>
    <t>=NF($O1750,"UPRTRXAM")</t>
  </si>
  <si>
    <t>=NF($O1735,"PAYRATE")</t>
  </si>
  <si>
    <t>=NF($O1736,"PAYRATE")</t>
  </si>
  <si>
    <t>=NF($O1737,"PAYRATE")</t>
  </si>
  <si>
    <t>=NF($O1738,"PAYRATE")</t>
  </si>
  <si>
    <t>=NF($O1739,"PAYRATE")</t>
  </si>
  <si>
    <t>=NF($O1740,"PAYRATE")</t>
  </si>
  <si>
    <t>=NF($O1735,"PAYROLCD")</t>
  </si>
  <si>
    <t>=NF($O1736,"PAYROLCD")</t>
  </si>
  <si>
    <t>=NF($O1737,"PAYROLCD")</t>
  </si>
  <si>
    <t>=NF($O1738,"PAYROLCD")</t>
  </si>
  <si>
    <t>=NF($O1739,"PAYROLCD")</t>
  </si>
  <si>
    <t>=NF($O1740,"PAYROLCD")</t>
  </si>
  <si>
    <t>=NF($O1735,"STATECD")</t>
  </si>
  <si>
    <t>=NF($O1736,"STATECD")</t>
  </si>
  <si>
    <t>=NF($O1737,"STATECD")</t>
  </si>
  <si>
    <t>=NF($O1738,"STATECD")</t>
  </si>
  <si>
    <t>=NF($O1739,"STATECD")</t>
  </si>
  <si>
    <t>=NF($O1740,"STATECD")</t>
  </si>
  <si>
    <t>=NF($O1735,"CHEKDATE")</t>
  </si>
  <si>
    <t>=NF($O1736,"CHEKDATE")</t>
  </si>
  <si>
    <t>=NF($O1737,"CHEKDATE")</t>
  </si>
  <si>
    <t>=NF($O1738,"CHEKDATE")</t>
  </si>
  <si>
    <t>=NF($O1739,"CHEKDATE")</t>
  </si>
  <si>
    <t>=NF($O1740,"CHEKDATE")</t>
  </si>
  <si>
    <t>=NF($O1735,"UPRTRXAM")</t>
  </si>
  <si>
    <t>=NF($O1736,"UPRTRXAM")</t>
  </si>
  <si>
    <t>=NF($O1737,"UPRTRXAM")</t>
  </si>
  <si>
    <t>=NF($O1738,"UPRTRXAM")</t>
  </si>
  <si>
    <t>=NF($O1739,"UPRTRXAM")</t>
  </si>
  <si>
    <t>=NF($O1740,"UPRTRXAM")</t>
  </si>
  <si>
    <t>=NF($O1725,"PAYRATE")</t>
  </si>
  <si>
    <t>=NF($O1726,"PAYRATE")</t>
  </si>
  <si>
    <t>=NF($O1727,"PAYRATE")</t>
  </si>
  <si>
    <t>=NF($O1728,"PAYRATE")</t>
  </si>
  <si>
    <t>=NF($O1729,"PAYRATE")</t>
  </si>
  <si>
    <t>=NF($O1730,"PAYRATE")</t>
  </si>
  <si>
    <t>=NF($O1725,"PAYROLCD")</t>
  </si>
  <si>
    <t>=NF($O1726,"PAYROLCD")</t>
  </si>
  <si>
    <t>=NF($O1727,"PAYROLCD")</t>
  </si>
  <si>
    <t>=NF($O1728,"PAYROLCD")</t>
  </si>
  <si>
    <t>=NF($O1729,"PAYROLCD")</t>
  </si>
  <si>
    <t>=NF($O1730,"PAYROLCD")</t>
  </si>
  <si>
    <t>=NF($O1725,"STATECD")</t>
  </si>
  <si>
    <t>=NF($O1726,"STATECD")</t>
  </si>
  <si>
    <t>=NF($O1727,"STATECD")</t>
  </si>
  <si>
    <t>=NF($O1728,"STATECD")</t>
  </si>
  <si>
    <t>=NF($O1729,"STATECD")</t>
  </si>
  <si>
    <t>=NF($O1730,"STATECD")</t>
  </si>
  <si>
    <t>=NF($O1725,"CHEKDATE")</t>
  </si>
  <si>
    <t>=NF($O1726,"CHEKDATE")</t>
  </si>
  <si>
    <t>=NF($O1727,"CHEKDATE")</t>
  </si>
  <si>
    <t>=NF($O1728,"CHEKDATE")</t>
  </si>
  <si>
    <t>=NF($O1729,"CHEKDATE")</t>
  </si>
  <si>
    <t>=NF($O1730,"CHEKDATE")</t>
  </si>
  <si>
    <t>=NF($O1725,"UPRTRXAM")</t>
  </si>
  <si>
    <t>=NF($O1726,"UPRTRXAM")</t>
  </si>
  <si>
    <t>=NF($O1727,"UPRTRXAM")</t>
  </si>
  <si>
    <t>=NF($O1728,"UPRTRXAM")</t>
  </si>
  <si>
    <t>=NF($O1729,"UPRTRXAM")</t>
  </si>
  <si>
    <t>=NF($O1730,"UPRTRXAM")</t>
  </si>
  <si>
    <t>=NF($O1715,"PAYRATE")</t>
  </si>
  <si>
    <t>=NF($O1716,"PAYRATE")</t>
  </si>
  <si>
    <t>=NF($O1717,"PAYRATE")</t>
  </si>
  <si>
    <t>=NF($O1718,"PAYRATE")</t>
  </si>
  <si>
    <t>=NF($O1719,"PAYRATE")</t>
  </si>
  <si>
    <t>=NF($O1720,"PAYRATE")</t>
  </si>
  <si>
    <t>=NF($O1715,"PAYROLCD")</t>
  </si>
  <si>
    <t>=NF($O1716,"PAYROLCD")</t>
  </si>
  <si>
    <t>=NF($O1717,"PAYROLCD")</t>
  </si>
  <si>
    <t>=NF($O1718,"PAYROLCD")</t>
  </si>
  <si>
    <t>=NF($O1719,"PAYROLCD")</t>
  </si>
  <si>
    <t>=NF($O1720,"PAYROLCD")</t>
  </si>
  <si>
    <t>=NF($O1715,"STATECD")</t>
  </si>
  <si>
    <t>=NF($O1716,"STATECD")</t>
  </si>
  <si>
    <t>=NF($O1717,"STATECD")</t>
  </si>
  <si>
    <t>=NF($O1718,"STATECD")</t>
  </si>
  <si>
    <t>=NF($O1719,"STATECD")</t>
  </si>
  <si>
    <t>=NF($O1720,"STATECD")</t>
  </si>
  <si>
    <t>=NF($O1715,"CHEKDATE")</t>
  </si>
  <si>
    <t>=NF($O1716,"CHEKDATE")</t>
  </si>
  <si>
    <t>=NF($O1717,"CHEKDATE")</t>
  </si>
  <si>
    <t>=NF($O1718,"CHEKDATE")</t>
  </si>
  <si>
    <t>=NF($O1719,"CHEKDATE")</t>
  </si>
  <si>
    <t>=NF($O1720,"CHEKDATE")</t>
  </si>
  <si>
    <t>=NF($O1715,"UPRTRXAM")</t>
  </si>
  <si>
    <t>=NF($O1716,"UPRTRXAM")</t>
  </si>
  <si>
    <t>=NF($O1717,"UPRTRXAM")</t>
  </si>
  <si>
    <t>=NF($O1718,"UPRTRXAM")</t>
  </si>
  <si>
    <t>=NF($O1719,"UPRTRXAM")</t>
  </si>
  <si>
    <t>=NF($O1720,"UPRTRXAM")</t>
  </si>
  <si>
    <t>=NF($O1705,"PAYRATE")</t>
  </si>
  <si>
    <t>=NF($O1706,"PAYRATE")</t>
  </si>
  <si>
    <t>=NF($O1707,"PAYRATE")</t>
  </si>
  <si>
    <t>=NF($O1708,"PAYRATE")</t>
  </si>
  <si>
    <t>=NF($O1709,"PAYRATE")</t>
  </si>
  <si>
    <t>=NF($O1710,"PAYRATE")</t>
  </si>
  <si>
    <t>=NF($O1705,"PAYROLCD")</t>
  </si>
  <si>
    <t>=NF($O1706,"PAYROLCD")</t>
  </si>
  <si>
    <t>=NF($O1707,"PAYROLCD")</t>
  </si>
  <si>
    <t>=NF($O1708,"PAYROLCD")</t>
  </si>
  <si>
    <t>=NF($O1709,"PAYROLCD")</t>
  </si>
  <si>
    <t>=NF($O1710,"PAYROLCD")</t>
  </si>
  <si>
    <t>=NF($O1705,"STATECD")</t>
  </si>
  <si>
    <t>=NF($O1706,"STATECD")</t>
  </si>
  <si>
    <t>=NF($O1707,"STATECD")</t>
  </si>
  <si>
    <t>=NF($O1708,"STATECD")</t>
  </si>
  <si>
    <t>=NF($O1709,"STATECD")</t>
  </si>
  <si>
    <t>=NF($O1710,"STATECD")</t>
  </si>
  <si>
    <t>=NF($O1705,"CHEKDATE")</t>
  </si>
  <si>
    <t>=NF($O1706,"CHEKDATE")</t>
  </si>
  <si>
    <t>=NF($O1707,"CHEKDATE")</t>
  </si>
  <si>
    <t>=NF($O1708,"CHEKDATE")</t>
  </si>
  <si>
    <t>=NF($O1709,"CHEKDATE")</t>
  </si>
  <si>
    <t>=NF($O1710,"CHEKDATE")</t>
  </si>
  <si>
    <t>=NF($O1705,"UPRTRXAM")</t>
  </si>
  <si>
    <t>=NF($O1706,"UPRTRXAM")</t>
  </si>
  <si>
    <t>=NF($O1707,"UPRTRXAM")</t>
  </si>
  <si>
    <t>=NF($O1708,"UPRTRXAM")</t>
  </si>
  <si>
    <t>=NF($O1709,"UPRTRXAM")</t>
  </si>
  <si>
    <t>=NF($O1710,"UPRTRXAM")</t>
  </si>
  <si>
    <t>=NF($O1630,"PAYRATE")</t>
  </si>
  <si>
    <t>=NF($O1631,"PAYRATE")</t>
  </si>
  <si>
    <t>=NF($O1632,"PAYRATE")</t>
  </si>
  <si>
    <t>=NF($O1633,"PAYRATE")</t>
  </si>
  <si>
    <t>=NF($O1634,"PAYRATE")</t>
  </si>
  <si>
    <t>=NF($O1635,"PAYRATE")</t>
  </si>
  <si>
    <t>=NF($O1630,"PAYROLCD")</t>
  </si>
  <si>
    <t>=NF($O1631,"PAYROLCD")</t>
  </si>
  <si>
    <t>=NF($O1632,"PAYROLCD")</t>
  </si>
  <si>
    <t>=NF($O1633,"PAYROLCD")</t>
  </si>
  <si>
    <t>=NF($O1634,"PAYROLCD")</t>
  </si>
  <si>
    <t>=NF($O1635,"PAYROLCD")</t>
  </si>
  <si>
    <t>=NF($O1630,"STATECD")</t>
  </si>
  <si>
    <t>=NF($O1631,"STATECD")</t>
  </si>
  <si>
    <t>=NF($O1632,"STATECD")</t>
  </si>
  <si>
    <t>=NF($O1633,"STATECD")</t>
  </si>
  <si>
    <t>=NF($O1634,"STATECD")</t>
  </si>
  <si>
    <t>=NF($O1635,"STATECD")</t>
  </si>
  <si>
    <t>=NF($O1630,"CHEKDATE")</t>
  </si>
  <si>
    <t>=NF($O1631,"CHEKDATE")</t>
  </si>
  <si>
    <t>=NF($O1632,"CHEKDATE")</t>
  </si>
  <si>
    <t>=NF($O1633,"CHEKDATE")</t>
  </si>
  <si>
    <t>=NF($O1634,"CHEKDATE")</t>
  </si>
  <si>
    <t>=NF($O1635,"CHEKDATE")</t>
  </si>
  <si>
    <t>=NF($O1630,"UPRTRXAM")</t>
  </si>
  <si>
    <t>=NF($O1631,"UPRTRXAM")</t>
  </si>
  <si>
    <t>=NF($O1632,"UPRTRXAM")</t>
  </si>
  <si>
    <t>=NF($O1633,"UPRTRXAM")</t>
  </si>
  <si>
    <t>=NF($O1634,"UPRTRXAM")</t>
  </si>
  <si>
    <t>=NF($O1635,"UPRTRXAM")</t>
  </si>
  <si>
    <t>=NF($O1681,"PAYRATE")</t>
  </si>
  <si>
    <t>=NF($O1682,"PAYRATE")</t>
  </si>
  <si>
    <t>=NF($O1683,"PAYRATE")</t>
  </si>
  <si>
    <t>=NF($O1684,"PAYRATE")</t>
  </si>
  <si>
    <t>=NF($O1685,"PAYRATE")</t>
  </si>
  <si>
    <t>=NF($O1686,"PAYRATE")</t>
  </si>
  <si>
    <t>=NF($O1681,"PAYROLCD")</t>
  </si>
  <si>
    <t>=NF($O1682,"PAYROLCD")</t>
  </si>
  <si>
    <t>=NF($O1683,"PAYROLCD")</t>
  </si>
  <si>
    <t>=NF($O1684,"PAYROLCD")</t>
  </si>
  <si>
    <t>=NF($O1685,"PAYROLCD")</t>
  </si>
  <si>
    <t>=NF($O1686,"PAYROLCD")</t>
  </si>
  <si>
    <t>=NF($O1681,"STATECD")</t>
  </si>
  <si>
    <t>=NF($O1682,"STATECD")</t>
  </si>
  <si>
    <t>=NF($O1683,"STATECD")</t>
  </si>
  <si>
    <t>=NF($O1684,"STATECD")</t>
  </si>
  <si>
    <t>=NF($O1685,"STATECD")</t>
  </si>
  <si>
    <t>=NF($O1686,"STATECD")</t>
  </si>
  <si>
    <t>=NF($O1681,"CHEKDATE")</t>
  </si>
  <si>
    <t>=NF($O1682,"CHEKDATE")</t>
  </si>
  <si>
    <t>=NF($O1683,"CHEKDATE")</t>
  </si>
  <si>
    <t>=NF($O1684,"CHEKDATE")</t>
  </si>
  <si>
    <t>=NF($O1685,"CHEKDATE")</t>
  </si>
  <si>
    <t>=NF($O1686,"CHEKDATE")</t>
  </si>
  <si>
    <t>=NF($O1681,"UPRTRXAM")</t>
  </si>
  <si>
    <t>=NF($O1682,"UPRTRXAM")</t>
  </si>
  <si>
    <t>=NF($O1683,"UPRTRXAM")</t>
  </si>
  <si>
    <t>=NF($O1684,"UPRTRXAM")</t>
  </si>
  <si>
    <t>=NF($O1685,"UPRTRXAM")</t>
  </si>
  <si>
    <t>=NF($O1686,"UPRTRXAM")</t>
  </si>
  <si>
    <t>=NF($O1671,"PAYRATE")</t>
  </si>
  <si>
    <t>=NF($O1672,"PAYRATE")</t>
  </si>
  <si>
    <t>=NF($O1673,"PAYRATE")</t>
  </si>
  <si>
    <t>=NF($O1674,"PAYRATE")</t>
  </si>
  <si>
    <t>=NF($O1675,"PAYRATE")</t>
  </si>
  <si>
    <t>=NF($O1676,"PAYRATE")</t>
  </si>
  <si>
    <t>=NF($O1671,"PAYROLCD")</t>
  </si>
  <si>
    <t>=NF($O1672,"PAYROLCD")</t>
  </si>
  <si>
    <t>=NF($O1673,"PAYROLCD")</t>
  </si>
  <si>
    <t>=NF($O1674,"PAYROLCD")</t>
  </si>
  <si>
    <t>=NF($O1675,"PAYROLCD")</t>
  </si>
  <si>
    <t>=NF($O1676,"PAYROLCD")</t>
  </si>
  <si>
    <t>=NF($O1671,"STATECD")</t>
  </si>
  <si>
    <t>=NF($O1672,"STATECD")</t>
  </si>
  <si>
    <t>=NF($O1673,"STATECD")</t>
  </si>
  <si>
    <t>=NF($O1674,"STATECD")</t>
  </si>
  <si>
    <t>=NF($O1675,"STATECD")</t>
  </si>
  <si>
    <t>=NF($O1676,"STATECD")</t>
  </si>
  <si>
    <t>=NF($O1671,"CHEKDATE")</t>
  </si>
  <si>
    <t>=NF($O1672,"CHEKDATE")</t>
  </si>
  <si>
    <t>=NF($O1673,"CHEKDATE")</t>
  </si>
  <si>
    <t>=NF($O1674,"CHEKDATE")</t>
  </si>
  <si>
    <t>=NF($O1675,"CHEKDATE")</t>
  </si>
  <si>
    <t>=NF($O1676,"CHEKDATE")</t>
  </si>
  <si>
    <t>=NF($O1671,"UPRTRXAM")</t>
  </si>
  <si>
    <t>=NF($O1672,"UPRTRXAM")</t>
  </si>
  <si>
    <t>=NF($O1673,"UPRTRXAM")</t>
  </si>
  <si>
    <t>=NF($O1674,"UPRTRXAM")</t>
  </si>
  <si>
    <t>=NF($O1675,"UPRTRXAM")</t>
  </si>
  <si>
    <t>=NF($O1676,"UPRTRXAM")</t>
  </si>
  <si>
    <t>=NF($O1661,"PAYRATE")</t>
  </si>
  <si>
    <t>=NF($O1662,"PAYRATE")</t>
  </si>
  <si>
    <t>=NF($O1663,"PAYRATE")</t>
  </si>
  <si>
    <t>=NF($O1664,"PAYRATE")</t>
  </si>
  <si>
    <t>=NF($O1665,"PAYRATE")</t>
  </si>
  <si>
    <t>=NF($O1666,"PAYRATE")</t>
  </si>
  <si>
    <t>=NF($O1661,"PAYROLCD")</t>
  </si>
  <si>
    <t>=NF($O1662,"PAYROLCD")</t>
  </si>
  <si>
    <t>=NF($O1663,"PAYROLCD")</t>
  </si>
  <si>
    <t>=NF($O1664,"PAYROLCD")</t>
  </si>
  <si>
    <t>=NF($O1665,"PAYROLCD")</t>
  </si>
  <si>
    <t>=NF($O1666,"PAYROLCD")</t>
  </si>
  <si>
    <t>=NF($O1661,"STATECD")</t>
  </si>
  <si>
    <t>=NF($O1662,"STATECD")</t>
  </si>
  <si>
    <t>=NF($O1663,"STATECD")</t>
  </si>
  <si>
    <t>=NF($O1664,"STATECD")</t>
  </si>
  <si>
    <t>=NF($O1665,"STATECD")</t>
  </si>
  <si>
    <t>=NF($O1666,"STATECD")</t>
  </si>
  <si>
    <t>=NF($O1661,"CHEKDATE")</t>
  </si>
  <si>
    <t>=NF($O1662,"CHEKDATE")</t>
  </si>
  <si>
    <t>=NF($O1663,"CHEKDATE")</t>
  </si>
  <si>
    <t>=NF($O1664,"CHEKDATE")</t>
  </si>
  <si>
    <t>=NF($O1665,"CHEKDATE")</t>
  </si>
  <si>
    <t>=NF($O1666,"CHEKDATE")</t>
  </si>
  <si>
    <t>=NF($O1661,"UPRTRXAM")</t>
  </si>
  <si>
    <t>=NF($O1662,"UPRTRXAM")</t>
  </si>
  <si>
    <t>=NF($O1663,"UPRTRXAM")</t>
  </si>
  <si>
    <t>=NF($O1664,"UPRTRXAM")</t>
  </si>
  <si>
    <t>=NF($O1665,"UPRTRXAM")</t>
  </si>
  <si>
    <t>=NF($O1666,"UPRTRXAM")</t>
  </si>
  <si>
    <t>=NF($O1650,"PAYRATE")</t>
  </si>
  <si>
    <t>=NF($O1651,"PAYRATE")</t>
  </si>
  <si>
    <t>=NF($O1652,"PAYRATE")</t>
  </si>
  <si>
    <t>=NF($O1653,"PAYRATE")</t>
  </si>
  <si>
    <t>=NF($O1654,"PAYRATE")</t>
  </si>
  <si>
    <t>=NF($O1655,"PAYRATE")</t>
  </si>
  <si>
    <t>=NF($O1656,"PAYRATE")</t>
  </si>
  <si>
    <t>=NF($O1650,"PAYROLCD")</t>
  </si>
  <si>
    <t>=NF($O1651,"PAYROLCD")</t>
  </si>
  <si>
    <t>=NF($O1652,"PAYROLCD")</t>
  </si>
  <si>
    <t>=NF($O1653,"PAYROLCD")</t>
  </si>
  <si>
    <t>=NF($O1654,"PAYROLCD")</t>
  </si>
  <si>
    <t>=NF($O1655,"PAYROLCD")</t>
  </si>
  <si>
    <t>=NF($O1656,"PAYROLCD")</t>
  </si>
  <si>
    <t>=NF($O1650,"STATECD")</t>
  </si>
  <si>
    <t>=NF($O1651,"STATECD")</t>
  </si>
  <si>
    <t>=NF($O1652,"STATECD")</t>
  </si>
  <si>
    <t>=NF($O1653,"STATECD")</t>
  </si>
  <si>
    <t>=NF($O1654,"STATECD")</t>
  </si>
  <si>
    <t>=NF($O1655,"STATECD")</t>
  </si>
  <si>
    <t>=NF($O1656,"STATECD")</t>
  </si>
  <si>
    <t>=NF($O1650,"CHEKDATE")</t>
  </si>
  <si>
    <t>=NF($O1651,"CHEKDATE")</t>
  </si>
  <si>
    <t>=NF($O1652,"CHEKDATE")</t>
  </si>
  <si>
    <t>=NF($O1653,"CHEKDATE")</t>
  </si>
  <si>
    <t>=NF($O1654,"CHEKDATE")</t>
  </si>
  <si>
    <t>=NF($O1655,"CHEKDATE")</t>
  </si>
  <si>
    <t>=NF($O1656,"CHEKDATE")</t>
  </si>
  <si>
    <t>=NF($O1650,"UPRTRXAM")</t>
  </si>
  <si>
    <t>=NF($O1651,"UPRTRXAM")</t>
  </si>
  <si>
    <t>=NF($O1652,"UPRTRXAM")</t>
  </si>
  <si>
    <t>=NF($O1653,"UPRTRXAM")</t>
  </si>
  <si>
    <t>=NF($O1654,"UPRTRXAM")</t>
  </si>
  <si>
    <t>=NF($O1655,"UPRTRXAM")</t>
  </si>
  <si>
    <t>=NF($O1656,"UPRTRXAM")</t>
  </si>
  <si>
    <t>=NF($O1640,"PAYRATE")</t>
  </si>
  <si>
    <t>=NF($O1641,"PAYRATE")</t>
  </si>
  <si>
    <t>=NF($O1642,"PAYRATE")</t>
  </si>
  <si>
    <t>=NF($O1643,"PAYRATE")</t>
  </si>
  <si>
    <t>=NF($O1644,"PAYRATE")</t>
  </si>
  <si>
    <t>=NF($O1645,"PAYRATE")</t>
  </si>
  <si>
    <t>=NF($O1640,"PAYROLCD")</t>
  </si>
  <si>
    <t>=NF($O1641,"PAYROLCD")</t>
  </si>
  <si>
    <t>=NF($O1642,"PAYROLCD")</t>
  </si>
  <si>
    <t>=NF($O1643,"PAYROLCD")</t>
  </si>
  <si>
    <t>=NF($O1644,"PAYROLCD")</t>
  </si>
  <si>
    <t>=NF($O1645,"PAYROLCD")</t>
  </si>
  <si>
    <t>=NF($O1640,"STATECD")</t>
  </si>
  <si>
    <t>=NF($O1641,"STATECD")</t>
  </si>
  <si>
    <t>=NF($O1642,"STATECD")</t>
  </si>
  <si>
    <t>=NF($O1643,"STATECD")</t>
  </si>
  <si>
    <t>=NF($O1644,"STATECD")</t>
  </si>
  <si>
    <t>=NF($O1645,"STATECD")</t>
  </si>
  <si>
    <t>=NF($O1640,"CHEKDATE")</t>
  </si>
  <si>
    <t>=NF($O1641,"CHEKDATE")</t>
  </si>
  <si>
    <t>=NF($O1642,"CHEKDATE")</t>
  </si>
  <si>
    <t>=NF($O1643,"CHEKDATE")</t>
  </si>
  <si>
    <t>=NF($O1644,"CHEKDATE")</t>
  </si>
  <si>
    <t>=NF($O1645,"CHEKDATE")</t>
  </si>
  <si>
    <t>=NF($O1640,"UPRTRXAM")</t>
  </si>
  <si>
    <t>=NF($O1641,"UPRTRXAM")</t>
  </si>
  <si>
    <t>=NF($O1642,"UPRTRXAM")</t>
  </si>
  <si>
    <t>=NF($O1643,"UPRTRXAM")</t>
  </si>
  <si>
    <t>=NF($O1644,"UPRTRXAM")</t>
  </si>
  <si>
    <t>=NF($O1645,"UPRTRXAM")</t>
  </si>
  <si>
    <t>=NF($O919,"PAYRATE")</t>
  </si>
  <si>
    <t>=NF($O920,"PAYRATE")</t>
  </si>
  <si>
    <t>=NF($O921,"PAYRATE")</t>
  </si>
  <si>
    <t>=NF($O922,"PAYRATE")</t>
  </si>
  <si>
    <t>=NF($O923,"PAYRATE")</t>
  </si>
  <si>
    <t>=NF($O919,"PAYROLCD")</t>
  </si>
  <si>
    <t>=NF($O920,"PAYROLCD")</t>
  </si>
  <si>
    <t>=NF($O921,"PAYROLCD")</t>
  </si>
  <si>
    <t>=NF($O922,"PAYROLCD")</t>
  </si>
  <si>
    <t>=NF($O923,"PAYROLCD")</t>
  </si>
  <si>
    <t>=NF($O919,"STATECD")</t>
  </si>
  <si>
    <t>=NF($O920,"STATECD")</t>
  </si>
  <si>
    <t>=NF($O921,"STATECD")</t>
  </si>
  <si>
    <t>=NF($O922,"STATECD")</t>
  </si>
  <si>
    <t>=NF($O923,"STATECD")</t>
  </si>
  <si>
    <t>=NF($O919,"CHEKDATE")</t>
  </si>
  <si>
    <t>=NF($O920,"CHEKDATE")</t>
  </si>
  <si>
    <t>=NF($O921,"CHEKDATE")</t>
  </si>
  <si>
    <t>=NF($O922,"CHEKDATE")</t>
  </si>
  <si>
    <t>=NF($O923,"CHEKDATE")</t>
  </si>
  <si>
    <t>=NF($O919,"UPRTRXAM")</t>
  </si>
  <si>
    <t>=NF($O920,"UPRTRXAM")</t>
  </si>
  <si>
    <t>=NF($O921,"UPRTRXAM")</t>
  </si>
  <si>
    <t>=NF($O922,"UPRTRXAM")</t>
  </si>
  <si>
    <t>=NF($O923,"UPRTRXAM")</t>
  </si>
  <si>
    <t>=NF($O966,"PAYRATE")</t>
  </si>
  <si>
    <t>=NF($O967,"PAYRATE")</t>
  </si>
  <si>
    <t>=NF($O968,"PAYRATE")</t>
  </si>
  <si>
    <t>=NF($O969,"PAYRATE")</t>
  </si>
  <si>
    <t>=NF($O970,"PAYRATE")</t>
  </si>
  <si>
    <t>=NF($O966,"PAYROLCD")</t>
  </si>
  <si>
    <t>=NF($O967,"PAYROLCD")</t>
  </si>
  <si>
    <t>=NF($O968,"PAYROLCD")</t>
  </si>
  <si>
    <t>=NF($O969,"PAYROLCD")</t>
  </si>
  <si>
    <t>=NF($O970,"PAYROLCD")</t>
  </si>
  <si>
    <t>=NF($O966,"STATECD")</t>
  </si>
  <si>
    <t>=NF($O967,"STATECD")</t>
  </si>
  <si>
    <t>=NF($O968,"STATECD")</t>
  </si>
  <si>
    <t>=NF($O969,"STATECD")</t>
  </si>
  <si>
    <t>=NF($O970,"STATECD")</t>
  </si>
  <si>
    <t>=NF($O966,"CHEKDATE")</t>
  </si>
  <si>
    <t>=NF($O967,"CHEKDATE")</t>
  </si>
  <si>
    <t>=NF($O968,"CHEKDATE")</t>
  </si>
  <si>
    <t>=NF($O969,"CHEKDATE")</t>
  </si>
  <si>
    <t>=NF($O970,"CHEKDATE")</t>
  </si>
  <si>
    <t>=NF($O966,"UPRTRXAM")</t>
  </si>
  <si>
    <t>=NF($O967,"UPRTRXAM")</t>
  </si>
  <si>
    <t>=NF($O968,"UPRTRXAM")</t>
  </si>
  <si>
    <t>=NF($O969,"UPRTRXAM")</t>
  </si>
  <si>
    <t>=NF($O970,"UPRTRXAM")</t>
  </si>
  <si>
    <t>=NF($O956,"PAYRATE")</t>
  </si>
  <si>
    <t>=NF($O957,"PAYRATE")</t>
  </si>
  <si>
    <t>=NF($O958,"PAYRATE")</t>
  </si>
  <si>
    <t>=NF($O959,"PAYRATE")</t>
  </si>
  <si>
    <t>=NF($O960,"PAYRATE")</t>
  </si>
  <si>
    <t>=NF($O961,"PAYRATE")</t>
  </si>
  <si>
    <t>=NF($O956,"PAYROLCD")</t>
  </si>
  <si>
    <t>=NF($O957,"PAYROLCD")</t>
  </si>
  <si>
    <t>=NF($O958,"PAYROLCD")</t>
  </si>
  <si>
    <t>=NF($O959,"PAYROLCD")</t>
  </si>
  <si>
    <t>=NF($O960,"PAYROLCD")</t>
  </si>
  <si>
    <t>=NF($O961,"PAYROLCD")</t>
  </si>
  <si>
    <t>=NF($O956,"STATECD")</t>
  </si>
  <si>
    <t>=NF($O957,"STATECD")</t>
  </si>
  <si>
    <t>=NF($O958,"STATECD")</t>
  </si>
  <si>
    <t>=NF($O959,"STATECD")</t>
  </si>
  <si>
    <t>=NF($O960,"STATECD")</t>
  </si>
  <si>
    <t>=NF($O961,"STATECD")</t>
  </si>
  <si>
    <t>=NF($O956,"CHEKDATE")</t>
  </si>
  <si>
    <t>=NF($O957,"CHEKDATE")</t>
  </si>
  <si>
    <t>=NF($O958,"CHEKDATE")</t>
  </si>
  <si>
    <t>=NF($O959,"CHEKDATE")</t>
  </si>
  <si>
    <t>=NF($O960,"CHEKDATE")</t>
  </si>
  <si>
    <t>=NF($O961,"CHEKDATE")</t>
  </si>
  <si>
    <t>=NF($O956,"UPRTRXAM")</t>
  </si>
  <si>
    <t>=NF($O957,"UPRTRXAM")</t>
  </si>
  <si>
    <t>=NF($O958,"UPRTRXAM")</t>
  </si>
  <si>
    <t>=NF($O959,"UPRTRXAM")</t>
  </si>
  <si>
    <t>=NF($O960,"UPRTRXAM")</t>
  </si>
  <si>
    <t>=NF($O961,"UPRTRXAM")</t>
  </si>
  <si>
    <t>=NF($O946,"PAYRATE")</t>
  </si>
  <si>
    <t>=NF($O947,"PAYRATE")</t>
  </si>
  <si>
    <t>=NF($O948,"PAYRATE")</t>
  </si>
  <si>
    <t>=NF($O949,"PAYRATE")</t>
  </si>
  <si>
    <t>=NF($O950,"PAYRATE")</t>
  </si>
  <si>
    <t>=NF($O951,"PAYRATE")</t>
  </si>
  <si>
    <t>=NF($O946,"PAYROLCD")</t>
  </si>
  <si>
    <t>=NF($O947,"PAYROLCD")</t>
  </si>
  <si>
    <t>=NF($O948,"PAYROLCD")</t>
  </si>
  <si>
    <t>=NF($O949,"PAYROLCD")</t>
  </si>
  <si>
    <t>=NF($O950,"PAYROLCD")</t>
  </si>
  <si>
    <t>=NF($O951,"PAYROLCD")</t>
  </si>
  <si>
    <t>=NF($O946,"STATECD")</t>
  </si>
  <si>
    <t>=NF($O947,"STATECD")</t>
  </si>
  <si>
    <t>=NF($O948,"STATECD")</t>
  </si>
  <si>
    <t>=NF($O949,"STATECD")</t>
  </si>
  <si>
    <t>=NF($O950,"STATECD")</t>
  </si>
  <si>
    <t>=NF($O951,"STATECD")</t>
  </si>
  <si>
    <t>=NF($O946,"CHEKDATE")</t>
  </si>
  <si>
    <t>=NF($O947,"CHEKDATE")</t>
  </si>
  <si>
    <t>=NF($O948,"CHEKDATE")</t>
  </si>
  <si>
    <t>=NF($O949,"CHEKDATE")</t>
  </si>
  <si>
    <t>=NF($O950,"CHEKDATE")</t>
  </si>
  <si>
    <t>=NF($O951,"CHEKDATE")</t>
  </si>
  <si>
    <t>=NF($O946,"UPRTRXAM")</t>
  </si>
  <si>
    <t>=NF($O947,"UPRTRXAM")</t>
  </si>
  <si>
    <t>=NF($O948,"UPRTRXAM")</t>
  </si>
  <si>
    <t>=NF($O949,"UPRTRXAM")</t>
  </si>
  <si>
    <t>=NF($O950,"UPRTRXAM")</t>
  </si>
  <si>
    <t>=NF($O951,"UPRTRXAM")</t>
  </si>
  <si>
    <t>=NF($O937,"PAYRATE")</t>
  </si>
  <si>
    <t>=NF($O938,"PAYRATE")</t>
  </si>
  <si>
    <t>=NF($O939,"PAYRATE")</t>
  </si>
  <si>
    <t>=NF($O940,"PAYRATE")</t>
  </si>
  <si>
    <t>=NF($O941,"PAYRATE")</t>
  </si>
  <si>
    <t>=NF($O937,"PAYROLCD")</t>
  </si>
  <si>
    <t>=NF($O938,"PAYROLCD")</t>
  </si>
  <si>
    <t>=NF($O939,"PAYROLCD")</t>
  </si>
  <si>
    <t>=NF($O940,"PAYROLCD")</t>
  </si>
  <si>
    <t>=NF($O941,"PAYROLCD")</t>
  </si>
  <si>
    <t>=NF($O937,"STATECD")</t>
  </si>
  <si>
    <t>=NF($O938,"STATECD")</t>
  </si>
  <si>
    <t>=NF($O939,"STATECD")</t>
  </si>
  <si>
    <t>=NF($O940,"STATECD")</t>
  </si>
  <si>
    <t>=NF($O941,"STATECD")</t>
  </si>
  <si>
    <t>=NF($O937,"CHEKDATE")</t>
  </si>
  <si>
    <t>=NF($O938,"CHEKDATE")</t>
  </si>
  <si>
    <t>=NF($O939,"CHEKDATE")</t>
  </si>
  <si>
    <t>=NF($O940,"CHEKDATE")</t>
  </si>
  <si>
    <t>=NF($O941,"CHEKDATE")</t>
  </si>
  <si>
    <t>=NF($O937,"UPRTRXAM")</t>
  </si>
  <si>
    <t>=NF($O938,"UPRTRXAM")</t>
  </si>
  <si>
    <t>=NF($O939,"UPRTRXAM")</t>
  </si>
  <si>
    <t>=NF($O940,"UPRTRXAM")</t>
  </si>
  <si>
    <t>=NF($O941,"UPRTRXAM")</t>
  </si>
  <si>
    <t>=NF($O928,"PAYRATE")</t>
  </si>
  <si>
    <t>=NF($O929,"PAYRATE")</t>
  </si>
  <si>
    <t>=NF($O930,"PAYRATE")</t>
  </si>
  <si>
    <t>=NF($O931,"PAYRATE")</t>
  </si>
  <si>
    <t>=NF($O932,"PAYRATE")</t>
  </si>
  <si>
    <t>=NF($O928,"PAYROLCD")</t>
  </si>
  <si>
    <t>=NF($O929,"PAYROLCD")</t>
  </si>
  <si>
    <t>=NF($O930,"PAYROLCD")</t>
  </si>
  <si>
    <t>=NF($O931,"PAYROLCD")</t>
  </si>
  <si>
    <t>=NF($O932,"PAYROLCD")</t>
  </si>
  <si>
    <t>=NF($O928,"STATECD")</t>
  </si>
  <si>
    <t>=NF($O929,"STATECD")</t>
  </si>
  <si>
    <t>=NF($O930,"STATECD")</t>
  </si>
  <si>
    <t>=NF($O931,"STATECD")</t>
  </si>
  <si>
    <t>=NF($O932,"STATECD")</t>
  </si>
  <si>
    <t>=NF($O928,"CHEKDATE")</t>
  </si>
  <si>
    <t>=NF($O929,"CHEKDATE")</t>
  </si>
  <si>
    <t>=NF($O930,"CHEKDATE")</t>
  </si>
  <si>
    <t>=NF($O931,"CHEKDATE")</t>
  </si>
  <si>
    <t>=NF($O932,"CHEKDATE")</t>
  </si>
  <si>
    <t>=NF($O928,"UPRTRXAM")</t>
  </si>
  <si>
    <t>=NF($O929,"UPRTRXAM")</t>
  </si>
  <si>
    <t>=NF($O930,"UPRTRXAM")</t>
  </si>
  <si>
    <t>=NF($O931,"UPRTRXAM")</t>
  </si>
  <si>
    <t>=NF($O932,"UPRTRXAM")</t>
  </si>
  <si>
    <t>=NF($O1481,"PAYRATE")</t>
  </si>
  <si>
    <t>=NF($O1482,"PAYRATE")</t>
  </si>
  <si>
    <t>=NF($O1483,"PAYRATE")</t>
  </si>
  <si>
    <t>=NF($O1484,"PAYRATE")</t>
  </si>
  <si>
    <t>=NF($O1485,"PAYRATE")</t>
  </si>
  <si>
    <t>=NF($O1486,"PAYRATE")</t>
  </si>
  <si>
    <t>=NF($O1481,"PAYROLCD")</t>
  </si>
  <si>
    <t>=NF($O1482,"PAYROLCD")</t>
  </si>
  <si>
    <t>=NF($O1483,"PAYROLCD")</t>
  </si>
  <si>
    <t>=NF($O1484,"PAYROLCD")</t>
  </si>
  <si>
    <t>=NF($O1485,"PAYROLCD")</t>
  </si>
  <si>
    <t>=NF($O1486,"PAYROLCD")</t>
  </si>
  <si>
    <t>=NF($O1481,"STATECD")</t>
  </si>
  <si>
    <t>=NF($O1482,"STATECD")</t>
  </si>
  <si>
    <t>=NF($O1483,"STATECD")</t>
  </si>
  <si>
    <t>=NF($O1484,"STATECD")</t>
  </si>
  <si>
    <t>=NF($O1485,"STATECD")</t>
  </si>
  <si>
    <t>=NF($O1486,"STATECD")</t>
  </si>
  <si>
    <t>=NF($O1481,"CHEKDATE")</t>
  </si>
  <si>
    <t>=NF($O1482,"CHEKDATE")</t>
  </si>
  <si>
    <t>=NF($O1483,"CHEKDATE")</t>
  </si>
  <si>
    <t>=NF($O1484,"CHEKDATE")</t>
  </si>
  <si>
    <t>=NF($O1485,"CHEKDATE")</t>
  </si>
  <si>
    <t>=NF($O1486,"CHEKDATE")</t>
  </si>
  <si>
    <t>=NF($O1481,"UPRTRXAM")</t>
  </si>
  <si>
    <t>=NF($O1482,"UPRTRXAM")</t>
  </si>
  <si>
    <t>=NF($O1483,"UPRTRXAM")</t>
  </si>
  <si>
    <t>=NF($O1484,"UPRTRXAM")</t>
  </si>
  <si>
    <t>=NF($O1485,"UPRTRXAM")</t>
  </si>
  <si>
    <t>=NF($O1486,"UPRTRXAM")</t>
  </si>
  <si>
    <t>=NF($O1531,"PAYRATE")</t>
  </si>
  <si>
    <t>=NF($O1532,"PAYRATE")</t>
  </si>
  <si>
    <t>=NF($O1533,"PAYRATE")</t>
  </si>
  <si>
    <t>=NF($O1534,"PAYRATE")</t>
  </si>
  <si>
    <t>=NF($O1535,"PAYRATE")</t>
  </si>
  <si>
    <t>=NF($O1536,"PAYRATE")</t>
  </si>
  <si>
    <t>=NF($O1531,"PAYROLCD")</t>
  </si>
  <si>
    <t>=NF($O1532,"PAYROLCD")</t>
  </si>
  <si>
    <t>=NF($O1533,"PAYROLCD")</t>
  </si>
  <si>
    <t>=NF($O1534,"PAYROLCD")</t>
  </si>
  <si>
    <t>=NF($O1535,"PAYROLCD")</t>
  </si>
  <si>
    <t>=NF($O1536,"PAYROLCD")</t>
  </si>
  <si>
    <t>=NF($O1531,"STATECD")</t>
  </si>
  <si>
    <t>=NF($O1532,"STATECD")</t>
  </si>
  <si>
    <t>=NF($O1533,"STATECD")</t>
  </si>
  <si>
    <t>=NF($O1534,"STATECD")</t>
  </si>
  <si>
    <t>=NF($O1535,"STATECD")</t>
  </si>
  <si>
    <t>=NF($O1536,"STATECD")</t>
  </si>
  <si>
    <t>=NF($O1531,"CHEKDATE")</t>
  </si>
  <si>
    <t>=NF($O1532,"CHEKDATE")</t>
  </si>
  <si>
    <t>=NF($O1533,"CHEKDATE")</t>
  </si>
  <si>
    <t>=NF($O1534,"CHEKDATE")</t>
  </si>
  <si>
    <t>=NF($O1535,"CHEKDATE")</t>
  </si>
  <si>
    <t>=NF($O1536,"CHEKDATE")</t>
  </si>
  <si>
    <t>=NF($O1531,"UPRTRXAM")</t>
  </si>
  <si>
    <t>=NF($O1532,"UPRTRXAM")</t>
  </si>
  <si>
    <t>=NF($O1533,"UPRTRXAM")</t>
  </si>
  <si>
    <t>=NF($O1534,"UPRTRXAM")</t>
  </si>
  <si>
    <t>=NF($O1535,"UPRTRXAM")</t>
  </si>
  <si>
    <t>=NF($O1536,"UPRTRXAM")</t>
  </si>
  <si>
    <t>=NF($O1521,"PAYRATE")</t>
  </si>
  <si>
    <t>=NF($O1522,"PAYRATE")</t>
  </si>
  <si>
    <t>=NF($O1523,"PAYRATE")</t>
  </si>
  <si>
    <t>=NF($O1524,"PAYRATE")</t>
  </si>
  <si>
    <t>=NF($O1525,"PAYRATE")</t>
  </si>
  <si>
    <t>=NF($O1526,"PAYRATE")</t>
  </si>
  <si>
    <t>=NF($O1521,"PAYROLCD")</t>
  </si>
  <si>
    <t>=NF($O1522,"PAYROLCD")</t>
  </si>
  <si>
    <t>=NF($O1523,"PAYROLCD")</t>
  </si>
  <si>
    <t>=NF($O1524,"PAYROLCD")</t>
  </si>
  <si>
    <t>=NF($O1525,"PAYROLCD")</t>
  </si>
  <si>
    <t>=NF($O1526,"PAYROLCD")</t>
  </si>
  <si>
    <t>=NF($O1521,"STATECD")</t>
  </si>
  <si>
    <t>=NF($O1522,"STATECD")</t>
  </si>
  <si>
    <t>=NF($O1523,"STATECD")</t>
  </si>
  <si>
    <t>=NF($O1524,"STATECD")</t>
  </si>
  <si>
    <t>=NF($O1525,"STATECD")</t>
  </si>
  <si>
    <t>=NF($O1526,"STATECD")</t>
  </si>
  <si>
    <t>=NF($O1521,"CHEKDATE")</t>
  </si>
  <si>
    <t>=NF($O1522,"CHEKDATE")</t>
  </si>
  <si>
    <t>=NF($O1523,"CHEKDATE")</t>
  </si>
  <si>
    <t>=NF($O1524,"CHEKDATE")</t>
  </si>
  <si>
    <t>=NF($O1525,"CHEKDATE")</t>
  </si>
  <si>
    <t>=NF($O1526,"CHEKDATE")</t>
  </si>
  <si>
    <t>=NF($O1521,"UPRTRXAM")</t>
  </si>
  <si>
    <t>=NF($O1522,"UPRTRXAM")</t>
  </si>
  <si>
    <t>=NF($O1523,"UPRTRXAM")</t>
  </si>
  <si>
    <t>=NF($O1524,"UPRTRXAM")</t>
  </si>
  <si>
    <t>=NF($O1525,"UPRTRXAM")</t>
  </si>
  <si>
    <t>=NF($O1526,"UPRTRXAM")</t>
  </si>
  <si>
    <t>=NF($O1511,"PAYRATE")</t>
  </si>
  <si>
    <t>=NF($O1512,"PAYRATE")</t>
  </si>
  <si>
    <t>=NF($O1513,"PAYRATE")</t>
  </si>
  <si>
    <t>=NF($O1514,"PAYRATE")</t>
  </si>
  <si>
    <t>=NF($O1515,"PAYRATE")</t>
  </si>
  <si>
    <t>=NF($O1516,"PAYRATE")</t>
  </si>
  <si>
    <t>=NF($O1511,"PAYROLCD")</t>
  </si>
  <si>
    <t>=NF($O1512,"PAYROLCD")</t>
  </si>
  <si>
    <t>=NF($O1513,"PAYROLCD")</t>
  </si>
  <si>
    <t>=NF($O1514,"PAYROLCD")</t>
  </si>
  <si>
    <t>=NF($O1515,"PAYROLCD")</t>
  </si>
  <si>
    <t>=NF($O1516,"PAYROLCD")</t>
  </si>
  <si>
    <t>=NF($O1511,"STATECD")</t>
  </si>
  <si>
    <t>=NF($O1512,"STATECD")</t>
  </si>
  <si>
    <t>=NF($O1513,"STATECD")</t>
  </si>
  <si>
    <t>=NF($O1514,"STATECD")</t>
  </si>
  <si>
    <t>=NF($O1515,"STATECD")</t>
  </si>
  <si>
    <t>=NF($O1516,"STATECD")</t>
  </si>
  <si>
    <t>=NF($O1511,"CHEKDATE")</t>
  </si>
  <si>
    <t>=NF($O1512,"CHEKDATE")</t>
  </si>
  <si>
    <t>=NF($O1513,"CHEKDATE")</t>
  </si>
  <si>
    <t>=NF($O1514,"CHEKDATE")</t>
  </si>
  <si>
    <t>=NF($O1515,"CHEKDATE")</t>
  </si>
  <si>
    <t>=NF($O1516,"CHEKDATE")</t>
  </si>
  <si>
    <t>=NF($O1511,"UPRTRXAM")</t>
  </si>
  <si>
    <t>=NF($O1512,"UPRTRXAM")</t>
  </si>
  <si>
    <t>=NF($O1513,"UPRTRXAM")</t>
  </si>
  <si>
    <t>=NF($O1514,"UPRTRXAM")</t>
  </si>
  <si>
    <t>=NF($O1515,"UPRTRXAM")</t>
  </si>
  <si>
    <t>=NF($O1516,"UPRTRXAM")</t>
  </si>
  <si>
    <t>=NF($O1501,"PAYRATE")</t>
  </si>
  <si>
    <t>=NF($O1502,"PAYRATE")</t>
  </si>
  <si>
    <t>=NF($O1503,"PAYRATE")</t>
  </si>
  <si>
    <t>=NF($O1504,"PAYRATE")</t>
  </si>
  <si>
    <t>=NF($O1505,"PAYRATE")</t>
  </si>
  <si>
    <t>=NF($O1506,"PAYRATE")</t>
  </si>
  <si>
    <t>=NF($O1501,"PAYROLCD")</t>
  </si>
  <si>
    <t>=NF($O1502,"PAYROLCD")</t>
  </si>
  <si>
    <t>=NF($O1503,"PAYROLCD")</t>
  </si>
  <si>
    <t>=NF($O1504,"PAYROLCD")</t>
  </si>
  <si>
    <t>=NF($O1505,"PAYROLCD")</t>
  </si>
  <si>
    <t>=NF($O1506,"PAYROLCD")</t>
  </si>
  <si>
    <t>=NF($O1501,"STATECD")</t>
  </si>
  <si>
    <t>=NF($O1502,"STATECD")</t>
  </si>
  <si>
    <t>=NF($O1503,"STATECD")</t>
  </si>
  <si>
    <t>=NF($O1504,"STATECD")</t>
  </si>
  <si>
    <t>=NF($O1505,"STATECD")</t>
  </si>
  <si>
    <t>=NF($O1506,"STATECD")</t>
  </si>
  <si>
    <t>=NF($O1501,"CHEKDATE")</t>
  </si>
  <si>
    <t>=NF($O1502,"CHEKDATE")</t>
  </si>
  <si>
    <t>=NF($O1503,"CHEKDATE")</t>
  </si>
  <si>
    <t>=NF($O1504,"CHEKDATE")</t>
  </si>
  <si>
    <t>=NF($O1505,"CHEKDATE")</t>
  </si>
  <si>
    <t>=NF($O1506,"CHEKDATE")</t>
  </si>
  <si>
    <t>=NF($O1501,"UPRTRXAM")</t>
  </si>
  <si>
    <t>=NF($O1502,"UPRTRXAM")</t>
  </si>
  <si>
    <t>=NF($O1503,"UPRTRXAM")</t>
  </si>
  <si>
    <t>=NF($O1504,"UPRTRXAM")</t>
  </si>
  <si>
    <t>=NF($O1505,"UPRTRXAM")</t>
  </si>
  <si>
    <t>=NF($O1506,"UPRTRXAM")</t>
  </si>
  <si>
    <t>=NF($O1491,"PAYRATE")</t>
  </si>
  <si>
    <t>=NF($O1492,"PAYRATE")</t>
  </si>
  <si>
    <t>=NF($O1493,"PAYRATE")</t>
  </si>
  <si>
    <t>=NF($O1494,"PAYRATE")</t>
  </si>
  <si>
    <t>=NF($O1495,"PAYRATE")</t>
  </si>
  <si>
    <t>=NF($O1496,"PAYRATE")</t>
  </si>
  <si>
    <t>=NF($O1491,"PAYROLCD")</t>
  </si>
  <si>
    <t>=NF($O1492,"PAYROLCD")</t>
  </si>
  <si>
    <t>=NF($O1493,"PAYROLCD")</t>
  </si>
  <si>
    <t>=NF($O1494,"PAYROLCD")</t>
  </si>
  <si>
    <t>=NF($O1495,"PAYROLCD")</t>
  </si>
  <si>
    <t>=NF($O1496,"PAYROLCD")</t>
  </si>
  <si>
    <t>=NF($O1491,"STATECD")</t>
  </si>
  <si>
    <t>=NF($O1492,"STATECD")</t>
  </si>
  <si>
    <t>=NF($O1493,"STATECD")</t>
  </si>
  <si>
    <t>=NF($O1494,"STATECD")</t>
  </si>
  <si>
    <t>=NF($O1495,"STATECD")</t>
  </si>
  <si>
    <t>=NF($O1496,"STATECD")</t>
  </si>
  <si>
    <t>=NF($O1491,"CHEKDATE")</t>
  </si>
  <si>
    <t>=NF($O1492,"CHEKDATE")</t>
  </si>
  <si>
    <t>=NF($O1493,"CHEKDATE")</t>
  </si>
  <si>
    <t>=NF($O1494,"CHEKDATE")</t>
  </si>
  <si>
    <t>=NF($O1495,"CHEKDATE")</t>
  </si>
  <si>
    <t>=NF($O1496,"CHEKDATE")</t>
  </si>
  <si>
    <t>=NF($O1491,"UPRTRXAM")</t>
  </si>
  <si>
    <t>=NF($O1492,"UPRTRXAM")</t>
  </si>
  <si>
    <t>=NF($O1493,"UPRTRXAM")</t>
  </si>
  <si>
    <t>=NF($O1494,"UPRTRXAM")</t>
  </si>
  <si>
    <t>=NF($O1495,"UPRTRXAM")</t>
  </si>
  <si>
    <t>=NF($O1496,"UPRTRXAM")</t>
  </si>
  <si>
    <t>=NF($O1424,"PAYRATE")</t>
  </si>
  <si>
    <t>=NF($O1425,"PAYRATE")</t>
  </si>
  <si>
    <t>=NF($O1426,"PAYRATE")</t>
  </si>
  <si>
    <t>=NF($O1427,"PAYRATE")</t>
  </si>
  <si>
    <t>=NF($O1428,"PAYRATE")</t>
  </si>
  <si>
    <t>=NF($O1424,"PAYROLCD")</t>
  </si>
  <si>
    <t>=NF($O1425,"PAYROLCD")</t>
  </si>
  <si>
    <t>=NF($O1426,"PAYROLCD")</t>
  </si>
  <si>
    <t>=NF($O1427,"PAYROLCD")</t>
  </si>
  <si>
    <t>=NF($O1428,"PAYROLCD")</t>
  </si>
  <si>
    <t>=NF($O1424,"STATECD")</t>
  </si>
  <si>
    <t>=NF($O1425,"STATECD")</t>
  </si>
  <si>
    <t>=NF($O1426,"STATECD")</t>
  </si>
  <si>
    <t>=NF($O1427,"STATECD")</t>
  </si>
  <si>
    <t>=NF($O1428,"STATECD")</t>
  </si>
  <si>
    <t>=NF($O1424,"CHEKDATE")</t>
  </si>
  <si>
    <t>=NF($O1425,"CHEKDATE")</t>
  </si>
  <si>
    <t>=NF($O1426,"CHEKDATE")</t>
  </si>
  <si>
    <t>=NF($O1427,"CHEKDATE")</t>
  </si>
  <si>
    <t>=NF($O1428,"CHEKDATE")</t>
  </si>
  <si>
    <t>=NF($O1424,"UPRTRXAM")</t>
  </si>
  <si>
    <t>=NF($O1425,"UPRTRXAM")</t>
  </si>
  <si>
    <t>=NF($O1426,"UPRTRXAM")</t>
  </si>
  <si>
    <t>=NF($O1427,"UPRTRXAM")</t>
  </si>
  <si>
    <t>=NF($O1428,"UPRTRXAM")</t>
  </si>
  <si>
    <t>=NF($O1469,"PAYRATE")</t>
  </si>
  <si>
    <t>=NF($O1470,"PAYRATE")</t>
  </si>
  <si>
    <t>=NF($O1471,"PAYRATE")</t>
  </si>
  <si>
    <t>=NF($O1472,"PAYRATE")</t>
  </si>
  <si>
    <t>=NF($O1473,"PAYRATE")</t>
  </si>
  <si>
    <t>=NF($O1469,"PAYROLCD")</t>
  </si>
  <si>
    <t>=NF($O1470,"PAYROLCD")</t>
  </si>
  <si>
    <t>=NF($O1471,"PAYROLCD")</t>
  </si>
  <si>
    <t>=NF($O1472,"PAYROLCD")</t>
  </si>
  <si>
    <t>=NF($O1473,"PAYROLCD")</t>
  </si>
  <si>
    <t>=NF($O1469,"STATECD")</t>
  </si>
  <si>
    <t>=NF($O1470,"STATECD")</t>
  </si>
  <si>
    <t>=NF($O1471,"STATECD")</t>
  </si>
  <si>
    <t>=NF($O1472,"STATECD")</t>
  </si>
  <si>
    <t>=NF($O1473,"STATECD")</t>
  </si>
  <si>
    <t>=NF($O1469,"CHEKDATE")</t>
  </si>
  <si>
    <t>=NF($O1470,"CHEKDATE")</t>
  </si>
  <si>
    <t>=NF($O1471,"CHEKDATE")</t>
  </si>
  <si>
    <t>=NF($O1472,"CHEKDATE")</t>
  </si>
  <si>
    <t>=NF($O1473,"CHEKDATE")</t>
  </si>
  <si>
    <t>=NF($O1469,"UPRTRXAM")</t>
  </si>
  <si>
    <t>=NF($O1470,"UPRTRXAM")</t>
  </si>
  <si>
    <t>=NF($O1471,"UPRTRXAM")</t>
  </si>
  <si>
    <t>=NF($O1472,"UPRTRXAM")</t>
  </si>
  <si>
    <t>=NF($O1473,"UPRTRXAM")</t>
  </si>
  <si>
    <t>=NF($O1460,"PAYRATE")</t>
  </si>
  <si>
    <t>=NF($O1461,"PAYRATE")</t>
  </si>
  <si>
    <t>=NF($O1462,"PAYRATE")</t>
  </si>
  <si>
    <t>=NF($O1463,"PAYRATE")</t>
  </si>
  <si>
    <t>=NF($O1464,"PAYRATE")</t>
  </si>
  <si>
    <t>=NF($O1460,"PAYROLCD")</t>
  </si>
  <si>
    <t>=NF($O1461,"PAYROLCD")</t>
  </si>
  <si>
    <t>=NF($O1462,"PAYROLCD")</t>
  </si>
  <si>
    <t>=NF($O1463,"PAYROLCD")</t>
  </si>
  <si>
    <t>=NF($O1464,"PAYROLCD")</t>
  </si>
  <si>
    <t>=NF($O1460,"STATECD")</t>
  </si>
  <si>
    <t>=NF($O1461,"STATECD")</t>
  </si>
  <si>
    <t>=NF($O1462,"STATECD")</t>
  </si>
  <si>
    <t>=NF($O1463,"STATECD")</t>
  </si>
  <si>
    <t>=NF($O1464,"STATECD")</t>
  </si>
  <si>
    <t>=NF($O1460,"CHEKDATE")</t>
  </si>
  <si>
    <t>=NF($O1461,"CHEKDATE")</t>
  </si>
  <si>
    <t>=NF($O1462,"CHEKDATE")</t>
  </si>
  <si>
    <t>=NF($O1463,"CHEKDATE")</t>
  </si>
  <si>
    <t>=NF($O1464,"CHEKDATE")</t>
  </si>
  <si>
    <t>=NF($O1460,"UPRTRXAM")</t>
  </si>
  <si>
    <t>=NF($O1461,"UPRTRXAM")</t>
  </si>
  <si>
    <t>=NF($O1462,"UPRTRXAM")</t>
  </si>
  <si>
    <t>=NF($O1463,"UPRTRXAM")</t>
  </si>
  <si>
    <t>=NF($O1464,"UPRTRXAM")</t>
  </si>
  <si>
    <t>=NF($O1451,"PAYRATE")</t>
  </si>
  <si>
    <t>=NF($O1452,"PAYRATE")</t>
  </si>
  <si>
    <t>=NF($O1453,"PAYRATE")</t>
  </si>
  <si>
    <t>=NF($O1454,"PAYRATE")</t>
  </si>
  <si>
    <t>=NF($O1455,"PAYRATE")</t>
  </si>
  <si>
    <t>=NF($O1451,"PAYROLCD")</t>
  </si>
  <si>
    <t>=NF($O1452,"PAYROLCD")</t>
  </si>
  <si>
    <t>=NF($O1453,"PAYROLCD")</t>
  </si>
  <si>
    <t>=NF($O1454,"PAYROLCD")</t>
  </si>
  <si>
    <t>=NF($O1455,"PAYROLCD")</t>
  </si>
  <si>
    <t>=NF($O1451,"STATECD")</t>
  </si>
  <si>
    <t>=NF($O1452,"STATECD")</t>
  </si>
  <si>
    <t>=NF($O1453,"STATECD")</t>
  </si>
  <si>
    <t>=NF($O1454,"STATECD")</t>
  </si>
  <si>
    <t>=NF($O1455,"STATECD")</t>
  </si>
  <si>
    <t>=NF($O1451,"CHEKDATE")</t>
  </si>
  <si>
    <t>=NF($O1452,"CHEKDATE")</t>
  </si>
  <si>
    <t>=NF($O1453,"CHEKDATE")</t>
  </si>
  <si>
    <t>=NF($O1454,"CHEKDATE")</t>
  </si>
  <si>
    <t>=NF($O1455,"CHEKDATE")</t>
  </si>
  <si>
    <t>=NF($O1451,"UPRTRXAM")</t>
  </si>
  <si>
    <t>=NF($O1452,"UPRTRXAM")</t>
  </si>
  <si>
    <t>=NF($O1453,"UPRTRXAM")</t>
  </si>
  <si>
    <t>=NF($O1454,"UPRTRXAM")</t>
  </si>
  <si>
    <t>=NF($O1455,"UPRTRXAM")</t>
  </si>
  <si>
    <t>=NF($O1442,"PAYRATE")</t>
  </si>
  <si>
    <t>=NF($O1443,"PAYRATE")</t>
  </si>
  <si>
    <t>=NF($O1444,"PAYRATE")</t>
  </si>
  <si>
    <t>=NF($O1445,"PAYRATE")</t>
  </si>
  <si>
    <t>=NF($O1446,"PAYRATE")</t>
  </si>
  <si>
    <t>=NF($O1442,"PAYROLCD")</t>
  </si>
  <si>
    <t>=NF($O1443,"PAYROLCD")</t>
  </si>
  <si>
    <t>=NF($O1444,"PAYROLCD")</t>
  </si>
  <si>
    <t>=NF($O1445,"PAYROLCD")</t>
  </si>
  <si>
    <t>=NF($O1446,"PAYROLCD")</t>
  </si>
  <si>
    <t>=NF($O1442,"STATECD")</t>
  </si>
  <si>
    <t>=NF($O1443,"STATECD")</t>
  </si>
  <si>
    <t>=NF($O1444,"STATECD")</t>
  </si>
  <si>
    <t>=NF($O1445,"STATECD")</t>
  </si>
  <si>
    <t>=NF($O1446,"STATECD")</t>
  </si>
  <si>
    <t>=NF($O1442,"CHEKDATE")</t>
  </si>
  <si>
    <t>=NF($O1443,"CHEKDATE")</t>
  </si>
  <si>
    <t>=NF($O1444,"CHEKDATE")</t>
  </si>
  <si>
    <t>=NF($O1445,"CHEKDATE")</t>
  </si>
  <si>
    <t>=NF($O1446,"CHEKDATE")</t>
  </si>
  <si>
    <t>=NF($O1442,"UPRTRXAM")</t>
  </si>
  <si>
    <t>=NF($O1443,"UPRTRXAM")</t>
  </si>
  <si>
    <t>=NF($O1444,"UPRTRXAM")</t>
  </si>
  <si>
    <t>=NF($O1445,"UPRTRXAM")</t>
  </si>
  <si>
    <t>=NF($O1446,"UPRTRXAM")</t>
  </si>
  <si>
    <t>=NF($O1433,"PAYRATE")</t>
  </si>
  <si>
    <t>=NF($O1434,"PAYRATE")</t>
  </si>
  <si>
    <t>=NF($O1435,"PAYRATE")</t>
  </si>
  <si>
    <t>=NF($O1436,"PAYRATE")</t>
  </si>
  <si>
    <t>=NF($O1437,"PAYRATE")</t>
  </si>
  <si>
    <t>=NF($O1433,"PAYROLCD")</t>
  </si>
  <si>
    <t>=NF($O1434,"PAYROLCD")</t>
  </si>
  <si>
    <t>=NF($O1435,"PAYROLCD")</t>
  </si>
  <si>
    <t>=NF($O1436,"PAYROLCD")</t>
  </si>
  <si>
    <t>=NF($O1437,"PAYROLCD")</t>
  </si>
  <si>
    <t>=NF($O1433,"STATECD")</t>
  </si>
  <si>
    <t>=NF($O1434,"STATECD")</t>
  </si>
  <si>
    <t>=NF($O1435,"STATECD")</t>
  </si>
  <si>
    <t>=NF($O1436,"STATECD")</t>
  </si>
  <si>
    <t>=NF($O1437,"STATECD")</t>
  </si>
  <si>
    <t>=NF($O1433,"CHEKDATE")</t>
  </si>
  <si>
    <t>=NF($O1434,"CHEKDATE")</t>
  </si>
  <si>
    <t>=NF($O1435,"CHEKDATE")</t>
  </si>
  <si>
    <t>=NF($O1436,"CHEKDATE")</t>
  </si>
  <si>
    <t>=NF($O1437,"CHEKDATE")</t>
  </si>
  <si>
    <t>=NF($O1433,"UPRTRXAM")</t>
  </si>
  <si>
    <t>=NF($O1434,"UPRTRXAM")</t>
  </si>
  <si>
    <t>=NF($O1435,"UPRTRXAM")</t>
  </si>
  <si>
    <t>=NF($O1436,"UPRTRXAM")</t>
  </si>
  <si>
    <t>=NF($O1437,"UPRTRXAM")</t>
  </si>
  <si>
    <t>=NF($O1355,"PAYRATE")</t>
  </si>
  <si>
    <t>=NF($O1356,"PAYRATE")</t>
  </si>
  <si>
    <t>=NF($O1357,"PAYRATE")</t>
  </si>
  <si>
    <t>=NF($O1358,"PAYRATE")</t>
  </si>
  <si>
    <t>=NF($O1359,"PAYRATE")</t>
  </si>
  <si>
    <t>=NF($O1355,"PAYROLCD")</t>
  </si>
  <si>
    <t>=NF($O1356,"PAYROLCD")</t>
  </si>
  <si>
    <t>=NF($O1357,"PAYROLCD")</t>
  </si>
  <si>
    <t>=NF($O1358,"PAYROLCD")</t>
  </si>
  <si>
    <t>=NF($O1359,"PAYROLCD")</t>
  </si>
  <si>
    <t>=NF($O1355,"STATECD")</t>
  </si>
  <si>
    <t>=NF($O1356,"STATECD")</t>
  </si>
  <si>
    <t>=NF($O1357,"STATECD")</t>
  </si>
  <si>
    <t>=NF($O1358,"STATECD")</t>
  </si>
  <si>
    <t>=NF($O1359,"STATECD")</t>
  </si>
  <si>
    <t>=NF($O1355,"CHEKDATE")</t>
  </si>
  <si>
    <t>=NF($O1356,"CHEKDATE")</t>
  </si>
  <si>
    <t>=NF($O1357,"CHEKDATE")</t>
  </si>
  <si>
    <t>=NF($O1358,"CHEKDATE")</t>
  </si>
  <si>
    <t>=NF($O1359,"CHEKDATE")</t>
  </si>
  <si>
    <t>=NF($O1355,"UPRTRXAM")</t>
  </si>
  <si>
    <t>=NF($O1356,"UPRTRXAM")</t>
  </si>
  <si>
    <t>=NF($O1357,"UPRTRXAM")</t>
  </si>
  <si>
    <t>=NF($O1358,"UPRTRXAM")</t>
  </si>
  <si>
    <t>=NF($O1359,"UPRTRXAM")</t>
  </si>
  <si>
    <t>=NF($O1402,"PAYRATE")</t>
  </si>
  <si>
    <t>=NF($O1403,"PAYRATE")</t>
  </si>
  <si>
    <t>=NF($O1404,"PAYRATE")</t>
  </si>
  <si>
    <t>=NF($O1405,"PAYRATE")</t>
  </si>
  <si>
    <t>=NF($O1406,"PAYRATE")</t>
  </si>
  <si>
    <t>=NF($O1402,"PAYROLCD")</t>
  </si>
  <si>
    <t>=NF($O1403,"PAYROLCD")</t>
  </si>
  <si>
    <t>=NF($O1404,"PAYROLCD")</t>
  </si>
  <si>
    <t>=NF($O1405,"PAYROLCD")</t>
  </si>
  <si>
    <t>=NF($O1406,"PAYROLCD")</t>
  </si>
  <si>
    <t>=NF($O1402,"STATECD")</t>
  </si>
  <si>
    <t>=NF($O1403,"STATECD")</t>
  </si>
  <si>
    <t>=NF($O1404,"STATECD")</t>
  </si>
  <si>
    <t>=NF($O1405,"STATECD")</t>
  </si>
  <si>
    <t>=NF($O1406,"STATECD")</t>
  </si>
  <si>
    <t>=NF($O1402,"CHEKDATE")</t>
  </si>
  <si>
    <t>=NF($O1403,"CHEKDATE")</t>
  </si>
  <si>
    <t>=NF($O1404,"CHEKDATE")</t>
  </si>
  <si>
    <t>=NF($O1405,"CHEKDATE")</t>
  </si>
  <si>
    <t>=NF($O1406,"CHEKDATE")</t>
  </si>
  <si>
    <t>=NF($O1402,"UPRTRXAM")</t>
  </si>
  <si>
    <t>=NF($O1403,"UPRTRXAM")</t>
  </si>
  <si>
    <t>=NF($O1404,"UPRTRXAM")</t>
  </si>
  <si>
    <t>=NF($O1405,"UPRTRXAM")</t>
  </si>
  <si>
    <t>=NF($O1406,"UPRTRXAM")</t>
  </si>
  <si>
    <t>=NF($O1392,"PAYRATE")</t>
  </si>
  <si>
    <t>=NF($O1393,"PAYRATE")</t>
  </si>
  <si>
    <t>=NF($O1394,"PAYRATE")</t>
  </si>
  <si>
    <t>=NF($O1395,"PAYRATE")</t>
  </si>
  <si>
    <t>=NF($O1396,"PAYRATE")</t>
  </si>
  <si>
    <t>=NF($O1397,"PAYRATE")</t>
  </si>
  <si>
    <t>=NF($O1392,"PAYROLCD")</t>
  </si>
  <si>
    <t>=NF($O1393,"PAYROLCD")</t>
  </si>
  <si>
    <t>=NF($O1394,"PAYROLCD")</t>
  </si>
  <si>
    <t>=NF($O1395,"PAYROLCD")</t>
  </si>
  <si>
    <t>=NF($O1396,"PAYROLCD")</t>
  </si>
  <si>
    <t>=NF($O1397,"PAYROLCD")</t>
  </si>
  <si>
    <t>=NF($O1392,"STATECD")</t>
  </si>
  <si>
    <t>=NF($O1393,"STATECD")</t>
  </si>
  <si>
    <t>=NF($O1394,"STATECD")</t>
  </si>
  <si>
    <t>=NF($O1395,"STATECD")</t>
  </si>
  <si>
    <t>=NF($O1396,"STATECD")</t>
  </si>
  <si>
    <t>=NF($O1397,"STATECD")</t>
  </si>
  <si>
    <t>=NF($O1392,"CHEKDATE")</t>
  </si>
  <si>
    <t>=NF($O1393,"CHEKDATE")</t>
  </si>
  <si>
    <t>=NF($O1394,"CHEKDATE")</t>
  </si>
  <si>
    <t>=NF($O1395,"CHEKDATE")</t>
  </si>
  <si>
    <t>=NF($O1396,"CHEKDATE")</t>
  </si>
  <si>
    <t>=NF($O1397,"CHEKDATE")</t>
  </si>
  <si>
    <t>=NF($O1392,"UPRTRXAM")</t>
  </si>
  <si>
    <t>=NF($O1393,"UPRTRXAM")</t>
  </si>
  <si>
    <t>=NF($O1394,"UPRTRXAM")</t>
  </si>
  <si>
    <t>=NF($O1395,"UPRTRXAM")</t>
  </si>
  <si>
    <t>=NF($O1396,"UPRTRXAM")</t>
  </si>
  <si>
    <t>=NF($O1397,"UPRTRXAM")</t>
  </si>
  <si>
    <t>=NF($O1383,"PAYRATE")</t>
  </si>
  <si>
    <t>=NF($O1384,"PAYRATE")</t>
  </si>
  <si>
    <t>=NF($O1385,"PAYRATE")</t>
  </si>
  <si>
    <t>=NF($O1386,"PAYRATE")</t>
  </si>
  <si>
    <t>=NF($O1387,"PAYRATE")</t>
  </si>
  <si>
    <t>=NF($O1383,"PAYROLCD")</t>
  </si>
  <si>
    <t>=NF($O1384,"PAYROLCD")</t>
  </si>
  <si>
    <t>=NF($O1385,"PAYROLCD")</t>
  </si>
  <si>
    <t>=NF($O1386,"PAYROLCD")</t>
  </si>
  <si>
    <t>=NF($O1387,"PAYROLCD")</t>
  </si>
  <si>
    <t>=NF($O1383,"STATECD")</t>
  </si>
  <si>
    <t>=NF($O1384,"STATECD")</t>
  </si>
  <si>
    <t>=NF($O1385,"STATECD")</t>
  </si>
  <si>
    <t>=NF($O1386,"STATECD")</t>
  </si>
  <si>
    <t>=NF($O1387,"STATECD")</t>
  </si>
  <si>
    <t>=NF($O1383,"CHEKDATE")</t>
  </si>
  <si>
    <t>=NF($O1384,"CHEKDATE")</t>
  </si>
  <si>
    <t>=NF($O1385,"CHEKDATE")</t>
  </si>
  <si>
    <t>=NF($O1386,"CHEKDATE")</t>
  </si>
  <si>
    <t>=NF($O1387,"CHEKDATE")</t>
  </si>
  <si>
    <t>=NF($O1383,"UPRTRXAM")</t>
  </si>
  <si>
    <t>=NF($O1384,"UPRTRXAM")</t>
  </si>
  <si>
    <t>=NF($O1385,"UPRTRXAM")</t>
  </si>
  <si>
    <t>=NF($O1386,"UPRTRXAM")</t>
  </si>
  <si>
    <t>=NF($O1387,"UPRTRXAM")</t>
  </si>
  <si>
    <t>=NF($O1374,"PAYRATE")</t>
  </si>
  <si>
    <t>=NF($O1375,"PAYRATE")</t>
  </si>
  <si>
    <t>=NF($O1376,"PAYRATE")</t>
  </si>
  <si>
    <t>=NF($O1377,"PAYRATE")</t>
  </si>
  <si>
    <t>=NF($O1378,"PAYRATE")</t>
  </si>
  <si>
    <t>=NF($O1374,"PAYROLCD")</t>
  </si>
  <si>
    <t>=NF($O1375,"PAYROLCD")</t>
  </si>
  <si>
    <t>=NF($O1376,"PAYROLCD")</t>
  </si>
  <si>
    <t>=NF($O1377,"PAYROLCD")</t>
  </si>
  <si>
    <t>=NF($O1378,"PAYROLCD")</t>
  </si>
  <si>
    <t>=NF($O1374,"STATECD")</t>
  </si>
  <si>
    <t>=NF($O1375,"STATECD")</t>
  </si>
  <si>
    <t>=NF($O1376,"STATECD")</t>
  </si>
  <si>
    <t>=NF($O1377,"STATECD")</t>
  </si>
  <si>
    <t>=NF($O1378,"STATECD")</t>
  </si>
  <si>
    <t>=NF($O1374,"CHEKDATE")</t>
  </si>
  <si>
    <t>=NF($O1375,"CHEKDATE")</t>
  </si>
  <si>
    <t>=NF($O1376,"CHEKDATE")</t>
  </si>
  <si>
    <t>=NF($O1377,"CHEKDATE")</t>
  </si>
  <si>
    <t>=NF($O1378,"CHEKDATE")</t>
  </si>
  <si>
    <t>=NF($O1374,"UPRTRXAM")</t>
  </si>
  <si>
    <t>=NF($O1375,"UPRTRXAM")</t>
  </si>
  <si>
    <t>=NF($O1376,"UPRTRXAM")</t>
  </si>
  <si>
    <t>=NF($O1377,"UPRTRXAM")</t>
  </si>
  <si>
    <t>=NF($O1378,"UPRTRXAM")</t>
  </si>
  <si>
    <t>=NF($O1364,"PAYRATE")</t>
  </si>
  <si>
    <t>=NF($O1365,"PAYRATE")</t>
  </si>
  <si>
    <t>=NF($O1366,"PAYRATE")</t>
  </si>
  <si>
    <t>=NF($O1367,"PAYRATE")</t>
  </si>
  <si>
    <t>=NF($O1368,"PAYRATE")</t>
  </si>
  <si>
    <t>=NF($O1369,"PAYRATE")</t>
  </si>
  <si>
    <t>=NF($O1364,"PAYROLCD")</t>
  </si>
  <si>
    <t>=NF($O1365,"PAYROLCD")</t>
  </si>
  <si>
    <t>=NF($O1366,"PAYROLCD")</t>
  </si>
  <si>
    <t>=NF($O1367,"PAYROLCD")</t>
  </si>
  <si>
    <t>=NF($O1368,"PAYROLCD")</t>
  </si>
  <si>
    <t>=NF($O1369,"PAYROLCD")</t>
  </si>
  <si>
    <t>=NF($O1364,"STATECD")</t>
  </si>
  <si>
    <t>=NF($O1365,"STATECD")</t>
  </si>
  <si>
    <t>=NF($O1366,"STATECD")</t>
  </si>
  <si>
    <t>=NF($O1367,"STATECD")</t>
  </si>
  <si>
    <t>=NF($O1368,"STATECD")</t>
  </si>
  <si>
    <t>=NF($O1369,"STATECD")</t>
  </si>
  <si>
    <t>=NF($O1364,"CHEKDATE")</t>
  </si>
  <si>
    <t>=NF($O1365,"CHEKDATE")</t>
  </si>
  <si>
    <t>=NF($O1366,"CHEKDATE")</t>
  </si>
  <si>
    <t>=NF($O1367,"CHEKDATE")</t>
  </si>
  <si>
    <t>=NF($O1368,"CHEKDATE")</t>
  </si>
  <si>
    <t>=NF($O1369,"CHEKDATE")</t>
  </si>
  <si>
    <t>=NF($O1364,"UPRTRXAM")</t>
  </si>
  <si>
    <t>=NF($O1365,"UPRTRXAM")</t>
  </si>
  <si>
    <t>=NF($O1366,"UPRTRXAM")</t>
  </si>
  <si>
    <t>=NF($O1367,"UPRTRXAM")</t>
  </si>
  <si>
    <t>=NF($O1368,"UPRTRXAM")</t>
  </si>
  <si>
    <t>=NF($O1369,"UPRTRXAM")</t>
  </si>
  <si>
    <t>=NF($O1292,"PAYRATE")</t>
  </si>
  <si>
    <t>=NF($O1293,"PAYRATE")</t>
  </si>
  <si>
    <t>=NF($O1294,"PAYRATE")</t>
  </si>
  <si>
    <t>=NF($O1295,"PAYRATE")</t>
  </si>
  <si>
    <t>=NF($O1296,"PAYRATE")</t>
  </si>
  <si>
    <t>=NF($O1297,"PAYRATE")</t>
  </si>
  <si>
    <t>=NF($O1292,"PAYROLCD")</t>
  </si>
  <si>
    <t>=NF($O1293,"PAYROLCD")</t>
  </si>
  <si>
    <t>=NF($O1294,"PAYROLCD")</t>
  </si>
  <si>
    <t>=NF($O1295,"PAYROLCD")</t>
  </si>
  <si>
    <t>=NF($O1296,"PAYROLCD")</t>
  </si>
  <si>
    <t>=NF($O1297,"PAYROLCD")</t>
  </si>
  <si>
    <t>=NF($O1292,"STATECD")</t>
  </si>
  <si>
    <t>=NF($O1293,"STATECD")</t>
  </si>
  <si>
    <t>=NF($O1294,"STATECD")</t>
  </si>
  <si>
    <t>=NF($O1295,"STATECD")</t>
  </si>
  <si>
    <t>=NF($O1296,"STATECD")</t>
  </si>
  <si>
    <t>=NF($O1297,"STATECD")</t>
  </si>
  <si>
    <t>=NF($O1292,"CHEKDATE")</t>
  </si>
  <si>
    <t>=NF($O1293,"CHEKDATE")</t>
  </si>
  <si>
    <t>=NF($O1294,"CHEKDATE")</t>
  </si>
  <si>
    <t>=NF($O1295,"CHEKDATE")</t>
  </si>
  <si>
    <t>=NF($O1296,"CHEKDATE")</t>
  </si>
  <si>
    <t>=NF($O1297,"CHEKDATE")</t>
  </si>
  <si>
    <t>=NF($O1292,"UPRTRXAM")</t>
  </si>
  <si>
    <t>=NF($O1293,"UPRTRXAM")</t>
  </si>
  <si>
    <t>=NF($O1294,"UPRTRXAM")</t>
  </si>
  <si>
    <t>=NF($O1295,"UPRTRXAM")</t>
  </si>
  <si>
    <t>=NF($O1296,"UPRTRXAM")</t>
  </si>
  <si>
    <t>=NF($O1297,"UPRTRXAM")</t>
  </si>
  <si>
    <t>=NF($O1342,"PAYRATE")</t>
  </si>
  <si>
    <t>=NF($O1343,"PAYRATE")</t>
  </si>
  <si>
    <t>=NF($O1344,"PAYRATE")</t>
  </si>
  <si>
    <t>=NF($O1345,"PAYRATE")</t>
  </si>
  <si>
    <t>=NF($O1346,"PAYRATE")</t>
  </si>
  <si>
    <t>=NF($O1347,"PAYRATE")</t>
  </si>
  <si>
    <t>=NF($O1342,"PAYROLCD")</t>
  </si>
  <si>
    <t>=NF($O1343,"PAYROLCD")</t>
  </si>
  <si>
    <t>=NF($O1344,"PAYROLCD")</t>
  </si>
  <si>
    <t>=NF($O1345,"PAYROLCD")</t>
  </si>
  <si>
    <t>=NF($O1346,"PAYROLCD")</t>
  </si>
  <si>
    <t>=NF($O1347,"PAYROLCD")</t>
  </si>
  <si>
    <t>=NF($O1342,"STATECD")</t>
  </si>
  <si>
    <t>=NF($O1343,"STATECD")</t>
  </si>
  <si>
    <t>=NF($O1344,"STATECD")</t>
  </si>
  <si>
    <t>=NF($O1345,"STATECD")</t>
  </si>
  <si>
    <t>=NF($O1346,"STATECD")</t>
  </si>
  <si>
    <t>=NF($O1347,"STATECD")</t>
  </si>
  <si>
    <t>=NF($O1342,"CHEKDATE")</t>
  </si>
  <si>
    <t>=NF($O1343,"CHEKDATE")</t>
  </si>
  <si>
    <t>=NF($O1344,"CHEKDATE")</t>
  </si>
  <si>
    <t>=NF($O1345,"CHEKDATE")</t>
  </si>
  <si>
    <t>=NF($O1346,"CHEKDATE")</t>
  </si>
  <si>
    <t>=NF($O1347,"CHEKDATE")</t>
  </si>
  <si>
    <t>=NF($O1342,"UPRTRXAM")</t>
  </si>
  <si>
    <t>=NF($O1343,"UPRTRXAM")</t>
  </si>
  <si>
    <t>=NF($O1344,"UPRTRXAM")</t>
  </si>
  <si>
    <t>=NF($O1345,"UPRTRXAM")</t>
  </si>
  <si>
    <t>=NF($O1346,"UPRTRXAM")</t>
  </si>
  <si>
    <t>=NF($O1347,"UPRTRXAM")</t>
  </si>
  <si>
    <t>=NF($O1332,"PAYRATE")</t>
  </si>
  <si>
    <t>=NF($O1333,"PAYRATE")</t>
  </si>
  <si>
    <t>=NF($O1334,"PAYRATE")</t>
  </si>
  <si>
    <t>=NF($O1335,"PAYRATE")</t>
  </si>
  <si>
    <t>=NF($O1336,"PAYRATE")</t>
  </si>
  <si>
    <t>=NF($O1337,"PAYRATE")</t>
  </si>
  <si>
    <t>=NF($O1332,"PAYROLCD")</t>
  </si>
  <si>
    <t>=NF($O1333,"PAYROLCD")</t>
  </si>
  <si>
    <t>=NF($O1334,"PAYROLCD")</t>
  </si>
  <si>
    <t>=NF($O1335,"PAYROLCD")</t>
  </si>
  <si>
    <t>=NF($O1336,"PAYROLCD")</t>
  </si>
  <si>
    <t>=NF($O1337,"PAYROLCD")</t>
  </si>
  <si>
    <t>=NF($O1332,"STATECD")</t>
  </si>
  <si>
    <t>=NF($O1333,"STATECD")</t>
  </si>
  <si>
    <t>=NF($O1334,"STATECD")</t>
  </si>
  <si>
    <t>=NF($O1335,"STATECD")</t>
  </si>
  <si>
    <t>=NF($O1336,"STATECD")</t>
  </si>
  <si>
    <t>=NF($O1337,"STATECD")</t>
  </si>
  <si>
    <t>=NF($O1332,"CHEKDATE")</t>
  </si>
  <si>
    <t>=NF($O1333,"CHEKDATE")</t>
  </si>
  <si>
    <t>=NF($O1334,"CHEKDATE")</t>
  </si>
  <si>
    <t>=NF($O1335,"CHEKDATE")</t>
  </si>
  <si>
    <t>=NF($O1336,"CHEKDATE")</t>
  </si>
  <si>
    <t>=NF($O1337,"CHEKDATE")</t>
  </si>
  <si>
    <t>=NF($O1332,"UPRTRXAM")</t>
  </si>
  <si>
    <t>=NF($O1333,"UPRTRXAM")</t>
  </si>
  <si>
    <t>=NF($O1334,"UPRTRXAM")</t>
  </si>
  <si>
    <t>=NF($O1335,"UPRTRXAM")</t>
  </si>
  <si>
    <t>=NF($O1336,"UPRTRXAM")</t>
  </si>
  <si>
    <t>=NF($O1337,"UPRTRXAM")</t>
  </si>
  <si>
    <t>=NF($O1322,"PAYRATE")</t>
  </si>
  <si>
    <t>=NF($O1323,"PAYRATE")</t>
  </si>
  <si>
    <t>=NF($O1324,"PAYRATE")</t>
  </si>
  <si>
    <t>=NF($O1325,"PAYRATE")</t>
  </si>
  <si>
    <t>=NF($O1326,"PAYRATE")</t>
  </si>
  <si>
    <t>=NF($O1327,"PAYRATE")</t>
  </si>
  <si>
    <t>=NF($O1322,"PAYROLCD")</t>
  </si>
  <si>
    <t>=NF($O1323,"PAYROLCD")</t>
  </si>
  <si>
    <t>=NF($O1324,"PAYROLCD")</t>
  </si>
  <si>
    <t>=NF($O1325,"PAYROLCD")</t>
  </si>
  <si>
    <t>=NF($O1326,"PAYROLCD")</t>
  </si>
  <si>
    <t>=NF($O1327,"PAYROLCD")</t>
  </si>
  <si>
    <t>=NF($O1322,"STATECD")</t>
  </si>
  <si>
    <t>=NF($O1323,"STATECD")</t>
  </si>
  <si>
    <t>=NF($O1324,"STATECD")</t>
  </si>
  <si>
    <t>=NF($O1325,"STATECD")</t>
  </si>
  <si>
    <t>=NF($O1326,"STATECD")</t>
  </si>
  <si>
    <t>=NF($O1327,"STATECD")</t>
  </si>
  <si>
    <t>=NF($O1322,"CHEKDATE")</t>
  </si>
  <si>
    <t>=NF($O1323,"CHEKDATE")</t>
  </si>
  <si>
    <t>=NF($O1324,"CHEKDATE")</t>
  </si>
  <si>
    <t>=NF($O1325,"CHEKDATE")</t>
  </si>
  <si>
    <t>=NF($O1326,"CHEKDATE")</t>
  </si>
  <si>
    <t>=NF($O1327,"CHEKDATE")</t>
  </si>
  <si>
    <t>=NF($O1322,"UPRTRXAM")</t>
  </si>
  <si>
    <t>=NF($O1323,"UPRTRXAM")</t>
  </si>
  <si>
    <t>=NF($O1324,"UPRTRXAM")</t>
  </si>
  <si>
    <t>=NF($O1325,"UPRTRXAM")</t>
  </si>
  <si>
    <t>=NF($O1326,"UPRTRXAM")</t>
  </si>
  <si>
    <t>=NF($O1327,"UPRTRXAM")</t>
  </si>
  <si>
    <t>=NF($O1312,"PAYRATE")</t>
  </si>
  <si>
    <t>=NF($O1313,"PAYRATE")</t>
  </si>
  <si>
    <t>=NF($O1314,"PAYRATE")</t>
  </si>
  <si>
    <t>=NF($O1315,"PAYRATE")</t>
  </si>
  <si>
    <t>=NF($O1316,"PAYRATE")</t>
  </si>
  <si>
    <t>=NF($O1317,"PAYRATE")</t>
  </si>
  <si>
    <t>=NF($O1312,"PAYROLCD")</t>
  </si>
  <si>
    <t>=NF($O1313,"PAYROLCD")</t>
  </si>
  <si>
    <t>=NF($O1314,"PAYROLCD")</t>
  </si>
  <si>
    <t>=NF($O1315,"PAYROLCD")</t>
  </si>
  <si>
    <t>=NF($O1316,"PAYROLCD")</t>
  </si>
  <si>
    <t>=NF($O1317,"PAYROLCD")</t>
  </si>
  <si>
    <t>=NF($O1312,"STATECD")</t>
  </si>
  <si>
    <t>=NF($O1313,"STATECD")</t>
  </si>
  <si>
    <t>=NF($O1314,"STATECD")</t>
  </si>
  <si>
    <t>=NF($O1315,"STATECD")</t>
  </si>
  <si>
    <t>=NF($O1316,"STATECD")</t>
  </si>
  <si>
    <t>=NF($O1317,"STATECD")</t>
  </si>
  <si>
    <t>=NF($O1312,"CHEKDATE")</t>
  </si>
  <si>
    <t>=NF($O1313,"CHEKDATE")</t>
  </si>
  <si>
    <t>=NF($O1314,"CHEKDATE")</t>
  </si>
  <si>
    <t>=NF($O1315,"CHEKDATE")</t>
  </si>
  <si>
    <t>=NF($O1316,"CHEKDATE")</t>
  </si>
  <si>
    <t>=NF($O1317,"CHEKDATE")</t>
  </si>
  <si>
    <t>=NF($O1312,"UPRTRXAM")</t>
  </si>
  <si>
    <t>=NF($O1313,"UPRTRXAM")</t>
  </si>
  <si>
    <t>=NF($O1314,"UPRTRXAM")</t>
  </si>
  <si>
    <t>=NF($O1315,"UPRTRXAM")</t>
  </si>
  <si>
    <t>=NF($O1316,"UPRTRXAM")</t>
  </si>
  <si>
    <t>=NF($O1317,"UPRTRXAM")</t>
  </si>
  <si>
    <t>=NF($O1302,"PAYRATE")</t>
  </si>
  <si>
    <t>=NF($O1303,"PAYRATE")</t>
  </si>
  <si>
    <t>=NF($O1304,"PAYRATE")</t>
  </si>
  <si>
    <t>=NF($O1305,"PAYRATE")</t>
  </si>
  <si>
    <t>=NF($O1306,"PAYRATE")</t>
  </si>
  <si>
    <t>=NF($O1307,"PAYRATE")</t>
  </si>
  <si>
    <t>=NF($O1302,"PAYROLCD")</t>
  </si>
  <si>
    <t>=NF($O1303,"PAYROLCD")</t>
  </si>
  <si>
    <t>=NF($O1304,"PAYROLCD")</t>
  </si>
  <si>
    <t>=NF($O1305,"PAYROLCD")</t>
  </si>
  <si>
    <t>=NF($O1306,"PAYROLCD")</t>
  </si>
  <si>
    <t>=NF($O1307,"PAYROLCD")</t>
  </si>
  <si>
    <t>=NF($O1302,"STATECD")</t>
  </si>
  <si>
    <t>=NF($O1303,"STATECD")</t>
  </si>
  <si>
    <t>=NF($O1304,"STATECD")</t>
  </si>
  <si>
    <t>=NF($O1305,"STATECD")</t>
  </si>
  <si>
    <t>=NF($O1306,"STATECD")</t>
  </si>
  <si>
    <t>=NF($O1307,"STATECD")</t>
  </si>
  <si>
    <t>=NF($O1302,"CHEKDATE")</t>
  </si>
  <si>
    <t>=NF($O1303,"CHEKDATE")</t>
  </si>
  <si>
    <t>=NF($O1304,"CHEKDATE")</t>
  </si>
  <si>
    <t>=NF($O1305,"CHEKDATE")</t>
  </si>
  <si>
    <t>=NF($O1306,"CHEKDATE")</t>
  </si>
  <si>
    <t>=NF($O1307,"CHEKDATE")</t>
  </si>
  <si>
    <t>=NF($O1302,"UPRTRXAM")</t>
  </si>
  <si>
    <t>=NF($O1303,"UPRTRXAM")</t>
  </si>
  <si>
    <t>=NF($O1304,"UPRTRXAM")</t>
  </si>
  <si>
    <t>=NF($O1305,"UPRTRXAM")</t>
  </si>
  <si>
    <t>=NF($O1306,"UPRTRXAM")</t>
  </si>
  <si>
    <t>=NF($O1307,"UPRTRXAM")</t>
  </si>
  <si>
    <t>=NF($O1234,"PAYRATE")</t>
  </si>
  <si>
    <t>=NF($O1235,"PAYRATE")</t>
  </si>
  <si>
    <t>=NF($O1236,"PAYRATE")</t>
  </si>
  <si>
    <t>=NF($O1237,"PAYRATE")</t>
  </si>
  <si>
    <t>=NF($O1238,"PAYRATE")</t>
  </si>
  <si>
    <t>=NF($O1234,"PAYROLCD")</t>
  </si>
  <si>
    <t>=NF($O1235,"PAYROLCD")</t>
  </si>
  <si>
    <t>=NF($O1236,"PAYROLCD")</t>
  </si>
  <si>
    <t>=NF($O1237,"PAYROLCD")</t>
  </si>
  <si>
    <t>=NF($O1238,"PAYROLCD")</t>
  </si>
  <si>
    <t>=NF($O1234,"STATECD")</t>
  </si>
  <si>
    <t>=NF($O1235,"STATECD")</t>
  </si>
  <si>
    <t>=NF($O1236,"STATECD")</t>
  </si>
  <si>
    <t>=NF($O1237,"STATECD")</t>
  </si>
  <si>
    <t>=NF($O1238,"STATECD")</t>
  </si>
  <si>
    <t>=NF($O1234,"CHEKDATE")</t>
  </si>
  <si>
    <t>=NF($O1235,"CHEKDATE")</t>
  </si>
  <si>
    <t>=NF($O1236,"CHEKDATE")</t>
  </si>
  <si>
    <t>=NF($O1237,"CHEKDATE")</t>
  </si>
  <si>
    <t>=NF($O1238,"CHEKDATE")</t>
  </si>
  <si>
    <t>=NF($O1234,"UPRTRXAM")</t>
  </si>
  <si>
    <t>=NF($O1235,"UPRTRXAM")</t>
  </si>
  <si>
    <t>=NF($O1236,"UPRTRXAM")</t>
  </si>
  <si>
    <t>=NF($O1237,"UPRTRXAM")</t>
  </si>
  <si>
    <t>=NF($O1238,"UPRTRXAM")</t>
  </si>
  <si>
    <t>=NF($O1280,"PAYRATE")</t>
  </si>
  <si>
    <t>=NF($O1281,"PAYRATE")</t>
  </si>
  <si>
    <t>=NF($O1282,"PAYRATE")</t>
  </si>
  <si>
    <t>=NF($O1283,"PAYRATE")</t>
  </si>
  <si>
    <t>=NF($O1284,"PAYRATE")</t>
  </si>
  <si>
    <t>=NF($O1280,"PAYROLCD")</t>
  </si>
  <si>
    <t>=NF($O1281,"PAYROLCD")</t>
  </si>
  <si>
    <t>=NF($O1282,"PAYROLCD")</t>
  </si>
  <si>
    <t>=NF($O1283,"PAYROLCD")</t>
  </si>
  <si>
    <t>=NF($O1284,"PAYROLCD")</t>
  </si>
  <si>
    <t>=NF($O1280,"STATECD")</t>
  </si>
  <si>
    <t>=NF($O1281,"STATECD")</t>
  </si>
  <si>
    <t>=NF($O1282,"STATECD")</t>
  </si>
  <si>
    <t>=NF($O1283,"STATECD")</t>
  </si>
  <si>
    <t>=NF($O1284,"STATECD")</t>
  </si>
  <si>
    <t>=NF($O1280,"CHEKDATE")</t>
  </si>
  <si>
    <t>=NF($O1281,"CHEKDATE")</t>
  </si>
  <si>
    <t>=NF($O1282,"CHEKDATE")</t>
  </si>
  <si>
    <t>=NF($O1283,"CHEKDATE")</t>
  </si>
  <si>
    <t>=NF($O1284,"CHEKDATE")</t>
  </si>
  <si>
    <t>=NF($O1280,"UPRTRXAM")</t>
  </si>
  <si>
    <t>=NF($O1281,"UPRTRXAM")</t>
  </si>
  <si>
    <t>=NF($O1282,"UPRTRXAM")</t>
  </si>
  <si>
    <t>=NF($O1283,"UPRTRXAM")</t>
  </si>
  <si>
    <t>=NF($O1284,"UPRTRXAM")</t>
  </si>
  <si>
    <t>=NF($O1271,"PAYRATE")</t>
  </si>
  <si>
    <t>=NF($O1272,"PAYRATE")</t>
  </si>
  <si>
    <t>=NF($O1273,"PAYRATE")</t>
  </si>
  <si>
    <t>=NF($O1274,"PAYRATE")</t>
  </si>
  <si>
    <t>=NF($O1275,"PAYRATE")</t>
  </si>
  <si>
    <t>=NF($O1271,"PAYROLCD")</t>
  </si>
  <si>
    <t>=NF($O1272,"PAYROLCD")</t>
  </si>
  <si>
    <t>=NF($O1273,"PAYROLCD")</t>
  </si>
  <si>
    <t>=NF($O1274,"PAYROLCD")</t>
  </si>
  <si>
    <t>=NF($O1275,"PAYROLCD")</t>
  </si>
  <si>
    <t>=NF($O1271,"STATECD")</t>
  </si>
  <si>
    <t>=NF($O1272,"STATECD")</t>
  </si>
  <si>
    <t>=NF($O1273,"STATECD")</t>
  </si>
  <si>
    <t>=NF($O1274,"STATECD")</t>
  </si>
  <si>
    <t>=NF($O1275,"STATECD")</t>
  </si>
  <si>
    <t>=NF($O1271,"CHEKDATE")</t>
  </si>
  <si>
    <t>=NF($O1272,"CHEKDATE")</t>
  </si>
  <si>
    <t>=NF($O1273,"CHEKDATE")</t>
  </si>
  <si>
    <t>=NF($O1274,"CHEKDATE")</t>
  </si>
  <si>
    <t>=NF($O1275,"CHEKDATE")</t>
  </si>
  <si>
    <t>=NF($O1271,"UPRTRXAM")</t>
  </si>
  <si>
    <t>=NF($O1272,"UPRTRXAM")</t>
  </si>
  <si>
    <t>=NF($O1273,"UPRTRXAM")</t>
  </si>
  <si>
    <t>=NF($O1274,"UPRTRXAM")</t>
  </si>
  <si>
    <t>=NF($O1275,"UPRTRXAM")</t>
  </si>
  <si>
    <t>=NF($O1262,"PAYRATE")</t>
  </si>
  <si>
    <t>=NF($O1263,"PAYRATE")</t>
  </si>
  <si>
    <t>=NF($O1264,"PAYRATE")</t>
  </si>
  <si>
    <t>=NF($O1265,"PAYRATE")</t>
  </si>
  <si>
    <t>=NF($O1266,"PAYRATE")</t>
  </si>
  <si>
    <t>=NF($O1262,"PAYROLCD")</t>
  </si>
  <si>
    <t>=NF($O1263,"PAYROLCD")</t>
  </si>
  <si>
    <t>=NF($O1264,"PAYROLCD")</t>
  </si>
  <si>
    <t>=NF($O1265,"PAYROLCD")</t>
  </si>
  <si>
    <t>=NF($O1266,"PAYROLCD")</t>
  </si>
  <si>
    <t>=NF($O1262,"STATECD")</t>
  </si>
  <si>
    <t>=NF($O1263,"STATECD")</t>
  </si>
  <si>
    <t>=NF($O1264,"STATECD")</t>
  </si>
  <si>
    <t>=NF($O1265,"STATECD")</t>
  </si>
  <si>
    <t>=NF($O1266,"STATECD")</t>
  </si>
  <si>
    <t>=NF($O1262,"CHEKDATE")</t>
  </si>
  <si>
    <t>=NF($O1263,"CHEKDATE")</t>
  </si>
  <si>
    <t>=NF($O1264,"CHEKDATE")</t>
  </si>
  <si>
    <t>=NF($O1265,"CHEKDATE")</t>
  </si>
  <si>
    <t>=NF($O1266,"CHEKDATE")</t>
  </si>
  <si>
    <t>=NF($O1262,"UPRTRXAM")</t>
  </si>
  <si>
    <t>=NF($O1263,"UPRTRXAM")</t>
  </si>
  <si>
    <t>=NF($O1264,"UPRTRXAM")</t>
  </si>
  <si>
    <t>=NF($O1265,"UPRTRXAM")</t>
  </si>
  <si>
    <t>=NF($O1266,"UPRTRXAM")</t>
  </si>
  <si>
    <t>=NF($O1253,"PAYRATE")</t>
  </si>
  <si>
    <t>=NF($O1254,"PAYRATE")</t>
  </si>
  <si>
    <t>=NF($O1255,"PAYRATE")</t>
  </si>
  <si>
    <t>=NF($O1256,"PAYRATE")</t>
  </si>
  <si>
    <t>=NF($O1257,"PAYRATE")</t>
  </si>
  <si>
    <t>=NF($O1253,"PAYROLCD")</t>
  </si>
  <si>
    <t>=NF($O1254,"PAYROLCD")</t>
  </si>
  <si>
    <t>=NF($O1255,"PAYROLCD")</t>
  </si>
  <si>
    <t>=NF($O1256,"PAYROLCD")</t>
  </si>
  <si>
    <t>=NF($O1257,"PAYROLCD")</t>
  </si>
  <si>
    <t>=NF($O1253,"STATECD")</t>
  </si>
  <si>
    <t>=NF($O1254,"STATECD")</t>
  </si>
  <si>
    <t>=NF($O1255,"STATECD")</t>
  </si>
  <si>
    <t>=NF($O1256,"STATECD")</t>
  </si>
  <si>
    <t>=NF($O1257,"STATECD")</t>
  </si>
  <si>
    <t>=NF($O1253,"CHEKDATE")</t>
  </si>
  <si>
    <t>=NF($O1254,"CHEKDATE")</t>
  </si>
  <si>
    <t>=NF($O1255,"CHEKDATE")</t>
  </si>
  <si>
    <t>=NF($O1256,"CHEKDATE")</t>
  </si>
  <si>
    <t>=NF($O1257,"CHEKDATE")</t>
  </si>
  <si>
    <t>=NF($O1253,"UPRTRXAM")</t>
  </si>
  <si>
    <t>=NF($O1254,"UPRTRXAM")</t>
  </si>
  <si>
    <t>=NF($O1255,"UPRTRXAM")</t>
  </si>
  <si>
    <t>=NF($O1256,"UPRTRXAM")</t>
  </si>
  <si>
    <t>=NF($O1257,"UPRTRXAM")</t>
  </si>
  <si>
    <t>=NF($O1243,"PAYRATE")</t>
  </si>
  <si>
    <t>=NF($O1244,"PAYRATE")</t>
  </si>
  <si>
    <t>=NF($O1245,"PAYRATE")</t>
  </si>
  <si>
    <t>=NF($O1246,"PAYRATE")</t>
  </si>
  <si>
    <t>=NF($O1247,"PAYRATE")</t>
  </si>
  <si>
    <t>=NF($O1248,"PAYRATE")</t>
  </si>
  <si>
    <t>=NF($O1243,"PAYROLCD")</t>
  </si>
  <si>
    <t>=NF($O1244,"PAYROLCD")</t>
  </si>
  <si>
    <t>=NF($O1245,"PAYROLCD")</t>
  </si>
  <si>
    <t>=NF($O1246,"PAYROLCD")</t>
  </si>
  <si>
    <t>=NF($O1247,"PAYROLCD")</t>
  </si>
  <si>
    <t>=NF($O1248,"PAYROLCD")</t>
  </si>
  <si>
    <t>=NF($O1243,"STATECD")</t>
  </si>
  <si>
    <t>=NF($O1244,"STATECD")</t>
  </si>
  <si>
    <t>=NF($O1245,"STATECD")</t>
  </si>
  <si>
    <t>=NF($O1246,"STATECD")</t>
  </si>
  <si>
    <t>=NF($O1247,"STATECD")</t>
  </si>
  <si>
    <t>=NF($O1248,"STATECD")</t>
  </si>
  <si>
    <t>=NF($O1243,"CHEKDATE")</t>
  </si>
  <si>
    <t>=NF($O1244,"CHEKDATE")</t>
  </si>
  <si>
    <t>=NF($O1245,"CHEKDATE")</t>
  </si>
  <si>
    <t>=NF($O1246,"CHEKDATE")</t>
  </si>
  <si>
    <t>=NF($O1247,"CHEKDATE")</t>
  </si>
  <si>
    <t>=NF($O1248,"CHEKDATE")</t>
  </si>
  <si>
    <t>=NF($O1243,"UPRTRXAM")</t>
  </si>
  <si>
    <t>=NF($O1244,"UPRTRXAM")</t>
  </si>
  <si>
    <t>=NF($O1245,"UPRTRXAM")</t>
  </si>
  <si>
    <t>=NF($O1246,"UPRTRXAM")</t>
  </si>
  <si>
    <t>=NF($O1247,"UPRTRXAM")</t>
  </si>
  <si>
    <t>=NF($O1248,"UPRTRXAM")</t>
  </si>
  <si>
    <t>=NF($O1170,"PAYRATE")</t>
  </si>
  <si>
    <t>=NF($O1171,"PAYRATE")</t>
  </si>
  <si>
    <t>=NF($O1172,"PAYRATE")</t>
  </si>
  <si>
    <t>=NF($O1173,"PAYRATE")</t>
  </si>
  <si>
    <t>=NF($O1174,"PAYRATE")</t>
  </si>
  <si>
    <t>=NF($O1175,"PAYRATE")</t>
  </si>
  <si>
    <t>=NF($O1170,"PAYROLCD")</t>
  </si>
  <si>
    <t>=NF($O1171,"PAYROLCD")</t>
  </si>
  <si>
    <t>=NF($O1172,"PAYROLCD")</t>
  </si>
  <si>
    <t>=NF($O1173,"PAYROLCD")</t>
  </si>
  <si>
    <t>=NF($O1174,"PAYROLCD")</t>
  </si>
  <si>
    <t>=NF($O1175,"PAYROLCD")</t>
  </si>
  <si>
    <t>=NF($O1170,"STATECD")</t>
  </si>
  <si>
    <t>=NF($O1171,"STATECD")</t>
  </si>
  <si>
    <t>=NF($O1172,"STATECD")</t>
  </si>
  <si>
    <t>=NF($O1173,"STATECD")</t>
  </si>
  <si>
    <t>=NF($O1174,"STATECD")</t>
  </si>
  <si>
    <t>=NF($O1175,"STATECD")</t>
  </si>
  <si>
    <t>=NF($O1170,"CHEKDATE")</t>
  </si>
  <si>
    <t>=NF($O1171,"CHEKDATE")</t>
  </si>
  <si>
    <t>=NF($O1172,"CHEKDATE")</t>
  </si>
  <si>
    <t>=NF($O1173,"CHEKDATE")</t>
  </si>
  <si>
    <t>=NF($O1174,"CHEKDATE")</t>
  </si>
  <si>
    <t>=NF($O1175,"CHEKDATE")</t>
  </si>
  <si>
    <t>=NF($O1170,"UPRTRXAM")</t>
  </si>
  <si>
    <t>=NF($O1171,"UPRTRXAM")</t>
  </si>
  <si>
    <t>=NF($O1172,"UPRTRXAM")</t>
  </si>
  <si>
    <t>=NF($O1173,"UPRTRXAM")</t>
  </si>
  <si>
    <t>=NF($O1174,"UPRTRXAM")</t>
  </si>
  <si>
    <t>=NF($O1175,"UPRTRXAM")</t>
  </si>
  <si>
    <t>=NF($O1221,"PAYRATE")</t>
  </si>
  <si>
    <t>=NF($O1222,"PAYRATE")</t>
  </si>
  <si>
    <t>=NF($O1223,"PAYRATE")</t>
  </si>
  <si>
    <t>=NF($O1224,"PAYRATE")</t>
  </si>
  <si>
    <t>=NF($O1225,"PAYRATE")</t>
  </si>
  <si>
    <t>=NF($O1226,"PAYRATE")</t>
  </si>
  <si>
    <t>=NF($O1221,"PAYROLCD")</t>
  </si>
  <si>
    <t>=NF($O1222,"PAYROLCD")</t>
  </si>
  <si>
    <t>=NF($O1223,"PAYROLCD")</t>
  </si>
  <si>
    <t>=NF($O1224,"PAYROLCD")</t>
  </si>
  <si>
    <t>=NF($O1225,"PAYROLCD")</t>
  </si>
  <si>
    <t>=NF($O1226,"PAYROLCD")</t>
  </si>
  <si>
    <t>=NF($O1221,"STATECD")</t>
  </si>
  <si>
    <t>=NF($O1222,"STATECD")</t>
  </si>
  <si>
    <t>=NF($O1223,"STATECD")</t>
  </si>
  <si>
    <t>=NF($O1224,"STATECD")</t>
  </si>
  <si>
    <t>=NF($O1225,"STATECD")</t>
  </si>
  <si>
    <t>=NF($O1226,"STATECD")</t>
  </si>
  <si>
    <t>=NF($O1221,"CHEKDATE")</t>
  </si>
  <si>
    <t>=NF($O1222,"CHEKDATE")</t>
  </si>
  <si>
    <t>=NF($O1223,"CHEKDATE")</t>
  </si>
  <si>
    <t>=NF($O1224,"CHEKDATE")</t>
  </si>
  <si>
    <t>=NF($O1225,"CHEKDATE")</t>
  </si>
  <si>
    <t>=NF($O1226,"CHEKDATE")</t>
  </si>
  <si>
    <t>=NF($O1221,"UPRTRXAM")</t>
  </si>
  <si>
    <t>=NF($O1222,"UPRTRXAM")</t>
  </si>
  <si>
    <t>=NF($O1223,"UPRTRXAM")</t>
  </si>
  <si>
    <t>=NF($O1224,"UPRTRXAM")</t>
  </si>
  <si>
    <t>=NF($O1225,"UPRTRXAM")</t>
  </si>
  <si>
    <t>=NF($O1226,"UPRTRXAM")</t>
  </si>
  <si>
    <t>=NF($O1211,"PAYRATE")</t>
  </si>
  <si>
    <t>=NF($O1212,"PAYRATE")</t>
  </si>
  <si>
    <t>=NF($O1213,"PAYRATE")</t>
  </si>
  <si>
    <t>=NF($O1214,"PAYRATE")</t>
  </si>
  <si>
    <t>=NF($O1215,"PAYRATE")</t>
  </si>
  <si>
    <t>=NF($O1216,"PAYRATE")</t>
  </si>
  <si>
    <t>=NF($O1211,"PAYROLCD")</t>
  </si>
  <si>
    <t>=NF($O1212,"PAYROLCD")</t>
  </si>
  <si>
    <t>=NF($O1213,"PAYROLCD")</t>
  </si>
  <si>
    <t>=NF($O1214,"PAYROLCD")</t>
  </si>
  <si>
    <t>=NF($O1215,"PAYROLCD")</t>
  </si>
  <si>
    <t>=NF($O1216,"PAYROLCD")</t>
  </si>
  <si>
    <t>=NF($O1211,"STATECD")</t>
  </si>
  <si>
    <t>=NF($O1212,"STATECD")</t>
  </si>
  <si>
    <t>=NF($O1213,"STATECD")</t>
  </si>
  <si>
    <t>=NF($O1214,"STATECD")</t>
  </si>
  <si>
    <t>=NF($O1215,"STATECD")</t>
  </si>
  <si>
    <t>=NF($O1216,"STATECD")</t>
  </si>
  <si>
    <t>=NF($O1211,"CHEKDATE")</t>
  </si>
  <si>
    <t>=NF($O1212,"CHEKDATE")</t>
  </si>
  <si>
    <t>=NF($O1213,"CHEKDATE")</t>
  </si>
  <si>
    <t>=NF($O1214,"CHEKDATE")</t>
  </si>
  <si>
    <t>=NF($O1215,"CHEKDATE")</t>
  </si>
  <si>
    <t>=NF($O1216,"CHEKDATE")</t>
  </si>
  <si>
    <t>=NF($O1211,"UPRTRXAM")</t>
  </si>
  <si>
    <t>=NF($O1212,"UPRTRXAM")</t>
  </si>
  <si>
    <t>=NF($O1213,"UPRTRXAM")</t>
  </si>
  <si>
    <t>=NF($O1214,"UPRTRXAM")</t>
  </si>
  <si>
    <t>=NF($O1215,"UPRTRXAM")</t>
  </si>
  <si>
    <t>=NF($O1216,"UPRTRXAM")</t>
  </si>
  <si>
    <t>=NF($O1201,"PAYRATE")</t>
  </si>
  <si>
    <t>=NF($O1202,"PAYRATE")</t>
  </si>
  <si>
    <t>=NF($O1203,"PAYRATE")</t>
  </si>
  <si>
    <t>=NF($O1204,"PAYRATE")</t>
  </si>
  <si>
    <t>=NF($O1205,"PAYRATE")</t>
  </si>
  <si>
    <t>=NF($O1206,"PAYRATE")</t>
  </si>
  <si>
    <t>=NF($O1201,"PAYROLCD")</t>
  </si>
  <si>
    <t>=NF($O1202,"PAYROLCD")</t>
  </si>
  <si>
    <t>=NF($O1203,"PAYROLCD")</t>
  </si>
  <si>
    <t>=NF($O1204,"PAYROLCD")</t>
  </si>
  <si>
    <t>=NF($O1205,"PAYROLCD")</t>
  </si>
  <si>
    <t>=NF($O1206,"PAYROLCD")</t>
  </si>
  <si>
    <t>=NF($O1201,"STATECD")</t>
  </si>
  <si>
    <t>=NF($O1202,"STATECD")</t>
  </si>
  <si>
    <t>=NF($O1203,"STATECD")</t>
  </si>
  <si>
    <t>=NF($O1204,"STATECD")</t>
  </si>
  <si>
    <t>=NF($O1205,"STATECD")</t>
  </si>
  <si>
    <t>=NF($O1206,"STATECD")</t>
  </si>
  <si>
    <t>=NF($O1201,"CHEKDATE")</t>
  </si>
  <si>
    <t>=NF($O1202,"CHEKDATE")</t>
  </si>
  <si>
    <t>=NF($O1203,"CHEKDATE")</t>
  </si>
  <si>
    <t>=NF($O1204,"CHEKDATE")</t>
  </si>
  <si>
    <t>=NF($O1205,"CHEKDATE")</t>
  </si>
  <si>
    <t>=NF($O1206,"CHEKDATE")</t>
  </si>
  <si>
    <t>=NF($O1201,"UPRTRXAM")</t>
  </si>
  <si>
    <t>=NF($O1202,"UPRTRXAM")</t>
  </si>
  <si>
    <t>=NF($O1203,"UPRTRXAM")</t>
  </si>
  <si>
    <t>=NF($O1204,"UPRTRXAM")</t>
  </si>
  <si>
    <t>=NF($O1205,"UPRTRXAM")</t>
  </si>
  <si>
    <t>=NF($O1206,"UPRTRXAM")</t>
  </si>
  <si>
    <t>=NF($O1190,"PAYRATE")</t>
  </si>
  <si>
    <t>=NF($O1191,"PAYRATE")</t>
  </si>
  <si>
    <t>=NF($O1192,"PAYRATE")</t>
  </si>
  <si>
    <t>=NF($O1193,"PAYRATE")</t>
  </si>
  <si>
    <t>=NF($O1194,"PAYRATE")</t>
  </si>
  <si>
    <t>=NF($O1195,"PAYRATE")</t>
  </si>
  <si>
    <t>=NF($O1196,"PAYRATE")</t>
  </si>
  <si>
    <t>=NF($O1190,"PAYROLCD")</t>
  </si>
  <si>
    <t>=NF($O1191,"PAYROLCD")</t>
  </si>
  <si>
    <t>=NF($O1192,"PAYROLCD")</t>
  </si>
  <si>
    <t>=NF($O1193,"PAYROLCD")</t>
  </si>
  <si>
    <t>=NF($O1194,"PAYROLCD")</t>
  </si>
  <si>
    <t>=NF($O1195,"PAYROLCD")</t>
  </si>
  <si>
    <t>=NF($O1196,"PAYROLCD")</t>
  </si>
  <si>
    <t>=NF($O1190,"STATECD")</t>
  </si>
  <si>
    <t>=NF($O1191,"STATECD")</t>
  </si>
  <si>
    <t>=NF($O1192,"STATECD")</t>
  </si>
  <si>
    <t>=NF($O1193,"STATECD")</t>
  </si>
  <si>
    <t>=NF($O1194,"STATECD")</t>
  </si>
  <si>
    <t>=NF($O1195,"STATECD")</t>
  </si>
  <si>
    <t>=NF($O1196,"STATECD")</t>
  </si>
  <si>
    <t>=NF($O1190,"CHEKDATE")</t>
  </si>
  <si>
    <t>=NF($O1191,"CHEKDATE")</t>
  </si>
  <si>
    <t>=NF($O1192,"CHEKDATE")</t>
  </si>
  <si>
    <t>=NF($O1193,"CHEKDATE")</t>
  </si>
  <si>
    <t>=NF($O1194,"CHEKDATE")</t>
  </si>
  <si>
    <t>=NF($O1195,"CHEKDATE")</t>
  </si>
  <si>
    <t>=NF($O1196,"CHEKDATE")</t>
  </si>
  <si>
    <t>=NF($O1190,"UPRTRXAM")</t>
  </si>
  <si>
    <t>=NF($O1191,"UPRTRXAM")</t>
  </si>
  <si>
    <t>=NF($O1192,"UPRTRXAM")</t>
  </si>
  <si>
    <t>=NF($O1193,"UPRTRXAM")</t>
  </si>
  <si>
    <t>=NF($O1194,"UPRTRXAM")</t>
  </si>
  <si>
    <t>=NF($O1195,"UPRTRXAM")</t>
  </si>
  <si>
    <t>=NF($O1196,"UPRTRXAM")</t>
  </si>
  <si>
    <t>=NF($O1180,"PAYRATE")</t>
  </si>
  <si>
    <t>=NF($O1181,"PAYRATE")</t>
  </si>
  <si>
    <t>=NF($O1182,"PAYRATE")</t>
  </si>
  <si>
    <t>=NF($O1183,"PAYRATE")</t>
  </si>
  <si>
    <t>=NF($O1184,"PAYRATE")</t>
  </si>
  <si>
    <t>=NF($O1185,"PAYRATE")</t>
  </si>
  <si>
    <t>=NF($O1180,"PAYROLCD")</t>
  </si>
  <si>
    <t>=NF($O1181,"PAYROLCD")</t>
  </si>
  <si>
    <t>=NF($O1182,"PAYROLCD")</t>
  </si>
  <si>
    <t>=NF($O1183,"PAYROLCD")</t>
  </si>
  <si>
    <t>=NF($O1184,"PAYROLCD")</t>
  </si>
  <si>
    <t>=NF($O1185,"PAYROLCD")</t>
  </si>
  <si>
    <t>=NF($O1180,"STATECD")</t>
  </si>
  <si>
    <t>=NF($O1181,"STATECD")</t>
  </si>
  <si>
    <t>=NF($O1182,"STATECD")</t>
  </si>
  <si>
    <t>=NF($O1183,"STATECD")</t>
  </si>
  <si>
    <t>=NF($O1184,"STATECD")</t>
  </si>
  <si>
    <t>=NF($O1185,"STATECD")</t>
  </si>
  <si>
    <t>=NF($O1180,"CHEKDATE")</t>
  </si>
  <si>
    <t>=NF($O1181,"CHEKDATE")</t>
  </si>
  <si>
    <t>=NF($O1182,"CHEKDATE")</t>
  </si>
  <si>
    <t>=NF($O1183,"CHEKDATE")</t>
  </si>
  <si>
    <t>=NF($O1184,"CHEKDATE")</t>
  </si>
  <si>
    <t>=NF($O1185,"CHEKDATE")</t>
  </si>
  <si>
    <t>=NF($O1180,"UPRTRXAM")</t>
  </si>
  <si>
    <t>=NF($O1181,"UPRTRXAM")</t>
  </si>
  <si>
    <t>=NF($O1182,"UPRTRXAM")</t>
  </si>
  <si>
    <t>=NF($O1183,"UPRTRXAM")</t>
  </si>
  <si>
    <t>=NF($O1184,"UPRTRXAM")</t>
  </si>
  <si>
    <t>=NF($O1185,"UPRTRXAM")</t>
  </si>
  <si>
    <t>=NF($O1103,"PAYRATE")</t>
  </si>
  <si>
    <t>=NF($O1104,"PAYRATE")</t>
  </si>
  <si>
    <t>=NF($O1105,"PAYRATE")</t>
  </si>
  <si>
    <t>=NF($O1106,"PAYRATE")</t>
  </si>
  <si>
    <t>=NF($O1107,"PAYRATE")</t>
  </si>
  <si>
    <t>=NF($O1103,"PAYROLCD")</t>
  </si>
  <si>
    <t>=NF($O1104,"PAYROLCD")</t>
  </si>
  <si>
    <t>=NF($O1105,"PAYROLCD")</t>
  </si>
  <si>
    <t>=NF($O1106,"PAYROLCD")</t>
  </si>
  <si>
    <t>=NF($O1107,"PAYROLCD")</t>
  </si>
  <si>
    <t>=NF($O1103,"STATECD")</t>
  </si>
  <si>
    <t>=NF($O1104,"STATECD")</t>
  </si>
  <si>
    <t>=NF($O1105,"STATECD")</t>
  </si>
  <si>
    <t>=NF($O1106,"STATECD")</t>
  </si>
  <si>
    <t>=NF($O1107,"STATECD")</t>
  </si>
  <si>
    <t>=NF($O1103,"CHEKDATE")</t>
  </si>
  <si>
    <t>=NF($O1104,"CHEKDATE")</t>
  </si>
  <si>
    <t>=NF($O1105,"CHEKDATE")</t>
  </si>
  <si>
    <t>=NF($O1106,"CHEKDATE")</t>
  </si>
  <si>
    <t>=NF($O1107,"CHEKDATE")</t>
  </si>
  <si>
    <t>=NF($O1103,"UPRTRXAM")</t>
  </si>
  <si>
    <t>=NF($O1104,"UPRTRXAM")</t>
  </si>
  <si>
    <t>=NF($O1105,"UPRTRXAM")</t>
  </si>
  <si>
    <t>=NF($O1106,"UPRTRXAM")</t>
  </si>
  <si>
    <t>=NF($O1107,"UPRTRXAM")</t>
  </si>
  <si>
    <t>=NF($O1148,"PAYRATE")</t>
  </si>
  <si>
    <t>=NF($O1149,"PAYRATE")</t>
  </si>
  <si>
    <t>=NF($O1150,"PAYRATE")</t>
  </si>
  <si>
    <t>=NF($O1151,"PAYRATE")</t>
  </si>
  <si>
    <t>=NF($O1152,"PAYRATE")</t>
  </si>
  <si>
    <t>=NF($O1148,"PAYROLCD")</t>
  </si>
  <si>
    <t>=NF($O1149,"PAYROLCD")</t>
  </si>
  <si>
    <t>=NF($O1150,"PAYROLCD")</t>
  </si>
  <si>
    <t>=NF($O1151,"PAYROLCD")</t>
  </si>
  <si>
    <t>=NF($O1152,"PAYROLCD")</t>
  </si>
  <si>
    <t>=NF($O1148,"STATECD")</t>
  </si>
  <si>
    <t>=NF($O1149,"STATECD")</t>
  </si>
  <si>
    <t>=NF($O1150,"STATECD")</t>
  </si>
  <si>
    <t>=NF($O1151,"STATECD")</t>
  </si>
  <si>
    <t>=NF($O1152,"STATECD")</t>
  </si>
  <si>
    <t>=NF($O1148,"CHEKDATE")</t>
  </si>
  <si>
    <t>=NF($O1149,"CHEKDATE")</t>
  </si>
  <si>
    <t>=NF($O1150,"CHEKDATE")</t>
  </si>
  <si>
    <t>=NF($O1151,"CHEKDATE")</t>
  </si>
  <si>
    <t>=NF($O1152,"CHEKDATE")</t>
  </si>
  <si>
    <t>=NF($O1148,"UPRTRXAM")</t>
  </si>
  <si>
    <t>=NF($O1149,"UPRTRXAM")</t>
  </si>
  <si>
    <t>=NF($O1150,"UPRTRXAM")</t>
  </si>
  <si>
    <t>=NF($O1151,"UPRTRXAM")</t>
  </si>
  <si>
    <t>=NF($O1152,"UPRTRXAM")</t>
  </si>
  <si>
    <t>=NF($O1139,"PAYRATE")</t>
  </si>
  <si>
    <t>=NF($O1140,"PAYRATE")</t>
  </si>
  <si>
    <t>=NF($O1141,"PAYRATE")</t>
  </si>
  <si>
    <t>=NF($O1142,"PAYRATE")</t>
  </si>
  <si>
    <t>=NF($O1143,"PAYRATE")</t>
  </si>
  <si>
    <t>=NF($O1139,"PAYROLCD")</t>
  </si>
  <si>
    <t>=NF($O1140,"PAYROLCD")</t>
  </si>
  <si>
    <t>=NF($O1141,"PAYROLCD")</t>
  </si>
  <si>
    <t>=NF($O1142,"PAYROLCD")</t>
  </si>
  <si>
    <t>=NF($O1143,"PAYROLCD")</t>
  </si>
  <si>
    <t>=NF($O1139,"STATECD")</t>
  </si>
  <si>
    <t>=NF($O1140,"STATECD")</t>
  </si>
  <si>
    <t>=NF($O1141,"STATECD")</t>
  </si>
  <si>
    <t>=NF($O1142,"STATECD")</t>
  </si>
  <si>
    <t>=NF($O1143,"STATECD")</t>
  </si>
  <si>
    <t>=NF($O1139,"CHEKDATE")</t>
  </si>
  <si>
    <t>=NF($O1140,"CHEKDATE")</t>
  </si>
  <si>
    <t>=NF($O1141,"CHEKDATE")</t>
  </si>
  <si>
    <t>=NF($O1142,"CHEKDATE")</t>
  </si>
  <si>
    <t>=NF($O1143,"CHEKDATE")</t>
  </si>
  <si>
    <t>=NF($O1139,"UPRTRXAM")</t>
  </si>
  <si>
    <t>=NF($O1140,"UPRTRXAM")</t>
  </si>
  <si>
    <t>=NF($O1141,"UPRTRXAM")</t>
  </si>
  <si>
    <t>=NF($O1142,"UPRTRXAM")</t>
  </si>
  <si>
    <t>=NF($O1143,"UPRTRXAM")</t>
  </si>
  <si>
    <t>=NF($O1130,"PAYRATE")</t>
  </si>
  <si>
    <t>=NF($O1131,"PAYRATE")</t>
  </si>
  <si>
    <t>=NF($O1132,"PAYRATE")</t>
  </si>
  <si>
    <t>=NF($O1133,"PAYRATE")</t>
  </si>
  <si>
    <t>=NF($O1134,"PAYRATE")</t>
  </si>
  <si>
    <t>=NF($O1130,"PAYROLCD")</t>
  </si>
  <si>
    <t>=NF($O1131,"PAYROLCD")</t>
  </si>
  <si>
    <t>=NF($O1132,"PAYROLCD")</t>
  </si>
  <si>
    <t>=NF($O1133,"PAYROLCD")</t>
  </si>
  <si>
    <t>=NF($O1134,"PAYROLCD")</t>
  </si>
  <si>
    <t>=NF($O1130,"STATECD")</t>
  </si>
  <si>
    <t>=NF($O1131,"STATECD")</t>
  </si>
  <si>
    <t>=NF($O1132,"STATECD")</t>
  </si>
  <si>
    <t>=NF($O1133,"STATECD")</t>
  </si>
  <si>
    <t>=NF($O1134,"STATECD")</t>
  </si>
  <si>
    <t>=NF($O1130,"CHEKDATE")</t>
  </si>
  <si>
    <t>=NF($O1131,"CHEKDATE")</t>
  </si>
  <si>
    <t>=NF($O1132,"CHEKDATE")</t>
  </si>
  <si>
    <t>=NF($O1133,"CHEKDATE")</t>
  </si>
  <si>
    <t>=NF($O1134,"CHEKDATE")</t>
  </si>
  <si>
    <t>=NF($O1130,"UPRTRXAM")</t>
  </si>
  <si>
    <t>=NF($O1131,"UPRTRXAM")</t>
  </si>
  <si>
    <t>=NF($O1132,"UPRTRXAM")</t>
  </si>
  <si>
    <t>=NF($O1133,"UPRTRXAM")</t>
  </si>
  <si>
    <t>=NF($O1134,"UPRTRXAM")</t>
  </si>
  <si>
    <t>=NF($O1121,"PAYRATE")</t>
  </si>
  <si>
    <t>=NF($O1122,"PAYRATE")</t>
  </si>
  <si>
    <t>=NF($O1123,"PAYRATE")</t>
  </si>
  <si>
    <t>=NF($O1124,"PAYRATE")</t>
  </si>
  <si>
    <t>=NF($O1125,"PAYRATE")</t>
  </si>
  <si>
    <t>=NF($O1121,"PAYROLCD")</t>
  </si>
  <si>
    <t>=NF($O1122,"PAYROLCD")</t>
  </si>
  <si>
    <t>=NF($O1123,"PAYROLCD")</t>
  </si>
  <si>
    <t>=NF($O1124,"PAYROLCD")</t>
  </si>
  <si>
    <t>=NF($O1125,"PAYROLCD")</t>
  </si>
  <si>
    <t>=NF($O1121,"STATECD")</t>
  </si>
  <si>
    <t>=NF($O1122,"STATECD")</t>
  </si>
  <si>
    <t>=NF($O1123,"STATECD")</t>
  </si>
  <si>
    <t>=NF($O1124,"STATECD")</t>
  </si>
  <si>
    <t>=NF($O1125,"STATECD")</t>
  </si>
  <si>
    <t>=NF($O1121,"CHEKDATE")</t>
  </si>
  <si>
    <t>=NF($O1122,"CHEKDATE")</t>
  </si>
  <si>
    <t>=NF($O1123,"CHEKDATE")</t>
  </si>
  <si>
    <t>=NF($O1124,"CHEKDATE")</t>
  </si>
  <si>
    <t>=NF($O1125,"CHEKDATE")</t>
  </si>
  <si>
    <t>=NF($O1121,"UPRTRXAM")</t>
  </si>
  <si>
    <t>=NF($O1122,"UPRTRXAM")</t>
  </si>
  <si>
    <t>=NF($O1123,"UPRTRXAM")</t>
  </si>
  <si>
    <t>=NF($O1124,"UPRTRXAM")</t>
  </si>
  <si>
    <t>=NF($O1125,"UPRTRXAM")</t>
  </si>
  <si>
    <t>=NF($O1112,"PAYRATE")</t>
  </si>
  <si>
    <t>=NF($O1113,"PAYRATE")</t>
  </si>
  <si>
    <t>=NF($O1114,"PAYRATE")</t>
  </si>
  <si>
    <t>=NF($O1115,"PAYRATE")</t>
  </si>
  <si>
    <t>=NF($O1116,"PAYRATE")</t>
  </si>
  <si>
    <t>=NF($O1112,"PAYROLCD")</t>
  </si>
  <si>
    <t>=NF($O1113,"PAYROLCD")</t>
  </si>
  <si>
    <t>=NF($O1114,"PAYROLCD")</t>
  </si>
  <si>
    <t>=NF($O1115,"PAYROLCD")</t>
  </si>
  <si>
    <t>=NF($O1116,"PAYROLCD")</t>
  </si>
  <si>
    <t>=NF($O1112,"STATECD")</t>
  </si>
  <si>
    <t>=NF($O1113,"STATECD")</t>
  </si>
  <si>
    <t>=NF($O1114,"STATECD")</t>
  </si>
  <si>
    <t>=NF($O1115,"STATECD")</t>
  </si>
  <si>
    <t>=NF($O1116,"STATECD")</t>
  </si>
  <si>
    <t>=NF($O1112,"CHEKDATE")</t>
  </si>
  <si>
    <t>=NF($O1113,"CHEKDATE")</t>
  </si>
  <si>
    <t>=NF($O1114,"CHEKDATE")</t>
  </si>
  <si>
    <t>=NF($O1115,"CHEKDATE")</t>
  </si>
  <si>
    <t>=NF($O1116,"CHEKDATE")</t>
  </si>
  <si>
    <t>=NF($O1112,"UPRTRXAM")</t>
  </si>
  <si>
    <t>=NF($O1113,"UPRTRXAM")</t>
  </si>
  <si>
    <t>=NF($O1114,"UPRTRXAM")</t>
  </si>
  <si>
    <t>=NF($O1115,"UPRTRXAM")</t>
  </si>
  <si>
    <t>=NF($O1116,"UPRTRXAM")</t>
  </si>
  <si>
    <t>=NF($O1045,"PAYRATE")</t>
  </si>
  <si>
    <t>=NF($O1046,"PAYRATE")</t>
  </si>
  <si>
    <t>=NF($O1047,"PAYRATE")</t>
  </si>
  <si>
    <t>=NF($O1048,"PAYRATE")</t>
  </si>
  <si>
    <t>=NF($O1049,"PAYRATE")</t>
  </si>
  <si>
    <t>=NF($O1045,"PAYROLCD")</t>
  </si>
  <si>
    <t>=NF($O1046,"PAYROLCD")</t>
  </si>
  <si>
    <t>=NF($O1047,"PAYROLCD")</t>
  </si>
  <si>
    <t>=NF($O1048,"PAYROLCD")</t>
  </si>
  <si>
    <t>=NF($O1049,"PAYROLCD")</t>
  </si>
  <si>
    <t>=NF($O1045,"STATECD")</t>
  </si>
  <si>
    <t>=NF($O1046,"STATECD")</t>
  </si>
  <si>
    <t>=NF($O1047,"STATECD")</t>
  </si>
  <si>
    <t>=NF($O1048,"STATECD")</t>
  </si>
  <si>
    <t>=NF($O1049,"STATECD")</t>
  </si>
  <si>
    <t>=NF($O1045,"CHEKDATE")</t>
  </si>
  <si>
    <t>=NF($O1046,"CHEKDATE")</t>
  </si>
  <si>
    <t>=NF($O1047,"CHEKDATE")</t>
  </si>
  <si>
    <t>=NF($O1048,"CHEKDATE")</t>
  </si>
  <si>
    <t>=NF($O1049,"CHEKDATE")</t>
  </si>
  <si>
    <t>=NF($O1045,"UPRTRXAM")</t>
  </si>
  <si>
    <t>=NF($O1046,"UPRTRXAM")</t>
  </si>
  <si>
    <t>=NF($O1047,"UPRTRXAM")</t>
  </si>
  <si>
    <t>=NF($O1048,"UPRTRXAM")</t>
  </si>
  <si>
    <t>=NF($O1049,"UPRTRXAM")</t>
  </si>
  <si>
    <t>=NF($O1091,"PAYRATE")</t>
  </si>
  <si>
    <t>=NF($O1092,"PAYRATE")</t>
  </si>
  <si>
    <t>=NF($O1093,"PAYRATE")</t>
  </si>
  <si>
    <t>=NF($O1094,"PAYRATE")</t>
  </si>
  <si>
    <t>=NF($O1095,"PAYRATE")</t>
  </si>
  <si>
    <t>=NF($O1091,"PAYROLCD")</t>
  </si>
  <si>
    <t>=NF($O1092,"PAYROLCD")</t>
  </si>
  <si>
    <t>=NF($O1093,"PAYROLCD")</t>
  </si>
  <si>
    <t>=NF($O1094,"PAYROLCD")</t>
  </si>
  <si>
    <t>=NF($O1095,"PAYROLCD")</t>
  </si>
  <si>
    <t>=NF($O1091,"STATECD")</t>
  </si>
  <si>
    <t>=NF($O1092,"STATECD")</t>
  </si>
  <si>
    <t>=NF($O1093,"STATECD")</t>
  </si>
  <si>
    <t>=NF($O1094,"STATECD")</t>
  </si>
  <si>
    <t>=NF($O1095,"STATECD")</t>
  </si>
  <si>
    <t>=NF($O1091,"CHEKDATE")</t>
  </si>
  <si>
    <t>=NF($O1092,"CHEKDATE")</t>
  </si>
  <si>
    <t>=NF($O1093,"CHEKDATE")</t>
  </si>
  <si>
    <t>=NF($O1094,"CHEKDATE")</t>
  </si>
  <si>
    <t>=NF($O1095,"CHEKDATE")</t>
  </si>
  <si>
    <t>=NF($O1091,"UPRTRXAM")</t>
  </si>
  <si>
    <t>=NF($O1092,"UPRTRXAM")</t>
  </si>
  <si>
    <t>=NF($O1093,"UPRTRXAM")</t>
  </si>
  <si>
    <t>=NF($O1094,"UPRTRXAM")</t>
  </si>
  <si>
    <t>=NF($O1095,"UPRTRXAM")</t>
  </si>
  <si>
    <t>=NF($O1082,"PAYRATE")</t>
  </si>
  <si>
    <t>=NF($O1083,"PAYRATE")</t>
  </si>
  <si>
    <t>=NF($O1084,"PAYRATE")</t>
  </si>
  <si>
    <t>=NF($O1085,"PAYRATE")</t>
  </si>
  <si>
    <t>=NF($O1086,"PAYRATE")</t>
  </si>
  <si>
    <t>=NF($O1082,"PAYROLCD")</t>
  </si>
  <si>
    <t>=NF($O1083,"PAYROLCD")</t>
  </si>
  <si>
    <t>=NF($O1084,"PAYROLCD")</t>
  </si>
  <si>
    <t>=NF($O1085,"PAYROLCD")</t>
  </si>
  <si>
    <t>=NF($O1086,"PAYROLCD")</t>
  </si>
  <si>
    <t>=NF($O1082,"STATECD")</t>
  </si>
  <si>
    <t>=NF($O1083,"STATECD")</t>
  </si>
  <si>
    <t>=NF($O1084,"STATECD")</t>
  </si>
  <si>
    <t>=NF($O1085,"STATECD")</t>
  </si>
  <si>
    <t>=NF($O1086,"STATECD")</t>
  </si>
  <si>
    <t>=NF($O1082,"CHEKDATE")</t>
  </si>
  <si>
    <t>=NF($O1083,"CHEKDATE")</t>
  </si>
  <si>
    <t>=NF($O1084,"CHEKDATE")</t>
  </si>
  <si>
    <t>=NF($O1085,"CHEKDATE")</t>
  </si>
  <si>
    <t>=NF($O1086,"CHEKDATE")</t>
  </si>
  <si>
    <t>=NF($O1082,"UPRTRXAM")</t>
  </si>
  <si>
    <t>=NF($O1083,"UPRTRXAM")</t>
  </si>
  <si>
    <t>=NF($O1084,"UPRTRXAM")</t>
  </si>
  <si>
    <t>=NF($O1085,"UPRTRXAM")</t>
  </si>
  <si>
    <t>=NF($O1086,"UPRTRXAM")</t>
  </si>
  <si>
    <t>=NF($O1072,"PAYRATE")</t>
  </si>
  <si>
    <t>=NF($O1073,"PAYRATE")</t>
  </si>
  <si>
    <t>=NF($O1074,"PAYRATE")</t>
  </si>
  <si>
    <t>=NF($O1075,"PAYRATE")</t>
  </si>
  <si>
    <t>=NF($O1076,"PAYRATE")</t>
  </si>
  <si>
    <t>=NF($O1077,"PAYRATE")</t>
  </si>
  <si>
    <t>=NF($O1072,"PAYROLCD")</t>
  </si>
  <si>
    <t>=NF($O1073,"PAYROLCD")</t>
  </si>
  <si>
    <t>=NF($O1074,"PAYROLCD")</t>
  </si>
  <si>
    <t>=NF($O1075,"PAYROLCD")</t>
  </si>
  <si>
    <t>=NF($O1076,"PAYROLCD")</t>
  </si>
  <si>
    <t>=NF($O1077,"PAYROLCD")</t>
  </si>
  <si>
    <t>=NF($O1072,"STATECD")</t>
  </si>
  <si>
    <t>=NF($O1073,"STATECD")</t>
  </si>
  <si>
    <t>=NF($O1074,"STATECD")</t>
  </si>
  <si>
    <t>=NF($O1075,"STATECD")</t>
  </si>
  <si>
    <t>=NF($O1076,"STATECD")</t>
  </si>
  <si>
    <t>=NF($O1077,"STATECD")</t>
  </si>
  <si>
    <t>=NF($O1072,"CHEKDATE")</t>
  </si>
  <si>
    <t>=NF($O1073,"CHEKDATE")</t>
  </si>
  <si>
    <t>=NF($O1074,"CHEKDATE")</t>
  </si>
  <si>
    <t>=NF($O1075,"CHEKDATE")</t>
  </si>
  <si>
    <t>=NF($O1076,"CHEKDATE")</t>
  </si>
  <si>
    <t>=NF($O1077,"CHEKDATE")</t>
  </si>
  <si>
    <t>=NF($O1072,"UPRTRXAM")</t>
  </si>
  <si>
    <t>=NF($O1073,"UPRTRXAM")</t>
  </si>
  <si>
    <t>=NF($O1074,"UPRTRXAM")</t>
  </si>
  <si>
    <t>=NF($O1075,"UPRTRXAM")</t>
  </si>
  <si>
    <t>=NF($O1076,"UPRTRXAM")</t>
  </si>
  <si>
    <t>=NF($O1077,"UPRTRXAM")</t>
  </si>
  <si>
    <t>=NF($O1063,"PAYRATE")</t>
  </si>
  <si>
    <t>=NF($O1064,"PAYRATE")</t>
  </si>
  <si>
    <t>=NF($O1065,"PAYRATE")</t>
  </si>
  <si>
    <t>=NF($O1066,"PAYRATE")</t>
  </si>
  <si>
    <t>=NF($O1067,"PAYRATE")</t>
  </si>
  <si>
    <t>=NF($O1063,"PAYROLCD")</t>
  </si>
  <si>
    <t>=NF($O1064,"PAYROLCD")</t>
  </si>
  <si>
    <t>=NF($O1065,"PAYROLCD")</t>
  </si>
  <si>
    <t>=NF($O1066,"PAYROLCD")</t>
  </si>
  <si>
    <t>=NF($O1067,"PAYROLCD")</t>
  </si>
  <si>
    <t>=NF($O1063,"STATECD")</t>
  </si>
  <si>
    <t>=NF($O1064,"STATECD")</t>
  </si>
  <si>
    <t>=NF($O1065,"STATECD")</t>
  </si>
  <si>
    <t>=NF($O1066,"STATECD")</t>
  </si>
  <si>
    <t>=NF($O1067,"STATECD")</t>
  </si>
  <si>
    <t>=NF($O1063,"CHEKDATE")</t>
  </si>
  <si>
    <t>=NF($O1064,"CHEKDATE")</t>
  </si>
  <si>
    <t>=NF($O1065,"CHEKDATE")</t>
  </si>
  <si>
    <t>=NF($O1066,"CHEKDATE")</t>
  </si>
  <si>
    <t>=NF($O1067,"CHEKDATE")</t>
  </si>
  <si>
    <t>=NF($O1063,"UPRTRXAM")</t>
  </si>
  <si>
    <t>=NF($O1064,"UPRTRXAM")</t>
  </si>
  <si>
    <t>=NF($O1065,"UPRTRXAM")</t>
  </si>
  <si>
    <t>=NF($O1066,"UPRTRXAM")</t>
  </si>
  <si>
    <t>=NF($O1067,"UPRTRXAM")</t>
  </si>
  <si>
    <t>=NF($O1054,"PAYRATE")</t>
  </si>
  <si>
    <t>=NF($O1055,"PAYRATE")</t>
  </si>
  <si>
    <t>=NF($O1056,"PAYRATE")</t>
  </si>
  <si>
    <t>=NF($O1057,"PAYRATE")</t>
  </si>
  <si>
    <t>=NF($O1058,"PAYRATE")</t>
  </si>
  <si>
    <t>=NF($O1054,"PAYROLCD")</t>
  </si>
  <si>
    <t>=NF($O1055,"PAYROLCD")</t>
  </si>
  <si>
    <t>=NF($O1056,"PAYROLCD")</t>
  </si>
  <si>
    <t>=NF($O1057,"PAYROLCD")</t>
  </si>
  <si>
    <t>=NF($O1058,"PAYROLCD")</t>
  </si>
  <si>
    <t>=NF($O1054,"STATECD")</t>
  </si>
  <si>
    <t>=NF($O1055,"STATECD")</t>
  </si>
  <si>
    <t>=NF($O1056,"STATECD")</t>
  </si>
  <si>
    <t>=NF($O1057,"STATECD")</t>
  </si>
  <si>
    <t>=NF($O1058,"STATECD")</t>
  </si>
  <si>
    <t>=NF($O1054,"CHEKDATE")</t>
  </si>
  <si>
    <t>=NF($O1055,"CHEKDATE")</t>
  </si>
  <si>
    <t>=NF($O1056,"CHEKDATE")</t>
  </si>
  <si>
    <t>=NF($O1057,"CHEKDATE")</t>
  </si>
  <si>
    <t>=NF($O1058,"CHEKDATE")</t>
  </si>
  <si>
    <t>=NF($O1054,"UPRTRXAM")</t>
  </si>
  <si>
    <t>=NF($O1055,"UPRTRXAM")</t>
  </si>
  <si>
    <t>=NF($O1056,"UPRTRXAM")</t>
  </si>
  <si>
    <t>=NF($O1057,"UPRTRXAM")</t>
  </si>
  <si>
    <t>=NF($O1058,"UPRTRXAM")</t>
  </si>
  <si>
    <t>=NF($O978,"PAYRATE")</t>
  </si>
  <si>
    <t>=NF($O979,"PAYRATE")</t>
  </si>
  <si>
    <t>=NF($O980,"PAYRATE")</t>
  </si>
  <si>
    <t>=NF($O981,"PAYRATE")</t>
  </si>
  <si>
    <t>=NF($O982,"PAYRATE")</t>
  </si>
  <si>
    <t>=NF($O978,"PAYROLCD")</t>
  </si>
  <si>
    <t>=NF($O979,"PAYROLCD")</t>
  </si>
  <si>
    <t>=NF($O980,"PAYROLCD")</t>
  </si>
  <si>
    <t>=NF($O981,"PAYROLCD")</t>
  </si>
  <si>
    <t>=NF($O982,"PAYROLCD")</t>
  </si>
  <si>
    <t>=NF($O978,"STATECD")</t>
  </si>
  <si>
    <t>=NF($O979,"STATECD")</t>
  </si>
  <si>
    <t>=NF($O980,"STATECD")</t>
  </si>
  <si>
    <t>=NF($O981,"STATECD")</t>
  </si>
  <si>
    <t>=NF($O982,"STATECD")</t>
  </si>
  <si>
    <t>=NF($O978,"CHEKDATE")</t>
  </si>
  <si>
    <t>=NF($O979,"CHEKDATE")</t>
  </si>
  <si>
    <t>=NF($O980,"CHEKDATE")</t>
  </si>
  <si>
    <t>=NF($O981,"CHEKDATE")</t>
  </si>
  <si>
    <t>=NF($O982,"CHEKDATE")</t>
  </si>
  <si>
    <t>=NF($O978,"UPRTRXAM")</t>
  </si>
  <si>
    <t>=NF($O979,"UPRTRXAM")</t>
  </si>
  <si>
    <t>=NF($O980,"UPRTRXAM")</t>
  </si>
  <si>
    <t>=NF($O981,"UPRTRXAM")</t>
  </si>
  <si>
    <t>=NF($O982,"UPRTRXAM")</t>
  </si>
  <si>
    <t>=NF($O1023,"PAYRATE")</t>
  </si>
  <si>
    <t>=NF($O1024,"PAYRATE")</t>
  </si>
  <si>
    <t>=NF($O1025,"PAYRATE")</t>
  </si>
  <si>
    <t>=NF($O1026,"PAYRATE")</t>
  </si>
  <si>
    <t>=NF($O1027,"PAYRATE")</t>
  </si>
  <si>
    <t>=NF($O1023,"PAYROLCD")</t>
  </si>
  <si>
    <t>=NF($O1024,"PAYROLCD")</t>
  </si>
  <si>
    <t>=NF($O1025,"PAYROLCD")</t>
  </si>
  <si>
    <t>=NF($O1026,"PAYROLCD")</t>
  </si>
  <si>
    <t>=NF($O1027,"PAYROLCD")</t>
  </si>
  <si>
    <t>=NF($O1023,"STATECD")</t>
  </si>
  <si>
    <t>=NF($O1024,"STATECD")</t>
  </si>
  <si>
    <t>=NF($O1025,"STATECD")</t>
  </si>
  <si>
    <t>=NF($O1026,"STATECD")</t>
  </si>
  <si>
    <t>=NF($O1027,"STATECD")</t>
  </si>
  <si>
    <t>=NF($O1023,"CHEKDATE")</t>
  </si>
  <si>
    <t>=NF($O1024,"CHEKDATE")</t>
  </si>
  <si>
    <t>=NF($O1025,"CHEKDATE")</t>
  </si>
  <si>
    <t>=NF($O1026,"CHEKDATE")</t>
  </si>
  <si>
    <t>=NF($O1027,"CHEKDATE")</t>
  </si>
  <si>
    <t>=NF($O1023,"UPRTRXAM")</t>
  </si>
  <si>
    <t>=NF($O1024,"UPRTRXAM")</t>
  </si>
  <si>
    <t>=NF($O1025,"UPRTRXAM")</t>
  </si>
  <si>
    <t>=NF($O1026,"UPRTRXAM")</t>
  </si>
  <si>
    <t>=NF($O1027,"UPRTRXAM")</t>
  </si>
  <si>
    <t>=NF($O1014,"PAYRATE")</t>
  </si>
  <si>
    <t>=NF($O1015,"PAYRATE")</t>
  </si>
  <si>
    <t>=NF($O1016,"PAYRATE")</t>
  </si>
  <si>
    <t>=NF($O1017,"PAYRATE")</t>
  </si>
  <si>
    <t>=NF($O1018,"PAYRATE")</t>
  </si>
  <si>
    <t>=NF($O1014,"PAYROLCD")</t>
  </si>
  <si>
    <t>=NF($O1015,"PAYROLCD")</t>
  </si>
  <si>
    <t>=NF($O1016,"PAYROLCD")</t>
  </si>
  <si>
    <t>=NF($O1017,"PAYROLCD")</t>
  </si>
  <si>
    <t>=NF($O1018,"PAYROLCD")</t>
  </si>
  <si>
    <t>=NF($O1014,"STATECD")</t>
  </si>
  <si>
    <t>=NF($O1015,"STATECD")</t>
  </si>
  <si>
    <t>=NF($O1016,"STATECD")</t>
  </si>
  <si>
    <t>=NF($O1017,"STATECD")</t>
  </si>
  <si>
    <t>=NF($O1018,"STATECD")</t>
  </si>
  <si>
    <t>=NF($O1014,"CHEKDATE")</t>
  </si>
  <si>
    <t>=NF($O1015,"CHEKDATE")</t>
  </si>
  <si>
    <t>=NF($O1016,"CHEKDATE")</t>
  </si>
  <si>
    <t>=NF($O1017,"CHEKDATE")</t>
  </si>
  <si>
    <t>=NF($O1018,"CHEKDATE")</t>
  </si>
  <si>
    <t>=NF($O1014,"UPRTRXAM")</t>
  </si>
  <si>
    <t>=NF($O1015,"UPRTRXAM")</t>
  </si>
  <si>
    <t>=NF($O1016,"UPRTRXAM")</t>
  </si>
  <si>
    <t>=NF($O1017,"UPRTRXAM")</t>
  </si>
  <si>
    <t>=NF($O1018,"UPRTRXAM")</t>
  </si>
  <si>
    <t>=NF($O1005,"PAYRATE")</t>
  </si>
  <si>
    <t>=NF($O1006,"PAYRATE")</t>
  </si>
  <si>
    <t>=NF($O1007,"PAYRATE")</t>
  </si>
  <si>
    <t>=NF($O1008,"PAYRATE")</t>
  </si>
  <si>
    <t>=NF($O1009,"PAYRATE")</t>
  </si>
  <si>
    <t>=NF($O1005,"PAYROLCD")</t>
  </si>
  <si>
    <t>=NF($O1006,"PAYROLCD")</t>
  </si>
  <si>
    <t>=NF($O1007,"PAYROLCD")</t>
  </si>
  <si>
    <t>=NF($O1008,"PAYROLCD")</t>
  </si>
  <si>
    <t>=NF($O1009,"PAYROLCD")</t>
  </si>
  <si>
    <t>=NF($O1005,"STATECD")</t>
  </si>
  <si>
    <t>=NF($O1006,"STATECD")</t>
  </si>
  <si>
    <t>=NF($O1007,"STATECD")</t>
  </si>
  <si>
    <t>=NF($O1008,"STATECD")</t>
  </si>
  <si>
    <t>=NF($O1009,"STATECD")</t>
  </si>
  <si>
    <t>=NF($O1005,"CHEKDATE")</t>
  </si>
  <si>
    <t>=NF($O1006,"CHEKDATE")</t>
  </si>
  <si>
    <t>=NF($O1007,"CHEKDATE")</t>
  </si>
  <si>
    <t>=NF($O1008,"CHEKDATE")</t>
  </si>
  <si>
    <t>=NF($O1009,"CHEKDATE")</t>
  </si>
  <si>
    <t>=NF($O1005,"UPRTRXAM")</t>
  </si>
  <si>
    <t>=NF($O1006,"UPRTRXAM")</t>
  </si>
  <si>
    <t>=NF($O1007,"UPRTRXAM")</t>
  </si>
  <si>
    <t>=NF($O1008,"UPRTRXAM")</t>
  </si>
  <si>
    <t>=NF($O1009,"UPRTRXAM")</t>
  </si>
  <si>
    <t>=NF($O996,"PAYRATE")</t>
  </si>
  <si>
    <t>=NF($O997,"PAYRATE")</t>
  </si>
  <si>
    <t>=NF($O998,"PAYRATE")</t>
  </si>
  <si>
    <t>=NF($O999,"PAYRATE")</t>
  </si>
  <si>
    <t>=NF($O1000,"PAYRATE")</t>
  </si>
  <si>
    <t>=NF($O996,"PAYROLCD")</t>
  </si>
  <si>
    <t>=NF($O997,"PAYROLCD")</t>
  </si>
  <si>
    <t>=NF($O998,"PAYROLCD")</t>
  </si>
  <si>
    <t>=NF($O999,"PAYROLCD")</t>
  </si>
  <si>
    <t>=NF($O1000,"PAYROLCD")</t>
  </si>
  <si>
    <t>=NF($O996,"STATECD")</t>
  </si>
  <si>
    <t>=NF($O997,"STATECD")</t>
  </si>
  <si>
    <t>=NF($O998,"STATECD")</t>
  </si>
  <si>
    <t>=NF($O999,"STATECD")</t>
  </si>
  <si>
    <t>=NF($O1000,"STATECD")</t>
  </si>
  <si>
    <t>=NF($O996,"CHEKDATE")</t>
  </si>
  <si>
    <t>=NF($O997,"CHEKDATE")</t>
  </si>
  <si>
    <t>=NF($O998,"CHEKDATE")</t>
  </si>
  <si>
    <t>=NF($O999,"CHEKDATE")</t>
  </si>
  <si>
    <t>=NF($O1000,"CHEKDATE")</t>
  </si>
  <si>
    <t>=NF($O996,"UPRTRXAM")</t>
  </si>
  <si>
    <t>=NF($O997,"UPRTRXAM")</t>
  </si>
  <si>
    <t>=NF($O998,"UPRTRXAM")</t>
  </si>
  <si>
    <t>=NF($O999,"UPRTRXAM")</t>
  </si>
  <si>
    <t>=NF($O1000,"UPRTRXAM")</t>
  </si>
  <si>
    <t>=NF($O987,"PAYRATE")</t>
  </si>
  <si>
    <t>=NF($O988,"PAYRATE")</t>
  </si>
  <si>
    <t>=NF($O989,"PAYRATE")</t>
  </si>
  <si>
    <t>=NF($O990,"PAYRATE")</t>
  </si>
  <si>
    <t>=NF($O991,"PAYRATE")</t>
  </si>
  <si>
    <t>=NF($O987,"PAYROLCD")</t>
  </si>
  <si>
    <t>=NF($O988,"PAYROLCD")</t>
  </si>
  <si>
    <t>=NF($O989,"PAYROLCD")</t>
  </si>
  <si>
    <t>=NF($O990,"PAYROLCD")</t>
  </si>
  <si>
    <t>=NF($O991,"PAYROLCD")</t>
  </si>
  <si>
    <t>=NF($O987,"STATECD")</t>
  </si>
  <si>
    <t>=NF($O988,"STATECD")</t>
  </si>
  <si>
    <t>=NF($O989,"STATECD")</t>
  </si>
  <si>
    <t>=NF($O990,"STATECD")</t>
  </si>
  <si>
    <t>=NF($O991,"STATECD")</t>
  </si>
  <si>
    <t>=NF($O987,"CHEKDATE")</t>
  </si>
  <si>
    <t>=NF($O988,"CHEKDATE")</t>
  </si>
  <si>
    <t>=NF($O989,"CHEKDATE")</t>
  </si>
  <si>
    <t>=NF($O990,"CHEKDATE")</t>
  </si>
  <si>
    <t>=NF($O991,"CHEKDATE")</t>
  </si>
  <si>
    <t>=NF($O987,"UPRTRXAM")</t>
  </si>
  <si>
    <t>=NF($O988,"UPRTRXAM")</t>
  </si>
  <si>
    <t>=NF($O989,"UPRTRXAM")</t>
  </si>
  <si>
    <t>=NF($O990,"UPRTRXAM")</t>
  </si>
  <si>
    <t>=NF($O991,"UPRTRXAM")</t>
  </si>
  <si>
    <t>=NF($O514,"PAYRATE")</t>
  </si>
  <si>
    <t>=NF($O515,"PAYRATE")</t>
  </si>
  <si>
    <t>=NF($O516,"PAYRATE")</t>
  </si>
  <si>
    <t>=NF($O517,"PAYRATE")</t>
  </si>
  <si>
    <t>=NF($O518,"PAYRATE")</t>
  </si>
  <si>
    <t>=NF($O514,"PAYROLCD")</t>
  </si>
  <si>
    <t>=NF($O515,"PAYROLCD")</t>
  </si>
  <si>
    <t>=NF($O516,"PAYROLCD")</t>
  </si>
  <si>
    <t>=NF($O517,"PAYROLCD")</t>
  </si>
  <si>
    <t>=NF($O518,"PAYROLCD")</t>
  </si>
  <si>
    <t>=NF($O514,"STATECD")</t>
  </si>
  <si>
    <t>=NF($O515,"STATECD")</t>
  </si>
  <si>
    <t>=NF($O516,"STATECD")</t>
  </si>
  <si>
    <t>=NF($O517,"STATECD")</t>
  </si>
  <si>
    <t>=NF($O518,"STATECD")</t>
  </si>
  <si>
    <t>=NF($O514,"CHEKDATE")</t>
  </si>
  <si>
    <t>=NF($O515,"CHEKDATE")</t>
  </si>
  <si>
    <t>=NF($O516,"CHEKDATE")</t>
  </si>
  <si>
    <t>=NF($O517,"CHEKDATE")</t>
  </si>
  <si>
    <t>=NF($O518,"CHEKDATE")</t>
  </si>
  <si>
    <t>=NF($O514,"UPRTRXAM")</t>
  </si>
  <si>
    <t>=NF($O515,"UPRTRXAM")</t>
  </si>
  <si>
    <t>=NF($O516,"UPRTRXAM")</t>
  </si>
  <si>
    <t>=NF($O517,"UPRTRXAM")</t>
  </si>
  <si>
    <t>=NF($O518,"UPRTRXAM")</t>
  </si>
  <si>
    <t>=NF($O560,"PAYRATE")</t>
  </si>
  <si>
    <t>=NF($O561,"PAYRATE")</t>
  </si>
  <si>
    <t>=NF($O562,"PAYRATE")</t>
  </si>
  <si>
    <t>=NF($O563,"PAYRATE")</t>
  </si>
  <si>
    <t>=NF($O564,"PAYRATE")</t>
  </si>
  <si>
    <t>=NF($O560,"PAYROLCD")</t>
  </si>
  <si>
    <t>=NF($O561,"PAYROLCD")</t>
  </si>
  <si>
    <t>=NF($O562,"PAYROLCD")</t>
  </si>
  <si>
    <t>=NF($O563,"PAYROLCD")</t>
  </si>
  <si>
    <t>=NF($O564,"PAYROLCD")</t>
  </si>
  <si>
    <t>=NF($O560,"STATECD")</t>
  </si>
  <si>
    <t>=NF($O561,"STATECD")</t>
  </si>
  <si>
    <t>=NF($O562,"STATECD")</t>
  </si>
  <si>
    <t>=NF($O563,"STATECD")</t>
  </si>
  <si>
    <t>=NF($O564,"STATECD")</t>
  </si>
  <si>
    <t>=NF($O560,"CHEKDATE")</t>
  </si>
  <si>
    <t>=NF($O561,"CHEKDATE")</t>
  </si>
  <si>
    <t>=NF($O562,"CHEKDATE")</t>
  </si>
  <si>
    <t>=NF($O563,"CHEKDATE")</t>
  </si>
  <si>
    <t>=NF($O564,"CHEKDATE")</t>
  </si>
  <si>
    <t>=NF($O560,"UPRTRXAM")</t>
  </si>
  <si>
    <t>=NF($O561,"UPRTRXAM")</t>
  </si>
  <si>
    <t>=NF($O562,"UPRTRXAM")</t>
  </si>
  <si>
    <t>=NF($O563,"UPRTRXAM")</t>
  </si>
  <si>
    <t>=NF($O564,"UPRTRXAM")</t>
  </si>
  <si>
    <t>=NF($O550,"PAYRATE")</t>
  </si>
  <si>
    <t>=NF($O551,"PAYRATE")</t>
  </si>
  <si>
    <t>=NF($O552,"PAYRATE")</t>
  </si>
  <si>
    <t>=NF($O553,"PAYRATE")</t>
  </si>
  <si>
    <t>=NF($O554,"PAYRATE")</t>
  </si>
  <si>
    <t>=NF($O555,"PAYRATE")</t>
  </si>
  <si>
    <t>=NF($O550,"PAYROLCD")</t>
  </si>
  <si>
    <t>=NF($O551,"PAYROLCD")</t>
  </si>
  <si>
    <t>=NF($O552,"PAYROLCD")</t>
  </si>
  <si>
    <t>=NF($O553,"PAYROLCD")</t>
  </si>
  <si>
    <t>=NF($O554,"PAYROLCD")</t>
  </si>
  <si>
    <t>=NF($O555,"PAYROLCD")</t>
  </si>
  <si>
    <t>=NF($O550,"STATECD")</t>
  </si>
  <si>
    <t>=NF($O551,"STATECD")</t>
  </si>
  <si>
    <t>=NF($O552,"STATECD")</t>
  </si>
  <si>
    <t>=NF($O553,"STATECD")</t>
  </si>
  <si>
    <t>=NF($O554,"STATECD")</t>
  </si>
  <si>
    <t>=NF($O555,"STATECD")</t>
  </si>
  <si>
    <t>=NF($O550,"CHEKDATE")</t>
  </si>
  <si>
    <t>=NF($O551,"CHEKDATE")</t>
  </si>
  <si>
    <t>=NF($O552,"CHEKDATE")</t>
  </si>
  <si>
    <t>=NF($O553,"CHEKDATE")</t>
  </si>
  <si>
    <t>=NF($O554,"CHEKDATE")</t>
  </si>
  <si>
    <t>=NF($O555,"CHEKDATE")</t>
  </si>
  <si>
    <t>=NF($O550,"UPRTRXAM")</t>
  </si>
  <si>
    <t>=NF($O551,"UPRTRXAM")</t>
  </si>
  <si>
    <t>=NF($O552,"UPRTRXAM")</t>
  </si>
  <si>
    <t>=NF($O553,"UPRTRXAM")</t>
  </si>
  <si>
    <t>=NF($O554,"UPRTRXAM")</t>
  </si>
  <si>
    <t>=NF($O555,"UPRTRXAM")</t>
  </si>
  <si>
    <t>=NF($O541,"PAYRATE")</t>
  </si>
  <si>
    <t>=NF($O542,"PAYRATE")</t>
  </si>
  <si>
    <t>=NF($O543,"PAYRATE")</t>
  </si>
  <si>
    <t>=NF($O544,"PAYRATE")</t>
  </si>
  <si>
    <t>=NF($O545,"PAYRATE")</t>
  </si>
  <si>
    <t>=NF($O541,"PAYROLCD")</t>
  </si>
  <si>
    <t>=NF($O542,"PAYROLCD")</t>
  </si>
  <si>
    <t>=NF($O543,"PAYROLCD")</t>
  </si>
  <si>
    <t>=NF($O544,"PAYROLCD")</t>
  </si>
  <si>
    <t>=NF($O545,"PAYROLCD")</t>
  </si>
  <si>
    <t>=NF($O541,"STATECD")</t>
  </si>
  <si>
    <t>=NF($O542,"STATECD")</t>
  </si>
  <si>
    <t>=NF($O543,"STATECD")</t>
  </si>
  <si>
    <t>=NF($O544,"STATECD")</t>
  </si>
  <si>
    <t>=NF($O545,"STATECD")</t>
  </si>
  <si>
    <t>=NF($O541,"CHEKDATE")</t>
  </si>
  <si>
    <t>=NF($O542,"CHEKDATE")</t>
  </si>
  <si>
    <t>=NF($O543,"CHEKDATE")</t>
  </si>
  <si>
    <t>=NF($O544,"CHEKDATE")</t>
  </si>
  <si>
    <t>=NF($O545,"CHEKDATE")</t>
  </si>
  <si>
    <t>=NF($O541,"UPRTRXAM")</t>
  </si>
  <si>
    <t>=NF($O542,"UPRTRXAM")</t>
  </si>
  <si>
    <t>=NF($O543,"UPRTRXAM")</t>
  </si>
  <si>
    <t>=NF($O544,"UPRTRXAM")</t>
  </si>
  <si>
    <t>=NF($O545,"UPRTRXAM")</t>
  </si>
  <si>
    <t>=NF($O532,"PAYRATE")</t>
  </si>
  <si>
    <t>=NF($O533,"PAYRATE")</t>
  </si>
  <si>
    <t>=NF($O534,"PAYRATE")</t>
  </si>
  <si>
    <t>=NF($O535,"PAYRATE")</t>
  </si>
  <si>
    <t>=NF($O536,"PAYRATE")</t>
  </si>
  <si>
    <t>=NF($O532,"PAYROLCD")</t>
  </si>
  <si>
    <t>=NF($O533,"PAYROLCD")</t>
  </si>
  <si>
    <t>=NF($O534,"PAYROLCD")</t>
  </si>
  <si>
    <t>=NF($O535,"PAYROLCD")</t>
  </si>
  <si>
    <t>=NF($O536,"PAYROLCD")</t>
  </si>
  <si>
    <t>=NF($O532,"STATECD")</t>
  </si>
  <si>
    <t>=NF($O533,"STATECD")</t>
  </si>
  <si>
    <t>=NF($O534,"STATECD")</t>
  </si>
  <si>
    <t>=NF($O535,"STATECD")</t>
  </si>
  <si>
    <t>=NF($O536,"STATECD")</t>
  </si>
  <si>
    <t>=NF($O532,"CHEKDATE")</t>
  </si>
  <si>
    <t>=NF($O533,"CHEKDATE")</t>
  </si>
  <si>
    <t>=NF($O534,"CHEKDATE")</t>
  </si>
  <si>
    <t>=NF($O535,"CHEKDATE")</t>
  </si>
  <si>
    <t>=NF($O536,"CHEKDATE")</t>
  </si>
  <si>
    <t>=NF($O532,"UPRTRXAM")</t>
  </si>
  <si>
    <t>=NF($O533,"UPRTRXAM")</t>
  </si>
  <si>
    <t>=NF($O534,"UPRTRXAM")</t>
  </si>
  <si>
    <t>=NF($O535,"UPRTRXAM")</t>
  </si>
  <si>
    <t>=NF($O536,"UPRTRXAM")</t>
  </si>
  <si>
    <t>=NF($O523,"PAYRATE")</t>
  </si>
  <si>
    <t>=NF($O524,"PAYRATE")</t>
  </si>
  <si>
    <t>=NF($O525,"PAYRATE")</t>
  </si>
  <si>
    <t>=NF($O526,"PAYRATE")</t>
  </si>
  <si>
    <t>=NF($O527,"PAYRATE")</t>
  </si>
  <si>
    <t>=NF($O523,"PAYROLCD")</t>
  </si>
  <si>
    <t>=NF($O524,"PAYROLCD")</t>
  </si>
  <si>
    <t>=NF($O525,"PAYROLCD")</t>
  </si>
  <si>
    <t>=NF($O526,"PAYROLCD")</t>
  </si>
  <si>
    <t>=NF($O527,"PAYROLCD")</t>
  </si>
  <si>
    <t>=NF($O523,"STATECD")</t>
  </si>
  <si>
    <t>=NF($O524,"STATECD")</t>
  </si>
  <si>
    <t>=NF($O525,"STATECD")</t>
  </si>
  <si>
    <t>=NF($O526,"STATECD")</t>
  </si>
  <si>
    <t>=NF($O527,"STATECD")</t>
  </si>
  <si>
    <t>=NF($O523,"CHEKDATE")</t>
  </si>
  <si>
    <t>=NF($O524,"CHEKDATE")</t>
  </si>
  <si>
    <t>=NF($O525,"CHEKDATE")</t>
  </si>
  <si>
    <t>=NF($O526,"CHEKDATE")</t>
  </si>
  <si>
    <t>=NF($O527,"CHEKDATE")</t>
  </si>
  <si>
    <t>=NF($O523,"UPRTRXAM")</t>
  </si>
  <si>
    <t>=NF($O524,"UPRTRXAM")</t>
  </si>
  <si>
    <t>=NF($O525,"UPRTRXAM")</t>
  </si>
  <si>
    <t>=NF($O526,"UPRTRXAM")</t>
  </si>
  <si>
    <t>=NF($O527,"UPRTRXAM")</t>
  </si>
  <si>
    <t>=NF($O849,"PAYRATE")</t>
  </si>
  <si>
    <t>=NF($O850,"PAYRATE")</t>
  </si>
  <si>
    <t>=NF($O851,"PAYRATE")</t>
  </si>
  <si>
    <t>=NF($O852,"PAYRATE")</t>
  </si>
  <si>
    <t>=NF($O853,"PAYRATE")</t>
  </si>
  <si>
    <t>=NF($O849,"PAYROLCD")</t>
  </si>
  <si>
    <t>=NF($O850,"PAYROLCD")</t>
  </si>
  <si>
    <t>=NF($O851,"PAYROLCD")</t>
  </si>
  <si>
    <t>=NF($O852,"PAYROLCD")</t>
  </si>
  <si>
    <t>=NF($O853,"PAYROLCD")</t>
  </si>
  <si>
    <t>=NF($O849,"STATECD")</t>
  </si>
  <si>
    <t>=NF($O850,"STATECD")</t>
  </si>
  <si>
    <t>=NF($O851,"STATECD")</t>
  </si>
  <si>
    <t>=NF($O852,"STATECD")</t>
  </si>
  <si>
    <t>=NF($O853,"STATECD")</t>
  </si>
  <si>
    <t>=NF($O849,"CHEKDATE")</t>
  </si>
  <si>
    <t>=NF($O850,"CHEKDATE")</t>
  </si>
  <si>
    <t>=NF($O851,"CHEKDATE")</t>
  </si>
  <si>
    <t>=NF($O852,"CHEKDATE")</t>
  </si>
  <si>
    <t>=NF($O853,"CHEKDATE")</t>
  </si>
  <si>
    <t>=NF($O849,"UPRTRXAM")</t>
  </si>
  <si>
    <t>=NF($O850,"UPRTRXAM")</t>
  </si>
  <si>
    <t>=NF($O851,"UPRTRXAM")</t>
  </si>
  <si>
    <t>=NF($O852,"UPRTRXAM")</t>
  </si>
  <si>
    <t>=NF($O853,"UPRTRXAM")</t>
  </si>
  <si>
    <t>=NF($O894,"PAYRATE")</t>
  </si>
  <si>
    <t>=NF($O895,"PAYRATE")</t>
  </si>
  <si>
    <t>=NF($O896,"PAYRATE")</t>
  </si>
  <si>
    <t>=NF($O897,"PAYRATE")</t>
  </si>
  <si>
    <t>=NF($O898,"PAYRATE")</t>
  </si>
  <si>
    <t>=NF($O894,"PAYROLCD")</t>
  </si>
  <si>
    <t>=NF($O895,"PAYROLCD")</t>
  </si>
  <si>
    <t>=NF($O896,"PAYROLCD")</t>
  </si>
  <si>
    <t>=NF($O897,"PAYROLCD")</t>
  </si>
  <si>
    <t>=NF($O898,"PAYROLCD")</t>
  </si>
  <si>
    <t>=NF($O894,"STATECD")</t>
  </si>
  <si>
    <t>=NF($O895,"STATECD")</t>
  </si>
  <si>
    <t>=NF($O896,"STATECD")</t>
  </si>
  <si>
    <t>=NF($O897,"STATECD")</t>
  </si>
  <si>
    <t>=NF($O898,"STATECD")</t>
  </si>
  <si>
    <t>=NF($O894,"CHEKDATE")</t>
  </si>
  <si>
    <t>=NF($O895,"CHEKDATE")</t>
  </si>
  <si>
    <t>=NF($O896,"CHEKDATE")</t>
  </si>
  <si>
    <t>=NF($O897,"CHEKDATE")</t>
  </si>
  <si>
    <t>=NF($O898,"CHEKDATE")</t>
  </si>
  <si>
    <t>=NF($O894,"UPRTRXAM")</t>
  </si>
  <si>
    <t>=NF($O895,"UPRTRXAM")</t>
  </si>
  <si>
    <t>=NF($O896,"UPRTRXAM")</t>
  </si>
  <si>
    <t>=NF($O897,"UPRTRXAM")</t>
  </si>
  <si>
    <t>=NF($O898,"UPRTRXAM")</t>
  </si>
  <si>
    <t>=NF($O885,"PAYRATE")</t>
  </si>
  <si>
    <t>=NF($O886,"PAYRATE")</t>
  </si>
  <si>
    <t>=NF($O887,"PAYRATE")</t>
  </si>
  <si>
    <t>=NF($O888,"PAYRATE")</t>
  </si>
  <si>
    <t>=NF($O889,"PAYRATE")</t>
  </si>
  <si>
    <t>=NF($O885,"PAYROLCD")</t>
  </si>
  <si>
    <t>=NF($O886,"PAYROLCD")</t>
  </si>
  <si>
    <t>=NF($O887,"PAYROLCD")</t>
  </si>
  <si>
    <t>=NF($O888,"PAYROLCD")</t>
  </si>
  <si>
    <t>=NF($O889,"PAYROLCD")</t>
  </si>
  <si>
    <t>=NF($O885,"STATECD")</t>
  </si>
  <si>
    <t>=NF($O886,"STATECD")</t>
  </si>
  <si>
    <t>=NF($O887,"STATECD")</t>
  </si>
  <si>
    <t>=NF($O888,"STATECD")</t>
  </si>
  <si>
    <t>=NF($O889,"STATECD")</t>
  </si>
  <si>
    <t>=NF($O885,"CHEKDATE")</t>
  </si>
  <si>
    <t>=NF($O886,"CHEKDATE")</t>
  </si>
  <si>
    <t>=NF($O887,"CHEKDATE")</t>
  </si>
  <si>
    <t>=NF($O888,"CHEKDATE")</t>
  </si>
  <si>
    <t>=NF($O889,"CHEKDATE")</t>
  </si>
  <si>
    <t>=NF($O885,"UPRTRXAM")</t>
  </si>
  <si>
    <t>=NF($O886,"UPRTRXAM")</t>
  </si>
  <si>
    <t>=NF($O887,"UPRTRXAM")</t>
  </si>
  <si>
    <t>=NF($O888,"UPRTRXAM")</t>
  </si>
  <si>
    <t>=NF($O889,"UPRTRXAM")</t>
  </si>
  <si>
    <t>=NF($O876,"PAYRATE")</t>
  </si>
  <si>
    <t>=NF($O877,"PAYRATE")</t>
  </si>
  <si>
    <t>=NF($O878,"PAYRATE")</t>
  </si>
  <si>
    <t>=NF($O879,"PAYRATE")</t>
  </si>
  <si>
    <t>=NF($O880,"PAYRATE")</t>
  </si>
  <si>
    <t>=NF($O876,"PAYROLCD")</t>
  </si>
  <si>
    <t>=NF($O877,"PAYROLCD")</t>
  </si>
  <si>
    <t>=NF($O878,"PAYROLCD")</t>
  </si>
  <si>
    <t>=NF($O879,"PAYROLCD")</t>
  </si>
  <si>
    <t>=NF($O880,"PAYROLCD")</t>
  </si>
  <si>
    <t>=NF($O876,"STATECD")</t>
  </si>
  <si>
    <t>=NF($O877,"STATECD")</t>
  </si>
  <si>
    <t>=NF($O878,"STATECD")</t>
  </si>
  <si>
    <t>=NF($O879,"STATECD")</t>
  </si>
  <si>
    <t>=NF($O880,"STATECD")</t>
  </si>
  <si>
    <t>=NF($O876,"CHEKDATE")</t>
  </si>
  <si>
    <t>=NF($O877,"CHEKDATE")</t>
  </si>
  <si>
    <t>=NF($O878,"CHEKDATE")</t>
  </si>
  <si>
    <t>=NF($O879,"CHEKDATE")</t>
  </si>
  <si>
    <t>=NF($O880,"CHEKDATE")</t>
  </si>
  <si>
    <t>=NF($O876,"UPRTRXAM")</t>
  </si>
  <si>
    <t>=NF($O877,"UPRTRXAM")</t>
  </si>
  <si>
    <t>=NF($O878,"UPRTRXAM")</t>
  </si>
  <si>
    <t>=NF($O879,"UPRTRXAM")</t>
  </si>
  <si>
    <t>=NF($O880,"UPRTRXAM")</t>
  </si>
  <si>
    <t>=NF($O867,"PAYRATE")</t>
  </si>
  <si>
    <t>=NF($O868,"PAYRATE")</t>
  </si>
  <si>
    <t>=NF($O869,"PAYRATE")</t>
  </si>
  <si>
    <t>=NF($O870,"PAYRATE")</t>
  </si>
  <si>
    <t>=NF($O871,"PAYRATE")</t>
  </si>
  <si>
    <t>=NF($O867,"PAYROLCD")</t>
  </si>
  <si>
    <t>=NF($O868,"PAYROLCD")</t>
  </si>
  <si>
    <t>=NF($O869,"PAYROLCD")</t>
  </si>
  <si>
    <t>=NF($O870,"PAYROLCD")</t>
  </si>
  <si>
    <t>=NF($O871,"PAYROLCD")</t>
  </si>
  <si>
    <t>=NF($O867,"STATECD")</t>
  </si>
  <si>
    <t>=NF($O868,"STATECD")</t>
  </si>
  <si>
    <t>=NF($O869,"STATECD")</t>
  </si>
  <si>
    <t>=NF($O870,"STATECD")</t>
  </si>
  <si>
    <t>=NF($O871,"STATECD")</t>
  </si>
  <si>
    <t>=NF($O867,"CHEKDATE")</t>
  </si>
  <si>
    <t>=NF($O868,"CHEKDATE")</t>
  </si>
  <si>
    <t>=NF($O869,"CHEKDATE")</t>
  </si>
  <si>
    <t>=NF($O870,"CHEKDATE")</t>
  </si>
  <si>
    <t>=NF($O871,"CHEKDATE")</t>
  </si>
  <si>
    <t>=NF($O867,"UPRTRXAM")</t>
  </si>
  <si>
    <t>=NF($O868,"UPRTRXAM")</t>
  </si>
  <si>
    <t>=NF($O869,"UPRTRXAM")</t>
  </si>
  <si>
    <t>=NF($O870,"UPRTRXAM")</t>
  </si>
  <si>
    <t>=NF($O871,"UPRTRXAM")</t>
  </si>
  <si>
    <t>=NF($O858,"PAYRATE")</t>
  </si>
  <si>
    <t>=NF($O859,"PAYRATE")</t>
  </si>
  <si>
    <t>=NF($O860,"PAYRATE")</t>
  </si>
  <si>
    <t>=NF($O861,"PAYRATE")</t>
  </si>
  <si>
    <t>=NF($O862,"PAYRATE")</t>
  </si>
  <si>
    <t>=NF($O858,"PAYROLCD")</t>
  </si>
  <si>
    <t>=NF($O859,"PAYROLCD")</t>
  </si>
  <si>
    <t>=NF($O860,"PAYROLCD")</t>
  </si>
  <si>
    <t>=NF($O861,"PAYROLCD")</t>
  </si>
  <si>
    <t>=NF($O862,"PAYROLCD")</t>
  </si>
  <si>
    <t>=NF($O858,"STATECD")</t>
  </si>
  <si>
    <t>=NF($O859,"STATECD")</t>
  </si>
  <si>
    <t>=NF($O860,"STATECD")</t>
  </si>
  <si>
    <t>=NF($O861,"STATECD")</t>
  </si>
  <si>
    <t>=NF($O862,"STATECD")</t>
  </si>
  <si>
    <t>=NF($O858,"CHEKDATE")</t>
  </si>
  <si>
    <t>=NF($O859,"CHEKDATE")</t>
  </si>
  <si>
    <t>=NF($O860,"CHEKDATE")</t>
  </si>
  <si>
    <t>=NF($O861,"CHEKDATE")</t>
  </si>
  <si>
    <t>=NF($O862,"CHEKDATE")</t>
  </si>
  <si>
    <t>=NF($O858,"UPRTRXAM")</t>
  </si>
  <si>
    <t>=NF($O859,"UPRTRXAM")</t>
  </si>
  <si>
    <t>=NF($O860,"UPRTRXAM")</t>
  </si>
  <si>
    <t>=NF($O861,"UPRTRXAM")</t>
  </si>
  <si>
    <t>=NF($O862,"UPRTRXAM")</t>
  </si>
  <si>
    <t>=NF($O781,"PAYRATE")</t>
  </si>
  <si>
    <t>=NF($O782,"PAYRATE")</t>
  </si>
  <si>
    <t>=NF($O783,"PAYRATE")</t>
  </si>
  <si>
    <t>=NF($O784,"PAYRATE")</t>
  </si>
  <si>
    <t>=NF($O785,"PAYRATE")</t>
  </si>
  <si>
    <t>=NF($O781,"PAYROLCD")</t>
  </si>
  <si>
    <t>=NF($O782,"PAYROLCD")</t>
  </si>
  <si>
    <t>=NF($O783,"PAYROLCD")</t>
  </si>
  <si>
    <t>=NF($O784,"PAYROLCD")</t>
  </si>
  <si>
    <t>=NF($O785,"PAYROLCD")</t>
  </si>
  <si>
    <t>=NF($O781,"STATECD")</t>
  </si>
  <si>
    <t>=NF($O782,"STATECD")</t>
  </si>
  <si>
    <t>=NF($O783,"STATECD")</t>
  </si>
  <si>
    <t>=NF($O784,"STATECD")</t>
  </si>
  <si>
    <t>=NF($O785,"STATECD")</t>
  </si>
  <si>
    <t>=NF($O781,"CHEKDATE")</t>
  </si>
  <si>
    <t>=NF($O782,"CHEKDATE")</t>
  </si>
  <si>
    <t>=NF($O783,"CHEKDATE")</t>
  </si>
  <si>
    <t>=NF($O784,"CHEKDATE")</t>
  </si>
  <si>
    <t>=NF($O785,"CHEKDATE")</t>
  </si>
  <si>
    <t>=NF($O781,"UPRTRXAM")</t>
  </si>
  <si>
    <t>=NF($O782,"UPRTRXAM")</t>
  </si>
  <si>
    <t>=NF($O783,"UPRTRXAM")</t>
  </si>
  <si>
    <t>=NF($O784,"UPRTRXAM")</t>
  </si>
  <si>
    <t>=NF($O785,"UPRTRXAM")</t>
  </si>
  <si>
    <t>=NF($O827,"PAYRATE")</t>
  </si>
  <si>
    <t>=NF($O828,"PAYRATE")</t>
  </si>
  <si>
    <t>=NF($O829,"PAYRATE")</t>
  </si>
  <si>
    <t>=NF($O830,"PAYRATE")</t>
  </si>
  <si>
    <t>=NF($O831,"PAYRATE")</t>
  </si>
  <si>
    <t>=NF($O827,"PAYROLCD")</t>
  </si>
  <si>
    <t>=NF($O828,"PAYROLCD")</t>
  </si>
  <si>
    <t>=NF($O829,"PAYROLCD")</t>
  </si>
  <si>
    <t>=NF($O830,"PAYROLCD")</t>
  </si>
  <si>
    <t>=NF($O831,"PAYROLCD")</t>
  </si>
  <si>
    <t>=NF($O827,"STATECD")</t>
  </si>
  <si>
    <t>=NF($O828,"STATECD")</t>
  </si>
  <si>
    <t>=NF($O829,"STATECD")</t>
  </si>
  <si>
    <t>=NF($O830,"STATECD")</t>
  </si>
  <si>
    <t>=NF($O831,"STATECD")</t>
  </si>
  <si>
    <t>=NF($O827,"CHEKDATE")</t>
  </si>
  <si>
    <t>=NF($O828,"CHEKDATE")</t>
  </si>
  <si>
    <t>=NF($O829,"CHEKDATE")</t>
  </si>
  <si>
    <t>=NF($O830,"CHEKDATE")</t>
  </si>
  <si>
    <t>=NF($O831,"CHEKDATE")</t>
  </si>
  <si>
    <t>=NF($O827,"UPRTRXAM")</t>
  </si>
  <si>
    <t>=NF($O828,"UPRTRXAM")</t>
  </si>
  <si>
    <t>=NF($O829,"UPRTRXAM")</t>
  </si>
  <si>
    <t>=NF($O830,"UPRTRXAM")</t>
  </si>
  <si>
    <t>=NF($O831,"UPRTRXAM")</t>
  </si>
  <si>
    <t>=NF($O817,"PAYRATE")</t>
  </si>
  <si>
    <t>=NF($O818,"PAYRATE")</t>
  </si>
  <si>
    <t>=NF($O819,"PAYRATE")</t>
  </si>
  <si>
    <t>=NF($O820,"PAYRATE")</t>
  </si>
  <si>
    <t>=NF($O821,"PAYRATE")</t>
  </si>
  <si>
    <t>=NF($O822,"PAYRATE")</t>
  </si>
  <si>
    <t>=NF($O817,"PAYROLCD")</t>
  </si>
  <si>
    <t>=NF($O818,"PAYROLCD")</t>
  </si>
  <si>
    <t>=NF($O819,"PAYROLCD")</t>
  </si>
  <si>
    <t>=NF($O820,"PAYROLCD")</t>
  </si>
  <si>
    <t>=NF($O821,"PAYROLCD")</t>
  </si>
  <si>
    <t>=NF($O822,"PAYROLCD")</t>
  </si>
  <si>
    <t>=NF($O817,"STATECD")</t>
  </si>
  <si>
    <t>=NF($O818,"STATECD")</t>
  </si>
  <si>
    <t>=NF($O819,"STATECD")</t>
  </si>
  <si>
    <t>=NF($O820,"STATECD")</t>
  </si>
  <si>
    <t>=NF($O821,"STATECD")</t>
  </si>
  <si>
    <t>=NF($O822,"STATECD")</t>
  </si>
  <si>
    <t>=NF($O817,"CHEKDATE")</t>
  </si>
  <si>
    <t>=NF($O818,"CHEKDATE")</t>
  </si>
  <si>
    <t>=NF($O819,"CHEKDATE")</t>
  </si>
  <si>
    <t>=NF($O820,"CHEKDATE")</t>
  </si>
  <si>
    <t>=NF($O821,"CHEKDATE")</t>
  </si>
  <si>
    <t>=NF($O822,"CHEKDATE")</t>
  </si>
  <si>
    <t>=NF($O817,"UPRTRXAM")</t>
  </si>
  <si>
    <t>=NF($O818,"UPRTRXAM")</t>
  </si>
  <si>
    <t>=NF($O819,"UPRTRXAM")</t>
  </si>
  <si>
    <t>=NF($O820,"UPRTRXAM")</t>
  </si>
  <si>
    <t>=NF($O821,"UPRTRXAM")</t>
  </si>
  <si>
    <t>=NF($O822,"UPRTRXAM")</t>
  </si>
  <si>
    <t>=NF($O808,"PAYRATE")</t>
  </si>
  <si>
    <t>=NF($O809,"PAYRATE")</t>
  </si>
  <si>
    <t>=NF($O810,"PAYRATE")</t>
  </si>
  <si>
    <t>=NF($O811,"PAYRATE")</t>
  </si>
  <si>
    <t>=NF($O812,"PAYRATE")</t>
  </si>
  <si>
    <t>=NF($O808,"PAYROLCD")</t>
  </si>
  <si>
    <t>=NF($O809,"PAYROLCD")</t>
  </si>
  <si>
    <t>=NF($O810,"PAYROLCD")</t>
  </si>
  <si>
    <t>=NF($O811,"PAYROLCD")</t>
  </si>
  <si>
    <t>=NF($O812,"PAYROLCD")</t>
  </si>
  <si>
    <t>=NF($O808,"STATECD")</t>
  </si>
  <si>
    <t>=NF($O809,"STATECD")</t>
  </si>
  <si>
    <t>=NF($O810,"STATECD")</t>
  </si>
  <si>
    <t>=NF($O811,"STATECD")</t>
  </si>
  <si>
    <t>=NF($O812,"STATECD")</t>
  </si>
  <si>
    <t>=NF($O808,"CHEKDATE")</t>
  </si>
  <si>
    <t>=NF($O809,"CHEKDATE")</t>
  </si>
  <si>
    <t>=NF($O810,"CHEKDATE")</t>
  </si>
  <si>
    <t>=NF($O811,"CHEKDATE")</t>
  </si>
  <si>
    <t>=NF($O812,"CHEKDATE")</t>
  </si>
  <si>
    <t>=NF($O808,"UPRTRXAM")</t>
  </si>
  <si>
    <t>=NF($O809,"UPRTRXAM")</t>
  </si>
  <si>
    <t>=NF($O810,"UPRTRXAM")</t>
  </si>
  <si>
    <t>=NF($O811,"UPRTRXAM")</t>
  </si>
  <si>
    <t>=NF($O812,"UPRTRXAM")</t>
  </si>
  <si>
    <t>=NF($O799,"PAYRATE")</t>
  </si>
  <si>
    <t>=NF($O800,"PAYRATE")</t>
  </si>
  <si>
    <t>=NF($O801,"PAYRATE")</t>
  </si>
  <si>
    <t>=NF($O802,"PAYRATE")</t>
  </si>
  <si>
    <t>=NF($O803,"PAYRATE")</t>
  </si>
  <si>
    <t>=NF($O799,"PAYROLCD")</t>
  </si>
  <si>
    <t>=NF($O800,"PAYROLCD")</t>
  </si>
  <si>
    <t>=NF($O801,"PAYROLCD")</t>
  </si>
  <si>
    <t>=NF($O802,"PAYROLCD")</t>
  </si>
  <si>
    <t>=NF($O803,"PAYROLCD")</t>
  </si>
  <si>
    <t>=NF($O799,"STATECD")</t>
  </si>
  <si>
    <t>=NF($O800,"STATECD")</t>
  </si>
  <si>
    <t>=NF($O801,"STATECD")</t>
  </si>
  <si>
    <t>=NF($O802,"STATECD")</t>
  </si>
  <si>
    <t>=NF($O803,"STATECD")</t>
  </si>
  <si>
    <t>=NF($O799,"CHEKDATE")</t>
  </si>
  <si>
    <t>=NF($O800,"CHEKDATE")</t>
  </si>
  <si>
    <t>=NF($O801,"CHEKDATE")</t>
  </si>
  <si>
    <t>=NF($O802,"CHEKDATE")</t>
  </si>
  <si>
    <t>=NF($O803,"CHEKDATE")</t>
  </si>
  <si>
    <t>=NF($O799,"UPRTRXAM")</t>
  </si>
  <si>
    <t>=NF($O800,"UPRTRXAM")</t>
  </si>
  <si>
    <t>=NF($O801,"UPRTRXAM")</t>
  </si>
  <si>
    <t>=NF($O802,"UPRTRXAM")</t>
  </si>
  <si>
    <t>=NF($O803,"UPRTRXAM")</t>
  </si>
  <si>
    <t>=NF($O790,"PAYRATE")</t>
  </si>
  <si>
    <t>=NF($O791,"PAYRATE")</t>
  </si>
  <si>
    <t>=NF($O792,"PAYRATE")</t>
  </si>
  <si>
    <t>=NF($O793,"PAYRATE")</t>
  </si>
  <si>
    <t>=NF($O794,"PAYRATE")</t>
  </si>
  <si>
    <t>=NF($O790,"PAYROLCD")</t>
  </si>
  <si>
    <t>=NF($O791,"PAYROLCD")</t>
  </si>
  <si>
    <t>=NF($O792,"PAYROLCD")</t>
  </si>
  <si>
    <t>=NF($O793,"PAYROLCD")</t>
  </si>
  <si>
    <t>=NF($O794,"PAYROLCD")</t>
  </si>
  <si>
    <t>=NF($O790,"STATECD")</t>
  </si>
  <si>
    <t>=NF($O791,"STATECD")</t>
  </si>
  <si>
    <t>=NF($O792,"STATECD")</t>
  </si>
  <si>
    <t>=NF($O793,"STATECD")</t>
  </si>
  <si>
    <t>=NF($O794,"STATECD")</t>
  </si>
  <si>
    <t>=NF($O790,"CHEKDATE")</t>
  </si>
  <si>
    <t>=NF($O791,"CHEKDATE")</t>
  </si>
  <si>
    <t>=NF($O792,"CHEKDATE")</t>
  </si>
  <si>
    <t>=NF($O793,"CHEKDATE")</t>
  </si>
  <si>
    <t>=NF($O794,"CHEKDATE")</t>
  </si>
  <si>
    <t>=NF($O790,"UPRTRXAM")</t>
  </si>
  <si>
    <t>=NF($O791,"UPRTRXAM")</t>
  </si>
  <si>
    <t>=NF($O792,"UPRTRXAM")</t>
  </si>
  <si>
    <t>=NF($O793,"UPRTRXAM")</t>
  </si>
  <si>
    <t>=NF($O794,"UPRTRXAM")</t>
  </si>
  <si>
    <t>=NF($O713,"PAYRATE")</t>
  </si>
  <si>
    <t>=NF($O714,"PAYRATE")</t>
  </si>
  <si>
    <t>=NF($O715,"PAYRATE")</t>
  </si>
  <si>
    <t>=NF($O716,"PAYRATE")</t>
  </si>
  <si>
    <t>=NF($O717,"PAYRATE")</t>
  </si>
  <si>
    <t>=NF($O713,"PAYROLCD")</t>
  </si>
  <si>
    <t>=NF($O714,"PAYROLCD")</t>
  </si>
  <si>
    <t>=NF($O715,"PAYROLCD")</t>
  </si>
  <si>
    <t>=NF($O716,"PAYROLCD")</t>
  </si>
  <si>
    <t>=NF($O717,"PAYROLCD")</t>
  </si>
  <si>
    <t>=NF($O713,"STATECD")</t>
  </si>
  <si>
    <t>=NF($O714,"STATECD")</t>
  </si>
  <si>
    <t>=NF($O715,"STATECD")</t>
  </si>
  <si>
    <t>=NF($O716,"STATECD")</t>
  </si>
  <si>
    <t>=NF($O717,"STATECD")</t>
  </si>
  <si>
    <t>=NF($O713,"CHEKDATE")</t>
  </si>
  <si>
    <t>=NF($O714,"CHEKDATE")</t>
  </si>
  <si>
    <t>=NF($O715,"CHEKDATE")</t>
  </si>
  <si>
    <t>=NF($O716,"CHEKDATE")</t>
  </si>
  <si>
    <t>=NF($O717,"CHEKDATE")</t>
  </si>
  <si>
    <t>=NF($O713,"UPRTRXAM")</t>
  </si>
  <si>
    <t>=NF($O714,"UPRTRXAM")</t>
  </si>
  <si>
    <t>=NF($O715,"UPRTRXAM")</t>
  </si>
  <si>
    <t>=NF($O716,"UPRTRXAM")</t>
  </si>
  <si>
    <t>=NF($O717,"UPRTRXAM")</t>
  </si>
  <si>
    <t>=NF($O759,"PAYRATE")</t>
  </si>
  <si>
    <t>=NF($O760,"PAYRATE")</t>
  </si>
  <si>
    <t>=NF($O761,"PAYRATE")</t>
  </si>
  <si>
    <t>=NF($O762,"PAYRATE")</t>
  </si>
  <si>
    <t>=NF($O763,"PAYRATE")</t>
  </si>
  <si>
    <t>=NF($O759,"PAYROLCD")</t>
  </si>
  <si>
    <t>=NF($O760,"PAYROLCD")</t>
  </si>
  <si>
    <t>=NF($O761,"PAYROLCD")</t>
  </si>
  <si>
    <t>=NF($O762,"PAYROLCD")</t>
  </si>
  <si>
    <t>=NF($O763,"PAYROLCD")</t>
  </si>
  <si>
    <t>=NF($O759,"STATECD")</t>
  </si>
  <si>
    <t>=NF($O760,"STATECD")</t>
  </si>
  <si>
    <t>=NF($O761,"STATECD")</t>
  </si>
  <si>
    <t>=NF($O762,"STATECD")</t>
  </si>
  <si>
    <t>=NF($O763,"STATECD")</t>
  </si>
  <si>
    <t>=NF($O759,"CHEKDATE")</t>
  </si>
  <si>
    <t>=NF($O760,"CHEKDATE")</t>
  </si>
  <si>
    <t>=NF($O761,"CHEKDATE")</t>
  </si>
  <si>
    <t>=NF($O762,"CHEKDATE")</t>
  </si>
  <si>
    <t>=NF($O763,"CHEKDATE")</t>
  </si>
  <si>
    <t>=NF($O759,"UPRTRXAM")</t>
  </si>
  <si>
    <t>=NF($O760,"UPRTRXAM")</t>
  </si>
  <si>
    <t>=NF($O761,"UPRTRXAM")</t>
  </si>
  <si>
    <t>=NF($O762,"UPRTRXAM")</t>
  </si>
  <si>
    <t>=NF($O763,"UPRTRXAM")</t>
  </si>
  <si>
    <t>=NF($O749,"PAYRATE")</t>
  </si>
  <si>
    <t>=NF($O750,"PAYRATE")</t>
  </si>
  <si>
    <t>=NF($O751,"PAYRATE")</t>
  </si>
  <si>
    <t>=NF($O752,"PAYRATE")</t>
  </si>
  <si>
    <t>=NF($O753,"PAYRATE")</t>
  </si>
  <si>
    <t>=NF($O754,"PAYRATE")</t>
  </si>
  <si>
    <t>=NF($O749,"PAYROLCD")</t>
  </si>
  <si>
    <t>=NF($O750,"PAYROLCD")</t>
  </si>
  <si>
    <t>=NF($O751,"PAYROLCD")</t>
  </si>
  <si>
    <t>=NF($O752,"PAYROLCD")</t>
  </si>
  <si>
    <t>=NF($O753,"PAYROLCD")</t>
  </si>
  <si>
    <t>=NF($O754,"PAYROLCD")</t>
  </si>
  <si>
    <t>=NF($O749,"STATECD")</t>
  </si>
  <si>
    <t>=NF($O750,"STATECD")</t>
  </si>
  <si>
    <t>=NF($O751,"STATECD")</t>
  </si>
  <si>
    <t>=NF($O752,"STATECD")</t>
  </si>
  <si>
    <t>=NF($O753,"STATECD")</t>
  </si>
  <si>
    <t>=NF($O754,"STATECD")</t>
  </si>
  <si>
    <t>=NF($O749,"CHEKDATE")</t>
  </si>
  <si>
    <t>=NF($O750,"CHEKDATE")</t>
  </si>
  <si>
    <t>=NF($O751,"CHEKDATE")</t>
  </si>
  <si>
    <t>=NF($O752,"CHEKDATE")</t>
  </si>
  <si>
    <t>=NF($O753,"CHEKDATE")</t>
  </si>
  <si>
    <t>=NF($O754,"CHEKDATE")</t>
  </si>
  <si>
    <t>=NF($O749,"UPRTRXAM")</t>
  </si>
  <si>
    <t>=NF($O750,"UPRTRXAM")</t>
  </si>
  <si>
    <t>=NF($O751,"UPRTRXAM")</t>
  </si>
  <si>
    <t>=NF($O752,"UPRTRXAM")</t>
  </si>
  <si>
    <t>=NF($O753,"UPRTRXAM")</t>
  </si>
  <si>
    <t>=NF($O754,"UPRTRXAM")</t>
  </si>
  <si>
    <t>=NF($O740,"PAYRATE")</t>
  </si>
  <si>
    <t>=NF($O741,"PAYRATE")</t>
  </si>
  <si>
    <t>=NF($O742,"PAYRATE")</t>
  </si>
  <si>
    <t>=NF($O743,"PAYRATE")</t>
  </si>
  <si>
    <t>=NF($O744,"PAYRATE")</t>
  </si>
  <si>
    <t>=NF($O740,"PAYROLCD")</t>
  </si>
  <si>
    <t>=NF($O741,"PAYROLCD")</t>
  </si>
  <si>
    <t>=NF($O742,"PAYROLCD")</t>
  </si>
  <si>
    <t>=NF($O743,"PAYROLCD")</t>
  </si>
  <si>
    <t>=NF($O744,"PAYROLCD")</t>
  </si>
  <si>
    <t>=NF($O740,"STATECD")</t>
  </si>
  <si>
    <t>=NF($O741,"STATECD")</t>
  </si>
  <si>
    <t>=NF($O742,"STATECD")</t>
  </si>
  <si>
    <t>=NF($O743,"STATECD")</t>
  </si>
  <si>
    <t>=NF($O744,"STATECD")</t>
  </si>
  <si>
    <t>=NF($O740,"CHEKDATE")</t>
  </si>
  <si>
    <t>=NF($O741,"CHEKDATE")</t>
  </si>
  <si>
    <t>=NF($O742,"CHEKDATE")</t>
  </si>
  <si>
    <t>=NF($O743,"CHEKDATE")</t>
  </si>
  <si>
    <t>=NF($O744,"CHEKDATE")</t>
  </si>
  <si>
    <t>=NF($O740,"UPRTRXAM")</t>
  </si>
  <si>
    <t>=NF($O741,"UPRTRXAM")</t>
  </si>
  <si>
    <t>=NF($O742,"UPRTRXAM")</t>
  </si>
  <si>
    <t>=NF($O743,"UPRTRXAM")</t>
  </si>
  <si>
    <t>=NF($O744,"UPRTRXAM")</t>
  </si>
  <si>
    <t>=NF($O731,"PAYRATE")</t>
  </si>
  <si>
    <t>=NF($O732,"PAYRATE")</t>
  </si>
  <si>
    <t>=NF($O733,"PAYRATE")</t>
  </si>
  <si>
    <t>=NF($O734,"PAYRATE")</t>
  </si>
  <si>
    <t>=NF($O735,"PAYRATE")</t>
  </si>
  <si>
    <t>=NF($O731,"PAYROLCD")</t>
  </si>
  <si>
    <t>=NF($O732,"PAYROLCD")</t>
  </si>
  <si>
    <t>=NF($O733,"PAYROLCD")</t>
  </si>
  <si>
    <t>=NF($O734,"PAYROLCD")</t>
  </si>
  <si>
    <t>=NF($O735,"PAYROLCD")</t>
  </si>
  <si>
    <t>=NF($O731,"STATECD")</t>
  </si>
  <si>
    <t>=NF($O732,"STATECD")</t>
  </si>
  <si>
    <t>=NF($O733,"STATECD")</t>
  </si>
  <si>
    <t>=NF($O734,"STATECD")</t>
  </si>
  <si>
    <t>=NF($O735,"STATECD")</t>
  </si>
  <si>
    <t>=NF($O731,"CHEKDATE")</t>
  </si>
  <si>
    <t>=NF($O732,"CHEKDATE")</t>
  </si>
  <si>
    <t>=NF($O733,"CHEKDATE")</t>
  </si>
  <si>
    <t>=NF($O734,"CHEKDATE")</t>
  </si>
  <si>
    <t>=NF($O735,"CHEKDATE")</t>
  </si>
  <si>
    <t>=NF($O731,"UPRTRXAM")</t>
  </si>
  <si>
    <t>=NF($O732,"UPRTRXAM")</t>
  </si>
  <si>
    <t>=NF($O733,"UPRTRXAM")</t>
  </si>
  <si>
    <t>=NF($O734,"UPRTRXAM")</t>
  </si>
  <si>
    <t>=NF($O735,"UPRTRXAM")</t>
  </si>
  <si>
    <t>=NF($O722,"PAYRATE")</t>
  </si>
  <si>
    <t>=NF($O723,"PAYRATE")</t>
  </si>
  <si>
    <t>=NF($O724,"PAYRATE")</t>
  </si>
  <si>
    <t>=NF($O725,"PAYRATE")</t>
  </si>
  <si>
    <t>=NF($O726,"PAYRATE")</t>
  </si>
  <si>
    <t>=NF($O722,"PAYROLCD")</t>
  </si>
  <si>
    <t>=NF($O723,"PAYROLCD")</t>
  </si>
  <si>
    <t>=NF($O724,"PAYROLCD")</t>
  </si>
  <si>
    <t>=NF($O725,"PAYROLCD")</t>
  </si>
  <si>
    <t>=NF($O726,"PAYROLCD")</t>
  </si>
  <si>
    <t>=NF($O722,"STATECD")</t>
  </si>
  <si>
    <t>=NF($O723,"STATECD")</t>
  </si>
  <si>
    <t>=NF($O724,"STATECD")</t>
  </si>
  <si>
    <t>=NF($O725,"STATECD")</t>
  </si>
  <si>
    <t>=NF($O726,"STATECD")</t>
  </si>
  <si>
    <t>=NF($O722,"CHEKDATE")</t>
  </si>
  <si>
    <t>=NF($O723,"CHEKDATE")</t>
  </si>
  <si>
    <t>=NF($O724,"CHEKDATE")</t>
  </si>
  <si>
    <t>=NF($O725,"CHEKDATE")</t>
  </si>
  <si>
    <t>=NF($O726,"CHEKDATE")</t>
  </si>
  <si>
    <t>=NF($O722,"UPRTRXAM")</t>
  </si>
  <si>
    <t>=NF($O723,"UPRTRXAM")</t>
  </si>
  <si>
    <t>=NF($O724,"UPRTRXAM")</t>
  </si>
  <si>
    <t>=NF($O725,"UPRTRXAM")</t>
  </si>
  <si>
    <t>=NF($O726,"UPRTRXAM")</t>
  </si>
  <si>
    <t>=NF($O650,"PAYRATE")</t>
  </si>
  <si>
    <t>=NF($O651,"PAYRATE")</t>
  </si>
  <si>
    <t>=NF($O652,"PAYRATE")</t>
  </si>
  <si>
    <t>=NF($O653,"PAYRATE")</t>
  </si>
  <si>
    <t>=NF($O654,"PAYRATE")</t>
  </si>
  <si>
    <t>=NF($O655,"PAYRATE")</t>
  </si>
  <si>
    <t>=NF($O650,"PAYROLCD")</t>
  </si>
  <si>
    <t>=NF($O651,"PAYROLCD")</t>
  </si>
  <si>
    <t>=NF($O652,"PAYROLCD")</t>
  </si>
  <si>
    <t>=NF($O653,"PAYROLCD")</t>
  </si>
  <si>
    <t>=NF($O654,"PAYROLCD")</t>
  </si>
  <si>
    <t>=NF($O655,"PAYROLCD")</t>
  </si>
  <si>
    <t>=NF($O650,"STATECD")</t>
  </si>
  <si>
    <t>=NF($O651,"STATECD")</t>
  </si>
  <si>
    <t>=NF($O652,"STATECD")</t>
  </si>
  <si>
    <t>=NF($O653,"STATECD")</t>
  </si>
  <si>
    <t>=NF($O654,"STATECD")</t>
  </si>
  <si>
    <t>=NF($O655,"STATECD")</t>
  </si>
  <si>
    <t>=NF($O650,"CHEKDATE")</t>
  </si>
  <si>
    <t>=NF($O651,"CHEKDATE")</t>
  </si>
  <si>
    <t>=NF($O652,"CHEKDATE")</t>
  </si>
  <si>
    <t>=NF($O653,"CHEKDATE")</t>
  </si>
  <si>
    <t>=NF($O654,"CHEKDATE")</t>
  </si>
  <si>
    <t>=NF($O655,"CHEKDATE")</t>
  </si>
  <si>
    <t>=NF($O650,"UPRTRXAM")</t>
  </si>
  <si>
    <t>=NF($O651,"UPRTRXAM")</t>
  </si>
  <si>
    <t>=NF($O652,"UPRTRXAM")</t>
  </si>
  <si>
    <t>=NF($O653,"UPRTRXAM")</t>
  </si>
  <si>
    <t>=NF($O654,"UPRTRXAM")</t>
  </si>
  <si>
    <t>=NF($O655,"UPRTRXAM")</t>
  </si>
  <si>
    <t>=NF($O700,"PAYRATE")</t>
  </si>
  <si>
    <t>=NF($O701,"PAYRATE")</t>
  </si>
  <si>
    <t>=NF($O702,"PAYRATE")</t>
  </si>
  <si>
    <t>=NF($O703,"PAYRATE")</t>
  </si>
  <si>
    <t>=NF($O704,"PAYRATE")</t>
  </si>
  <si>
    <t>=NF($O705,"PAYRATE")</t>
  </si>
  <si>
    <t>=NF($O700,"PAYROLCD")</t>
  </si>
  <si>
    <t>=NF($O701,"PAYROLCD")</t>
  </si>
  <si>
    <t>=NF($O702,"PAYROLCD")</t>
  </si>
  <si>
    <t>=NF($O703,"PAYROLCD")</t>
  </si>
  <si>
    <t>=NF($O704,"PAYROLCD")</t>
  </si>
  <si>
    <t>=NF($O705,"PAYROLCD")</t>
  </si>
  <si>
    <t>=NF($O700,"STATECD")</t>
  </si>
  <si>
    <t>=NF($O701,"STATECD")</t>
  </si>
  <si>
    <t>=NF($O702,"STATECD")</t>
  </si>
  <si>
    <t>=NF($O703,"STATECD")</t>
  </si>
  <si>
    <t>=NF($O704,"STATECD")</t>
  </si>
  <si>
    <t>=NF($O705,"STATECD")</t>
  </si>
  <si>
    <t>=NF($O700,"CHEKDATE")</t>
  </si>
  <si>
    <t>=NF($O701,"CHEKDATE")</t>
  </si>
  <si>
    <t>=NF($O702,"CHEKDATE")</t>
  </si>
  <si>
    <t>=NF($O703,"CHEKDATE")</t>
  </si>
  <si>
    <t>=NF($O704,"CHEKDATE")</t>
  </si>
  <si>
    <t>=NF($O705,"CHEKDATE")</t>
  </si>
  <si>
    <t>=NF($O700,"UPRTRXAM")</t>
  </si>
  <si>
    <t>=NF($O701,"UPRTRXAM")</t>
  </si>
  <si>
    <t>=NF($O702,"UPRTRXAM")</t>
  </si>
  <si>
    <t>=NF($O703,"UPRTRXAM")</t>
  </si>
  <si>
    <t>=NF($O704,"UPRTRXAM")</t>
  </si>
  <si>
    <t>=NF($O705,"UPRTRXAM")</t>
  </si>
  <si>
    <t>=NF($O690,"PAYRATE")</t>
  </si>
  <si>
    <t>=NF($O691,"PAYRATE")</t>
  </si>
  <si>
    <t>=NF($O692,"PAYRATE")</t>
  </si>
  <si>
    <t>=NF($O693,"PAYRATE")</t>
  </si>
  <si>
    <t>=NF($O694,"PAYRATE")</t>
  </si>
  <si>
    <t>=NF($O695,"PAYRATE")</t>
  </si>
  <si>
    <t>=NF($O690,"PAYROLCD")</t>
  </si>
  <si>
    <t>=NF($O691,"PAYROLCD")</t>
  </si>
  <si>
    <t>=NF($O692,"PAYROLCD")</t>
  </si>
  <si>
    <t>=NF($O693,"PAYROLCD")</t>
  </si>
  <si>
    <t>=NF($O694,"PAYROLCD")</t>
  </si>
  <si>
    <t>=NF($O695,"PAYROLCD")</t>
  </si>
  <si>
    <t>=NF($O690,"STATECD")</t>
  </si>
  <si>
    <t>=NF($O691,"STATECD")</t>
  </si>
  <si>
    <t>=NF($O692,"STATECD")</t>
  </si>
  <si>
    <t>=NF($O693,"STATECD")</t>
  </si>
  <si>
    <t>=NF($O694,"STATECD")</t>
  </si>
  <si>
    <t>=NF($O695,"STATECD")</t>
  </si>
  <si>
    <t>=NF($O690,"CHEKDATE")</t>
  </si>
  <si>
    <t>=NF($O691,"CHEKDATE")</t>
  </si>
  <si>
    <t>=NF($O692,"CHEKDATE")</t>
  </si>
  <si>
    <t>=NF($O693,"CHEKDATE")</t>
  </si>
  <si>
    <t>=NF($O694,"CHEKDATE")</t>
  </si>
  <si>
    <t>=NF($O695,"CHEKDATE")</t>
  </si>
  <si>
    <t>=NF($O690,"UPRTRXAM")</t>
  </si>
  <si>
    <t>=NF($O691,"UPRTRXAM")</t>
  </si>
  <si>
    <t>=NF($O692,"UPRTRXAM")</t>
  </si>
  <si>
    <t>=NF($O693,"UPRTRXAM")</t>
  </si>
  <si>
    <t>=NF($O694,"UPRTRXAM")</t>
  </si>
  <si>
    <t>=NF($O695,"UPRTRXAM")</t>
  </si>
  <si>
    <t>=NF($O680,"PAYRATE")</t>
  </si>
  <si>
    <t>=NF($O681,"PAYRATE")</t>
  </si>
  <si>
    <t>=NF($O682,"PAYRATE")</t>
  </si>
  <si>
    <t>=NF($O683,"PAYRATE")</t>
  </si>
  <si>
    <t>=NF($O684,"PAYRATE")</t>
  </si>
  <si>
    <t>=NF($O685,"PAYRATE")</t>
  </si>
  <si>
    <t>=NF($O680,"PAYROLCD")</t>
  </si>
  <si>
    <t>=NF($O681,"PAYROLCD")</t>
  </si>
  <si>
    <t>=NF($O682,"PAYROLCD")</t>
  </si>
  <si>
    <t>=NF($O683,"PAYROLCD")</t>
  </si>
  <si>
    <t>=NF($O684,"PAYROLCD")</t>
  </si>
  <si>
    <t>=NF($O685,"PAYROLCD")</t>
  </si>
  <si>
    <t>=NF($O680,"STATECD")</t>
  </si>
  <si>
    <t>=NF($O681,"STATECD")</t>
  </si>
  <si>
    <t>=NF($O682,"STATECD")</t>
  </si>
  <si>
    <t>=NF($O683,"STATECD")</t>
  </si>
  <si>
    <t>=NF($O684,"STATECD")</t>
  </si>
  <si>
    <t>=NF($O685,"STATECD")</t>
  </si>
  <si>
    <t>=NF($O680,"CHEKDATE")</t>
  </si>
  <si>
    <t>=NF($O681,"CHEKDATE")</t>
  </si>
  <si>
    <t>=NF($O682,"CHEKDATE")</t>
  </si>
  <si>
    <t>=NF($O683,"CHEKDATE")</t>
  </si>
  <si>
    <t>=NF($O684,"CHEKDATE")</t>
  </si>
  <si>
    <t>=NF($O685,"CHEKDATE")</t>
  </si>
  <si>
    <t>=NF($O680,"UPRTRXAM")</t>
  </si>
  <si>
    <t>=NF($O681,"UPRTRXAM")</t>
  </si>
  <si>
    <t>=NF($O682,"UPRTRXAM")</t>
  </si>
  <si>
    <t>=NF($O683,"UPRTRXAM")</t>
  </si>
  <si>
    <t>=NF($O684,"UPRTRXAM")</t>
  </si>
  <si>
    <t>=NF($O685,"UPRTRXAM")</t>
  </si>
  <si>
    <t>=NF($O670,"PAYRATE")</t>
  </si>
  <si>
    <t>=NF($O671,"PAYRATE")</t>
  </si>
  <si>
    <t>=NF($O672,"PAYRATE")</t>
  </si>
  <si>
    <t>=NF($O673,"PAYRATE")</t>
  </si>
  <si>
    <t>=NF($O674,"PAYRATE")</t>
  </si>
  <si>
    <t>=NF($O675,"PAYRATE")</t>
  </si>
  <si>
    <t>=NF($O670,"PAYROLCD")</t>
  </si>
  <si>
    <t>=NF($O671,"PAYROLCD")</t>
  </si>
  <si>
    <t>=NF($O672,"PAYROLCD")</t>
  </si>
  <si>
    <t>=NF($O673,"PAYROLCD")</t>
  </si>
  <si>
    <t>=NF($O674,"PAYROLCD")</t>
  </si>
  <si>
    <t>=NF($O675,"PAYROLCD")</t>
  </si>
  <si>
    <t>=NF($O670,"STATECD")</t>
  </si>
  <si>
    <t>=NF($O671,"STATECD")</t>
  </si>
  <si>
    <t>=NF($O672,"STATECD")</t>
  </si>
  <si>
    <t>=NF($O673,"STATECD")</t>
  </si>
  <si>
    <t>=NF($O674,"STATECD")</t>
  </si>
  <si>
    <t>=NF($O675,"STATECD")</t>
  </si>
  <si>
    <t>=NF($O670,"CHEKDATE")</t>
  </si>
  <si>
    <t>=NF($O671,"CHEKDATE")</t>
  </si>
  <si>
    <t>=NF($O672,"CHEKDATE")</t>
  </si>
  <si>
    <t>=NF($O673,"CHEKDATE")</t>
  </si>
  <si>
    <t>=NF($O674,"CHEKDATE")</t>
  </si>
  <si>
    <t>=NF($O675,"CHEKDATE")</t>
  </si>
  <si>
    <t>=NF($O670,"UPRTRXAM")</t>
  </si>
  <si>
    <t>=NF($O671,"UPRTRXAM")</t>
  </si>
  <si>
    <t>=NF($O672,"UPRTRXAM")</t>
  </si>
  <si>
    <t>=NF($O673,"UPRTRXAM")</t>
  </si>
  <si>
    <t>=NF($O674,"UPRTRXAM")</t>
  </si>
  <si>
    <t>=NF($O675,"UPRTRXAM")</t>
  </si>
  <si>
    <t>=NF($O660,"PAYRATE")</t>
  </si>
  <si>
    <t>=NF($O661,"PAYRATE")</t>
  </si>
  <si>
    <t>=NF($O662,"PAYRATE")</t>
  </si>
  <si>
    <t>=NF($O663,"PAYRATE")</t>
  </si>
  <si>
    <t>=NF($O664,"PAYRATE")</t>
  </si>
  <si>
    <t>=NF($O665,"PAYRATE")</t>
  </si>
  <si>
    <t>=NF($O660,"PAYROLCD")</t>
  </si>
  <si>
    <t>=NF($O661,"PAYROLCD")</t>
  </si>
  <si>
    <t>=NF($O662,"PAYROLCD")</t>
  </si>
  <si>
    <t>=NF($O663,"PAYROLCD")</t>
  </si>
  <si>
    <t>=NF($O664,"PAYROLCD")</t>
  </si>
  <si>
    <t>=NF($O665,"PAYROLCD")</t>
  </si>
  <si>
    <t>=NF($O660,"STATECD")</t>
  </si>
  <si>
    <t>=NF($O661,"STATECD")</t>
  </si>
  <si>
    <t>=NF($O662,"STATECD")</t>
  </si>
  <si>
    <t>=NF($O663,"STATECD")</t>
  </si>
  <si>
    <t>=NF($O664,"STATECD")</t>
  </si>
  <si>
    <t>=NF($O665,"STATECD")</t>
  </si>
  <si>
    <t>=NF($O660,"CHEKDATE")</t>
  </si>
  <si>
    <t>=NF($O661,"CHEKDATE")</t>
  </si>
  <si>
    <t>=NF($O662,"CHEKDATE")</t>
  </si>
  <si>
    <t>=NF($O663,"CHEKDATE")</t>
  </si>
  <si>
    <t>=NF($O664,"CHEKDATE")</t>
  </si>
  <si>
    <t>=NF($O665,"CHEKDATE")</t>
  </si>
  <si>
    <t>=NF($O660,"UPRTRXAM")</t>
  </si>
  <si>
    <t>=NF($O661,"UPRTRXAM")</t>
  </si>
  <si>
    <t>=NF($O662,"UPRTRXAM")</t>
  </si>
  <si>
    <t>=NF($O663,"UPRTRXAM")</t>
  </si>
  <si>
    <t>=NF($O664,"UPRTRXAM")</t>
  </si>
  <si>
    <t>=NF($O665,"UPRTRXAM")</t>
  </si>
  <si>
    <t>=NF($O582,"PAYRATE")</t>
  </si>
  <si>
    <t>=NF($O583,"PAYRATE")</t>
  </si>
  <si>
    <t>=NF($O584,"PAYRATE")</t>
  </si>
  <si>
    <t>=NF($O585,"PAYRATE")</t>
  </si>
  <si>
    <t>=NF($O586,"PAYRATE")</t>
  </si>
  <si>
    <t>=NF($O582,"PAYROLCD")</t>
  </si>
  <si>
    <t>=NF($O583,"PAYROLCD")</t>
  </si>
  <si>
    <t>=NF($O584,"PAYROLCD")</t>
  </si>
  <si>
    <t>=NF($O585,"PAYROLCD")</t>
  </si>
  <si>
    <t>=NF($O586,"PAYROLCD")</t>
  </si>
  <si>
    <t>=NF($O582,"STATECD")</t>
  </si>
  <si>
    <t>=NF($O583,"STATECD")</t>
  </si>
  <si>
    <t>=NF($O584,"STATECD")</t>
  </si>
  <si>
    <t>=NF($O585,"STATECD")</t>
  </si>
  <si>
    <t>=NF($O586,"STATECD")</t>
  </si>
  <si>
    <t>=NF($O582,"CHEKDATE")</t>
  </si>
  <si>
    <t>=NF($O583,"CHEKDATE")</t>
  </si>
  <si>
    <t>=NF($O584,"CHEKDATE")</t>
  </si>
  <si>
    <t>=NF($O585,"CHEKDATE")</t>
  </si>
  <si>
    <t>=NF($O586,"CHEKDATE")</t>
  </si>
  <si>
    <t>=NF($O582,"UPRTRXAM")</t>
  </si>
  <si>
    <t>=NF($O583,"UPRTRXAM")</t>
  </si>
  <si>
    <t>=NF($O584,"UPRTRXAM")</t>
  </si>
  <si>
    <t>=NF($O585,"UPRTRXAM")</t>
  </si>
  <si>
    <t>=NF($O586,"UPRTRXAM")</t>
  </si>
  <si>
    <t>=NF($O628,"PAYRATE")</t>
  </si>
  <si>
    <t>=NF($O629,"PAYRATE")</t>
  </si>
  <si>
    <t>=NF($O630,"PAYRATE")</t>
  </si>
  <si>
    <t>=NF($O631,"PAYRATE")</t>
  </si>
  <si>
    <t>=NF($O632,"PAYRATE")</t>
  </si>
  <si>
    <t>=NF($O628,"PAYROLCD")</t>
  </si>
  <si>
    <t>=NF($O629,"PAYROLCD")</t>
  </si>
  <si>
    <t>=NF($O630,"PAYROLCD")</t>
  </si>
  <si>
    <t>=NF($O631,"PAYROLCD")</t>
  </si>
  <si>
    <t>=NF($O632,"PAYROLCD")</t>
  </si>
  <si>
    <t>=NF($O628,"STATECD")</t>
  </si>
  <si>
    <t>=NF($O629,"STATECD")</t>
  </si>
  <si>
    <t>=NF($O630,"STATECD")</t>
  </si>
  <si>
    <t>=NF($O631,"STATECD")</t>
  </si>
  <si>
    <t>=NF($O632,"STATECD")</t>
  </si>
  <si>
    <t>=NF($O628,"CHEKDATE")</t>
  </si>
  <si>
    <t>=NF($O629,"CHEKDATE")</t>
  </si>
  <si>
    <t>=NF($O630,"CHEKDATE")</t>
  </si>
  <si>
    <t>=NF($O631,"CHEKDATE")</t>
  </si>
  <si>
    <t>=NF($O632,"CHEKDATE")</t>
  </si>
  <si>
    <t>=NF($O628,"UPRTRXAM")</t>
  </si>
  <si>
    <t>=NF($O629,"UPRTRXAM")</t>
  </si>
  <si>
    <t>=NF($O630,"UPRTRXAM")</t>
  </si>
  <si>
    <t>=NF($O631,"UPRTRXAM")</t>
  </si>
  <si>
    <t>=NF($O632,"UPRTRXAM")</t>
  </si>
  <si>
    <t>=NF($O618,"PAYRATE")</t>
  </si>
  <si>
    <t>=NF($O619,"PAYRATE")</t>
  </si>
  <si>
    <t>=NF($O620,"PAYRATE")</t>
  </si>
  <si>
    <t>=NF($O621,"PAYRATE")</t>
  </si>
  <si>
    <t>=NF($O622,"PAYRATE")</t>
  </si>
  <si>
    <t>=NF($O623,"PAYRATE")</t>
  </si>
  <si>
    <t>=NF($O618,"PAYROLCD")</t>
  </si>
  <si>
    <t>=NF($O619,"PAYROLCD")</t>
  </si>
  <si>
    <t>=NF($O620,"PAYROLCD")</t>
  </si>
  <si>
    <t>=NF($O621,"PAYROLCD")</t>
  </si>
  <si>
    <t>=NF($O622,"PAYROLCD")</t>
  </si>
  <si>
    <t>=NF($O623,"PAYROLCD")</t>
  </si>
  <si>
    <t>=NF($O618,"STATECD")</t>
  </si>
  <si>
    <t>=NF($O619,"STATECD")</t>
  </si>
  <si>
    <t>=NF($O620,"STATECD")</t>
  </si>
  <si>
    <t>=NF($O621,"STATECD")</t>
  </si>
  <si>
    <t>=NF($O622,"STATECD")</t>
  </si>
  <si>
    <t>=NF($O623,"STATECD")</t>
  </si>
  <si>
    <t>=NF($O618,"CHEKDATE")</t>
  </si>
  <si>
    <t>=NF($O619,"CHEKDATE")</t>
  </si>
  <si>
    <t>=NF($O620,"CHEKDATE")</t>
  </si>
  <si>
    <t>=NF($O621,"CHEKDATE")</t>
  </si>
  <si>
    <t>=NF($O622,"CHEKDATE")</t>
  </si>
  <si>
    <t>=NF($O623,"CHEKDATE")</t>
  </si>
  <si>
    <t>=NF($O618,"UPRTRXAM")</t>
  </si>
  <si>
    <t>=NF($O619,"UPRTRXAM")</t>
  </si>
  <si>
    <t>=NF($O620,"UPRTRXAM")</t>
  </si>
  <si>
    <t>=NF($O621,"UPRTRXAM")</t>
  </si>
  <si>
    <t>=NF($O622,"UPRTRXAM")</t>
  </si>
  <si>
    <t>=NF($O623,"UPRTRXAM")</t>
  </si>
  <si>
    <t>=NF($O609,"PAYRATE")</t>
  </si>
  <si>
    <t>=NF($O610,"PAYRATE")</t>
  </si>
  <si>
    <t>=NF($O611,"PAYRATE")</t>
  </si>
  <si>
    <t>=NF($O612,"PAYRATE")</t>
  </si>
  <si>
    <t>=NF($O613,"PAYRATE")</t>
  </si>
  <si>
    <t>=NF($O609,"PAYROLCD")</t>
  </si>
  <si>
    <t>=NF($O610,"PAYROLCD")</t>
  </si>
  <si>
    <t>=NF($O611,"PAYROLCD")</t>
  </si>
  <si>
    <t>=NF($O612,"PAYROLCD")</t>
  </si>
  <si>
    <t>=NF($O613,"PAYROLCD")</t>
  </si>
  <si>
    <t>=NF($O609,"STATECD")</t>
  </si>
  <si>
    <t>=NF($O610,"STATECD")</t>
  </si>
  <si>
    <t>=NF($O611,"STATECD")</t>
  </si>
  <si>
    <t>=NF($O612,"STATECD")</t>
  </si>
  <si>
    <t>=NF($O613,"STATECD")</t>
  </si>
  <si>
    <t>=NF($O609,"CHEKDATE")</t>
  </si>
  <si>
    <t>=NF($O610,"CHEKDATE")</t>
  </si>
  <si>
    <t>=NF($O611,"CHEKDATE")</t>
  </si>
  <si>
    <t>=NF($O612,"CHEKDATE")</t>
  </si>
  <si>
    <t>=NF($O613,"CHEKDATE")</t>
  </si>
  <si>
    <t>=NF($O609,"UPRTRXAM")</t>
  </si>
  <si>
    <t>=NF($O610,"UPRTRXAM")</t>
  </si>
  <si>
    <t>=NF($O611,"UPRTRXAM")</t>
  </si>
  <si>
    <t>=NF($O612,"UPRTRXAM")</t>
  </si>
  <si>
    <t>=NF($O613,"UPRTRXAM")</t>
  </si>
  <si>
    <t>=NF($O600,"PAYRATE")</t>
  </si>
  <si>
    <t>=NF($O601,"PAYRATE")</t>
  </si>
  <si>
    <t>=NF($O602,"PAYRATE")</t>
  </si>
  <si>
    <t>=NF($O603,"PAYRATE")</t>
  </si>
  <si>
    <t>=NF($O604,"PAYRATE")</t>
  </si>
  <si>
    <t>=NF($O600,"PAYROLCD")</t>
  </si>
  <si>
    <t>=NF($O601,"PAYROLCD")</t>
  </si>
  <si>
    <t>=NF($O602,"PAYROLCD")</t>
  </si>
  <si>
    <t>=NF($O603,"PAYROLCD")</t>
  </si>
  <si>
    <t>=NF($O604,"PAYROLCD")</t>
  </si>
  <si>
    <t>=NF($O600,"STATECD")</t>
  </si>
  <si>
    <t>=NF($O601,"STATECD")</t>
  </si>
  <si>
    <t>=NF($O602,"STATECD")</t>
  </si>
  <si>
    <t>=NF($O603,"STATECD")</t>
  </si>
  <si>
    <t>=NF($O604,"STATECD")</t>
  </si>
  <si>
    <t>=NF($O600,"CHEKDATE")</t>
  </si>
  <si>
    <t>=NF($O601,"CHEKDATE")</t>
  </si>
  <si>
    <t>=NF($O602,"CHEKDATE")</t>
  </si>
  <si>
    <t>=NF($O603,"CHEKDATE")</t>
  </si>
  <si>
    <t>=NF($O604,"CHEKDATE")</t>
  </si>
  <si>
    <t>=NF($O600,"UPRTRXAM")</t>
  </si>
  <si>
    <t>=NF($O601,"UPRTRXAM")</t>
  </si>
  <si>
    <t>=NF($O602,"UPRTRXAM")</t>
  </si>
  <si>
    <t>=NF($O603,"UPRTRXAM")</t>
  </si>
  <si>
    <t>=NF($O604,"UPRTRXAM")</t>
  </si>
  <si>
    <t>=NF($O591,"PAYRATE")</t>
  </si>
  <si>
    <t>=NF($O592,"PAYRATE")</t>
  </si>
  <si>
    <t>=NF($O593,"PAYRATE")</t>
  </si>
  <si>
    <t>=NF($O594,"PAYRATE")</t>
  </si>
  <si>
    <t>=NF($O595,"PAYRATE")</t>
  </si>
  <si>
    <t>=NF($O591,"PAYROLCD")</t>
  </si>
  <si>
    <t>=NF($O592,"PAYROLCD")</t>
  </si>
  <si>
    <t>=NF($O593,"PAYROLCD")</t>
  </si>
  <si>
    <t>=NF($O594,"PAYROLCD")</t>
  </si>
  <si>
    <t>=NF($O595,"PAYROLCD")</t>
  </si>
  <si>
    <t>=NF($O591,"STATECD")</t>
  </si>
  <si>
    <t>=NF($O592,"STATECD")</t>
  </si>
  <si>
    <t>=NF($O593,"STATECD")</t>
  </si>
  <si>
    <t>=NF($O594,"STATECD")</t>
  </si>
  <si>
    <t>=NF($O595,"STATECD")</t>
  </si>
  <si>
    <t>=NF($O591,"CHEKDATE")</t>
  </si>
  <si>
    <t>=NF($O592,"CHEKDATE")</t>
  </si>
  <si>
    <t>=NF($O593,"CHEKDATE")</t>
  </si>
  <si>
    <t>=NF($O594,"CHEKDATE")</t>
  </si>
  <si>
    <t>=NF($O595,"CHEKDATE")</t>
  </si>
  <si>
    <t>=NF($O591,"UPRTRXAM")</t>
  </si>
  <si>
    <t>=NF($O592,"UPRTRXAM")</t>
  </si>
  <si>
    <t>=NF($O593,"UPRTRXAM")</t>
  </si>
  <si>
    <t>=NF($O594,"UPRTRXAM")</t>
  </si>
  <si>
    <t>=NF($O595,"UPRTRXAM")</t>
  </si>
  <si>
    <t>=NF($O263,"PAYRATE")</t>
  </si>
  <si>
    <t>=NF($O264,"PAYRATE")</t>
  </si>
  <si>
    <t>=NF($O265,"PAYRATE")</t>
  </si>
  <si>
    <t>=NF($O266,"PAYRATE")</t>
  </si>
  <si>
    <t>=NF($O267,"PAYRATE")</t>
  </si>
  <si>
    <t>=NF($O263,"PAYROLCD")</t>
  </si>
  <si>
    <t>=NF($O264,"PAYROLCD")</t>
  </si>
  <si>
    <t>=NF($O265,"PAYROLCD")</t>
  </si>
  <si>
    <t>=NF($O266,"PAYROLCD")</t>
  </si>
  <si>
    <t>=NF($O267,"PAYROLCD")</t>
  </si>
  <si>
    <t>=NF($O263,"STATECD")</t>
  </si>
  <si>
    <t>=NF($O264,"STATECD")</t>
  </si>
  <si>
    <t>=NF($O265,"STATECD")</t>
  </si>
  <si>
    <t>=NF($O266,"STATECD")</t>
  </si>
  <si>
    <t>=NF($O267,"STATECD")</t>
  </si>
  <si>
    <t>=NF($O263,"CHEKDATE")</t>
  </si>
  <si>
    <t>=NF($O264,"CHEKDATE")</t>
  </si>
  <si>
    <t>=NF($O265,"CHEKDATE")</t>
  </si>
  <si>
    <t>=NF($O266,"CHEKDATE")</t>
  </si>
  <si>
    <t>=NF($O267,"CHEKDATE")</t>
  </si>
  <si>
    <t>=NF($O263,"UPRTRXAM")</t>
  </si>
  <si>
    <t>=NF($O264,"UPRTRXAM")</t>
  </si>
  <si>
    <t>=NF($O265,"UPRTRXAM")</t>
  </si>
  <si>
    <t>=NF($O266,"UPRTRXAM")</t>
  </si>
  <si>
    <t>=NF($O267,"UPRTRXAM")</t>
  </si>
  <si>
    <t>=NF($O309,"PAYRATE")</t>
  </si>
  <si>
    <t>=NF($O310,"PAYRATE")</t>
  </si>
  <si>
    <t>=NF($O311,"PAYRATE")</t>
  </si>
  <si>
    <t>=NF($O312,"PAYRATE")</t>
  </si>
  <si>
    <t>=NF($O313,"PAYRATE")</t>
  </si>
  <si>
    <t>=NF($O309,"PAYROLCD")</t>
  </si>
  <si>
    <t>=NF($O310,"PAYROLCD")</t>
  </si>
  <si>
    <t>=NF($O311,"PAYROLCD")</t>
  </si>
  <si>
    <t>=NF($O312,"PAYROLCD")</t>
  </si>
  <si>
    <t>=NF($O313,"PAYROLCD")</t>
  </si>
  <si>
    <t>=NF($O309,"STATECD")</t>
  </si>
  <si>
    <t>=NF($O310,"STATECD")</t>
  </si>
  <si>
    <t>=NF($O311,"STATECD")</t>
  </si>
  <si>
    <t>=NF($O312,"STATECD")</t>
  </si>
  <si>
    <t>=NF($O313,"STATECD")</t>
  </si>
  <si>
    <t>=NF($O309,"CHEKDATE")</t>
  </si>
  <si>
    <t>=NF($O310,"CHEKDATE")</t>
  </si>
  <si>
    <t>=NF($O311,"CHEKDATE")</t>
  </si>
  <si>
    <t>=NF($O312,"CHEKDATE")</t>
  </si>
  <si>
    <t>=NF($O313,"CHEKDATE")</t>
  </si>
  <si>
    <t>=NF($O309,"UPRTRXAM")</t>
  </si>
  <si>
    <t>=NF($O310,"UPRTRXAM")</t>
  </si>
  <si>
    <t>=NF($O311,"UPRTRXAM")</t>
  </si>
  <si>
    <t>=NF($O312,"UPRTRXAM")</t>
  </si>
  <si>
    <t>=NF($O313,"UPRTRXAM")</t>
  </si>
  <si>
    <t>=NF($O300,"PAYRATE")</t>
  </si>
  <si>
    <t>=NF($O301,"PAYRATE")</t>
  </si>
  <si>
    <t>=NF($O302,"PAYRATE")</t>
  </si>
  <si>
    <t>=NF($O303,"PAYRATE")</t>
  </si>
  <si>
    <t>=NF($O304,"PAYRATE")</t>
  </si>
  <si>
    <t>=NF($O300,"PAYROLCD")</t>
  </si>
  <si>
    <t>=NF($O301,"PAYROLCD")</t>
  </si>
  <si>
    <t>=NF($O302,"PAYROLCD")</t>
  </si>
  <si>
    <t>=NF($O303,"PAYROLCD")</t>
  </si>
  <si>
    <t>=NF($O304,"PAYROLCD")</t>
  </si>
  <si>
    <t>=NF($O300,"STATECD")</t>
  </si>
  <si>
    <t>=NF($O301,"STATECD")</t>
  </si>
  <si>
    <t>=NF($O302,"STATECD")</t>
  </si>
  <si>
    <t>=NF($O303,"STATECD")</t>
  </si>
  <si>
    <t>=NF($O304,"STATECD")</t>
  </si>
  <si>
    <t>=NF($O300,"CHEKDATE")</t>
  </si>
  <si>
    <t>=NF($O301,"CHEKDATE")</t>
  </si>
  <si>
    <t>=NF($O302,"CHEKDATE")</t>
  </si>
  <si>
    <t>=NF($O303,"CHEKDATE")</t>
  </si>
  <si>
    <t>=NF($O304,"CHEKDATE")</t>
  </si>
  <si>
    <t>=NF($O300,"UPRTRXAM")</t>
  </si>
  <si>
    <t>=NF($O301,"UPRTRXAM")</t>
  </si>
  <si>
    <t>=NF($O302,"UPRTRXAM")</t>
  </si>
  <si>
    <t>=NF($O303,"UPRTRXAM")</t>
  </si>
  <si>
    <t>=NF($O304,"UPRTRXAM")</t>
  </si>
  <si>
    <t>=NF($O291,"PAYRATE")</t>
  </si>
  <si>
    <t>=NF($O292,"PAYRATE")</t>
  </si>
  <si>
    <t>=NF($O293,"PAYRATE")</t>
  </si>
  <si>
    <t>=NF($O294,"PAYRATE")</t>
  </si>
  <si>
    <t>=NF($O295,"PAYRATE")</t>
  </si>
  <si>
    <t>=NF($O291,"PAYROLCD")</t>
  </si>
  <si>
    <t>=NF($O292,"PAYROLCD")</t>
  </si>
  <si>
    <t>=NF($O293,"PAYROLCD")</t>
  </si>
  <si>
    <t>=NF($O294,"PAYROLCD")</t>
  </si>
  <si>
    <t>=NF($O295,"PAYROLCD")</t>
  </si>
  <si>
    <t>=NF($O291,"STATECD")</t>
  </si>
  <si>
    <t>=NF($O292,"STATECD")</t>
  </si>
  <si>
    <t>=NF($O293,"STATECD")</t>
  </si>
  <si>
    <t>=NF($O294,"STATECD")</t>
  </si>
  <si>
    <t>=NF($O295,"STATECD")</t>
  </si>
  <si>
    <t>=NF($O291,"CHEKDATE")</t>
  </si>
  <si>
    <t>=NF($O292,"CHEKDATE")</t>
  </si>
  <si>
    <t>=NF($O293,"CHEKDATE")</t>
  </si>
  <si>
    <t>=NF($O294,"CHEKDATE")</t>
  </si>
  <si>
    <t>=NF($O295,"CHEKDATE")</t>
  </si>
  <si>
    <t>=NF($O291,"UPRTRXAM")</t>
  </si>
  <si>
    <t>=NF($O292,"UPRTRXAM")</t>
  </si>
  <si>
    <t>=NF($O293,"UPRTRXAM")</t>
  </si>
  <si>
    <t>=NF($O294,"UPRTRXAM")</t>
  </si>
  <si>
    <t>=NF($O295,"UPRTRXAM")</t>
  </si>
  <si>
    <t>=NF($O281,"PAYRATE")</t>
  </si>
  <si>
    <t>=NF($O282,"PAYRATE")</t>
  </si>
  <si>
    <t>=NF($O283,"PAYRATE")</t>
  </si>
  <si>
    <t>=NF($O284,"PAYRATE")</t>
  </si>
  <si>
    <t>=NF($O285,"PAYRATE")</t>
  </si>
  <si>
    <t>=NF($O286,"PAYRATE")</t>
  </si>
  <si>
    <t>=NF($O281,"PAYROLCD")</t>
  </si>
  <si>
    <t>=NF($O282,"PAYROLCD")</t>
  </si>
  <si>
    <t>=NF($O283,"PAYROLCD")</t>
  </si>
  <si>
    <t>=NF($O284,"PAYROLCD")</t>
  </si>
  <si>
    <t>=NF($O285,"PAYROLCD")</t>
  </si>
  <si>
    <t>=NF($O286,"PAYROLCD")</t>
  </si>
  <si>
    <t>=NF($O281,"STATECD")</t>
  </si>
  <si>
    <t>=NF($O282,"STATECD")</t>
  </si>
  <si>
    <t>=NF($O283,"STATECD")</t>
  </si>
  <si>
    <t>=NF($O284,"STATECD")</t>
  </si>
  <si>
    <t>=NF($O285,"STATECD")</t>
  </si>
  <si>
    <t>=NF($O286,"STATECD")</t>
  </si>
  <si>
    <t>=NF($O281,"CHEKDATE")</t>
  </si>
  <si>
    <t>=NF($O282,"CHEKDATE")</t>
  </si>
  <si>
    <t>=NF($O283,"CHEKDATE")</t>
  </si>
  <si>
    <t>=NF($O284,"CHEKDATE")</t>
  </si>
  <si>
    <t>=NF($O285,"CHEKDATE")</t>
  </si>
  <si>
    <t>=NF($O286,"CHEKDATE")</t>
  </si>
  <si>
    <t>=NF($O281,"UPRTRXAM")</t>
  </si>
  <si>
    <t>=NF($O282,"UPRTRXAM")</t>
  </si>
  <si>
    <t>=NF($O283,"UPRTRXAM")</t>
  </si>
  <si>
    <t>=NF($O284,"UPRTRXAM")</t>
  </si>
  <si>
    <t>=NF($O285,"UPRTRXAM")</t>
  </si>
  <si>
    <t>=NF($O286,"UPRTRXAM")</t>
  </si>
  <si>
    <t>=NF($O272,"PAYRATE")</t>
  </si>
  <si>
    <t>=NF($O273,"PAYRATE")</t>
  </si>
  <si>
    <t>=NF($O274,"PAYRATE")</t>
  </si>
  <si>
    <t>=NF($O275,"PAYRATE")</t>
  </si>
  <si>
    <t>=NF($O276,"PAYRATE")</t>
  </si>
  <si>
    <t>=NF($O272,"PAYROLCD")</t>
  </si>
  <si>
    <t>=NF($O273,"PAYROLCD")</t>
  </si>
  <si>
    <t>=NF($O274,"PAYROLCD")</t>
  </si>
  <si>
    <t>=NF($O275,"PAYROLCD")</t>
  </si>
  <si>
    <t>=NF($O276,"PAYROLCD")</t>
  </si>
  <si>
    <t>=NF($O272,"STATECD")</t>
  </si>
  <si>
    <t>=NF($O273,"STATECD")</t>
  </si>
  <si>
    <t>=NF($O274,"STATECD")</t>
  </si>
  <si>
    <t>=NF($O275,"STATECD")</t>
  </si>
  <si>
    <t>=NF($O276,"STATECD")</t>
  </si>
  <si>
    <t>=NF($O272,"CHEKDATE")</t>
  </si>
  <si>
    <t>=NF($O273,"CHEKDATE")</t>
  </si>
  <si>
    <t>=NF($O274,"CHEKDATE")</t>
  </si>
  <si>
    <t>=NF($O275,"CHEKDATE")</t>
  </si>
  <si>
    <t>=NF($O276,"CHEKDATE")</t>
  </si>
  <si>
    <t>=NF($O272,"UPRTRXAM")</t>
  </si>
  <si>
    <t>=NF($O273,"UPRTRXAM")</t>
  </si>
  <si>
    <t>=NF($O274,"UPRTRXAM")</t>
  </si>
  <si>
    <t>=NF($O275,"UPRTRXAM")</t>
  </si>
  <si>
    <t>=NF($O276,"UPRTRXAM")</t>
  </si>
  <si>
    <t>=NF($O446,"PAYRATE")</t>
  </si>
  <si>
    <t>=NF($O447,"PAYRATE")</t>
  </si>
  <si>
    <t>=NF($O448,"PAYRATE")</t>
  </si>
  <si>
    <t>=NF($O449,"PAYRATE")</t>
  </si>
  <si>
    <t>=NF($O450,"PAYRATE")</t>
  </si>
  <si>
    <t>=NF($O451,"PAYRATE")</t>
  </si>
  <si>
    <t>=NF($O452,"PAYRATE")</t>
  </si>
  <si>
    <t>=NF($O446,"PAYROLCD")</t>
  </si>
  <si>
    <t>=NF($O447,"PAYROLCD")</t>
  </si>
  <si>
    <t>=NF($O448,"PAYROLCD")</t>
  </si>
  <si>
    <t>=NF($O449,"PAYROLCD")</t>
  </si>
  <si>
    <t>=NF($O450,"PAYROLCD")</t>
  </si>
  <si>
    <t>=NF($O451,"PAYROLCD")</t>
  </si>
  <si>
    <t>=NF($O452,"PAYROLCD")</t>
  </si>
  <si>
    <t>=NF($O446,"STATECD")</t>
  </si>
  <si>
    <t>=NF($O447,"STATECD")</t>
  </si>
  <si>
    <t>=NF($O448,"STATECD")</t>
  </si>
  <si>
    <t>=NF($O449,"STATECD")</t>
  </si>
  <si>
    <t>=NF($O450,"STATECD")</t>
  </si>
  <si>
    <t>=NF($O451,"STATECD")</t>
  </si>
  <si>
    <t>=NF($O452,"STATECD")</t>
  </si>
  <si>
    <t>=NF($O446,"CHEKDATE")</t>
  </si>
  <si>
    <t>=NF($O447,"CHEKDATE")</t>
  </si>
  <si>
    <t>=NF($O448,"CHEKDATE")</t>
  </si>
  <si>
    <t>=NF($O449,"CHEKDATE")</t>
  </si>
  <si>
    <t>=NF($O450,"CHEKDATE")</t>
  </si>
  <si>
    <t>=NF($O451,"CHEKDATE")</t>
  </si>
  <si>
    <t>=NF($O452,"CHEKDATE")</t>
  </si>
  <si>
    <t>=NF($O446,"UPRTRXAM")</t>
  </si>
  <si>
    <t>=NF($O447,"UPRTRXAM")</t>
  </si>
  <si>
    <t>=NF($O448,"UPRTRXAM")</t>
  </si>
  <si>
    <t>=NF($O449,"UPRTRXAM")</t>
  </si>
  <si>
    <t>=NF($O450,"UPRTRXAM")</t>
  </si>
  <si>
    <t>=NF($O451,"UPRTRXAM")</t>
  </si>
  <si>
    <t>=NF($O452,"UPRTRXAM")</t>
  </si>
  <si>
    <t>=NF($O498,"PAYRATE")</t>
  </si>
  <si>
    <t>=NF($O499,"PAYRATE")</t>
  </si>
  <si>
    <t>=NF($O500,"PAYRATE")</t>
  </si>
  <si>
    <t>=NF($O501,"PAYRATE")</t>
  </si>
  <si>
    <t>=NF($O502,"PAYRATE")</t>
  </si>
  <si>
    <t>=NF($O503,"PAYRATE")</t>
  </si>
  <si>
    <t>=NF($O498,"PAYROLCD")</t>
  </si>
  <si>
    <t>=NF($O499,"PAYROLCD")</t>
  </si>
  <si>
    <t>=NF($O500,"PAYROLCD")</t>
  </si>
  <si>
    <t>=NF($O501,"PAYROLCD")</t>
  </si>
  <si>
    <t>=NF($O502,"PAYROLCD")</t>
  </si>
  <si>
    <t>=NF($O503,"PAYROLCD")</t>
  </si>
  <si>
    <t>=NF($O498,"STATECD")</t>
  </si>
  <si>
    <t>=NF($O499,"STATECD")</t>
  </si>
  <si>
    <t>=NF($O500,"STATECD")</t>
  </si>
  <si>
    <t>=NF($O501,"STATECD")</t>
  </si>
  <si>
    <t>=NF($O502,"STATECD")</t>
  </si>
  <si>
    <t>=NF($O503,"STATECD")</t>
  </si>
  <si>
    <t>=NF($O498,"CHEKDATE")</t>
  </si>
  <si>
    <t>=NF($O499,"CHEKDATE")</t>
  </si>
  <si>
    <t>=NF($O500,"CHEKDATE")</t>
  </si>
  <si>
    <t>=NF($O501,"CHEKDATE")</t>
  </si>
  <si>
    <t>=NF($O502,"CHEKDATE")</t>
  </si>
  <si>
    <t>=NF($O503,"CHEKDATE")</t>
  </si>
  <si>
    <t>=NF($O498,"UPRTRXAM")</t>
  </si>
  <si>
    <t>=NF($O499,"UPRTRXAM")</t>
  </si>
  <si>
    <t>=NF($O500,"UPRTRXAM")</t>
  </si>
  <si>
    <t>=NF($O501,"UPRTRXAM")</t>
  </si>
  <si>
    <t>=NF($O502,"UPRTRXAM")</t>
  </si>
  <si>
    <t>=NF($O503,"UPRTRXAM")</t>
  </si>
  <si>
    <t>=NF($O487,"PAYRATE")</t>
  </si>
  <si>
    <t>=NF($O488,"PAYRATE")</t>
  </si>
  <si>
    <t>=NF($O489,"PAYRATE")</t>
  </si>
  <si>
    <t>=NF($O490,"PAYRATE")</t>
  </si>
  <si>
    <t>=NF($O491,"PAYRATE")</t>
  </si>
  <si>
    <t>=NF($O492,"PAYRATE")</t>
  </si>
  <si>
    <t>=NF($O493,"PAYRATE")</t>
  </si>
  <si>
    <t>=NF($O487,"PAYROLCD")</t>
  </si>
  <si>
    <t>=NF($O488,"PAYROLCD")</t>
  </si>
  <si>
    <t>=NF($O489,"PAYROLCD")</t>
  </si>
  <si>
    <t>=NF($O490,"PAYROLCD")</t>
  </si>
  <si>
    <t>=NF($O491,"PAYROLCD")</t>
  </si>
  <si>
    <t>=NF($O492,"PAYROLCD")</t>
  </si>
  <si>
    <t>=NF($O493,"PAYROLCD")</t>
  </si>
  <si>
    <t>=NF($O487,"STATECD")</t>
  </si>
  <si>
    <t>=NF($O488,"STATECD")</t>
  </si>
  <si>
    <t>=NF($O489,"STATECD")</t>
  </si>
  <si>
    <t>=NF($O490,"STATECD")</t>
  </si>
  <si>
    <t>=NF($O491,"STATECD")</t>
  </si>
  <si>
    <t>=NF($O492,"STATECD")</t>
  </si>
  <si>
    <t>=NF($O493,"STATECD")</t>
  </si>
  <si>
    <t>=NF($O487,"CHEKDATE")</t>
  </si>
  <si>
    <t>=NF($O488,"CHEKDATE")</t>
  </si>
  <si>
    <t>=NF($O489,"CHEKDATE")</t>
  </si>
  <si>
    <t>=NF($O490,"CHEKDATE")</t>
  </si>
  <si>
    <t>=NF($O491,"CHEKDATE")</t>
  </si>
  <si>
    <t>=NF($O492,"CHEKDATE")</t>
  </si>
  <si>
    <t>=NF($O493,"CHEKDATE")</t>
  </si>
  <si>
    <t>=NF($O487,"UPRTRXAM")</t>
  </si>
  <si>
    <t>=NF($O488,"UPRTRXAM")</t>
  </si>
  <si>
    <t>=NF($O489,"UPRTRXAM")</t>
  </si>
  <si>
    <t>=NF($O490,"UPRTRXAM")</t>
  </si>
  <si>
    <t>=NF($O491,"UPRTRXAM")</t>
  </si>
  <si>
    <t>=NF($O492,"UPRTRXAM")</t>
  </si>
  <si>
    <t>=NF($O493,"UPRTRXAM")</t>
  </si>
  <si>
    <t>=NF($O477,"PAYRATE")</t>
  </si>
  <si>
    <t>=NF($O478,"PAYRATE")</t>
  </si>
  <si>
    <t>=NF($O479,"PAYRATE")</t>
  </si>
  <si>
    <t>=NF($O480,"PAYRATE")</t>
  </si>
  <si>
    <t>=NF($O481,"PAYRATE")</t>
  </si>
  <si>
    <t>=NF($O482,"PAYRATE")</t>
  </si>
  <si>
    <t>=NF($O477,"PAYROLCD")</t>
  </si>
  <si>
    <t>=NF($O478,"PAYROLCD")</t>
  </si>
  <si>
    <t>=NF($O479,"PAYROLCD")</t>
  </si>
  <si>
    <t>=NF($O480,"PAYROLCD")</t>
  </si>
  <si>
    <t>=NF($O481,"PAYROLCD")</t>
  </si>
  <si>
    <t>=NF($O482,"PAYROLCD")</t>
  </si>
  <si>
    <t>=NF($O477,"STATECD")</t>
  </si>
  <si>
    <t>=NF($O478,"STATECD")</t>
  </si>
  <si>
    <t>=NF($O479,"STATECD")</t>
  </si>
  <si>
    <t>=NF($O480,"STATECD")</t>
  </si>
  <si>
    <t>=NF($O481,"STATECD")</t>
  </si>
  <si>
    <t>=NF($O482,"STATECD")</t>
  </si>
  <si>
    <t>=NF($O477,"CHEKDATE")</t>
  </si>
  <si>
    <t>=NF($O478,"CHEKDATE")</t>
  </si>
  <si>
    <t>=NF($O479,"CHEKDATE")</t>
  </si>
  <si>
    <t>=NF($O480,"CHEKDATE")</t>
  </si>
  <si>
    <t>=NF($O481,"CHEKDATE")</t>
  </si>
  <si>
    <t>=NF($O482,"CHEKDATE")</t>
  </si>
  <si>
    <t>=NF($O477,"UPRTRXAM")</t>
  </si>
  <si>
    <t>=NF($O478,"UPRTRXAM")</t>
  </si>
  <si>
    <t>=NF($O479,"UPRTRXAM")</t>
  </si>
  <si>
    <t>=NF($O480,"UPRTRXAM")</t>
  </si>
  <si>
    <t>=NF($O481,"UPRTRXAM")</t>
  </si>
  <si>
    <t>=NF($O482,"UPRTRXAM")</t>
  </si>
  <si>
    <t>=NF($O467,"PAYRATE")</t>
  </si>
  <si>
    <t>=NF($O468,"PAYRATE")</t>
  </si>
  <si>
    <t>=NF($O469,"PAYRATE")</t>
  </si>
  <si>
    <t>=NF($O470,"PAYRATE")</t>
  </si>
  <si>
    <t>=NF($O471,"PAYRATE")</t>
  </si>
  <si>
    <t>=NF($O472,"PAYRATE")</t>
  </si>
  <si>
    <t>=NF($O467,"PAYROLCD")</t>
  </si>
  <si>
    <t>=NF($O468,"PAYROLCD")</t>
  </si>
  <si>
    <t>=NF($O469,"PAYROLCD")</t>
  </si>
  <si>
    <t>=NF($O470,"PAYROLCD")</t>
  </si>
  <si>
    <t>=NF($O471,"PAYROLCD")</t>
  </si>
  <si>
    <t>=NF($O472,"PAYROLCD")</t>
  </si>
  <si>
    <t>=NF($O467,"STATECD")</t>
  </si>
  <si>
    <t>=NF($O468,"STATECD")</t>
  </si>
  <si>
    <t>=NF($O469,"STATECD")</t>
  </si>
  <si>
    <t>=NF($O470,"STATECD")</t>
  </si>
  <si>
    <t>=NF($O471,"STATECD")</t>
  </si>
  <si>
    <t>=NF($O472,"STATECD")</t>
  </si>
  <si>
    <t>=NF($O467,"CHEKDATE")</t>
  </si>
  <si>
    <t>=NF($O468,"CHEKDATE")</t>
  </si>
  <si>
    <t>=NF($O469,"CHEKDATE")</t>
  </si>
  <si>
    <t>=NF($O470,"CHEKDATE")</t>
  </si>
  <si>
    <t>=NF($O471,"CHEKDATE")</t>
  </si>
  <si>
    <t>=NF($O472,"CHEKDATE")</t>
  </si>
  <si>
    <t>=NF($O467,"UPRTRXAM")</t>
  </si>
  <si>
    <t>=NF($O468,"UPRTRXAM")</t>
  </si>
  <si>
    <t>=NF($O469,"UPRTRXAM")</t>
  </si>
  <si>
    <t>=NF($O470,"UPRTRXAM")</t>
  </si>
  <si>
    <t>=NF($O471,"UPRTRXAM")</t>
  </si>
  <si>
    <t>=NF($O472,"UPRTRXAM")</t>
  </si>
  <si>
    <t>=NF($O457,"PAYRATE")</t>
  </si>
  <si>
    <t>=NF($O458,"PAYRATE")</t>
  </si>
  <si>
    <t>=NF($O459,"PAYRATE")</t>
  </si>
  <si>
    <t>=NF($O460,"PAYRATE")</t>
  </si>
  <si>
    <t>=NF($O461,"PAYRATE")</t>
  </si>
  <si>
    <t>=NF($O462,"PAYRATE")</t>
  </si>
  <si>
    <t>=NF($O457,"PAYROLCD")</t>
  </si>
  <si>
    <t>=NF($O458,"PAYROLCD")</t>
  </si>
  <si>
    <t>=NF($O459,"PAYROLCD")</t>
  </si>
  <si>
    <t>=NF($O460,"PAYROLCD")</t>
  </si>
  <si>
    <t>=NF($O461,"PAYROLCD")</t>
  </si>
  <si>
    <t>=NF($O462,"PAYROLCD")</t>
  </si>
  <si>
    <t>=NF($O457,"STATECD")</t>
  </si>
  <si>
    <t>=NF($O458,"STATECD")</t>
  </si>
  <si>
    <t>=NF($O459,"STATECD")</t>
  </si>
  <si>
    <t>=NF($O460,"STATECD")</t>
  </si>
  <si>
    <t>=NF($O461,"STATECD")</t>
  </si>
  <si>
    <t>=NF($O462,"STATECD")</t>
  </si>
  <si>
    <t>=NF($O457,"CHEKDATE")</t>
  </si>
  <si>
    <t>=NF($O458,"CHEKDATE")</t>
  </si>
  <si>
    <t>=NF($O459,"CHEKDATE")</t>
  </si>
  <si>
    <t>=NF($O460,"CHEKDATE")</t>
  </si>
  <si>
    <t>=NF($O461,"CHEKDATE")</t>
  </si>
  <si>
    <t>=NF($O462,"CHEKDATE")</t>
  </si>
  <si>
    <t>=NF($O457,"UPRTRXAM")</t>
  </si>
  <si>
    <t>=NF($O458,"UPRTRXAM")</t>
  </si>
  <si>
    <t>=NF($O459,"UPRTRXAM")</t>
  </si>
  <si>
    <t>=NF($O460,"UPRTRXAM")</t>
  </si>
  <si>
    <t>=NF($O461,"UPRTRXAM")</t>
  </si>
  <si>
    <t>=NF($O462,"UPRTRXAM")</t>
  </si>
  <si>
    <t>=NF($O388,"PAYRATE")</t>
  </si>
  <si>
    <t>=NF($O389,"PAYRATE")</t>
  </si>
  <si>
    <t>=NF($O390,"PAYRATE")</t>
  </si>
  <si>
    <t>=NF($O391,"PAYRATE")</t>
  </si>
  <si>
    <t>=NF($O392,"PAYRATE")</t>
  </si>
  <si>
    <t>=NF($O388,"PAYROLCD")</t>
  </si>
  <si>
    <t>=NF($O389,"PAYROLCD")</t>
  </si>
  <si>
    <t>=NF($O390,"PAYROLCD")</t>
  </si>
  <si>
    <t>=NF($O391,"PAYROLCD")</t>
  </si>
  <si>
    <t>=NF($O392,"PAYROLCD")</t>
  </si>
  <si>
    <t>=NF($O388,"STATECD")</t>
  </si>
  <si>
    <t>=NF($O389,"STATECD")</t>
  </si>
  <si>
    <t>=NF($O390,"STATECD")</t>
  </si>
  <si>
    <t>=NF($O391,"STATECD")</t>
  </si>
  <si>
    <t>=NF($O392,"STATECD")</t>
  </si>
  <si>
    <t>=NF($O388,"CHEKDATE")</t>
  </si>
  <si>
    <t>=NF($O389,"CHEKDATE")</t>
  </si>
  <si>
    <t>=NF($O390,"CHEKDATE")</t>
  </si>
  <si>
    <t>=NF($O391,"CHEKDATE")</t>
  </si>
  <si>
    <t>=NF($O392,"CHEKDATE")</t>
  </si>
  <si>
    <t>=NF($O388,"UPRTRXAM")</t>
  </si>
  <si>
    <t>=NF($O389,"UPRTRXAM")</t>
  </si>
  <si>
    <t>=NF($O390,"UPRTRXAM")</t>
  </si>
  <si>
    <t>=NF($O391,"UPRTRXAM")</t>
  </si>
  <si>
    <t>=NF($O392,"UPRTRXAM")</t>
  </si>
  <si>
    <t>=NF($O434,"PAYRATE")</t>
  </si>
  <si>
    <t>=NF($O435,"PAYRATE")</t>
  </si>
  <si>
    <t>=NF($O436,"PAYRATE")</t>
  </si>
  <si>
    <t>=NF($O437,"PAYRATE")</t>
  </si>
  <si>
    <t>=NF($O438,"PAYRATE")</t>
  </si>
  <si>
    <t>=NF($O434,"PAYROLCD")</t>
  </si>
  <si>
    <t>=NF($O435,"PAYROLCD")</t>
  </si>
  <si>
    <t>=NF($O436,"PAYROLCD")</t>
  </si>
  <si>
    <t>=NF($O437,"PAYROLCD")</t>
  </si>
  <si>
    <t>=NF($O438,"PAYROLCD")</t>
  </si>
  <si>
    <t>=NF($O434,"STATECD")</t>
  </si>
  <si>
    <t>=NF($O435,"STATECD")</t>
  </si>
  <si>
    <t>=NF($O436,"STATECD")</t>
  </si>
  <si>
    <t>=NF($O437,"STATECD")</t>
  </si>
  <si>
    <t>=NF($O438,"STATECD")</t>
  </si>
  <si>
    <t>=NF($O434,"CHEKDATE")</t>
  </si>
  <si>
    <t>=NF($O435,"CHEKDATE")</t>
  </si>
  <si>
    <t>=NF($O436,"CHEKDATE")</t>
  </si>
  <si>
    <t>=NF($O437,"CHEKDATE")</t>
  </si>
  <si>
    <t>=NF($O438,"CHEKDATE")</t>
  </si>
  <si>
    <t>=NF($O434,"UPRTRXAM")</t>
  </si>
  <si>
    <t>=NF($O435,"UPRTRXAM")</t>
  </si>
  <si>
    <t>=NF($O436,"UPRTRXAM")</t>
  </si>
  <si>
    <t>=NF($O437,"UPRTRXAM")</t>
  </si>
  <si>
    <t>=NF($O438,"UPRTRXAM")</t>
  </si>
  <si>
    <t>=NF($O425,"PAYRATE")</t>
  </si>
  <si>
    <t>=NF($O426,"PAYRATE")</t>
  </si>
  <si>
    <t>=NF($O427,"PAYRATE")</t>
  </si>
  <si>
    <t>=NF($O428,"PAYRATE")</t>
  </si>
  <si>
    <t>=NF($O429,"PAYRATE")</t>
  </si>
  <si>
    <t>=NF($O425,"PAYROLCD")</t>
  </si>
  <si>
    <t>=NF($O426,"PAYROLCD")</t>
  </si>
  <si>
    <t>=NF($O427,"PAYROLCD")</t>
  </si>
  <si>
    <t>=NF($O428,"PAYROLCD")</t>
  </si>
  <si>
    <t>=NF($O429,"PAYROLCD")</t>
  </si>
  <si>
    <t>=NF($O425,"STATECD")</t>
  </si>
  <si>
    <t>=NF($O426,"STATECD")</t>
  </si>
  <si>
    <t>=NF($O427,"STATECD")</t>
  </si>
  <si>
    <t>=NF($O428,"STATECD")</t>
  </si>
  <si>
    <t>=NF($O429,"STATECD")</t>
  </si>
  <si>
    <t>=NF($O425,"CHEKDATE")</t>
  </si>
  <si>
    <t>=NF($O426,"CHEKDATE")</t>
  </si>
  <si>
    <t>=NF($O427,"CHEKDATE")</t>
  </si>
  <si>
    <t>=NF($O428,"CHEKDATE")</t>
  </si>
  <si>
    <t>=NF($O429,"CHEKDATE")</t>
  </si>
  <si>
    <t>=NF($O425,"UPRTRXAM")</t>
  </si>
  <si>
    <t>=NF($O426,"UPRTRXAM")</t>
  </si>
  <si>
    <t>=NF($O427,"UPRTRXAM")</t>
  </si>
  <si>
    <t>=NF($O428,"UPRTRXAM")</t>
  </si>
  <si>
    <t>=NF($O429,"UPRTRXAM")</t>
  </si>
  <si>
    <t>=NF($O416,"PAYRATE")</t>
  </si>
  <si>
    <t>=NF($O417,"PAYRATE")</t>
  </si>
  <si>
    <t>=NF($O418,"PAYRATE")</t>
  </si>
  <si>
    <t>=NF($O419,"PAYRATE")</t>
  </si>
  <si>
    <t>=NF($O420,"PAYRATE")</t>
  </si>
  <si>
    <t>=NF($O416,"PAYROLCD")</t>
  </si>
  <si>
    <t>=NF($O417,"PAYROLCD")</t>
  </si>
  <si>
    <t>=NF($O418,"PAYROLCD")</t>
  </si>
  <si>
    <t>=NF($O419,"PAYROLCD")</t>
  </si>
  <si>
    <t>=NF($O420,"PAYROLCD")</t>
  </si>
  <si>
    <t>=NF($O416,"STATECD")</t>
  </si>
  <si>
    <t>=NF($O417,"STATECD")</t>
  </si>
  <si>
    <t>=NF($O418,"STATECD")</t>
  </si>
  <si>
    <t>=NF($O419,"STATECD")</t>
  </si>
  <si>
    <t>=NF($O420,"STATECD")</t>
  </si>
  <si>
    <t>=NF($O416,"CHEKDATE")</t>
  </si>
  <si>
    <t>=NF($O417,"CHEKDATE")</t>
  </si>
  <si>
    <t>=NF($O418,"CHEKDATE")</t>
  </si>
  <si>
    <t>=NF($O419,"CHEKDATE")</t>
  </si>
  <si>
    <t>=NF($O420,"CHEKDATE")</t>
  </si>
  <si>
    <t>=NF($O416,"UPRTRXAM")</t>
  </si>
  <si>
    <t>=NF($O417,"UPRTRXAM")</t>
  </si>
  <si>
    <t>=NF($O418,"UPRTRXAM")</t>
  </si>
  <si>
    <t>=NF($O419,"UPRTRXAM")</t>
  </si>
  <si>
    <t>=NF($O420,"UPRTRXAM")</t>
  </si>
  <si>
    <t>=NF($O407,"PAYRATE")</t>
  </si>
  <si>
    <t>=NF($O408,"PAYRATE")</t>
  </si>
  <si>
    <t>=NF($O409,"PAYRATE")</t>
  </si>
  <si>
    <t>=NF($O410,"PAYRATE")</t>
  </si>
  <si>
    <t>=NF($O411,"PAYRATE")</t>
  </si>
  <si>
    <t>=NF($O407,"PAYROLCD")</t>
  </si>
  <si>
    <t>=NF($O408,"PAYROLCD")</t>
  </si>
  <si>
    <t>=NF($O409,"PAYROLCD")</t>
  </si>
  <si>
    <t>=NF($O410,"PAYROLCD")</t>
  </si>
  <si>
    <t>=NF($O411,"PAYROLCD")</t>
  </si>
  <si>
    <t>=NF($O407,"STATECD")</t>
  </si>
  <si>
    <t>=NF($O408,"STATECD")</t>
  </si>
  <si>
    <t>=NF($O409,"STATECD")</t>
  </si>
  <si>
    <t>=NF($O410,"STATECD")</t>
  </si>
  <si>
    <t>=NF($O411,"STATECD")</t>
  </si>
  <si>
    <t>=NF($O407,"CHEKDATE")</t>
  </si>
  <si>
    <t>=NF($O408,"CHEKDATE")</t>
  </si>
  <si>
    <t>=NF($O409,"CHEKDATE")</t>
  </si>
  <si>
    <t>=NF($O410,"CHEKDATE")</t>
  </si>
  <si>
    <t>=NF($O411,"CHEKDATE")</t>
  </si>
  <si>
    <t>=NF($O407,"UPRTRXAM")</t>
  </si>
  <si>
    <t>=NF($O408,"UPRTRXAM")</t>
  </si>
  <si>
    <t>=NF($O409,"UPRTRXAM")</t>
  </si>
  <si>
    <t>=NF($O410,"UPRTRXAM")</t>
  </si>
  <si>
    <t>=NF($O411,"UPRTRXAM")</t>
  </si>
  <si>
    <t>=NF($O397,"PAYRATE")</t>
  </si>
  <si>
    <t>=NF($O398,"PAYRATE")</t>
  </si>
  <si>
    <t>=NF($O399,"PAYRATE")</t>
  </si>
  <si>
    <t>=NF($O400,"PAYRATE")</t>
  </si>
  <si>
    <t>=NF($O401,"PAYRATE")</t>
  </si>
  <si>
    <t>=NF($O402,"PAYRATE")</t>
  </si>
  <si>
    <t>=NF($O397,"PAYROLCD")</t>
  </si>
  <si>
    <t>=NF($O398,"PAYROLCD")</t>
  </si>
  <si>
    <t>=NF($O399,"PAYROLCD")</t>
  </si>
  <si>
    <t>=NF($O400,"PAYROLCD")</t>
  </si>
  <si>
    <t>=NF($O401,"PAYROLCD")</t>
  </si>
  <si>
    <t>=NF($O402,"PAYROLCD")</t>
  </si>
  <si>
    <t>=NF($O397,"STATECD")</t>
  </si>
  <si>
    <t>=NF($O398,"STATECD")</t>
  </si>
  <si>
    <t>=NF($O399,"STATECD")</t>
  </si>
  <si>
    <t>=NF($O400,"STATECD")</t>
  </si>
  <si>
    <t>=NF($O401,"STATECD")</t>
  </si>
  <si>
    <t>=NF($O402,"STATECD")</t>
  </si>
  <si>
    <t>=NF($O397,"CHEKDATE")</t>
  </si>
  <si>
    <t>=NF($O398,"CHEKDATE")</t>
  </si>
  <si>
    <t>=NF($O399,"CHEKDATE")</t>
  </si>
  <si>
    <t>=NF($O400,"CHEKDATE")</t>
  </si>
  <si>
    <t>=NF($O401,"CHEKDATE")</t>
  </si>
  <si>
    <t>=NF($O402,"CHEKDATE")</t>
  </si>
  <si>
    <t>=NF($O397,"UPRTRXAM")</t>
  </si>
  <si>
    <t>=NF($O398,"UPRTRXAM")</t>
  </si>
  <si>
    <t>=NF($O399,"UPRTRXAM")</t>
  </si>
  <si>
    <t>=NF($O400,"UPRTRXAM")</t>
  </si>
  <si>
    <t>=NF($O401,"UPRTRXAM")</t>
  </si>
  <si>
    <t>=NF($O402,"UPRTRXAM")</t>
  </si>
  <si>
    <t>=NF($O321,"PAYRATE")</t>
  </si>
  <si>
    <t>=NF($O322,"PAYRATE")</t>
  </si>
  <si>
    <t>=NF($O323,"PAYRATE")</t>
  </si>
  <si>
    <t>=NF($O324,"PAYRATE")</t>
  </si>
  <si>
    <t>=NF($O325,"PAYRATE")</t>
  </si>
  <si>
    <t>=NF($O321,"PAYROLCD")</t>
  </si>
  <si>
    <t>=NF($O322,"PAYROLCD")</t>
  </si>
  <si>
    <t>=NF($O323,"PAYROLCD")</t>
  </si>
  <si>
    <t>=NF($O324,"PAYROLCD")</t>
  </si>
  <si>
    <t>=NF($O325,"PAYROLCD")</t>
  </si>
  <si>
    <t>=NF($O321,"STATECD")</t>
  </si>
  <si>
    <t>=NF($O322,"STATECD")</t>
  </si>
  <si>
    <t>=NF($O323,"STATECD")</t>
  </si>
  <si>
    <t>=NF($O324,"STATECD")</t>
  </si>
  <si>
    <t>=NF($O325,"STATECD")</t>
  </si>
  <si>
    <t>=NF($O321,"CHEKDATE")</t>
  </si>
  <si>
    <t>=NF($O322,"CHEKDATE")</t>
  </si>
  <si>
    <t>=NF($O323,"CHEKDATE")</t>
  </si>
  <si>
    <t>=NF($O324,"CHEKDATE")</t>
  </si>
  <si>
    <t>=NF($O325,"CHEKDATE")</t>
  </si>
  <si>
    <t>=NF($O321,"UPRTRXAM")</t>
  </si>
  <si>
    <t>=NF($O322,"UPRTRXAM")</t>
  </si>
  <si>
    <t>=NF($O323,"UPRTRXAM")</t>
  </si>
  <si>
    <t>=NF($O324,"UPRTRXAM")</t>
  </si>
  <si>
    <t>=NF($O325,"UPRTRXAM")</t>
  </si>
  <si>
    <t>=NF($O366,"PAYRATE")</t>
  </si>
  <si>
    <t>=NF($O367,"PAYRATE")</t>
  </si>
  <si>
    <t>=NF($O368,"PAYRATE")</t>
  </si>
  <si>
    <t>=NF($O369,"PAYRATE")</t>
  </si>
  <si>
    <t>=NF($O370,"PAYRATE")</t>
  </si>
  <si>
    <t>=NF($O366,"PAYROLCD")</t>
  </si>
  <si>
    <t>=NF($O367,"PAYROLCD")</t>
  </si>
  <si>
    <t>=NF($O368,"PAYROLCD")</t>
  </si>
  <si>
    <t>=NF($O369,"PAYROLCD")</t>
  </si>
  <si>
    <t>=NF($O370,"PAYROLCD")</t>
  </si>
  <si>
    <t>=NF($O366,"STATECD")</t>
  </si>
  <si>
    <t>=NF($O367,"STATECD")</t>
  </si>
  <si>
    <t>=NF($O368,"STATECD")</t>
  </si>
  <si>
    <t>=NF($O369,"STATECD")</t>
  </si>
  <si>
    <t>=NF($O370,"STATECD")</t>
  </si>
  <si>
    <t>=NF($O366,"CHEKDATE")</t>
  </si>
  <si>
    <t>=NF($O367,"CHEKDATE")</t>
  </si>
  <si>
    <t>=NF($O368,"CHEKDATE")</t>
  </si>
  <si>
    <t>=NF($O369,"CHEKDATE")</t>
  </si>
  <si>
    <t>=NF($O370,"CHEKDATE")</t>
  </si>
  <si>
    <t>=NF($O366,"UPRTRXAM")</t>
  </si>
  <si>
    <t>=NF($O367,"UPRTRXAM")</t>
  </si>
  <si>
    <t>=NF($O368,"UPRTRXAM")</t>
  </si>
  <si>
    <t>=NF($O369,"UPRTRXAM")</t>
  </si>
  <si>
    <t>=NF($O370,"UPRTRXAM")</t>
  </si>
  <si>
    <t>=NF($O357,"PAYRATE")</t>
  </si>
  <si>
    <t>=NF($O358,"PAYRATE")</t>
  </si>
  <si>
    <t>=NF($O359,"PAYRATE")</t>
  </si>
  <si>
    <t>=NF($O360,"PAYRATE")</t>
  </si>
  <si>
    <t>=NF($O361,"PAYRATE")</t>
  </si>
  <si>
    <t>=NF($O357,"PAYROLCD")</t>
  </si>
  <si>
    <t>=NF($O358,"PAYROLCD")</t>
  </si>
  <si>
    <t>=NF($O359,"PAYROLCD")</t>
  </si>
  <si>
    <t>=NF($O360,"PAYROLCD")</t>
  </si>
  <si>
    <t>=NF($O361,"PAYROLCD")</t>
  </si>
  <si>
    <t>=NF($O357,"STATECD")</t>
  </si>
  <si>
    <t>=NF($O358,"STATECD")</t>
  </si>
  <si>
    <t>=NF($O359,"STATECD")</t>
  </si>
  <si>
    <t>=NF($O360,"STATECD")</t>
  </si>
  <si>
    <t>=NF($O361,"STATECD")</t>
  </si>
  <si>
    <t>=NF($O357,"CHEKDATE")</t>
  </si>
  <si>
    <t>=NF($O358,"CHEKDATE")</t>
  </si>
  <si>
    <t>=NF($O359,"CHEKDATE")</t>
  </si>
  <si>
    <t>=NF($O360,"CHEKDATE")</t>
  </si>
  <si>
    <t>=NF($O361,"CHEKDATE")</t>
  </si>
  <si>
    <t>=NF($O357,"UPRTRXAM")</t>
  </si>
  <si>
    <t>=NF($O358,"UPRTRXAM")</t>
  </si>
  <si>
    <t>=NF($O359,"UPRTRXAM")</t>
  </si>
  <si>
    <t>=NF($O360,"UPRTRXAM")</t>
  </si>
  <si>
    <t>=NF($O361,"UPRTRXAM")</t>
  </si>
  <si>
    <t>=NF($O348,"PAYRATE")</t>
  </si>
  <si>
    <t>=NF($O349,"PAYRATE")</t>
  </si>
  <si>
    <t>=NF($O350,"PAYRATE")</t>
  </si>
  <si>
    <t>=NF($O351,"PAYRATE")</t>
  </si>
  <si>
    <t>=NF($O352,"PAYRATE")</t>
  </si>
  <si>
    <t>=NF($O348,"PAYROLCD")</t>
  </si>
  <si>
    <t>=NF($O349,"PAYROLCD")</t>
  </si>
  <si>
    <t>=NF($O350,"PAYROLCD")</t>
  </si>
  <si>
    <t>=NF($O351,"PAYROLCD")</t>
  </si>
  <si>
    <t>=NF($O352,"PAYROLCD")</t>
  </si>
  <si>
    <t>=NF($O348,"STATECD")</t>
  </si>
  <si>
    <t>=NF($O349,"STATECD")</t>
  </si>
  <si>
    <t>=NF($O350,"STATECD")</t>
  </si>
  <si>
    <t>=NF($O351,"STATECD")</t>
  </si>
  <si>
    <t>=NF($O352,"STATECD")</t>
  </si>
  <si>
    <t>=NF($O348,"CHEKDATE")</t>
  </si>
  <si>
    <t>=NF($O349,"CHEKDATE")</t>
  </si>
  <si>
    <t>=NF($O350,"CHEKDATE")</t>
  </si>
  <si>
    <t>=NF($O351,"CHEKDATE")</t>
  </si>
  <si>
    <t>=NF($O352,"CHEKDATE")</t>
  </si>
  <si>
    <t>=NF($O348,"UPRTRXAM")</t>
  </si>
  <si>
    <t>=NF($O349,"UPRTRXAM")</t>
  </si>
  <si>
    <t>=NF($O350,"UPRTRXAM")</t>
  </si>
  <si>
    <t>=NF($O351,"UPRTRXAM")</t>
  </si>
  <si>
    <t>=NF($O352,"UPRTRXAM")</t>
  </si>
  <si>
    <t>=NF($O339,"PAYRATE")</t>
  </si>
  <si>
    <t>=NF($O340,"PAYRATE")</t>
  </si>
  <si>
    <t>=NF($O341,"PAYRATE")</t>
  </si>
  <si>
    <t>=NF($O342,"PAYRATE")</t>
  </si>
  <si>
    <t>=NF($O343,"PAYRATE")</t>
  </si>
  <si>
    <t>=NF($O339,"PAYROLCD")</t>
  </si>
  <si>
    <t>=NF($O340,"PAYROLCD")</t>
  </si>
  <si>
    <t>=NF($O341,"PAYROLCD")</t>
  </si>
  <si>
    <t>=NF($O342,"PAYROLCD")</t>
  </si>
  <si>
    <t>=NF($O343,"PAYROLCD")</t>
  </si>
  <si>
    <t>=NF($O339,"STATECD")</t>
  </si>
  <si>
    <t>=NF($O340,"STATECD")</t>
  </si>
  <si>
    <t>=NF($O341,"STATECD")</t>
  </si>
  <si>
    <t>=NF($O342,"STATECD")</t>
  </si>
  <si>
    <t>=NF($O343,"STATECD")</t>
  </si>
  <si>
    <t>=NF($O339,"CHEKDATE")</t>
  </si>
  <si>
    <t>=NF($O340,"CHEKDATE")</t>
  </si>
  <si>
    <t>=NF($O341,"CHEKDATE")</t>
  </si>
  <si>
    <t>=NF($O342,"CHEKDATE")</t>
  </si>
  <si>
    <t>=NF($O343,"CHEKDATE")</t>
  </si>
  <si>
    <t>=NF($O339,"UPRTRXAM")</t>
  </si>
  <si>
    <t>=NF($O340,"UPRTRXAM")</t>
  </si>
  <si>
    <t>=NF($O341,"UPRTRXAM")</t>
  </si>
  <si>
    <t>=NF($O342,"UPRTRXAM")</t>
  </si>
  <si>
    <t>=NF($O343,"UPRTRXAM")</t>
  </si>
  <si>
    <t>=NF($O330,"PAYRATE")</t>
  </si>
  <si>
    <t>=NF($O331,"PAYRATE")</t>
  </si>
  <si>
    <t>=NF($O332,"PAYRATE")</t>
  </si>
  <si>
    <t>=NF($O333,"PAYRATE")</t>
  </si>
  <si>
    <t>=NF($O334,"PAYRATE")</t>
  </si>
  <si>
    <t>=NF($O330,"PAYROLCD")</t>
  </si>
  <si>
    <t>=NF($O331,"PAYROLCD")</t>
  </si>
  <si>
    <t>=NF($O332,"PAYROLCD")</t>
  </si>
  <si>
    <t>=NF($O333,"PAYROLCD")</t>
  </si>
  <si>
    <t>=NF($O334,"PAYROLCD")</t>
  </si>
  <si>
    <t>=NF($O330,"STATECD")</t>
  </si>
  <si>
    <t>=NF($O331,"STATECD")</t>
  </si>
  <si>
    <t>=NF($O332,"STATECD")</t>
  </si>
  <si>
    <t>=NF($O333,"STATECD")</t>
  </si>
  <si>
    <t>=NF($O334,"STATECD")</t>
  </si>
  <si>
    <t>=NF($O330,"CHEKDATE")</t>
  </si>
  <si>
    <t>=NF($O331,"CHEKDATE")</t>
  </si>
  <si>
    <t>=NF($O332,"CHEKDATE")</t>
  </si>
  <si>
    <t>=NF($O333,"CHEKDATE")</t>
  </si>
  <si>
    <t>=NF($O334,"CHEKDATE")</t>
  </si>
  <si>
    <t>=NF($O330,"UPRTRXAM")</t>
  </si>
  <si>
    <t>=NF($O331,"UPRTRXAM")</t>
  </si>
  <si>
    <t>=NF($O332,"UPRTRXAM")</t>
  </si>
  <si>
    <t>=NF($O333,"UPRTRXAM")</t>
  </si>
  <si>
    <t>=NF($O334,"UPRTRXAM")</t>
  </si>
  <si>
    <t>Auto+Hide+Values+Formulas=Sheet7,Sheet4,Sheet5+FormulasOnly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</si>
</sst>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22" x14ac:knownFonts="1">
    <font>
      <sz val="10"/>
      <name val="Arial"/>
    </font>
    <font>
      <sz val="11"/>
      <color theme="1"/>
      <name val="Calibri"/>
      <family val="2"/>
      <scheme val="minor"/>
    </font>
    <font>
      <sz val="11"/>
      <color theme="1"/>
      <name val="Calibri"/>
      <family val="2"/>
      <scheme val="minor"/>
    </font>
    <font>
      <sz val="10"/>
      <name val="Arial"/>
      <family val="2"/>
    </font>
    <font>
      <sz val="10"/>
      <color indexed="22"/>
      <name val="Arial"/>
      <family val="2"/>
    </font>
    <font>
      <b/>
      <sz val="10"/>
      <name val="Arial"/>
      <family val="2"/>
    </font>
    <font>
      <b/>
      <sz val="10"/>
      <color indexed="22"/>
      <name val="Arial"/>
      <family val="2"/>
    </font>
    <font>
      <sz val="8"/>
      <name val="Arial"/>
      <family val="2"/>
    </font>
    <font>
      <b/>
      <sz val="11"/>
      <color indexed="9"/>
      <name val="Arial"/>
      <family val="2"/>
    </font>
    <font>
      <b/>
      <sz val="10"/>
      <color indexed="8"/>
      <name val="Arial"/>
      <family val="2"/>
    </font>
    <font>
      <sz val="10"/>
      <name val="Arial"/>
      <family val="2"/>
    </font>
    <font>
      <b/>
      <sz val="18"/>
      <color theme="3"/>
      <name val="Cambria"/>
      <family val="2"/>
      <scheme val="major"/>
    </font>
    <font>
      <b/>
      <sz val="11"/>
      <color theme="3"/>
      <name val="Calibri"/>
      <family val="2"/>
      <scheme val="minor"/>
    </font>
    <font>
      <u/>
      <sz val="10"/>
      <color indexed="12"/>
      <name val="Arial"/>
      <family val="2"/>
    </font>
    <font>
      <sz val="10"/>
      <name val="Arial"/>
      <family val="2"/>
    </font>
    <font>
      <b/>
      <sz val="10"/>
      <color theme="0" tint="-0.499984740745262"/>
      <name val="Arial"/>
      <family val="2"/>
    </font>
    <font>
      <sz val="10"/>
      <color theme="0" tint="-0.499984740745262"/>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
      <sz val="10"/>
      <color theme="3"/>
      <name val="Arial"/>
      <family val="2"/>
    </font>
  </fonts>
  <fills count="5">
    <fill>
      <patternFill patternType="none"/>
    </fill>
    <fill>
      <patternFill patternType="gray125"/>
    </fill>
    <fill>
      <patternFill patternType="solid">
        <fgColor theme="0"/>
        <bgColor indexed="64"/>
      </patternFill>
    </fill>
    <fill>
      <patternFill patternType="solid">
        <fgColor rgb="FF0074AB"/>
        <bgColor indexed="64"/>
      </patternFill>
    </fill>
    <fill>
      <patternFill patternType="solid">
        <fgColor theme="0" tint="-4.9989318521683403E-2"/>
        <bgColor indexed="64"/>
      </patternFill>
    </fill>
  </fills>
  <borders count="4">
    <border>
      <left/>
      <right/>
      <top/>
      <bottom/>
      <diagonal/>
    </border>
    <border>
      <left/>
      <right/>
      <top style="thin">
        <color indexed="64"/>
      </top>
      <bottom style="double">
        <color indexed="64"/>
      </bottom>
      <diagonal/>
    </border>
    <border>
      <left/>
      <right/>
      <top style="thin">
        <color indexed="64"/>
      </top>
      <bottom style="thin">
        <color indexed="64"/>
      </bottom>
      <diagonal/>
    </border>
    <border>
      <left/>
      <right/>
      <top/>
      <bottom style="thin">
        <color theme="0" tint="-0.249977111117893"/>
      </bottom>
      <diagonal/>
    </border>
  </borders>
  <cellStyleXfs count="15">
    <xf numFmtId="0" fontId="0" fillId="0" borderId="0"/>
    <xf numFmtId="43" fontId="3" fillId="0" borderId="0" applyFont="0" applyFill="0" applyBorder="0" applyAlignment="0" applyProtection="0"/>
    <xf numFmtId="0" fontId="10" fillId="0" borderId="0"/>
    <xf numFmtId="0" fontId="11" fillId="0" borderId="0" applyNumberFormat="0" applyFill="0" applyBorder="0" applyAlignment="0" applyProtection="0"/>
    <xf numFmtId="0" fontId="12"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4" fontId="14" fillId="0" borderId="0" applyFont="0" applyFill="0" applyBorder="0" applyAlignment="0" applyProtection="0"/>
    <xf numFmtId="0" fontId="2" fillId="0" borderId="0"/>
    <xf numFmtId="0" fontId="1" fillId="0" borderId="0"/>
    <xf numFmtId="0" fontId="13" fillId="0" borderId="0" applyNumberFormat="0" applyFill="0" applyBorder="0" applyAlignment="0" applyProtection="0">
      <alignment vertical="top"/>
      <protection locked="0"/>
    </xf>
  </cellStyleXfs>
  <cellXfs count="46">
    <xf numFmtId="0" fontId="0" fillId="0" borderId="0" xfId="0"/>
    <xf numFmtId="0" fontId="4" fillId="0" borderId="0" xfId="0" applyFont="1"/>
    <xf numFmtId="0" fontId="5" fillId="0" borderId="0" xfId="0" applyFont="1"/>
    <xf numFmtId="0" fontId="6" fillId="0" borderId="0" xfId="0" applyFont="1"/>
    <xf numFmtId="43" fontId="0" fillId="0" borderId="0" xfId="1" applyFont="1"/>
    <xf numFmtId="0" fontId="8" fillId="3" borderId="0" xfId="0" applyFont="1" applyFill="1" applyAlignment="1">
      <alignment horizontal="center"/>
    </xf>
    <xf numFmtId="43" fontId="8" fillId="3" borderId="0" xfId="1" applyFont="1" applyFill="1" applyAlignment="1">
      <alignment horizontal="center"/>
    </xf>
    <xf numFmtId="0" fontId="0" fillId="2" borderId="0" xfId="0" applyFill="1"/>
    <xf numFmtId="0" fontId="4" fillId="2" borderId="0" xfId="0" applyFont="1" applyFill="1"/>
    <xf numFmtId="0" fontId="9" fillId="2" borderId="0" xfId="0" applyFont="1" applyFill="1"/>
    <xf numFmtId="43" fontId="0" fillId="2" borderId="0" xfId="1" applyFont="1" applyFill="1"/>
    <xf numFmtId="0" fontId="5" fillId="2" borderId="0" xfId="0" applyFont="1" applyFill="1"/>
    <xf numFmtId="14" fontId="0" fillId="2" borderId="0" xfId="0" applyNumberFormat="1" applyFill="1"/>
    <xf numFmtId="0" fontId="9" fillId="2" borderId="2" xfId="0" applyFont="1" applyFill="1" applyBorder="1"/>
    <xf numFmtId="0" fontId="5" fillId="2" borderId="1" xfId="0" applyFont="1" applyFill="1" applyBorder="1"/>
    <xf numFmtId="0" fontId="6" fillId="2" borderId="1" xfId="0" applyFont="1" applyFill="1" applyBorder="1"/>
    <xf numFmtId="0" fontId="12" fillId="2" borderId="0" xfId="4" applyFill="1" applyAlignment="1"/>
    <xf numFmtId="0" fontId="11" fillId="2" borderId="0" xfId="3" applyFill="1" applyAlignment="1"/>
    <xf numFmtId="0" fontId="12" fillId="0" borderId="0" xfId="4" applyAlignment="1">
      <alignment horizontal="right"/>
    </xf>
    <xf numFmtId="0" fontId="12" fillId="2" borderId="0" xfId="4" applyFill="1" applyAlignment="1">
      <alignment horizontal="left" indent="3"/>
    </xf>
    <xf numFmtId="44" fontId="0" fillId="2" borderId="0" xfId="11" applyFont="1" applyFill="1"/>
    <xf numFmtId="44" fontId="9" fillId="2" borderId="2" xfId="11" applyFont="1" applyFill="1" applyBorder="1"/>
    <xf numFmtId="44" fontId="5" fillId="2" borderId="1" xfId="11" applyFont="1" applyFill="1" applyBorder="1"/>
    <xf numFmtId="0" fontId="0" fillId="0" borderId="0" xfId="0" quotePrefix="1"/>
    <xf numFmtId="0" fontId="15" fillId="2" borderId="0" xfId="0" applyFont="1" applyFill="1" applyAlignment="1">
      <alignment horizontal="center"/>
    </xf>
    <xf numFmtId="0" fontId="15" fillId="2" borderId="0" xfId="0" applyFont="1" applyFill="1"/>
    <xf numFmtId="0" fontId="16" fillId="2" borderId="0" xfId="0" applyFont="1" applyFill="1"/>
    <xf numFmtId="43" fontId="16" fillId="2" borderId="0" xfId="1" applyFont="1" applyFill="1"/>
    <xf numFmtId="14" fontId="16" fillId="2" borderId="0" xfId="0" applyNumberFormat="1" applyFont="1" applyFill="1"/>
    <xf numFmtId="44" fontId="16" fillId="2" borderId="0" xfId="11" applyFont="1" applyFill="1"/>
    <xf numFmtId="0" fontId="5" fillId="4" borderId="2" xfId="0" applyFont="1" applyFill="1" applyBorder="1"/>
    <xf numFmtId="0" fontId="6" fillId="4" borderId="2" xfId="0" applyFont="1" applyFill="1" applyBorder="1"/>
    <xf numFmtId="44" fontId="5" fillId="4" borderId="2" xfId="11" applyFont="1" applyFill="1" applyBorder="1"/>
    <xf numFmtId="0" fontId="5" fillId="2" borderId="3" xfId="0" applyFont="1" applyFill="1" applyBorder="1"/>
    <xf numFmtId="14" fontId="5" fillId="2" borderId="3" xfId="0" applyNumberFormat="1" applyFont="1" applyFill="1" applyBorder="1"/>
    <xf numFmtId="0" fontId="6" fillId="2" borderId="3" xfId="0" applyFont="1" applyFill="1" applyBorder="1"/>
    <xf numFmtId="44" fontId="5" fillId="2" borderId="3" xfId="11" applyFont="1" applyFill="1" applyBorder="1"/>
    <xf numFmtId="0" fontId="11" fillId="2" borderId="0" xfId="3" applyFill="1" applyAlignment="1">
      <alignment horizontal="left"/>
    </xf>
    <xf numFmtId="0" fontId="17" fillId="0" borderId="0" xfId="13" applyFont="1"/>
    <xf numFmtId="0" fontId="17" fillId="0" borderId="0" xfId="13" applyFont="1" applyAlignment="1">
      <alignment vertical="top"/>
    </xf>
    <xf numFmtId="0" fontId="17" fillId="0" borderId="0" xfId="13" applyFont="1" applyAlignment="1">
      <alignment vertical="top" wrapText="1"/>
    </xf>
    <xf numFmtId="0" fontId="18" fillId="0" borderId="0" xfId="13" applyFont="1" applyAlignment="1">
      <alignment vertical="top"/>
    </xf>
    <xf numFmtId="0" fontId="19" fillId="0" borderId="0" xfId="13" applyFont="1" applyAlignment="1">
      <alignment vertical="top"/>
    </xf>
    <xf numFmtId="0" fontId="20" fillId="0" borderId="0" xfId="13" applyFont="1" applyAlignment="1">
      <alignment vertical="top"/>
    </xf>
    <xf numFmtId="0" fontId="13" fillId="0" borderId="0" xfId="14" applyAlignment="1" applyProtection="1">
      <alignment vertical="top"/>
    </xf>
    <xf numFmtId="0" fontId="21" fillId="0" borderId="0" xfId="0" applyFont="1" applyAlignment="1">
      <alignment horizontal="right"/>
    </xf>
  </cellXfs>
  <cellStyles count="15">
    <cellStyle name="Comma" xfId="1" builtinId="3"/>
    <cellStyle name="Currency" xfId="11" builtinId="4"/>
    <cellStyle name="Heading 4" xfId="4" builtinId="19"/>
    <cellStyle name="Hyperlink 3" xfId="14"/>
    <cellStyle name="Normal" xfId="0" builtinId="0"/>
    <cellStyle name="Normal 2" xfId="2"/>
    <cellStyle name="Normal 2 2" xfId="6"/>
    <cellStyle name="Normal 2 3" xfId="5"/>
    <cellStyle name="Normal 2 4" xfId="7"/>
    <cellStyle name="Normal 2 5" xfId="8"/>
    <cellStyle name="Normal 2_Jet1691" xfId="9"/>
    <cellStyle name="Normal 3" xfId="10"/>
    <cellStyle name="Normal 4" xfId="12"/>
    <cellStyle name="Normal 5" xfId="13"/>
    <cellStyle name="Title" xfId="3" builtinId="15"/>
  </cellStyles>
  <dxfs count="0"/>
  <tableStyles count="0" defaultTableStyle="TableStyleMedium9" defaultPivotStyle="PivotStyleLight16"/>
  <colors>
    <mruColors>
      <color rgb="FF0074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abSelected="1" topLeftCell="B2" workbookViewId="0"/>
  </sheetViews>
  <sheetFormatPr defaultColWidth="9.140625" defaultRowHeight="14.25" x14ac:dyDescent="0.25"/>
  <cols>
    <col min="1" max="1" width="3.42578125" style="38" hidden="1" customWidth="1"/>
    <col min="2" max="2" width="10.28515625" style="38" customWidth="1"/>
    <col min="3" max="3" width="27.140625" style="39" customWidth="1"/>
    <col min="4" max="4" width="77.28515625" style="40" customWidth="1"/>
    <col min="5" max="5" width="36.42578125" style="38" customWidth="1"/>
    <col min="6" max="16384" width="9.140625" style="38"/>
  </cols>
  <sheetData>
    <row r="1" spans="1:5" hidden="1" x14ac:dyDescent="0.25">
      <c r="A1" s="38" t="s">
        <v>23</v>
      </c>
    </row>
    <row r="7" spans="1:5" ht="30.75" x14ac:dyDescent="0.25">
      <c r="C7" s="41" t="s">
        <v>24</v>
      </c>
    </row>
    <row r="9" spans="1:5" x14ac:dyDescent="0.25">
      <c r="C9" s="42"/>
    </row>
    <row r="10" spans="1:5" ht="28.5" x14ac:dyDescent="0.25">
      <c r="C10" s="43" t="s">
        <v>11480</v>
      </c>
      <c r="D10" s="40" t="s">
        <v>11500</v>
      </c>
    </row>
    <row r="11" spans="1:5" x14ac:dyDescent="0.25">
      <c r="C11" s="43"/>
    </row>
    <row r="12" spans="1:5" x14ac:dyDescent="0.25">
      <c r="C12" s="43" t="s">
        <v>11481</v>
      </c>
      <c r="D12" s="40" t="s">
        <v>11483</v>
      </c>
    </row>
    <row r="13" spans="1:5" x14ac:dyDescent="0.25">
      <c r="C13" s="43"/>
    </row>
    <row r="14" spans="1:5" ht="57" x14ac:dyDescent="0.25">
      <c r="C14" s="43" t="s">
        <v>11482</v>
      </c>
      <c r="D14" s="40" t="s">
        <v>11484</v>
      </c>
      <c r="E14" s="44" t="s">
        <v>11485</v>
      </c>
    </row>
    <row r="15" spans="1:5" x14ac:dyDescent="0.25">
      <c r="C15" s="43"/>
      <c r="E15" s="39"/>
    </row>
    <row r="16" spans="1:5" ht="28.5" x14ac:dyDescent="0.25">
      <c r="C16" s="43" t="s">
        <v>11486</v>
      </c>
      <c r="D16" s="40" t="s">
        <v>11487</v>
      </c>
      <c r="E16" s="44" t="s">
        <v>11488</v>
      </c>
    </row>
    <row r="17" spans="3:5" x14ac:dyDescent="0.25">
      <c r="C17" s="43"/>
      <c r="E17" s="39"/>
    </row>
    <row r="18" spans="3:5" ht="57" x14ac:dyDescent="0.25">
      <c r="C18" s="43" t="s">
        <v>11489</v>
      </c>
      <c r="D18" s="40" t="s">
        <v>11490</v>
      </c>
      <c r="E18" s="44" t="s">
        <v>11491</v>
      </c>
    </row>
    <row r="19" spans="3:5" x14ac:dyDescent="0.25">
      <c r="C19" s="43"/>
      <c r="E19" s="39"/>
    </row>
    <row r="20" spans="3:5" ht="30.75" customHeight="1" x14ac:dyDescent="0.25">
      <c r="C20" s="43" t="s">
        <v>25</v>
      </c>
      <c r="D20" s="40" t="s">
        <v>11492</v>
      </c>
      <c r="E20" s="44" t="s">
        <v>11493</v>
      </c>
    </row>
    <row r="21" spans="3:5" x14ac:dyDescent="0.25">
      <c r="C21" s="43"/>
      <c r="E21" s="39"/>
    </row>
    <row r="22" spans="3:5" ht="14.25" customHeight="1" x14ac:dyDescent="0.25">
      <c r="C22" s="43" t="s">
        <v>26</v>
      </c>
      <c r="D22" s="40" t="s">
        <v>11494</v>
      </c>
      <c r="E22" s="44" t="s">
        <v>11495</v>
      </c>
    </row>
    <row r="23" spans="3:5" x14ac:dyDescent="0.25">
      <c r="C23" s="43"/>
      <c r="E23" s="39"/>
    </row>
    <row r="24" spans="3:5" ht="15" customHeight="1" x14ac:dyDescent="0.25">
      <c r="C24" s="43" t="s">
        <v>27</v>
      </c>
      <c r="D24" s="40" t="s">
        <v>11496</v>
      </c>
      <c r="E24" s="44" t="s">
        <v>11497</v>
      </c>
    </row>
    <row r="25" spans="3:5" x14ac:dyDescent="0.25">
      <c r="C25" s="43"/>
    </row>
    <row r="26" spans="3:5" ht="71.25" x14ac:dyDescent="0.25">
      <c r="C26" s="43" t="s">
        <v>28</v>
      </c>
      <c r="D26" s="40" t="s">
        <v>11498</v>
      </c>
    </row>
    <row r="27" spans="3:5" x14ac:dyDescent="0.25">
      <c r="C27" s="43"/>
    </row>
    <row r="28" spans="3:5" ht="17.25" customHeight="1" x14ac:dyDescent="0.25">
      <c r="C28" s="43" t="s">
        <v>29</v>
      </c>
      <c r="D28" s="40" t="s">
        <v>11499</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2.75" x14ac:dyDescent="0.2"/>
  <cols>
    <col min="1" max="1" width="9.140625" hidden="1" customWidth="1"/>
    <col min="3" max="3" width="18.85546875" customWidth="1"/>
    <col min="4" max="4" width="16.5703125" bestFit="1" customWidth="1"/>
  </cols>
  <sheetData>
    <row r="1" spans="1:5" hidden="1" x14ac:dyDescent="0.2">
      <c r="A1" t="s">
        <v>11512</v>
      </c>
      <c r="C1" t="s">
        <v>10</v>
      </c>
      <c r="D1" t="s">
        <v>9</v>
      </c>
      <c r="E1" t="s">
        <v>7</v>
      </c>
    </row>
    <row r="5" spans="1:5" x14ac:dyDescent="0.2">
      <c r="A5" t="s">
        <v>11</v>
      </c>
      <c r="C5" t="s">
        <v>3</v>
      </c>
      <c r="D5" t="str">
        <f>"1/1/2015..6/1/2015"</f>
        <v>1/1/2015..6/1/2015</v>
      </c>
    </row>
    <row r="6" spans="1:5" x14ac:dyDescent="0.2">
      <c r="A6" t="s">
        <v>11</v>
      </c>
      <c r="C6" t="s">
        <v>30</v>
      </c>
      <c r="D6" t="s">
        <v>8</v>
      </c>
      <c r="E6" t="str">
        <f>"Lookup"</f>
        <v>Lookup</v>
      </c>
    </row>
    <row r="7" spans="1:5" x14ac:dyDescent="0.2">
      <c r="A7" t="s">
        <v>11</v>
      </c>
      <c r="C7" t="s">
        <v>20</v>
      </c>
      <c r="D7" t="str">
        <f>"*"</f>
        <v>*</v>
      </c>
      <c r="E7" t="str">
        <f>"Lookup"</f>
        <v>Lookup</v>
      </c>
    </row>
    <row r="8" spans="1:5" x14ac:dyDescent="0.2">
      <c r="A8" t="s">
        <v>11</v>
      </c>
      <c r="C8" t="s">
        <v>1</v>
      </c>
      <c r="D8" t="s">
        <v>8</v>
      </c>
      <c r="E8" t="str">
        <f>"Lookup"</f>
        <v>Lookup</v>
      </c>
    </row>
    <row r="9" spans="1:5" x14ac:dyDescent="0.2">
      <c r="A9" t="s">
        <v>11</v>
      </c>
      <c r="C9" t="s">
        <v>2</v>
      </c>
      <c r="D9" t="s">
        <v>8</v>
      </c>
      <c r="E9" t="str">
        <f>"Lookup"</f>
        <v>Lookup</v>
      </c>
    </row>
  </sheetData>
  <phoneticPr fontId="7"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50"/>
  <sheetViews>
    <sheetView showGridLines="0" workbookViewId="0">
      <pane xSplit="5" ySplit="11" topLeftCell="F12" activePane="bottomRight" state="frozen"/>
      <selection pane="topRight" activeCell="E1" sqref="E1"/>
      <selection pane="bottomLeft" activeCell="A5" sqref="A5"/>
      <selection pane="bottomRight"/>
    </sheetView>
  </sheetViews>
  <sheetFormatPr defaultRowHeight="12.75" outlineLevelRow="3" x14ac:dyDescent="0.2"/>
  <cols>
    <col min="1" max="1" width="9.140625" hidden="1" customWidth="1"/>
    <col min="3" max="3" width="13.28515625" hidden="1" customWidth="1"/>
    <col min="4" max="4" width="9.140625" hidden="1" customWidth="1"/>
    <col min="5" max="5" width="9.140625" style="1" hidden="1" customWidth="1"/>
    <col min="6" max="6" width="19.5703125" bestFit="1" customWidth="1"/>
    <col min="7" max="7" width="9.140625" style="1" hidden="1" customWidth="1"/>
    <col min="8" max="8" width="19" bestFit="1" customWidth="1"/>
    <col min="9" max="9" width="11.85546875" bestFit="1" customWidth="1"/>
    <col min="10" max="10" width="11.5703125" bestFit="1" customWidth="1"/>
    <col min="11" max="11" width="11.5703125" hidden="1" customWidth="1"/>
    <col min="12" max="12" width="9.140625" style="1" hidden="1" customWidth="1"/>
    <col min="13" max="13" width="30.42578125" bestFit="1" customWidth="1"/>
    <col min="14" max="14" width="12.7109375" bestFit="1" customWidth="1"/>
    <col min="15" max="15" width="9.140625" style="1" hidden="1" customWidth="1"/>
    <col min="16" max="16" width="11.28515625" bestFit="1" customWidth="1"/>
    <col min="17" max="17" width="10.5703125" bestFit="1" customWidth="1"/>
    <col min="18" max="18" width="6.28515625" bestFit="1" customWidth="1"/>
    <col min="19" max="19" width="12.7109375" hidden="1" customWidth="1"/>
    <col min="20" max="20" width="13.5703125" style="4" bestFit="1" customWidth="1"/>
  </cols>
  <sheetData>
    <row r="1" spans="1:20" hidden="1" x14ac:dyDescent="0.2">
      <c r="A1" t="s">
        <v>11514</v>
      </c>
      <c r="C1" t="s">
        <v>5</v>
      </c>
      <c r="D1" t="s">
        <v>5</v>
      </c>
      <c r="E1" s="1" t="s">
        <v>13</v>
      </c>
      <c r="F1" t="s">
        <v>12</v>
      </c>
      <c r="G1" s="1" t="s">
        <v>13</v>
      </c>
      <c r="H1" t="s">
        <v>12</v>
      </c>
      <c r="I1" t="s">
        <v>12</v>
      </c>
      <c r="J1" t="s">
        <v>12</v>
      </c>
      <c r="K1" t="s">
        <v>5</v>
      </c>
      <c r="L1" s="1" t="s">
        <v>13</v>
      </c>
      <c r="M1" t="s">
        <v>12</v>
      </c>
      <c r="N1" t="s">
        <v>16</v>
      </c>
      <c r="O1" s="1" t="s">
        <v>13</v>
      </c>
      <c r="P1" t="s">
        <v>12</v>
      </c>
      <c r="Q1" t="s">
        <v>12</v>
      </c>
      <c r="R1" t="s">
        <v>12</v>
      </c>
      <c r="S1" t="s">
        <v>17</v>
      </c>
      <c r="T1" s="4" t="s">
        <v>12</v>
      </c>
    </row>
    <row r="3" spans="1:20" ht="22.5" x14ac:dyDescent="0.3">
      <c r="F3" s="37" t="s">
        <v>6</v>
      </c>
      <c r="G3" s="37"/>
      <c r="H3" s="37"/>
      <c r="I3" s="37"/>
      <c r="J3" s="37"/>
      <c r="K3" s="17"/>
      <c r="L3" s="17"/>
      <c r="M3" s="17"/>
      <c r="N3" s="17"/>
      <c r="O3" s="17"/>
      <c r="P3" s="17"/>
      <c r="Q3" s="17"/>
      <c r="R3" s="17"/>
      <c r="S3" s="17"/>
      <c r="T3" s="17"/>
    </row>
    <row r="4" spans="1:20" ht="15" x14ac:dyDescent="0.25">
      <c r="F4" t="s">
        <v>3</v>
      </c>
      <c r="G4" s="16"/>
      <c r="H4" s="45" t="str">
        <f>CHEKDATE</f>
        <v>1/1/2015..6/1/2015</v>
      </c>
      <c r="I4" s="16"/>
      <c r="J4" s="16"/>
      <c r="K4" s="16"/>
      <c r="L4" s="16"/>
      <c r="M4" s="16"/>
      <c r="N4" s="16"/>
      <c r="O4" s="16"/>
      <c r="P4" s="16"/>
      <c r="Q4" s="16"/>
      <c r="R4" s="16"/>
      <c r="S4" s="16"/>
      <c r="T4" s="16"/>
    </row>
    <row r="5" spans="1:20" ht="15" x14ac:dyDescent="0.25">
      <c r="F5" t="s">
        <v>30</v>
      </c>
      <c r="G5"/>
      <c r="H5" s="45" t="str">
        <f>EMPLCLAS</f>
        <v>*</v>
      </c>
      <c r="N5" s="16"/>
      <c r="O5" s="16"/>
      <c r="P5" s="16"/>
      <c r="Q5" s="16"/>
      <c r="R5" s="16"/>
      <c r="S5" s="16"/>
      <c r="T5" s="16"/>
    </row>
    <row r="6" spans="1:20" ht="15" x14ac:dyDescent="0.25">
      <c r="F6" t="s">
        <v>20</v>
      </c>
      <c r="G6" s="16"/>
      <c r="H6" s="45" t="str">
        <f>EMPLOYID</f>
        <v>*</v>
      </c>
      <c r="N6" s="16"/>
      <c r="O6" s="16"/>
      <c r="P6" s="16"/>
      <c r="Q6" s="16"/>
      <c r="R6" s="16"/>
      <c r="S6" s="16"/>
      <c r="T6" s="16"/>
    </row>
    <row r="7" spans="1:20" ht="15" x14ac:dyDescent="0.25">
      <c r="F7" t="s">
        <v>1</v>
      </c>
      <c r="G7" s="16"/>
      <c r="H7" s="45" t="str">
        <f>PAYROLCD</f>
        <v>*</v>
      </c>
      <c r="N7" s="16"/>
      <c r="O7" s="16"/>
      <c r="P7" s="16"/>
      <c r="Q7" s="16"/>
      <c r="R7" s="16"/>
      <c r="S7" s="16"/>
      <c r="T7" s="16"/>
    </row>
    <row r="8" spans="1:20" ht="15" x14ac:dyDescent="0.25">
      <c r="F8" t="s">
        <v>2</v>
      </c>
      <c r="G8" s="16"/>
      <c r="H8" s="45" t="str">
        <f>STATECD</f>
        <v>*</v>
      </c>
      <c r="N8" s="16"/>
      <c r="O8" s="16"/>
      <c r="P8" s="16"/>
      <c r="Q8" s="16"/>
      <c r="R8" s="16"/>
      <c r="S8" s="16"/>
      <c r="T8" s="16"/>
    </row>
    <row r="9" spans="1:20" ht="15" x14ac:dyDescent="0.25">
      <c r="F9" s="18"/>
      <c r="G9" s="16"/>
      <c r="H9" s="19"/>
    </row>
    <row r="11" spans="1:20" s="2" customFormat="1" ht="15" x14ac:dyDescent="0.25">
      <c r="E11" s="3"/>
      <c r="F11" s="5" t="s">
        <v>21</v>
      </c>
      <c r="G11" s="5"/>
      <c r="H11" s="5" t="s">
        <v>20</v>
      </c>
      <c r="I11" s="5" t="s">
        <v>18</v>
      </c>
      <c r="J11" s="5" t="s">
        <v>19</v>
      </c>
      <c r="K11" s="5"/>
      <c r="L11" s="5"/>
      <c r="M11" s="5" t="s">
        <v>22</v>
      </c>
      <c r="N11" s="5" t="s">
        <v>3</v>
      </c>
      <c r="O11" s="5" t="s">
        <v>14</v>
      </c>
      <c r="P11" s="5" t="s">
        <v>0</v>
      </c>
      <c r="Q11" s="5" t="s">
        <v>1</v>
      </c>
      <c r="R11" s="5" t="s">
        <v>2</v>
      </c>
      <c r="S11" s="5" t="s">
        <v>3</v>
      </c>
      <c r="T11" s="6" t="s">
        <v>4</v>
      </c>
    </row>
    <row r="12" spans="1:20" s="7" customFormat="1" outlineLevel="1" x14ac:dyDescent="0.2">
      <c r="D12" s="9" t="str">
        <f>"ACCT"</f>
        <v>ACCT</v>
      </c>
      <c r="E12" s="8" t="str">
        <f>D12</f>
        <v>ACCT</v>
      </c>
      <c r="F12" s="11" t="str">
        <f>"Accounting"</f>
        <v>Accounting</v>
      </c>
      <c r="G12" s="8"/>
      <c r="L12" s="8"/>
      <c r="O12" s="8"/>
      <c r="T12" s="10"/>
    </row>
    <row r="13" spans="1:20" s="7" customFormat="1" outlineLevel="2" x14ac:dyDescent="0.2">
      <c r="C13" s="7" t="str">
        <f>+I13</f>
        <v>Aidan</v>
      </c>
      <c r="D13" s="7" t="str">
        <f>+J13</f>
        <v>Delaney</v>
      </c>
      <c r="E13" s="8" t="str">
        <f>E12</f>
        <v>ACCT</v>
      </c>
      <c r="G13" s="8" t="str">
        <f>H13</f>
        <v>DELA0001</v>
      </c>
      <c r="H13" s="24" t="str">
        <f>"DELA0001"</f>
        <v>DELA0001</v>
      </c>
      <c r="I13" s="25" t="str">
        <f>"Aidan"</f>
        <v>Aidan</v>
      </c>
      <c r="J13" s="25" t="str">
        <f>"Delaney"</f>
        <v>Delaney</v>
      </c>
      <c r="K13" s="26"/>
      <c r="L13" s="26"/>
      <c r="M13" s="26"/>
      <c r="N13" s="26"/>
      <c r="O13" s="26"/>
      <c r="P13" s="26"/>
      <c r="Q13" s="26"/>
      <c r="R13" s="26"/>
      <c r="S13" s="26"/>
      <c r="T13" s="27"/>
    </row>
    <row r="14" spans="1:20" s="7" customFormat="1" hidden="1" outlineLevel="3" x14ac:dyDescent="0.2">
      <c r="C14" s="7" t="str">
        <f>+C13</f>
        <v>Aidan</v>
      </c>
      <c r="D14" s="7" t="str">
        <f>+D13</f>
        <v>Delaney</v>
      </c>
      <c r="E14" s="8" t="str">
        <f>E13</f>
        <v>ACCT</v>
      </c>
      <c r="G14" s="8" t="str">
        <f>G13</f>
        <v>DELA0001</v>
      </c>
      <c r="H14" s="26"/>
      <c r="I14" s="26"/>
      <c r="J14" s="26"/>
      <c r="K14" s="28">
        <f>+N14</f>
        <v>42005</v>
      </c>
      <c r="L14" s="26" t="str">
        <f>M14</f>
        <v>10358</v>
      </c>
      <c r="M14" s="26" t="str">
        <f>"10358"</f>
        <v>10358</v>
      </c>
      <c r="N14" s="28">
        <v>42005</v>
      </c>
      <c r="O14" s="26"/>
      <c r="P14" s="26"/>
      <c r="Q14" s="26"/>
      <c r="R14" s="26"/>
      <c r="S14" s="26"/>
      <c r="T14" s="27"/>
    </row>
    <row r="15" spans="1:20" s="7" customFormat="1" hidden="1" outlineLevel="3" x14ac:dyDescent="0.2">
      <c r="C15" s="7" t="str">
        <f>+C14</f>
        <v>Aidan</v>
      </c>
      <c r="D15" s="7" t="str">
        <f>+D14</f>
        <v>Delaney</v>
      </c>
      <c r="E15" s="8" t="str">
        <f>E14</f>
        <v>ACCT</v>
      </c>
      <c r="G15" s="8" t="str">
        <f>G14</f>
        <v>DELA0001</v>
      </c>
      <c r="H15" s="26"/>
      <c r="I15" s="26"/>
      <c r="J15" s="26"/>
      <c r="K15" s="28">
        <f>+K14</f>
        <v>42005</v>
      </c>
      <c r="L15" s="26" t="str">
        <f>L14</f>
        <v>10358</v>
      </c>
      <c r="M15" s="26"/>
      <c r="N15" s="26"/>
      <c r="O15" s="26" t="str">
        <f>"""GP Direct"",""Fabrikam, Inc."",""UPR30300"",""PAYRATE"",""0.00000"",""PAYROLCD"",""401K"",""STATECD"","""",""CHEKDATE"",""1/1/2015"",""UPRTRXAM"",""1.82000"""</f>
        <v>"GP Direct","Fabrikam, Inc.","UPR30300","PAYRATE","0.00000","PAYROLCD","401K","STATECD","","CHEKDATE","1/1/2015","UPRTRXAM","1.82000"</v>
      </c>
      <c r="P15" s="29">
        <v>0</v>
      </c>
      <c r="Q15" s="26" t="str">
        <f>"401K"</f>
        <v>401K</v>
      </c>
      <c r="R15" s="26"/>
      <c r="S15" s="28">
        <v>42005</v>
      </c>
      <c r="T15" s="29">
        <v>1.82</v>
      </c>
    </row>
    <row r="16" spans="1:20" s="7" customFormat="1" hidden="1" outlineLevel="3" x14ac:dyDescent="0.2">
      <c r="A16" s="7" t="s">
        <v>92</v>
      </c>
      <c r="C16" s="7" t="str">
        <f t="shared" ref="C16:C21" si="0">+C15</f>
        <v>Aidan</v>
      </c>
      <c r="D16" s="7" t="str">
        <f>+D15</f>
        <v>Delaney</v>
      </c>
      <c r="E16" s="8" t="str">
        <f>E15</f>
        <v>ACCT</v>
      </c>
      <c r="G16" s="8" t="str">
        <f>G15</f>
        <v>DELA0001</v>
      </c>
      <c r="H16" s="26"/>
      <c r="I16" s="26"/>
      <c r="J16" s="26"/>
      <c r="K16" s="28">
        <f>+K15</f>
        <v>42005</v>
      </c>
      <c r="L16" s="26" t="str">
        <f>L15</f>
        <v>10358</v>
      </c>
      <c r="M16" s="26"/>
      <c r="N16" s="26"/>
      <c r="O16" s="26" t="str">
        <f>"""GP Direct"",""Fabrikam, Inc."",""UPR30300"",""PAYRATE"",""0.00000"",""PAYROLCD"",""401K"",""STATECD"","""",""CHEKDATE"",""1/1/2015"",""UPRTRXAM"",""36.35000"""</f>
        <v>"GP Direct","Fabrikam, Inc.","UPR30300","PAYRATE","0.00000","PAYROLCD","401K","STATECD","","CHEKDATE","1/1/2015","UPRTRXAM","36.35000"</v>
      </c>
      <c r="P16" s="29">
        <v>0</v>
      </c>
      <c r="Q16" s="26" t="str">
        <f>"401K"</f>
        <v>401K</v>
      </c>
      <c r="R16" s="26"/>
      <c r="S16" s="28">
        <v>42005</v>
      </c>
      <c r="T16" s="29">
        <v>36.35</v>
      </c>
    </row>
    <row r="17" spans="1:20" s="7" customFormat="1" hidden="1" outlineLevel="3" x14ac:dyDescent="0.2">
      <c r="A17" s="7" t="s">
        <v>92</v>
      </c>
      <c r="C17" s="7" t="str">
        <f t="shared" si="0"/>
        <v>Aidan</v>
      </c>
      <c r="D17" s="7" t="str">
        <f>+D16</f>
        <v>Delaney</v>
      </c>
      <c r="E17" s="8" t="str">
        <f>E16</f>
        <v>ACCT</v>
      </c>
      <c r="G17" s="8" t="str">
        <f>G16</f>
        <v>DELA0001</v>
      </c>
      <c r="H17" s="26"/>
      <c r="I17" s="26"/>
      <c r="J17" s="26"/>
      <c r="K17" s="28">
        <f>+K16</f>
        <v>42005</v>
      </c>
      <c r="L17" s="26" t="str">
        <f>L16</f>
        <v>10358</v>
      </c>
      <c r="M17" s="26"/>
      <c r="N17" s="26"/>
      <c r="O17" s="26" t="str">
        <f>"""GP Direct"",""Fabrikam, Inc."",""UPR30300"",""PAYRATE"",""0.00000"",""PAYROLCD"",""IL"",""STATECD"","""",""CHEKDATE"",""1/1/2015"",""UPRTRXAM"",""13.38000"""</f>
        <v>"GP Direct","Fabrikam, Inc.","UPR30300","PAYRATE","0.00000","PAYROLCD","IL","STATECD","","CHEKDATE","1/1/2015","UPRTRXAM","13.38000"</v>
      </c>
      <c r="P17" s="29">
        <v>0</v>
      </c>
      <c r="Q17" s="26" t="str">
        <f>"IL"</f>
        <v>IL</v>
      </c>
      <c r="R17" s="26"/>
      <c r="S17" s="28">
        <v>42005</v>
      </c>
      <c r="T17" s="29">
        <v>13.38</v>
      </c>
    </row>
    <row r="18" spans="1:20" s="7" customFormat="1" hidden="1" outlineLevel="3" x14ac:dyDescent="0.2">
      <c r="A18" s="7" t="s">
        <v>92</v>
      </c>
      <c r="C18" s="7" t="str">
        <f t="shared" si="0"/>
        <v>Aidan</v>
      </c>
      <c r="D18" s="7" t="str">
        <f>+D17</f>
        <v>Delaney</v>
      </c>
      <c r="E18" s="8" t="str">
        <f>E17</f>
        <v>ACCT</v>
      </c>
      <c r="G18" s="8" t="str">
        <f>G17</f>
        <v>DELA0001</v>
      </c>
      <c r="H18" s="26"/>
      <c r="I18" s="26"/>
      <c r="J18" s="26"/>
      <c r="K18" s="28">
        <f>+K17</f>
        <v>42005</v>
      </c>
      <c r="L18" s="26" t="str">
        <f>L17</f>
        <v>10358</v>
      </c>
      <c r="M18" s="26"/>
      <c r="N18" s="26"/>
      <c r="O18" s="26" t="str">
        <f>"""GP Direct"",""Fabrikam, Inc."",""UPR30300"",""PAYRATE"",""0.00000"",""PAYROLCD"",""INS"",""STATECD"","""",""CHEKDATE"",""1/1/2015"",""UPRTRXAM"",""49.36000"""</f>
        <v>"GP Direct","Fabrikam, Inc.","UPR30300","PAYRATE","0.00000","PAYROLCD","INS","STATECD","","CHEKDATE","1/1/2015","UPRTRXAM","49.36000"</v>
      </c>
      <c r="P18" s="29">
        <v>0</v>
      </c>
      <c r="Q18" s="26" t="str">
        <f>"INS"</f>
        <v>INS</v>
      </c>
      <c r="R18" s="26"/>
      <c r="S18" s="28">
        <v>42005</v>
      </c>
      <c r="T18" s="29">
        <v>49.36</v>
      </c>
    </row>
    <row r="19" spans="1:20" s="7" customFormat="1" hidden="1" outlineLevel="3" x14ac:dyDescent="0.2">
      <c r="A19" s="7" t="s">
        <v>92</v>
      </c>
      <c r="C19" s="7" t="str">
        <f t="shared" si="0"/>
        <v>Aidan</v>
      </c>
      <c r="D19" s="7" t="str">
        <f>+D18</f>
        <v>Delaney</v>
      </c>
      <c r="E19" s="8" t="str">
        <f>E18</f>
        <v>ACCT</v>
      </c>
      <c r="G19" s="8" t="str">
        <f>G18</f>
        <v>DELA0001</v>
      </c>
      <c r="H19" s="26"/>
      <c r="I19" s="26"/>
      <c r="J19" s="26"/>
      <c r="K19" s="28">
        <f>+K18</f>
        <v>42005</v>
      </c>
      <c r="L19" s="26" t="str">
        <f>L18</f>
        <v>10358</v>
      </c>
      <c r="M19" s="26"/>
      <c r="N19" s="26"/>
      <c r="O19" s="26" t="str">
        <f>"""GP Direct"",""Fabrikam, Inc."",""UPR30300"",""PAYRATE"",""0.00000"",""PAYROLCD"",""INS2"",""STATECD"","""",""CHEKDATE"",""1/1/2015"",""UPRTRXAM"",""72.95000"""</f>
        <v>"GP Direct","Fabrikam, Inc.","UPR30300","PAYRATE","0.00000","PAYROLCD","INS2","STATECD","","CHEKDATE","1/1/2015","UPRTRXAM","72.95000"</v>
      </c>
      <c r="P19" s="29">
        <v>0</v>
      </c>
      <c r="Q19" s="26" t="str">
        <f>"INS2"</f>
        <v>INS2</v>
      </c>
      <c r="R19" s="26"/>
      <c r="S19" s="28">
        <v>42005</v>
      </c>
      <c r="T19" s="29">
        <v>72.95</v>
      </c>
    </row>
    <row r="20" spans="1:20" s="7" customFormat="1" hidden="1" outlineLevel="3" x14ac:dyDescent="0.2">
      <c r="A20" s="7" t="s">
        <v>92</v>
      </c>
      <c r="C20" s="7" t="str">
        <f t="shared" si="0"/>
        <v>Aidan</v>
      </c>
      <c r="D20" s="7" t="str">
        <f>+D19</f>
        <v>Delaney</v>
      </c>
      <c r="E20" s="8" t="str">
        <f>E19</f>
        <v>ACCT</v>
      </c>
      <c r="G20" s="8" t="str">
        <f>G19</f>
        <v>DELA0001</v>
      </c>
      <c r="H20" s="26"/>
      <c r="I20" s="26"/>
      <c r="J20" s="26"/>
      <c r="K20" s="28">
        <f>+K19</f>
        <v>42005</v>
      </c>
      <c r="L20" s="26" t="str">
        <f>L19</f>
        <v>10358</v>
      </c>
      <c r="M20" s="26"/>
      <c r="N20" s="26"/>
      <c r="O20" s="26" t="str">
        <f>"""GP Direct"",""Fabrikam, Inc."",""UPR30300"",""PAYRATE"",""0.00000"",""PAYROLCD"",""MED"",""STATECD"","""",""CHEKDATE"",""1/1/2015"",""UPRTRXAM"",""20.00000"""</f>
        <v>"GP Direct","Fabrikam, Inc.","UPR30300","PAYRATE","0.00000","PAYROLCD","MED","STATECD","","CHEKDATE","1/1/2015","UPRTRXAM","20.00000"</v>
      </c>
      <c r="P20" s="29">
        <v>0</v>
      </c>
      <c r="Q20" s="26" t="str">
        <f>"MED"</f>
        <v>MED</v>
      </c>
      <c r="R20" s="26"/>
      <c r="S20" s="28">
        <v>42005</v>
      </c>
      <c r="T20" s="29">
        <v>20</v>
      </c>
    </row>
    <row r="21" spans="1:20" s="7" customFormat="1" hidden="1" outlineLevel="3" x14ac:dyDescent="0.2">
      <c r="A21" s="7" t="s">
        <v>92</v>
      </c>
      <c r="C21" s="7" t="str">
        <f t="shared" si="0"/>
        <v>Aidan</v>
      </c>
      <c r="D21" s="7" t="str">
        <f>+D20</f>
        <v>Delaney</v>
      </c>
      <c r="E21" s="8" t="str">
        <f>E20</f>
        <v>ACCT</v>
      </c>
      <c r="G21" s="8" t="str">
        <f>G20</f>
        <v>DELA0001</v>
      </c>
      <c r="H21" s="26"/>
      <c r="I21" s="26"/>
      <c r="J21" s="26"/>
      <c r="K21" s="28">
        <f>+K20</f>
        <v>42005</v>
      </c>
      <c r="L21" s="26" t="str">
        <f>L20</f>
        <v>10358</v>
      </c>
      <c r="M21" s="26"/>
      <c r="N21" s="26"/>
      <c r="O21" s="26" t="str">
        <f>"""GP Direct"",""Fabrikam, Inc."",""UPR30300"",""PAYRATE"",""21811.00000"",""PAYROLCD"",""SALY"",""STATECD"",""IL"",""CHEKDATE"",""1/1/2015"",""UPRTRXAM"",""908.79000"""</f>
        <v>"GP Direct","Fabrikam, Inc.","UPR30300","PAYRATE","21811.00000","PAYROLCD","SALY","STATECD","IL","CHEKDATE","1/1/2015","UPRTRXAM","908.79000"</v>
      </c>
      <c r="P21" s="29">
        <v>21811</v>
      </c>
      <c r="Q21" s="26" t="str">
        <f>"SALY"</f>
        <v>SALY</v>
      </c>
      <c r="R21" s="26" t="str">
        <f>"IL"</f>
        <v>IL</v>
      </c>
      <c r="S21" s="28">
        <v>42005</v>
      </c>
      <c r="T21" s="29">
        <v>908.79</v>
      </c>
    </row>
    <row r="22" spans="1:20" s="7" customFormat="1" hidden="1" outlineLevel="3" x14ac:dyDescent="0.2">
      <c r="C22" s="7" t="str">
        <f>+C15</f>
        <v>Aidan</v>
      </c>
      <c r="D22" s="7" t="str">
        <f>+D15</f>
        <v>Delaney</v>
      </c>
      <c r="E22" s="8" t="str">
        <f>E15</f>
        <v>ACCT</v>
      </c>
      <c r="G22" s="8" t="str">
        <f>G15</f>
        <v>DELA0001</v>
      </c>
      <c r="K22" s="12">
        <f>+K15</f>
        <v>42005</v>
      </c>
      <c r="L22" s="8" t="str">
        <f>L15</f>
        <v>10358</v>
      </c>
      <c r="O22" s="8"/>
      <c r="T22" s="20"/>
    </row>
    <row r="23" spans="1:20" s="7" customFormat="1" outlineLevel="2" collapsed="1" x14ac:dyDescent="0.2">
      <c r="C23" s="7" t="str">
        <f>+C22</f>
        <v>Aidan</v>
      </c>
      <c r="D23" s="7" t="str">
        <f>+D22</f>
        <v>Delaney</v>
      </c>
      <c r="E23" s="8" t="str">
        <f>E22</f>
        <v>ACCT</v>
      </c>
      <c r="G23" s="8" t="str">
        <f>G22</f>
        <v>DELA0001</v>
      </c>
      <c r="K23" s="12">
        <f>+K22</f>
        <v>42005</v>
      </c>
      <c r="L23" s="8" t="str">
        <f>L22</f>
        <v>10358</v>
      </c>
      <c r="M23" s="33" t="str">
        <f>"Total for " &amp; $L23</f>
        <v>Total for 10358</v>
      </c>
      <c r="N23" s="34">
        <f>+K23</f>
        <v>42005</v>
      </c>
      <c r="O23" s="35"/>
      <c r="P23" s="33"/>
      <c r="Q23" s="33"/>
      <c r="R23" s="33"/>
      <c r="S23" s="33"/>
      <c r="T23" s="36">
        <f>SUBTOTAL(9,T15:T22)</f>
        <v>1102.6500000000001</v>
      </c>
    </row>
    <row r="24" spans="1:20" s="7" customFormat="1" hidden="1" outlineLevel="3" x14ac:dyDescent="0.2">
      <c r="A24" s="7" t="s">
        <v>92</v>
      </c>
      <c r="C24" s="7" t="str">
        <f t="shared" ref="C24:C75" si="1">+C23</f>
        <v>Aidan</v>
      </c>
      <c r="D24" s="7" t="str">
        <f>+D23</f>
        <v>Delaney</v>
      </c>
      <c r="E24" s="8" t="str">
        <f>E23</f>
        <v>ACCT</v>
      </c>
      <c r="G24" s="8" t="str">
        <f>G23</f>
        <v>DELA0001</v>
      </c>
      <c r="H24" s="26"/>
      <c r="I24" s="26"/>
      <c r="J24" s="26"/>
      <c r="K24" s="28">
        <f>+N24</f>
        <v>42036</v>
      </c>
      <c r="L24" s="26" t="str">
        <f>M24</f>
        <v>10383</v>
      </c>
      <c r="M24" s="26" t="str">
        <f>"10383"</f>
        <v>10383</v>
      </c>
      <c r="N24" s="28">
        <v>42036</v>
      </c>
      <c r="O24" s="26"/>
      <c r="P24" s="26"/>
      <c r="Q24" s="26"/>
      <c r="R24" s="26"/>
      <c r="S24" s="26"/>
      <c r="T24" s="27"/>
    </row>
    <row r="25" spans="1:20" s="7" customFormat="1" hidden="1" outlineLevel="3" x14ac:dyDescent="0.2">
      <c r="A25" s="7" t="s">
        <v>92</v>
      </c>
      <c r="C25" s="7" t="str">
        <f t="shared" si="1"/>
        <v>Aidan</v>
      </c>
      <c r="D25" s="7" t="str">
        <f>+D24</f>
        <v>Delaney</v>
      </c>
      <c r="E25" s="8" t="str">
        <f>E24</f>
        <v>ACCT</v>
      </c>
      <c r="G25" s="8" t="str">
        <f>G24</f>
        <v>DELA0001</v>
      </c>
      <c r="H25" s="26"/>
      <c r="I25" s="26"/>
      <c r="J25" s="26"/>
      <c r="K25" s="28">
        <f>+K24</f>
        <v>42036</v>
      </c>
      <c r="L25" s="26" t="str">
        <f>L24</f>
        <v>10383</v>
      </c>
      <c r="M25" s="26"/>
      <c r="N25" s="26"/>
      <c r="O25" s="26" t="str">
        <f>"""GP Direct"",""Fabrikam, Inc."",""UPR30300"",""PAYRATE"",""0.00000"",""PAYROLCD"",""401K"",""STATECD"","""",""CHEKDATE"",""2/1/2015"",""UPRTRXAM"",""1.82000"""</f>
        <v>"GP Direct","Fabrikam, Inc.","UPR30300","PAYRATE","0.00000","PAYROLCD","401K","STATECD","","CHEKDATE","2/1/2015","UPRTRXAM","1.82000"</v>
      </c>
      <c r="P25" s="29">
        <v>0</v>
      </c>
      <c r="Q25" s="26" t="str">
        <f>"401K"</f>
        <v>401K</v>
      </c>
      <c r="R25" s="26"/>
      <c r="S25" s="28">
        <v>42036</v>
      </c>
      <c r="T25" s="29">
        <v>1.82</v>
      </c>
    </row>
    <row r="26" spans="1:20" s="7" customFormat="1" hidden="1" outlineLevel="3" x14ac:dyDescent="0.2">
      <c r="A26" s="7" t="s">
        <v>92</v>
      </c>
      <c r="C26" s="7" t="str">
        <f t="shared" ref="C26:C31" si="2">+C25</f>
        <v>Aidan</v>
      </c>
      <c r="D26" s="7" t="str">
        <f>+D25</f>
        <v>Delaney</v>
      </c>
      <c r="E26" s="8" t="str">
        <f>E25</f>
        <v>ACCT</v>
      </c>
      <c r="G26" s="8" t="str">
        <f>G25</f>
        <v>DELA0001</v>
      </c>
      <c r="H26" s="26"/>
      <c r="I26" s="26"/>
      <c r="J26" s="26"/>
      <c r="K26" s="28">
        <f>+K25</f>
        <v>42036</v>
      </c>
      <c r="L26" s="26" t="str">
        <f>L25</f>
        <v>10383</v>
      </c>
      <c r="M26" s="26"/>
      <c r="N26" s="26"/>
      <c r="O26" s="26" t="str">
        <f>"""GP Direct"",""Fabrikam, Inc."",""UPR30300"",""PAYRATE"",""0.00000"",""PAYROLCD"",""401K"",""STATECD"","""",""CHEKDATE"",""2/1/2015"",""UPRTRXAM"",""36.35000"""</f>
        <v>"GP Direct","Fabrikam, Inc.","UPR30300","PAYRATE","0.00000","PAYROLCD","401K","STATECD","","CHEKDATE","2/1/2015","UPRTRXAM","36.35000"</v>
      </c>
      <c r="P26" s="29">
        <v>0</v>
      </c>
      <c r="Q26" s="26" t="str">
        <f>"401K"</f>
        <v>401K</v>
      </c>
      <c r="R26" s="26"/>
      <c r="S26" s="28">
        <v>42036</v>
      </c>
      <c r="T26" s="29">
        <v>36.35</v>
      </c>
    </row>
    <row r="27" spans="1:20" s="7" customFormat="1" hidden="1" outlineLevel="3" x14ac:dyDescent="0.2">
      <c r="A27" s="7" t="s">
        <v>92</v>
      </c>
      <c r="C27" s="7" t="str">
        <f t="shared" si="2"/>
        <v>Aidan</v>
      </c>
      <c r="D27" s="7" t="str">
        <f>+D26</f>
        <v>Delaney</v>
      </c>
      <c r="E27" s="8" t="str">
        <f>E26</f>
        <v>ACCT</v>
      </c>
      <c r="G27" s="8" t="str">
        <f>G26</f>
        <v>DELA0001</v>
      </c>
      <c r="H27" s="26"/>
      <c r="I27" s="26"/>
      <c r="J27" s="26"/>
      <c r="K27" s="28">
        <f>+K26</f>
        <v>42036</v>
      </c>
      <c r="L27" s="26" t="str">
        <f>L26</f>
        <v>10383</v>
      </c>
      <c r="M27" s="26"/>
      <c r="N27" s="26"/>
      <c r="O27" s="26" t="str">
        <f>"""GP Direct"",""Fabrikam, Inc."",""UPR30300"",""PAYRATE"",""0.00000"",""PAYROLCD"",""IL"",""STATECD"","""",""CHEKDATE"",""2/1/2015"",""UPRTRXAM"",""13.38000"""</f>
        <v>"GP Direct","Fabrikam, Inc.","UPR30300","PAYRATE","0.00000","PAYROLCD","IL","STATECD","","CHEKDATE","2/1/2015","UPRTRXAM","13.38000"</v>
      </c>
      <c r="P27" s="29">
        <v>0</v>
      </c>
      <c r="Q27" s="26" t="str">
        <f>"IL"</f>
        <v>IL</v>
      </c>
      <c r="R27" s="26"/>
      <c r="S27" s="28">
        <v>42036</v>
      </c>
      <c r="T27" s="29">
        <v>13.38</v>
      </c>
    </row>
    <row r="28" spans="1:20" s="7" customFormat="1" hidden="1" outlineLevel="3" x14ac:dyDescent="0.2">
      <c r="A28" s="7" t="s">
        <v>92</v>
      </c>
      <c r="C28" s="7" t="str">
        <f t="shared" si="2"/>
        <v>Aidan</v>
      </c>
      <c r="D28" s="7" t="str">
        <f>+D27</f>
        <v>Delaney</v>
      </c>
      <c r="E28" s="8" t="str">
        <f>E27</f>
        <v>ACCT</v>
      </c>
      <c r="G28" s="8" t="str">
        <f>G27</f>
        <v>DELA0001</v>
      </c>
      <c r="H28" s="26"/>
      <c r="I28" s="26"/>
      <c r="J28" s="26"/>
      <c r="K28" s="28">
        <f>+K27</f>
        <v>42036</v>
      </c>
      <c r="L28" s="26" t="str">
        <f>L27</f>
        <v>10383</v>
      </c>
      <c r="M28" s="26"/>
      <c r="N28" s="26"/>
      <c r="O28" s="26" t="str">
        <f>"""GP Direct"",""Fabrikam, Inc."",""UPR30300"",""PAYRATE"",""0.00000"",""PAYROLCD"",""INS"",""STATECD"","""",""CHEKDATE"",""2/1/2015"",""UPRTRXAM"",""49.36000"""</f>
        <v>"GP Direct","Fabrikam, Inc.","UPR30300","PAYRATE","0.00000","PAYROLCD","INS","STATECD","","CHEKDATE","2/1/2015","UPRTRXAM","49.36000"</v>
      </c>
      <c r="P28" s="29">
        <v>0</v>
      </c>
      <c r="Q28" s="26" t="str">
        <f>"INS"</f>
        <v>INS</v>
      </c>
      <c r="R28" s="26"/>
      <c r="S28" s="28">
        <v>42036</v>
      </c>
      <c r="T28" s="29">
        <v>49.36</v>
      </c>
    </row>
    <row r="29" spans="1:20" s="7" customFormat="1" hidden="1" outlineLevel="3" x14ac:dyDescent="0.2">
      <c r="A29" s="7" t="s">
        <v>92</v>
      </c>
      <c r="C29" s="7" t="str">
        <f t="shared" si="2"/>
        <v>Aidan</v>
      </c>
      <c r="D29" s="7" t="str">
        <f>+D28</f>
        <v>Delaney</v>
      </c>
      <c r="E29" s="8" t="str">
        <f>E28</f>
        <v>ACCT</v>
      </c>
      <c r="G29" s="8" t="str">
        <f>G28</f>
        <v>DELA0001</v>
      </c>
      <c r="H29" s="26"/>
      <c r="I29" s="26"/>
      <c r="J29" s="26"/>
      <c r="K29" s="28">
        <f>+K28</f>
        <v>42036</v>
      </c>
      <c r="L29" s="26" t="str">
        <f>L28</f>
        <v>10383</v>
      </c>
      <c r="M29" s="26"/>
      <c r="N29" s="26"/>
      <c r="O29" s="26" t="str">
        <f>"""GP Direct"",""Fabrikam, Inc."",""UPR30300"",""PAYRATE"",""0.00000"",""PAYROLCD"",""INS2"",""STATECD"","""",""CHEKDATE"",""2/1/2015"",""UPRTRXAM"",""72.95000"""</f>
        <v>"GP Direct","Fabrikam, Inc.","UPR30300","PAYRATE","0.00000","PAYROLCD","INS2","STATECD","","CHEKDATE","2/1/2015","UPRTRXAM","72.95000"</v>
      </c>
      <c r="P29" s="29">
        <v>0</v>
      </c>
      <c r="Q29" s="26" t="str">
        <f>"INS2"</f>
        <v>INS2</v>
      </c>
      <c r="R29" s="26"/>
      <c r="S29" s="28">
        <v>42036</v>
      </c>
      <c r="T29" s="29">
        <v>72.95</v>
      </c>
    </row>
    <row r="30" spans="1:20" s="7" customFormat="1" hidden="1" outlineLevel="3" x14ac:dyDescent="0.2">
      <c r="A30" s="7" t="s">
        <v>92</v>
      </c>
      <c r="C30" s="7" t="str">
        <f t="shared" si="2"/>
        <v>Aidan</v>
      </c>
      <c r="D30" s="7" t="str">
        <f>+D29</f>
        <v>Delaney</v>
      </c>
      <c r="E30" s="8" t="str">
        <f>E29</f>
        <v>ACCT</v>
      </c>
      <c r="G30" s="8" t="str">
        <f>G29</f>
        <v>DELA0001</v>
      </c>
      <c r="H30" s="26"/>
      <c r="I30" s="26"/>
      <c r="J30" s="26"/>
      <c r="K30" s="28">
        <f>+K29</f>
        <v>42036</v>
      </c>
      <c r="L30" s="26" t="str">
        <f>L29</f>
        <v>10383</v>
      </c>
      <c r="M30" s="26"/>
      <c r="N30" s="26"/>
      <c r="O30" s="26" t="str">
        <f>"""GP Direct"",""Fabrikam, Inc."",""UPR30300"",""PAYRATE"",""0.00000"",""PAYROLCD"",""MED"",""STATECD"","""",""CHEKDATE"",""2/1/2015"",""UPRTRXAM"",""20.00000"""</f>
        <v>"GP Direct","Fabrikam, Inc.","UPR30300","PAYRATE","0.00000","PAYROLCD","MED","STATECD","","CHEKDATE","2/1/2015","UPRTRXAM","20.00000"</v>
      </c>
      <c r="P30" s="29">
        <v>0</v>
      </c>
      <c r="Q30" s="26" t="str">
        <f>"MED"</f>
        <v>MED</v>
      </c>
      <c r="R30" s="26"/>
      <c r="S30" s="28">
        <v>42036</v>
      </c>
      <c r="T30" s="29">
        <v>20</v>
      </c>
    </row>
    <row r="31" spans="1:20" s="7" customFormat="1" hidden="1" outlineLevel="3" x14ac:dyDescent="0.2">
      <c r="A31" s="7" t="s">
        <v>92</v>
      </c>
      <c r="C31" s="7" t="str">
        <f t="shared" si="2"/>
        <v>Aidan</v>
      </c>
      <c r="D31" s="7" t="str">
        <f>+D30</f>
        <v>Delaney</v>
      </c>
      <c r="E31" s="8" t="str">
        <f>E30</f>
        <v>ACCT</v>
      </c>
      <c r="G31" s="8" t="str">
        <f>G30</f>
        <v>DELA0001</v>
      </c>
      <c r="H31" s="26"/>
      <c r="I31" s="26"/>
      <c r="J31" s="26"/>
      <c r="K31" s="28">
        <f>+K30</f>
        <v>42036</v>
      </c>
      <c r="L31" s="26" t="str">
        <f>L30</f>
        <v>10383</v>
      </c>
      <c r="M31" s="26"/>
      <c r="N31" s="26"/>
      <c r="O31" s="26" t="str">
        <f>"""GP Direct"",""Fabrikam, Inc."",""UPR30300"",""PAYRATE"",""21811.00000"",""PAYROLCD"",""SALY"",""STATECD"",""IL"",""CHEKDATE"",""2/1/2015"",""UPRTRXAM"",""908.79000"""</f>
        <v>"GP Direct","Fabrikam, Inc.","UPR30300","PAYRATE","21811.00000","PAYROLCD","SALY","STATECD","IL","CHEKDATE","2/1/2015","UPRTRXAM","908.79000"</v>
      </c>
      <c r="P31" s="29">
        <v>21811</v>
      </c>
      <c r="Q31" s="26" t="str">
        <f>"SALY"</f>
        <v>SALY</v>
      </c>
      <c r="R31" s="26" t="str">
        <f>"IL"</f>
        <v>IL</v>
      </c>
      <c r="S31" s="28">
        <v>42036</v>
      </c>
      <c r="T31" s="29">
        <v>908.79</v>
      </c>
    </row>
    <row r="32" spans="1:20" s="7" customFormat="1" hidden="1" outlineLevel="3" x14ac:dyDescent="0.2">
      <c r="A32" s="7" t="s">
        <v>92</v>
      </c>
      <c r="C32" s="7" t="str">
        <f>+C25</f>
        <v>Aidan</v>
      </c>
      <c r="D32" s="7" t="str">
        <f>+D25</f>
        <v>Delaney</v>
      </c>
      <c r="E32" s="8" t="str">
        <f>E25</f>
        <v>ACCT</v>
      </c>
      <c r="G32" s="8" t="str">
        <f>G25</f>
        <v>DELA0001</v>
      </c>
      <c r="K32" s="12">
        <f>+K25</f>
        <v>42036</v>
      </c>
      <c r="L32" s="8" t="str">
        <f>L25</f>
        <v>10383</v>
      </c>
      <c r="O32" s="8"/>
      <c r="T32" s="20"/>
    </row>
    <row r="33" spans="1:20" s="7" customFormat="1" outlineLevel="2" collapsed="1" x14ac:dyDescent="0.2">
      <c r="A33" s="7" t="s">
        <v>92</v>
      </c>
      <c r="C33" s="7" t="str">
        <f t="shared" si="1"/>
        <v>Aidan</v>
      </c>
      <c r="D33" s="7" t="str">
        <f>+D32</f>
        <v>Delaney</v>
      </c>
      <c r="E33" s="8" t="str">
        <f>E32</f>
        <v>ACCT</v>
      </c>
      <c r="G33" s="8" t="str">
        <f>G32</f>
        <v>DELA0001</v>
      </c>
      <c r="K33" s="12">
        <f>+K32</f>
        <v>42036</v>
      </c>
      <c r="L33" s="8" t="str">
        <f>L32</f>
        <v>10383</v>
      </c>
      <c r="M33" s="33" t="str">
        <f>"Total for " &amp; $L33</f>
        <v>Total for 10383</v>
      </c>
      <c r="N33" s="34">
        <f>+K33</f>
        <v>42036</v>
      </c>
      <c r="O33" s="35"/>
      <c r="P33" s="33"/>
      <c r="Q33" s="33"/>
      <c r="R33" s="33"/>
      <c r="S33" s="33"/>
      <c r="T33" s="36">
        <f>SUBTOTAL(9,T25:T32)</f>
        <v>1102.6500000000001</v>
      </c>
    </row>
    <row r="34" spans="1:20" s="7" customFormat="1" hidden="1" outlineLevel="3" x14ac:dyDescent="0.2">
      <c r="A34" s="7" t="s">
        <v>92</v>
      </c>
      <c r="C34" s="7" t="str">
        <f t="shared" si="1"/>
        <v>Aidan</v>
      </c>
      <c r="D34" s="7" t="str">
        <f>+D33</f>
        <v>Delaney</v>
      </c>
      <c r="E34" s="8" t="str">
        <f>E33</f>
        <v>ACCT</v>
      </c>
      <c r="G34" s="8" t="str">
        <f>G33</f>
        <v>DELA0001</v>
      </c>
      <c r="H34" s="26"/>
      <c r="I34" s="26"/>
      <c r="J34" s="26"/>
      <c r="K34" s="28">
        <f>+N34</f>
        <v>42064</v>
      </c>
      <c r="L34" s="26" t="str">
        <f>M34</f>
        <v>10408</v>
      </c>
      <c r="M34" s="26" t="str">
        <f>"10408"</f>
        <v>10408</v>
      </c>
      <c r="N34" s="28">
        <v>42064</v>
      </c>
      <c r="O34" s="26"/>
      <c r="P34" s="26"/>
      <c r="Q34" s="26"/>
      <c r="R34" s="26"/>
      <c r="S34" s="26"/>
      <c r="T34" s="27"/>
    </row>
    <row r="35" spans="1:20" s="7" customFormat="1" hidden="1" outlineLevel="3" x14ac:dyDescent="0.2">
      <c r="A35" s="7" t="s">
        <v>92</v>
      </c>
      <c r="C35" s="7" t="str">
        <f t="shared" si="1"/>
        <v>Aidan</v>
      </c>
      <c r="D35" s="7" t="str">
        <f>+D34</f>
        <v>Delaney</v>
      </c>
      <c r="E35" s="8" t="str">
        <f>E34</f>
        <v>ACCT</v>
      </c>
      <c r="G35" s="8" t="str">
        <f>G34</f>
        <v>DELA0001</v>
      </c>
      <c r="H35" s="26"/>
      <c r="I35" s="26"/>
      <c r="J35" s="26"/>
      <c r="K35" s="28">
        <f>+K34</f>
        <v>42064</v>
      </c>
      <c r="L35" s="26" t="str">
        <f>L34</f>
        <v>10408</v>
      </c>
      <c r="M35" s="26"/>
      <c r="N35" s="26"/>
      <c r="O35" s="26" t="str">
        <f>"""GP Direct"",""Fabrikam, Inc."",""UPR30300"",""PAYRATE"",""0.00000"",""PAYROLCD"",""401K"",""STATECD"","""",""CHEKDATE"",""3/1/2015"",""UPRTRXAM"",""1.82000"""</f>
        <v>"GP Direct","Fabrikam, Inc.","UPR30300","PAYRATE","0.00000","PAYROLCD","401K","STATECD","","CHEKDATE","3/1/2015","UPRTRXAM","1.82000"</v>
      </c>
      <c r="P35" s="29">
        <v>0</v>
      </c>
      <c r="Q35" s="26" t="str">
        <f>"401K"</f>
        <v>401K</v>
      </c>
      <c r="R35" s="26"/>
      <c r="S35" s="28">
        <v>42064</v>
      </c>
      <c r="T35" s="29">
        <v>1.82</v>
      </c>
    </row>
    <row r="36" spans="1:20" s="7" customFormat="1" hidden="1" outlineLevel="3" x14ac:dyDescent="0.2">
      <c r="A36" s="7" t="s">
        <v>92</v>
      </c>
      <c r="C36" s="7" t="str">
        <f t="shared" ref="C36:C41" si="3">+C35</f>
        <v>Aidan</v>
      </c>
      <c r="D36" s="7" t="str">
        <f>+D35</f>
        <v>Delaney</v>
      </c>
      <c r="E36" s="8" t="str">
        <f>E35</f>
        <v>ACCT</v>
      </c>
      <c r="G36" s="8" t="str">
        <f>G35</f>
        <v>DELA0001</v>
      </c>
      <c r="H36" s="26"/>
      <c r="I36" s="26"/>
      <c r="J36" s="26"/>
      <c r="K36" s="28">
        <f>+K35</f>
        <v>42064</v>
      </c>
      <c r="L36" s="26" t="str">
        <f>L35</f>
        <v>10408</v>
      </c>
      <c r="M36" s="26"/>
      <c r="N36" s="26"/>
      <c r="O36" s="26" t="str">
        <f>"""GP Direct"",""Fabrikam, Inc."",""UPR30300"",""PAYRATE"",""0.00000"",""PAYROLCD"",""401K"",""STATECD"","""",""CHEKDATE"",""3/1/2015"",""UPRTRXAM"",""36.35000"""</f>
        <v>"GP Direct","Fabrikam, Inc.","UPR30300","PAYRATE","0.00000","PAYROLCD","401K","STATECD","","CHEKDATE","3/1/2015","UPRTRXAM","36.35000"</v>
      </c>
      <c r="P36" s="29">
        <v>0</v>
      </c>
      <c r="Q36" s="26" t="str">
        <f>"401K"</f>
        <v>401K</v>
      </c>
      <c r="R36" s="26"/>
      <c r="S36" s="28">
        <v>42064</v>
      </c>
      <c r="T36" s="29">
        <v>36.35</v>
      </c>
    </row>
    <row r="37" spans="1:20" s="7" customFormat="1" hidden="1" outlineLevel="3" x14ac:dyDescent="0.2">
      <c r="A37" s="7" t="s">
        <v>92</v>
      </c>
      <c r="C37" s="7" t="str">
        <f t="shared" si="3"/>
        <v>Aidan</v>
      </c>
      <c r="D37" s="7" t="str">
        <f>+D36</f>
        <v>Delaney</v>
      </c>
      <c r="E37" s="8" t="str">
        <f>E36</f>
        <v>ACCT</v>
      </c>
      <c r="G37" s="8" t="str">
        <f>G36</f>
        <v>DELA0001</v>
      </c>
      <c r="H37" s="26"/>
      <c r="I37" s="26"/>
      <c r="J37" s="26"/>
      <c r="K37" s="28">
        <f>+K36</f>
        <v>42064</v>
      </c>
      <c r="L37" s="26" t="str">
        <f>L36</f>
        <v>10408</v>
      </c>
      <c r="M37" s="26"/>
      <c r="N37" s="26"/>
      <c r="O37" s="26" t="str">
        <f>"""GP Direct"",""Fabrikam, Inc."",""UPR30300"",""PAYRATE"",""0.00000"",""PAYROLCD"",""IL"",""STATECD"","""",""CHEKDATE"",""3/1/2015"",""UPRTRXAM"",""13.38000"""</f>
        <v>"GP Direct","Fabrikam, Inc.","UPR30300","PAYRATE","0.00000","PAYROLCD","IL","STATECD","","CHEKDATE","3/1/2015","UPRTRXAM","13.38000"</v>
      </c>
      <c r="P37" s="29">
        <v>0</v>
      </c>
      <c r="Q37" s="26" t="str">
        <f>"IL"</f>
        <v>IL</v>
      </c>
      <c r="R37" s="26"/>
      <c r="S37" s="28">
        <v>42064</v>
      </c>
      <c r="T37" s="29">
        <v>13.38</v>
      </c>
    </row>
    <row r="38" spans="1:20" s="7" customFormat="1" hidden="1" outlineLevel="3" x14ac:dyDescent="0.2">
      <c r="A38" s="7" t="s">
        <v>92</v>
      </c>
      <c r="C38" s="7" t="str">
        <f t="shared" si="3"/>
        <v>Aidan</v>
      </c>
      <c r="D38" s="7" t="str">
        <f>+D37</f>
        <v>Delaney</v>
      </c>
      <c r="E38" s="8" t="str">
        <f>E37</f>
        <v>ACCT</v>
      </c>
      <c r="G38" s="8" t="str">
        <f>G37</f>
        <v>DELA0001</v>
      </c>
      <c r="H38" s="26"/>
      <c r="I38" s="26"/>
      <c r="J38" s="26"/>
      <c r="K38" s="28">
        <f>+K37</f>
        <v>42064</v>
      </c>
      <c r="L38" s="26" t="str">
        <f>L37</f>
        <v>10408</v>
      </c>
      <c r="M38" s="26"/>
      <c r="N38" s="26"/>
      <c r="O38" s="26" t="str">
        <f>"""GP Direct"",""Fabrikam, Inc."",""UPR30300"",""PAYRATE"",""0.00000"",""PAYROLCD"",""INS"",""STATECD"","""",""CHEKDATE"",""3/1/2015"",""UPRTRXAM"",""49.36000"""</f>
        <v>"GP Direct","Fabrikam, Inc.","UPR30300","PAYRATE","0.00000","PAYROLCD","INS","STATECD","","CHEKDATE","3/1/2015","UPRTRXAM","49.36000"</v>
      </c>
      <c r="P38" s="29">
        <v>0</v>
      </c>
      <c r="Q38" s="26" t="str">
        <f>"INS"</f>
        <v>INS</v>
      </c>
      <c r="R38" s="26"/>
      <c r="S38" s="28">
        <v>42064</v>
      </c>
      <c r="T38" s="29">
        <v>49.36</v>
      </c>
    </row>
    <row r="39" spans="1:20" s="7" customFormat="1" hidden="1" outlineLevel="3" x14ac:dyDescent="0.2">
      <c r="A39" s="7" t="s">
        <v>92</v>
      </c>
      <c r="C39" s="7" t="str">
        <f t="shared" si="3"/>
        <v>Aidan</v>
      </c>
      <c r="D39" s="7" t="str">
        <f>+D38</f>
        <v>Delaney</v>
      </c>
      <c r="E39" s="8" t="str">
        <f>E38</f>
        <v>ACCT</v>
      </c>
      <c r="G39" s="8" t="str">
        <f>G38</f>
        <v>DELA0001</v>
      </c>
      <c r="H39" s="26"/>
      <c r="I39" s="26"/>
      <c r="J39" s="26"/>
      <c r="K39" s="28">
        <f>+K38</f>
        <v>42064</v>
      </c>
      <c r="L39" s="26" t="str">
        <f>L38</f>
        <v>10408</v>
      </c>
      <c r="M39" s="26"/>
      <c r="N39" s="26"/>
      <c r="O39" s="26" t="str">
        <f>"""GP Direct"",""Fabrikam, Inc."",""UPR30300"",""PAYRATE"",""0.00000"",""PAYROLCD"",""INS2"",""STATECD"","""",""CHEKDATE"",""3/1/2015"",""UPRTRXAM"",""72.95000"""</f>
        <v>"GP Direct","Fabrikam, Inc.","UPR30300","PAYRATE","0.00000","PAYROLCD","INS2","STATECD","","CHEKDATE","3/1/2015","UPRTRXAM","72.95000"</v>
      </c>
      <c r="P39" s="29">
        <v>0</v>
      </c>
      <c r="Q39" s="26" t="str">
        <f>"INS2"</f>
        <v>INS2</v>
      </c>
      <c r="R39" s="26"/>
      <c r="S39" s="28">
        <v>42064</v>
      </c>
      <c r="T39" s="29">
        <v>72.95</v>
      </c>
    </row>
    <row r="40" spans="1:20" s="7" customFormat="1" hidden="1" outlineLevel="3" x14ac:dyDescent="0.2">
      <c r="A40" s="7" t="s">
        <v>92</v>
      </c>
      <c r="C40" s="7" t="str">
        <f t="shared" si="3"/>
        <v>Aidan</v>
      </c>
      <c r="D40" s="7" t="str">
        <f>+D39</f>
        <v>Delaney</v>
      </c>
      <c r="E40" s="8" t="str">
        <f>E39</f>
        <v>ACCT</v>
      </c>
      <c r="G40" s="8" t="str">
        <f>G39</f>
        <v>DELA0001</v>
      </c>
      <c r="H40" s="26"/>
      <c r="I40" s="26"/>
      <c r="J40" s="26"/>
      <c r="K40" s="28">
        <f>+K39</f>
        <v>42064</v>
      </c>
      <c r="L40" s="26" t="str">
        <f>L39</f>
        <v>10408</v>
      </c>
      <c r="M40" s="26"/>
      <c r="N40" s="26"/>
      <c r="O40" s="26" t="str">
        <f>"""GP Direct"",""Fabrikam, Inc."",""UPR30300"",""PAYRATE"",""0.00000"",""PAYROLCD"",""MED"",""STATECD"","""",""CHEKDATE"",""3/1/2015"",""UPRTRXAM"",""20.00000"""</f>
        <v>"GP Direct","Fabrikam, Inc.","UPR30300","PAYRATE","0.00000","PAYROLCD","MED","STATECD","","CHEKDATE","3/1/2015","UPRTRXAM","20.00000"</v>
      </c>
      <c r="P40" s="29">
        <v>0</v>
      </c>
      <c r="Q40" s="26" t="str">
        <f>"MED"</f>
        <v>MED</v>
      </c>
      <c r="R40" s="26"/>
      <c r="S40" s="28">
        <v>42064</v>
      </c>
      <c r="T40" s="29">
        <v>20</v>
      </c>
    </row>
    <row r="41" spans="1:20" s="7" customFormat="1" hidden="1" outlineLevel="3" x14ac:dyDescent="0.2">
      <c r="A41" s="7" t="s">
        <v>92</v>
      </c>
      <c r="C41" s="7" t="str">
        <f t="shared" si="3"/>
        <v>Aidan</v>
      </c>
      <c r="D41" s="7" t="str">
        <f>+D40</f>
        <v>Delaney</v>
      </c>
      <c r="E41" s="8" t="str">
        <f>E40</f>
        <v>ACCT</v>
      </c>
      <c r="G41" s="8" t="str">
        <f>G40</f>
        <v>DELA0001</v>
      </c>
      <c r="H41" s="26"/>
      <c r="I41" s="26"/>
      <c r="J41" s="26"/>
      <c r="K41" s="28">
        <f>+K40</f>
        <v>42064</v>
      </c>
      <c r="L41" s="26" t="str">
        <f>L40</f>
        <v>10408</v>
      </c>
      <c r="M41" s="26"/>
      <c r="N41" s="26"/>
      <c r="O41" s="26" t="str">
        <f>"""GP Direct"",""Fabrikam, Inc."",""UPR30300"",""PAYRATE"",""21811.00000"",""PAYROLCD"",""SALY"",""STATECD"",""IL"",""CHEKDATE"",""3/1/2015"",""UPRTRXAM"",""908.79000"""</f>
        <v>"GP Direct","Fabrikam, Inc.","UPR30300","PAYRATE","21811.00000","PAYROLCD","SALY","STATECD","IL","CHEKDATE","3/1/2015","UPRTRXAM","908.79000"</v>
      </c>
      <c r="P41" s="29">
        <v>21811</v>
      </c>
      <c r="Q41" s="26" t="str">
        <f>"SALY"</f>
        <v>SALY</v>
      </c>
      <c r="R41" s="26" t="str">
        <f>"IL"</f>
        <v>IL</v>
      </c>
      <c r="S41" s="28">
        <v>42064</v>
      </c>
      <c r="T41" s="29">
        <v>908.79</v>
      </c>
    </row>
    <row r="42" spans="1:20" s="7" customFormat="1" hidden="1" outlineLevel="3" x14ac:dyDescent="0.2">
      <c r="A42" s="7" t="s">
        <v>92</v>
      </c>
      <c r="C42" s="7" t="str">
        <f>+C35</f>
        <v>Aidan</v>
      </c>
      <c r="D42" s="7" t="str">
        <f>+D35</f>
        <v>Delaney</v>
      </c>
      <c r="E42" s="8" t="str">
        <f>E35</f>
        <v>ACCT</v>
      </c>
      <c r="G42" s="8" t="str">
        <f>G35</f>
        <v>DELA0001</v>
      </c>
      <c r="K42" s="12">
        <f>+K35</f>
        <v>42064</v>
      </c>
      <c r="L42" s="8" t="str">
        <f>L35</f>
        <v>10408</v>
      </c>
      <c r="O42" s="8"/>
      <c r="T42" s="20"/>
    </row>
    <row r="43" spans="1:20" s="7" customFormat="1" outlineLevel="2" collapsed="1" x14ac:dyDescent="0.2">
      <c r="A43" s="7" t="s">
        <v>92</v>
      </c>
      <c r="C43" s="7" t="str">
        <f t="shared" si="1"/>
        <v>Aidan</v>
      </c>
      <c r="D43" s="7" t="str">
        <f>+D42</f>
        <v>Delaney</v>
      </c>
      <c r="E43" s="8" t="str">
        <f>E42</f>
        <v>ACCT</v>
      </c>
      <c r="G43" s="8" t="str">
        <f>G42</f>
        <v>DELA0001</v>
      </c>
      <c r="K43" s="12">
        <f>+K42</f>
        <v>42064</v>
      </c>
      <c r="L43" s="8" t="str">
        <f>L42</f>
        <v>10408</v>
      </c>
      <c r="M43" s="33" t="str">
        <f>"Total for " &amp; $L43</f>
        <v>Total for 10408</v>
      </c>
      <c r="N43" s="34">
        <f>+K43</f>
        <v>42064</v>
      </c>
      <c r="O43" s="35"/>
      <c r="P43" s="33"/>
      <c r="Q43" s="33"/>
      <c r="R43" s="33"/>
      <c r="S43" s="33"/>
      <c r="T43" s="36">
        <f>SUBTOTAL(9,T35:T42)</f>
        <v>1102.6500000000001</v>
      </c>
    </row>
    <row r="44" spans="1:20" s="7" customFormat="1" hidden="1" outlineLevel="3" x14ac:dyDescent="0.2">
      <c r="A44" s="7" t="s">
        <v>92</v>
      </c>
      <c r="C44" s="7" t="str">
        <f t="shared" si="1"/>
        <v>Aidan</v>
      </c>
      <c r="D44" s="7" t="str">
        <f>+D43</f>
        <v>Delaney</v>
      </c>
      <c r="E44" s="8" t="str">
        <f>E43</f>
        <v>ACCT</v>
      </c>
      <c r="G44" s="8" t="str">
        <f>G43</f>
        <v>DELA0001</v>
      </c>
      <c r="H44" s="26"/>
      <c r="I44" s="26"/>
      <c r="J44" s="26"/>
      <c r="K44" s="28">
        <f>+N44</f>
        <v>42095</v>
      </c>
      <c r="L44" s="26" t="str">
        <f>M44</f>
        <v>10433</v>
      </c>
      <c r="M44" s="26" t="str">
        <f>"10433"</f>
        <v>10433</v>
      </c>
      <c r="N44" s="28">
        <v>42095</v>
      </c>
      <c r="O44" s="26"/>
      <c r="P44" s="26"/>
      <c r="Q44" s="26"/>
      <c r="R44" s="26"/>
      <c r="S44" s="26"/>
      <c r="T44" s="27"/>
    </row>
    <row r="45" spans="1:20" s="7" customFormat="1" hidden="1" outlineLevel="3" x14ac:dyDescent="0.2">
      <c r="A45" s="7" t="s">
        <v>92</v>
      </c>
      <c r="C45" s="7" t="str">
        <f t="shared" si="1"/>
        <v>Aidan</v>
      </c>
      <c r="D45" s="7" t="str">
        <f>+D44</f>
        <v>Delaney</v>
      </c>
      <c r="E45" s="8" t="str">
        <f>E44</f>
        <v>ACCT</v>
      </c>
      <c r="G45" s="8" t="str">
        <f>G44</f>
        <v>DELA0001</v>
      </c>
      <c r="H45" s="26"/>
      <c r="I45" s="26"/>
      <c r="J45" s="26"/>
      <c r="K45" s="28">
        <f>+K44</f>
        <v>42095</v>
      </c>
      <c r="L45" s="26" t="str">
        <f>L44</f>
        <v>10433</v>
      </c>
      <c r="M45" s="26"/>
      <c r="N45" s="26"/>
      <c r="O45" s="26" t="str">
        <f>"""GP Direct"",""Fabrikam, Inc."",""UPR30300"",""PAYRATE"",""0.00000"",""PAYROLCD"",""401K"",""STATECD"","""",""CHEKDATE"",""4/1/2015"",""UPRTRXAM"",""1.65000"""</f>
        <v>"GP Direct","Fabrikam, Inc.","UPR30300","PAYRATE","0.00000","PAYROLCD","401K","STATECD","","CHEKDATE","4/1/2015","UPRTRXAM","1.65000"</v>
      </c>
      <c r="P45" s="29">
        <v>0</v>
      </c>
      <c r="Q45" s="26" t="str">
        <f>"401K"</f>
        <v>401K</v>
      </c>
      <c r="R45" s="26"/>
      <c r="S45" s="28">
        <v>42095</v>
      </c>
      <c r="T45" s="29">
        <v>1.65</v>
      </c>
    </row>
    <row r="46" spans="1:20" s="7" customFormat="1" hidden="1" outlineLevel="3" x14ac:dyDescent="0.2">
      <c r="A46" s="7" t="s">
        <v>92</v>
      </c>
      <c r="C46" s="7" t="str">
        <f t="shared" ref="C46:C52" si="4">+C45</f>
        <v>Aidan</v>
      </c>
      <c r="D46" s="7" t="str">
        <f>+D45</f>
        <v>Delaney</v>
      </c>
      <c r="E46" s="8" t="str">
        <f>E45</f>
        <v>ACCT</v>
      </c>
      <c r="G46" s="8" t="str">
        <f>G45</f>
        <v>DELA0001</v>
      </c>
      <c r="H46" s="26"/>
      <c r="I46" s="26"/>
      <c r="J46" s="26"/>
      <c r="K46" s="28">
        <f>+K45</f>
        <v>42095</v>
      </c>
      <c r="L46" s="26" t="str">
        <f>L45</f>
        <v>10433</v>
      </c>
      <c r="M46" s="26"/>
      <c r="N46" s="26"/>
      <c r="O46" s="26" t="str">
        <f>"""GP Direct"",""Fabrikam, Inc."",""UPR30300"",""PAYRATE"",""0.00000"",""PAYROLCD"",""401K"",""STATECD"","""",""CHEKDATE"",""4/1/2015"",""UPRTRXAM"",""33.00000"""</f>
        <v>"GP Direct","Fabrikam, Inc.","UPR30300","PAYRATE","0.00000","PAYROLCD","401K","STATECD","","CHEKDATE","4/1/2015","UPRTRXAM","33.00000"</v>
      </c>
      <c r="P46" s="29">
        <v>0</v>
      </c>
      <c r="Q46" s="26" t="str">
        <f>"401K"</f>
        <v>401K</v>
      </c>
      <c r="R46" s="26"/>
      <c r="S46" s="28">
        <v>42095</v>
      </c>
      <c r="T46" s="29">
        <v>33</v>
      </c>
    </row>
    <row r="47" spans="1:20" s="7" customFormat="1" hidden="1" outlineLevel="3" x14ac:dyDescent="0.2">
      <c r="A47" s="7" t="s">
        <v>92</v>
      </c>
      <c r="C47" s="7" t="str">
        <f t="shared" si="4"/>
        <v>Aidan</v>
      </c>
      <c r="D47" s="7" t="str">
        <f>+D46</f>
        <v>Delaney</v>
      </c>
      <c r="E47" s="8" t="str">
        <f>E46</f>
        <v>ACCT</v>
      </c>
      <c r="G47" s="8" t="str">
        <f>G46</f>
        <v>DELA0001</v>
      </c>
      <c r="H47" s="26"/>
      <c r="I47" s="26"/>
      <c r="J47" s="26"/>
      <c r="K47" s="28">
        <f>+K46</f>
        <v>42095</v>
      </c>
      <c r="L47" s="26" t="str">
        <f>L46</f>
        <v>10433</v>
      </c>
      <c r="M47" s="26"/>
      <c r="N47" s="26"/>
      <c r="O47" s="26" t="str">
        <f>"""GP Direct"",""Fabrikam, Inc."",""UPR30300"",""PAYRATE"",""0.00000"",""PAYROLCD"",""IL"",""STATECD"","""",""CHEKDATE"",""4/1/2015"",""UPRTRXAM"",""10.97000"""</f>
        <v>"GP Direct","Fabrikam, Inc.","UPR30300","PAYRATE","0.00000","PAYROLCD","IL","STATECD","","CHEKDATE","4/1/2015","UPRTRXAM","10.97000"</v>
      </c>
      <c r="P47" s="29">
        <v>0</v>
      </c>
      <c r="Q47" s="26" t="str">
        <f>"IL"</f>
        <v>IL</v>
      </c>
      <c r="R47" s="26"/>
      <c r="S47" s="28">
        <v>42095</v>
      </c>
      <c r="T47" s="29">
        <v>10.97</v>
      </c>
    </row>
    <row r="48" spans="1:20" s="7" customFormat="1" hidden="1" outlineLevel="3" x14ac:dyDescent="0.2">
      <c r="A48" s="7" t="s">
        <v>92</v>
      </c>
      <c r="C48" s="7" t="str">
        <f t="shared" si="4"/>
        <v>Aidan</v>
      </c>
      <c r="D48" s="7" t="str">
        <f>+D47</f>
        <v>Delaney</v>
      </c>
      <c r="E48" s="8" t="str">
        <f>E47</f>
        <v>ACCT</v>
      </c>
      <c r="G48" s="8" t="str">
        <f>G47</f>
        <v>DELA0001</v>
      </c>
      <c r="H48" s="26"/>
      <c r="I48" s="26"/>
      <c r="J48" s="26"/>
      <c r="K48" s="28">
        <f>+K47</f>
        <v>42095</v>
      </c>
      <c r="L48" s="26" t="str">
        <f>L47</f>
        <v>10433</v>
      </c>
      <c r="M48" s="26"/>
      <c r="N48" s="26"/>
      <c r="O48" s="26" t="str">
        <f>"""GP Direct"",""Fabrikam, Inc."",""UPR30300"",""PAYRATE"",""0.00000"",""PAYROLCD"",""INS"",""STATECD"","""",""CHEKDATE"",""4/1/2015"",""UPRTRXAM"",""49.36000"""</f>
        <v>"GP Direct","Fabrikam, Inc.","UPR30300","PAYRATE","0.00000","PAYROLCD","INS","STATECD","","CHEKDATE","4/1/2015","UPRTRXAM","49.36000"</v>
      </c>
      <c r="P48" s="29">
        <v>0</v>
      </c>
      <c r="Q48" s="26" t="str">
        <f>"INS"</f>
        <v>INS</v>
      </c>
      <c r="R48" s="26"/>
      <c r="S48" s="28">
        <v>42095</v>
      </c>
      <c r="T48" s="29">
        <v>49.36</v>
      </c>
    </row>
    <row r="49" spans="1:20" s="7" customFormat="1" hidden="1" outlineLevel="3" x14ac:dyDescent="0.2">
      <c r="A49" s="7" t="s">
        <v>92</v>
      </c>
      <c r="C49" s="7" t="str">
        <f t="shared" si="4"/>
        <v>Aidan</v>
      </c>
      <c r="D49" s="7" t="str">
        <f>+D48</f>
        <v>Delaney</v>
      </c>
      <c r="E49" s="8" t="str">
        <f>E48</f>
        <v>ACCT</v>
      </c>
      <c r="G49" s="8" t="str">
        <f>G48</f>
        <v>DELA0001</v>
      </c>
      <c r="H49" s="26"/>
      <c r="I49" s="26"/>
      <c r="J49" s="26"/>
      <c r="K49" s="28">
        <f>+K48</f>
        <v>42095</v>
      </c>
      <c r="L49" s="26" t="str">
        <f>L48</f>
        <v>10433</v>
      </c>
      <c r="M49" s="26"/>
      <c r="N49" s="26"/>
      <c r="O49" s="26" t="str">
        <f>"""GP Direct"",""Fabrikam, Inc."",""UPR30300"",""PAYRATE"",""0.00000"",""PAYROLCD"",""INS2"",""STATECD"","""",""CHEKDATE"",""4/1/2015"",""UPRTRXAM"",""72.95000"""</f>
        <v>"GP Direct","Fabrikam, Inc.","UPR30300","PAYRATE","0.00000","PAYROLCD","INS2","STATECD","","CHEKDATE","4/1/2015","UPRTRXAM","72.95000"</v>
      </c>
      <c r="P49" s="29">
        <v>0</v>
      </c>
      <c r="Q49" s="26" t="str">
        <f>"INS2"</f>
        <v>INS2</v>
      </c>
      <c r="R49" s="26"/>
      <c r="S49" s="28">
        <v>42095</v>
      </c>
      <c r="T49" s="29">
        <v>72.95</v>
      </c>
    </row>
    <row r="50" spans="1:20" s="7" customFormat="1" hidden="1" outlineLevel="3" x14ac:dyDescent="0.2">
      <c r="A50" s="7" t="s">
        <v>92</v>
      </c>
      <c r="C50" s="7" t="str">
        <f t="shared" si="4"/>
        <v>Aidan</v>
      </c>
      <c r="D50" s="7" t="str">
        <f>+D49</f>
        <v>Delaney</v>
      </c>
      <c r="E50" s="8" t="str">
        <f>E49</f>
        <v>ACCT</v>
      </c>
      <c r="G50" s="8" t="str">
        <f>G49</f>
        <v>DELA0001</v>
      </c>
      <c r="H50" s="26"/>
      <c r="I50" s="26"/>
      <c r="J50" s="26"/>
      <c r="K50" s="28">
        <f>+K49</f>
        <v>42095</v>
      </c>
      <c r="L50" s="26" t="str">
        <f>L49</f>
        <v>10433</v>
      </c>
      <c r="M50" s="26"/>
      <c r="N50" s="26"/>
      <c r="O50" s="26" t="str">
        <f>"""GP Direct"",""Fabrikam, Inc."",""UPR30300"",""PAYRATE"",""0.00000"",""PAYROLCD"",""MED"",""STATECD"","""",""CHEKDATE"",""4/1/2015"",""UPRTRXAM"",""20.00000"""</f>
        <v>"GP Direct","Fabrikam, Inc.","UPR30300","PAYRATE","0.00000","PAYROLCD","MED","STATECD","","CHEKDATE","4/1/2015","UPRTRXAM","20.00000"</v>
      </c>
      <c r="P50" s="29">
        <v>0</v>
      </c>
      <c r="Q50" s="26" t="str">
        <f>"MED"</f>
        <v>MED</v>
      </c>
      <c r="R50" s="26"/>
      <c r="S50" s="28">
        <v>42095</v>
      </c>
      <c r="T50" s="29">
        <v>20</v>
      </c>
    </row>
    <row r="51" spans="1:20" s="7" customFormat="1" hidden="1" outlineLevel="3" x14ac:dyDescent="0.2">
      <c r="A51" s="7" t="s">
        <v>92</v>
      </c>
      <c r="C51" s="7" t="str">
        <f t="shared" si="4"/>
        <v>Aidan</v>
      </c>
      <c r="D51" s="7" t="str">
        <f>+D50</f>
        <v>Delaney</v>
      </c>
      <c r="E51" s="8" t="str">
        <f>E50</f>
        <v>ACCT</v>
      </c>
      <c r="G51" s="8" t="str">
        <f>G50</f>
        <v>DELA0001</v>
      </c>
      <c r="H51" s="26"/>
      <c r="I51" s="26"/>
      <c r="J51" s="26"/>
      <c r="K51" s="28">
        <f>+K50</f>
        <v>42095</v>
      </c>
      <c r="L51" s="26" t="str">
        <f>L50</f>
        <v>10433</v>
      </c>
      <c r="M51" s="26"/>
      <c r="N51" s="26"/>
      <c r="O51" s="26" t="str">
        <f>"""GP Direct"",""Fabrikam, Inc."",""UPR30300"",""PAYRATE"",""0.00000"",""PAYROLCD"",""SICK"",""STATECD"",""IL"",""CHEKDATE"",""4/1/2015"",""UPRTRXAM"",""0.00000"""</f>
        <v>"GP Direct","Fabrikam, Inc.","UPR30300","PAYRATE","0.00000","PAYROLCD","SICK","STATECD","IL","CHEKDATE","4/1/2015","UPRTRXAM","0.00000"</v>
      </c>
      <c r="P51" s="29">
        <v>0</v>
      </c>
      <c r="Q51" s="26" t="str">
        <f>"SICK"</f>
        <v>SICK</v>
      </c>
      <c r="R51" s="26" t="str">
        <f>"IL"</f>
        <v>IL</v>
      </c>
      <c r="S51" s="28">
        <v>42095</v>
      </c>
      <c r="T51" s="29">
        <v>0</v>
      </c>
    </row>
    <row r="52" spans="1:20" s="7" customFormat="1" hidden="1" outlineLevel="3" x14ac:dyDescent="0.2">
      <c r="A52" s="7" t="s">
        <v>92</v>
      </c>
      <c r="C52" s="7" t="str">
        <f t="shared" si="4"/>
        <v>Aidan</v>
      </c>
      <c r="D52" s="7" t="str">
        <f>+D51</f>
        <v>Delaney</v>
      </c>
      <c r="E52" s="8" t="str">
        <f>E51</f>
        <v>ACCT</v>
      </c>
      <c r="G52" s="8" t="str">
        <f>G51</f>
        <v>DELA0001</v>
      </c>
      <c r="H52" s="26"/>
      <c r="I52" s="26"/>
      <c r="J52" s="26"/>
      <c r="K52" s="28">
        <f>+K51</f>
        <v>42095</v>
      </c>
      <c r="L52" s="26" t="str">
        <f>L51</f>
        <v>10433</v>
      </c>
      <c r="M52" s="26"/>
      <c r="N52" s="26"/>
      <c r="O52" s="26" t="str">
        <f>"""GP Direct"",""Fabrikam, Inc."",""UPR30300"",""PAYRATE"",""10.48604"",""PAYROLCD"",""SALY"",""STATECD"",""IL"",""CHEKDATE"",""4/1/2015"",""UPRTRXAM"",""824.90000"""</f>
        <v>"GP Direct","Fabrikam, Inc.","UPR30300","PAYRATE","10.48604","PAYROLCD","SALY","STATECD","IL","CHEKDATE","4/1/2015","UPRTRXAM","824.90000"</v>
      </c>
      <c r="P52" s="29">
        <v>10.486000000000001</v>
      </c>
      <c r="Q52" s="26" t="str">
        <f>"SALY"</f>
        <v>SALY</v>
      </c>
      <c r="R52" s="26" t="str">
        <f>"IL"</f>
        <v>IL</v>
      </c>
      <c r="S52" s="28">
        <v>42095</v>
      </c>
      <c r="T52" s="29">
        <v>824.9</v>
      </c>
    </row>
    <row r="53" spans="1:20" s="7" customFormat="1" hidden="1" outlineLevel="3" x14ac:dyDescent="0.2">
      <c r="A53" s="7" t="s">
        <v>92</v>
      </c>
      <c r="C53" s="7" t="str">
        <f>+C45</f>
        <v>Aidan</v>
      </c>
      <c r="D53" s="7" t="str">
        <f>+D45</f>
        <v>Delaney</v>
      </c>
      <c r="E53" s="8" t="str">
        <f>E45</f>
        <v>ACCT</v>
      </c>
      <c r="G53" s="8" t="str">
        <f>G45</f>
        <v>DELA0001</v>
      </c>
      <c r="K53" s="12">
        <f>+K45</f>
        <v>42095</v>
      </c>
      <c r="L53" s="8" t="str">
        <f>L45</f>
        <v>10433</v>
      </c>
      <c r="O53" s="8"/>
      <c r="T53" s="20"/>
    </row>
    <row r="54" spans="1:20" s="7" customFormat="1" outlineLevel="2" collapsed="1" x14ac:dyDescent="0.2">
      <c r="A54" s="7" t="s">
        <v>92</v>
      </c>
      <c r="C54" s="7" t="str">
        <f t="shared" si="1"/>
        <v>Aidan</v>
      </c>
      <c r="D54" s="7" t="str">
        <f>+D53</f>
        <v>Delaney</v>
      </c>
      <c r="E54" s="8" t="str">
        <f>E53</f>
        <v>ACCT</v>
      </c>
      <c r="G54" s="8" t="str">
        <f>G53</f>
        <v>DELA0001</v>
      </c>
      <c r="K54" s="12">
        <f>+K53</f>
        <v>42095</v>
      </c>
      <c r="L54" s="8" t="str">
        <f>L53</f>
        <v>10433</v>
      </c>
      <c r="M54" s="33" t="str">
        <f>"Total for " &amp; $L54</f>
        <v>Total for 10433</v>
      </c>
      <c r="N54" s="34">
        <f>+K54</f>
        <v>42095</v>
      </c>
      <c r="O54" s="35"/>
      <c r="P54" s="33"/>
      <c r="Q54" s="33"/>
      <c r="R54" s="33"/>
      <c r="S54" s="33"/>
      <c r="T54" s="36">
        <f>SUBTOTAL(9,T45:T53)</f>
        <v>1012.8299999999999</v>
      </c>
    </row>
    <row r="55" spans="1:20" s="7" customFormat="1" hidden="1" outlineLevel="3" x14ac:dyDescent="0.2">
      <c r="A55" s="7" t="s">
        <v>92</v>
      </c>
      <c r="C55" s="7" t="str">
        <f t="shared" si="1"/>
        <v>Aidan</v>
      </c>
      <c r="D55" s="7" t="str">
        <f>+D54</f>
        <v>Delaney</v>
      </c>
      <c r="E55" s="8" t="str">
        <f>E54</f>
        <v>ACCT</v>
      </c>
      <c r="G55" s="8" t="str">
        <f>G54</f>
        <v>DELA0001</v>
      </c>
      <c r="H55" s="26"/>
      <c r="I55" s="26"/>
      <c r="J55" s="26"/>
      <c r="K55" s="28">
        <f>+N55</f>
        <v>42125</v>
      </c>
      <c r="L55" s="26" t="str">
        <f>M55</f>
        <v>10458</v>
      </c>
      <c r="M55" s="26" t="str">
        <f>"10458"</f>
        <v>10458</v>
      </c>
      <c r="N55" s="28">
        <v>42125</v>
      </c>
      <c r="O55" s="26"/>
      <c r="P55" s="26"/>
      <c r="Q55" s="26"/>
      <c r="R55" s="26"/>
      <c r="S55" s="26"/>
      <c r="T55" s="27"/>
    </row>
    <row r="56" spans="1:20" s="7" customFormat="1" hidden="1" outlineLevel="3" x14ac:dyDescent="0.2">
      <c r="A56" s="7" t="s">
        <v>92</v>
      </c>
      <c r="C56" s="7" t="str">
        <f t="shared" si="1"/>
        <v>Aidan</v>
      </c>
      <c r="D56" s="7" t="str">
        <f>+D55</f>
        <v>Delaney</v>
      </c>
      <c r="E56" s="8" t="str">
        <f>E55</f>
        <v>ACCT</v>
      </c>
      <c r="G56" s="8" t="str">
        <f>G55</f>
        <v>DELA0001</v>
      </c>
      <c r="H56" s="26"/>
      <c r="I56" s="26"/>
      <c r="J56" s="26"/>
      <c r="K56" s="28">
        <f>+K55</f>
        <v>42125</v>
      </c>
      <c r="L56" s="26" t="str">
        <f>L55</f>
        <v>10458</v>
      </c>
      <c r="M56" s="26"/>
      <c r="N56" s="26"/>
      <c r="O56" s="26" t="str">
        <f>"""GP Direct"",""Fabrikam, Inc."",""UPR30300"",""PAYRATE"",""0.00000"",""PAYROLCD"",""401K"",""STATECD"","""",""CHEKDATE"",""5/1/2015"",""UPRTRXAM"",""1.65000"""</f>
        <v>"GP Direct","Fabrikam, Inc.","UPR30300","PAYRATE","0.00000","PAYROLCD","401K","STATECD","","CHEKDATE","5/1/2015","UPRTRXAM","1.65000"</v>
      </c>
      <c r="P56" s="29">
        <v>0</v>
      </c>
      <c r="Q56" s="26" t="str">
        <f>"401K"</f>
        <v>401K</v>
      </c>
      <c r="R56" s="26"/>
      <c r="S56" s="28">
        <v>42125</v>
      </c>
      <c r="T56" s="29">
        <v>1.65</v>
      </c>
    </row>
    <row r="57" spans="1:20" s="7" customFormat="1" hidden="1" outlineLevel="3" x14ac:dyDescent="0.2">
      <c r="A57" s="7" t="s">
        <v>92</v>
      </c>
      <c r="C57" s="7" t="str">
        <f t="shared" ref="C57:C63" si="5">+C56</f>
        <v>Aidan</v>
      </c>
      <c r="D57" s="7" t="str">
        <f>+D56</f>
        <v>Delaney</v>
      </c>
      <c r="E57" s="8" t="str">
        <f>E56</f>
        <v>ACCT</v>
      </c>
      <c r="G57" s="8" t="str">
        <f>G56</f>
        <v>DELA0001</v>
      </c>
      <c r="H57" s="26"/>
      <c r="I57" s="26"/>
      <c r="J57" s="26"/>
      <c r="K57" s="28">
        <f>+K56</f>
        <v>42125</v>
      </c>
      <c r="L57" s="26" t="str">
        <f>L56</f>
        <v>10458</v>
      </c>
      <c r="M57" s="26"/>
      <c r="N57" s="26"/>
      <c r="O57" s="26" t="str">
        <f>"""GP Direct"",""Fabrikam, Inc."",""UPR30300"",""PAYRATE"",""0.00000"",""PAYROLCD"",""401K"",""STATECD"","""",""CHEKDATE"",""5/1/2015"",""UPRTRXAM"",""33.00000"""</f>
        <v>"GP Direct","Fabrikam, Inc.","UPR30300","PAYRATE","0.00000","PAYROLCD","401K","STATECD","","CHEKDATE","5/1/2015","UPRTRXAM","33.00000"</v>
      </c>
      <c r="P57" s="29">
        <v>0</v>
      </c>
      <c r="Q57" s="26" t="str">
        <f>"401K"</f>
        <v>401K</v>
      </c>
      <c r="R57" s="26"/>
      <c r="S57" s="28">
        <v>42125</v>
      </c>
      <c r="T57" s="29">
        <v>33</v>
      </c>
    </row>
    <row r="58" spans="1:20" s="7" customFormat="1" hidden="1" outlineLevel="3" x14ac:dyDescent="0.2">
      <c r="A58" s="7" t="s">
        <v>92</v>
      </c>
      <c r="C58" s="7" t="str">
        <f t="shared" si="5"/>
        <v>Aidan</v>
      </c>
      <c r="D58" s="7" t="str">
        <f>+D57</f>
        <v>Delaney</v>
      </c>
      <c r="E58" s="8" t="str">
        <f>E57</f>
        <v>ACCT</v>
      </c>
      <c r="G58" s="8" t="str">
        <f>G57</f>
        <v>DELA0001</v>
      </c>
      <c r="H58" s="26"/>
      <c r="I58" s="26"/>
      <c r="J58" s="26"/>
      <c r="K58" s="28">
        <f>+K57</f>
        <v>42125</v>
      </c>
      <c r="L58" s="26" t="str">
        <f>L57</f>
        <v>10458</v>
      </c>
      <c r="M58" s="26"/>
      <c r="N58" s="26"/>
      <c r="O58" s="26" t="str">
        <f>"""GP Direct"",""Fabrikam, Inc."",""UPR30300"",""PAYRATE"",""0.00000"",""PAYROLCD"",""IL"",""STATECD"","""",""CHEKDATE"",""5/1/2015"",""UPRTRXAM"",""10.97000"""</f>
        <v>"GP Direct","Fabrikam, Inc.","UPR30300","PAYRATE","0.00000","PAYROLCD","IL","STATECD","","CHEKDATE","5/1/2015","UPRTRXAM","10.97000"</v>
      </c>
      <c r="P58" s="29">
        <v>0</v>
      </c>
      <c r="Q58" s="26" t="str">
        <f>"IL"</f>
        <v>IL</v>
      </c>
      <c r="R58" s="26"/>
      <c r="S58" s="28">
        <v>42125</v>
      </c>
      <c r="T58" s="29">
        <v>10.97</v>
      </c>
    </row>
    <row r="59" spans="1:20" s="7" customFormat="1" hidden="1" outlineLevel="3" x14ac:dyDescent="0.2">
      <c r="A59" s="7" t="s">
        <v>92</v>
      </c>
      <c r="C59" s="7" t="str">
        <f t="shared" si="5"/>
        <v>Aidan</v>
      </c>
      <c r="D59" s="7" t="str">
        <f>+D58</f>
        <v>Delaney</v>
      </c>
      <c r="E59" s="8" t="str">
        <f>E58</f>
        <v>ACCT</v>
      </c>
      <c r="G59" s="8" t="str">
        <f>G58</f>
        <v>DELA0001</v>
      </c>
      <c r="H59" s="26"/>
      <c r="I59" s="26"/>
      <c r="J59" s="26"/>
      <c r="K59" s="28">
        <f>+K58</f>
        <v>42125</v>
      </c>
      <c r="L59" s="26" t="str">
        <f>L58</f>
        <v>10458</v>
      </c>
      <c r="M59" s="26"/>
      <c r="N59" s="26"/>
      <c r="O59" s="26" t="str">
        <f>"""GP Direct"",""Fabrikam, Inc."",""UPR30300"",""PAYRATE"",""0.00000"",""PAYROLCD"",""INS"",""STATECD"","""",""CHEKDATE"",""5/1/2015"",""UPRTRXAM"",""49.36000"""</f>
        <v>"GP Direct","Fabrikam, Inc.","UPR30300","PAYRATE","0.00000","PAYROLCD","INS","STATECD","","CHEKDATE","5/1/2015","UPRTRXAM","49.36000"</v>
      </c>
      <c r="P59" s="29">
        <v>0</v>
      </c>
      <c r="Q59" s="26" t="str">
        <f>"INS"</f>
        <v>INS</v>
      </c>
      <c r="R59" s="26"/>
      <c r="S59" s="28">
        <v>42125</v>
      </c>
      <c r="T59" s="29">
        <v>49.36</v>
      </c>
    </row>
    <row r="60" spans="1:20" s="7" customFormat="1" hidden="1" outlineLevel="3" x14ac:dyDescent="0.2">
      <c r="A60" s="7" t="s">
        <v>92</v>
      </c>
      <c r="C60" s="7" t="str">
        <f t="shared" si="5"/>
        <v>Aidan</v>
      </c>
      <c r="D60" s="7" t="str">
        <f>+D59</f>
        <v>Delaney</v>
      </c>
      <c r="E60" s="8" t="str">
        <f>E59</f>
        <v>ACCT</v>
      </c>
      <c r="G60" s="8" t="str">
        <f>G59</f>
        <v>DELA0001</v>
      </c>
      <c r="H60" s="26"/>
      <c r="I60" s="26"/>
      <c r="J60" s="26"/>
      <c r="K60" s="28">
        <f>+K59</f>
        <v>42125</v>
      </c>
      <c r="L60" s="26" t="str">
        <f>L59</f>
        <v>10458</v>
      </c>
      <c r="M60" s="26"/>
      <c r="N60" s="26"/>
      <c r="O60" s="26" t="str">
        <f>"""GP Direct"",""Fabrikam, Inc."",""UPR30300"",""PAYRATE"",""0.00000"",""PAYROLCD"",""INS2"",""STATECD"","""",""CHEKDATE"",""5/1/2015"",""UPRTRXAM"",""72.95000"""</f>
        <v>"GP Direct","Fabrikam, Inc.","UPR30300","PAYRATE","0.00000","PAYROLCD","INS2","STATECD","","CHEKDATE","5/1/2015","UPRTRXAM","72.95000"</v>
      </c>
      <c r="P60" s="29">
        <v>0</v>
      </c>
      <c r="Q60" s="26" t="str">
        <f>"INS2"</f>
        <v>INS2</v>
      </c>
      <c r="R60" s="26"/>
      <c r="S60" s="28">
        <v>42125</v>
      </c>
      <c r="T60" s="29">
        <v>72.95</v>
      </c>
    </row>
    <row r="61" spans="1:20" s="7" customFormat="1" hidden="1" outlineLevel="3" x14ac:dyDescent="0.2">
      <c r="A61" s="7" t="s">
        <v>92</v>
      </c>
      <c r="C61" s="7" t="str">
        <f t="shared" si="5"/>
        <v>Aidan</v>
      </c>
      <c r="D61" s="7" t="str">
        <f>+D60</f>
        <v>Delaney</v>
      </c>
      <c r="E61" s="8" t="str">
        <f>E60</f>
        <v>ACCT</v>
      </c>
      <c r="G61" s="8" t="str">
        <f>G60</f>
        <v>DELA0001</v>
      </c>
      <c r="H61" s="26"/>
      <c r="I61" s="26"/>
      <c r="J61" s="26"/>
      <c r="K61" s="28">
        <f>+K60</f>
        <v>42125</v>
      </c>
      <c r="L61" s="26" t="str">
        <f>L60</f>
        <v>10458</v>
      </c>
      <c r="M61" s="26"/>
      <c r="N61" s="26"/>
      <c r="O61" s="26" t="str">
        <f>"""GP Direct"",""Fabrikam, Inc."",""UPR30300"",""PAYRATE"",""0.00000"",""PAYROLCD"",""MED"",""STATECD"","""",""CHEKDATE"",""5/1/2015"",""UPRTRXAM"",""20.00000"""</f>
        <v>"GP Direct","Fabrikam, Inc.","UPR30300","PAYRATE","0.00000","PAYROLCD","MED","STATECD","","CHEKDATE","5/1/2015","UPRTRXAM","20.00000"</v>
      </c>
      <c r="P61" s="29">
        <v>0</v>
      </c>
      <c r="Q61" s="26" t="str">
        <f>"MED"</f>
        <v>MED</v>
      </c>
      <c r="R61" s="26"/>
      <c r="S61" s="28">
        <v>42125</v>
      </c>
      <c r="T61" s="29">
        <v>20</v>
      </c>
    </row>
    <row r="62" spans="1:20" s="7" customFormat="1" hidden="1" outlineLevel="3" x14ac:dyDescent="0.2">
      <c r="A62" s="7" t="s">
        <v>92</v>
      </c>
      <c r="C62" s="7" t="str">
        <f t="shared" si="5"/>
        <v>Aidan</v>
      </c>
      <c r="D62" s="7" t="str">
        <f>+D61</f>
        <v>Delaney</v>
      </c>
      <c r="E62" s="8" t="str">
        <f>E61</f>
        <v>ACCT</v>
      </c>
      <c r="G62" s="8" t="str">
        <f>G61</f>
        <v>DELA0001</v>
      </c>
      <c r="H62" s="26"/>
      <c r="I62" s="26"/>
      <c r="J62" s="26"/>
      <c r="K62" s="28">
        <f>+K61</f>
        <v>42125</v>
      </c>
      <c r="L62" s="26" t="str">
        <f>L61</f>
        <v>10458</v>
      </c>
      <c r="M62" s="26"/>
      <c r="N62" s="26"/>
      <c r="O62" s="26" t="str">
        <f>"""GP Direct"",""Fabrikam, Inc."",""UPR30300"",""PAYRATE"",""0.00000"",""PAYROLCD"",""SICK"",""STATECD"",""IL"",""CHEKDATE"",""5/1/2015"",""UPRTRXAM"",""0.00000"""</f>
        <v>"GP Direct","Fabrikam, Inc.","UPR30300","PAYRATE","0.00000","PAYROLCD","SICK","STATECD","IL","CHEKDATE","5/1/2015","UPRTRXAM","0.00000"</v>
      </c>
      <c r="P62" s="29">
        <v>0</v>
      </c>
      <c r="Q62" s="26" t="str">
        <f>"SICK"</f>
        <v>SICK</v>
      </c>
      <c r="R62" s="26" t="str">
        <f>"IL"</f>
        <v>IL</v>
      </c>
      <c r="S62" s="28">
        <v>42125</v>
      </c>
      <c r="T62" s="29">
        <v>0</v>
      </c>
    </row>
    <row r="63" spans="1:20" s="7" customFormat="1" hidden="1" outlineLevel="3" x14ac:dyDescent="0.2">
      <c r="A63" s="7" t="s">
        <v>92</v>
      </c>
      <c r="C63" s="7" t="str">
        <f t="shared" si="5"/>
        <v>Aidan</v>
      </c>
      <c r="D63" s="7" t="str">
        <f>+D62</f>
        <v>Delaney</v>
      </c>
      <c r="E63" s="8" t="str">
        <f>E62</f>
        <v>ACCT</v>
      </c>
      <c r="G63" s="8" t="str">
        <f>G62</f>
        <v>DELA0001</v>
      </c>
      <c r="H63" s="26"/>
      <c r="I63" s="26"/>
      <c r="J63" s="26"/>
      <c r="K63" s="28">
        <f>+K62</f>
        <v>42125</v>
      </c>
      <c r="L63" s="26" t="str">
        <f>L62</f>
        <v>10458</v>
      </c>
      <c r="M63" s="26"/>
      <c r="N63" s="26"/>
      <c r="O63" s="26" t="str">
        <f>"""GP Direct"",""Fabrikam, Inc."",""UPR30300"",""PAYRATE"",""10.48604"",""PAYROLCD"",""SALY"",""STATECD"",""IL"",""CHEKDATE"",""5/1/2015"",""UPRTRXAM"",""824.90000"""</f>
        <v>"GP Direct","Fabrikam, Inc.","UPR30300","PAYRATE","10.48604","PAYROLCD","SALY","STATECD","IL","CHEKDATE","5/1/2015","UPRTRXAM","824.90000"</v>
      </c>
      <c r="P63" s="29">
        <v>10.486000000000001</v>
      </c>
      <c r="Q63" s="26" t="str">
        <f>"SALY"</f>
        <v>SALY</v>
      </c>
      <c r="R63" s="26" t="str">
        <f>"IL"</f>
        <v>IL</v>
      </c>
      <c r="S63" s="28">
        <v>42125</v>
      </c>
      <c r="T63" s="29">
        <v>824.9</v>
      </c>
    </row>
    <row r="64" spans="1:20" s="7" customFormat="1" hidden="1" outlineLevel="3" x14ac:dyDescent="0.2">
      <c r="A64" s="7" t="s">
        <v>92</v>
      </c>
      <c r="C64" s="7" t="str">
        <f>+C56</f>
        <v>Aidan</v>
      </c>
      <c r="D64" s="7" t="str">
        <f>+D56</f>
        <v>Delaney</v>
      </c>
      <c r="E64" s="8" t="str">
        <f>E56</f>
        <v>ACCT</v>
      </c>
      <c r="G64" s="8" t="str">
        <f>G56</f>
        <v>DELA0001</v>
      </c>
      <c r="K64" s="12">
        <f>+K56</f>
        <v>42125</v>
      </c>
      <c r="L64" s="8" t="str">
        <f>L56</f>
        <v>10458</v>
      </c>
      <c r="O64" s="8"/>
      <c r="T64" s="20"/>
    </row>
    <row r="65" spans="1:20" s="7" customFormat="1" outlineLevel="2" collapsed="1" x14ac:dyDescent="0.2">
      <c r="A65" s="7" t="s">
        <v>92</v>
      </c>
      <c r="C65" s="7" t="str">
        <f t="shared" si="1"/>
        <v>Aidan</v>
      </c>
      <c r="D65" s="7" t="str">
        <f>+D64</f>
        <v>Delaney</v>
      </c>
      <c r="E65" s="8" t="str">
        <f>E64</f>
        <v>ACCT</v>
      </c>
      <c r="G65" s="8" t="str">
        <f>G64</f>
        <v>DELA0001</v>
      </c>
      <c r="K65" s="12">
        <f>+K64</f>
        <v>42125</v>
      </c>
      <c r="L65" s="8" t="str">
        <f>L64</f>
        <v>10458</v>
      </c>
      <c r="M65" s="33" t="str">
        <f>"Total for " &amp; $L65</f>
        <v>Total for 10458</v>
      </c>
      <c r="N65" s="34">
        <f>+K65</f>
        <v>42125</v>
      </c>
      <c r="O65" s="35"/>
      <c r="P65" s="33"/>
      <c r="Q65" s="33"/>
      <c r="R65" s="33"/>
      <c r="S65" s="33"/>
      <c r="T65" s="36">
        <f>SUBTOTAL(9,T56:T64)</f>
        <v>1012.8299999999999</v>
      </c>
    </row>
    <row r="66" spans="1:20" s="7" customFormat="1" hidden="1" outlineLevel="3" x14ac:dyDescent="0.2">
      <c r="A66" s="7" t="s">
        <v>92</v>
      </c>
      <c r="C66" s="7" t="str">
        <f t="shared" si="1"/>
        <v>Aidan</v>
      </c>
      <c r="D66" s="7" t="str">
        <f>+D65</f>
        <v>Delaney</v>
      </c>
      <c r="E66" s="8" t="str">
        <f>E65</f>
        <v>ACCT</v>
      </c>
      <c r="G66" s="8" t="str">
        <f>G65</f>
        <v>DELA0001</v>
      </c>
      <c r="H66" s="26"/>
      <c r="I66" s="26"/>
      <c r="J66" s="26"/>
      <c r="K66" s="28">
        <f>+N66</f>
        <v>42156</v>
      </c>
      <c r="L66" s="26" t="str">
        <f>M66</f>
        <v>10483</v>
      </c>
      <c r="M66" s="26" t="str">
        <f>"10483"</f>
        <v>10483</v>
      </c>
      <c r="N66" s="28">
        <v>42156</v>
      </c>
      <c r="O66" s="26"/>
      <c r="P66" s="26"/>
      <c r="Q66" s="26"/>
      <c r="R66" s="26"/>
      <c r="S66" s="26"/>
      <c r="T66" s="27"/>
    </row>
    <row r="67" spans="1:20" s="7" customFormat="1" hidden="1" outlineLevel="3" x14ac:dyDescent="0.2">
      <c r="A67" s="7" t="s">
        <v>92</v>
      </c>
      <c r="C67" s="7" t="str">
        <f t="shared" si="1"/>
        <v>Aidan</v>
      </c>
      <c r="D67" s="7" t="str">
        <f>+D66</f>
        <v>Delaney</v>
      </c>
      <c r="E67" s="8" t="str">
        <f>E66</f>
        <v>ACCT</v>
      </c>
      <c r="G67" s="8" t="str">
        <f>G66</f>
        <v>DELA0001</v>
      </c>
      <c r="H67" s="26"/>
      <c r="I67" s="26"/>
      <c r="J67" s="26"/>
      <c r="K67" s="28">
        <f>+K66</f>
        <v>42156</v>
      </c>
      <c r="L67" s="26" t="str">
        <f>L66</f>
        <v>10483</v>
      </c>
      <c r="M67" s="26"/>
      <c r="N67" s="26"/>
      <c r="O67" s="26" t="str">
        <f>"""GP Direct"",""Fabrikam, Inc."",""UPR30300"",""PAYRATE"",""0.00000"",""PAYROLCD"",""401K"",""STATECD"","""",""CHEKDATE"",""6/1/2015"",""UPRTRXAM"",""1.82000"""</f>
        <v>"GP Direct","Fabrikam, Inc.","UPR30300","PAYRATE","0.00000","PAYROLCD","401K","STATECD","","CHEKDATE","6/1/2015","UPRTRXAM","1.82000"</v>
      </c>
      <c r="P67" s="29">
        <v>0</v>
      </c>
      <c r="Q67" s="26" t="str">
        <f>"401K"</f>
        <v>401K</v>
      </c>
      <c r="R67" s="26"/>
      <c r="S67" s="28">
        <v>42156</v>
      </c>
      <c r="T67" s="29">
        <v>1.82</v>
      </c>
    </row>
    <row r="68" spans="1:20" s="7" customFormat="1" hidden="1" outlineLevel="3" x14ac:dyDescent="0.2">
      <c r="A68" s="7" t="s">
        <v>92</v>
      </c>
      <c r="C68" s="7" t="str">
        <f t="shared" ref="C68:C73" si="6">+C67</f>
        <v>Aidan</v>
      </c>
      <c r="D68" s="7" t="str">
        <f>+D67</f>
        <v>Delaney</v>
      </c>
      <c r="E68" s="8" t="str">
        <f>E67</f>
        <v>ACCT</v>
      </c>
      <c r="G68" s="8" t="str">
        <f>G67</f>
        <v>DELA0001</v>
      </c>
      <c r="H68" s="26"/>
      <c r="I68" s="26"/>
      <c r="J68" s="26"/>
      <c r="K68" s="28">
        <f>+K67</f>
        <v>42156</v>
      </c>
      <c r="L68" s="26" t="str">
        <f>L67</f>
        <v>10483</v>
      </c>
      <c r="M68" s="26"/>
      <c r="N68" s="26"/>
      <c r="O68" s="26" t="str">
        <f>"""GP Direct"",""Fabrikam, Inc."",""UPR30300"",""PAYRATE"",""0.00000"",""PAYROLCD"",""401K"",""STATECD"","""",""CHEKDATE"",""6/1/2015"",""UPRTRXAM"",""36.35000"""</f>
        <v>"GP Direct","Fabrikam, Inc.","UPR30300","PAYRATE","0.00000","PAYROLCD","401K","STATECD","","CHEKDATE","6/1/2015","UPRTRXAM","36.35000"</v>
      </c>
      <c r="P68" s="29">
        <v>0</v>
      </c>
      <c r="Q68" s="26" t="str">
        <f>"401K"</f>
        <v>401K</v>
      </c>
      <c r="R68" s="26"/>
      <c r="S68" s="28">
        <v>42156</v>
      </c>
      <c r="T68" s="29">
        <v>36.35</v>
      </c>
    </row>
    <row r="69" spans="1:20" s="7" customFormat="1" hidden="1" outlineLevel="3" x14ac:dyDescent="0.2">
      <c r="A69" s="7" t="s">
        <v>92</v>
      </c>
      <c r="C69" s="7" t="str">
        <f t="shared" si="6"/>
        <v>Aidan</v>
      </c>
      <c r="D69" s="7" t="str">
        <f>+D68</f>
        <v>Delaney</v>
      </c>
      <c r="E69" s="8" t="str">
        <f>E68</f>
        <v>ACCT</v>
      </c>
      <c r="G69" s="8" t="str">
        <f>G68</f>
        <v>DELA0001</v>
      </c>
      <c r="H69" s="26"/>
      <c r="I69" s="26"/>
      <c r="J69" s="26"/>
      <c r="K69" s="28">
        <f>+K68</f>
        <v>42156</v>
      </c>
      <c r="L69" s="26" t="str">
        <f>L68</f>
        <v>10483</v>
      </c>
      <c r="M69" s="26"/>
      <c r="N69" s="26"/>
      <c r="O69" s="26" t="str">
        <f>"""GP Direct"",""Fabrikam, Inc."",""UPR30300"",""PAYRATE"",""0.00000"",""PAYROLCD"",""IL"",""STATECD"","""",""CHEKDATE"",""6/1/2015"",""UPRTRXAM"",""13.38000"""</f>
        <v>"GP Direct","Fabrikam, Inc.","UPR30300","PAYRATE","0.00000","PAYROLCD","IL","STATECD","","CHEKDATE","6/1/2015","UPRTRXAM","13.38000"</v>
      </c>
      <c r="P69" s="29">
        <v>0</v>
      </c>
      <c r="Q69" s="26" t="str">
        <f>"IL"</f>
        <v>IL</v>
      </c>
      <c r="R69" s="26"/>
      <c r="S69" s="28">
        <v>42156</v>
      </c>
      <c r="T69" s="29">
        <v>13.38</v>
      </c>
    </row>
    <row r="70" spans="1:20" s="7" customFormat="1" hidden="1" outlineLevel="3" x14ac:dyDescent="0.2">
      <c r="A70" s="7" t="s">
        <v>92</v>
      </c>
      <c r="C70" s="7" t="str">
        <f t="shared" si="6"/>
        <v>Aidan</v>
      </c>
      <c r="D70" s="7" t="str">
        <f>+D69</f>
        <v>Delaney</v>
      </c>
      <c r="E70" s="8" t="str">
        <f>E69</f>
        <v>ACCT</v>
      </c>
      <c r="G70" s="8" t="str">
        <f>G69</f>
        <v>DELA0001</v>
      </c>
      <c r="H70" s="26"/>
      <c r="I70" s="26"/>
      <c r="J70" s="26"/>
      <c r="K70" s="28">
        <f>+K69</f>
        <v>42156</v>
      </c>
      <c r="L70" s="26" t="str">
        <f>L69</f>
        <v>10483</v>
      </c>
      <c r="M70" s="26"/>
      <c r="N70" s="26"/>
      <c r="O70" s="26" t="str">
        <f>"""GP Direct"",""Fabrikam, Inc."",""UPR30300"",""PAYRATE"",""0.00000"",""PAYROLCD"",""INS"",""STATECD"","""",""CHEKDATE"",""6/1/2015"",""UPRTRXAM"",""49.36000"""</f>
        <v>"GP Direct","Fabrikam, Inc.","UPR30300","PAYRATE","0.00000","PAYROLCD","INS","STATECD","","CHEKDATE","6/1/2015","UPRTRXAM","49.36000"</v>
      </c>
      <c r="P70" s="29">
        <v>0</v>
      </c>
      <c r="Q70" s="26" t="str">
        <f>"INS"</f>
        <v>INS</v>
      </c>
      <c r="R70" s="26"/>
      <c r="S70" s="28">
        <v>42156</v>
      </c>
      <c r="T70" s="29">
        <v>49.36</v>
      </c>
    </row>
    <row r="71" spans="1:20" s="7" customFormat="1" hidden="1" outlineLevel="3" x14ac:dyDescent="0.2">
      <c r="A71" s="7" t="s">
        <v>92</v>
      </c>
      <c r="C71" s="7" t="str">
        <f t="shared" si="6"/>
        <v>Aidan</v>
      </c>
      <c r="D71" s="7" t="str">
        <f>+D70</f>
        <v>Delaney</v>
      </c>
      <c r="E71" s="8" t="str">
        <f>E70</f>
        <v>ACCT</v>
      </c>
      <c r="G71" s="8" t="str">
        <f>G70</f>
        <v>DELA0001</v>
      </c>
      <c r="H71" s="26"/>
      <c r="I71" s="26"/>
      <c r="J71" s="26"/>
      <c r="K71" s="28">
        <f>+K70</f>
        <v>42156</v>
      </c>
      <c r="L71" s="26" t="str">
        <f>L70</f>
        <v>10483</v>
      </c>
      <c r="M71" s="26"/>
      <c r="N71" s="26"/>
      <c r="O71" s="26" t="str">
        <f>"""GP Direct"",""Fabrikam, Inc."",""UPR30300"",""PAYRATE"",""0.00000"",""PAYROLCD"",""INS2"",""STATECD"","""",""CHEKDATE"",""6/1/2015"",""UPRTRXAM"",""72.95000"""</f>
        <v>"GP Direct","Fabrikam, Inc.","UPR30300","PAYRATE","0.00000","PAYROLCD","INS2","STATECD","","CHEKDATE","6/1/2015","UPRTRXAM","72.95000"</v>
      </c>
      <c r="P71" s="29">
        <v>0</v>
      </c>
      <c r="Q71" s="26" t="str">
        <f>"INS2"</f>
        <v>INS2</v>
      </c>
      <c r="R71" s="26"/>
      <c r="S71" s="28">
        <v>42156</v>
      </c>
      <c r="T71" s="29">
        <v>72.95</v>
      </c>
    </row>
    <row r="72" spans="1:20" s="7" customFormat="1" hidden="1" outlineLevel="3" x14ac:dyDescent="0.2">
      <c r="A72" s="7" t="s">
        <v>92</v>
      </c>
      <c r="C72" s="7" t="str">
        <f t="shared" si="6"/>
        <v>Aidan</v>
      </c>
      <c r="D72" s="7" t="str">
        <f>+D71</f>
        <v>Delaney</v>
      </c>
      <c r="E72" s="8" t="str">
        <f>E71</f>
        <v>ACCT</v>
      </c>
      <c r="G72" s="8" t="str">
        <f>G71</f>
        <v>DELA0001</v>
      </c>
      <c r="H72" s="26"/>
      <c r="I72" s="26"/>
      <c r="J72" s="26"/>
      <c r="K72" s="28">
        <f>+K71</f>
        <v>42156</v>
      </c>
      <c r="L72" s="26" t="str">
        <f>L71</f>
        <v>10483</v>
      </c>
      <c r="M72" s="26"/>
      <c r="N72" s="26"/>
      <c r="O72" s="26" t="str">
        <f>"""GP Direct"",""Fabrikam, Inc."",""UPR30300"",""PAYRATE"",""0.00000"",""PAYROLCD"",""MED"",""STATECD"","""",""CHEKDATE"",""6/1/2015"",""UPRTRXAM"",""20.00000"""</f>
        <v>"GP Direct","Fabrikam, Inc.","UPR30300","PAYRATE","0.00000","PAYROLCD","MED","STATECD","","CHEKDATE","6/1/2015","UPRTRXAM","20.00000"</v>
      </c>
      <c r="P72" s="29">
        <v>0</v>
      </c>
      <c r="Q72" s="26" t="str">
        <f>"MED"</f>
        <v>MED</v>
      </c>
      <c r="R72" s="26"/>
      <c r="S72" s="28">
        <v>42156</v>
      </c>
      <c r="T72" s="29">
        <v>20</v>
      </c>
    </row>
    <row r="73" spans="1:20" s="7" customFormat="1" hidden="1" outlineLevel="3" x14ac:dyDescent="0.2">
      <c r="A73" s="7" t="s">
        <v>92</v>
      </c>
      <c r="C73" s="7" t="str">
        <f t="shared" si="6"/>
        <v>Aidan</v>
      </c>
      <c r="D73" s="7" t="str">
        <f>+D72</f>
        <v>Delaney</v>
      </c>
      <c r="E73" s="8" t="str">
        <f>E72</f>
        <v>ACCT</v>
      </c>
      <c r="G73" s="8" t="str">
        <f>G72</f>
        <v>DELA0001</v>
      </c>
      <c r="H73" s="26"/>
      <c r="I73" s="26"/>
      <c r="J73" s="26"/>
      <c r="K73" s="28">
        <f>+K72</f>
        <v>42156</v>
      </c>
      <c r="L73" s="26" t="str">
        <f>L72</f>
        <v>10483</v>
      </c>
      <c r="M73" s="26"/>
      <c r="N73" s="26"/>
      <c r="O73" s="26" t="str">
        <f>"""GP Direct"",""Fabrikam, Inc."",""UPR30300"",""PAYRATE"",""21811.00000"",""PAYROLCD"",""SALY"",""STATECD"",""IL"",""CHEKDATE"",""6/1/2015"",""UPRTRXAM"",""908.79000"""</f>
        <v>"GP Direct","Fabrikam, Inc.","UPR30300","PAYRATE","21811.00000","PAYROLCD","SALY","STATECD","IL","CHEKDATE","6/1/2015","UPRTRXAM","908.79000"</v>
      </c>
      <c r="P73" s="29">
        <v>21811</v>
      </c>
      <c r="Q73" s="26" t="str">
        <f>"SALY"</f>
        <v>SALY</v>
      </c>
      <c r="R73" s="26" t="str">
        <f>"IL"</f>
        <v>IL</v>
      </c>
      <c r="S73" s="28">
        <v>42156</v>
      </c>
      <c r="T73" s="29">
        <v>908.79</v>
      </c>
    </row>
    <row r="74" spans="1:20" s="7" customFormat="1" hidden="1" outlineLevel="3" x14ac:dyDescent="0.2">
      <c r="A74" s="7" t="s">
        <v>92</v>
      </c>
      <c r="C74" s="7" t="str">
        <f>+C67</f>
        <v>Aidan</v>
      </c>
      <c r="D74" s="7" t="str">
        <f>+D67</f>
        <v>Delaney</v>
      </c>
      <c r="E74" s="8" t="str">
        <f>E67</f>
        <v>ACCT</v>
      </c>
      <c r="G74" s="8" t="str">
        <f>G67</f>
        <v>DELA0001</v>
      </c>
      <c r="K74" s="12">
        <f>+K67</f>
        <v>42156</v>
      </c>
      <c r="L74" s="8" t="str">
        <f>L67</f>
        <v>10483</v>
      </c>
      <c r="O74" s="8"/>
      <c r="T74" s="20"/>
    </row>
    <row r="75" spans="1:20" s="7" customFormat="1" outlineLevel="2" collapsed="1" x14ac:dyDescent="0.2">
      <c r="A75" s="7" t="s">
        <v>92</v>
      </c>
      <c r="C75" s="7" t="str">
        <f t="shared" si="1"/>
        <v>Aidan</v>
      </c>
      <c r="D75" s="7" t="str">
        <f>+D74</f>
        <v>Delaney</v>
      </c>
      <c r="E75" s="8" t="str">
        <f>E74</f>
        <v>ACCT</v>
      </c>
      <c r="G75" s="8" t="str">
        <f>G74</f>
        <v>DELA0001</v>
      </c>
      <c r="K75" s="12">
        <f>+K74</f>
        <v>42156</v>
      </c>
      <c r="L75" s="8" t="str">
        <f>L74</f>
        <v>10483</v>
      </c>
      <c r="M75" s="33" t="str">
        <f>"Total for " &amp; $L75</f>
        <v>Total for 10483</v>
      </c>
      <c r="N75" s="34">
        <f>+K75</f>
        <v>42156</v>
      </c>
      <c r="O75" s="35"/>
      <c r="P75" s="33"/>
      <c r="Q75" s="33"/>
      <c r="R75" s="33"/>
      <c r="S75" s="33"/>
      <c r="T75" s="36">
        <f>SUBTOTAL(9,T67:T74)</f>
        <v>1102.6500000000001</v>
      </c>
    </row>
    <row r="76" spans="1:20" s="7" customFormat="1" outlineLevel="2" x14ac:dyDescent="0.2">
      <c r="C76" s="7" t="str">
        <f>+C23</f>
        <v>Aidan</v>
      </c>
      <c r="D76" s="7" t="str">
        <f>+D23</f>
        <v>Delaney</v>
      </c>
      <c r="E76" s="8" t="str">
        <f>E23</f>
        <v>ACCT</v>
      </c>
      <c r="G76" s="8" t="str">
        <f>G23</f>
        <v>DELA0001</v>
      </c>
      <c r="L76" s="8"/>
      <c r="O76" s="8"/>
      <c r="T76" s="20"/>
    </row>
    <row r="77" spans="1:20" s="7" customFormat="1" outlineLevel="1" x14ac:dyDescent="0.2">
      <c r="C77" s="7" t="str">
        <f>+C76</f>
        <v>Aidan</v>
      </c>
      <c r="D77" s="7" t="str">
        <f>+D76</f>
        <v>Delaney</v>
      </c>
      <c r="E77" s="8" t="str">
        <f>E76</f>
        <v>ACCT</v>
      </c>
      <c r="G77" s="8" t="str">
        <f>G76</f>
        <v>DELA0001</v>
      </c>
      <c r="H77" s="30" t="str">
        <f>"Total for " &amp; $G77</f>
        <v>Total for DELA0001</v>
      </c>
      <c r="I77" s="30" t="str">
        <f>+C77</f>
        <v>Aidan</v>
      </c>
      <c r="J77" s="30" t="str">
        <f>+D77</f>
        <v>Delaney</v>
      </c>
      <c r="K77" s="30"/>
      <c r="L77" s="31"/>
      <c r="M77" s="30"/>
      <c r="N77" s="30"/>
      <c r="O77" s="31"/>
      <c r="P77" s="30"/>
      <c r="Q77" s="30"/>
      <c r="R77" s="30"/>
      <c r="S77" s="30"/>
      <c r="T77" s="32">
        <f>SUBTOTAL(9,T15:T76)</f>
        <v>6436.2599999999984</v>
      </c>
    </row>
    <row r="78" spans="1:20" s="7" customFormat="1" hidden="1" outlineLevel="2" x14ac:dyDescent="0.2">
      <c r="A78" s="7" t="s">
        <v>92</v>
      </c>
      <c r="C78" s="7" t="str">
        <f t="shared" ref="C78" si="7">+I78</f>
        <v>Jenny</v>
      </c>
      <c r="D78" s="7" t="str">
        <f>+J78</f>
        <v>Doyle</v>
      </c>
      <c r="E78" s="8" t="str">
        <f>E77</f>
        <v>ACCT</v>
      </c>
      <c r="G78" s="8" t="str">
        <f>H78</f>
        <v>DOYL0001</v>
      </c>
      <c r="H78" s="24" t="str">
        <f>"DOYL0001"</f>
        <v>DOYL0001</v>
      </c>
      <c r="I78" s="25" t="str">
        <f>"Jenny"</f>
        <v>Jenny</v>
      </c>
      <c r="J78" s="25" t="str">
        <f>"Doyle"</f>
        <v>Doyle</v>
      </c>
      <c r="K78" s="26"/>
      <c r="L78" s="26"/>
      <c r="M78" s="26"/>
      <c r="N78" s="26"/>
      <c r="O78" s="26"/>
      <c r="P78" s="26"/>
      <c r="Q78" s="26"/>
      <c r="R78" s="26"/>
      <c r="S78" s="26"/>
      <c r="T78" s="27"/>
    </row>
    <row r="79" spans="1:20" s="7" customFormat="1" hidden="1" outlineLevel="3" x14ac:dyDescent="0.2">
      <c r="A79" s="7" t="s">
        <v>92</v>
      </c>
      <c r="C79" s="7" t="str">
        <f t="shared" ref="C79:C135" si="8">+C78</f>
        <v>Jenny</v>
      </c>
      <c r="D79" s="7" t="str">
        <f>+D78</f>
        <v>Doyle</v>
      </c>
      <c r="E79" s="8" t="str">
        <f>E78</f>
        <v>ACCT</v>
      </c>
      <c r="G79" s="8" t="str">
        <f>G78</f>
        <v>DOYL0001</v>
      </c>
      <c r="H79" s="26"/>
      <c r="I79" s="26"/>
      <c r="J79" s="26"/>
      <c r="K79" s="28">
        <f>+N79</f>
        <v>42005</v>
      </c>
      <c r="L79" s="26" t="str">
        <f>M79</f>
        <v>10360</v>
      </c>
      <c r="M79" s="26" t="str">
        <f>"10360"</f>
        <v>10360</v>
      </c>
      <c r="N79" s="28">
        <v>42005</v>
      </c>
      <c r="O79" s="26"/>
      <c r="P79" s="26"/>
      <c r="Q79" s="26"/>
      <c r="R79" s="26"/>
      <c r="S79" s="26"/>
      <c r="T79" s="27"/>
    </row>
    <row r="80" spans="1:20" s="7" customFormat="1" hidden="1" outlineLevel="3" x14ac:dyDescent="0.2">
      <c r="A80" s="7" t="s">
        <v>92</v>
      </c>
      <c r="C80" s="7" t="str">
        <f t="shared" si="8"/>
        <v>Jenny</v>
      </c>
      <c r="D80" s="7" t="str">
        <f>+D79</f>
        <v>Doyle</v>
      </c>
      <c r="E80" s="8" t="str">
        <f>E79</f>
        <v>ACCT</v>
      </c>
      <c r="G80" s="8" t="str">
        <f>G79</f>
        <v>DOYL0001</v>
      </c>
      <c r="H80" s="26"/>
      <c r="I80" s="26"/>
      <c r="J80" s="26"/>
      <c r="K80" s="28">
        <f>+K79</f>
        <v>42005</v>
      </c>
      <c r="L80" s="26" t="str">
        <f>L79</f>
        <v>10360</v>
      </c>
      <c r="M80" s="26"/>
      <c r="N80" s="26"/>
      <c r="O80" s="26" t="str">
        <f>"""GP Direct"",""Fabrikam, Inc."",""UPR30300"",""PAYRATE"",""0.00000"",""PAYROLCD"",""401K"",""STATECD"","""",""CHEKDATE"",""1/1/2015"",""UPRTRXAM"",""1.34000"""</f>
        <v>"GP Direct","Fabrikam, Inc.","UPR30300","PAYRATE","0.00000","PAYROLCD","401K","STATECD","","CHEKDATE","1/1/2015","UPRTRXAM","1.34000"</v>
      </c>
      <c r="P80" s="29">
        <v>0</v>
      </c>
      <c r="Q80" s="26" t="str">
        <f>"401K"</f>
        <v>401K</v>
      </c>
      <c r="R80" s="26"/>
      <c r="S80" s="28">
        <v>42005</v>
      </c>
      <c r="T80" s="29">
        <v>1.34</v>
      </c>
    </row>
    <row r="81" spans="1:20" s="7" customFormat="1" hidden="1" outlineLevel="3" x14ac:dyDescent="0.2">
      <c r="A81" s="7" t="s">
        <v>92</v>
      </c>
      <c r="C81" s="7" t="str">
        <f t="shared" ref="C81:C85" si="9">+C80</f>
        <v>Jenny</v>
      </c>
      <c r="D81" s="7" t="str">
        <f>+D80</f>
        <v>Doyle</v>
      </c>
      <c r="E81" s="8" t="str">
        <f>E80</f>
        <v>ACCT</v>
      </c>
      <c r="G81" s="8" t="str">
        <f>G80</f>
        <v>DOYL0001</v>
      </c>
      <c r="H81" s="26"/>
      <c r="I81" s="26"/>
      <c r="J81" s="26"/>
      <c r="K81" s="28">
        <f>+K80</f>
        <v>42005</v>
      </c>
      <c r="L81" s="26" t="str">
        <f>L80</f>
        <v>10360</v>
      </c>
      <c r="M81" s="26"/>
      <c r="N81" s="26"/>
      <c r="O81" s="26" t="str">
        <f>"""GP Direct"",""Fabrikam, Inc."",""UPR30300"",""PAYRATE"",""0.00000"",""PAYROLCD"",""401K"",""STATECD"","""",""CHEKDATE"",""1/1/2015"",""UPRTRXAM"",""26.73000"""</f>
        <v>"GP Direct","Fabrikam, Inc.","UPR30300","PAYRATE","0.00000","PAYROLCD","401K","STATECD","","CHEKDATE","1/1/2015","UPRTRXAM","26.73000"</v>
      </c>
      <c r="P81" s="29">
        <v>0</v>
      </c>
      <c r="Q81" s="26" t="str">
        <f>"401K"</f>
        <v>401K</v>
      </c>
      <c r="R81" s="26"/>
      <c r="S81" s="28">
        <v>42005</v>
      </c>
      <c r="T81" s="29">
        <v>26.73</v>
      </c>
    </row>
    <row r="82" spans="1:20" s="7" customFormat="1" hidden="1" outlineLevel="3" x14ac:dyDescent="0.2">
      <c r="A82" s="7" t="s">
        <v>92</v>
      </c>
      <c r="C82" s="7" t="str">
        <f t="shared" si="9"/>
        <v>Jenny</v>
      </c>
      <c r="D82" s="7" t="str">
        <f>+D81</f>
        <v>Doyle</v>
      </c>
      <c r="E82" s="8" t="str">
        <f>E81</f>
        <v>ACCT</v>
      </c>
      <c r="G82" s="8" t="str">
        <f>G81</f>
        <v>DOYL0001</v>
      </c>
      <c r="H82" s="26"/>
      <c r="I82" s="26"/>
      <c r="J82" s="26"/>
      <c r="K82" s="28">
        <f>+K81</f>
        <v>42005</v>
      </c>
      <c r="L82" s="26" t="str">
        <f>L81</f>
        <v>10360</v>
      </c>
      <c r="M82" s="26"/>
      <c r="N82" s="26"/>
      <c r="O82" s="26" t="str">
        <f>"""GP Direct"",""Fabrikam, Inc."",""UPR30300"",""PAYRATE"",""0.00000"",""PAYROLCD"",""IL"",""STATECD"","""",""CHEKDATE"",""1/1/2015"",""UPRTRXAM"",""24.53000"""</f>
        <v>"GP Direct","Fabrikam, Inc.","UPR30300","PAYRATE","0.00000","PAYROLCD","IL","STATECD","","CHEKDATE","1/1/2015","UPRTRXAM","24.53000"</v>
      </c>
      <c r="P82" s="29">
        <v>0</v>
      </c>
      <c r="Q82" s="26" t="str">
        <f>"IL"</f>
        <v>IL</v>
      </c>
      <c r="R82" s="26"/>
      <c r="S82" s="28">
        <v>42005</v>
      </c>
      <c r="T82" s="29">
        <v>24.53</v>
      </c>
    </row>
    <row r="83" spans="1:20" s="7" customFormat="1" hidden="1" outlineLevel="3" x14ac:dyDescent="0.2">
      <c r="A83" s="7" t="s">
        <v>92</v>
      </c>
      <c r="C83" s="7" t="str">
        <f t="shared" si="9"/>
        <v>Jenny</v>
      </c>
      <c r="D83" s="7" t="str">
        <f>+D82</f>
        <v>Doyle</v>
      </c>
      <c r="E83" s="8" t="str">
        <f>E82</f>
        <v>ACCT</v>
      </c>
      <c r="G83" s="8" t="str">
        <f>G82</f>
        <v>DOYL0001</v>
      </c>
      <c r="H83" s="26"/>
      <c r="I83" s="26"/>
      <c r="J83" s="26"/>
      <c r="K83" s="28">
        <f>+K82</f>
        <v>42005</v>
      </c>
      <c r="L83" s="26" t="str">
        <f>L82</f>
        <v>10360</v>
      </c>
      <c r="M83" s="26"/>
      <c r="N83" s="26"/>
      <c r="O83" s="26" t="str">
        <f>"""GP Direct"",""Fabrikam, Inc."",""UPR30300"",""PAYRATE"",""0.00000"",""PAYROLCD"",""INS"",""STATECD"","""",""CHEKDATE"",""1/1/2015"",""UPRTRXAM"",""49.36000"""</f>
        <v>"GP Direct","Fabrikam, Inc.","UPR30300","PAYRATE","0.00000","PAYROLCD","INS","STATECD","","CHEKDATE","1/1/2015","UPRTRXAM","49.36000"</v>
      </c>
      <c r="P83" s="29">
        <v>0</v>
      </c>
      <c r="Q83" s="26" t="str">
        <f>"INS"</f>
        <v>INS</v>
      </c>
      <c r="R83" s="26"/>
      <c r="S83" s="28">
        <v>42005</v>
      </c>
      <c r="T83" s="29">
        <v>49.36</v>
      </c>
    </row>
    <row r="84" spans="1:20" s="7" customFormat="1" hidden="1" outlineLevel="3" x14ac:dyDescent="0.2">
      <c r="A84" s="7" t="s">
        <v>92</v>
      </c>
      <c r="C84" s="7" t="str">
        <f t="shared" si="9"/>
        <v>Jenny</v>
      </c>
      <c r="D84" s="7" t="str">
        <f>+D83</f>
        <v>Doyle</v>
      </c>
      <c r="E84" s="8" t="str">
        <f>E83</f>
        <v>ACCT</v>
      </c>
      <c r="G84" s="8" t="str">
        <f>G83</f>
        <v>DOYL0001</v>
      </c>
      <c r="H84" s="26"/>
      <c r="I84" s="26"/>
      <c r="J84" s="26"/>
      <c r="K84" s="28">
        <f>+K83</f>
        <v>42005</v>
      </c>
      <c r="L84" s="26" t="str">
        <f>L83</f>
        <v>10360</v>
      </c>
      <c r="M84" s="26"/>
      <c r="N84" s="26"/>
      <c r="O84" s="26" t="str">
        <f>"""GP Direct"",""Fabrikam, Inc."",""UPR30300"",""PAYRATE"",""0.00000"",""PAYROLCD"",""MED"",""STATECD"","""",""CHEKDATE"",""1/1/2015"",""UPRTRXAM"",""5.00000"""</f>
        <v>"GP Direct","Fabrikam, Inc.","UPR30300","PAYRATE","0.00000","PAYROLCD","MED","STATECD","","CHEKDATE","1/1/2015","UPRTRXAM","5.00000"</v>
      </c>
      <c r="P84" s="29">
        <v>0</v>
      </c>
      <c r="Q84" s="26" t="str">
        <f>"MED"</f>
        <v>MED</v>
      </c>
      <c r="R84" s="26"/>
      <c r="S84" s="28">
        <v>42005</v>
      </c>
      <c r="T84" s="29">
        <v>5</v>
      </c>
    </row>
    <row r="85" spans="1:20" s="7" customFormat="1" hidden="1" outlineLevel="3" x14ac:dyDescent="0.2">
      <c r="A85" s="7" t="s">
        <v>92</v>
      </c>
      <c r="C85" s="7" t="str">
        <f t="shared" si="9"/>
        <v>Jenny</v>
      </c>
      <c r="D85" s="7" t="str">
        <f>+D84</f>
        <v>Doyle</v>
      </c>
      <c r="E85" s="8" t="str">
        <f>E84</f>
        <v>ACCT</v>
      </c>
      <c r="G85" s="8" t="str">
        <f>G84</f>
        <v>DOYL0001</v>
      </c>
      <c r="H85" s="26"/>
      <c r="I85" s="26"/>
      <c r="J85" s="26"/>
      <c r="K85" s="28">
        <f>+K84</f>
        <v>42005</v>
      </c>
      <c r="L85" s="26" t="str">
        <f>L84</f>
        <v>10360</v>
      </c>
      <c r="M85" s="26"/>
      <c r="N85" s="26"/>
      <c r="O85" s="26" t="str">
        <f>"""GP Direct"",""Fabrikam, Inc."",""UPR30300"",""PAYRATE"",""21384.00000"",""PAYROLCD"",""SALY"",""STATECD"",""IL"",""CHEKDATE"",""1/1/2015"",""UPRTRXAM"",""891.00000"""</f>
        <v>"GP Direct","Fabrikam, Inc.","UPR30300","PAYRATE","21384.00000","PAYROLCD","SALY","STATECD","IL","CHEKDATE","1/1/2015","UPRTRXAM","891.00000"</v>
      </c>
      <c r="P85" s="29">
        <v>21384</v>
      </c>
      <c r="Q85" s="26" t="str">
        <f>"SALY"</f>
        <v>SALY</v>
      </c>
      <c r="R85" s="26" t="str">
        <f>"IL"</f>
        <v>IL</v>
      </c>
      <c r="S85" s="28">
        <v>42005</v>
      </c>
      <c r="T85" s="29">
        <v>891</v>
      </c>
    </row>
    <row r="86" spans="1:20" s="7" customFormat="1" hidden="1" outlineLevel="3" x14ac:dyDescent="0.2">
      <c r="A86" s="7" t="s">
        <v>92</v>
      </c>
      <c r="C86" s="7" t="str">
        <f>+C80</f>
        <v>Jenny</v>
      </c>
      <c r="D86" s="7" t="str">
        <f>+D80</f>
        <v>Doyle</v>
      </c>
      <c r="E86" s="8" t="str">
        <f>E80</f>
        <v>ACCT</v>
      </c>
      <c r="G86" s="8" t="str">
        <f>G80</f>
        <v>DOYL0001</v>
      </c>
      <c r="K86" s="12">
        <f>+K80</f>
        <v>42005</v>
      </c>
      <c r="L86" s="8" t="str">
        <f>L80</f>
        <v>10360</v>
      </c>
      <c r="O86" s="8"/>
      <c r="T86" s="20"/>
    </row>
    <row r="87" spans="1:20" s="7" customFormat="1" hidden="1" outlineLevel="2" collapsed="1" x14ac:dyDescent="0.2">
      <c r="A87" s="7" t="s">
        <v>92</v>
      </c>
      <c r="C87" s="7" t="str">
        <f t="shared" si="8"/>
        <v>Jenny</v>
      </c>
      <c r="D87" s="7" t="str">
        <f>+D86</f>
        <v>Doyle</v>
      </c>
      <c r="E87" s="8" t="str">
        <f>E86</f>
        <v>ACCT</v>
      </c>
      <c r="G87" s="8" t="str">
        <f>G86</f>
        <v>DOYL0001</v>
      </c>
      <c r="K87" s="12">
        <f>+K86</f>
        <v>42005</v>
      </c>
      <c r="L87" s="8" t="str">
        <f>L86</f>
        <v>10360</v>
      </c>
      <c r="M87" s="33" t="str">
        <f>"Total for " &amp; $L87</f>
        <v>Total for 10360</v>
      </c>
      <c r="N87" s="34">
        <f>+K87</f>
        <v>42005</v>
      </c>
      <c r="O87" s="35"/>
      <c r="P87" s="33"/>
      <c r="Q87" s="33"/>
      <c r="R87" s="33"/>
      <c r="S87" s="33"/>
      <c r="T87" s="36">
        <f>SUBTOTAL(9,T80:T86)</f>
        <v>997.96</v>
      </c>
    </row>
    <row r="88" spans="1:20" s="7" customFormat="1" hidden="1" outlineLevel="3" x14ac:dyDescent="0.2">
      <c r="A88" s="7" t="s">
        <v>92</v>
      </c>
      <c r="C88" s="7" t="str">
        <f t="shared" ref="C88:C133" si="10">+C87</f>
        <v>Jenny</v>
      </c>
      <c r="D88" s="7" t="str">
        <f>+D87</f>
        <v>Doyle</v>
      </c>
      <c r="E88" s="8" t="str">
        <f>E87</f>
        <v>ACCT</v>
      </c>
      <c r="G88" s="8" t="str">
        <f>G87</f>
        <v>DOYL0001</v>
      </c>
      <c r="H88" s="26"/>
      <c r="I88" s="26"/>
      <c r="J88" s="26"/>
      <c r="K88" s="28">
        <f>+N88</f>
        <v>42036</v>
      </c>
      <c r="L88" s="26" t="str">
        <f>M88</f>
        <v>10385</v>
      </c>
      <c r="M88" s="26" t="str">
        <f>"10385"</f>
        <v>10385</v>
      </c>
      <c r="N88" s="28">
        <v>42036</v>
      </c>
      <c r="O88" s="26"/>
      <c r="P88" s="26"/>
      <c r="Q88" s="26"/>
      <c r="R88" s="26"/>
      <c r="S88" s="26"/>
      <c r="T88" s="27"/>
    </row>
    <row r="89" spans="1:20" s="7" customFormat="1" hidden="1" outlineLevel="3" x14ac:dyDescent="0.2">
      <c r="A89" s="7" t="s">
        <v>92</v>
      </c>
      <c r="C89" s="7" t="str">
        <f t="shared" si="10"/>
        <v>Jenny</v>
      </c>
      <c r="D89" s="7" t="str">
        <f>+D88</f>
        <v>Doyle</v>
      </c>
      <c r="E89" s="8" t="str">
        <f>E88</f>
        <v>ACCT</v>
      </c>
      <c r="G89" s="8" t="str">
        <f>G88</f>
        <v>DOYL0001</v>
      </c>
      <c r="H89" s="26"/>
      <c r="I89" s="26"/>
      <c r="J89" s="26"/>
      <c r="K89" s="28">
        <f>+K88</f>
        <v>42036</v>
      </c>
      <c r="L89" s="26" t="str">
        <f>L88</f>
        <v>10385</v>
      </c>
      <c r="M89" s="26"/>
      <c r="N89" s="26"/>
      <c r="O89" s="26" t="str">
        <f>"""GP Direct"",""Fabrikam, Inc."",""UPR30300"",""PAYRATE"",""0.00000"",""PAYROLCD"",""401K"",""STATECD"","""",""CHEKDATE"",""2/1/2015"",""UPRTRXAM"",""1.34000"""</f>
        <v>"GP Direct","Fabrikam, Inc.","UPR30300","PAYRATE","0.00000","PAYROLCD","401K","STATECD","","CHEKDATE","2/1/2015","UPRTRXAM","1.34000"</v>
      </c>
      <c r="P89" s="29">
        <v>0</v>
      </c>
      <c r="Q89" s="26" t="str">
        <f>"401K"</f>
        <v>401K</v>
      </c>
      <c r="R89" s="26"/>
      <c r="S89" s="28">
        <v>42036</v>
      </c>
      <c r="T89" s="29">
        <v>1.34</v>
      </c>
    </row>
    <row r="90" spans="1:20" s="7" customFormat="1" hidden="1" outlineLevel="3" x14ac:dyDescent="0.2">
      <c r="A90" s="7" t="s">
        <v>92</v>
      </c>
      <c r="C90" s="7" t="str">
        <f t="shared" ref="C90:C94" si="11">+C89</f>
        <v>Jenny</v>
      </c>
      <c r="D90" s="7" t="str">
        <f>+D89</f>
        <v>Doyle</v>
      </c>
      <c r="E90" s="8" t="str">
        <f>E89</f>
        <v>ACCT</v>
      </c>
      <c r="G90" s="8" t="str">
        <f>G89</f>
        <v>DOYL0001</v>
      </c>
      <c r="H90" s="26"/>
      <c r="I90" s="26"/>
      <c r="J90" s="26"/>
      <c r="K90" s="28">
        <f>+K89</f>
        <v>42036</v>
      </c>
      <c r="L90" s="26" t="str">
        <f>L89</f>
        <v>10385</v>
      </c>
      <c r="M90" s="26"/>
      <c r="N90" s="26"/>
      <c r="O90" s="26" t="str">
        <f>"""GP Direct"",""Fabrikam, Inc."",""UPR30300"",""PAYRATE"",""0.00000"",""PAYROLCD"",""401K"",""STATECD"","""",""CHEKDATE"",""2/1/2015"",""UPRTRXAM"",""26.73000"""</f>
        <v>"GP Direct","Fabrikam, Inc.","UPR30300","PAYRATE","0.00000","PAYROLCD","401K","STATECD","","CHEKDATE","2/1/2015","UPRTRXAM","26.73000"</v>
      </c>
      <c r="P90" s="29">
        <v>0</v>
      </c>
      <c r="Q90" s="26" t="str">
        <f>"401K"</f>
        <v>401K</v>
      </c>
      <c r="R90" s="26"/>
      <c r="S90" s="28">
        <v>42036</v>
      </c>
      <c r="T90" s="29">
        <v>26.73</v>
      </c>
    </row>
    <row r="91" spans="1:20" s="7" customFormat="1" hidden="1" outlineLevel="3" x14ac:dyDescent="0.2">
      <c r="A91" s="7" t="s">
        <v>92</v>
      </c>
      <c r="C91" s="7" t="str">
        <f t="shared" si="11"/>
        <v>Jenny</v>
      </c>
      <c r="D91" s="7" t="str">
        <f>+D90</f>
        <v>Doyle</v>
      </c>
      <c r="E91" s="8" t="str">
        <f>E90</f>
        <v>ACCT</v>
      </c>
      <c r="G91" s="8" t="str">
        <f>G90</f>
        <v>DOYL0001</v>
      </c>
      <c r="H91" s="26"/>
      <c r="I91" s="26"/>
      <c r="J91" s="26"/>
      <c r="K91" s="28">
        <f>+K90</f>
        <v>42036</v>
      </c>
      <c r="L91" s="26" t="str">
        <f>L90</f>
        <v>10385</v>
      </c>
      <c r="M91" s="26"/>
      <c r="N91" s="26"/>
      <c r="O91" s="26" t="str">
        <f>"""GP Direct"",""Fabrikam, Inc."",""UPR30300"",""PAYRATE"",""0.00000"",""PAYROLCD"",""IL"",""STATECD"","""",""CHEKDATE"",""2/1/2015"",""UPRTRXAM"",""24.53000"""</f>
        <v>"GP Direct","Fabrikam, Inc.","UPR30300","PAYRATE","0.00000","PAYROLCD","IL","STATECD","","CHEKDATE","2/1/2015","UPRTRXAM","24.53000"</v>
      </c>
      <c r="P91" s="29">
        <v>0</v>
      </c>
      <c r="Q91" s="26" t="str">
        <f>"IL"</f>
        <v>IL</v>
      </c>
      <c r="R91" s="26"/>
      <c r="S91" s="28">
        <v>42036</v>
      </c>
      <c r="T91" s="29">
        <v>24.53</v>
      </c>
    </row>
    <row r="92" spans="1:20" s="7" customFormat="1" hidden="1" outlineLevel="3" x14ac:dyDescent="0.2">
      <c r="A92" s="7" t="s">
        <v>92</v>
      </c>
      <c r="C92" s="7" t="str">
        <f t="shared" si="11"/>
        <v>Jenny</v>
      </c>
      <c r="D92" s="7" t="str">
        <f>+D91</f>
        <v>Doyle</v>
      </c>
      <c r="E92" s="8" t="str">
        <f>E91</f>
        <v>ACCT</v>
      </c>
      <c r="G92" s="8" t="str">
        <f>G91</f>
        <v>DOYL0001</v>
      </c>
      <c r="H92" s="26"/>
      <c r="I92" s="26"/>
      <c r="J92" s="26"/>
      <c r="K92" s="28">
        <f>+K91</f>
        <v>42036</v>
      </c>
      <c r="L92" s="26" t="str">
        <f>L91</f>
        <v>10385</v>
      </c>
      <c r="M92" s="26"/>
      <c r="N92" s="26"/>
      <c r="O92" s="26" t="str">
        <f>"""GP Direct"",""Fabrikam, Inc."",""UPR30300"",""PAYRATE"",""0.00000"",""PAYROLCD"",""INS"",""STATECD"","""",""CHEKDATE"",""2/1/2015"",""UPRTRXAM"",""49.36000"""</f>
        <v>"GP Direct","Fabrikam, Inc.","UPR30300","PAYRATE","0.00000","PAYROLCD","INS","STATECD","","CHEKDATE","2/1/2015","UPRTRXAM","49.36000"</v>
      </c>
      <c r="P92" s="29">
        <v>0</v>
      </c>
      <c r="Q92" s="26" t="str">
        <f>"INS"</f>
        <v>INS</v>
      </c>
      <c r="R92" s="26"/>
      <c r="S92" s="28">
        <v>42036</v>
      </c>
      <c r="T92" s="29">
        <v>49.36</v>
      </c>
    </row>
    <row r="93" spans="1:20" s="7" customFormat="1" hidden="1" outlineLevel="3" x14ac:dyDescent="0.2">
      <c r="A93" s="7" t="s">
        <v>92</v>
      </c>
      <c r="C93" s="7" t="str">
        <f t="shared" si="11"/>
        <v>Jenny</v>
      </c>
      <c r="D93" s="7" t="str">
        <f>+D92</f>
        <v>Doyle</v>
      </c>
      <c r="E93" s="8" t="str">
        <f>E92</f>
        <v>ACCT</v>
      </c>
      <c r="G93" s="8" t="str">
        <f>G92</f>
        <v>DOYL0001</v>
      </c>
      <c r="H93" s="26"/>
      <c r="I93" s="26"/>
      <c r="J93" s="26"/>
      <c r="K93" s="28">
        <f>+K92</f>
        <v>42036</v>
      </c>
      <c r="L93" s="26" t="str">
        <f>L92</f>
        <v>10385</v>
      </c>
      <c r="M93" s="26"/>
      <c r="N93" s="26"/>
      <c r="O93" s="26" t="str">
        <f>"""GP Direct"",""Fabrikam, Inc."",""UPR30300"",""PAYRATE"",""0.00000"",""PAYROLCD"",""MED"",""STATECD"","""",""CHEKDATE"",""2/1/2015"",""UPRTRXAM"",""5.00000"""</f>
        <v>"GP Direct","Fabrikam, Inc.","UPR30300","PAYRATE","0.00000","PAYROLCD","MED","STATECD","","CHEKDATE","2/1/2015","UPRTRXAM","5.00000"</v>
      </c>
      <c r="P93" s="29">
        <v>0</v>
      </c>
      <c r="Q93" s="26" t="str">
        <f>"MED"</f>
        <v>MED</v>
      </c>
      <c r="R93" s="26"/>
      <c r="S93" s="28">
        <v>42036</v>
      </c>
      <c r="T93" s="29">
        <v>5</v>
      </c>
    </row>
    <row r="94" spans="1:20" s="7" customFormat="1" hidden="1" outlineLevel="3" x14ac:dyDescent="0.2">
      <c r="A94" s="7" t="s">
        <v>92</v>
      </c>
      <c r="C94" s="7" t="str">
        <f t="shared" si="11"/>
        <v>Jenny</v>
      </c>
      <c r="D94" s="7" t="str">
        <f>+D93</f>
        <v>Doyle</v>
      </c>
      <c r="E94" s="8" t="str">
        <f>E93</f>
        <v>ACCT</v>
      </c>
      <c r="G94" s="8" t="str">
        <f>G93</f>
        <v>DOYL0001</v>
      </c>
      <c r="H94" s="26"/>
      <c r="I94" s="26"/>
      <c r="J94" s="26"/>
      <c r="K94" s="28">
        <f>+K93</f>
        <v>42036</v>
      </c>
      <c r="L94" s="26" t="str">
        <f>L93</f>
        <v>10385</v>
      </c>
      <c r="M94" s="26"/>
      <c r="N94" s="26"/>
      <c r="O94" s="26" t="str">
        <f>"""GP Direct"",""Fabrikam, Inc."",""UPR30300"",""PAYRATE"",""21384.00000"",""PAYROLCD"",""SALY"",""STATECD"",""IL"",""CHEKDATE"",""2/1/2015"",""UPRTRXAM"",""891.00000"""</f>
        <v>"GP Direct","Fabrikam, Inc.","UPR30300","PAYRATE","21384.00000","PAYROLCD","SALY","STATECD","IL","CHEKDATE","2/1/2015","UPRTRXAM","891.00000"</v>
      </c>
      <c r="P94" s="29">
        <v>21384</v>
      </c>
      <c r="Q94" s="26" t="str">
        <f>"SALY"</f>
        <v>SALY</v>
      </c>
      <c r="R94" s="26" t="str">
        <f>"IL"</f>
        <v>IL</v>
      </c>
      <c r="S94" s="28">
        <v>42036</v>
      </c>
      <c r="T94" s="29">
        <v>891</v>
      </c>
    </row>
    <row r="95" spans="1:20" s="7" customFormat="1" hidden="1" outlineLevel="3" x14ac:dyDescent="0.2">
      <c r="A95" s="7" t="s">
        <v>92</v>
      </c>
      <c r="C95" s="7" t="str">
        <f>+C89</f>
        <v>Jenny</v>
      </c>
      <c r="D95" s="7" t="str">
        <f>+D89</f>
        <v>Doyle</v>
      </c>
      <c r="E95" s="8" t="str">
        <f>E89</f>
        <v>ACCT</v>
      </c>
      <c r="G95" s="8" t="str">
        <f>G89</f>
        <v>DOYL0001</v>
      </c>
      <c r="K95" s="12">
        <f>+K89</f>
        <v>42036</v>
      </c>
      <c r="L95" s="8" t="str">
        <f>L89</f>
        <v>10385</v>
      </c>
      <c r="O95" s="8"/>
      <c r="T95" s="20"/>
    </row>
    <row r="96" spans="1:20" s="7" customFormat="1" hidden="1" outlineLevel="2" collapsed="1" x14ac:dyDescent="0.2">
      <c r="A96" s="7" t="s">
        <v>92</v>
      </c>
      <c r="C96" s="7" t="str">
        <f t="shared" si="10"/>
        <v>Jenny</v>
      </c>
      <c r="D96" s="7" t="str">
        <f>+D95</f>
        <v>Doyle</v>
      </c>
      <c r="E96" s="8" t="str">
        <f>E95</f>
        <v>ACCT</v>
      </c>
      <c r="G96" s="8" t="str">
        <f>G95</f>
        <v>DOYL0001</v>
      </c>
      <c r="K96" s="12">
        <f>+K95</f>
        <v>42036</v>
      </c>
      <c r="L96" s="8" t="str">
        <f>L95</f>
        <v>10385</v>
      </c>
      <c r="M96" s="33" t="str">
        <f>"Total for " &amp; $L96</f>
        <v>Total for 10385</v>
      </c>
      <c r="N96" s="34">
        <f>+K96</f>
        <v>42036</v>
      </c>
      <c r="O96" s="35"/>
      <c r="P96" s="33"/>
      <c r="Q96" s="33"/>
      <c r="R96" s="33"/>
      <c r="S96" s="33"/>
      <c r="T96" s="36">
        <f>SUBTOTAL(9,T89:T95)</f>
        <v>997.96</v>
      </c>
    </row>
    <row r="97" spans="1:20" s="7" customFormat="1" hidden="1" outlineLevel="3" x14ac:dyDescent="0.2">
      <c r="A97" s="7" t="s">
        <v>92</v>
      </c>
      <c r="C97" s="7" t="str">
        <f t="shared" si="10"/>
        <v>Jenny</v>
      </c>
      <c r="D97" s="7" t="str">
        <f>+D96</f>
        <v>Doyle</v>
      </c>
      <c r="E97" s="8" t="str">
        <f>E96</f>
        <v>ACCT</v>
      </c>
      <c r="G97" s="8" t="str">
        <f>G96</f>
        <v>DOYL0001</v>
      </c>
      <c r="H97" s="26"/>
      <c r="I97" s="26"/>
      <c r="J97" s="26"/>
      <c r="K97" s="28">
        <f>+N97</f>
        <v>42064</v>
      </c>
      <c r="L97" s="26" t="str">
        <f>M97</f>
        <v>10410</v>
      </c>
      <c r="M97" s="26" t="str">
        <f>"10410"</f>
        <v>10410</v>
      </c>
      <c r="N97" s="28">
        <v>42064</v>
      </c>
      <c r="O97" s="26"/>
      <c r="P97" s="26"/>
      <c r="Q97" s="26"/>
      <c r="R97" s="26"/>
      <c r="S97" s="26"/>
      <c r="T97" s="27"/>
    </row>
    <row r="98" spans="1:20" s="7" customFormat="1" hidden="1" outlineLevel="3" x14ac:dyDescent="0.2">
      <c r="A98" s="7" t="s">
        <v>92</v>
      </c>
      <c r="C98" s="7" t="str">
        <f t="shared" si="10"/>
        <v>Jenny</v>
      </c>
      <c r="D98" s="7" t="str">
        <f>+D97</f>
        <v>Doyle</v>
      </c>
      <c r="E98" s="8" t="str">
        <f>E97</f>
        <v>ACCT</v>
      </c>
      <c r="G98" s="8" t="str">
        <f>G97</f>
        <v>DOYL0001</v>
      </c>
      <c r="H98" s="26"/>
      <c r="I98" s="26"/>
      <c r="J98" s="26"/>
      <c r="K98" s="28">
        <f>+K97</f>
        <v>42064</v>
      </c>
      <c r="L98" s="26" t="str">
        <f>L97</f>
        <v>10410</v>
      </c>
      <c r="M98" s="26"/>
      <c r="N98" s="26"/>
      <c r="O98" s="26" t="str">
        <f>"""GP Direct"",""Fabrikam, Inc."",""UPR30300"",""PAYRATE"",""0.00000"",""PAYROLCD"",""401K"",""STATECD"","""",""CHEKDATE"",""3/1/2015"",""UPRTRXAM"",""1.21000"""</f>
        <v>"GP Direct","Fabrikam, Inc.","UPR30300","PAYRATE","0.00000","PAYROLCD","401K","STATECD","","CHEKDATE","3/1/2015","UPRTRXAM","1.21000"</v>
      </c>
      <c r="P98" s="29">
        <v>0</v>
      </c>
      <c r="Q98" s="26" t="str">
        <f>"401K"</f>
        <v>401K</v>
      </c>
      <c r="R98" s="26"/>
      <c r="S98" s="28">
        <v>42064</v>
      </c>
      <c r="T98" s="29">
        <v>1.21</v>
      </c>
    </row>
    <row r="99" spans="1:20" s="7" customFormat="1" hidden="1" outlineLevel="3" x14ac:dyDescent="0.2">
      <c r="A99" s="7" t="s">
        <v>92</v>
      </c>
      <c r="C99" s="7" t="str">
        <f t="shared" ref="C99:C104" si="12">+C98</f>
        <v>Jenny</v>
      </c>
      <c r="D99" s="7" t="str">
        <f>+D98</f>
        <v>Doyle</v>
      </c>
      <c r="E99" s="8" t="str">
        <f>E98</f>
        <v>ACCT</v>
      </c>
      <c r="G99" s="8" t="str">
        <f>G98</f>
        <v>DOYL0001</v>
      </c>
      <c r="H99" s="26"/>
      <c r="I99" s="26"/>
      <c r="J99" s="26"/>
      <c r="K99" s="28">
        <f>+K98</f>
        <v>42064</v>
      </c>
      <c r="L99" s="26" t="str">
        <f>L98</f>
        <v>10410</v>
      </c>
      <c r="M99" s="26"/>
      <c r="N99" s="26"/>
      <c r="O99" s="26" t="str">
        <f>"""GP Direct"",""Fabrikam, Inc."",""UPR30300"",""PAYRATE"",""0.00000"",""PAYROLCD"",""401K"",""STATECD"","""",""CHEKDATE"",""3/1/2015"",""UPRTRXAM"",""24.26000"""</f>
        <v>"GP Direct","Fabrikam, Inc.","UPR30300","PAYRATE","0.00000","PAYROLCD","401K","STATECD","","CHEKDATE","3/1/2015","UPRTRXAM","24.26000"</v>
      </c>
      <c r="P99" s="29">
        <v>0</v>
      </c>
      <c r="Q99" s="26" t="str">
        <f>"401K"</f>
        <v>401K</v>
      </c>
      <c r="R99" s="26"/>
      <c r="S99" s="28">
        <v>42064</v>
      </c>
      <c r="T99" s="29">
        <v>24.26</v>
      </c>
    </row>
    <row r="100" spans="1:20" s="7" customFormat="1" hidden="1" outlineLevel="3" x14ac:dyDescent="0.2">
      <c r="A100" s="7" t="s">
        <v>92</v>
      </c>
      <c r="C100" s="7" t="str">
        <f t="shared" si="12"/>
        <v>Jenny</v>
      </c>
      <c r="D100" s="7" t="str">
        <f>+D99</f>
        <v>Doyle</v>
      </c>
      <c r="E100" s="8" t="str">
        <f>E99</f>
        <v>ACCT</v>
      </c>
      <c r="G100" s="8" t="str">
        <f>G99</f>
        <v>DOYL0001</v>
      </c>
      <c r="H100" s="26"/>
      <c r="I100" s="26"/>
      <c r="J100" s="26"/>
      <c r="K100" s="28">
        <f>+K99</f>
        <v>42064</v>
      </c>
      <c r="L100" s="26" t="str">
        <f>L99</f>
        <v>10410</v>
      </c>
      <c r="M100" s="26"/>
      <c r="N100" s="26"/>
      <c r="O100" s="26" t="str">
        <f>"""GP Direct"",""Fabrikam, Inc."",""UPR30300"",""PAYRATE"",""0.00000"",""PAYROLCD"",""HOLI"",""STATECD"",""IL"",""CHEKDATE"",""3/1/2015"",""UPRTRXAM"",""0.00000"""</f>
        <v>"GP Direct","Fabrikam, Inc.","UPR30300","PAYRATE","0.00000","PAYROLCD","HOLI","STATECD","IL","CHEKDATE","3/1/2015","UPRTRXAM","0.00000"</v>
      </c>
      <c r="P100" s="29">
        <v>0</v>
      </c>
      <c r="Q100" s="26" t="str">
        <f>"HOLI"</f>
        <v>HOLI</v>
      </c>
      <c r="R100" s="26" t="str">
        <f>"IL"</f>
        <v>IL</v>
      </c>
      <c r="S100" s="28">
        <v>42064</v>
      </c>
      <c r="T100" s="29">
        <v>0</v>
      </c>
    </row>
    <row r="101" spans="1:20" s="7" customFormat="1" hidden="1" outlineLevel="3" x14ac:dyDescent="0.2">
      <c r="A101" s="7" t="s">
        <v>92</v>
      </c>
      <c r="C101" s="7" t="str">
        <f t="shared" si="12"/>
        <v>Jenny</v>
      </c>
      <c r="D101" s="7" t="str">
        <f>+D100</f>
        <v>Doyle</v>
      </c>
      <c r="E101" s="8" t="str">
        <f>E100</f>
        <v>ACCT</v>
      </c>
      <c r="G101" s="8" t="str">
        <f>G100</f>
        <v>DOYL0001</v>
      </c>
      <c r="H101" s="26"/>
      <c r="I101" s="26"/>
      <c r="J101" s="26"/>
      <c r="K101" s="28">
        <f>+K100</f>
        <v>42064</v>
      </c>
      <c r="L101" s="26" t="str">
        <f>L100</f>
        <v>10410</v>
      </c>
      <c r="M101" s="26"/>
      <c r="N101" s="26"/>
      <c r="O101" s="26" t="str">
        <f>"""GP Direct"",""Fabrikam, Inc."",""UPR30300"",""PAYRATE"",""0.00000"",""PAYROLCD"",""IL"",""STATECD"","""",""CHEKDATE"",""3/1/2015"",""UPRTRXAM"",""22.13000"""</f>
        <v>"GP Direct","Fabrikam, Inc.","UPR30300","PAYRATE","0.00000","PAYROLCD","IL","STATECD","","CHEKDATE","3/1/2015","UPRTRXAM","22.13000"</v>
      </c>
      <c r="P101" s="29">
        <v>0</v>
      </c>
      <c r="Q101" s="26" t="str">
        <f>"IL"</f>
        <v>IL</v>
      </c>
      <c r="R101" s="26"/>
      <c r="S101" s="28">
        <v>42064</v>
      </c>
      <c r="T101" s="29">
        <v>22.13</v>
      </c>
    </row>
    <row r="102" spans="1:20" s="7" customFormat="1" hidden="1" outlineLevel="3" x14ac:dyDescent="0.2">
      <c r="A102" s="7" t="s">
        <v>92</v>
      </c>
      <c r="C102" s="7" t="str">
        <f t="shared" si="12"/>
        <v>Jenny</v>
      </c>
      <c r="D102" s="7" t="str">
        <f>+D101</f>
        <v>Doyle</v>
      </c>
      <c r="E102" s="8" t="str">
        <f>E101</f>
        <v>ACCT</v>
      </c>
      <c r="G102" s="8" t="str">
        <f>G101</f>
        <v>DOYL0001</v>
      </c>
      <c r="H102" s="26"/>
      <c r="I102" s="26"/>
      <c r="J102" s="26"/>
      <c r="K102" s="28">
        <f>+K101</f>
        <v>42064</v>
      </c>
      <c r="L102" s="26" t="str">
        <f>L101</f>
        <v>10410</v>
      </c>
      <c r="M102" s="26"/>
      <c r="N102" s="26"/>
      <c r="O102" s="26" t="str">
        <f>"""GP Direct"",""Fabrikam, Inc."",""UPR30300"",""PAYRATE"",""0.00000"",""PAYROLCD"",""INS"",""STATECD"","""",""CHEKDATE"",""3/1/2015"",""UPRTRXAM"",""49.36000"""</f>
        <v>"GP Direct","Fabrikam, Inc.","UPR30300","PAYRATE","0.00000","PAYROLCD","INS","STATECD","","CHEKDATE","3/1/2015","UPRTRXAM","49.36000"</v>
      </c>
      <c r="P102" s="29">
        <v>0</v>
      </c>
      <c r="Q102" s="26" t="str">
        <f>"INS"</f>
        <v>INS</v>
      </c>
      <c r="R102" s="26"/>
      <c r="S102" s="28">
        <v>42064</v>
      </c>
      <c r="T102" s="29">
        <v>49.36</v>
      </c>
    </row>
    <row r="103" spans="1:20" s="7" customFormat="1" hidden="1" outlineLevel="3" x14ac:dyDescent="0.2">
      <c r="A103" s="7" t="s">
        <v>92</v>
      </c>
      <c r="C103" s="7" t="str">
        <f t="shared" si="12"/>
        <v>Jenny</v>
      </c>
      <c r="D103" s="7" t="str">
        <f>+D102</f>
        <v>Doyle</v>
      </c>
      <c r="E103" s="8" t="str">
        <f>E102</f>
        <v>ACCT</v>
      </c>
      <c r="G103" s="8" t="str">
        <f>G102</f>
        <v>DOYL0001</v>
      </c>
      <c r="H103" s="26"/>
      <c r="I103" s="26"/>
      <c r="J103" s="26"/>
      <c r="K103" s="28">
        <f>+K102</f>
        <v>42064</v>
      </c>
      <c r="L103" s="26" t="str">
        <f>L102</f>
        <v>10410</v>
      </c>
      <c r="M103" s="26"/>
      <c r="N103" s="26"/>
      <c r="O103" s="26" t="str">
        <f>"""GP Direct"",""Fabrikam, Inc."",""UPR30300"",""PAYRATE"",""0.00000"",""PAYROLCD"",""MED"",""STATECD"","""",""CHEKDATE"",""3/1/2015"",""UPRTRXAM"",""5.00000"""</f>
        <v>"GP Direct","Fabrikam, Inc.","UPR30300","PAYRATE","0.00000","PAYROLCD","MED","STATECD","","CHEKDATE","3/1/2015","UPRTRXAM","5.00000"</v>
      </c>
      <c r="P103" s="29">
        <v>0</v>
      </c>
      <c r="Q103" s="26" t="str">
        <f>"MED"</f>
        <v>MED</v>
      </c>
      <c r="R103" s="26"/>
      <c r="S103" s="28">
        <v>42064</v>
      </c>
      <c r="T103" s="29">
        <v>5</v>
      </c>
    </row>
    <row r="104" spans="1:20" s="7" customFormat="1" hidden="1" outlineLevel="3" x14ac:dyDescent="0.2">
      <c r="A104" s="7" t="s">
        <v>92</v>
      </c>
      <c r="C104" s="7" t="str">
        <f t="shared" si="12"/>
        <v>Jenny</v>
      </c>
      <c r="D104" s="7" t="str">
        <f>+D103</f>
        <v>Doyle</v>
      </c>
      <c r="E104" s="8" t="str">
        <f>E103</f>
        <v>ACCT</v>
      </c>
      <c r="G104" s="8" t="str">
        <f>G103</f>
        <v>DOYL0001</v>
      </c>
      <c r="H104" s="26"/>
      <c r="I104" s="26"/>
      <c r="J104" s="26"/>
      <c r="K104" s="28">
        <f>+K103</f>
        <v>42064</v>
      </c>
      <c r="L104" s="26" t="str">
        <f>L103</f>
        <v>10410</v>
      </c>
      <c r="M104" s="26"/>
      <c r="N104" s="26"/>
      <c r="O104" s="26" t="str">
        <f>"""GP Direct"",""Fabrikam, Inc."",""UPR30300"",""PAYRATE"",""10.28077"",""PAYROLCD"",""SALY"",""STATECD"",""IL"",""CHEKDATE"",""3/1/2015"",""UPRTRXAM"",""808.75000"""</f>
        <v>"GP Direct","Fabrikam, Inc.","UPR30300","PAYRATE","10.28077","PAYROLCD","SALY","STATECD","IL","CHEKDATE","3/1/2015","UPRTRXAM","808.75000"</v>
      </c>
      <c r="P104" s="29">
        <v>10.280799999999999</v>
      </c>
      <c r="Q104" s="26" t="str">
        <f>"SALY"</f>
        <v>SALY</v>
      </c>
      <c r="R104" s="26" t="str">
        <f>"IL"</f>
        <v>IL</v>
      </c>
      <c r="S104" s="28">
        <v>42064</v>
      </c>
      <c r="T104" s="29">
        <v>808.75</v>
      </c>
    </row>
    <row r="105" spans="1:20" s="7" customFormat="1" hidden="1" outlineLevel="3" x14ac:dyDescent="0.2">
      <c r="A105" s="7" t="s">
        <v>92</v>
      </c>
      <c r="C105" s="7" t="str">
        <f>+C98</f>
        <v>Jenny</v>
      </c>
      <c r="D105" s="7" t="str">
        <f>+D98</f>
        <v>Doyle</v>
      </c>
      <c r="E105" s="8" t="str">
        <f>E98</f>
        <v>ACCT</v>
      </c>
      <c r="G105" s="8" t="str">
        <f>G98</f>
        <v>DOYL0001</v>
      </c>
      <c r="K105" s="12">
        <f>+K98</f>
        <v>42064</v>
      </c>
      <c r="L105" s="8" t="str">
        <f>L98</f>
        <v>10410</v>
      </c>
      <c r="O105" s="8"/>
      <c r="T105" s="20"/>
    </row>
    <row r="106" spans="1:20" s="7" customFormat="1" hidden="1" outlineLevel="2" collapsed="1" x14ac:dyDescent="0.2">
      <c r="A106" s="7" t="s">
        <v>92</v>
      </c>
      <c r="C106" s="7" t="str">
        <f t="shared" si="10"/>
        <v>Jenny</v>
      </c>
      <c r="D106" s="7" t="str">
        <f>+D105</f>
        <v>Doyle</v>
      </c>
      <c r="E106" s="8" t="str">
        <f>E105</f>
        <v>ACCT</v>
      </c>
      <c r="G106" s="8" t="str">
        <f>G105</f>
        <v>DOYL0001</v>
      </c>
      <c r="K106" s="12">
        <f>+K105</f>
        <v>42064</v>
      </c>
      <c r="L106" s="8" t="str">
        <f>L105</f>
        <v>10410</v>
      </c>
      <c r="M106" s="33" t="str">
        <f>"Total for " &amp; $L106</f>
        <v>Total for 10410</v>
      </c>
      <c r="N106" s="34">
        <f>+K106</f>
        <v>42064</v>
      </c>
      <c r="O106" s="35"/>
      <c r="P106" s="33"/>
      <c r="Q106" s="33"/>
      <c r="R106" s="33"/>
      <c r="S106" s="33"/>
      <c r="T106" s="36">
        <f>SUBTOTAL(9,T98:T105)</f>
        <v>910.71</v>
      </c>
    </row>
    <row r="107" spans="1:20" s="7" customFormat="1" hidden="1" outlineLevel="3" x14ac:dyDescent="0.2">
      <c r="A107" s="7" t="s">
        <v>92</v>
      </c>
      <c r="C107" s="7" t="str">
        <f t="shared" si="10"/>
        <v>Jenny</v>
      </c>
      <c r="D107" s="7" t="str">
        <f>+D106</f>
        <v>Doyle</v>
      </c>
      <c r="E107" s="8" t="str">
        <f>E106</f>
        <v>ACCT</v>
      </c>
      <c r="G107" s="8" t="str">
        <f>G106</f>
        <v>DOYL0001</v>
      </c>
      <c r="H107" s="26"/>
      <c r="I107" s="26"/>
      <c r="J107" s="26"/>
      <c r="K107" s="28">
        <f>+N107</f>
        <v>42095</v>
      </c>
      <c r="L107" s="26" t="str">
        <f>M107</f>
        <v>10435</v>
      </c>
      <c r="M107" s="26" t="str">
        <f>"10435"</f>
        <v>10435</v>
      </c>
      <c r="N107" s="28">
        <v>42095</v>
      </c>
      <c r="O107" s="26"/>
      <c r="P107" s="26"/>
      <c r="Q107" s="26"/>
      <c r="R107" s="26"/>
      <c r="S107" s="26"/>
      <c r="T107" s="27"/>
    </row>
    <row r="108" spans="1:20" s="7" customFormat="1" hidden="1" outlineLevel="3" x14ac:dyDescent="0.2">
      <c r="A108" s="7" t="s">
        <v>92</v>
      </c>
      <c r="C108" s="7" t="str">
        <f t="shared" si="10"/>
        <v>Jenny</v>
      </c>
      <c r="D108" s="7" t="str">
        <f>+D107</f>
        <v>Doyle</v>
      </c>
      <c r="E108" s="8" t="str">
        <f>E107</f>
        <v>ACCT</v>
      </c>
      <c r="G108" s="8" t="str">
        <f>G107</f>
        <v>DOYL0001</v>
      </c>
      <c r="H108" s="26"/>
      <c r="I108" s="26"/>
      <c r="J108" s="26"/>
      <c r="K108" s="28">
        <f>+K107</f>
        <v>42095</v>
      </c>
      <c r="L108" s="26" t="str">
        <f>L107</f>
        <v>10435</v>
      </c>
      <c r="M108" s="26"/>
      <c r="N108" s="26"/>
      <c r="O108" s="26" t="str">
        <f>"""GP Direct"",""Fabrikam, Inc."",""UPR30300"",""PAYRATE"",""0.00000"",""PAYROLCD"",""401K"",""STATECD"","""",""CHEKDATE"",""4/1/2015"",""UPRTRXAM"",""1.34000"""</f>
        <v>"GP Direct","Fabrikam, Inc.","UPR30300","PAYRATE","0.00000","PAYROLCD","401K","STATECD","","CHEKDATE","4/1/2015","UPRTRXAM","1.34000"</v>
      </c>
      <c r="P108" s="29">
        <v>0</v>
      </c>
      <c r="Q108" s="26" t="str">
        <f>"401K"</f>
        <v>401K</v>
      </c>
      <c r="R108" s="26"/>
      <c r="S108" s="28">
        <v>42095</v>
      </c>
      <c r="T108" s="29">
        <v>1.34</v>
      </c>
    </row>
    <row r="109" spans="1:20" s="7" customFormat="1" hidden="1" outlineLevel="3" x14ac:dyDescent="0.2">
      <c r="A109" s="7" t="s">
        <v>92</v>
      </c>
      <c r="C109" s="7" t="str">
        <f t="shared" ref="C109:C113" si="13">+C108</f>
        <v>Jenny</v>
      </c>
      <c r="D109" s="7" t="str">
        <f>+D108</f>
        <v>Doyle</v>
      </c>
      <c r="E109" s="8" t="str">
        <f>E108</f>
        <v>ACCT</v>
      </c>
      <c r="G109" s="8" t="str">
        <f>G108</f>
        <v>DOYL0001</v>
      </c>
      <c r="H109" s="26"/>
      <c r="I109" s="26"/>
      <c r="J109" s="26"/>
      <c r="K109" s="28">
        <f>+K108</f>
        <v>42095</v>
      </c>
      <c r="L109" s="26" t="str">
        <f>L108</f>
        <v>10435</v>
      </c>
      <c r="M109" s="26"/>
      <c r="N109" s="26"/>
      <c r="O109" s="26" t="str">
        <f>"""GP Direct"",""Fabrikam, Inc."",""UPR30300"",""PAYRATE"",""0.00000"",""PAYROLCD"",""401K"",""STATECD"","""",""CHEKDATE"",""4/1/2015"",""UPRTRXAM"",""26.73000"""</f>
        <v>"GP Direct","Fabrikam, Inc.","UPR30300","PAYRATE","0.00000","PAYROLCD","401K","STATECD","","CHEKDATE","4/1/2015","UPRTRXAM","26.73000"</v>
      </c>
      <c r="P109" s="29">
        <v>0</v>
      </c>
      <c r="Q109" s="26" t="str">
        <f>"401K"</f>
        <v>401K</v>
      </c>
      <c r="R109" s="26"/>
      <c r="S109" s="28">
        <v>42095</v>
      </c>
      <c r="T109" s="29">
        <v>26.73</v>
      </c>
    </row>
    <row r="110" spans="1:20" s="7" customFormat="1" hidden="1" outlineLevel="3" x14ac:dyDescent="0.2">
      <c r="A110" s="7" t="s">
        <v>92</v>
      </c>
      <c r="C110" s="7" t="str">
        <f t="shared" si="13"/>
        <v>Jenny</v>
      </c>
      <c r="D110" s="7" t="str">
        <f>+D109</f>
        <v>Doyle</v>
      </c>
      <c r="E110" s="8" t="str">
        <f>E109</f>
        <v>ACCT</v>
      </c>
      <c r="G110" s="8" t="str">
        <f>G109</f>
        <v>DOYL0001</v>
      </c>
      <c r="H110" s="26"/>
      <c r="I110" s="26"/>
      <c r="J110" s="26"/>
      <c r="K110" s="28">
        <f>+K109</f>
        <v>42095</v>
      </c>
      <c r="L110" s="26" t="str">
        <f>L109</f>
        <v>10435</v>
      </c>
      <c r="M110" s="26"/>
      <c r="N110" s="26"/>
      <c r="O110" s="26" t="str">
        <f>"""GP Direct"",""Fabrikam, Inc."",""UPR30300"",""PAYRATE"",""0.00000"",""PAYROLCD"",""IL"",""STATECD"","""",""CHEKDATE"",""4/1/2015"",""UPRTRXAM"",""24.53000"""</f>
        <v>"GP Direct","Fabrikam, Inc.","UPR30300","PAYRATE","0.00000","PAYROLCD","IL","STATECD","","CHEKDATE","4/1/2015","UPRTRXAM","24.53000"</v>
      </c>
      <c r="P110" s="29">
        <v>0</v>
      </c>
      <c r="Q110" s="26" t="str">
        <f>"IL"</f>
        <v>IL</v>
      </c>
      <c r="R110" s="26"/>
      <c r="S110" s="28">
        <v>42095</v>
      </c>
      <c r="T110" s="29">
        <v>24.53</v>
      </c>
    </row>
    <row r="111" spans="1:20" s="7" customFormat="1" hidden="1" outlineLevel="3" x14ac:dyDescent="0.2">
      <c r="A111" s="7" t="s">
        <v>92</v>
      </c>
      <c r="C111" s="7" t="str">
        <f t="shared" si="13"/>
        <v>Jenny</v>
      </c>
      <c r="D111" s="7" t="str">
        <f>+D110</f>
        <v>Doyle</v>
      </c>
      <c r="E111" s="8" t="str">
        <f>E110</f>
        <v>ACCT</v>
      </c>
      <c r="G111" s="8" t="str">
        <f>G110</f>
        <v>DOYL0001</v>
      </c>
      <c r="H111" s="26"/>
      <c r="I111" s="26"/>
      <c r="J111" s="26"/>
      <c r="K111" s="28">
        <f>+K110</f>
        <v>42095</v>
      </c>
      <c r="L111" s="26" t="str">
        <f>L110</f>
        <v>10435</v>
      </c>
      <c r="M111" s="26"/>
      <c r="N111" s="26"/>
      <c r="O111" s="26" t="str">
        <f>"""GP Direct"",""Fabrikam, Inc."",""UPR30300"",""PAYRATE"",""0.00000"",""PAYROLCD"",""INS"",""STATECD"","""",""CHEKDATE"",""4/1/2015"",""UPRTRXAM"",""49.36000"""</f>
        <v>"GP Direct","Fabrikam, Inc.","UPR30300","PAYRATE","0.00000","PAYROLCD","INS","STATECD","","CHEKDATE","4/1/2015","UPRTRXAM","49.36000"</v>
      </c>
      <c r="P111" s="29">
        <v>0</v>
      </c>
      <c r="Q111" s="26" t="str">
        <f>"INS"</f>
        <v>INS</v>
      </c>
      <c r="R111" s="26"/>
      <c r="S111" s="28">
        <v>42095</v>
      </c>
      <c r="T111" s="29">
        <v>49.36</v>
      </c>
    </row>
    <row r="112" spans="1:20" s="7" customFormat="1" hidden="1" outlineLevel="3" x14ac:dyDescent="0.2">
      <c r="A112" s="7" t="s">
        <v>92</v>
      </c>
      <c r="C112" s="7" t="str">
        <f t="shared" si="13"/>
        <v>Jenny</v>
      </c>
      <c r="D112" s="7" t="str">
        <f>+D111</f>
        <v>Doyle</v>
      </c>
      <c r="E112" s="8" t="str">
        <f>E111</f>
        <v>ACCT</v>
      </c>
      <c r="G112" s="8" t="str">
        <f>G111</f>
        <v>DOYL0001</v>
      </c>
      <c r="H112" s="26"/>
      <c r="I112" s="26"/>
      <c r="J112" s="26"/>
      <c r="K112" s="28">
        <f>+K111</f>
        <v>42095</v>
      </c>
      <c r="L112" s="26" t="str">
        <f>L111</f>
        <v>10435</v>
      </c>
      <c r="M112" s="26"/>
      <c r="N112" s="26"/>
      <c r="O112" s="26" t="str">
        <f>"""GP Direct"",""Fabrikam, Inc."",""UPR30300"",""PAYRATE"",""0.00000"",""PAYROLCD"",""MED"",""STATECD"","""",""CHEKDATE"",""4/1/2015"",""UPRTRXAM"",""5.00000"""</f>
        <v>"GP Direct","Fabrikam, Inc.","UPR30300","PAYRATE","0.00000","PAYROLCD","MED","STATECD","","CHEKDATE","4/1/2015","UPRTRXAM","5.00000"</v>
      </c>
      <c r="P112" s="29">
        <v>0</v>
      </c>
      <c r="Q112" s="26" t="str">
        <f>"MED"</f>
        <v>MED</v>
      </c>
      <c r="R112" s="26"/>
      <c r="S112" s="28">
        <v>42095</v>
      </c>
      <c r="T112" s="29">
        <v>5</v>
      </c>
    </row>
    <row r="113" spans="1:20" s="7" customFormat="1" hidden="1" outlineLevel="3" x14ac:dyDescent="0.2">
      <c r="A113" s="7" t="s">
        <v>92</v>
      </c>
      <c r="C113" s="7" t="str">
        <f t="shared" si="13"/>
        <v>Jenny</v>
      </c>
      <c r="D113" s="7" t="str">
        <f>+D112</f>
        <v>Doyle</v>
      </c>
      <c r="E113" s="8" t="str">
        <f>E112</f>
        <v>ACCT</v>
      </c>
      <c r="G113" s="8" t="str">
        <f>G112</f>
        <v>DOYL0001</v>
      </c>
      <c r="H113" s="26"/>
      <c r="I113" s="26"/>
      <c r="J113" s="26"/>
      <c r="K113" s="28">
        <f>+K112</f>
        <v>42095</v>
      </c>
      <c r="L113" s="26" t="str">
        <f>L112</f>
        <v>10435</v>
      </c>
      <c r="M113" s="26"/>
      <c r="N113" s="26"/>
      <c r="O113" s="26" t="str">
        <f>"""GP Direct"",""Fabrikam, Inc."",""UPR30300"",""PAYRATE"",""21384.00000"",""PAYROLCD"",""SALY"",""STATECD"",""IL"",""CHEKDATE"",""4/1/2015"",""UPRTRXAM"",""891.00000"""</f>
        <v>"GP Direct","Fabrikam, Inc.","UPR30300","PAYRATE","21384.00000","PAYROLCD","SALY","STATECD","IL","CHEKDATE","4/1/2015","UPRTRXAM","891.00000"</v>
      </c>
      <c r="P113" s="29">
        <v>21384</v>
      </c>
      <c r="Q113" s="26" t="str">
        <f>"SALY"</f>
        <v>SALY</v>
      </c>
      <c r="R113" s="26" t="str">
        <f>"IL"</f>
        <v>IL</v>
      </c>
      <c r="S113" s="28">
        <v>42095</v>
      </c>
      <c r="T113" s="29">
        <v>891</v>
      </c>
    </row>
    <row r="114" spans="1:20" s="7" customFormat="1" hidden="1" outlineLevel="3" x14ac:dyDescent="0.2">
      <c r="A114" s="7" t="s">
        <v>92</v>
      </c>
      <c r="C114" s="7" t="str">
        <f>+C108</f>
        <v>Jenny</v>
      </c>
      <c r="D114" s="7" t="str">
        <f>+D108</f>
        <v>Doyle</v>
      </c>
      <c r="E114" s="8" t="str">
        <f>E108</f>
        <v>ACCT</v>
      </c>
      <c r="G114" s="8" t="str">
        <f>G108</f>
        <v>DOYL0001</v>
      </c>
      <c r="K114" s="12">
        <f>+K108</f>
        <v>42095</v>
      </c>
      <c r="L114" s="8" t="str">
        <f>L108</f>
        <v>10435</v>
      </c>
      <c r="O114" s="8"/>
      <c r="T114" s="20"/>
    </row>
    <row r="115" spans="1:20" s="7" customFormat="1" hidden="1" outlineLevel="2" collapsed="1" x14ac:dyDescent="0.2">
      <c r="A115" s="7" t="s">
        <v>92</v>
      </c>
      <c r="C115" s="7" t="str">
        <f t="shared" si="10"/>
        <v>Jenny</v>
      </c>
      <c r="D115" s="7" t="str">
        <f>+D114</f>
        <v>Doyle</v>
      </c>
      <c r="E115" s="8" t="str">
        <f>E114</f>
        <v>ACCT</v>
      </c>
      <c r="G115" s="8" t="str">
        <f>G114</f>
        <v>DOYL0001</v>
      </c>
      <c r="K115" s="12">
        <f>+K114</f>
        <v>42095</v>
      </c>
      <c r="L115" s="8" t="str">
        <f>L114</f>
        <v>10435</v>
      </c>
      <c r="M115" s="33" t="str">
        <f>"Total for " &amp; $L115</f>
        <v>Total for 10435</v>
      </c>
      <c r="N115" s="34">
        <f>+K115</f>
        <v>42095</v>
      </c>
      <c r="O115" s="35"/>
      <c r="P115" s="33"/>
      <c r="Q115" s="33"/>
      <c r="R115" s="33"/>
      <c r="S115" s="33"/>
      <c r="T115" s="36">
        <f>SUBTOTAL(9,T108:T114)</f>
        <v>997.96</v>
      </c>
    </row>
    <row r="116" spans="1:20" s="7" customFormat="1" hidden="1" outlineLevel="3" x14ac:dyDescent="0.2">
      <c r="A116" s="7" t="s">
        <v>92</v>
      </c>
      <c r="C116" s="7" t="str">
        <f t="shared" si="10"/>
        <v>Jenny</v>
      </c>
      <c r="D116" s="7" t="str">
        <f>+D115</f>
        <v>Doyle</v>
      </c>
      <c r="E116" s="8" t="str">
        <f>E115</f>
        <v>ACCT</v>
      </c>
      <c r="G116" s="8" t="str">
        <f>G115</f>
        <v>DOYL0001</v>
      </c>
      <c r="H116" s="26"/>
      <c r="I116" s="26"/>
      <c r="J116" s="26"/>
      <c r="K116" s="28">
        <f>+N116</f>
        <v>42125</v>
      </c>
      <c r="L116" s="26" t="str">
        <f>M116</f>
        <v>10460</v>
      </c>
      <c r="M116" s="26" t="str">
        <f>"10460"</f>
        <v>10460</v>
      </c>
      <c r="N116" s="28">
        <v>42125</v>
      </c>
      <c r="O116" s="26"/>
      <c r="P116" s="26"/>
      <c r="Q116" s="26"/>
      <c r="R116" s="26"/>
      <c r="S116" s="26"/>
      <c r="T116" s="27"/>
    </row>
    <row r="117" spans="1:20" s="7" customFormat="1" hidden="1" outlineLevel="3" x14ac:dyDescent="0.2">
      <c r="A117" s="7" t="s">
        <v>92</v>
      </c>
      <c r="C117" s="7" t="str">
        <f t="shared" si="10"/>
        <v>Jenny</v>
      </c>
      <c r="D117" s="7" t="str">
        <f>+D116</f>
        <v>Doyle</v>
      </c>
      <c r="E117" s="8" t="str">
        <f>E116</f>
        <v>ACCT</v>
      </c>
      <c r="G117" s="8" t="str">
        <f>G116</f>
        <v>DOYL0001</v>
      </c>
      <c r="H117" s="26"/>
      <c r="I117" s="26"/>
      <c r="J117" s="26"/>
      <c r="K117" s="28">
        <f>+K116</f>
        <v>42125</v>
      </c>
      <c r="L117" s="26" t="str">
        <f>L116</f>
        <v>10460</v>
      </c>
      <c r="M117" s="26"/>
      <c r="N117" s="26"/>
      <c r="O117" s="26" t="str">
        <f>"""GP Direct"",""Fabrikam, Inc."",""UPR30300"",""PAYRATE"",""0.00000"",""PAYROLCD"",""401K"",""STATECD"","""",""CHEKDATE"",""5/1/2015"",""UPRTRXAM"",""1.34000"""</f>
        <v>"GP Direct","Fabrikam, Inc.","UPR30300","PAYRATE","0.00000","PAYROLCD","401K","STATECD","","CHEKDATE","5/1/2015","UPRTRXAM","1.34000"</v>
      </c>
      <c r="P117" s="29">
        <v>0</v>
      </c>
      <c r="Q117" s="26" t="str">
        <f>"401K"</f>
        <v>401K</v>
      </c>
      <c r="R117" s="26"/>
      <c r="S117" s="28">
        <v>42125</v>
      </c>
      <c r="T117" s="29">
        <v>1.34</v>
      </c>
    </row>
    <row r="118" spans="1:20" s="7" customFormat="1" hidden="1" outlineLevel="3" x14ac:dyDescent="0.2">
      <c r="A118" s="7" t="s">
        <v>92</v>
      </c>
      <c r="C118" s="7" t="str">
        <f t="shared" ref="C118:C122" si="14">+C117</f>
        <v>Jenny</v>
      </c>
      <c r="D118" s="7" t="str">
        <f>+D117</f>
        <v>Doyle</v>
      </c>
      <c r="E118" s="8" t="str">
        <f>E117</f>
        <v>ACCT</v>
      </c>
      <c r="G118" s="8" t="str">
        <f>G117</f>
        <v>DOYL0001</v>
      </c>
      <c r="H118" s="26"/>
      <c r="I118" s="26"/>
      <c r="J118" s="26"/>
      <c r="K118" s="28">
        <f>+K117</f>
        <v>42125</v>
      </c>
      <c r="L118" s="26" t="str">
        <f>L117</f>
        <v>10460</v>
      </c>
      <c r="M118" s="26"/>
      <c r="N118" s="26"/>
      <c r="O118" s="26" t="str">
        <f>"""GP Direct"",""Fabrikam, Inc."",""UPR30300"",""PAYRATE"",""0.00000"",""PAYROLCD"",""401K"",""STATECD"","""",""CHEKDATE"",""5/1/2015"",""UPRTRXAM"",""26.73000"""</f>
        <v>"GP Direct","Fabrikam, Inc.","UPR30300","PAYRATE","0.00000","PAYROLCD","401K","STATECD","","CHEKDATE","5/1/2015","UPRTRXAM","26.73000"</v>
      </c>
      <c r="P118" s="29">
        <v>0</v>
      </c>
      <c r="Q118" s="26" t="str">
        <f>"401K"</f>
        <v>401K</v>
      </c>
      <c r="R118" s="26"/>
      <c r="S118" s="28">
        <v>42125</v>
      </c>
      <c r="T118" s="29">
        <v>26.73</v>
      </c>
    </row>
    <row r="119" spans="1:20" s="7" customFormat="1" hidden="1" outlineLevel="3" x14ac:dyDescent="0.2">
      <c r="A119" s="7" t="s">
        <v>92</v>
      </c>
      <c r="C119" s="7" t="str">
        <f t="shared" si="14"/>
        <v>Jenny</v>
      </c>
      <c r="D119" s="7" t="str">
        <f>+D118</f>
        <v>Doyle</v>
      </c>
      <c r="E119" s="8" t="str">
        <f>E118</f>
        <v>ACCT</v>
      </c>
      <c r="G119" s="8" t="str">
        <f>G118</f>
        <v>DOYL0001</v>
      </c>
      <c r="H119" s="26"/>
      <c r="I119" s="26"/>
      <c r="J119" s="26"/>
      <c r="K119" s="28">
        <f>+K118</f>
        <v>42125</v>
      </c>
      <c r="L119" s="26" t="str">
        <f>L118</f>
        <v>10460</v>
      </c>
      <c r="M119" s="26"/>
      <c r="N119" s="26"/>
      <c r="O119" s="26" t="str">
        <f>"""GP Direct"",""Fabrikam, Inc."",""UPR30300"",""PAYRATE"",""0.00000"",""PAYROLCD"",""IL"",""STATECD"","""",""CHEKDATE"",""5/1/2015"",""UPRTRXAM"",""24.53000"""</f>
        <v>"GP Direct","Fabrikam, Inc.","UPR30300","PAYRATE","0.00000","PAYROLCD","IL","STATECD","","CHEKDATE","5/1/2015","UPRTRXAM","24.53000"</v>
      </c>
      <c r="P119" s="29">
        <v>0</v>
      </c>
      <c r="Q119" s="26" t="str">
        <f>"IL"</f>
        <v>IL</v>
      </c>
      <c r="R119" s="26"/>
      <c r="S119" s="28">
        <v>42125</v>
      </c>
      <c r="T119" s="29">
        <v>24.53</v>
      </c>
    </row>
    <row r="120" spans="1:20" s="7" customFormat="1" hidden="1" outlineLevel="3" x14ac:dyDescent="0.2">
      <c r="A120" s="7" t="s">
        <v>92</v>
      </c>
      <c r="C120" s="7" t="str">
        <f t="shared" si="14"/>
        <v>Jenny</v>
      </c>
      <c r="D120" s="7" t="str">
        <f>+D119</f>
        <v>Doyle</v>
      </c>
      <c r="E120" s="8" t="str">
        <f>E119</f>
        <v>ACCT</v>
      </c>
      <c r="G120" s="8" t="str">
        <f>G119</f>
        <v>DOYL0001</v>
      </c>
      <c r="H120" s="26"/>
      <c r="I120" s="26"/>
      <c r="J120" s="26"/>
      <c r="K120" s="28">
        <f>+K119</f>
        <v>42125</v>
      </c>
      <c r="L120" s="26" t="str">
        <f>L119</f>
        <v>10460</v>
      </c>
      <c r="M120" s="26"/>
      <c r="N120" s="26"/>
      <c r="O120" s="26" t="str">
        <f>"""GP Direct"",""Fabrikam, Inc."",""UPR30300"",""PAYRATE"",""0.00000"",""PAYROLCD"",""INS"",""STATECD"","""",""CHEKDATE"",""5/1/2015"",""UPRTRXAM"",""49.36000"""</f>
        <v>"GP Direct","Fabrikam, Inc.","UPR30300","PAYRATE","0.00000","PAYROLCD","INS","STATECD","","CHEKDATE","5/1/2015","UPRTRXAM","49.36000"</v>
      </c>
      <c r="P120" s="29">
        <v>0</v>
      </c>
      <c r="Q120" s="26" t="str">
        <f>"INS"</f>
        <v>INS</v>
      </c>
      <c r="R120" s="26"/>
      <c r="S120" s="28">
        <v>42125</v>
      </c>
      <c r="T120" s="29">
        <v>49.36</v>
      </c>
    </row>
    <row r="121" spans="1:20" s="7" customFormat="1" hidden="1" outlineLevel="3" x14ac:dyDescent="0.2">
      <c r="A121" s="7" t="s">
        <v>92</v>
      </c>
      <c r="C121" s="7" t="str">
        <f t="shared" si="14"/>
        <v>Jenny</v>
      </c>
      <c r="D121" s="7" t="str">
        <f>+D120</f>
        <v>Doyle</v>
      </c>
      <c r="E121" s="8" t="str">
        <f>E120</f>
        <v>ACCT</v>
      </c>
      <c r="G121" s="8" t="str">
        <f>G120</f>
        <v>DOYL0001</v>
      </c>
      <c r="H121" s="26"/>
      <c r="I121" s="26"/>
      <c r="J121" s="26"/>
      <c r="K121" s="28">
        <f>+K120</f>
        <v>42125</v>
      </c>
      <c r="L121" s="26" t="str">
        <f>L120</f>
        <v>10460</v>
      </c>
      <c r="M121" s="26"/>
      <c r="N121" s="26"/>
      <c r="O121" s="26" t="str">
        <f>"""GP Direct"",""Fabrikam, Inc."",""UPR30300"",""PAYRATE"",""0.00000"",""PAYROLCD"",""MED"",""STATECD"","""",""CHEKDATE"",""5/1/2015"",""UPRTRXAM"",""5.00000"""</f>
        <v>"GP Direct","Fabrikam, Inc.","UPR30300","PAYRATE","0.00000","PAYROLCD","MED","STATECD","","CHEKDATE","5/1/2015","UPRTRXAM","5.00000"</v>
      </c>
      <c r="P121" s="29">
        <v>0</v>
      </c>
      <c r="Q121" s="26" t="str">
        <f>"MED"</f>
        <v>MED</v>
      </c>
      <c r="R121" s="26"/>
      <c r="S121" s="28">
        <v>42125</v>
      </c>
      <c r="T121" s="29">
        <v>5</v>
      </c>
    </row>
    <row r="122" spans="1:20" s="7" customFormat="1" hidden="1" outlineLevel="3" x14ac:dyDescent="0.2">
      <c r="A122" s="7" t="s">
        <v>92</v>
      </c>
      <c r="C122" s="7" t="str">
        <f t="shared" si="14"/>
        <v>Jenny</v>
      </c>
      <c r="D122" s="7" t="str">
        <f>+D121</f>
        <v>Doyle</v>
      </c>
      <c r="E122" s="8" t="str">
        <f>E121</f>
        <v>ACCT</v>
      </c>
      <c r="G122" s="8" t="str">
        <f>G121</f>
        <v>DOYL0001</v>
      </c>
      <c r="H122" s="26"/>
      <c r="I122" s="26"/>
      <c r="J122" s="26"/>
      <c r="K122" s="28">
        <f>+K121</f>
        <v>42125</v>
      </c>
      <c r="L122" s="26" t="str">
        <f>L121</f>
        <v>10460</v>
      </c>
      <c r="M122" s="26"/>
      <c r="N122" s="26"/>
      <c r="O122" s="26" t="str">
        <f>"""GP Direct"",""Fabrikam, Inc."",""UPR30300"",""PAYRATE"",""21384.00000"",""PAYROLCD"",""SALY"",""STATECD"",""IL"",""CHEKDATE"",""5/1/2015"",""UPRTRXAM"",""891.00000"""</f>
        <v>"GP Direct","Fabrikam, Inc.","UPR30300","PAYRATE","21384.00000","PAYROLCD","SALY","STATECD","IL","CHEKDATE","5/1/2015","UPRTRXAM","891.00000"</v>
      </c>
      <c r="P122" s="29">
        <v>21384</v>
      </c>
      <c r="Q122" s="26" t="str">
        <f>"SALY"</f>
        <v>SALY</v>
      </c>
      <c r="R122" s="26" t="str">
        <f>"IL"</f>
        <v>IL</v>
      </c>
      <c r="S122" s="28">
        <v>42125</v>
      </c>
      <c r="T122" s="29">
        <v>891</v>
      </c>
    </row>
    <row r="123" spans="1:20" s="7" customFormat="1" hidden="1" outlineLevel="3" x14ac:dyDescent="0.2">
      <c r="A123" s="7" t="s">
        <v>92</v>
      </c>
      <c r="C123" s="7" t="str">
        <f>+C117</f>
        <v>Jenny</v>
      </c>
      <c r="D123" s="7" t="str">
        <f>+D117</f>
        <v>Doyle</v>
      </c>
      <c r="E123" s="8" t="str">
        <f>E117</f>
        <v>ACCT</v>
      </c>
      <c r="G123" s="8" t="str">
        <f>G117</f>
        <v>DOYL0001</v>
      </c>
      <c r="K123" s="12">
        <f>+K117</f>
        <v>42125</v>
      </c>
      <c r="L123" s="8" t="str">
        <f>L117</f>
        <v>10460</v>
      </c>
      <c r="O123" s="8"/>
      <c r="T123" s="20"/>
    </row>
    <row r="124" spans="1:20" s="7" customFormat="1" hidden="1" outlineLevel="2" collapsed="1" x14ac:dyDescent="0.2">
      <c r="A124" s="7" t="s">
        <v>92</v>
      </c>
      <c r="C124" s="7" t="str">
        <f t="shared" si="10"/>
        <v>Jenny</v>
      </c>
      <c r="D124" s="7" t="str">
        <f>+D123</f>
        <v>Doyle</v>
      </c>
      <c r="E124" s="8" t="str">
        <f>E123</f>
        <v>ACCT</v>
      </c>
      <c r="G124" s="8" t="str">
        <f>G123</f>
        <v>DOYL0001</v>
      </c>
      <c r="K124" s="12">
        <f>+K123</f>
        <v>42125</v>
      </c>
      <c r="L124" s="8" t="str">
        <f>L123</f>
        <v>10460</v>
      </c>
      <c r="M124" s="33" t="str">
        <f>"Total for " &amp; $L124</f>
        <v>Total for 10460</v>
      </c>
      <c r="N124" s="34">
        <f>+K124</f>
        <v>42125</v>
      </c>
      <c r="O124" s="35"/>
      <c r="P124" s="33"/>
      <c r="Q124" s="33"/>
      <c r="R124" s="33"/>
      <c r="S124" s="33"/>
      <c r="T124" s="36">
        <f>SUBTOTAL(9,T117:T123)</f>
        <v>997.96</v>
      </c>
    </row>
    <row r="125" spans="1:20" s="7" customFormat="1" hidden="1" outlineLevel="3" x14ac:dyDescent="0.2">
      <c r="A125" s="7" t="s">
        <v>92</v>
      </c>
      <c r="C125" s="7" t="str">
        <f t="shared" si="10"/>
        <v>Jenny</v>
      </c>
      <c r="D125" s="7" t="str">
        <f>+D124</f>
        <v>Doyle</v>
      </c>
      <c r="E125" s="8" t="str">
        <f>E124</f>
        <v>ACCT</v>
      </c>
      <c r="G125" s="8" t="str">
        <f>G124</f>
        <v>DOYL0001</v>
      </c>
      <c r="H125" s="26"/>
      <c r="I125" s="26"/>
      <c r="J125" s="26"/>
      <c r="K125" s="28">
        <f>+N125</f>
        <v>42156</v>
      </c>
      <c r="L125" s="26" t="str">
        <f>M125</f>
        <v>10485</v>
      </c>
      <c r="M125" s="26" t="str">
        <f>"10485"</f>
        <v>10485</v>
      </c>
      <c r="N125" s="28">
        <v>42156</v>
      </c>
      <c r="O125" s="26"/>
      <c r="P125" s="26"/>
      <c r="Q125" s="26"/>
      <c r="R125" s="26"/>
      <c r="S125" s="26"/>
      <c r="T125" s="27"/>
    </row>
    <row r="126" spans="1:20" s="7" customFormat="1" hidden="1" outlineLevel="3" x14ac:dyDescent="0.2">
      <c r="A126" s="7" t="s">
        <v>92</v>
      </c>
      <c r="C126" s="7" t="str">
        <f t="shared" si="10"/>
        <v>Jenny</v>
      </c>
      <c r="D126" s="7" t="str">
        <f>+D125</f>
        <v>Doyle</v>
      </c>
      <c r="E126" s="8" t="str">
        <f>E125</f>
        <v>ACCT</v>
      </c>
      <c r="G126" s="8" t="str">
        <f>G125</f>
        <v>DOYL0001</v>
      </c>
      <c r="H126" s="26"/>
      <c r="I126" s="26"/>
      <c r="J126" s="26"/>
      <c r="K126" s="28">
        <f>+K125</f>
        <v>42156</v>
      </c>
      <c r="L126" s="26" t="str">
        <f>L125</f>
        <v>10485</v>
      </c>
      <c r="M126" s="26"/>
      <c r="N126" s="26"/>
      <c r="O126" s="26" t="str">
        <f>"""GP Direct"",""Fabrikam, Inc."",""UPR30300"",""PAYRATE"",""0.00000"",""PAYROLCD"",""401K"",""STATECD"","""",""CHEKDATE"",""6/1/2015"",""UPRTRXAM"",""1.34000"""</f>
        <v>"GP Direct","Fabrikam, Inc.","UPR30300","PAYRATE","0.00000","PAYROLCD","401K","STATECD","","CHEKDATE","6/1/2015","UPRTRXAM","1.34000"</v>
      </c>
      <c r="P126" s="29">
        <v>0</v>
      </c>
      <c r="Q126" s="26" t="str">
        <f>"401K"</f>
        <v>401K</v>
      </c>
      <c r="R126" s="26"/>
      <c r="S126" s="28">
        <v>42156</v>
      </c>
      <c r="T126" s="29">
        <v>1.34</v>
      </c>
    </row>
    <row r="127" spans="1:20" s="7" customFormat="1" hidden="1" outlineLevel="3" x14ac:dyDescent="0.2">
      <c r="A127" s="7" t="s">
        <v>92</v>
      </c>
      <c r="C127" s="7" t="str">
        <f t="shared" ref="C127:C131" si="15">+C126</f>
        <v>Jenny</v>
      </c>
      <c r="D127" s="7" t="str">
        <f>+D126</f>
        <v>Doyle</v>
      </c>
      <c r="E127" s="8" t="str">
        <f>E126</f>
        <v>ACCT</v>
      </c>
      <c r="G127" s="8" t="str">
        <f>G126</f>
        <v>DOYL0001</v>
      </c>
      <c r="H127" s="26"/>
      <c r="I127" s="26"/>
      <c r="J127" s="26"/>
      <c r="K127" s="28">
        <f>+K126</f>
        <v>42156</v>
      </c>
      <c r="L127" s="26" t="str">
        <f>L126</f>
        <v>10485</v>
      </c>
      <c r="M127" s="26"/>
      <c r="N127" s="26"/>
      <c r="O127" s="26" t="str">
        <f>"""GP Direct"",""Fabrikam, Inc."",""UPR30300"",""PAYRATE"",""0.00000"",""PAYROLCD"",""401K"",""STATECD"","""",""CHEKDATE"",""6/1/2015"",""UPRTRXAM"",""26.73000"""</f>
        <v>"GP Direct","Fabrikam, Inc.","UPR30300","PAYRATE","0.00000","PAYROLCD","401K","STATECD","","CHEKDATE","6/1/2015","UPRTRXAM","26.73000"</v>
      </c>
      <c r="P127" s="29">
        <v>0</v>
      </c>
      <c r="Q127" s="26" t="str">
        <f>"401K"</f>
        <v>401K</v>
      </c>
      <c r="R127" s="26"/>
      <c r="S127" s="28">
        <v>42156</v>
      </c>
      <c r="T127" s="29">
        <v>26.73</v>
      </c>
    </row>
    <row r="128" spans="1:20" s="7" customFormat="1" hidden="1" outlineLevel="3" x14ac:dyDescent="0.2">
      <c r="A128" s="7" t="s">
        <v>92</v>
      </c>
      <c r="C128" s="7" t="str">
        <f t="shared" si="15"/>
        <v>Jenny</v>
      </c>
      <c r="D128" s="7" t="str">
        <f>+D127</f>
        <v>Doyle</v>
      </c>
      <c r="E128" s="8" t="str">
        <f>E127</f>
        <v>ACCT</v>
      </c>
      <c r="G128" s="8" t="str">
        <f>G127</f>
        <v>DOYL0001</v>
      </c>
      <c r="H128" s="26"/>
      <c r="I128" s="26"/>
      <c r="J128" s="26"/>
      <c r="K128" s="28">
        <f>+K127</f>
        <v>42156</v>
      </c>
      <c r="L128" s="26" t="str">
        <f>L127</f>
        <v>10485</v>
      </c>
      <c r="M128" s="26"/>
      <c r="N128" s="26"/>
      <c r="O128" s="26" t="str">
        <f>"""GP Direct"",""Fabrikam, Inc."",""UPR30300"",""PAYRATE"",""0.00000"",""PAYROLCD"",""IL"",""STATECD"","""",""CHEKDATE"",""6/1/2015"",""UPRTRXAM"",""24.53000"""</f>
        <v>"GP Direct","Fabrikam, Inc.","UPR30300","PAYRATE","0.00000","PAYROLCD","IL","STATECD","","CHEKDATE","6/1/2015","UPRTRXAM","24.53000"</v>
      </c>
      <c r="P128" s="29">
        <v>0</v>
      </c>
      <c r="Q128" s="26" t="str">
        <f>"IL"</f>
        <v>IL</v>
      </c>
      <c r="R128" s="26"/>
      <c r="S128" s="28">
        <v>42156</v>
      </c>
      <c r="T128" s="29">
        <v>24.53</v>
      </c>
    </row>
    <row r="129" spans="1:20" s="7" customFormat="1" hidden="1" outlineLevel="3" x14ac:dyDescent="0.2">
      <c r="A129" s="7" t="s">
        <v>92</v>
      </c>
      <c r="C129" s="7" t="str">
        <f t="shared" si="15"/>
        <v>Jenny</v>
      </c>
      <c r="D129" s="7" t="str">
        <f>+D128</f>
        <v>Doyle</v>
      </c>
      <c r="E129" s="8" t="str">
        <f>E128</f>
        <v>ACCT</v>
      </c>
      <c r="G129" s="8" t="str">
        <f>G128</f>
        <v>DOYL0001</v>
      </c>
      <c r="H129" s="26"/>
      <c r="I129" s="26"/>
      <c r="J129" s="26"/>
      <c r="K129" s="28">
        <f>+K128</f>
        <v>42156</v>
      </c>
      <c r="L129" s="26" t="str">
        <f>L128</f>
        <v>10485</v>
      </c>
      <c r="M129" s="26"/>
      <c r="N129" s="26"/>
      <c r="O129" s="26" t="str">
        <f>"""GP Direct"",""Fabrikam, Inc."",""UPR30300"",""PAYRATE"",""0.00000"",""PAYROLCD"",""INS"",""STATECD"","""",""CHEKDATE"",""6/1/2015"",""UPRTRXAM"",""49.36000"""</f>
        <v>"GP Direct","Fabrikam, Inc.","UPR30300","PAYRATE","0.00000","PAYROLCD","INS","STATECD","","CHEKDATE","6/1/2015","UPRTRXAM","49.36000"</v>
      </c>
      <c r="P129" s="29">
        <v>0</v>
      </c>
      <c r="Q129" s="26" t="str">
        <f>"INS"</f>
        <v>INS</v>
      </c>
      <c r="R129" s="26"/>
      <c r="S129" s="28">
        <v>42156</v>
      </c>
      <c r="T129" s="29">
        <v>49.36</v>
      </c>
    </row>
    <row r="130" spans="1:20" s="7" customFormat="1" hidden="1" outlineLevel="3" x14ac:dyDescent="0.2">
      <c r="A130" s="7" t="s">
        <v>92</v>
      </c>
      <c r="C130" s="7" t="str">
        <f t="shared" si="15"/>
        <v>Jenny</v>
      </c>
      <c r="D130" s="7" t="str">
        <f>+D129</f>
        <v>Doyle</v>
      </c>
      <c r="E130" s="8" t="str">
        <f>E129</f>
        <v>ACCT</v>
      </c>
      <c r="G130" s="8" t="str">
        <f>G129</f>
        <v>DOYL0001</v>
      </c>
      <c r="H130" s="26"/>
      <c r="I130" s="26"/>
      <c r="J130" s="26"/>
      <c r="K130" s="28">
        <f>+K129</f>
        <v>42156</v>
      </c>
      <c r="L130" s="26" t="str">
        <f>L129</f>
        <v>10485</v>
      </c>
      <c r="M130" s="26"/>
      <c r="N130" s="26"/>
      <c r="O130" s="26" t="str">
        <f>"""GP Direct"",""Fabrikam, Inc."",""UPR30300"",""PAYRATE"",""0.00000"",""PAYROLCD"",""MED"",""STATECD"","""",""CHEKDATE"",""6/1/2015"",""UPRTRXAM"",""5.00000"""</f>
        <v>"GP Direct","Fabrikam, Inc.","UPR30300","PAYRATE","0.00000","PAYROLCD","MED","STATECD","","CHEKDATE","6/1/2015","UPRTRXAM","5.00000"</v>
      </c>
      <c r="P130" s="29">
        <v>0</v>
      </c>
      <c r="Q130" s="26" t="str">
        <f>"MED"</f>
        <v>MED</v>
      </c>
      <c r="R130" s="26"/>
      <c r="S130" s="28">
        <v>42156</v>
      </c>
      <c r="T130" s="29">
        <v>5</v>
      </c>
    </row>
    <row r="131" spans="1:20" s="7" customFormat="1" hidden="1" outlineLevel="3" x14ac:dyDescent="0.2">
      <c r="A131" s="7" t="s">
        <v>92</v>
      </c>
      <c r="C131" s="7" t="str">
        <f t="shared" si="15"/>
        <v>Jenny</v>
      </c>
      <c r="D131" s="7" t="str">
        <f>+D130</f>
        <v>Doyle</v>
      </c>
      <c r="E131" s="8" t="str">
        <f>E130</f>
        <v>ACCT</v>
      </c>
      <c r="G131" s="8" t="str">
        <f>G130</f>
        <v>DOYL0001</v>
      </c>
      <c r="H131" s="26"/>
      <c r="I131" s="26"/>
      <c r="J131" s="26"/>
      <c r="K131" s="28">
        <f>+K130</f>
        <v>42156</v>
      </c>
      <c r="L131" s="26" t="str">
        <f>L130</f>
        <v>10485</v>
      </c>
      <c r="M131" s="26"/>
      <c r="N131" s="26"/>
      <c r="O131" s="26" t="str">
        <f>"""GP Direct"",""Fabrikam, Inc."",""UPR30300"",""PAYRATE"",""21384.00000"",""PAYROLCD"",""SALY"",""STATECD"",""IL"",""CHEKDATE"",""6/1/2015"",""UPRTRXAM"",""891.00000"""</f>
        <v>"GP Direct","Fabrikam, Inc.","UPR30300","PAYRATE","21384.00000","PAYROLCD","SALY","STATECD","IL","CHEKDATE","6/1/2015","UPRTRXAM","891.00000"</v>
      </c>
      <c r="P131" s="29">
        <v>21384</v>
      </c>
      <c r="Q131" s="26" t="str">
        <f>"SALY"</f>
        <v>SALY</v>
      </c>
      <c r="R131" s="26" t="str">
        <f>"IL"</f>
        <v>IL</v>
      </c>
      <c r="S131" s="28">
        <v>42156</v>
      </c>
      <c r="T131" s="29">
        <v>891</v>
      </c>
    </row>
    <row r="132" spans="1:20" s="7" customFormat="1" hidden="1" outlineLevel="3" x14ac:dyDescent="0.2">
      <c r="A132" s="7" t="s">
        <v>92</v>
      </c>
      <c r="C132" s="7" t="str">
        <f>+C126</f>
        <v>Jenny</v>
      </c>
      <c r="D132" s="7" t="str">
        <f>+D126</f>
        <v>Doyle</v>
      </c>
      <c r="E132" s="8" t="str">
        <f>E126</f>
        <v>ACCT</v>
      </c>
      <c r="G132" s="8" t="str">
        <f>G126</f>
        <v>DOYL0001</v>
      </c>
      <c r="K132" s="12">
        <f>+K126</f>
        <v>42156</v>
      </c>
      <c r="L132" s="8" t="str">
        <f>L126</f>
        <v>10485</v>
      </c>
      <c r="O132" s="8"/>
      <c r="T132" s="20"/>
    </row>
    <row r="133" spans="1:20" s="7" customFormat="1" hidden="1" outlineLevel="2" collapsed="1" x14ac:dyDescent="0.2">
      <c r="A133" s="7" t="s">
        <v>92</v>
      </c>
      <c r="C133" s="7" t="str">
        <f t="shared" si="10"/>
        <v>Jenny</v>
      </c>
      <c r="D133" s="7" t="str">
        <f>+D132</f>
        <v>Doyle</v>
      </c>
      <c r="E133" s="8" t="str">
        <f>E132</f>
        <v>ACCT</v>
      </c>
      <c r="G133" s="8" t="str">
        <f>G132</f>
        <v>DOYL0001</v>
      </c>
      <c r="K133" s="12">
        <f>+K132</f>
        <v>42156</v>
      </c>
      <c r="L133" s="8" t="str">
        <f>L132</f>
        <v>10485</v>
      </c>
      <c r="M133" s="33" t="str">
        <f>"Total for " &amp; $L133</f>
        <v>Total for 10485</v>
      </c>
      <c r="N133" s="34">
        <f>+K133</f>
        <v>42156</v>
      </c>
      <c r="O133" s="35"/>
      <c r="P133" s="33"/>
      <c r="Q133" s="33"/>
      <c r="R133" s="33"/>
      <c r="S133" s="33"/>
      <c r="T133" s="36">
        <f>SUBTOTAL(9,T126:T132)</f>
        <v>997.96</v>
      </c>
    </row>
    <row r="134" spans="1:20" s="7" customFormat="1" hidden="1" outlineLevel="2" x14ac:dyDescent="0.2">
      <c r="A134" s="7" t="s">
        <v>92</v>
      </c>
      <c r="C134" s="7" t="str">
        <f>+C87</f>
        <v>Jenny</v>
      </c>
      <c r="D134" s="7" t="str">
        <f>+D87</f>
        <v>Doyle</v>
      </c>
      <c r="E134" s="8" t="str">
        <f>E87</f>
        <v>ACCT</v>
      </c>
      <c r="G134" s="8" t="str">
        <f>G87</f>
        <v>DOYL0001</v>
      </c>
      <c r="L134" s="8"/>
      <c r="O134" s="8"/>
      <c r="T134" s="20"/>
    </row>
    <row r="135" spans="1:20" s="7" customFormat="1" outlineLevel="1" collapsed="1" x14ac:dyDescent="0.2">
      <c r="A135" s="7" t="s">
        <v>92</v>
      </c>
      <c r="C135" s="7" t="str">
        <f t="shared" si="8"/>
        <v>Jenny</v>
      </c>
      <c r="D135" s="7" t="str">
        <f>+D134</f>
        <v>Doyle</v>
      </c>
      <c r="E135" s="8" t="str">
        <f>E134</f>
        <v>ACCT</v>
      </c>
      <c r="G135" s="8" t="str">
        <f>G134</f>
        <v>DOYL0001</v>
      </c>
      <c r="H135" s="30" t="str">
        <f>"Total for " &amp; $G135</f>
        <v>Total for DOYL0001</v>
      </c>
      <c r="I135" s="30" t="str">
        <f>+C135</f>
        <v>Jenny</v>
      </c>
      <c r="J135" s="30" t="str">
        <f>+D135</f>
        <v>Doyle</v>
      </c>
      <c r="K135" s="30"/>
      <c r="L135" s="31"/>
      <c r="M135" s="30"/>
      <c r="N135" s="30"/>
      <c r="O135" s="31"/>
      <c r="P135" s="30"/>
      <c r="Q135" s="30"/>
      <c r="R135" s="30"/>
      <c r="S135" s="30"/>
      <c r="T135" s="32">
        <f>SUBTOTAL(9,T80:T134)</f>
        <v>5900.51</v>
      </c>
    </row>
    <row r="136" spans="1:20" s="7" customFormat="1" hidden="1" outlineLevel="2" x14ac:dyDescent="0.2">
      <c r="A136" s="7" t="s">
        <v>92</v>
      </c>
      <c r="C136" s="7" t="str">
        <f t="shared" ref="C136" si="16">+I136</f>
        <v>Steven</v>
      </c>
      <c r="D136" s="7" t="str">
        <f>+J136</f>
        <v>Levy</v>
      </c>
      <c r="E136" s="8" t="str">
        <f>E135</f>
        <v>ACCT</v>
      </c>
      <c r="G136" s="8" t="str">
        <f>H136</f>
        <v>LEVY0001</v>
      </c>
      <c r="H136" s="24" t="str">
        <f>"LEVY0001"</f>
        <v>LEVY0001</v>
      </c>
      <c r="I136" s="25" t="str">
        <f>"Steven"</f>
        <v>Steven</v>
      </c>
      <c r="J136" s="25" t="str">
        <f>"Levy"</f>
        <v>Levy</v>
      </c>
      <c r="K136" s="26"/>
      <c r="L136" s="26"/>
      <c r="M136" s="26"/>
      <c r="N136" s="26"/>
      <c r="O136" s="26"/>
      <c r="P136" s="26"/>
      <c r="Q136" s="26"/>
      <c r="R136" s="26"/>
      <c r="S136" s="26"/>
      <c r="T136" s="27"/>
    </row>
    <row r="137" spans="1:20" s="7" customFormat="1" hidden="1" outlineLevel="3" x14ac:dyDescent="0.2">
      <c r="A137" s="7" t="s">
        <v>92</v>
      </c>
      <c r="C137" s="7" t="str">
        <f t="shared" ref="C137:C198" si="17">+C136</f>
        <v>Steven</v>
      </c>
      <c r="D137" s="7" t="str">
        <f>+D136</f>
        <v>Levy</v>
      </c>
      <c r="E137" s="8" t="str">
        <f>E136</f>
        <v>ACCT</v>
      </c>
      <c r="G137" s="8" t="str">
        <f>G136</f>
        <v>LEVY0001</v>
      </c>
      <c r="H137" s="26"/>
      <c r="I137" s="26"/>
      <c r="J137" s="26"/>
      <c r="K137" s="28">
        <f>+N137</f>
        <v>42005</v>
      </c>
      <c r="L137" s="26" t="str">
        <f>M137</f>
        <v>10367</v>
      </c>
      <c r="M137" s="26" t="str">
        <f>"10367"</f>
        <v>10367</v>
      </c>
      <c r="N137" s="28">
        <v>42005</v>
      </c>
      <c r="O137" s="26"/>
      <c r="P137" s="26"/>
      <c r="Q137" s="26"/>
      <c r="R137" s="26"/>
      <c r="S137" s="26"/>
      <c r="T137" s="27"/>
    </row>
    <row r="138" spans="1:20" s="7" customFormat="1" hidden="1" outlineLevel="3" x14ac:dyDescent="0.2">
      <c r="A138" s="7" t="s">
        <v>92</v>
      </c>
      <c r="C138" s="7" t="str">
        <f t="shared" si="17"/>
        <v>Steven</v>
      </c>
      <c r="D138" s="7" t="str">
        <f>+D137</f>
        <v>Levy</v>
      </c>
      <c r="E138" s="8" t="str">
        <f>E137</f>
        <v>ACCT</v>
      </c>
      <c r="G138" s="8" t="str">
        <f>G137</f>
        <v>LEVY0001</v>
      </c>
      <c r="H138" s="26"/>
      <c r="I138" s="26"/>
      <c r="J138" s="26"/>
      <c r="K138" s="28">
        <f>+K137</f>
        <v>42005</v>
      </c>
      <c r="L138" s="26" t="str">
        <f>L137</f>
        <v>10367</v>
      </c>
      <c r="M138" s="26"/>
      <c r="N138" s="26"/>
      <c r="O138" s="26" t="str">
        <f>"""GP Direct"",""Fabrikam, Inc."",""UPR30300"",""PAYRATE"",""0.00000"",""PAYROLCD"",""401K"",""STATECD"","""",""CHEKDATE"",""1/1/2015"",""UPRTRXAM"",""2.53000"""</f>
        <v>"GP Direct","Fabrikam, Inc.","UPR30300","PAYRATE","0.00000","PAYROLCD","401K","STATECD","","CHEKDATE","1/1/2015","UPRTRXAM","2.53000"</v>
      </c>
      <c r="P138" s="29">
        <v>0</v>
      </c>
      <c r="Q138" s="26" t="str">
        <f>"401K"</f>
        <v>401K</v>
      </c>
      <c r="R138" s="26"/>
      <c r="S138" s="28">
        <v>42005</v>
      </c>
      <c r="T138" s="29">
        <v>2.5299999999999998</v>
      </c>
    </row>
    <row r="139" spans="1:20" s="7" customFormat="1" hidden="1" outlineLevel="3" x14ac:dyDescent="0.2">
      <c r="A139" s="7" t="s">
        <v>92</v>
      </c>
      <c r="C139" s="7" t="str">
        <f t="shared" ref="C139:C144" si="18">+C138</f>
        <v>Steven</v>
      </c>
      <c r="D139" s="7" t="str">
        <f>+D138</f>
        <v>Levy</v>
      </c>
      <c r="E139" s="8" t="str">
        <f>E138</f>
        <v>ACCT</v>
      </c>
      <c r="G139" s="8" t="str">
        <f>G138</f>
        <v>LEVY0001</v>
      </c>
      <c r="H139" s="26"/>
      <c r="I139" s="26"/>
      <c r="J139" s="26"/>
      <c r="K139" s="28">
        <f>+K138</f>
        <v>42005</v>
      </c>
      <c r="L139" s="26" t="str">
        <f>L138</f>
        <v>10367</v>
      </c>
      <c r="M139" s="26"/>
      <c r="N139" s="26"/>
      <c r="O139" s="26" t="str">
        <f>"""GP Direct"",""Fabrikam, Inc."",""UPR30300"",""PAYRATE"",""0.00000"",""PAYROLCD"",""401K"",""STATECD"","""",""CHEKDATE"",""1/1/2015"",""UPRTRXAM"",""50.52000"""</f>
        <v>"GP Direct","Fabrikam, Inc.","UPR30300","PAYRATE","0.00000","PAYROLCD","401K","STATECD","","CHEKDATE","1/1/2015","UPRTRXAM","50.52000"</v>
      </c>
      <c r="P139" s="29">
        <v>0</v>
      </c>
      <c r="Q139" s="26" t="str">
        <f>"401K"</f>
        <v>401K</v>
      </c>
      <c r="R139" s="26"/>
      <c r="S139" s="28">
        <v>42005</v>
      </c>
      <c r="T139" s="29">
        <v>50.52</v>
      </c>
    </row>
    <row r="140" spans="1:20" s="7" customFormat="1" hidden="1" outlineLevel="3" x14ac:dyDescent="0.2">
      <c r="A140" s="7" t="s">
        <v>92</v>
      </c>
      <c r="C140" s="7" t="str">
        <f t="shared" si="18"/>
        <v>Steven</v>
      </c>
      <c r="D140" s="7" t="str">
        <f>+D139</f>
        <v>Levy</v>
      </c>
      <c r="E140" s="8" t="str">
        <f>E139</f>
        <v>ACCT</v>
      </c>
      <c r="G140" s="8" t="str">
        <f>G139</f>
        <v>LEVY0001</v>
      </c>
      <c r="H140" s="26"/>
      <c r="I140" s="26"/>
      <c r="J140" s="26"/>
      <c r="K140" s="28">
        <f>+K139</f>
        <v>42005</v>
      </c>
      <c r="L140" s="26" t="str">
        <f>L139</f>
        <v>10367</v>
      </c>
      <c r="M140" s="26"/>
      <c r="N140" s="26"/>
      <c r="O140" s="26" t="str">
        <f>"""GP Direct"",""Fabrikam, Inc."",""UPR30300"",""PAYRATE"",""0.00000"",""PAYROLCD"",""IL"",""STATECD"","""",""CHEKDATE"",""1/1/2015"",""UPRTRXAM"",""21.09000"""</f>
        <v>"GP Direct","Fabrikam, Inc.","UPR30300","PAYRATE","0.00000","PAYROLCD","IL","STATECD","","CHEKDATE","1/1/2015","UPRTRXAM","21.09000"</v>
      </c>
      <c r="P140" s="29">
        <v>0</v>
      </c>
      <c r="Q140" s="26" t="str">
        <f>"IL"</f>
        <v>IL</v>
      </c>
      <c r="R140" s="26"/>
      <c r="S140" s="28">
        <v>42005</v>
      </c>
      <c r="T140" s="29">
        <v>21.09</v>
      </c>
    </row>
    <row r="141" spans="1:20" s="7" customFormat="1" hidden="1" outlineLevel="3" x14ac:dyDescent="0.2">
      <c r="A141" s="7" t="s">
        <v>92</v>
      </c>
      <c r="C141" s="7" t="str">
        <f t="shared" si="18"/>
        <v>Steven</v>
      </c>
      <c r="D141" s="7" t="str">
        <f>+D140</f>
        <v>Levy</v>
      </c>
      <c r="E141" s="8" t="str">
        <f>E140</f>
        <v>ACCT</v>
      </c>
      <c r="G141" s="8" t="str">
        <f>G140</f>
        <v>LEVY0001</v>
      </c>
      <c r="H141" s="26"/>
      <c r="I141" s="26"/>
      <c r="J141" s="26"/>
      <c r="K141" s="28">
        <f>+K140</f>
        <v>42005</v>
      </c>
      <c r="L141" s="26" t="str">
        <f>L140</f>
        <v>10367</v>
      </c>
      <c r="M141" s="26"/>
      <c r="N141" s="26"/>
      <c r="O141" s="26" t="str">
        <f>"""GP Direct"",""Fabrikam, Inc."",""UPR30300"",""PAYRATE"",""0.00000"",""PAYROLCD"",""INS"",""STATECD"","""",""CHEKDATE"",""1/1/2015"",""UPRTRXAM"",""49.36000"""</f>
        <v>"GP Direct","Fabrikam, Inc.","UPR30300","PAYRATE","0.00000","PAYROLCD","INS","STATECD","","CHEKDATE","1/1/2015","UPRTRXAM","49.36000"</v>
      </c>
      <c r="P141" s="29">
        <v>0</v>
      </c>
      <c r="Q141" s="26" t="str">
        <f>"INS"</f>
        <v>INS</v>
      </c>
      <c r="R141" s="26"/>
      <c r="S141" s="28">
        <v>42005</v>
      </c>
      <c r="T141" s="29">
        <v>49.36</v>
      </c>
    </row>
    <row r="142" spans="1:20" s="7" customFormat="1" hidden="1" outlineLevel="3" x14ac:dyDescent="0.2">
      <c r="A142" s="7" t="s">
        <v>92</v>
      </c>
      <c r="C142" s="7" t="str">
        <f t="shared" si="18"/>
        <v>Steven</v>
      </c>
      <c r="D142" s="7" t="str">
        <f>+D141</f>
        <v>Levy</v>
      </c>
      <c r="E142" s="8" t="str">
        <f>E141</f>
        <v>ACCT</v>
      </c>
      <c r="G142" s="8" t="str">
        <f>G141</f>
        <v>LEVY0001</v>
      </c>
      <c r="H142" s="26"/>
      <c r="I142" s="26"/>
      <c r="J142" s="26"/>
      <c r="K142" s="28">
        <f>+K141</f>
        <v>42005</v>
      </c>
      <c r="L142" s="26" t="str">
        <f>L141</f>
        <v>10367</v>
      </c>
      <c r="M142" s="26"/>
      <c r="N142" s="26"/>
      <c r="O142" s="26" t="str">
        <f>"""GP Direct"",""Fabrikam, Inc."",""UPR30300"",""PAYRATE"",""0.00000"",""PAYROLCD"",""INS2"",""STATECD"","""",""CHEKDATE"",""1/1/2015"",""UPRTRXAM"",""72.95000"""</f>
        <v>"GP Direct","Fabrikam, Inc.","UPR30300","PAYRATE","0.00000","PAYROLCD","INS2","STATECD","","CHEKDATE","1/1/2015","UPRTRXAM","72.95000"</v>
      </c>
      <c r="P142" s="29">
        <v>0</v>
      </c>
      <c r="Q142" s="26" t="str">
        <f>"INS2"</f>
        <v>INS2</v>
      </c>
      <c r="R142" s="26"/>
      <c r="S142" s="28">
        <v>42005</v>
      </c>
      <c r="T142" s="29">
        <v>72.95</v>
      </c>
    </row>
    <row r="143" spans="1:20" s="7" customFormat="1" hidden="1" outlineLevel="3" x14ac:dyDescent="0.2">
      <c r="A143" s="7" t="s">
        <v>92</v>
      </c>
      <c r="C143" s="7" t="str">
        <f t="shared" si="18"/>
        <v>Steven</v>
      </c>
      <c r="D143" s="7" t="str">
        <f>+D142</f>
        <v>Levy</v>
      </c>
      <c r="E143" s="8" t="str">
        <f>E142</f>
        <v>ACCT</v>
      </c>
      <c r="G143" s="8" t="str">
        <f>G142</f>
        <v>LEVY0001</v>
      </c>
      <c r="H143" s="26"/>
      <c r="I143" s="26"/>
      <c r="J143" s="26"/>
      <c r="K143" s="28">
        <f>+K142</f>
        <v>42005</v>
      </c>
      <c r="L143" s="26" t="str">
        <f>L142</f>
        <v>10367</v>
      </c>
      <c r="M143" s="26"/>
      <c r="N143" s="26"/>
      <c r="O143" s="26" t="str">
        <f>"""GP Direct"",""Fabrikam, Inc."",""UPR30300"",""PAYRATE"",""0.00000"",""PAYROLCD"",""MED"",""STATECD"","""",""CHEKDATE"",""1/1/2015"",""UPRTRXAM"",""20.00000"""</f>
        <v>"GP Direct","Fabrikam, Inc.","UPR30300","PAYRATE","0.00000","PAYROLCD","MED","STATECD","","CHEKDATE","1/1/2015","UPRTRXAM","20.00000"</v>
      </c>
      <c r="P143" s="29">
        <v>0</v>
      </c>
      <c r="Q143" s="26" t="str">
        <f>"MED"</f>
        <v>MED</v>
      </c>
      <c r="R143" s="26"/>
      <c r="S143" s="28">
        <v>42005</v>
      </c>
      <c r="T143" s="29">
        <v>20</v>
      </c>
    </row>
    <row r="144" spans="1:20" s="7" customFormat="1" hidden="1" outlineLevel="3" x14ac:dyDescent="0.2">
      <c r="A144" s="7" t="s">
        <v>92</v>
      </c>
      <c r="C144" s="7" t="str">
        <f t="shared" si="18"/>
        <v>Steven</v>
      </c>
      <c r="D144" s="7" t="str">
        <f>+D143</f>
        <v>Levy</v>
      </c>
      <c r="E144" s="8" t="str">
        <f>E143</f>
        <v>ACCT</v>
      </c>
      <c r="G144" s="8" t="str">
        <f>G143</f>
        <v>LEVY0001</v>
      </c>
      <c r="H144" s="26"/>
      <c r="I144" s="26"/>
      <c r="J144" s="26"/>
      <c r="K144" s="28">
        <f>+K143</f>
        <v>42005</v>
      </c>
      <c r="L144" s="26" t="str">
        <f>L143</f>
        <v>10367</v>
      </c>
      <c r="M144" s="26"/>
      <c r="N144" s="26"/>
      <c r="O144" s="26" t="str">
        <f>"""GP Direct"",""Fabrikam, Inc."",""UPR30300"",""PAYRATE"",""30314.00000"",""PAYROLCD"",""SALY"",""STATECD"",""IL"",""CHEKDATE"",""1/1/2015"",""UPRTRXAM"",""1263.08000"""</f>
        <v>"GP Direct","Fabrikam, Inc.","UPR30300","PAYRATE","30314.00000","PAYROLCD","SALY","STATECD","IL","CHEKDATE","1/1/2015","UPRTRXAM","1263.08000"</v>
      </c>
      <c r="P144" s="29">
        <v>30314</v>
      </c>
      <c r="Q144" s="26" t="str">
        <f>"SALY"</f>
        <v>SALY</v>
      </c>
      <c r="R144" s="26" t="str">
        <f>"IL"</f>
        <v>IL</v>
      </c>
      <c r="S144" s="28">
        <v>42005</v>
      </c>
      <c r="T144" s="29">
        <v>1263.08</v>
      </c>
    </row>
    <row r="145" spans="1:20" s="7" customFormat="1" hidden="1" outlineLevel="3" x14ac:dyDescent="0.2">
      <c r="A145" s="7" t="s">
        <v>92</v>
      </c>
      <c r="C145" s="7" t="str">
        <f>+C138</f>
        <v>Steven</v>
      </c>
      <c r="D145" s="7" t="str">
        <f>+D138</f>
        <v>Levy</v>
      </c>
      <c r="E145" s="8" t="str">
        <f>E138</f>
        <v>ACCT</v>
      </c>
      <c r="G145" s="8" t="str">
        <f>G138</f>
        <v>LEVY0001</v>
      </c>
      <c r="K145" s="12">
        <f>+K138</f>
        <v>42005</v>
      </c>
      <c r="L145" s="8" t="str">
        <f>L138</f>
        <v>10367</v>
      </c>
      <c r="O145" s="8"/>
      <c r="T145" s="20"/>
    </row>
    <row r="146" spans="1:20" s="7" customFormat="1" hidden="1" outlineLevel="2" collapsed="1" x14ac:dyDescent="0.2">
      <c r="A146" s="7" t="s">
        <v>92</v>
      </c>
      <c r="C146" s="7" t="str">
        <f t="shared" si="17"/>
        <v>Steven</v>
      </c>
      <c r="D146" s="7" t="str">
        <f>+D145</f>
        <v>Levy</v>
      </c>
      <c r="E146" s="8" t="str">
        <f>E145</f>
        <v>ACCT</v>
      </c>
      <c r="G146" s="8" t="str">
        <f>G145</f>
        <v>LEVY0001</v>
      </c>
      <c r="K146" s="12">
        <f>+K145</f>
        <v>42005</v>
      </c>
      <c r="L146" s="8" t="str">
        <f>L145</f>
        <v>10367</v>
      </c>
      <c r="M146" s="33" t="str">
        <f>"Total for " &amp; $L146</f>
        <v>Total for 10367</v>
      </c>
      <c r="N146" s="34">
        <f>+K146</f>
        <v>42005</v>
      </c>
      <c r="O146" s="35"/>
      <c r="P146" s="33"/>
      <c r="Q146" s="33"/>
      <c r="R146" s="33"/>
      <c r="S146" s="33"/>
      <c r="T146" s="36">
        <f>SUBTOTAL(9,T138:T145)</f>
        <v>1479.53</v>
      </c>
    </row>
    <row r="147" spans="1:20" s="7" customFormat="1" hidden="1" outlineLevel="3" x14ac:dyDescent="0.2">
      <c r="A147" s="7" t="s">
        <v>92</v>
      </c>
      <c r="C147" s="7" t="str">
        <f t="shared" ref="C147:C196" si="19">+C146</f>
        <v>Steven</v>
      </c>
      <c r="D147" s="7" t="str">
        <f>+D146</f>
        <v>Levy</v>
      </c>
      <c r="E147" s="8" t="str">
        <f>E146</f>
        <v>ACCT</v>
      </c>
      <c r="G147" s="8" t="str">
        <f>G146</f>
        <v>LEVY0001</v>
      </c>
      <c r="H147" s="26"/>
      <c r="I147" s="26"/>
      <c r="J147" s="26"/>
      <c r="K147" s="28">
        <f>+N147</f>
        <v>42036</v>
      </c>
      <c r="L147" s="26" t="str">
        <f>M147</f>
        <v>10392</v>
      </c>
      <c r="M147" s="26" t="str">
        <f>"10392"</f>
        <v>10392</v>
      </c>
      <c r="N147" s="28">
        <v>42036</v>
      </c>
      <c r="O147" s="26"/>
      <c r="P147" s="26"/>
      <c r="Q147" s="26"/>
      <c r="R147" s="26"/>
      <c r="S147" s="26"/>
      <c r="T147" s="27"/>
    </row>
    <row r="148" spans="1:20" s="7" customFormat="1" hidden="1" outlineLevel="3" x14ac:dyDescent="0.2">
      <c r="A148" s="7" t="s">
        <v>92</v>
      </c>
      <c r="C148" s="7" t="str">
        <f t="shared" si="19"/>
        <v>Steven</v>
      </c>
      <c r="D148" s="7" t="str">
        <f>+D147</f>
        <v>Levy</v>
      </c>
      <c r="E148" s="8" t="str">
        <f>E147</f>
        <v>ACCT</v>
      </c>
      <c r="G148" s="8" t="str">
        <f>G147</f>
        <v>LEVY0001</v>
      </c>
      <c r="H148" s="26"/>
      <c r="I148" s="26"/>
      <c r="J148" s="26"/>
      <c r="K148" s="28">
        <f>+K147</f>
        <v>42036</v>
      </c>
      <c r="L148" s="26" t="str">
        <f>L147</f>
        <v>10392</v>
      </c>
      <c r="M148" s="26"/>
      <c r="N148" s="26"/>
      <c r="O148" s="26" t="str">
        <f>"""GP Direct"",""Fabrikam, Inc."",""UPR30300"",""PAYRATE"",""0.00000"",""PAYROLCD"",""401K"",""STATECD"","""",""CHEKDATE"",""2/1/2015"",""UPRTRXAM"",""2.53000"""</f>
        <v>"GP Direct","Fabrikam, Inc.","UPR30300","PAYRATE","0.00000","PAYROLCD","401K","STATECD","","CHEKDATE","2/1/2015","UPRTRXAM","2.53000"</v>
      </c>
      <c r="P148" s="29">
        <v>0</v>
      </c>
      <c r="Q148" s="26" t="str">
        <f>"401K"</f>
        <v>401K</v>
      </c>
      <c r="R148" s="26"/>
      <c r="S148" s="28">
        <v>42036</v>
      </c>
      <c r="T148" s="29">
        <v>2.5299999999999998</v>
      </c>
    </row>
    <row r="149" spans="1:20" s="7" customFormat="1" hidden="1" outlineLevel="3" x14ac:dyDescent="0.2">
      <c r="A149" s="7" t="s">
        <v>92</v>
      </c>
      <c r="C149" s="7" t="str">
        <f t="shared" ref="C149:C154" si="20">+C148</f>
        <v>Steven</v>
      </c>
      <c r="D149" s="7" t="str">
        <f>+D148</f>
        <v>Levy</v>
      </c>
      <c r="E149" s="8" t="str">
        <f>E148</f>
        <v>ACCT</v>
      </c>
      <c r="G149" s="8" t="str">
        <f>G148</f>
        <v>LEVY0001</v>
      </c>
      <c r="H149" s="26"/>
      <c r="I149" s="26"/>
      <c r="J149" s="26"/>
      <c r="K149" s="28">
        <f>+K148</f>
        <v>42036</v>
      </c>
      <c r="L149" s="26" t="str">
        <f>L148</f>
        <v>10392</v>
      </c>
      <c r="M149" s="26"/>
      <c r="N149" s="26"/>
      <c r="O149" s="26" t="str">
        <f>"""GP Direct"",""Fabrikam, Inc."",""UPR30300"",""PAYRATE"",""0.00000"",""PAYROLCD"",""401K"",""STATECD"","""",""CHEKDATE"",""2/1/2015"",""UPRTRXAM"",""50.52000"""</f>
        <v>"GP Direct","Fabrikam, Inc.","UPR30300","PAYRATE","0.00000","PAYROLCD","401K","STATECD","","CHEKDATE","2/1/2015","UPRTRXAM","50.52000"</v>
      </c>
      <c r="P149" s="29">
        <v>0</v>
      </c>
      <c r="Q149" s="26" t="str">
        <f>"401K"</f>
        <v>401K</v>
      </c>
      <c r="R149" s="26"/>
      <c r="S149" s="28">
        <v>42036</v>
      </c>
      <c r="T149" s="29">
        <v>50.52</v>
      </c>
    </row>
    <row r="150" spans="1:20" s="7" customFormat="1" hidden="1" outlineLevel="3" x14ac:dyDescent="0.2">
      <c r="A150" s="7" t="s">
        <v>92</v>
      </c>
      <c r="C150" s="7" t="str">
        <f t="shared" si="20"/>
        <v>Steven</v>
      </c>
      <c r="D150" s="7" t="str">
        <f>+D149</f>
        <v>Levy</v>
      </c>
      <c r="E150" s="8" t="str">
        <f>E149</f>
        <v>ACCT</v>
      </c>
      <c r="G150" s="8" t="str">
        <f>G149</f>
        <v>LEVY0001</v>
      </c>
      <c r="H150" s="26"/>
      <c r="I150" s="26"/>
      <c r="J150" s="26"/>
      <c r="K150" s="28">
        <f>+K149</f>
        <v>42036</v>
      </c>
      <c r="L150" s="26" t="str">
        <f>L149</f>
        <v>10392</v>
      </c>
      <c r="M150" s="26"/>
      <c r="N150" s="26"/>
      <c r="O150" s="26" t="str">
        <f>"""GP Direct"",""Fabrikam, Inc."",""UPR30300"",""PAYRATE"",""0.00000"",""PAYROLCD"",""IL"",""STATECD"","""",""CHEKDATE"",""2/1/2015"",""UPRTRXAM"",""21.09000"""</f>
        <v>"GP Direct","Fabrikam, Inc.","UPR30300","PAYRATE","0.00000","PAYROLCD","IL","STATECD","","CHEKDATE","2/1/2015","UPRTRXAM","21.09000"</v>
      </c>
      <c r="P150" s="29">
        <v>0</v>
      </c>
      <c r="Q150" s="26" t="str">
        <f>"IL"</f>
        <v>IL</v>
      </c>
      <c r="R150" s="26"/>
      <c r="S150" s="28">
        <v>42036</v>
      </c>
      <c r="T150" s="29">
        <v>21.09</v>
      </c>
    </row>
    <row r="151" spans="1:20" s="7" customFormat="1" hidden="1" outlineLevel="3" x14ac:dyDescent="0.2">
      <c r="A151" s="7" t="s">
        <v>92</v>
      </c>
      <c r="C151" s="7" t="str">
        <f t="shared" si="20"/>
        <v>Steven</v>
      </c>
      <c r="D151" s="7" t="str">
        <f>+D150</f>
        <v>Levy</v>
      </c>
      <c r="E151" s="8" t="str">
        <f>E150</f>
        <v>ACCT</v>
      </c>
      <c r="G151" s="8" t="str">
        <f>G150</f>
        <v>LEVY0001</v>
      </c>
      <c r="H151" s="26"/>
      <c r="I151" s="26"/>
      <c r="J151" s="26"/>
      <c r="K151" s="28">
        <f>+K150</f>
        <v>42036</v>
      </c>
      <c r="L151" s="26" t="str">
        <f>L150</f>
        <v>10392</v>
      </c>
      <c r="M151" s="26"/>
      <c r="N151" s="26"/>
      <c r="O151" s="26" t="str">
        <f>"""GP Direct"",""Fabrikam, Inc."",""UPR30300"",""PAYRATE"",""0.00000"",""PAYROLCD"",""INS"",""STATECD"","""",""CHEKDATE"",""2/1/2015"",""UPRTRXAM"",""49.36000"""</f>
        <v>"GP Direct","Fabrikam, Inc.","UPR30300","PAYRATE","0.00000","PAYROLCD","INS","STATECD","","CHEKDATE","2/1/2015","UPRTRXAM","49.36000"</v>
      </c>
      <c r="P151" s="29">
        <v>0</v>
      </c>
      <c r="Q151" s="26" t="str">
        <f>"INS"</f>
        <v>INS</v>
      </c>
      <c r="R151" s="26"/>
      <c r="S151" s="28">
        <v>42036</v>
      </c>
      <c r="T151" s="29">
        <v>49.36</v>
      </c>
    </row>
    <row r="152" spans="1:20" s="7" customFormat="1" hidden="1" outlineLevel="3" x14ac:dyDescent="0.2">
      <c r="A152" s="7" t="s">
        <v>92</v>
      </c>
      <c r="C152" s="7" t="str">
        <f t="shared" si="20"/>
        <v>Steven</v>
      </c>
      <c r="D152" s="7" t="str">
        <f>+D151</f>
        <v>Levy</v>
      </c>
      <c r="E152" s="8" t="str">
        <f>E151</f>
        <v>ACCT</v>
      </c>
      <c r="G152" s="8" t="str">
        <f>G151</f>
        <v>LEVY0001</v>
      </c>
      <c r="H152" s="26"/>
      <c r="I152" s="26"/>
      <c r="J152" s="26"/>
      <c r="K152" s="28">
        <f>+K151</f>
        <v>42036</v>
      </c>
      <c r="L152" s="26" t="str">
        <f>L151</f>
        <v>10392</v>
      </c>
      <c r="M152" s="26"/>
      <c r="N152" s="26"/>
      <c r="O152" s="26" t="str">
        <f>"""GP Direct"",""Fabrikam, Inc."",""UPR30300"",""PAYRATE"",""0.00000"",""PAYROLCD"",""INS2"",""STATECD"","""",""CHEKDATE"",""2/1/2015"",""UPRTRXAM"",""72.95000"""</f>
        <v>"GP Direct","Fabrikam, Inc.","UPR30300","PAYRATE","0.00000","PAYROLCD","INS2","STATECD","","CHEKDATE","2/1/2015","UPRTRXAM","72.95000"</v>
      </c>
      <c r="P152" s="29">
        <v>0</v>
      </c>
      <c r="Q152" s="26" t="str">
        <f>"INS2"</f>
        <v>INS2</v>
      </c>
      <c r="R152" s="26"/>
      <c r="S152" s="28">
        <v>42036</v>
      </c>
      <c r="T152" s="29">
        <v>72.95</v>
      </c>
    </row>
    <row r="153" spans="1:20" s="7" customFormat="1" hidden="1" outlineLevel="3" x14ac:dyDescent="0.2">
      <c r="A153" s="7" t="s">
        <v>92</v>
      </c>
      <c r="C153" s="7" t="str">
        <f t="shared" si="20"/>
        <v>Steven</v>
      </c>
      <c r="D153" s="7" t="str">
        <f>+D152</f>
        <v>Levy</v>
      </c>
      <c r="E153" s="8" t="str">
        <f>E152</f>
        <v>ACCT</v>
      </c>
      <c r="G153" s="8" t="str">
        <f>G152</f>
        <v>LEVY0001</v>
      </c>
      <c r="H153" s="26"/>
      <c r="I153" s="26"/>
      <c r="J153" s="26"/>
      <c r="K153" s="28">
        <f>+K152</f>
        <v>42036</v>
      </c>
      <c r="L153" s="26" t="str">
        <f>L152</f>
        <v>10392</v>
      </c>
      <c r="M153" s="26"/>
      <c r="N153" s="26"/>
      <c r="O153" s="26" t="str">
        <f>"""GP Direct"",""Fabrikam, Inc."",""UPR30300"",""PAYRATE"",""0.00000"",""PAYROLCD"",""MED"",""STATECD"","""",""CHEKDATE"",""2/1/2015"",""UPRTRXAM"",""20.00000"""</f>
        <v>"GP Direct","Fabrikam, Inc.","UPR30300","PAYRATE","0.00000","PAYROLCD","MED","STATECD","","CHEKDATE","2/1/2015","UPRTRXAM","20.00000"</v>
      </c>
      <c r="P153" s="29">
        <v>0</v>
      </c>
      <c r="Q153" s="26" t="str">
        <f>"MED"</f>
        <v>MED</v>
      </c>
      <c r="R153" s="26"/>
      <c r="S153" s="28">
        <v>42036</v>
      </c>
      <c r="T153" s="29">
        <v>20</v>
      </c>
    </row>
    <row r="154" spans="1:20" s="7" customFormat="1" hidden="1" outlineLevel="3" x14ac:dyDescent="0.2">
      <c r="A154" s="7" t="s">
        <v>92</v>
      </c>
      <c r="C154" s="7" t="str">
        <f t="shared" si="20"/>
        <v>Steven</v>
      </c>
      <c r="D154" s="7" t="str">
        <f>+D153</f>
        <v>Levy</v>
      </c>
      <c r="E154" s="8" t="str">
        <f>E153</f>
        <v>ACCT</v>
      </c>
      <c r="G154" s="8" t="str">
        <f>G153</f>
        <v>LEVY0001</v>
      </c>
      <c r="H154" s="26"/>
      <c r="I154" s="26"/>
      <c r="J154" s="26"/>
      <c r="K154" s="28">
        <f>+K153</f>
        <v>42036</v>
      </c>
      <c r="L154" s="26" t="str">
        <f>L153</f>
        <v>10392</v>
      </c>
      <c r="M154" s="26"/>
      <c r="N154" s="26"/>
      <c r="O154" s="26" t="str">
        <f>"""GP Direct"",""Fabrikam, Inc."",""UPR30300"",""PAYRATE"",""30314.00000"",""PAYROLCD"",""SALY"",""STATECD"",""IL"",""CHEKDATE"",""2/1/2015"",""UPRTRXAM"",""1263.08000"""</f>
        <v>"GP Direct","Fabrikam, Inc.","UPR30300","PAYRATE","30314.00000","PAYROLCD","SALY","STATECD","IL","CHEKDATE","2/1/2015","UPRTRXAM","1263.08000"</v>
      </c>
      <c r="P154" s="29">
        <v>30314</v>
      </c>
      <c r="Q154" s="26" t="str">
        <f>"SALY"</f>
        <v>SALY</v>
      </c>
      <c r="R154" s="26" t="str">
        <f>"IL"</f>
        <v>IL</v>
      </c>
      <c r="S154" s="28">
        <v>42036</v>
      </c>
      <c r="T154" s="29">
        <v>1263.08</v>
      </c>
    </row>
    <row r="155" spans="1:20" s="7" customFormat="1" hidden="1" outlineLevel="3" x14ac:dyDescent="0.2">
      <c r="A155" s="7" t="s">
        <v>92</v>
      </c>
      <c r="C155" s="7" t="str">
        <f>+C148</f>
        <v>Steven</v>
      </c>
      <c r="D155" s="7" t="str">
        <f>+D148</f>
        <v>Levy</v>
      </c>
      <c r="E155" s="8" t="str">
        <f>E148</f>
        <v>ACCT</v>
      </c>
      <c r="G155" s="8" t="str">
        <f>G148</f>
        <v>LEVY0001</v>
      </c>
      <c r="K155" s="12">
        <f>+K148</f>
        <v>42036</v>
      </c>
      <c r="L155" s="8" t="str">
        <f>L148</f>
        <v>10392</v>
      </c>
      <c r="O155" s="8"/>
      <c r="T155" s="20"/>
    </row>
    <row r="156" spans="1:20" s="7" customFormat="1" hidden="1" outlineLevel="2" collapsed="1" x14ac:dyDescent="0.2">
      <c r="A156" s="7" t="s">
        <v>92</v>
      </c>
      <c r="C156" s="7" t="str">
        <f t="shared" si="19"/>
        <v>Steven</v>
      </c>
      <c r="D156" s="7" t="str">
        <f>+D155</f>
        <v>Levy</v>
      </c>
      <c r="E156" s="8" t="str">
        <f>E155</f>
        <v>ACCT</v>
      </c>
      <c r="G156" s="8" t="str">
        <f>G155</f>
        <v>LEVY0001</v>
      </c>
      <c r="K156" s="12">
        <f>+K155</f>
        <v>42036</v>
      </c>
      <c r="L156" s="8" t="str">
        <f>L155</f>
        <v>10392</v>
      </c>
      <c r="M156" s="33" t="str">
        <f>"Total for " &amp; $L156</f>
        <v>Total for 10392</v>
      </c>
      <c r="N156" s="34">
        <f>+K156</f>
        <v>42036</v>
      </c>
      <c r="O156" s="35"/>
      <c r="P156" s="33"/>
      <c r="Q156" s="33"/>
      <c r="R156" s="33"/>
      <c r="S156" s="33"/>
      <c r="T156" s="36">
        <f>SUBTOTAL(9,T148:T155)</f>
        <v>1479.53</v>
      </c>
    </row>
    <row r="157" spans="1:20" s="7" customFormat="1" hidden="1" outlineLevel="3" x14ac:dyDescent="0.2">
      <c r="A157" s="7" t="s">
        <v>92</v>
      </c>
      <c r="C157" s="7" t="str">
        <f t="shared" si="19"/>
        <v>Steven</v>
      </c>
      <c r="D157" s="7" t="str">
        <f>+D156</f>
        <v>Levy</v>
      </c>
      <c r="E157" s="8" t="str">
        <f>E156</f>
        <v>ACCT</v>
      </c>
      <c r="G157" s="8" t="str">
        <f>G156</f>
        <v>LEVY0001</v>
      </c>
      <c r="H157" s="26"/>
      <c r="I157" s="26"/>
      <c r="J157" s="26"/>
      <c r="K157" s="28">
        <f>+N157</f>
        <v>42064</v>
      </c>
      <c r="L157" s="26" t="str">
        <f>M157</f>
        <v>10417</v>
      </c>
      <c r="M157" s="26" t="str">
        <f>"10417"</f>
        <v>10417</v>
      </c>
      <c r="N157" s="28">
        <v>42064</v>
      </c>
      <c r="O157" s="26"/>
      <c r="P157" s="26"/>
      <c r="Q157" s="26"/>
      <c r="R157" s="26"/>
      <c r="S157" s="26"/>
      <c r="T157" s="27"/>
    </row>
    <row r="158" spans="1:20" s="7" customFormat="1" hidden="1" outlineLevel="3" x14ac:dyDescent="0.2">
      <c r="A158" s="7" t="s">
        <v>92</v>
      </c>
      <c r="C158" s="7" t="str">
        <f t="shared" si="19"/>
        <v>Steven</v>
      </c>
      <c r="D158" s="7" t="str">
        <f>+D157</f>
        <v>Levy</v>
      </c>
      <c r="E158" s="8" t="str">
        <f>E157</f>
        <v>ACCT</v>
      </c>
      <c r="G158" s="8" t="str">
        <f>G157</f>
        <v>LEVY0001</v>
      </c>
      <c r="H158" s="26"/>
      <c r="I158" s="26"/>
      <c r="J158" s="26"/>
      <c r="K158" s="28">
        <f>+K157</f>
        <v>42064</v>
      </c>
      <c r="L158" s="26" t="str">
        <f>L157</f>
        <v>10417</v>
      </c>
      <c r="M158" s="26"/>
      <c r="N158" s="26"/>
      <c r="O158" s="26" t="str">
        <f>"""GP Direct"",""Fabrikam, Inc."",""UPR30300"",""PAYRATE"",""0.00000"",""PAYROLCD"",""401K"",""STATECD"","""",""CHEKDATE"",""3/1/2015"",""UPRTRXAM"",""2.53000"""</f>
        <v>"GP Direct","Fabrikam, Inc.","UPR30300","PAYRATE","0.00000","PAYROLCD","401K","STATECD","","CHEKDATE","3/1/2015","UPRTRXAM","2.53000"</v>
      </c>
      <c r="P158" s="29">
        <v>0</v>
      </c>
      <c r="Q158" s="26" t="str">
        <f>"401K"</f>
        <v>401K</v>
      </c>
      <c r="R158" s="26"/>
      <c r="S158" s="28">
        <v>42064</v>
      </c>
      <c r="T158" s="29">
        <v>2.5299999999999998</v>
      </c>
    </row>
    <row r="159" spans="1:20" s="7" customFormat="1" hidden="1" outlineLevel="3" x14ac:dyDescent="0.2">
      <c r="A159" s="7" t="s">
        <v>92</v>
      </c>
      <c r="C159" s="7" t="str">
        <f t="shared" ref="C159:C164" si="21">+C158</f>
        <v>Steven</v>
      </c>
      <c r="D159" s="7" t="str">
        <f>+D158</f>
        <v>Levy</v>
      </c>
      <c r="E159" s="8" t="str">
        <f>E158</f>
        <v>ACCT</v>
      </c>
      <c r="G159" s="8" t="str">
        <f>G158</f>
        <v>LEVY0001</v>
      </c>
      <c r="H159" s="26"/>
      <c r="I159" s="26"/>
      <c r="J159" s="26"/>
      <c r="K159" s="28">
        <f>+K158</f>
        <v>42064</v>
      </c>
      <c r="L159" s="26" t="str">
        <f>L158</f>
        <v>10417</v>
      </c>
      <c r="M159" s="26"/>
      <c r="N159" s="26"/>
      <c r="O159" s="26" t="str">
        <f>"""GP Direct"",""Fabrikam, Inc."",""UPR30300"",""PAYRATE"",""0.00000"",""PAYROLCD"",""401K"",""STATECD"","""",""CHEKDATE"",""3/1/2015"",""UPRTRXAM"",""50.52000"""</f>
        <v>"GP Direct","Fabrikam, Inc.","UPR30300","PAYRATE","0.00000","PAYROLCD","401K","STATECD","","CHEKDATE","3/1/2015","UPRTRXAM","50.52000"</v>
      </c>
      <c r="P159" s="29">
        <v>0</v>
      </c>
      <c r="Q159" s="26" t="str">
        <f>"401K"</f>
        <v>401K</v>
      </c>
      <c r="R159" s="26"/>
      <c r="S159" s="28">
        <v>42064</v>
      </c>
      <c r="T159" s="29">
        <v>50.52</v>
      </c>
    </row>
    <row r="160" spans="1:20" s="7" customFormat="1" hidden="1" outlineLevel="3" x14ac:dyDescent="0.2">
      <c r="A160" s="7" t="s">
        <v>92</v>
      </c>
      <c r="C160" s="7" t="str">
        <f t="shared" si="21"/>
        <v>Steven</v>
      </c>
      <c r="D160" s="7" t="str">
        <f>+D159</f>
        <v>Levy</v>
      </c>
      <c r="E160" s="8" t="str">
        <f>E159</f>
        <v>ACCT</v>
      </c>
      <c r="G160" s="8" t="str">
        <f>G159</f>
        <v>LEVY0001</v>
      </c>
      <c r="H160" s="26"/>
      <c r="I160" s="26"/>
      <c r="J160" s="26"/>
      <c r="K160" s="28">
        <f>+K159</f>
        <v>42064</v>
      </c>
      <c r="L160" s="26" t="str">
        <f>L159</f>
        <v>10417</v>
      </c>
      <c r="M160" s="26"/>
      <c r="N160" s="26"/>
      <c r="O160" s="26" t="str">
        <f>"""GP Direct"",""Fabrikam, Inc."",""UPR30300"",""PAYRATE"",""0.00000"",""PAYROLCD"",""IL"",""STATECD"","""",""CHEKDATE"",""3/1/2015"",""UPRTRXAM"",""21.09000"""</f>
        <v>"GP Direct","Fabrikam, Inc.","UPR30300","PAYRATE","0.00000","PAYROLCD","IL","STATECD","","CHEKDATE","3/1/2015","UPRTRXAM","21.09000"</v>
      </c>
      <c r="P160" s="29">
        <v>0</v>
      </c>
      <c r="Q160" s="26" t="str">
        <f>"IL"</f>
        <v>IL</v>
      </c>
      <c r="R160" s="26"/>
      <c r="S160" s="28">
        <v>42064</v>
      </c>
      <c r="T160" s="29">
        <v>21.09</v>
      </c>
    </row>
    <row r="161" spans="1:20" s="7" customFormat="1" hidden="1" outlineLevel="3" x14ac:dyDescent="0.2">
      <c r="A161" s="7" t="s">
        <v>92</v>
      </c>
      <c r="C161" s="7" t="str">
        <f t="shared" si="21"/>
        <v>Steven</v>
      </c>
      <c r="D161" s="7" t="str">
        <f>+D160</f>
        <v>Levy</v>
      </c>
      <c r="E161" s="8" t="str">
        <f>E160</f>
        <v>ACCT</v>
      </c>
      <c r="G161" s="8" t="str">
        <f>G160</f>
        <v>LEVY0001</v>
      </c>
      <c r="H161" s="26"/>
      <c r="I161" s="26"/>
      <c r="J161" s="26"/>
      <c r="K161" s="28">
        <f>+K160</f>
        <v>42064</v>
      </c>
      <c r="L161" s="26" t="str">
        <f>L160</f>
        <v>10417</v>
      </c>
      <c r="M161" s="26"/>
      <c r="N161" s="26"/>
      <c r="O161" s="26" t="str">
        <f>"""GP Direct"",""Fabrikam, Inc."",""UPR30300"",""PAYRATE"",""0.00000"",""PAYROLCD"",""INS"",""STATECD"","""",""CHEKDATE"",""3/1/2015"",""UPRTRXAM"",""49.36000"""</f>
        <v>"GP Direct","Fabrikam, Inc.","UPR30300","PAYRATE","0.00000","PAYROLCD","INS","STATECD","","CHEKDATE","3/1/2015","UPRTRXAM","49.36000"</v>
      </c>
      <c r="P161" s="29">
        <v>0</v>
      </c>
      <c r="Q161" s="26" t="str">
        <f>"INS"</f>
        <v>INS</v>
      </c>
      <c r="R161" s="26"/>
      <c r="S161" s="28">
        <v>42064</v>
      </c>
      <c r="T161" s="29">
        <v>49.36</v>
      </c>
    </row>
    <row r="162" spans="1:20" s="7" customFormat="1" hidden="1" outlineLevel="3" x14ac:dyDescent="0.2">
      <c r="A162" s="7" t="s">
        <v>92</v>
      </c>
      <c r="C162" s="7" t="str">
        <f t="shared" si="21"/>
        <v>Steven</v>
      </c>
      <c r="D162" s="7" t="str">
        <f>+D161</f>
        <v>Levy</v>
      </c>
      <c r="E162" s="8" t="str">
        <f>E161</f>
        <v>ACCT</v>
      </c>
      <c r="G162" s="8" t="str">
        <f>G161</f>
        <v>LEVY0001</v>
      </c>
      <c r="H162" s="26"/>
      <c r="I162" s="26"/>
      <c r="J162" s="26"/>
      <c r="K162" s="28">
        <f>+K161</f>
        <v>42064</v>
      </c>
      <c r="L162" s="26" t="str">
        <f>L161</f>
        <v>10417</v>
      </c>
      <c r="M162" s="26"/>
      <c r="N162" s="26"/>
      <c r="O162" s="26" t="str">
        <f>"""GP Direct"",""Fabrikam, Inc."",""UPR30300"",""PAYRATE"",""0.00000"",""PAYROLCD"",""INS2"",""STATECD"","""",""CHEKDATE"",""3/1/2015"",""UPRTRXAM"",""72.95000"""</f>
        <v>"GP Direct","Fabrikam, Inc.","UPR30300","PAYRATE","0.00000","PAYROLCD","INS2","STATECD","","CHEKDATE","3/1/2015","UPRTRXAM","72.95000"</v>
      </c>
      <c r="P162" s="29">
        <v>0</v>
      </c>
      <c r="Q162" s="26" t="str">
        <f>"INS2"</f>
        <v>INS2</v>
      </c>
      <c r="R162" s="26"/>
      <c r="S162" s="28">
        <v>42064</v>
      </c>
      <c r="T162" s="29">
        <v>72.95</v>
      </c>
    </row>
    <row r="163" spans="1:20" s="7" customFormat="1" hidden="1" outlineLevel="3" x14ac:dyDescent="0.2">
      <c r="A163" s="7" t="s">
        <v>92</v>
      </c>
      <c r="C163" s="7" t="str">
        <f t="shared" si="21"/>
        <v>Steven</v>
      </c>
      <c r="D163" s="7" t="str">
        <f>+D162</f>
        <v>Levy</v>
      </c>
      <c r="E163" s="8" t="str">
        <f>E162</f>
        <v>ACCT</v>
      </c>
      <c r="G163" s="8" t="str">
        <f>G162</f>
        <v>LEVY0001</v>
      </c>
      <c r="H163" s="26"/>
      <c r="I163" s="26"/>
      <c r="J163" s="26"/>
      <c r="K163" s="28">
        <f>+K162</f>
        <v>42064</v>
      </c>
      <c r="L163" s="26" t="str">
        <f>L162</f>
        <v>10417</v>
      </c>
      <c r="M163" s="26"/>
      <c r="N163" s="26"/>
      <c r="O163" s="26" t="str">
        <f>"""GP Direct"",""Fabrikam, Inc."",""UPR30300"",""PAYRATE"",""0.00000"",""PAYROLCD"",""MED"",""STATECD"","""",""CHEKDATE"",""3/1/2015"",""UPRTRXAM"",""20.00000"""</f>
        <v>"GP Direct","Fabrikam, Inc.","UPR30300","PAYRATE","0.00000","PAYROLCD","MED","STATECD","","CHEKDATE","3/1/2015","UPRTRXAM","20.00000"</v>
      </c>
      <c r="P163" s="29">
        <v>0</v>
      </c>
      <c r="Q163" s="26" t="str">
        <f>"MED"</f>
        <v>MED</v>
      </c>
      <c r="R163" s="26"/>
      <c r="S163" s="28">
        <v>42064</v>
      </c>
      <c r="T163" s="29">
        <v>20</v>
      </c>
    </row>
    <row r="164" spans="1:20" s="7" customFormat="1" hidden="1" outlineLevel="3" x14ac:dyDescent="0.2">
      <c r="A164" s="7" t="s">
        <v>92</v>
      </c>
      <c r="C164" s="7" t="str">
        <f t="shared" si="21"/>
        <v>Steven</v>
      </c>
      <c r="D164" s="7" t="str">
        <f>+D163</f>
        <v>Levy</v>
      </c>
      <c r="E164" s="8" t="str">
        <f>E163</f>
        <v>ACCT</v>
      </c>
      <c r="G164" s="8" t="str">
        <f>G163</f>
        <v>LEVY0001</v>
      </c>
      <c r="H164" s="26"/>
      <c r="I164" s="26"/>
      <c r="J164" s="26"/>
      <c r="K164" s="28">
        <f>+K163</f>
        <v>42064</v>
      </c>
      <c r="L164" s="26" t="str">
        <f>L163</f>
        <v>10417</v>
      </c>
      <c r="M164" s="26"/>
      <c r="N164" s="26"/>
      <c r="O164" s="26" t="str">
        <f>"""GP Direct"",""Fabrikam, Inc."",""UPR30300"",""PAYRATE"",""30314.00000"",""PAYROLCD"",""SALY"",""STATECD"",""IL"",""CHEKDATE"",""3/1/2015"",""UPRTRXAM"",""1263.08000"""</f>
        <v>"GP Direct","Fabrikam, Inc.","UPR30300","PAYRATE","30314.00000","PAYROLCD","SALY","STATECD","IL","CHEKDATE","3/1/2015","UPRTRXAM","1263.08000"</v>
      </c>
      <c r="P164" s="29">
        <v>30314</v>
      </c>
      <c r="Q164" s="26" t="str">
        <f>"SALY"</f>
        <v>SALY</v>
      </c>
      <c r="R164" s="26" t="str">
        <f>"IL"</f>
        <v>IL</v>
      </c>
      <c r="S164" s="28">
        <v>42064</v>
      </c>
      <c r="T164" s="29">
        <v>1263.08</v>
      </c>
    </row>
    <row r="165" spans="1:20" s="7" customFormat="1" hidden="1" outlineLevel="3" x14ac:dyDescent="0.2">
      <c r="A165" s="7" t="s">
        <v>92</v>
      </c>
      <c r="C165" s="7" t="str">
        <f>+C158</f>
        <v>Steven</v>
      </c>
      <c r="D165" s="7" t="str">
        <f>+D158</f>
        <v>Levy</v>
      </c>
      <c r="E165" s="8" t="str">
        <f>E158</f>
        <v>ACCT</v>
      </c>
      <c r="G165" s="8" t="str">
        <f>G158</f>
        <v>LEVY0001</v>
      </c>
      <c r="K165" s="12">
        <f>+K158</f>
        <v>42064</v>
      </c>
      <c r="L165" s="8" t="str">
        <f>L158</f>
        <v>10417</v>
      </c>
      <c r="O165" s="8"/>
      <c r="T165" s="20"/>
    </row>
    <row r="166" spans="1:20" s="7" customFormat="1" hidden="1" outlineLevel="2" collapsed="1" x14ac:dyDescent="0.2">
      <c r="A166" s="7" t="s">
        <v>92</v>
      </c>
      <c r="C166" s="7" t="str">
        <f t="shared" si="19"/>
        <v>Steven</v>
      </c>
      <c r="D166" s="7" t="str">
        <f>+D165</f>
        <v>Levy</v>
      </c>
      <c r="E166" s="8" t="str">
        <f>E165</f>
        <v>ACCT</v>
      </c>
      <c r="G166" s="8" t="str">
        <f>G165</f>
        <v>LEVY0001</v>
      </c>
      <c r="K166" s="12">
        <f>+K165</f>
        <v>42064</v>
      </c>
      <c r="L166" s="8" t="str">
        <f>L165</f>
        <v>10417</v>
      </c>
      <c r="M166" s="33" t="str">
        <f>"Total for " &amp; $L166</f>
        <v>Total for 10417</v>
      </c>
      <c r="N166" s="34">
        <f>+K166</f>
        <v>42064</v>
      </c>
      <c r="O166" s="35"/>
      <c r="P166" s="33"/>
      <c r="Q166" s="33"/>
      <c r="R166" s="33"/>
      <c r="S166" s="33"/>
      <c r="T166" s="36">
        <f>SUBTOTAL(9,T158:T165)</f>
        <v>1479.53</v>
      </c>
    </row>
    <row r="167" spans="1:20" s="7" customFormat="1" hidden="1" outlineLevel="3" x14ac:dyDescent="0.2">
      <c r="A167" s="7" t="s">
        <v>92</v>
      </c>
      <c r="C167" s="7" t="str">
        <f t="shared" si="19"/>
        <v>Steven</v>
      </c>
      <c r="D167" s="7" t="str">
        <f>+D166</f>
        <v>Levy</v>
      </c>
      <c r="E167" s="8" t="str">
        <f>E166</f>
        <v>ACCT</v>
      </c>
      <c r="G167" s="8" t="str">
        <f>G166</f>
        <v>LEVY0001</v>
      </c>
      <c r="H167" s="26"/>
      <c r="I167" s="26"/>
      <c r="J167" s="26"/>
      <c r="K167" s="28">
        <f>+N167</f>
        <v>42095</v>
      </c>
      <c r="L167" s="26" t="str">
        <f>M167</f>
        <v>10442</v>
      </c>
      <c r="M167" s="26" t="str">
        <f>"10442"</f>
        <v>10442</v>
      </c>
      <c r="N167" s="28">
        <v>42095</v>
      </c>
      <c r="O167" s="26"/>
      <c r="P167" s="26"/>
      <c r="Q167" s="26"/>
      <c r="R167" s="26"/>
      <c r="S167" s="26"/>
      <c r="T167" s="27"/>
    </row>
    <row r="168" spans="1:20" s="7" customFormat="1" hidden="1" outlineLevel="3" x14ac:dyDescent="0.2">
      <c r="A168" s="7" t="s">
        <v>92</v>
      </c>
      <c r="C168" s="7" t="str">
        <f t="shared" si="19"/>
        <v>Steven</v>
      </c>
      <c r="D168" s="7" t="str">
        <f>+D167</f>
        <v>Levy</v>
      </c>
      <c r="E168" s="8" t="str">
        <f>E167</f>
        <v>ACCT</v>
      </c>
      <c r="G168" s="8" t="str">
        <f>G167</f>
        <v>LEVY0001</v>
      </c>
      <c r="H168" s="26"/>
      <c r="I168" s="26"/>
      <c r="J168" s="26"/>
      <c r="K168" s="28">
        <f>+K167</f>
        <v>42095</v>
      </c>
      <c r="L168" s="26" t="str">
        <f>L167</f>
        <v>10442</v>
      </c>
      <c r="M168" s="26"/>
      <c r="N168" s="26"/>
      <c r="O168" s="26" t="str">
        <f>"""GP Direct"",""Fabrikam, Inc."",""UPR30300"",""PAYRATE"",""0.00000"",""PAYROLCD"",""401K"",""STATECD"","""",""CHEKDATE"",""4/1/2015"",""UPRTRXAM"",""2.53000"""</f>
        <v>"GP Direct","Fabrikam, Inc.","UPR30300","PAYRATE","0.00000","PAYROLCD","401K","STATECD","","CHEKDATE","4/1/2015","UPRTRXAM","2.53000"</v>
      </c>
      <c r="P168" s="29">
        <v>0</v>
      </c>
      <c r="Q168" s="26" t="str">
        <f>"401K"</f>
        <v>401K</v>
      </c>
      <c r="R168" s="26"/>
      <c r="S168" s="28">
        <v>42095</v>
      </c>
      <c r="T168" s="29">
        <v>2.5299999999999998</v>
      </c>
    </row>
    <row r="169" spans="1:20" s="7" customFormat="1" hidden="1" outlineLevel="3" x14ac:dyDescent="0.2">
      <c r="A169" s="7" t="s">
        <v>92</v>
      </c>
      <c r="C169" s="7" t="str">
        <f t="shared" ref="C169:C174" si="22">+C168</f>
        <v>Steven</v>
      </c>
      <c r="D169" s="7" t="str">
        <f>+D168</f>
        <v>Levy</v>
      </c>
      <c r="E169" s="8" t="str">
        <f>E168</f>
        <v>ACCT</v>
      </c>
      <c r="G169" s="8" t="str">
        <f>G168</f>
        <v>LEVY0001</v>
      </c>
      <c r="H169" s="26"/>
      <c r="I169" s="26"/>
      <c r="J169" s="26"/>
      <c r="K169" s="28">
        <f>+K168</f>
        <v>42095</v>
      </c>
      <c r="L169" s="26" t="str">
        <f>L168</f>
        <v>10442</v>
      </c>
      <c r="M169" s="26"/>
      <c r="N169" s="26"/>
      <c r="O169" s="26" t="str">
        <f>"""GP Direct"",""Fabrikam, Inc."",""UPR30300"",""PAYRATE"",""0.00000"",""PAYROLCD"",""401K"",""STATECD"","""",""CHEKDATE"",""4/1/2015"",""UPRTRXAM"",""50.52000"""</f>
        <v>"GP Direct","Fabrikam, Inc.","UPR30300","PAYRATE","0.00000","PAYROLCD","401K","STATECD","","CHEKDATE","4/1/2015","UPRTRXAM","50.52000"</v>
      </c>
      <c r="P169" s="29">
        <v>0</v>
      </c>
      <c r="Q169" s="26" t="str">
        <f>"401K"</f>
        <v>401K</v>
      </c>
      <c r="R169" s="26"/>
      <c r="S169" s="28">
        <v>42095</v>
      </c>
      <c r="T169" s="29">
        <v>50.52</v>
      </c>
    </row>
    <row r="170" spans="1:20" s="7" customFormat="1" hidden="1" outlineLevel="3" x14ac:dyDescent="0.2">
      <c r="A170" s="7" t="s">
        <v>92</v>
      </c>
      <c r="C170" s="7" t="str">
        <f t="shared" si="22"/>
        <v>Steven</v>
      </c>
      <c r="D170" s="7" t="str">
        <f>+D169</f>
        <v>Levy</v>
      </c>
      <c r="E170" s="8" t="str">
        <f>E169</f>
        <v>ACCT</v>
      </c>
      <c r="G170" s="8" t="str">
        <f>G169</f>
        <v>LEVY0001</v>
      </c>
      <c r="H170" s="26"/>
      <c r="I170" s="26"/>
      <c r="J170" s="26"/>
      <c r="K170" s="28">
        <f>+K169</f>
        <v>42095</v>
      </c>
      <c r="L170" s="26" t="str">
        <f>L169</f>
        <v>10442</v>
      </c>
      <c r="M170" s="26"/>
      <c r="N170" s="26"/>
      <c r="O170" s="26" t="str">
        <f>"""GP Direct"",""Fabrikam, Inc."",""UPR30300"",""PAYRATE"",""0.00000"",""PAYROLCD"",""IL"",""STATECD"","""",""CHEKDATE"",""4/1/2015"",""UPRTRXAM"",""21.09000"""</f>
        <v>"GP Direct","Fabrikam, Inc.","UPR30300","PAYRATE","0.00000","PAYROLCD","IL","STATECD","","CHEKDATE","4/1/2015","UPRTRXAM","21.09000"</v>
      </c>
      <c r="P170" s="29">
        <v>0</v>
      </c>
      <c r="Q170" s="26" t="str">
        <f>"IL"</f>
        <v>IL</v>
      </c>
      <c r="R170" s="26"/>
      <c r="S170" s="28">
        <v>42095</v>
      </c>
      <c r="T170" s="29">
        <v>21.09</v>
      </c>
    </row>
    <row r="171" spans="1:20" s="7" customFormat="1" hidden="1" outlineLevel="3" x14ac:dyDescent="0.2">
      <c r="A171" s="7" t="s">
        <v>92</v>
      </c>
      <c r="C171" s="7" t="str">
        <f t="shared" si="22"/>
        <v>Steven</v>
      </c>
      <c r="D171" s="7" t="str">
        <f>+D170</f>
        <v>Levy</v>
      </c>
      <c r="E171" s="8" t="str">
        <f>E170</f>
        <v>ACCT</v>
      </c>
      <c r="G171" s="8" t="str">
        <f>G170</f>
        <v>LEVY0001</v>
      </c>
      <c r="H171" s="26"/>
      <c r="I171" s="26"/>
      <c r="J171" s="26"/>
      <c r="K171" s="28">
        <f>+K170</f>
        <v>42095</v>
      </c>
      <c r="L171" s="26" t="str">
        <f>L170</f>
        <v>10442</v>
      </c>
      <c r="M171" s="26"/>
      <c r="N171" s="26"/>
      <c r="O171" s="26" t="str">
        <f>"""GP Direct"",""Fabrikam, Inc."",""UPR30300"",""PAYRATE"",""0.00000"",""PAYROLCD"",""INS"",""STATECD"","""",""CHEKDATE"",""4/1/2015"",""UPRTRXAM"",""49.36000"""</f>
        <v>"GP Direct","Fabrikam, Inc.","UPR30300","PAYRATE","0.00000","PAYROLCD","INS","STATECD","","CHEKDATE","4/1/2015","UPRTRXAM","49.36000"</v>
      </c>
      <c r="P171" s="29">
        <v>0</v>
      </c>
      <c r="Q171" s="26" t="str">
        <f>"INS"</f>
        <v>INS</v>
      </c>
      <c r="R171" s="26"/>
      <c r="S171" s="28">
        <v>42095</v>
      </c>
      <c r="T171" s="29">
        <v>49.36</v>
      </c>
    </row>
    <row r="172" spans="1:20" s="7" customFormat="1" hidden="1" outlineLevel="3" x14ac:dyDescent="0.2">
      <c r="A172" s="7" t="s">
        <v>92</v>
      </c>
      <c r="C172" s="7" t="str">
        <f t="shared" si="22"/>
        <v>Steven</v>
      </c>
      <c r="D172" s="7" t="str">
        <f>+D171</f>
        <v>Levy</v>
      </c>
      <c r="E172" s="8" t="str">
        <f>E171</f>
        <v>ACCT</v>
      </c>
      <c r="G172" s="8" t="str">
        <f>G171</f>
        <v>LEVY0001</v>
      </c>
      <c r="H172" s="26"/>
      <c r="I172" s="26"/>
      <c r="J172" s="26"/>
      <c r="K172" s="28">
        <f>+K171</f>
        <v>42095</v>
      </c>
      <c r="L172" s="26" t="str">
        <f>L171</f>
        <v>10442</v>
      </c>
      <c r="M172" s="26"/>
      <c r="N172" s="26"/>
      <c r="O172" s="26" t="str">
        <f>"""GP Direct"",""Fabrikam, Inc."",""UPR30300"",""PAYRATE"",""0.00000"",""PAYROLCD"",""INS2"",""STATECD"","""",""CHEKDATE"",""4/1/2015"",""UPRTRXAM"",""72.95000"""</f>
        <v>"GP Direct","Fabrikam, Inc.","UPR30300","PAYRATE","0.00000","PAYROLCD","INS2","STATECD","","CHEKDATE","4/1/2015","UPRTRXAM","72.95000"</v>
      </c>
      <c r="P172" s="29">
        <v>0</v>
      </c>
      <c r="Q172" s="26" t="str">
        <f>"INS2"</f>
        <v>INS2</v>
      </c>
      <c r="R172" s="26"/>
      <c r="S172" s="28">
        <v>42095</v>
      </c>
      <c r="T172" s="29">
        <v>72.95</v>
      </c>
    </row>
    <row r="173" spans="1:20" s="7" customFormat="1" hidden="1" outlineLevel="3" x14ac:dyDescent="0.2">
      <c r="A173" s="7" t="s">
        <v>92</v>
      </c>
      <c r="C173" s="7" t="str">
        <f t="shared" si="22"/>
        <v>Steven</v>
      </c>
      <c r="D173" s="7" t="str">
        <f>+D172</f>
        <v>Levy</v>
      </c>
      <c r="E173" s="8" t="str">
        <f>E172</f>
        <v>ACCT</v>
      </c>
      <c r="G173" s="8" t="str">
        <f>G172</f>
        <v>LEVY0001</v>
      </c>
      <c r="H173" s="26"/>
      <c r="I173" s="26"/>
      <c r="J173" s="26"/>
      <c r="K173" s="28">
        <f>+K172</f>
        <v>42095</v>
      </c>
      <c r="L173" s="26" t="str">
        <f>L172</f>
        <v>10442</v>
      </c>
      <c r="M173" s="26"/>
      <c r="N173" s="26"/>
      <c r="O173" s="26" t="str">
        <f>"""GP Direct"",""Fabrikam, Inc."",""UPR30300"",""PAYRATE"",""0.00000"",""PAYROLCD"",""MED"",""STATECD"","""",""CHEKDATE"",""4/1/2015"",""UPRTRXAM"",""20.00000"""</f>
        <v>"GP Direct","Fabrikam, Inc.","UPR30300","PAYRATE","0.00000","PAYROLCD","MED","STATECD","","CHEKDATE","4/1/2015","UPRTRXAM","20.00000"</v>
      </c>
      <c r="P173" s="29">
        <v>0</v>
      </c>
      <c r="Q173" s="26" t="str">
        <f>"MED"</f>
        <v>MED</v>
      </c>
      <c r="R173" s="26"/>
      <c r="S173" s="28">
        <v>42095</v>
      </c>
      <c r="T173" s="29">
        <v>20</v>
      </c>
    </row>
    <row r="174" spans="1:20" s="7" customFormat="1" hidden="1" outlineLevel="3" x14ac:dyDescent="0.2">
      <c r="A174" s="7" t="s">
        <v>92</v>
      </c>
      <c r="C174" s="7" t="str">
        <f t="shared" si="22"/>
        <v>Steven</v>
      </c>
      <c r="D174" s="7" t="str">
        <f>+D173</f>
        <v>Levy</v>
      </c>
      <c r="E174" s="8" t="str">
        <f>E173</f>
        <v>ACCT</v>
      </c>
      <c r="G174" s="8" t="str">
        <f>G173</f>
        <v>LEVY0001</v>
      </c>
      <c r="H174" s="26"/>
      <c r="I174" s="26"/>
      <c r="J174" s="26"/>
      <c r="K174" s="28">
        <f>+K173</f>
        <v>42095</v>
      </c>
      <c r="L174" s="26" t="str">
        <f>L173</f>
        <v>10442</v>
      </c>
      <c r="M174" s="26"/>
      <c r="N174" s="26"/>
      <c r="O174" s="26" t="str">
        <f>"""GP Direct"",""Fabrikam, Inc."",""UPR30300"",""PAYRATE"",""30314.00000"",""PAYROLCD"",""SALY"",""STATECD"",""IL"",""CHEKDATE"",""4/1/2015"",""UPRTRXAM"",""1263.08000"""</f>
        <v>"GP Direct","Fabrikam, Inc.","UPR30300","PAYRATE","30314.00000","PAYROLCD","SALY","STATECD","IL","CHEKDATE","4/1/2015","UPRTRXAM","1263.08000"</v>
      </c>
      <c r="P174" s="29">
        <v>30314</v>
      </c>
      <c r="Q174" s="26" t="str">
        <f>"SALY"</f>
        <v>SALY</v>
      </c>
      <c r="R174" s="26" t="str">
        <f>"IL"</f>
        <v>IL</v>
      </c>
      <c r="S174" s="28">
        <v>42095</v>
      </c>
      <c r="T174" s="29">
        <v>1263.08</v>
      </c>
    </row>
    <row r="175" spans="1:20" s="7" customFormat="1" hidden="1" outlineLevel="3" x14ac:dyDescent="0.2">
      <c r="A175" s="7" t="s">
        <v>92</v>
      </c>
      <c r="C175" s="7" t="str">
        <f>+C168</f>
        <v>Steven</v>
      </c>
      <c r="D175" s="7" t="str">
        <f>+D168</f>
        <v>Levy</v>
      </c>
      <c r="E175" s="8" t="str">
        <f>E168</f>
        <v>ACCT</v>
      </c>
      <c r="G175" s="8" t="str">
        <f>G168</f>
        <v>LEVY0001</v>
      </c>
      <c r="K175" s="12">
        <f>+K168</f>
        <v>42095</v>
      </c>
      <c r="L175" s="8" t="str">
        <f>L168</f>
        <v>10442</v>
      </c>
      <c r="O175" s="8"/>
      <c r="T175" s="20"/>
    </row>
    <row r="176" spans="1:20" s="7" customFormat="1" hidden="1" outlineLevel="2" collapsed="1" x14ac:dyDescent="0.2">
      <c r="A176" s="7" t="s">
        <v>92</v>
      </c>
      <c r="C176" s="7" t="str">
        <f t="shared" si="19"/>
        <v>Steven</v>
      </c>
      <c r="D176" s="7" t="str">
        <f>+D175</f>
        <v>Levy</v>
      </c>
      <c r="E176" s="8" t="str">
        <f>E175</f>
        <v>ACCT</v>
      </c>
      <c r="G176" s="8" t="str">
        <f>G175</f>
        <v>LEVY0001</v>
      </c>
      <c r="K176" s="12">
        <f>+K175</f>
        <v>42095</v>
      </c>
      <c r="L176" s="8" t="str">
        <f>L175</f>
        <v>10442</v>
      </c>
      <c r="M176" s="33" t="str">
        <f>"Total for " &amp; $L176</f>
        <v>Total for 10442</v>
      </c>
      <c r="N176" s="34">
        <f>+K176</f>
        <v>42095</v>
      </c>
      <c r="O176" s="35"/>
      <c r="P176" s="33"/>
      <c r="Q176" s="33"/>
      <c r="R176" s="33"/>
      <c r="S176" s="33"/>
      <c r="T176" s="36">
        <f>SUBTOTAL(9,T168:T175)</f>
        <v>1479.53</v>
      </c>
    </row>
    <row r="177" spans="1:20" s="7" customFormat="1" hidden="1" outlineLevel="3" x14ac:dyDescent="0.2">
      <c r="A177" s="7" t="s">
        <v>92</v>
      </c>
      <c r="C177" s="7" t="str">
        <f t="shared" si="19"/>
        <v>Steven</v>
      </c>
      <c r="D177" s="7" t="str">
        <f>+D176</f>
        <v>Levy</v>
      </c>
      <c r="E177" s="8" t="str">
        <f>E176</f>
        <v>ACCT</v>
      </c>
      <c r="G177" s="8" t="str">
        <f>G176</f>
        <v>LEVY0001</v>
      </c>
      <c r="H177" s="26"/>
      <c r="I177" s="26"/>
      <c r="J177" s="26"/>
      <c r="K177" s="28">
        <f>+N177</f>
        <v>42125</v>
      </c>
      <c r="L177" s="26" t="str">
        <f>M177</f>
        <v>10467</v>
      </c>
      <c r="M177" s="26" t="str">
        <f>"10467"</f>
        <v>10467</v>
      </c>
      <c r="N177" s="28">
        <v>42125</v>
      </c>
      <c r="O177" s="26"/>
      <c r="P177" s="26"/>
      <c r="Q177" s="26"/>
      <c r="R177" s="26"/>
      <c r="S177" s="26"/>
      <c r="T177" s="27"/>
    </row>
    <row r="178" spans="1:20" s="7" customFormat="1" hidden="1" outlineLevel="3" x14ac:dyDescent="0.2">
      <c r="A178" s="7" t="s">
        <v>92</v>
      </c>
      <c r="C178" s="7" t="str">
        <f t="shared" si="19"/>
        <v>Steven</v>
      </c>
      <c r="D178" s="7" t="str">
        <f>+D177</f>
        <v>Levy</v>
      </c>
      <c r="E178" s="8" t="str">
        <f>E177</f>
        <v>ACCT</v>
      </c>
      <c r="G178" s="8" t="str">
        <f>G177</f>
        <v>LEVY0001</v>
      </c>
      <c r="H178" s="26"/>
      <c r="I178" s="26"/>
      <c r="J178" s="26"/>
      <c r="K178" s="28">
        <f>+K177</f>
        <v>42125</v>
      </c>
      <c r="L178" s="26" t="str">
        <f>L177</f>
        <v>10467</v>
      </c>
      <c r="M178" s="26"/>
      <c r="N178" s="26"/>
      <c r="O178" s="26" t="str">
        <f>"""GP Direct"",""Fabrikam, Inc."",""UPR30300"",""PAYRATE"",""0.00000"",""PAYROLCD"",""401K"",""STATECD"","""",""CHEKDATE"",""5/1/2015"",""UPRTRXAM"",""2.53000"""</f>
        <v>"GP Direct","Fabrikam, Inc.","UPR30300","PAYRATE","0.00000","PAYROLCD","401K","STATECD","","CHEKDATE","5/1/2015","UPRTRXAM","2.53000"</v>
      </c>
      <c r="P178" s="29">
        <v>0</v>
      </c>
      <c r="Q178" s="26" t="str">
        <f>"401K"</f>
        <v>401K</v>
      </c>
      <c r="R178" s="26"/>
      <c r="S178" s="28">
        <v>42125</v>
      </c>
      <c r="T178" s="29">
        <v>2.5299999999999998</v>
      </c>
    </row>
    <row r="179" spans="1:20" s="7" customFormat="1" hidden="1" outlineLevel="3" x14ac:dyDescent="0.2">
      <c r="A179" s="7" t="s">
        <v>92</v>
      </c>
      <c r="C179" s="7" t="str">
        <f t="shared" ref="C179:C184" si="23">+C178</f>
        <v>Steven</v>
      </c>
      <c r="D179" s="7" t="str">
        <f>+D178</f>
        <v>Levy</v>
      </c>
      <c r="E179" s="8" t="str">
        <f>E178</f>
        <v>ACCT</v>
      </c>
      <c r="G179" s="8" t="str">
        <f>G178</f>
        <v>LEVY0001</v>
      </c>
      <c r="H179" s="26"/>
      <c r="I179" s="26"/>
      <c r="J179" s="26"/>
      <c r="K179" s="28">
        <f>+K178</f>
        <v>42125</v>
      </c>
      <c r="L179" s="26" t="str">
        <f>L178</f>
        <v>10467</v>
      </c>
      <c r="M179" s="26"/>
      <c r="N179" s="26"/>
      <c r="O179" s="26" t="str">
        <f>"""GP Direct"",""Fabrikam, Inc."",""UPR30300"",""PAYRATE"",""0.00000"",""PAYROLCD"",""401K"",""STATECD"","""",""CHEKDATE"",""5/1/2015"",""UPRTRXAM"",""50.52000"""</f>
        <v>"GP Direct","Fabrikam, Inc.","UPR30300","PAYRATE","0.00000","PAYROLCD","401K","STATECD","","CHEKDATE","5/1/2015","UPRTRXAM","50.52000"</v>
      </c>
      <c r="P179" s="29">
        <v>0</v>
      </c>
      <c r="Q179" s="26" t="str">
        <f>"401K"</f>
        <v>401K</v>
      </c>
      <c r="R179" s="26"/>
      <c r="S179" s="28">
        <v>42125</v>
      </c>
      <c r="T179" s="29">
        <v>50.52</v>
      </c>
    </row>
    <row r="180" spans="1:20" s="7" customFormat="1" hidden="1" outlineLevel="3" x14ac:dyDescent="0.2">
      <c r="A180" s="7" t="s">
        <v>92</v>
      </c>
      <c r="C180" s="7" t="str">
        <f t="shared" si="23"/>
        <v>Steven</v>
      </c>
      <c r="D180" s="7" t="str">
        <f>+D179</f>
        <v>Levy</v>
      </c>
      <c r="E180" s="8" t="str">
        <f>E179</f>
        <v>ACCT</v>
      </c>
      <c r="G180" s="8" t="str">
        <f>G179</f>
        <v>LEVY0001</v>
      </c>
      <c r="H180" s="26"/>
      <c r="I180" s="26"/>
      <c r="J180" s="26"/>
      <c r="K180" s="28">
        <f>+K179</f>
        <v>42125</v>
      </c>
      <c r="L180" s="26" t="str">
        <f>L179</f>
        <v>10467</v>
      </c>
      <c r="M180" s="26"/>
      <c r="N180" s="26"/>
      <c r="O180" s="26" t="str">
        <f>"""GP Direct"",""Fabrikam, Inc."",""UPR30300"",""PAYRATE"",""0.00000"",""PAYROLCD"",""IL"",""STATECD"","""",""CHEKDATE"",""5/1/2015"",""UPRTRXAM"",""21.09000"""</f>
        <v>"GP Direct","Fabrikam, Inc.","UPR30300","PAYRATE","0.00000","PAYROLCD","IL","STATECD","","CHEKDATE","5/1/2015","UPRTRXAM","21.09000"</v>
      </c>
      <c r="P180" s="29">
        <v>0</v>
      </c>
      <c r="Q180" s="26" t="str">
        <f>"IL"</f>
        <v>IL</v>
      </c>
      <c r="R180" s="26"/>
      <c r="S180" s="28">
        <v>42125</v>
      </c>
      <c r="T180" s="29">
        <v>21.09</v>
      </c>
    </row>
    <row r="181" spans="1:20" s="7" customFormat="1" hidden="1" outlineLevel="3" x14ac:dyDescent="0.2">
      <c r="A181" s="7" t="s">
        <v>92</v>
      </c>
      <c r="C181" s="7" t="str">
        <f t="shared" si="23"/>
        <v>Steven</v>
      </c>
      <c r="D181" s="7" t="str">
        <f>+D180</f>
        <v>Levy</v>
      </c>
      <c r="E181" s="8" t="str">
        <f>E180</f>
        <v>ACCT</v>
      </c>
      <c r="G181" s="8" t="str">
        <f>G180</f>
        <v>LEVY0001</v>
      </c>
      <c r="H181" s="26"/>
      <c r="I181" s="26"/>
      <c r="J181" s="26"/>
      <c r="K181" s="28">
        <f>+K180</f>
        <v>42125</v>
      </c>
      <c r="L181" s="26" t="str">
        <f>L180</f>
        <v>10467</v>
      </c>
      <c r="M181" s="26"/>
      <c r="N181" s="26"/>
      <c r="O181" s="26" t="str">
        <f>"""GP Direct"",""Fabrikam, Inc."",""UPR30300"",""PAYRATE"",""0.00000"",""PAYROLCD"",""INS"",""STATECD"","""",""CHEKDATE"",""5/1/2015"",""UPRTRXAM"",""49.36000"""</f>
        <v>"GP Direct","Fabrikam, Inc.","UPR30300","PAYRATE","0.00000","PAYROLCD","INS","STATECD","","CHEKDATE","5/1/2015","UPRTRXAM","49.36000"</v>
      </c>
      <c r="P181" s="29">
        <v>0</v>
      </c>
      <c r="Q181" s="26" t="str">
        <f>"INS"</f>
        <v>INS</v>
      </c>
      <c r="R181" s="26"/>
      <c r="S181" s="28">
        <v>42125</v>
      </c>
      <c r="T181" s="29">
        <v>49.36</v>
      </c>
    </row>
    <row r="182" spans="1:20" s="7" customFormat="1" hidden="1" outlineLevel="3" x14ac:dyDescent="0.2">
      <c r="A182" s="7" t="s">
        <v>92</v>
      </c>
      <c r="C182" s="7" t="str">
        <f t="shared" si="23"/>
        <v>Steven</v>
      </c>
      <c r="D182" s="7" t="str">
        <f>+D181</f>
        <v>Levy</v>
      </c>
      <c r="E182" s="8" t="str">
        <f>E181</f>
        <v>ACCT</v>
      </c>
      <c r="G182" s="8" t="str">
        <f>G181</f>
        <v>LEVY0001</v>
      </c>
      <c r="H182" s="26"/>
      <c r="I182" s="26"/>
      <c r="J182" s="26"/>
      <c r="K182" s="28">
        <f>+K181</f>
        <v>42125</v>
      </c>
      <c r="L182" s="26" t="str">
        <f>L181</f>
        <v>10467</v>
      </c>
      <c r="M182" s="26"/>
      <c r="N182" s="26"/>
      <c r="O182" s="26" t="str">
        <f>"""GP Direct"",""Fabrikam, Inc."",""UPR30300"",""PAYRATE"",""0.00000"",""PAYROLCD"",""INS2"",""STATECD"","""",""CHEKDATE"",""5/1/2015"",""UPRTRXAM"",""72.95000"""</f>
        <v>"GP Direct","Fabrikam, Inc.","UPR30300","PAYRATE","0.00000","PAYROLCD","INS2","STATECD","","CHEKDATE","5/1/2015","UPRTRXAM","72.95000"</v>
      </c>
      <c r="P182" s="29">
        <v>0</v>
      </c>
      <c r="Q182" s="26" t="str">
        <f>"INS2"</f>
        <v>INS2</v>
      </c>
      <c r="R182" s="26"/>
      <c r="S182" s="28">
        <v>42125</v>
      </c>
      <c r="T182" s="29">
        <v>72.95</v>
      </c>
    </row>
    <row r="183" spans="1:20" s="7" customFormat="1" hidden="1" outlineLevel="3" x14ac:dyDescent="0.2">
      <c r="A183" s="7" t="s">
        <v>92</v>
      </c>
      <c r="C183" s="7" t="str">
        <f t="shared" si="23"/>
        <v>Steven</v>
      </c>
      <c r="D183" s="7" t="str">
        <f>+D182</f>
        <v>Levy</v>
      </c>
      <c r="E183" s="8" t="str">
        <f>E182</f>
        <v>ACCT</v>
      </c>
      <c r="G183" s="8" t="str">
        <f>G182</f>
        <v>LEVY0001</v>
      </c>
      <c r="H183" s="26"/>
      <c r="I183" s="26"/>
      <c r="J183" s="26"/>
      <c r="K183" s="28">
        <f>+K182</f>
        <v>42125</v>
      </c>
      <c r="L183" s="26" t="str">
        <f>L182</f>
        <v>10467</v>
      </c>
      <c r="M183" s="26"/>
      <c r="N183" s="26"/>
      <c r="O183" s="26" t="str">
        <f>"""GP Direct"",""Fabrikam, Inc."",""UPR30300"",""PAYRATE"",""0.00000"",""PAYROLCD"",""MED"",""STATECD"","""",""CHEKDATE"",""5/1/2015"",""UPRTRXAM"",""20.00000"""</f>
        <v>"GP Direct","Fabrikam, Inc.","UPR30300","PAYRATE","0.00000","PAYROLCD","MED","STATECD","","CHEKDATE","5/1/2015","UPRTRXAM","20.00000"</v>
      </c>
      <c r="P183" s="29">
        <v>0</v>
      </c>
      <c r="Q183" s="26" t="str">
        <f>"MED"</f>
        <v>MED</v>
      </c>
      <c r="R183" s="26"/>
      <c r="S183" s="28">
        <v>42125</v>
      </c>
      <c r="T183" s="29">
        <v>20</v>
      </c>
    </row>
    <row r="184" spans="1:20" s="7" customFormat="1" hidden="1" outlineLevel="3" x14ac:dyDescent="0.2">
      <c r="A184" s="7" t="s">
        <v>92</v>
      </c>
      <c r="C184" s="7" t="str">
        <f t="shared" si="23"/>
        <v>Steven</v>
      </c>
      <c r="D184" s="7" t="str">
        <f>+D183</f>
        <v>Levy</v>
      </c>
      <c r="E184" s="8" t="str">
        <f>E183</f>
        <v>ACCT</v>
      </c>
      <c r="G184" s="8" t="str">
        <f>G183</f>
        <v>LEVY0001</v>
      </c>
      <c r="H184" s="26"/>
      <c r="I184" s="26"/>
      <c r="J184" s="26"/>
      <c r="K184" s="28">
        <f>+K183</f>
        <v>42125</v>
      </c>
      <c r="L184" s="26" t="str">
        <f>L183</f>
        <v>10467</v>
      </c>
      <c r="M184" s="26"/>
      <c r="N184" s="26"/>
      <c r="O184" s="26" t="str">
        <f>"""GP Direct"",""Fabrikam, Inc."",""UPR30300"",""PAYRATE"",""30314.00000"",""PAYROLCD"",""SALY"",""STATECD"",""IL"",""CHEKDATE"",""5/1/2015"",""UPRTRXAM"",""1263.08000"""</f>
        <v>"GP Direct","Fabrikam, Inc.","UPR30300","PAYRATE","30314.00000","PAYROLCD","SALY","STATECD","IL","CHEKDATE","5/1/2015","UPRTRXAM","1263.08000"</v>
      </c>
      <c r="P184" s="29">
        <v>30314</v>
      </c>
      <c r="Q184" s="26" t="str">
        <f>"SALY"</f>
        <v>SALY</v>
      </c>
      <c r="R184" s="26" t="str">
        <f>"IL"</f>
        <v>IL</v>
      </c>
      <c r="S184" s="28">
        <v>42125</v>
      </c>
      <c r="T184" s="29">
        <v>1263.08</v>
      </c>
    </row>
    <row r="185" spans="1:20" s="7" customFormat="1" hidden="1" outlineLevel="3" x14ac:dyDescent="0.2">
      <c r="A185" s="7" t="s">
        <v>92</v>
      </c>
      <c r="C185" s="7" t="str">
        <f>+C178</f>
        <v>Steven</v>
      </c>
      <c r="D185" s="7" t="str">
        <f>+D178</f>
        <v>Levy</v>
      </c>
      <c r="E185" s="8" t="str">
        <f>E178</f>
        <v>ACCT</v>
      </c>
      <c r="G185" s="8" t="str">
        <f>G178</f>
        <v>LEVY0001</v>
      </c>
      <c r="K185" s="12">
        <f>+K178</f>
        <v>42125</v>
      </c>
      <c r="L185" s="8" t="str">
        <f>L178</f>
        <v>10467</v>
      </c>
      <c r="O185" s="8"/>
      <c r="T185" s="20"/>
    </row>
    <row r="186" spans="1:20" s="7" customFormat="1" hidden="1" outlineLevel="2" collapsed="1" x14ac:dyDescent="0.2">
      <c r="A186" s="7" t="s">
        <v>92</v>
      </c>
      <c r="C186" s="7" t="str">
        <f t="shared" si="19"/>
        <v>Steven</v>
      </c>
      <c r="D186" s="7" t="str">
        <f>+D185</f>
        <v>Levy</v>
      </c>
      <c r="E186" s="8" t="str">
        <f>E185</f>
        <v>ACCT</v>
      </c>
      <c r="G186" s="8" t="str">
        <f>G185</f>
        <v>LEVY0001</v>
      </c>
      <c r="K186" s="12">
        <f>+K185</f>
        <v>42125</v>
      </c>
      <c r="L186" s="8" t="str">
        <f>L185</f>
        <v>10467</v>
      </c>
      <c r="M186" s="33" t="str">
        <f>"Total for " &amp; $L186</f>
        <v>Total for 10467</v>
      </c>
      <c r="N186" s="34">
        <f>+K186</f>
        <v>42125</v>
      </c>
      <c r="O186" s="35"/>
      <c r="P186" s="33"/>
      <c r="Q186" s="33"/>
      <c r="R186" s="33"/>
      <c r="S186" s="33"/>
      <c r="T186" s="36">
        <f>SUBTOTAL(9,T178:T185)</f>
        <v>1479.53</v>
      </c>
    </row>
    <row r="187" spans="1:20" s="7" customFormat="1" hidden="1" outlineLevel="3" x14ac:dyDescent="0.2">
      <c r="A187" s="7" t="s">
        <v>92</v>
      </c>
      <c r="C187" s="7" t="str">
        <f t="shared" si="19"/>
        <v>Steven</v>
      </c>
      <c r="D187" s="7" t="str">
        <f>+D186</f>
        <v>Levy</v>
      </c>
      <c r="E187" s="8" t="str">
        <f>E186</f>
        <v>ACCT</v>
      </c>
      <c r="G187" s="8" t="str">
        <f>G186</f>
        <v>LEVY0001</v>
      </c>
      <c r="H187" s="26"/>
      <c r="I187" s="26"/>
      <c r="J187" s="26"/>
      <c r="K187" s="28">
        <f>+N187</f>
        <v>42156</v>
      </c>
      <c r="L187" s="26" t="str">
        <f>M187</f>
        <v>10492</v>
      </c>
      <c r="M187" s="26" t="str">
        <f>"10492"</f>
        <v>10492</v>
      </c>
      <c r="N187" s="28">
        <v>42156</v>
      </c>
      <c r="O187" s="26"/>
      <c r="P187" s="26"/>
      <c r="Q187" s="26"/>
      <c r="R187" s="26"/>
      <c r="S187" s="26"/>
      <c r="T187" s="27"/>
    </row>
    <row r="188" spans="1:20" s="7" customFormat="1" hidden="1" outlineLevel="3" x14ac:dyDescent="0.2">
      <c r="A188" s="7" t="s">
        <v>92</v>
      </c>
      <c r="C188" s="7" t="str">
        <f t="shared" si="19"/>
        <v>Steven</v>
      </c>
      <c r="D188" s="7" t="str">
        <f>+D187</f>
        <v>Levy</v>
      </c>
      <c r="E188" s="8" t="str">
        <f>E187</f>
        <v>ACCT</v>
      </c>
      <c r="G188" s="8" t="str">
        <f>G187</f>
        <v>LEVY0001</v>
      </c>
      <c r="H188" s="26"/>
      <c r="I188" s="26"/>
      <c r="J188" s="26"/>
      <c r="K188" s="28">
        <f>+K187</f>
        <v>42156</v>
      </c>
      <c r="L188" s="26" t="str">
        <f>L187</f>
        <v>10492</v>
      </c>
      <c r="M188" s="26"/>
      <c r="N188" s="26"/>
      <c r="O188" s="26" t="str">
        <f>"""GP Direct"",""Fabrikam, Inc."",""UPR30300"",""PAYRATE"",""0.00000"",""PAYROLCD"",""401K"",""STATECD"","""",""CHEKDATE"",""6/1/2015"",""UPRTRXAM"",""2.53000"""</f>
        <v>"GP Direct","Fabrikam, Inc.","UPR30300","PAYRATE","0.00000","PAYROLCD","401K","STATECD","","CHEKDATE","6/1/2015","UPRTRXAM","2.53000"</v>
      </c>
      <c r="P188" s="29">
        <v>0</v>
      </c>
      <c r="Q188" s="26" t="str">
        <f>"401K"</f>
        <v>401K</v>
      </c>
      <c r="R188" s="26"/>
      <c r="S188" s="28">
        <v>42156</v>
      </c>
      <c r="T188" s="29">
        <v>2.5299999999999998</v>
      </c>
    </row>
    <row r="189" spans="1:20" s="7" customFormat="1" hidden="1" outlineLevel="3" x14ac:dyDescent="0.2">
      <c r="A189" s="7" t="s">
        <v>92</v>
      </c>
      <c r="C189" s="7" t="str">
        <f t="shared" ref="C189:C194" si="24">+C188</f>
        <v>Steven</v>
      </c>
      <c r="D189" s="7" t="str">
        <f>+D188</f>
        <v>Levy</v>
      </c>
      <c r="E189" s="8" t="str">
        <f>E188</f>
        <v>ACCT</v>
      </c>
      <c r="G189" s="8" t="str">
        <f>G188</f>
        <v>LEVY0001</v>
      </c>
      <c r="H189" s="26"/>
      <c r="I189" s="26"/>
      <c r="J189" s="26"/>
      <c r="K189" s="28">
        <f>+K188</f>
        <v>42156</v>
      </c>
      <c r="L189" s="26" t="str">
        <f>L188</f>
        <v>10492</v>
      </c>
      <c r="M189" s="26"/>
      <c r="N189" s="26"/>
      <c r="O189" s="26" t="str">
        <f>"""GP Direct"",""Fabrikam, Inc."",""UPR30300"",""PAYRATE"",""0.00000"",""PAYROLCD"",""401K"",""STATECD"","""",""CHEKDATE"",""6/1/2015"",""UPRTRXAM"",""50.52000"""</f>
        <v>"GP Direct","Fabrikam, Inc.","UPR30300","PAYRATE","0.00000","PAYROLCD","401K","STATECD","","CHEKDATE","6/1/2015","UPRTRXAM","50.52000"</v>
      </c>
      <c r="P189" s="29">
        <v>0</v>
      </c>
      <c r="Q189" s="26" t="str">
        <f>"401K"</f>
        <v>401K</v>
      </c>
      <c r="R189" s="26"/>
      <c r="S189" s="28">
        <v>42156</v>
      </c>
      <c r="T189" s="29">
        <v>50.52</v>
      </c>
    </row>
    <row r="190" spans="1:20" s="7" customFormat="1" hidden="1" outlineLevel="3" x14ac:dyDescent="0.2">
      <c r="A190" s="7" t="s">
        <v>92</v>
      </c>
      <c r="C190" s="7" t="str">
        <f t="shared" si="24"/>
        <v>Steven</v>
      </c>
      <c r="D190" s="7" t="str">
        <f>+D189</f>
        <v>Levy</v>
      </c>
      <c r="E190" s="8" t="str">
        <f>E189</f>
        <v>ACCT</v>
      </c>
      <c r="G190" s="8" t="str">
        <f>G189</f>
        <v>LEVY0001</v>
      </c>
      <c r="H190" s="26"/>
      <c r="I190" s="26"/>
      <c r="J190" s="26"/>
      <c r="K190" s="28">
        <f>+K189</f>
        <v>42156</v>
      </c>
      <c r="L190" s="26" t="str">
        <f>L189</f>
        <v>10492</v>
      </c>
      <c r="M190" s="26"/>
      <c r="N190" s="26"/>
      <c r="O190" s="26" t="str">
        <f>"""GP Direct"",""Fabrikam, Inc."",""UPR30300"",""PAYRATE"",""0.00000"",""PAYROLCD"",""IL"",""STATECD"","""",""CHEKDATE"",""6/1/2015"",""UPRTRXAM"",""21.09000"""</f>
        <v>"GP Direct","Fabrikam, Inc.","UPR30300","PAYRATE","0.00000","PAYROLCD","IL","STATECD","","CHEKDATE","6/1/2015","UPRTRXAM","21.09000"</v>
      </c>
      <c r="P190" s="29">
        <v>0</v>
      </c>
      <c r="Q190" s="26" t="str">
        <f>"IL"</f>
        <v>IL</v>
      </c>
      <c r="R190" s="26"/>
      <c r="S190" s="28">
        <v>42156</v>
      </c>
      <c r="T190" s="29">
        <v>21.09</v>
      </c>
    </row>
    <row r="191" spans="1:20" s="7" customFormat="1" hidden="1" outlineLevel="3" x14ac:dyDescent="0.2">
      <c r="A191" s="7" t="s">
        <v>92</v>
      </c>
      <c r="C191" s="7" t="str">
        <f t="shared" si="24"/>
        <v>Steven</v>
      </c>
      <c r="D191" s="7" t="str">
        <f>+D190</f>
        <v>Levy</v>
      </c>
      <c r="E191" s="8" t="str">
        <f>E190</f>
        <v>ACCT</v>
      </c>
      <c r="G191" s="8" t="str">
        <f>G190</f>
        <v>LEVY0001</v>
      </c>
      <c r="H191" s="26"/>
      <c r="I191" s="26"/>
      <c r="J191" s="26"/>
      <c r="K191" s="28">
        <f>+K190</f>
        <v>42156</v>
      </c>
      <c r="L191" s="26" t="str">
        <f>L190</f>
        <v>10492</v>
      </c>
      <c r="M191" s="26"/>
      <c r="N191" s="26"/>
      <c r="O191" s="26" t="str">
        <f>"""GP Direct"",""Fabrikam, Inc."",""UPR30300"",""PAYRATE"",""0.00000"",""PAYROLCD"",""INS"",""STATECD"","""",""CHEKDATE"",""6/1/2015"",""UPRTRXAM"",""49.36000"""</f>
        <v>"GP Direct","Fabrikam, Inc.","UPR30300","PAYRATE","0.00000","PAYROLCD","INS","STATECD","","CHEKDATE","6/1/2015","UPRTRXAM","49.36000"</v>
      </c>
      <c r="P191" s="29">
        <v>0</v>
      </c>
      <c r="Q191" s="26" t="str">
        <f>"INS"</f>
        <v>INS</v>
      </c>
      <c r="R191" s="26"/>
      <c r="S191" s="28">
        <v>42156</v>
      </c>
      <c r="T191" s="29">
        <v>49.36</v>
      </c>
    </row>
    <row r="192" spans="1:20" s="7" customFormat="1" hidden="1" outlineLevel="3" x14ac:dyDescent="0.2">
      <c r="A192" s="7" t="s">
        <v>92</v>
      </c>
      <c r="C192" s="7" t="str">
        <f t="shared" si="24"/>
        <v>Steven</v>
      </c>
      <c r="D192" s="7" t="str">
        <f>+D191</f>
        <v>Levy</v>
      </c>
      <c r="E192" s="8" t="str">
        <f>E191</f>
        <v>ACCT</v>
      </c>
      <c r="G192" s="8" t="str">
        <f>G191</f>
        <v>LEVY0001</v>
      </c>
      <c r="H192" s="26"/>
      <c r="I192" s="26"/>
      <c r="J192" s="26"/>
      <c r="K192" s="28">
        <f>+K191</f>
        <v>42156</v>
      </c>
      <c r="L192" s="26" t="str">
        <f>L191</f>
        <v>10492</v>
      </c>
      <c r="M192" s="26"/>
      <c r="N192" s="26"/>
      <c r="O192" s="26" t="str">
        <f>"""GP Direct"",""Fabrikam, Inc."",""UPR30300"",""PAYRATE"",""0.00000"",""PAYROLCD"",""INS2"",""STATECD"","""",""CHEKDATE"",""6/1/2015"",""UPRTRXAM"",""72.95000"""</f>
        <v>"GP Direct","Fabrikam, Inc.","UPR30300","PAYRATE","0.00000","PAYROLCD","INS2","STATECD","","CHEKDATE","6/1/2015","UPRTRXAM","72.95000"</v>
      </c>
      <c r="P192" s="29">
        <v>0</v>
      </c>
      <c r="Q192" s="26" t="str">
        <f>"INS2"</f>
        <v>INS2</v>
      </c>
      <c r="R192" s="26"/>
      <c r="S192" s="28">
        <v>42156</v>
      </c>
      <c r="T192" s="29">
        <v>72.95</v>
      </c>
    </row>
    <row r="193" spans="1:20" s="7" customFormat="1" hidden="1" outlineLevel="3" x14ac:dyDescent="0.2">
      <c r="A193" s="7" t="s">
        <v>92</v>
      </c>
      <c r="C193" s="7" t="str">
        <f t="shared" si="24"/>
        <v>Steven</v>
      </c>
      <c r="D193" s="7" t="str">
        <f>+D192</f>
        <v>Levy</v>
      </c>
      <c r="E193" s="8" t="str">
        <f>E192</f>
        <v>ACCT</v>
      </c>
      <c r="G193" s="8" t="str">
        <f>G192</f>
        <v>LEVY0001</v>
      </c>
      <c r="H193" s="26"/>
      <c r="I193" s="26"/>
      <c r="J193" s="26"/>
      <c r="K193" s="28">
        <f>+K192</f>
        <v>42156</v>
      </c>
      <c r="L193" s="26" t="str">
        <f>L192</f>
        <v>10492</v>
      </c>
      <c r="M193" s="26"/>
      <c r="N193" s="26"/>
      <c r="O193" s="26" t="str">
        <f>"""GP Direct"",""Fabrikam, Inc."",""UPR30300"",""PAYRATE"",""0.00000"",""PAYROLCD"",""MED"",""STATECD"","""",""CHEKDATE"",""6/1/2015"",""UPRTRXAM"",""20.00000"""</f>
        <v>"GP Direct","Fabrikam, Inc.","UPR30300","PAYRATE","0.00000","PAYROLCD","MED","STATECD","","CHEKDATE","6/1/2015","UPRTRXAM","20.00000"</v>
      </c>
      <c r="P193" s="29">
        <v>0</v>
      </c>
      <c r="Q193" s="26" t="str">
        <f>"MED"</f>
        <v>MED</v>
      </c>
      <c r="R193" s="26"/>
      <c r="S193" s="28">
        <v>42156</v>
      </c>
      <c r="T193" s="29">
        <v>20</v>
      </c>
    </row>
    <row r="194" spans="1:20" s="7" customFormat="1" hidden="1" outlineLevel="3" x14ac:dyDescent="0.2">
      <c r="A194" s="7" t="s">
        <v>92</v>
      </c>
      <c r="C194" s="7" t="str">
        <f t="shared" si="24"/>
        <v>Steven</v>
      </c>
      <c r="D194" s="7" t="str">
        <f>+D193</f>
        <v>Levy</v>
      </c>
      <c r="E194" s="8" t="str">
        <f>E193</f>
        <v>ACCT</v>
      </c>
      <c r="G194" s="8" t="str">
        <f>G193</f>
        <v>LEVY0001</v>
      </c>
      <c r="H194" s="26"/>
      <c r="I194" s="26"/>
      <c r="J194" s="26"/>
      <c r="K194" s="28">
        <f>+K193</f>
        <v>42156</v>
      </c>
      <c r="L194" s="26" t="str">
        <f>L193</f>
        <v>10492</v>
      </c>
      <c r="M194" s="26"/>
      <c r="N194" s="26"/>
      <c r="O194" s="26" t="str">
        <f>"""GP Direct"",""Fabrikam, Inc."",""UPR30300"",""PAYRATE"",""30314.00000"",""PAYROLCD"",""SALY"",""STATECD"",""IL"",""CHEKDATE"",""6/1/2015"",""UPRTRXAM"",""1263.08000"""</f>
        <v>"GP Direct","Fabrikam, Inc.","UPR30300","PAYRATE","30314.00000","PAYROLCD","SALY","STATECD","IL","CHEKDATE","6/1/2015","UPRTRXAM","1263.08000"</v>
      </c>
      <c r="P194" s="29">
        <v>30314</v>
      </c>
      <c r="Q194" s="26" t="str">
        <f>"SALY"</f>
        <v>SALY</v>
      </c>
      <c r="R194" s="26" t="str">
        <f>"IL"</f>
        <v>IL</v>
      </c>
      <c r="S194" s="28">
        <v>42156</v>
      </c>
      <c r="T194" s="29">
        <v>1263.08</v>
      </c>
    </row>
    <row r="195" spans="1:20" s="7" customFormat="1" hidden="1" outlineLevel="3" x14ac:dyDescent="0.2">
      <c r="A195" s="7" t="s">
        <v>92</v>
      </c>
      <c r="C195" s="7" t="str">
        <f>+C188</f>
        <v>Steven</v>
      </c>
      <c r="D195" s="7" t="str">
        <f>+D188</f>
        <v>Levy</v>
      </c>
      <c r="E195" s="8" t="str">
        <f>E188</f>
        <v>ACCT</v>
      </c>
      <c r="G195" s="8" t="str">
        <f>G188</f>
        <v>LEVY0001</v>
      </c>
      <c r="K195" s="12">
        <f>+K188</f>
        <v>42156</v>
      </c>
      <c r="L195" s="8" t="str">
        <f>L188</f>
        <v>10492</v>
      </c>
      <c r="O195" s="8"/>
      <c r="T195" s="20"/>
    </row>
    <row r="196" spans="1:20" s="7" customFormat="1" hidden="1" outlineLevel="2" collapsed="1" x14ac:dyDescent="0.2">
      <c r="A196" s="7" t="s">
        <v>92</v>
      </c>
      <c r="C196" s="7" t="str">
        <f t="shared" si="19"/>
        <v>Steven</v>
      </c>
      <c r="D196" s="7" t="str">
        <f>+D195</f>
        <v>Levy</v>
      </c>
      <c r="E196" s="8" t="str">
        <f>E195</f>
        <v>ACCT</v>
      </c>
      <c r="G196" s="8" t="str">
        <f>G195</f>
        <v>LEVY0001</v>
      </c>
      <c r="K196" s="12">
        <f>+K195</f>
        <v>42156</v>
      </c>
      <c r="L196" s="8" t="str">
        <f>L195</f>
        <v>10492</v>
      </c>
      <c r="M196" s="33" t="str">
        <f>"Total for " &amp; $L196</f>
        <v>Total for 10492</v>
      </c>
      <c r="N196" s="34">
        <f>+K196</f>
        <v>42156</v>
      </c>
      <c r="O196" s="35"/>
      <c r="P196" s="33"/>
      <c r="Q196" s="33"/>
      <c r="R196" s="33"/>
      <c r="S196" s="33"/>
      <c r="T196" s="36">
        <f>SUBTOTAL(9,T188:T195)</f>
        <v>1479.53</v>
      </c>
    </row>
    <row r="197" spans="1:20" s="7" customFormat="1" hidden="1" outlineLevel="2" x14ac:dyDescent="0.2">
      <c r="A197" s="7" t="s">
        <v>92</v>
      </c>
      <c r="C197" s="7" t="str">
        <f>+C146</f>
        <v>Steven</v>
      </c>
      <c r="D197" s="7" t="str">
        <f>+D146</f>
        <v>Levy</v>
      </c>
      <c r="E197" s="8" t="str">
        <f>E146</f>
        <v>ACCT</v>
      </c>
      <c r="G197" s="8" t="str">
        <f>G146</f>
        <v>LEVY0001</v>
      </c>
      <c r="L197" s="8"/>
      <c r="O197" s="8"/>
      <c r="T197" s="20"/>
    </row>
    <row r="198" spans="1:20" s="7" customFormat="1" outlineLevel="1" collapsed="1" x14ac:dyDescent="0.2">
      <c r="A198" s="7" t="s">
        <v>92</v>
      </c>
      <c r="C198" s="7" t="str">
        <f t="shared" si="17"/>
        <v>Steven</v>
      </c>
      <c r="D198" s="7" t="str">
        <f>+D197</f>
        <v>Levy</v>
      </c>
      <c r="E198" s="8" t="str">
        <f>E197</f>
        <v>ACCT</v>
      </c>
      <c r="G198" s="8" t="str">
        <f>G197</f>
        <v>LEVY0001</v>
      </c>
      <c r="H198" s="30" t="str">
        <f>"Total for " &amp; $G198</f>
        <v>Total for LEVY0001</v>
      </c>
      <c r="I198" s="30" t="str">
        <f>+C198</f>
        <v>Steven</v>
      </c>
      <c r="J198" s="30" t="str">
        <f>+D198</f>
        <v>Levy</v>
      </c>
      <c r="K198" s="30"/>
      <c r="L198" s="31"/>
      <c r="M198" s="30"/>
      <c r="N198" s="30"/>
      <c r="O198" s="31"/>
      <c r="P198" s="30"/>
      <c r="Q198" s="30"/>
      <c r="R198" s="30"/>
      <c r="S198" s="30"/>
      <c r="T198" s="32">
        <f>SUBTOTAL(9,T138:T197)</f>
        <v>8877.18</v>
      </c>
    </row>
    <row r="199" spans="1:20" s="7" customFormat="1" hidden="1" outlineLevel="2" x14ac:dyDescent="0.2">
      <c r="A199" s="7" t="s">
        <v>92</v>
      </c>
      <c r="C199" s="7" t="str">
        <f t="shared" ref="C199" si="25">+I199</f>
        <v>Suanne</v>
      </c>
      <c r="D199" s="7" t="str">
        <f>+J199</f>
        <v>Nagata</v>
      </c>
      <c r="E199" s="8" t="str">
        <f>E198</f>
        <v>ACCT</v>
      </c>
      <c r="G199" s="8" t="str">
        <f>H199</f>
        <v>NAGA0001</v>
      </c>
      <c r="H199" s="24" t="str">
        <f>"NAGA0001"</f>
        <v>NAGA0001</v>
      </c>
      <c r="I199" s="25" t="str">
        <f>"Suanne"</f>
        <v>Suanne</v>
      </c>
      <c r="J199" s="25" t="str">
        <f>"Nagata"</f>
        <v>Nagata</v>
      </c>
      <c r="K199" s="26"/>
      <c r="L199" s="26"/>
      <c r="M199" s="26"/>
      <c r="N199" s="26"/>
      <c r="O199" s="26"/>
      <c r="P199" s="26"/>
      <c r="Q199" s="26"/>
      <c r="R199" s="26"/>
      <c r="S199" s="26"/>
      <c r="T199" s="27"/>
    </row>
    <row r="200" spans="1:20" s="7" customFormat="1" hidden="1" outlineLevel="3" x14ac:dyDescent="0.2">
      <c r="A200" s="7" t="s">
        <v>92</v>
      </c>
      <c r="C200" s="7" t="str">
        <f t="shared" ref="C200:C256" si="26">+C199</f>
        <v>Suanne</v>
      </c>
      <c r="D200" s="7" t="str">
        <f>+D199</f>
        <v>Nagata</v>
      </c>
      <c r="E200" s="8" t="str">
        <f>E199</f>
        <v>ACCT</v>
      </c>
      <c r="G200" s="8" t="str">
        <f>G199</f>
        <v>NAGA0001</v>
      </c>
      <c r="H200" s="26"/>
      <c r="I200" s="26"/>
      <c r="J200" s="26"/>
      <c r="K200" s="28">
        <f>+N200</f>
        <v>42005</v>
      </c>
      <c r="L200" s="26" t="str">
        <f>M200</f>
        <v>10372</v>
      </c>
      <c r="M200" s="26" t="str">
        <f>"10372"</f>
        <v>10372</v>
      </c>
      <c r="N200" s="28">
        <v>42005</v>
      </c>
      <c r="O200" s="26"/>
      <c r="P200" s="26"/>
      <c r="Q200" s="26"/>
      <c r="R200" s="26"/>
      <c r="S200" s="26"/>
      <c r="T200" s="27"/>
    </row>
    <row r="201" spans="1:20" s="7" customFormat="1" hidden="1" outlineLevel="3" x14ac:dyDescent="0.2">
      <c r="A201" s="7" t="s">
        <v>92</v>
      </c>
      <c r="C201" s="7" t="str">
        <f t="shared" si="26"/>
        <v>Suanne</v>
      </c>
      <c r="D201" s="7" t="str">
        <f>+D200</f>
        <v>Nagata</v>
      </c>
      <c r="E201" s="8" t="str">
        <f>E200</f>
        <v>ACCT</v>
      </c>
      <c r="G201" s="8" t="str">
        <f>G200</f>
        <v>NAGA0001</v>
      </c>
      <c r="H201" s="26"/>
      <c r="I201" s="26"/>
      <c r="J201" s="26"/>
      <c r="K201" s="28">
        <f>+K200</f>
        <v>42005</v>
      </c>
      <c r="L201" s="26" t="str">
        <f>L200</f>
        <v>10372</v>
      </c>
      <c r="M201" s="26"/>
      <c r="N201" s="26"/>
      <c r="O201" s="26" t="str">
        <f>"""GP Direct"",""Fabrikam, Inc."",""UPR30300"",""PAYRATE"",""0.00000"",""PAYROLCD"",""401K"",""STATECD"","""",""CHEKDATE"",""1/1/2015"",""UPRTRXAM"",""1.27000"""</f>
        <v>"GP Direct","Fabrikam, Inc.","UPR30300","PAYRATE","0.00000","PAYROLCD","401K","STATECD","","CHEKDATE","1/1/2015","UPRTRXAM","1.27000"</v>
      </c>
      <c r="P201" s="29">
        <v>0</v>
      </c>
      <c r="Q201" s="26" t="str">
        <f>"401K"</f>
        <v>401K</v>
      </c>
      <c r="R201" s="26"/>
      <c r="S201" s="28">
        <v>42005</v>
      </c>
      <c r="T201" s="29">
        <v>1.27</v>
      </c>
    </row>
    <row r="202" spans="1:20" s="7" customFormat="1" hidden="1" outlineLevel="3" x14ac:dyDescent="0.2">
      <c r="A202" s="7" t="s">
        <v>92</v>
      </c>
      <c r="C202" s="7" t="str">
        <f t="shared" ref="C202:C206" si="27">+C201</f>
        <v>Suanne</v>
      </c>
      <c r="D202" s="7" t="str">
        <f>+D201</f>
        <v>Nagata</v>
      </c>
      <c r="E202" s="8" t="str">
        <f>E201</f>
        <v>ACCT</v>
      </c>
      <c r="G202" s="8" t="str">
        <f>G201</f>
        <v>NAGA0001</v>
      </c>
      <c r="H202" s="26"/>
      <c r="I202" s="26"/>
      <c r="J202" s="26"/>
      <c r="K202" s="28">
        <f>+K201</f>
        <v>42005</v>
      </c>
      <c r="L202" s="26" t="str">
        <f>L201</f>
        <v>10372</v>
      </c>
      <c r="M202" s="26"/>
      <c r="N202" s="26"/>
      <c r="O202" s="26" t="str">
        <f>"""GP Direct"",""Fabrikam, Inc."",""UPR30300"",""PAYRATE"",""0.00000"",""PAYROLCD"",""401K"",""STATECD"","""",""CHEKDATE"",""1/1/2015"",""UPRTRXAM"",""25.46000"""</f>
        <v>"GP Direct","Fabrikam, Inc.","UPR30300","PAYRATE","0.00000","PAYROLCD","401K","STATECD","","CHEKDATE","1/1/2015","UPRTRXAM","25.46000"</v>
      </c>
      <c r="P202" s="29">
        <v>0</v>
      </c>
      <c r="Q202" s="26" t="str">
        <f>"401K"</f>
        <v>401K</v>
      </c>
      <c r="R202" s="26"/>
      <c r="S202" s="28">
        <v>42005</v>
      </c>
      <c r="T202" s="29">
        <v>25.46</v>
      </c>
    </row>
    <row r="203" spans="1:20" s="7" customFormat="1" hidden="1" outlineLevel="3" x14ac:dyDescent="0.2">
      <c r="A203" s="7" t="s">
        <v>92</v>
      </c>
      <c r="C203" s="7" t="str">
        <f t="shared" si="27"/>
        <v>Suanne</v>
      </c>
      <c r="D203" s="7" t="str">
        <f>+D202</f>
        <v>Nagata</v>
      </c>
      <c r="E203" s="8" t="str">
        <f>E202</f>
        <v>ACCT</v>
      </c>
      <c r="G203" s="8" t="str">
        <f>G202</f>
        <v>NAGA0001</v>
      </c>
      <c r="H203" s="26"/>
      <c r="I203" s="26"/>
      <c r="J203" s="26"/>
      <c r="K203" s="28">
        <f>+K202</f>
        <v>42005</v>
      </c>
      <c r="L203" s="26" t="str">
        <f>L202</f>
        <v>10372</v>
      </c>
      <c r="M203" s="26"/>
      <c r="N203" s="26"/>
      <c r="O203" s="26" t="str">
        <f>"""GP Direct"",""Fabrikam, Inc."",""UPR30300"",""PAYRATE"",""0.00000"",""PAYROLCD"",""IL"",""STATECD"","""",""CHEKDATE"",""1/1/2015"",""UPRTRXAM"",""23.29000"""</f>
        <v>"GP Direct","Fabrikam, Inc.","UPR30300","PAYRATE","0.00000","PAYROLCD","IL","STATECD","","CHEKDATE","1/1/2015","UPRTRXAM","23.29000"</v>
      </c>
      <c r="P203" s="29">
        <v>0</v>
      </c>
      <c r="Q203" s="26" t="str">
        <f>"IL"</f>
        <v>IL</v>
      </c>
      <c r="R203" s="26"/>
      <c r="S203" s="28">
        <v>42005</v>
      </c>
      <c r="T203" s="29">
        <v>23.29</v>
      </c>
    </row>
    <row r="204" spans="1:20" s="7" customFormat="1" hidden="1" outlineLevel="3" x14ac:dyDescent="0.2">
      <c r="A204" s="7" t="s">
        <v>92</v>
      </c>
      <c r="C204" s="7" t="str">
        <f t="shared" si="27"/>
        <v>Suanne</v>
      </c>
      <c r="D204" s="7" t="str">
        <f>+D203</f>
        <v>Nagata</v>
      </c>
      <c r="E204" s="8" t="str">
        <f>E203</f>
        <v>ACCT</v>
      </c>
      <c r="G204" s="8" t="str">
        <f>G203</f>
        <v>NAGA0001</v>
      </c>
      <c r="H204" s="26"/>
      <c r="I204" s="26"/>
      <c r="J204" s="26"/>
      <c r="K204" s="28">
        <f>+K203</f>
        <v>42005</v>
      </c>
      <c r="L204" s="26" t="str">
        <f>L203</f>
        <v>10372</v>
      </c>
      <c r="M204" s="26"/>
      <c r="N204" s="26"/>
      <c r="O204" s="26" t="str">
        <f>"""GP Direct"",""Fabrikam, Inc."",""UPR30300"",""PAYRATE"",""0.00000"",""PAYROLCD"",""INS"",""STATECD"","""",""CHEKDATE"",""1/1/2015"",""UPRTRXAM"",""49.36000"""</f>
        <v>"GP Direct","Fabrikam, Inc.","UPR30300","PAYRATE","0.00000","PAYROLCD","INS","STATECD","","CHEKDATE","1/1/2015","UPRTRXAM","49.36000"</v>
      </c>
      <c r="P204" s="29">
        <v>0</v>
      </c>
      <c r="Q204" s="26" t="str">
        <f>"INS"</f>
        <v>INS</v>
      </c>
      <c r="R204" s="26"/>
      <c r="S204" s="28">
        <v>42005</v>
      </c>
      <c r="T204" s="29">
        <v>49.36</v>
      </c>
    </row>
    <row r="205" spans="1:20" s="7" customFormat="1" hidden="1" outlineLevel="3" x14ac:dyDescent="0.2">
      <c r="A205" s="7" t="s">
        <v>92</v>
      </c>
      <c r="C205" s="7" t="str">
        <f t="shared" si="27"/>
        <v>Suanne</v>
      </c>
      <c r="D205" s="7" t="str">
        <f>+D204</f>
        <v>Nagata</v>
      </c>
      <c r="E205" s="8" t="str">
        <f>E204</f>
        <v>ACCT</v>
      </c>
      <c r="G205" s="8" t="str">
        <f>G204</f>
        <v>NAGA0001</v>
      </c>
      <c r="H205" s="26"/>
      <c r="I205" s="26"/>
      <c r="J205" s="26"/>
      <c r="K205" s="28">
        <f>+K204</f>
        <v>42005</v>
      </c>
      <c r="L205" s="26" t="str">
        <f>L204</f>
        <v>10372</v>
      </c>
      <c r="M205" s="26"/>
      <c r="N205" s="26"/>
      <c r="O205" s="26" t="str">
        <f>"""GP Direct"",""Fabrikam, Inc."",""UPR30300"",""PAYRATE"",""0.00000"",""PAYROLCD"",""MED"",""STATECD"","""",""CHEKDATE"",""1/1/2015"",""UPRTRXAM"",""5.00000"""</f>
        <v>"GP Direct","Fabrikam, Inc.","UPR30300","PAYRATE","0.00000","PAYROLCD","MED","STATECD","","CHEKDATE","1/1/2015","UPRTRXAM","5.00000"</v>
      </c>
      <c r="P205" s="29">
        <v>0</v>
      </c>
      <c r="Q205" s="26" t="str">
        <f>"MED"</f>
        <v>MED</v>
      </c>
      <c r="R205" s="26"/>
      <c r="S205" s="28">
        <v>42005</v>
      </c>
      <c r="T205" s="29">
        <v>5</v>
      </c>
    </row>
    <row r="206" spans="1:20" s="7" customFormat="1" hidden="1" outlineLevel="3" x14ac:dyDescent="0.2">
      <c r="A206" s="7" t="s">
        <v>92</v>
      </c>
      <c r="C206" s="7" t="str">
        <f t="shared" si="27"/>
        <v>Suanne</v>
      </c>
      <c r="D206" s="7" t="str">
        <f>+D205</f>
        <v>Nagata</v>
      </c>
      <c r="E206" s="8" t="str">
        <f>E205</f>
        <v>ACCT</v>
      </c>
      <c r="G206" s="8" t="str">
        <f>G205</f>
        <v>NAGA0001</v>
      </c>
      <c r="H206" s="26"/>
      <c r="I206" s="26"/>
      <c r="J206" s="26"/>
      <c r="K206" s="28">
        <f>+K205</f>
        <v>42005</v>
      </c>
      <c r="L206" s="26" t="str">
        <f>L205</f>
        <v>10372</v>
      </c>
      <c r="M206" s="26"/>
      <c r="N206" s="26"/>
      <c r="O206" s="26" t="str">
        <f>"""GP Direct"",""Fabrikam, Inc."",""UPR30300"",""PAYRATE"",""20366.00000"",""PAYROLCD"",""SALY"",""STATECD"",""IL"",""CHEKDATE"",""1/1/2015"",""UPRTRXAM"",""848.58000"""</f>
        <v>"GP Direct","Fabrikam, Inc.","UPR30300","PAYRATE","20366.00000","PAYROLCD","SALY","STATECD","IL","CHEKDATE","1/1/2015","UPRTRXAM","848.58000"</v>
      </c>
      <c r="P206" s="29">
        <v>20366</v>
      </c>
      <c r="Q206" s="26" t="str">
        <f>"SALY"</f>
        <v>SALY</v>
      </c>
      <c r="R206" s="26" t="str">
        <f>"IL"</f>
        <v>IL</v>
      </c>
      <c r="S206" s="28">
        <v>42005</v>
      </c>
      <c r="T206" s="29">
        <v>848.58</v>
      </c>
    </row>
    <row r="207" spans="1:20" s="7" customFormat="1" hidden="1" outlineLevel="3" x14ac:dyDescent="0.2">
      <c r="A207" s="7" t="s">
        <v>92</v>
      </c>
      <c r="C207" s="7" t="str">
        <f>+C201</f>
        <v>Suanne</v>
      </c>
      <c r="D207" s="7" t="str">
        <f>+D201</f>
        <v>Nagata</v>
      </c>
      <c r="E207" s="8" t="str">
        <f>E201</f>
        <v>ACCT</v>
      </c>
      <c r="G207" s="8" t="str">
        <f>G201</f>
        <v>NAGA0001</v>
      </c>
      <c r="K207" s="12">
        <f>+K201</f>
        <v>42005</v>
      </c>
      <c r="L207" s="8" t="str">
        <f>L201</f>
        <v>10372</v>
      </c>
      <c r="O207" s="8"/>
      <c r="T207" s="20"/>
    </row>
    <row r="208" spans="1:20" s="7" customFormat="1" hidden="1" outlineLevel="2" collapsed="1" x14ac:dyDescent="0.2">
      <c r="A208" s="7" t="s">
        <v>92</v>
      </c>
      <c r="C208" s="7" t="str">
        <f t="shared" si="26"/>
        <v>Suanne</v>
      </c>
      <c r="D208" s="7" t="str">
        <f>+D207</f>
        <v>Nagata</v>
      </c>
      <c r="E208" s="8" t="str">
        <f>E207</f>
        <v>ACCT</v>
      </c>
      <c r="G208" s="8" t="str">
        <f>G207</f>
        <v>NAGA0001</v>
      </c>
      <c r="K208" s="12">
        <f>+K207</f>
        <v>42005</v>
      </c>
      <c r="L208" s="8" t="str">
        <f>L207</f>
        <v>10372</v>
      </c>
      <c r="M208" s="33" t="str">
        <f>"Total for " &amp; $L208</f>
        <v>Total for 10372</v>
      </c>
      <c r="N208" s="34">
        <f>+K208</f>
        <v>42005</v>
      </c>
      <c r="O208" s="35"/>
      <c r="P208" s="33"/>
      <c r="Q208" s="33"/>
      <c r="R208" s="33"/>
      <c r="S208" s="33"/>
      <c r="T208" s="36">
        <f>SUBTOTAL(9,T201:T207)</f>
        <v>952.96</v>
      </c>
    </row>
    <row r="209" spans="1:20" s="7" customFormat="1" hidden="1" outlineLevel="3" x14ac:dyDescent="0.2">
      <c r="A209" s="7" t="s">
        <v>92</v>
      </c>
      <c r="C209" s="7" t="str">
        <f t="shared" ref="C209:C254" si="28">+C208</f>
        <v>Suanne</v>
      </c>
      <c r="D209" s="7" t="str">
        <f>+D208</f>
        <v>Nagata</v>
      </c>
      <c r="E209" s="8" t="str">
        <f>E208</f>
        <v>ACCT</v>
      </c>
      <c r="G209" s="8" t="str">
        <f>G208</f>
        <v>NAGA0001</v>
      </c>
      <c r="H209" s="26"/>
      <c r="I209" s="26"/>
      <c r="J209" s="26"/>
      <c r="K209" s="28">
        <f>+N209</f>
        <v>42036</v>
      </c>
      <c r="L209" s="26" t="str">
        <f>M209</f>
        <v>10397</v>
      </c>
      <c r="M209" s="26" t="str">
        <f>"10397"</f>
        <v>10397</v>
      </c>
      <c r="N209" s="28">
        <v>42036</v>
      </c>
      <c r="O209" s="26"/>
      <c r="P209" s="26"/>
      <c r="Q209" s="26"/>
      <c r="R209" s="26"/>
      <c r="S209" s="26"/>
      <c r="T209" s="27"/>
    </row>
    <row r="210" spans="1:20" s="7" customFormat="1" hidden="1" outlineLevel="3" x14ac:dyDescent="0.2">
      <c r="A210" s="7" t="s">
        <v>92</v>
      </c>
      <c r="C210" s="7" t="str">
        <f t="shared" si="28"/>
        <v>Suanne</v>
      </c>
      <c r="D210" s="7" t="str">
        <f>+D209</f>
        <v>Nagata</v>
      </c>
      <c r="E210" s="8" t="str">
        <f>E209</f>
        <v>ACCT</v>
      </c>
      <c r="G210" s="8" t="str">
        <f>G209</f>
        <v>NAGA0001</v>
      </c>
      <c r="H210" s="26"/>
      <c r="I210" s="26"/>
      <c r="J210" s="26"/>
      <c r="K210" s="28">
        <f>+K209</f>
        <v>42036</v>
      </c>
      <c r="L210" s="26" t="str">
        <f>L209</f>
        <v>10397</v>
      </c>
      <c r="M210" s="26"/>
      <c r="N210" s="26"/>
      <c r="O210" s="26" t="str">
        <f>"""GP Direct"",""Fabrikam, Inc."",""UPR30300"",""PAYRATE"",""0.00000"",""PAYROLCD"",""401K"",""STATECD"","""",""CHEKDATE"",""2/1/2015"",""UPRTRXAM"",""1.16000"""</f>
        <v>"GP Direct","Fabrikam, Inc.","UPR30300","PAYRATE","0.00000","PAYROLCD","401K","STATECD","","CHEKDATE","2/1/2015","UPRTRXAM","1.16000"</v>
      </c>
      <c r="P210" s="29">
        <v>0</v>
      </c>
      <c r="Q210" s="26" t="str">
        <f>"401K"</f>
        <v>401K</v>
      </c>
      <c r="R210" s="26"/>
      <c r="S210" s="28">
        <v>42036</v>
      </c>
      <c r="T210" s="29">
        <v>1.1599999999999999</v>
      </c>
    </row>
    <row r="211" spans="1:20" s="7" customFormat="1" hidden="1" outlineLevel="3" x14ac:dyDescent="0.2">
      <c r="A211" s="7" t="s">
        <v>92</v>
      </c>
      <c r="C211" s="7" t="str">
        <f t="shared" ref="C211:C216" si="29">+C210</f>
        <v>Suanne</v>
      </c>
      <c r="D211" s="7" t="str">
        <f>+D210</f>
        <v>Nagata</v>
      </c>
      <c r="E211" s="8" t="str">
        <f>E210</f>
        <v>ACCT</v>
      </c>
      <c r="G211" s="8" t="str">
        <f>G210</f>
        <v>NAGA0001</v>
      </c>
      <c r="H211" s="26"/>
      <c r="I211" s="26"/>
      <c r="J211" s="26"/>
      <c r="K211" s="28">
        <f>+K210</f>
        <v>42036</v>
      </c>
      <c r="L211" s="26" t="str">
        <f>L210</f>
        <v>10397</v>
      </c>
      <c r="M211" s="26"/>
      <c r="N211" s="26"/>
      <c r="O211" s="26" t="str">
        <f>"""GP Direct"",""Fabrikam, Inc."",""UPR30300"",""PAYRATE"",""0.00000"",""PAYROLCD"",""401K"",""STATECD"","""",""CHEKDATE"",""2/1/2015"",""UPRTRXAM"",""23.11000"""</f>
        <v>"GP Direct","Fabrikam, Inc.","UPR30300","PAYRATE","0.00000","PAYROLCD","401K","STATECD","","CHEKDATE","2/1/2015","UPRTRXAM","23.11000"</v>
      </c>
      <c r="P211" s="29">
        <v>0</v>
      </c>
      <c r="Q211" s="26" t="str">
        <f>"401K"</f>
        <v>401K</v>
      </c>
      <c r="R211" s="26"/>
      <c r="S211" s="28">
        <v>42036</v>
      </c>
      <c r="T211" s="29">
        <v>23.11</v>
      </c>
    </row>
    <row r="212" spans="1:20" s="7" customFormat="1" hidden="1" outlineLevel="3" x14ac:dyDescent="0.2">
      <c r="A212" s="7" t="s">
        <v>92</v>
      </c>
      <c r="C212" s="7" t="str">
        <f t="shared" si="29"/>
        <v>Suanne</v>
      </c>
      <c r="D212" s="7" t="str">
        <f>+D211</f>
        <v>Nagata</v>
      </c>
      <c r="E212" s="8" t="str">
        <f>E211</f>
        <v>ACCT</v>
      </c>
      <c r="G212" s="8" t="str">
        <f>G211</f>
        <v>NAGA0001</v>
      </c>
      <c r="H212" s="26"/>
      <c r="I212" s="26"/>
      <c r="J212" s="26"/>
      <c r="K212" s="28">
        <f>+K211</f>
        <v>42036</v>
      </c>
      <c r="L212" s="26" t="str">
        <f>L211</f>
        <v>10397</v>
      </c>
      <c r="M212" s="26"/>
      <c r="N212" s="26"/>
      <c r="O212" s="26" t="str">
        <f>"""GP Direct"",""Fabrikam, Inc."",""UPR30300"",""PAYRATE"",""0.00000"",""PAYROLCD"",""HOLI"",""STATECD"",""IL"",""CHEKDATE"",""2/1/2015"",""UPRTRXAM"",""0.00000"""</f>
        <v>"GP Direct","Fabrikam, Inc.","UPR30300","PAYRATE","0.00000","PAYROLCD","HOLI","STATECD","IL","CHEKDATE","2/1/2015","UPRTRXAM","0.00000"</v>
      </c>
      <c r="P212" s="29">
        <v>0</v>
      </c>
      <c r="Q212" s="26" t="str">
        <f>"HOLI"</f>
        <v>HOLI</v>
      </c>
      <c r="R212" s="26" t="str">
        <f>"IL"</f>
        <v>IL</v>
      </c>
      <c r="S212" s="28">
        <v>42036</v>
      </c>
      <c r="T212" s="29">
        <v>0</v>
      </c>
    </row>
    <row r="213" spans="1:20" s="7" customFormat="1" hidden="1" outlineLevel="3" x14ac:dyDescent="0.2">
      <c r="A213" s="7" t="s">
        <v>92</v>
      </c>
      <c r="C213" s="7" t="str">
        <f t="shared" si="29"/>
        <v>Suanne</v>
      </c>
      <c r="D213" s="7" t="str">
        <f>+D212</f>
        <v>Nagata</v>
      </c>
      <c r="E213" s="8" t="str">
        <f>E212</f>
        <v>ACCT</v>
      </c>
      <c r="G213" s="8" t="str">
        <f>G212</f>
        <v>NAGA0001</v>
      </c>
      <c r="H213" s="26"/>
      <c r="I213" s="26"/>
      <c r="J213" s="26"/>
      <c r="K213" s="28">
        <f>+K212</f>
        <v>42036</v>
      </c>
      <c r="L213" s="26" t="str">
        <f>L212</f>
        <v>10397</v>
      </c>
      <c r="M213" s="26"/>
      <c r="N213" s="26"/>
      <c r="O213" s="26" t="str">
        <f>"""GP Direct"",""Fabrikam, Inc."",""UPR30300"",""PAYRATE"",""0.00000"",""PAYROLCD"",""IL"",""STATECD"","""",""CHEKDATE"",""2/1/2015"",""UPRTRXAM"",""21.01000"""</f>
        <v>"GP Direct","Fabrikam, Inc.","UPR30300","PAYRATE","0.00000","PAYROLCD","IL","STATECD","","CHEKDATE","2/1/2015","UPRTRXAM","21.01000"</v>
      </c>
      <c r="P213" s="29">
        <v>0</v>
      </c>
      <c r="Q213" s="26" t="str">
        <f>"IL"</f>
        <v>IL</v>
      </c>
      <c r="R213" s="26"/>
      <c r="S213" s="28">
        <v>42036</v>
      </c>
      <c r="T213" s="29">
        <v>21.01</v>
      </c>
    </row>
    <row r="214" spans="1:20" s="7" customFormat="1" hidden="1" outlineLevel="3" x14ac:dyDescent="0.2">
      <c r="A214" s="7" t="s">
        <v>92</v>
      </c>
      <c r="C214" s="7" t="str">
        <f t="shared" si="29"/>
        <v>Suanne</v>
      </c>
      <c r="D214" s="7" t="str">
        <f>+D213</f>
        <v>Nagata</v>
      </c>
      <c r="E214" s="8" t="str">
        <f>E213</f>
        <v>ACCT</v>
      </c>
      <c r="G214" s="8" t="str">
        <f>G213</f>
        <v>NAGA0001</v>
      </c>
      <c r="H214" s="26"/>
      <c r="I214" s="26"/>
      <c r="J214" s="26"/>
      <c r="K214" s="28">
        <f>+K213</f>
        <v>42036</v>
      </c>
      <c r="L214" s="26" t="str">
        <f>L213</f>
        <v>10397</v>
      </c>
      <c r="M214" s="26"/>
      <c r="N214" s="26"/>
      <c r="O214" s="26" t="str">
        <f>"""GP Direct"",""Fabrikam, Inc."",""UPR30300"",""PAYRATE"",""0.00000"",""PAYROLCD"",""INS"",""STATECD"","""",""CHEKDATE"",""2/1/2015"",""UPRTRXAM"",""49.36000"""</f>
        <v>"GP Direct","Fabrikam, Inc.","UPR30300","PAYRATE","0.00000","PAYROLCD","INS","STATECD","","CHEKDATE","2/1/2015","UPRTRXAM","49.36000"</v>
      </c>
      <c r="P214" s="29">
        <v>0</v>
      </c>
      <c r="Q214" s="26" t="str">
        <f>"INS"</f>
        <v>INS</v>
      </c>
      <c r="R214" s="26"/>
      <c r="S214" s="28">
        <v>42036</v>
      </c>
      <c r="T214" s="29">
        <v>49.36</v>
      </c>
    </row>
    <row r="215" spans="1:20" s="7" customFormat="1" hidden="1" outlineLevel="3" x14ac:dyDescent="0.2">
      <c r="A215" s="7" t="s">
        <v>92</v>
      </c>
      <c r="C215" s="7" t="str">
        <f t="shared" si="29"/>
        <v>Suanne</v>
      </c>
      <c r="D215" s="7" t="str">
        <f>+D214</f>
        <v>Nagata</v>
      </c>
      <c r="E215" s="8" t="str">
        <f>E214</f>
        <v>ACCT</v>
      </c>
      <c r="G215" s="8" t="str">
        <f>G214</f>
        <v>NAGA0001</v>
      </c>
      <c r="H215" s="26"/>
      <c r="I215" s="26"/>
      <c r="J215" s="26"/>
      <c r="K215" s="28">
        <f>+K214</f>
        <v>42036</v>
      </c>
      <c r="L215" s="26" t="str">
        <f>L214</f>
        <v>10397</v>
      </c>
      <c r="M215" s="26"/>
      <c r="N215" s="26"/>
      <c r="O215" s="26" t="str">
        <f>"""GP Direct"",""Fabrikam, Inc."",""UPR30300"",""PAYRATE"",""0.00000"",""PAYROLCD"",""MED"",""STATECD"","""",""CHEKDATE"",""2/1/2015"",""UPRTRXAM"",""5.00000"""</f>
        <v>"GP Direct","Fabrikam, Inc.","UPR30300","PAYRATE","0.00000","PAYROLCD","MED","STATECD","","CHEKDATE","2/1/2015","UPRTRXAM","5.00000"</v>
      </c>
      <c r="P215" s="29">
        <v>0</v>
      </c>
      <c r="Q215" s="26" t="str">
        <f>"MED"</f>
        <v>MED</v>
      </c>
      <c r="R215" s="26"/>
      <c r="S215" s="28">
        <v>42036</v>
      </c>
      <c r="T215" s="29">
        <v>5</v>
      </c>
    </row>
    <row r="216" spans="1:20" s="7" customFormat="1" hidden="1" outlineLevel="3" x14ac:dyDescent="0.2">
      <c r="A216" s="7" t="s">
        <v>92</v>
      </c>
      <c r="C216" s="7" t="str">
        <f t="shared" si="29"/>
        <v>Suanne</v>
      </c>
      <c r="D216" s="7" t="str">
        <f>+D215</f>
        <v>Nagata</v>
      </c>
      <c r="E216" s="8" t="str">
        <f>E215</f>
        <v>ACCT</v>
      </c>
      <c r="G216" s="8" t="str">
        <f>G215</f>
        <v>NAGA0001</v>
      </c>
      <c r="H216" s="26"/>
      <c r="I216" s="26"/>
      <c r="J216" s="26"/>
      <c r="K216" s="28">
        <f>+K215</f>
        <v>42036</v>
      </c>
      <c r="L216" s="26" t="str">
        <f>L215</f>
        <v>10397</v>
      </c>
      <c r="M216" s="26"/>
      <c r="N216" s="26"/>
      <c r="O216" s="26" t="str">
        <f>"""GP Direct"",""Fabrikam, Inc."",""UPR30300"",""PAYRATE"",""9.79131"",""PAYROLCD"",""SALY"",""STATECD"",""IL"",""CHEKDATE"",""2/1/2015"",""UPRTRXAM"",""770.25000"""</f>
        <v>"GP Direct","Fabrikam, Inc.","UPR30300","PAYRATE","9.79131","PAYROLCD","SALY","STATECD","IL","CHEKDATE","2/1/2015","UPRTRXAM","770.25000"</v>
      </c>
      <c r="P216" s="29">
        <v>9.7912999999999997</v>
      </c>
      <c r="Q216" s="26" t="str">
        <f>"SALY"</f>
        <v>SALY</v>
      </c>
      <c r="R216" s="26" t="str">
        <f>"IL"</f>
        <v>IL</v>
      </c>
      <c r="S216" s="28">
        <v>42036</v>
      </c>
      <c r="T216" s="29">
        <v>770.25</v>
      </c>
    </row>
    <row r="217" spans="1:20" s="7" customFormat="1" hidden="1" outlineLevel="3" x14ac:dyDescent="0.2">
      <c r="A217" s="7" t="s">
        <v>92</v>
      </c>
      <c r="C217" s="7" t="str">
        <f>+C210</f>
        <v>Suanne</v>
      </c>
      <c r="D217" s="7" t="str">
        <f>+D210</f>
        <v>Nagata</v>
      </c>
      <c r="E217" s="8" t="str">
        <f>E210</f>
        <v>ACCT</v>
      </c>
      <c r="G217" s="8" t="str">
        <f>G210</f>
        <v>NAGA0001</v>
      </c>
      <c r="K217" s="12">
        <f>+K210</f>
        <v>42036</v>
      </c>
      <c r="L217" s="8" t="str">
        <f>L210</f>
        <v>10397</v>
      </c>
      <c r="O217" s="8"/>
      <c r="T217" s="20"/>
    </row>
    <row r="218" spans="1:20" s="7" customFormat="1" hidden="1" outlineLevel="2" collapsed="1" x14ac:dyDescent="0.2">
      <c r="A218" s="7" t="s">
        <v>92</v>
      </c>
      <c r="C218" s="7" t="str">
        <f t="shared" si="28"/>
        <v>Suanne</v>
      </c>
      <c r="D218" s="7" t="str">
        <f>+D217</f>
        <v>Nagata</v>
      </c>
      <c r="E218" s="8" t="str">
        <f>E217</f>
        <v>ACCT</v>
      </c>
      <c r="G218" s="8" t="str">
        <f>G217</f>
        <v>NAGA0001</v>
      </c>
      <c r="K218" s="12">
        <f>+K217</f>
        <v>42036</v>
      </c>
      <c r="L218" s="8" t="str">
        <f>L217</f>
        <v>10397</v>
      </c>
      <c r="M218" s="33" t="str">
        <f>"Total for " &amp; $L218</f>
        <v>Total for 10397</v>
      </c>
      <c r="N218" s="34">
        <f>+K218</f>
        <v>42036</v>
      </c>
      <c r="O218" s="35"/>
      <c r="P218" s="33"/>
      <c r="Q218" s="33"/>
      <c r="R218" s="33"/>
      <c r="S218" s="33"/>
      <c r="T218" s="36">
        <f>SUBTOTAL(9,T210:T217)</f>
        <v>869.89</v>
      </c>
    </row>
    <row r="219" spans="1:20" s="7" customFormat="1" hidden="1" outlineLevel="3" x14ac:dyDescent="0.2">
      <c r="A219" s="7" t="s">
        <v>92</v>
      </c>
      <c r="C219" s="7" t="str">
        <f t="shared" si="28"/>
        <v>Suanne</v>
      </c>
      <c r="D219" s="7" t="str">
        <f>+D218</f>
        <v>Nagata</v>
      </c>
      <c r="E219" s="8" t="str">
        <f>E218</f>
        <v>ACCT</v>
      </c>
      <c r="G219" s="8" t="str">
        <f>G218</f>
        <v>NAGA0001</v>
      </c>
      <c r="H219" s="26"/>
      <c r="I219" s="26"/>
      <c r="J219" s="26"/>
      <c r="K219" s="28">
        <f>+N219</f>
        <v>42064</v>
      </c>
      <c r="L219" s="26" t="str">
        <f>M219</f>
        <v>10422</v>
      </c>
      <c r="M219" s="26" t="str">
        <f>"10422"</f>
        <v>10422</v>
      </c>
      <c r="N219" s="28">
        <v>42064</v>
      </c>
      <c r="O219" s="26"/>
      <c r="P219" s="26"/>
      <c r="Q219" s="26"/>
      <c r="R219" s="26"/>
      <c r="S219" s="26"/>
      <c r="T219" s="27"/>
    </row>
    <row r="220" spans="1:20" s="7" customFormat="1" hidden="1" outlineLevel="3" x14ac:dyDescent="0.2">
      <c r="A220" s="7" t="s">
        <v>92</v>
      </c>
      <c r="C220" s="7" t="str">
        <f t="shared" si="28"/>
        <v>Suanne</v>
      </c>
      <c r="D220" s="7" t="str">
        <f>+D219</f>
        <v>Nagata</v>
      </c>
      <c r="E220" s="8" t="str">
        <f>E219</f>
        <v>ACCT</v>
      </c>
      <c r="G220" s="8" t="str">
        <f>G219</f>
        <v>NAGA0001</v>
      </c>
      <c r="H220" s="26"/>
      <c r="I220" s="26"/>
      <c r="J220" s="26"/>
      <c r="K220" s="28">
        <f>+K219</f>
        <v>42064</v>
      </c>
      <c r="L220" s="26" t="str">
        <f>L219</f>
        <v>10422</v>
      </c>
      <c r="M220" s="26"/>
      <c r="N220" s="26"/>
      <c r="O220" s="26" t="str">
        <f>"""GP Direct"",""Fabrikam, Inc."",""UPR30300"",""PAYRATE"",""0.00000"",""PAYROLCD"",""401K"",""STATECD"","""",""CHEKDATE"",""3/1/2015"",""UPRTRXAM"",""1.27000"""</f>
        <v>"GP Direct","Fabrikam, Inc.","UPR30300","PAYRATE","0.00000","PAYROLCD","401K","STATECD","","CHEKDATE","3/1/2015","UPRTRXAM","1.27000"</v>
      </c>
      <c r="P220" s="29">
        <v>0</v>
      </c>
      <c r="Q220" s="26" t="str">
        <f>"401K"</f>
        <v>401K</v>
      </c>
      <c r="R220" s="26"/>
      <c r="S220" s="28">
        <v>42064</v>
      </c>
      <c r="T220" s="29">
        <v>1.27</v>
      </c>
    </row>
    <row r="221" spans="1:20" s="7" customFormat="1" hidden="1" outlineLevel="3" x14ac:dyDescent="0.2">
      <c r="A221" s="7" t="s">
        <v>92</v>
      </c>
      <c r="C221" s="7" t="str">
        <f t="shared" ref="C221:C225" si="30">+C220</f>
        <v>Suanne</v>
      </c>
      <c r="D221" s="7" t="str">
        <f>+D220</f>
        <v>Nagata</v>
      </c>
      <c r="E221" s="8" t="str">
        <f>E220</f>
        <v>ACCT</v>
      </c>
      <c r="G221" s="8" t="str">
        <f>G220</f>
        <v>NAGA0001</v>
      </c>
      <c r="H221" s="26"/>
      <c r="I221" s="26"/>
      <c r="J221" s="26"/>
      <c r="K221" s="28">
        <f>+K220</f>
        <v>42064</v>
      </c>
      <c r="L221" s="26" t="str">
        <f>L220</f>
        <v>10422</v>
      </c>
      <c r="M221" s="26"/>
      <c r="N221" s="26"/>
      <c r="O221" s="26" t="str">
        <f>"""GP Direct"",""Fabrikam, Inc."",""UPR30300"",""PAYRATE"",""0.00000"",""PAYROLCD"",""401K"",""STATECD"","""",""CHEKDATE"",""3/1/2015"",""UPRTRXAM"",""25.46000"""</f>
        <v>"GP Direct","Fabrikam, Inc.","UPR30300","PAYRATE","0.00000","PAYROLCD","401K","STATECD","","CHEKDATE","3/1/2015","UPRTRXAM","25.46000"</v>
      </c>
      <c r="P221" s="29">
        <v>0</v>
      </c>
      <c r="Q221" s="26" t="str">
        <f>"401K"</f>
        <v>401K</v>
      </c>
      <c r="R221" s="26"/>
      <c r="S221" s="28">
        <v>42064</v>
      </c>
      <c r="T221" s="29">
        <v>25.46</v>
      </c>
    </row>
    <row r="222" spans="1:20" s="7" customFormat="1" hidden="1" outlineLevel="3" x14ac:dyDescent="0.2">
      <c r="A222" s="7" t="s">
        <v>92</v>
      </c>
      <c r="C222" s="7" t="str">
        <f t="shared" si="30"/>
        <v>Suanne</v>
      </c>
      <c r="D222" s="7" t="str">
        <f>+D221</f>
        <v>Nagata</v>
      </c>
      <c r="E222" s="8" t="str">
        <f>E221</f>
        <v>ACCT</v>
      </c>
      <c r="G222" s="8" t="str">
        <f>G221</f>
        <v>NAGA0001</v>
      </c>
      <c r="H222" s="26"/>
      <c r="I222" s="26"/>
      <c r="J222" s="26"/>
      <c r="K222" s="28">
        <f>+K221</f>
        <v>42064</v>
      </c>
      <c r="L222" s="26" t="str">
        <f>L221</f>
        <v>10422</v>
      </c>
      <c r="M222" s="26"/>
      <c r="N222" s="26"/>
      <c r="O222" s="26" t="str">
        <f>"""GP Direct"",""Fabrikam, Inc."",""UPR30300"",""PAYRATE"",""0.00000"",""PAYROLCD"",""IL"",""STATECD"","""",""CHEKDATE"",""3/1/2015"",""UPRTRXAM"",""23.29000"""</f>
        <v>"GP Direct","Fabrikam, Inc.","UPR30300","PAYRATE","0.00000","PAYROLCD","IL","STATECD","","CHEKDATE","3/1/2015","UPRTRXAM","23.29000"</v>
      </c>
      <c r="P222" s="29">
        <v>0</v>
      </c>
      <c r="Q222" s="26" t="str">
        <f>"IL"</f>
        <v>IL</v>
      </c>
      <c r="R222" s="26"/>
      <c r="S222" s="28">
        <v>42064</v>
      </c>
      <c r="T222" s="29">
        <v>23.29</v>
      </c>
    </row>
    <row r="223" spans="1:20" s="7" customFormat="1" hidden="1" outlineLevel="3" x14ac:dyDescent="0.2">
      <c r="A223" s="7" t="s">
        <v>92</v>
      </c>
      <c r="C223" s="7" t="str">
        <f t="shared" si="30"/>
        <v>Suanne</v>
      </c>
      <c r="D223" s="7" t="str">
        <f>+D222</f>
        <v>Nagata</v>
      </c>
      <c r="E223" s="8" t="str">
        <f>E222</f>
        <v>ACCT</v>
      </c>
      <c r="G223" s="8" t="str">
        <f>G222</f>
        <v>NAGA0001</v>
      </c>
      <c r="H223" s="26"/>
      <c r="I223" s="26"/>
      <c r="J223" s="26"/>
      <c r="K223" s="28">
        <f>+K222</f>
        <v>42064</v>
      </c>
      <c r="L223" s="26" t="str">
        <f>L222</f>
        <v>10422</v>
      </c>
      <c r="M223" s="26"/>
      <c r="N223" s="26"/>
      <c r="O223" s="26" t="str">
        <f>"""GP Direct"",""Fabrikam, Inc."",""UPR30300"",""PAYRATE"",""0.00000"",""PAYROLCD"",""INS"",""STATECD"","""",""CHEKDATE"",""3/1/2015"",""UPRTRXAM"",""49.36000"""</f>
        <v>"GP Direct","Fabrikam, Inc.","UPR30300","PAYRATE","0.00000","PAYROLCD","INS","STATECD","","CHEKDATE","3/1/2015","UPRTRXAM","49.36000"</v>
      </c>
      <c r="P223" s="29">
        <v>0</v>
      </c>
      <c r="Q223" s="26" t="str">
        <f>"INS"</f>
        <v>INS</v>
      </c>
      <c r="R223" s="26"/>
      <c r="S223" s="28">
        <v>42064</v>
      </c>
      <c r="T223" s="29">
        <v>49.36</v>
      </c>
    </row>
    <row r="224" spans="1:20" s="7" customFormat="1" hidden="1" outlineLevel="3" x14ac:dyDescent="0.2">
      <c r="A224" s="7" t="s">
        <v>92</v>
      </c>
      <c r="C224" s="7" t="str">
        <f t="shared" si="30"/>
        <v>Suanne</v>
      </c>
      <c r="D224" s="7" t="str">
        <f>+D223</f>
        <v>Nagata</v>
      </c>
      <c r="E224" s="8" t="str">
        <f>E223</f>
        <v>ACCT</v>
      </c>
      <c r="G224" s="8" t="str">
        <f>G223</f>
        <v>NAGA0001</v>
      </c>
      <c r="H224" s="26"/>
      <c r="I224" s="26"/>
      <c r="J224" s="26"/>
      <c r="K224" s="28">
        <f>+K223</f>
        <v>42064</v>
      </c>
      <c r="L224" s="26" t="str">
        <f>L223</f>
        <v>10422</v>
      </c>
      <c r="M224" s="26"/>
      <c r="N224" s="26"/>
      <c r="O224" s="26" t="str">
        <f>"""GP Direct"",""Fabrikam, Inc."",""UPR30300"",""PAYRATE"",""0.00000"",""PAYROLCD"",""MED"",""STATECD"","""",""CHEKDATE"",""3/1/2015"",""UPRTRXAM"",""5.00000"""</f>
        <v>"GP Direct","Fabrikam, Inc.","UPR30300","PAYRATE","0.00000","PAYROLCD","MED","STATECD","","CHEKDATE","3/1/2015","UPRTRXAM","5.00000"</v>
      </c>
      <c r="P224" s="29">
        <v>0</v>
      </c>
      <c r="Q224" s="26" t="str">
        <f>"MED"</f>
        <v>MED</v>
      </c>
      <c r="R224" s="26"/>
      <c r="S224" s="28">
        <v>42064</v>
      </c>
      <c r="T224" s="29">
        <v>5</v>
      </c>
    </row>
    <row r="225" spans="1:20" s="7" customFormat="1" hidden="1" outlineLevel="3" x14ac:dyDescent="0.2">
      <c r="A225" s="7" t="s">
        <v>92</v>
      </c>
      <c r="C225" s="7" t="str">
        <f t="shared" si="30"/>
        <v>Suanne</v>
      </c>
      <c r="D225" s="7" t="str">
        <f>+D224</f>
        <v>Nagata</v>
      </c>
      <c r="E225" s="8" t="str">
        <f>E224</f>
        <v>ACCT</v>
      </c>
      <c r="G225" s="8" t="str">
        <f>G224</f>
        <v>NAGA0001</v>
      </c>
      <c r="H225" s="26"/>
      <c r="I225" s="26"/>
      <c r="J225" s="26"/>
      <c r="K225" s="28">
        <f>+K224</f>
        <v>42064</v>
      </c>
      <c r="L225" s="26" t="str">
        <f>L224</f>
        <v>10422</v>
      </c>
      <c r="M225" s="26"/>
      <c r="N225" s="26"/>
      <c r="O225" s="26" t="str">
        <f>"""GP Direct"",""Fabrikam, Inc."",""UPR30300"",""PAYRATE"",""20366.00000"",""PAYROLCD"",""SALY"",""STATECD"",""IL"",""CHEKDATE"",""3/1/2015"",""UPRTRXAM"",""848.58000"""</f>
        <v>"GP Direct","Fabrikam, Inc.","UPR30300","PAYRATE","20366.00000","PAYROLCD","SALY","STATECD","IL","CHEKDATE","3/1/2015","UPRTRXAM","848.58000"</v>
      </c>
      <c r="P225" s="29">
        <v>20366</v>
      </c>
      <c r="Q225" s="26" t="str">
        <f>"SALY"</f>
        <v>SALY</v>
      </c>
      <c r="R225" s="26" t="str">
        <f>"IL"</f>
        <v>IL</v>
      </c>
      <c r="S225" s="28">
        <v>42064</v>
      </c>
      <c r="T225" s="29">
        <v>848.58</v>
      </c>
    </row>
    <row r="226" spans="1:20" s="7" customFormat="1" hidden="1" outlineLevel="3" x14ac:dyDescent="0.2">
      <c r="A226" s="7" t="s">
        <v>92</v>
      </c>
      <c r="C226" s="7" t="str">
        <f>+C220</f>
        <v>Suanne</v>
      </c>
      <c r="D226" s="7" t="str">
        <f>+D220</f>
        <v>Nagata</v>
      </c>
      <c r="E226" s="8" t="str">
        <f>E220</f>
        <v>ACCT</v>
      </c>
      <c r="G226" s="8" t="str">
        <f>G220</f>
        <v>NAGA0001</v>
      </c>
      <c r="K226" s="12">
        <f>+K220</f>
        <v>42064</v>
      </c>
      <c r="L226" s="8" t="str">
        <f>L220</f>
        <v>10422</v>
      </c>
      <c r="O226" s="8"/>
      <c r="T226" s="20"/>
    </row>
    <row r="227" spans="1:20" s="7" customFormat="1" hidden="1" outlineLevel="2" collapsed="1" x14ac:dyDescent="0.2">
      <c r="A227" s="7" t="s">
        <v>92</v>
      </c>
      <c r="C227" s="7" t="str">
        <f t="shared" si="28"/>
        <v>Suanne</v>
      </c>
      <c r="D227" s="7" t="str">
        <f>+D226</f>
        <v>Nagata</v>
      </c>
      <c r="E227" s="8" t="str">
        <f>E226</f>
        <v>ACCT</v>
      </c>
      <c r="G227" s="8" t="str">
        <f>G226</f>
        <v>NAGA0001</v>
      </c>
      <c r="K227" s="12">
        <f>+K226</f>
        <v>42064</v>
      </c>
      <c r="L227" s="8" t="str">
        <f>L226</f>
        <v>10422</v>
      </c>
      <c r="M227" s="33" t="str">
        <f>"Total for " &amp; $L227</f>
        <v>Total for 10422</v>
      </c>
      <c r="N227" s="34">
        <f>+K227</f>
        <v>42064</v>
      </c>
      <c r="O227" s="35"/>
      <c r="P227" s="33"/>
      <c r="Q227" s="33"/>
      <c r="R227" s="33"/>
      <c r="S227" s="33"/>
      <c r="T227" s="36">
        <f>SUBTOTAL(9,T220:T226)</f>
        <v>952.96</v>
      </c>
    </row>
    <row r="228" spans="1:20" s="7" customFormat="1" hidden="1" outlineLevel="3" x14ac:dyDescent="0.2">
      <c r="A228" s="7" t="s">
        <v>92</v>
      </c>
      <c r="C228" s="7" t="str">
        <f t="shared" si="28"/>
        <v>Suanne</v>
      </c>
      <c r="D228" s="7" t="str">
        <f>+D227</f>
        <v>Nagata</v>
      </c>
      <c r="E228" s="8" t="str">
        <f>E227</f>
        <v>ACCT</v>
      </c>
      <c r="G228" s="8" t="str">
        <f>G227</f>
        <v>NAGA0001</v>
      </c>
      <c r="H228" s="26"/>
      <c r="I228" s="26"/>
      <c r="J228" s="26"/>
      <c r="K228" s="28">
        <f>+N228</f>
        <v>42095</v>
      </c>
      <c r="L228" s="26" t="str">
        <f>M228</f>
        <v>10447</v>
      </c>
      <c r="M228" s="26" t="str">
        <f>"10447"</f>
        <v>10447</v>
      </c>
      <c r="N228" s="28">
        <v>42095</v>
      </c>
      <c r="O228" s="26"/>
      <c r="P228" s="26"/>
      <c r="Q228" s="26"/>
      <c r="R228" s="26"/>
      <c r="S228" s="26"/>
      <c r="T228" s="27"/>
    </row>
    <row r="229" spans="1:20" s="7" customFormat="1" hidden="1" outlineLevel="3" x14ac:dyDescent="0.2">
      <c r="A229" s="7" t="s">
        <v>92</v>
      </c>
      <c r="C229" s="7" t="str">
        <f t="shared" si="28"/>
        <v>Suanne</v>
      </c>
      <c r="D229" s="7" t="str">
        <f>+D228</f>
        <v>Nagata</v>
      </c>
      <c r="E229" s="8" t="str">
        <f>E228</f>
        <v>ACCT</v>
      </c>
      <c r="G229" s="8" t="str">
        <f>G228</f>
        <v>NAGA0001</v>
      </c>
      <c r="H229" s="26"/>
      <c r="I229" s="26"/>
      <c r="J229" s="26"/>
      <c r="K229" s="28">
        <f>+K228</f>
        <v>42095</v>
      </c>
      <c r="L229" s="26" t="str">
        <f>L228</f>
        <v>10447</v>
      </c>
      <c r="M229" s="26"/>
      <c r="N229" s="26"/>
      <c r="O229" s="26" t="str">
        <f>"""GP Direct"",""Fabrikam, Inc."",""UPR30300"",""PAYRATE"",""0.00000"",""PAYROLCD"",""401K"",""STATECD"","""",""CHEKDATE"",""4/1/2015"",""UPRTRXAM"",""1.27000"""</f>
        <v>"GP Direct","Fabrikam, Inc.","UPR30300","PAYRATE","0.00000","PAYROLCD","401K","STATECD","","CHEKDATE","4/1/2015","UPRTRXAM","1.27000"</v>
      </c>
      <c r="P229" s="29">
        <v>0</v>
      </c>
      <c r="Q229" s="26" t="str">
        <f>"401K"</f>
        <v>401K</v>
      </c>
      <c r="R229" s="26"/>
      <c r="S229" s="28">
        <v>42095</v>
      </c>
      <c r="T229" s="29">
        <v>1.27</v>
      </c>
    </row>
    <row r="230" spans="1:20" s="7" customFormat="1" hidden="1" outlineLevel="3" x14ac:dyDescent="0.2">
      <c r="A230" s="7" t="s">
        <v>92</v>
      </c>
      <c r="C230" s="7" t="str">
        <f t="shared" ref="C230:C234" si="31">+C229</f>
        <v>Suanne</v>
      </c>
      <c r="D230" s="7" t="str">
        <f>+D229</f>
        <v>Nagata</v>
      </c>
      <c r="E230" s="8" t="str">
        <f>E229</f>
        <v>ACCT</v>
      </c>
      <c r="G230" s="8" t="str">
        <f>G229</f>
        <v>NAGA0001</v>
      </c>
      <c r="H230" s="26"/>
      <c r="I230" s="26"/>
      <c r="J230" s="26"/>
      <c r="K230" s="28">
        <f>+K229</f>
        <v>42095</v>
      </c>
      <c r="L230" s="26" t="str">
        <f>L229</f>
        <v>10447</v>
      </c>
      <c r="M230" s="26"/>
      <c r="N230" s="26"/>
      <c r="O230" s="26" t="str">
        <f>"""GP Direct"",""Fabrikam, Inc."",""UPR30300"",""PAYRATE"",""0.00000"",""PAYROLCD"",""401K"",""STATECD"","""",""CHEKDATE"",""4/1/2015"",""UPRTRXAM"",""25.46000"""</f>
        <v>"GP Direct","Fabrikam, Inc.","UPR30300","PAYRATE","0.00000","PAYROLCD","401K","STATECD","","CHEKDATE","4/1/2015","UPRTRXAM","25.46000"</v>
      </c>
      <c r="P230" s="29">
        <v>0</v>
      </c>
      <c r="Q230" s="26" t="str">
        <f>"401K"</f>
        <v>401K</v>
      </c>
      <c r="R230" s="26"/>
      <c r="S230" s="28">
        <v>42095</v>
      </c>
      <c r="T230" s="29">
        <v>25.46</v>
      </c>
    </row>
    <row r="231" spans="1:20" s="7" customFormat="1" hidden="1" outlineLevel="3" x14ac:dyDescent="0.2">
      <c r="A231" s="7" t="s">
        <v>92</v>
      </c>
      <c r="C231" s="7" t="str">
        <f t="shared" si="31"/>
        <v>Suanne</v>
      </c>
      <c r="D231" s="7" t="str">
        <f>+D230</f>
        <v>Nagata</v>
      </c>
      <c r="E231" s="8" t="str">
        <f>E230</f>
        <v>ACCT</v>
      </c>
      <c r="G231" s="8" t="str">
        <f>G230</f>
        <v>NAGA0001</v>
      </c>
      <c r="H231" s="26"/>
      <c r="I231" s="26"/>
      <c r="J231" s="26"/>
      <c r="K231" s="28">
        <f>+K230</f>
        <v>42095</v>
      </c>
      <c r="L231" s="26" t="str">
        <f>L230</f>
        <v>10447</v>
      </c>
      <c r="M231" s="26"/>
      <c r="N231" s="26"/>
      <c r="O231" s="26" t="str">
        <f>"""GP Direct"",""Fabrikam, Inc."",""UPR30300"",""PAYRATE"",""0.00000"",""PAYROLCD"",""IL"",""STATECD"","""",""CHEKDATE"",""4/1/2015"",""UPRTRXAM"",""23.29000"""</f>
        <v>"GP Direct","Fabrikam, Inc.","UPR30300","PAYRATE","0.00000","PAYROLCD","IL","STATECD","","CHEKDATE","4/1/2015","UPRTRXAM","23.29000"</v>
      </c>
      <c r="P231" s="29">
        <v>0</v>
      </c>
      <c r="Q231" s="26" t="str">
        <f>"IL"</f>
        <v>IL</v>
      </c>
      <c r="R231" s="26"/>
      <c r="S231" s="28">
        <v>42095</v>
      </c>
      <c r="T231" s="29">
        <v>23.29</v>
      </c>
    </row>
    <row r="232" spans="1:20" s="7" customFormat="1" hidden="1" outlineLevel="3" x14ac:dyDescent="0.2">
      <c r="A232" s="7" t="s">
        <v>92</v>
      </c>
      <c r="C232" s="7" t="str">
        <f t="shared" si="31"/>
        <v>Suanne</v>
      </c>
      <c r="D232" s="7" t="str">
        <f>+D231</f>
        <v>Nagata</v>
      </c>
      <c r="E232" s="8" t="str">
        <f>E231</f>
        <v>ACCT</v>
      </c>
      <c r="G232" s="8" t="str">
        <f>G231</f>
        <v>NAGA0001</v>
      </c>
      <c r="H232" s="26"/>
      <c r="I232" s="26"/>
      <c r="J232" s="26"/>
      <c r="K232" s="28">
        <f>+K231</f>
        <v>42095</v>
      </c>
      <c r="L232" s="26" t="str">
        <f>L231</f>
        <v>10447</v>
      </c>
      <c r="M232" s="26"/>
      <c r="N232" s="26"/>
      <c r="O232" s="26" t="str">
        <f>"""GP Direct"",""Fabrikam, Inc."",""UPR30300"",""PAYRATE"",""0.00000"",""PAYROLCD"",""INS"",""STATECD"","""",""CHEKDATE"",""4/1/2015"",""UPRTRXAM"",""49.36000"""</f>
        <v>"GP Direct","Fabrikam, Inc.","UPR30300","PAYRATE","0.00000","PAYROLCD","INS","STATECD","","CHEKDATE","4/1/2015","UPRTRXAM","49.36000"</v>
      </c>
      <c r="P232" s="29">
        <v>0</v>
      </c>
      <c r="Q232" s="26" t="str">
        <f>"INS"</f>
        <v>INS</v>
      </c>
      <c r="R232" s="26"/>
      <c r="S232" s="28">
        <v>42095</v>
      </c>
      <c r="T232" s="29">
        <v>49.36</v>
      </c>
    </row>
    <row r="233" spans="1:20" s="7" customFormat="1" hidden="1" outlineLevel="3" x14ac:dyDescent="0.2">
      <c r="A233" s="7" t="s">
        <v>92</v>
      </c>
      <c r="C233" s="7" t="str">
        <f t="shared" si="31"/>
        <v>Suanne</v>
      </c>
      <c r="D233" s="7" t="str">
        <f>+D232</f>
        <v>Nagata</v>
      </c>
      <c r="E233" s="8" t="str">
        <f>E232</f>
        <v>ACCT</v>
      </c>
      <c r="G233" s="8" t="str">
        <f>G232</f>
        <v>NAGA0001</v>
      </c>
      <c r="H233" s="26"/>
      <c r="I233" s="26"/>
      <c r="J233" s="26"/>
      <c r="K233" s="28">
        <f>+K232</f>
        <v>42095</v>
      </c>
      <c r="L233" s="26" t="str">
        <f>L232</f>
        <v>10447</v>
      </c>
      <c r="M233" s="26"/>
      <c r="N233" s="26"/>
      <c r="O233" s="26" t="str">
        <f>"""GP Direct"",""Fabrikam, Inc."",""UPR30300"",""PAYRATE"",""0.00000"",""PAYROLCD"",""MED"",""STATECD"","""",""CHEKDATE"",""4/1/2015"",""UPRTRXAM"",""5.00000"""</f>
        <v>"GP Direct","Fabrikam, Inc.","UPR30300","PAYRATE","0.00000","PAYROLCD","MED","STATECD","","CHEKDATE","4/1/2015","UPRTRXAM","5.00000"</v>
      </c>
      <c r="P233" s="29">
        <v>0</v>
      </c>
      <c r="Q233" s="26" t="str">
        <f>"MED"</f>
        <v>MED</v>
      </c>
      <c r="R233" s="26"/>
      <c r="S233" s="28">
        <v>42095</v>
      </c>
      <c r="T233" s="29">
        <v>5</v>
      </c>
    </row>
    <row r="234" spans="1:20" s="7" customFormat="1" hidden="1" outlineLevel="3" x14ac:dyDescent="0.2">
      <c r="A234" s="7" t="s">
        <v>92</v>
      </c>
      <c r="C234" s="7" t="str">
        <f t="shared" si="31"/>
        <v>Suanne</v>
      </c>
      <c r="D234" s="7" t="str">
        <f>+D233</f>
        <v>Nagata</v>
      </c>
      <c r="E234" s="8" t="str">
        <f>E233</f>
        <v>ACCT</v>
      </c>
      <c r="G234" s="8" t="str">
        <f>G233</f>
        <v>NAGA0001</v>
      </c>
      <c r="H234" s="26"/>
      <c r="I234" s="26"/>
      <c r="J234" s="26"/>
      <c r="K234" s="28">
        <f>+K233</f>
        <v>42095</v>
      </c>
      <c r="L234" s="26" t="str">
        <f>L233</f>
        <v>10447</v>
      </c>
      <c r="M234" s="26"/>
      <c r="N234" s="26"/>
      <c r="O234" s="26" t="str">
        <f>"""GP Direct"",""Fabrikam, Inc."",""UPR30300"",""PAYRATE"",""20366.00000"",""PAYROLCD"",""SALY"",""STATECD"",""IL"",""CHEKDATE"",""4/1/2015"",""UPRTRXAM"",""848.58000"""</f>
        <v>"GP Direct","Fabrikam, Inc.","UPR30300","PAYRATE","20366.00000","PAYROLCD","SALY","STATECD","IL","CHEKDATE","4/1/2015","UPRTRXAM","848.58000"</v>
      </c>
      <c r="P234" s="29">
        <v>20366</v>
      </c>
      <c r="Q234" s="26" t="str">
        <f>"SALY"</f>
        <v>SALY</v>
      </c>
      <c r="R234" s="26" t="str">
        <f>"IL"</f>
        <v>IL</v>
      </c>
      <c r="S234" s="28">
        <v>42095</v>
      </c>
      <c r="T234" s="29">
        <v>848.58</v>
      </c>
    </row>
    <row r="235" spans="1:20" s="7" customFormat="1" hidden="1" outlineLevel="3" x14ac:dyDescent="0.2">
      <c r="A235" s="7" t="s">
        <v>92</v>
      </c>
      <c r="C235" s="7" t="str">
        <f>+C229</f>
        <v>Suanne</v>
      </c>
      <c r="D235" s="7" t="str">
        <f>+D229</f>
        <v>Nagata</v>
      </c>
      <c r="E235" s="8" t="str">
        <f>E229</f>
        <v>ACCT</v>
      </c>
      <c r="G235" s="8" t="str">
        <f>G229</f>
        <v>NAGA0001</v>
      </c>
      <c r="K235" s="12">
        <f>+K229</f>
        <v>42095</v>
      </c>
      <c r="L235" s="8" t="str">
        <f>L229</f>
        <v>10447</v>
      </c>
      <c r="O235" s="8"/>
      <c r="T235" s="20"/>
    </row>
    <row r="236" spans="1:20" s="7" customFormat="1" hidden="1" outlineLevel="2" collapsed="1" x14ac:dyDescent="0.2">
      <c r="A236" s="7" t="s">
        <v>92</v>
      </c>
      <c r="C236" s="7" t="str">
        <f t="shared" si="28"/>
        <v>Suanne</v>
      </c>
      <c r="D236" s="7" t="str">
        <f>+D235</f>
        <v>Nagata</v>
      </c>
      <c r="E236" s="8" t="str">
        <f>E235</f>
        <v>ACCT</v>
      </c>
      <c r="G236" s="8" t="str">
        <f>G235</f>
        <v>NAGA0001</v>
      </c>
      <c r="K236" s="12">
        <f>+K235</f>
        <v>42095</v>
      </c>
      <c r="L236" s="8" t="str">
        <f>L235</f>
        <v>10447</v>
      </c>
      <c r="M236" s="33" t="str">
        <f>"Total for " &amp; $L236</f>
        <v>Total for 10447</v>
      </c>
      <c r="N236" s="34">
        <f>+K236</f>
        <v>42095</v>
      </c>
      <c r="O236" s="35"/>
      <c r="P236" s="33"/>
      <c r="Q236" s="33"/>
      <c r="R236" s="33"/>
      <c r="S236" s="33"/>
      <c r="T236" s="36">
        <f>SUBTOTAL(9,T229:T235)</f>
        <v>952.96</v>
      </c>
    </row>
    <row r="237" spans="1:20" s="7" customFormat="1" hidden="1" outlineLevel="3" x14ac:dyDescent="0.2">
      <c r="A237" s="7" t="s">
        <v>92</v>
      </c>
      <c r="C237" s="7" t="str">
        <f t="shared" si="28"/>
        <v>Suanne</v>
      </c>
      <c r="D237" s="7" t="str">
        <f>+D236</f>
        <v>Nagata</v>
      </c>
      <c r="E237" s="8" t="str">
        <f>E236</f>
        <v>ACCT</v>
      </c>
      <c r="G237" s="8" t="str">
        <f>G236</f>
        <v>NAGA0001</v>
      </c>
      <c r="H237" s="26"/>
      <c r="I237" s="26"/>
      <c r="J237" s="26"/>
      <c r="K237" s="28">
        <f>+N237</f>
        <v>42125</v>
      </c>
      <c r="L237" s="26" t="str">
        <f>M237</f>
        <v>10472</v>
      </c>
      <c r="M237" s="26" t="str">
        <f>"10472"</f>
        <v>10472</v>
      </c>
      <c r="N237" s="28">
        <v>42125</v>
      </c>
      <c r="O237" s="26"/>
      <c r="P237" s="26"/>
      <c r="Q237" s="26"/>
      <c r="R237" s="26"/>
      <c r="S237" s="26"/>
      <c r="T237" s="27"/>
    </row>
    <row r="238" spans="1:20" s="7" customFormat="1" hidden="1" outlineLevel="3" x14ac:dyDescent="0.2">
      <c r="A238" s="7" t="s">
        <v>92</v>
      </c>
      <c r="C238" s="7" t="str">
        <f t="shared" si="28"/>
        <v>Suanne</v>
      </c>
      <c r="D238" s="7" t="str">
        <f>+D237</f>
        <v>Nagata</v>
      </c>
      <c r="E238" s="8" t="str">
        <f>E237</f>
        <v>ACCT</v>
      </c>
      <c r="G238" s="8" t="str">
        <f>G237</f>
        <v>NAGA0001</v>
      </c>
      <c r="H238" s="26"/>
      <c r="I238" s="26"/>
      <c r="J238" s="26"/>
      <c r="K238" s="28">
        <f>+K237</f>
        <v>42125</v>
      </c>
      <c r="L238" s="26" t="str">
        <f>L237</f>
        <v>10472</v>
      </c>
      <c r="M238" s="26"/>
      <c r="N238" s="26"/>
      <c r="O238" s="26" t="str">
        <f>"""GP Direct"",""Fabrikam, Inc."",""UPR30300"",""PAYRATE"",""0.00000"",""PAYROLCD"",""401K"",""STATECD"","""",""CHEKDATE"",""5/1/2015"",""UPRTRXAM"",""1.27000"""</f>
        <v>"GP Direct","Fabrikam, Inc.","UPR30300","PAYRATE","0.00000","PAYROLCD","401K","STATECD","","CHEKDATE","5/1/2015","UPRTRXAM","1.27000"</v>
      </c>
      <c r="P238" s="29">
        <v>0</v>
      </c>
      <c r="Q238" s="26" t="str">
        <f>"401K"</f>
        <v>401K</v>
      </c>
      <c r="R238" s="26"/>
      <c r="S238" s="28">
        <v>42125</v>
      </c>
      <c r="T238" s="29">
        <v>1.27</v>
      </c>
    </row>
    <row r="239" spans="1:20" s="7" customFormat="1" hidden="1" outlineLevel="3" x14ac:dyDescent="0.2">
      <c r="A239" s="7" t="s">
        <v>92</v>
      </c>
      <c r="C239" s="7" t="str">
        <f t="shared" ref="C239:C243" si="32">+C238</f>
        <v>Suanne</v>
      </c>
      <c r="D239" s="7" t="str">
        <f>+D238</f>
        <v>Nagata</v>
      </c>
      <c r="E239" s="8" t="str">
        <f>E238</f>
        <v>ACCT</v>
      </c>
      <c r="G239" s="8" t="str">
        <f>G238</f>
        <v>NAGA0001</v>
      </c>
      <c r="H239" s="26"/>
      <c r="I239" s="26"/>
      <c r="J239" s="26"/>
      <c r="K239" s="28">
        <f>+K238</f>
        <v>42125</v>
      </c>
      <c r="L239" s="26" t="str">
        <f>L238</f>
        <v>10472</v>
      </c>
      <c r="M239" s="26"/>
      <c r="N239" s="26"/>
      <c r="O239" s="26" t="str">
        <f>"""GP Direct"",""Fabrikam, Inc."",""UPR30300"",""PAYRATE"",""0.00000"",""PAYROLCD"",""401K"",""STATECD"","""",""CHEKDATE"",""5/1/2015"",""UPRTRXAM"",""25.46000"""</f>
        <v>"GP Direct","Fabrikam, Inc.","UPR30300","PAYRATE","0.00000","PAYROLCD","401K","STATECD","","CHEKDATE","5/1/2015","UPRTRXAM","25.46000"</v>
      </c>
      <c r="P239" s="29">
        <v>0</v>
      </c>
      <c r="Q239" s="26" t="str">
        <f>"401K"</f>
        <v>401K</v>
      </c>
      <c r="R239" s="26"/>
      <c r="S239" s="28">
        <v>42125</v>
      </c>
      <c r="T239" s="29">
        <v>25.46</v>
      </c>
    </row>
    <row r="240" spans="1:20" s="7" customFormat="1" hidden="1" outlineLevel="3" x14ac:dyDescent="0.2">
      <c r="A240" s="7" t="s">
        <v>92</v>
      </c>
      <c r="C240" s="7" t="str">
        <f t="shared" si="32"/>
        <v>Suanne</v>
      </c>
      <c r="D240" s="7" t="str">
        <f>+D239</f>
        <v>Nagata</v>
      </c>
      <c r="E240" s="8" t="str">
        <f>E239</f>
        <v>ACCT</v>
      </c>
      <c r="G240" s="8" t="str">
        <f>G239</f>
        <v>NAGA0001</v>
      </c>
      <c r="H240" s="26"/>
      <c r="I240" s="26"/>
      <c r="J240" s="26"/>
      <c r="K240" s="28">
        <f>+K239</f>
        <v>42125</v>
      </c>
      <c r="L240" s="26" t="str">
        <f>L239</f>
        <v>10472</v>
      </c>
      <c r="M240" s="26"/>
      <c r="N240" s="26"/>
      <c r="O240" s="26" t="str">
        <f>"""GP Direct"",""Fabrikam, Inc."",""UPR30300"",""PAYRATE"",""0.00000"",""PAYROLCD"",""IL"",""STATECD"","""",""CHEKDATE"",""5/1/2015"",""UPRTRXAM"",""23.29000"""</f>
        <v>"GP Direct","Fabrikam, Inc.","UPR30300","PAYRATE","0.00000","PAYROLCD","IL","STATECD","","CHEKDATE","5/1/2015","UPRTRXAM","23.29000"</v>
      </c>
      <c r="P240" s="29">
        <v>0</v>
      </c>
      <c r="Q240" s="26" t="str">
        <f>"IL"</f>
        <v>IL</v>
      </c>
      <c r="R240" s="26"/>
      <c r="S240" s="28">
        <v>42125</v>
      </c>
      <c r="T240" s="29">
        <v>23.29</v>
      </c>
    </row>
    <row r="241" spans="1:20" s="7" customFormat="1" hidden="1" outlineLevel="3" x14ac:dyDescent="0.2">
      <c r="A241" s="7" t="s">
        <v>92</v>
      </c>
      <c r="C241" s="7" t="str">
        <f t="shared" si="32"/>
        <v>Suanne</v>
      </c>
      <c r="D241" s="7" t="str">
        <f>+D240</f>
        <v>Nagata</v>
      </c>
      <c r="E241" s="8" t="str">
        <f>E240</f>
        <v>ACCT</v>
      </c>
      <c r="G241" s="8" t="str">
        <f>G240</f>
        <v>NAGA0001</v>
      </c>
      <c r="H241" s="26"/>
      <c r="I241" s="26"/>
      <c r="J241" s="26"/>
      <c r="K241" s="28">
        <f>+K240</f>
        <v>42125</v>
      </c>
      <c r="L241" s="26" t="str">
        <f>L240</f>
        <v>10472</v>
      </c>
      <c r="M241" s="26"/>
      <c r="N241" s="26"/>
      <c r="O241" s="26" t="str">
        <f>"""GP Direct"",""Fabrikam, Inc."",""UPR30300"",""PAYRATE"",""0.00000"",""PAYROLCD"",""INS"",""STATECD"","""",""CHEKDATE"",""5/1/2015"",""UPRTRXAM"",""49.36000"""</f>
        <v>"GP Direct","Fabrikam, Inc.","UPR30300","PAYRATE","0.00000","PAYROLCD","INS","STATECD","","CHEKDATE","5/1/2015","UPRTRXAM","49.36000"</v>
      </c>
      <c r="P241" s="29">
        <v>0</v>
      </c>
      <c r="Q241" s="26" t="str">
        <f>"INS"</f>
        <v>INS</v>
      </c>
      <c r="R241" s="26"/>
      <c r="S241" s="28">
        <v>42125</v>
      </c>
      <c r="T241" s="29">
        <v>49.36</v>
      </c>
    </row>
    <row r="242" spans="1:20" s="7" customFormat="1" hidden="1" outlineLevel="3" x14ac:dyDescent="0.2">
      <c r="A242" s="7" t="s">
        <v>92</v>
      </c>
      <c r="C242" s="7" t="str">
        <f t="shared" si="32"/>
        <v>Suanne</v>
      </c>
      <c r="D242" s="7" t="str">
        <f>+D241</f>
        <v>Nagata</v>
      </c>
      <c r="E242" s="8" t="str">
        <f>E241</f>
        <v>ACCT</v>
      </c>
      <c r="G242" s="8" t="str">
        <f>G241</f>
        <v>NAGA0001</v>
      </c>
      <c r="H242" s="26"/>
      <c r="I242" s="26"/>
      <c r="J242" s="26"/>
      <c r="K242" s="28">
        <f>+K241</f>
        <v>42125</v>
      </c>
      <c r="L242" s="26" t="str">
        <f>L241</f>
        <v>10472</v>
      </c>
      <c r="M242" s="26"/>
      <c r="N242" s="26"/>
      <c r="O242" s="26" t="str">
        <f>"""GP Direct"",""Fabrikam, Inc."",""UPR30300"",""PAYRATE"",""0.00000"",""PAYROLCD"",""MED"",""STATECD"","""",""CHEKDATE"",""5/1/2015"",""UPRTRXAM"",""5.00000"""</f>
        <v>"GP Direct","Fabrikam, Inc.","UPR30300","PAYRATE","0.00000","PAYROLCD","MED","STATECD","","CHEKDATE","5/1/2015","UPRTRXAM","5.00000"</v>
      </c>
      <c r="P242" s="29">
        <v>0</v>
      </c>
      <c r="Q242" s="26" t="str">
        <f>"MED"</f>
        <v>MED</v>
      </c>
      <c r="R242" s="26"/>
      <c r="S242" s="28">
        <v>42125</v>
      </c>
      <c r="T242" s="29">
        <v>5</v>
      </c>
    </row>
    <row r="243" spans="1:20" s="7" customFormat="1" hidden="1" outlineLevel="3" x14ac:dyDescent="0.2">
      <c r="A243" s="7" t="s">
        <v>92</v>
      </c>
      <c r="C243" s="7" t="str">
        <f t="shared" si="32"/>
        <v>Suanne</v>
      </c>
      <c r="D243" s="7" t="str">
        <f>+D242</f>
        <v>Nagata</v>
      </c>
      <c r="E243" s="8" t="str">
        <f>E242</f>
        <v>ACCT</v>
      </c>
      <c r="G243" s="8" t="str">
        <f>G242</f>
        <v>NAGA0001</v>
      </c>
      <c r="H243" s="26"/>
      <c r="I243" s="26"/>
      <c r="J243" s="26"/>
      <c r="K243" s="28">
        <f>+K242</f>
        <v>42125</v>
      </c>
      <c r="L243" s="26" t="str">
        <f>L242</f>
        <v>10472</v>
      </c>
      <c r="M243" s="26"/>
      <c r="N243" s="26"/>
      <c r="O243" s="26" t="str">
        <f>"""GP Direct"",""Fabrikam, Inc."",""UPR30300"",""PAYRATE"",""20366.00000"",""PAYROLCD"",""SALY"",""STATECD"",""IL"",""CHEKDATE"",""5/1/2015"",""UPRTRXAM"",""848.58000"""</f>
        <v>"GP Direct","Fabrikam, Inc.","UPR30300","PAYRATE","20366.00000","PAYROLCD","SALY","STATECD","IL","CHEKDATE","5/1/2015","UPRTRXAM","848.58000"</v>
      </c>
      <c r="P243" s="29">
        <v>20366</v>
      </c>
      <c r="Q243" s="26" t="str">
        <f>"SALY"</f>
        <v>SALY</v>
      </c>
      <c r="R243" s="26" t="str">
        <f>"IL"</f>
        <v>IL</v>
      </c>
      <c r="S243" s="28">
        <v>42125</v>
      </c>
      <c r="T243" s="29">
        <v>848.58</v>
      </c>
    </row>
    <row r="244" spans="1:20" s="7" customFormat="1" hidden="1" outlineLevel="3" x14ac:dyDescent="0.2">
      <c r="A244" s="7" t="s">
        <v>92</v>
      </c>
      <c r="C244" s="7" t="str">
        <f>+C238</f>
        <v>Suanne</v>
      </c>
      <c r="D244" s="7" t="str">
        <f>+D238</f>
        <v>Nagata</v>
      </c>
      <c r="E244" s="8" t="str">
        <f>E238</f>
        <v>ACCT</v>
      </c>
      <c r="G244" s="8" t="str">
        <f>G238</f>
        <v>NAGA0001</v>
      </c>
      <c r="K244" s="12">
        <f>+K238</f>
        <v>42125</v>
      </c>
      <c r="L244" s="8" t="str">
        <f>L238</f>
        <v>10472</v>
      </c>
      <c r="O244" s="8"/>
      <c r="T244" s="20"/>
    </row>
    <row r="245" spans="1:20" s="7" customFormat="1" hidden="1" outlineLevel="2" collapsed="1" x14ac:dyDescent="0.2">
      <c r="A245" s="7" t="s">
        <v>92</v>
      </c>
      <c r="C245" s="7" t="str">
        <f t="shared" si="28"/>
        <v>Suanne</v>
      </c>
      <c r="D245" s="7" t="str">
        <f>+D244</f>
        <v>Nagata</v>
      </c>
      <c r="E245" s="8" t="str">
        <f>E244</f>
        <v>ACCT</v>
      </c>
      <c r="G245" s="8" t="str">
        <f>G244</f>
        <v>NAGA0001</v>
      </c>
      <c r="K245" s="12">
        <f>+K244</f>
        <v>42125</v>
      </c>
      <c r="L245" s="8" t="str">
        <f>L244</f>
        <v>10472</v>
      </c>
      <c r="M245" s="33" t="str">
        <f>"Total for " &amp; $L245</f>
        <v>Total for 10472</v>
      </c>
      <c r="N245" s="34">
        <f>+K245</f>
        <v>42125</v>
      </c>
      <c r="O245" s="35"/>
      <c r="P245" s="33"/>
      <c r="Q245" s="33"/>
      <c r="R245" s="33"/>
      <c r="S245" s="33"/>
      <c r="T245" s="36">
        <f>SUBTOTAL(9,T238:T244)</f>
        <v>952.96</v>
      </c>
    </row>
    <row r="246" spans="1:20" s="7" customFormat="1" hidden="1" outlineLevel="3" x14ac:dyDescent="0.2">
      <c r="A246" s="7" t="s">
        <v>92</v>
      </c>
      <c r="C246" s="7" t="str">
        <f t="shared" si="28"/>
        <v>Suanne</v>
      </c>
      <c r="D246" s="7" t="str">
        <f>+D245</f>
        <v>Nagata</v>
      </c>
      <c r="E246" s="8" t="str">
        <f>E245</f>
        <v>ACCT</v>
      </c>
      <c r="G246" s="8" t="str">
        <f>G245</f>
        <v>NAGA0001</v>
      </c>
      <c r="H246" s="26"/>
      <c r="I246" s="26"/>
      <c r="J246" s="26"/>
      <c r="K246" s="28">
        <f>+N246</f>
        <v>42156</v>
      </c>
      <c r="L246" s="26" t="str">
        <f>M246</f>
        <v>10497</v>
      </c>
      <c r="M246" s="26" t="str">
        <f>"10497"</f>
        <v>10497</v>
      </c>
      <c r="N246" s="28">
        <v>42156</v>
      </c>
      <c r="O246" s="26"/>
      <c r="P246" s="26"/>
      <c r="Q246" s="26"/>
      <c r="R246" s="26"/>
      <c r="S246" s="26"/>
      <c r="T246" s="27"/>
    </row>
    <row r="247" spans="1:20" s="7" customFormat="1" hidden="1" outlineLevel="3" x14ac:dyDescent="0.2">
      <c r="A247" s="7" t="s">
        <v>92</v>
      </c>
      <c r="C247" s="7" t="str">
        <f t="shared" si="28"/>
        <v>Suanne</v>
      </c>
      <c r="D247" s="7" t="str">
        <f>+D246</f>
        <v>Nagata</v>
      </c>
      <c r="E247" s="8" t="str">
        <f>E246</f>
        <v>ACCT</v>
      </c>
      <c r="G247" s="8" t="str">
        <f>G246</f>
        <v>NAGA0001</v>
      </c>
      <c r="H247" s="26"/>
      <c r="I247" s="26"/>
      <c r="J247" s="26"/>
      <c r="K247" s="28">
        <f>+K246</f>
        <v>42156</v>
      </c>
      <c r="L247" s="26" t="str">
        <f>L246</f>
        <v>10497</v>
      </c>
      <c r="M247" s="26"/>
      <c r="N247" s="26"/>
      <c r="O247" s="26" t="str">
        <f>"""GP Direct"",""Fabrikam, Inc."",""UPR30300"",""PAYRATE"",""0.00000"",""PAYROLCD"",""401K"",""STATECD"","""",""CHEKDATE"",""6/1/2015"",""UPRTRXAM"",""1.27000"""</f>
        <v>"GP Direct","Fabrikam, Inc.","UPR30300","PAYRATE","0.00000","PAYROLCD","401K","STATECD","","CHEKDATE","6/1/2015","UPRTRXAM","1.27000"</v>
      </c>
      <c r="P247" s="29">
        <v>0</v>
      </c>
      <c r="Q247" s="26" t="str">
        <f>"401K"</f>
        <v>401K</v>
      </c>
      <c r="R247" s="26"/>
      <c r="S247" s="28">
        <v>42156</v>
      </c>
      <c r="T247" s="29">
        <v>1.27</v>
      </c>
    </row>
    <row r="248" spans="1:20" s="7" customFormat="1" hidden="1" outlineLevel="3" x14ac:dyDescent="0.2">
      <c r="A248" s="7" t="s">
        <v>92</v>
      </c>
      <c r="C248" s="7" t="str">
        <f t="shared" ref="C248:C252" si="33">+C247</f>
        <v>Suanne</v>
      </c>
      <c r="D248" s="7" t="str">
        <f>+D247</f>
        <v>Nagata</v>
      </c>
      <c r="E248" s="8" t="str">
        <f>E247</f>
        <v>ACCT</v>
      </c>
      <c r="G248" s="8" t="str">
        <f>G247</f>
        <v>NAGA0001</v>
      </c>
      <c r="H248" s="26"/>
      <c r="I248" s="26"/>
      <c r="J248" s="26"/>
      <c r="K248" s="28">
        <f>+K247</f>
        <v>42156</v>
      </c>
      <c r="L248" s="26" t="str">
        <f>L247</f>
        <v>10497</v>
      </c>
      <c r="M248" s="26"/>
      <c r="N248" s="26"/>
      <c r="O248" s="26" t="str">
        <f>"""GP Direct"",""Fabrikam, Inc."",""UPR30300"",""PAYRATE"",""0.00000"",""PAYROLCD"",""401K"",""STATECD"","""",""CHEKDATE"",""6/1/2015"",""UPRTRXAM"",""25.46000"""</f>
        <v>"GP Direct","Fabrikam, Inc.","UPR30300","PAYRATE","0.00000","PAYROLCD","401K","STATECD","","CHEKDATE","6/1/2015","UPRTRXAM","25.46000"</v>
      </c>
      <c r="P248" s="29">
        <v>0</v>
      </c>
      <c r="Q248" s="26" t="str">
        <f>"401K"</f>
        <v>401K</v>
      </c>
      <c r="R248" s="26"/>
      <c r="S248" s="28">
        <v>42156</v>
      </c>
      <c r="T248" s="29">
        <v>25.46</v>
      </c>
    </row>
    <row r="249" spans="1:20" s="7" customFormat="1" hidden="1" outlineLevel="3" x14ac:dyDescent="0.2">
      <c r="A249" s="7" t="s">
        <v>92</v>
      </c>
      <c r="C249" s="7" t="str">
        <f t="shared" si="33"/>
        <v>Suanne</v>
      </c>
      <c r="D249" s="7" t="str">
        <f>+D248</f>
        <v>Nagata</v>
      </c>
      <c r="E249" s="8" t="str">
        <f>E248</f>
        <v>ACCT</v>
      </c>
      <c r="G249" s="8" t="str">
        <f>G248</f>
        <v>NAGA0001</v>
      </c>
      <c r="H249" s="26"/>
      <c r="I249" s="26"/>
      <c r="J249" s="26"/>
      <c r="K249" s="28">
        <f>+K248</f>
        <v>42156</v>
      </c>
      <c r="L249" s="26" t="str">
        <f>L248</f>
        <v>10497</v>
      </c>
      <c r="M249" s="26"/>
      <c r="N249" s="26"/>
      <c r="O249" s="26" t="str">
        <f>"""GP Direct"",""Fabrikam, Inc."",""UPR30300"",""PAYRATE"",""0.00000"",""PAYROLCD"",""IL"",""STATECD"","""",""CHEKDATE"",""6/1/2015"",""UPRTRXAM"",""23.29000"""</f>
        <v>"GP Direct","Fabrikam, Inc.","UPR30300","PAYRATE","0.00000","PAYROLCD","IL","STATECD","","CHEKDATE","6/1/2015","UPRTRXAM","23.29000"</v>
      </c>
      <c r="P249" s="29">
        <v>0</v>
      </c>
      <c r="Q249" s="26" t="str">
        <f>"IL"</f>
        <v>IL</v>
      </c>
      <c r="R249" s="26"/>
      <c r="S249" s="28">
        <v>42156</v>
      </c>
      <c r="T249" s="29">
        <v>23.29</v>
      </c>
    </row>
    <row r="250" spans="1:20" s="7" customFormat="1" hidden="1" outlineLevel="3" x14ac:dyDescent="0.2">
      <c r="A250" s="7" t="s">
        <v>92</v>
      </c>
      <c r="C250" s="7" t="str">
        <f t="shared" si="33"/>
        <v>Suanne</v>
      </c>
      <c r="D250" s="7" t="str">
        <f>+D249</f>
        <v>Nagata</v>
      </c>
      <c r="E250" s="8" t="str">
        <f>E249</f>
        <v>ACCT</v>
      </c>
      <c r="G250" s="8" t="str">
        <f>G249</f>
        <v>NAGA0001</v>
      </c>
      <c r="H250" s="26"/>
      <c r="I250" s="26"/>
      <c r="J250" s="26"/>
      <c r="K250" s="28">
        <f>+K249</f>
        <v>42156</v>
      </c>
      <c r="L250" s="26" t="str">
        <f>L249</f>
        <v>10497</v>
      </c>
      <c r="M250" s="26"/>
      <c r="N250" s="26"/>
      <c r="O250" s="26" t="str">
        <f>"""GP Direct"",""Fabrikam, Inc."",""UPR30300"",""PAYRATE"",""0.00000"",""PAYROLCD"",""INS"",""STATECD"","""",""CHEKDATE"",""6/1/2015"",""UPRTRXAM"",""49.36000"""</f>
        <v>"GP Direct","Fabrikam, Inc.","UPR30300","PAYRATE","0.00000","PAYROLCD","INS","STATECD","","CHEKDATE","6/1/2015","UPRTRXAM","49.36000"</v>
      </c>
      <c r="P250" s="29">
        <v>0</v>
      </c>
      <c r="Q250" s="26" t="str">
        <f>"INS"</f>
        <v>INS</v>
      </c>
      <c r="R250" s="26"/>
      <c r="S250" s="28">
        <v>42156</v>
      </c>
      <c r="T250" s="29">
        <v>49.36</v>
      </c>
    </row>
    <row r="251" spans="1:20" s="7" customFormat="1" hidden="1" outlineLevel="3" x14ac:dyDescent="0.2">
      <c r="A251" s="7" t="s">
        <v>92</v>
      </c>
      <c r="C251" s="7" t="str">
        <f t="shared" si="33"/>
        <v>Suanne</v>
      </c>
      <c r="D251" s="7" t="str">
        <f>+D250</f>
        <v>Nagata</v>
      </c>
      <c r="E251" s="8" t="str">
        <f>E250</f>
        <v>ACCT</v>
      </c>
      <c r="G251" s="8" t="str">
        <f>G250</f>
        <v>NAGA0001</v>
      </c>
      <c r="H251" s="26"/>
      <c r="I251" s="26"/>
      <c r="J251" s="26"/>
      <c r="K251" s="28">
        <f>+K250</f>
        <v>42156</v>
      </c>
      <c r="L251" s="26" t="str">
        <f>L250</f>
        <v>10497</v>
      </c>
      <c r="M251" s="26"/>
      <c r="N251" s="26"/>
      <c r="O251" s="26" t="str">
        <f>"""GP Direct"",""Fabrikam, Inc."",""UPR30300"",""PAYRATE"",""0.00000"",""PAYROLCD"",""MED"",""STATECD"","""",""CHEKDATE"",""6/1/2015"",""UPRTRXAM"",""5.00000"""</f>
        <v>"GP Direct","Fabrikam, Inc.","UPR30300","PAYRATE","0.00000","PAYROLCD","MED","STATECD","","CHEKDATE","6/1/2015","UPRTRXAM","5.00000"</v>
      </c>
      <c r="P251" s="29">
        <v>0</v>
      </c>
      <c r="Q251" s="26" t="str">
        <f>"MED"</f>
        <v>MED</v>
      </c>
      <c r="R251" s="26"/>
      <c r="S251" s="28">
        <v>42156</v>
      </c>
      <c r="T251" s="29">
        <v>5</v>
      </c>
    </row>
    <row r="252" spans="1:20" s="7" customFormat="1" hidden="1" outlineLevel="3" x14ac:dyDescent="0.2">
      <c r="A252" s="7" t="s">
        <v>92</v>
      </c>
      <c r="C252" s="7" t="str">
        <f t="shared" si="33"/>
        <v>Suanne</v>
      </c>
      <c r="D252" s="7" t="str">
        <f>+D251</f>
        <v>Nagata</v>
      </c>
      <c r="E252" s="8" t="str">
        <f>E251</f>
        <v>ACCT</v>
      </c>
      <c r="G252" s="8" t="str">
        <f>G251</f>
        <v>NAGA0001</v>
      </c>
      <c r="H252" s="26"/>
      <c r="I252" s="26"/>
      <c r="J252" s="26"/>
      <c r="K252" s="28">
        <f>+K251</f>
        <v>42156</v>
      </c>
      <c r="L252" s="26" t="str">
        <f>L251</f>
        <v>10497</v>
      </c>
      <c r="M252" s="26"/>
      <c r="N252" s="26"/>
      <c r="O252" s="26" t="str">
        <f>"""GP Direct"",""Fabrikam, Inc."",""UPR30300"",""PAYRATE"",""20366.00000"",""PAYROLCD"",""SALY"",""STATECD"",""IL"",""CHEKDATE"",""6/1/2015"",""UPRTRXAM"",""848.58000"""</f>
        <v>"GP Direct","Fabrikam, Inc.","UPR30300","PAYRATE","20366.00000","PAYROLCD","SALY","STATECD","IL","CHEKDATE","6/1/2015","UPRTRXAM","848.58000"</v>
      </c>
      <c r="P252" s="29">
        <v>20366</v>
      </c>
      <c r="Q252" s="26" t="str">
        <f>"SALY"</f>
        <v>SALY</v>
      </c>
      <c r="R252" s="26" t="str">
        <f>"IL"</f>
        <v>IL</v>
      </c>
      <c r="S252" s="28">
        <v>42156</v>
      </c>
      <c r="T252" s="29">
        <v>848.58</v>
      </c>
    </row>
    <row r="253" spans="1:20" s="7" customFormat="1" hidden="1" outlineLevel="3" x14ac:dyDescent="0.2">
      <c r="A253" s="7" t="s">
        <v>92</v>
      </c>
      <c r="C253" s="7" t="str">
        <f>+C247</f>
        <v>Suanne</v>
      </c>
      <c r="D253" s="7" t="str">
        <f>+D247</f>
        <v>Nagata</v>
      </c>
      <c r="E253" s="8" t="str">
        <f>E247</f>
        <v>ACCT</v>
      </c>
      <c r="G253" s="8" t="str">
        <f>G247</f>
        <v>NAGA0001</v>
      </c>
      <c r="K253" s="12">
        <f>+K247</f>
        <v>42156</v>
      </c>
      <c r="L253" s="8" t="str">
        <f>L247</f>
        <v>10497</v>
      </c>
      <c r="O253" s="8"/>
      <c r="T253" s="20"/>
    </row>
    <row r="254" spans="1:20" s="7" customFormat="1" hidden="1" outlineLevel="2" collapsed="1" x14ac:dyDescent="0.2">
      <c r="A254" s="7" t="s">
        <v>92</v>
      </c>
      <c r="C254" s="7" t="str">
        <f t="shared" si="28"/>
        <v>Suanne</v>
      </c>
      <c r="D254" s="7" t="str">
        <f>+D253</f>
        <v>Nagata</v>
      </c>
      <c r="E254" s="8" t="str">
        <f>E253</f>
        <v>ACCT</v>
      </c>
      <c r="G254" s="8" t="str">
        <f>G253</f>
        <v>NAGA0001</v>
      </c>
      <c r="K254" s="12">
        <f>+K253</f>
        <v>42156</v>
      </c>
      <c r="L254" s="8" t="str">
        <f>L253</f>
        <v>10497</v>
      </c>
      <c r="M254" s="33" t="str">
        <f>"Total for " &amp; $L254</f>
        <v>Total for 10497</v>
      </c>
      <c r="N254" s="34">
        <f>+K254</f>
        <v>42156</v>
      </c>
      <c r="O254" s="35"/>
      <c r="P254" s="33"/>
      <c r="Q254" s="33"/>
      <c r="R254" s="33"/>
      <c r="S254" s="33"/>
      <c r="T254" s="36">
        <f>SUBTOTAL(9,T247:T253)</f>
        <v>952.96</v>
      </c>
    </row>
    <row r="255" spans="1:20" s="7" customFormat="1" hidden="1" outlineLevel="2" x14ac:dyDescent="0.2">
      <c r="A255" s="7" t="s">
        <v>92</v>
      </c>
      <c r="C255" s="7" t="str">
        <f>+C208</f>
        <v>Suanne</v>
      </c>
      <c r="D255" s="7" t="str">
        <f>+D208</f>
        <v>Nagata</v>
      </c>
      <c r="E255" s="8" t="str">
        <f>E208</f>
        <v>ACCT</v>
      </c>
      <c r="G255" s="8" t="str">
        <f>G208</f>
        <v>NAGA0001</v>
      </c>
      <c r="L255" s="8"/>
      <c r="O255" s="8"/>
      <c r="T255" s="20"/>
    </row>
    <row r="256" spans="1:20" s="7" customFormat="1" outlineLevel="1" collapsed="1" x14ac:dyDescent="0.2">
      <c r="A256" s="7" t="s">
        <v>92</v>
      </c>
      <c r="C256" s="7" t="str">
        <f t="shared" si="26"/>
        <v>Suanne</v>
      </c>
      <c r="D256" s="7" t="str">
        <f>+D255</f>
        <v>Nagata</v>
      </c>
      <c r="E256" s="8" t="str">
        <f>E255</f>
        <v>ACCT</v>
      </c>
      <c r="G256" s="8" t="str">
        <f>G255</f>
        <v>NAGA0001</v>
      </c>
      <c r="H256" s="30" t="str">
        <f>"Total for " &amp; $G256</f>
        <v>Total for NAGA0001</v>
      </c>
      <c r="I256" s="30" t="str">
        <f>+C256</f>
        <v>Suanne</v>
      </c>
      <c r="J256" s="30" t="str">
        <f>+D256</f>
        <v>Nagata</v>
      </c>
      <c r="K256" s="30"/>
      <c r="L256" s="31"/>
      <c r="M256" s="30"/>
      <c r="N256" s="30"/>
      <c r="O256" s="31"/>
      <c r="P256" s="30"/>
      <c r="Q256" s="30"/>
      <c r="R256" s="30"/>
      <c r="S256" s="30"/>
      <c r="T256" s="32">
        <f>SUBTOTAL(9,T201:T255)</f>
        <v>5634.6900000000005</v>
      </c>
    </row>
    <row r="257" spans="1:20" s="7" customFormat="1" outlineLevel="1" x14ac:dyDescent="0.2">
      <c r="E257" s="8" t="str">
        <f>E77</f>
        <v>ACCT</v>
      </c>
      <c r="G257" s="8"/>
      <c r="L257" s="8"/>
      <c r="O257" s="8"/>
      <c r="T257" s="20"/>
    </row>
    <row r="258" spans="1:20" s="7" customFormat="1" x14ac:dyDescent="0.2">
      <c r="E258" s="8" t="str">
        <f>E257</f>
        <v>ACCT</v>
      </c>
      <c r="F258" s="13" t="str">
        <f>"Total for " &amp; F12</f>
        <v>Total for Accounting</v>
      </c>
      <c r="G258" s="13"/>
      <c r="H258" s="13"/>
      <c r="I258" s="13"/>
      <c r="J258" s="13"/>
      <c r="K258" s="13"/>
      <c r="L258" s="13"/>
      <c r="M258" s="13"/>
      <c r="N258" s="13"/>
      <c r="O258" s="13"/>
      <c r="P258" s="13"/>
      <c r="Q258" s="13"/>
      <c r="R258" s="13"/>
      <c r="S258" s="13"/>
      <c r="T258" s="21">
        <f>SUBTOTAL(9,T15:T257)</f>
        <v>26848.640000000018</v>
      </c>
    </row>
    <row r="259" spans="1:20" s="7" customFormat="1" hidden="1" outlineLevel="1" x14ac:dyDescent="0.2">
      <c r="A259" s="7" t="s">
        <v>92</v>
      </c>
      <c r="D259" s="9" t="str">
        <f>"ADMN"</f>
        <v>ADMN</v>
      </c>
      <c r="E259" s="8" t="str">
        <f>D259</f>
        <v>ADMN</v>
      </c>
      <c r="F259" s="11" t="str">
        <f>"Admin"</f>
        <v>Admin</v>
      </c>
      <c r="G259" s="8"/>
      <c r="L259" s="8"/>
      <c r="O259" s="8"/>
      <c r="T259" s="10"/>
    </row>
    <row r="260" spans="1:20" s="7" customFormat="1" hidden="1" outlineLevel="2" x14ac:dyDescent="0.2">
      <c r="A260" s="7" t="s">
        <v>92</v>
      </c>
      <c r="C260" s="7" t="str">
        <f t="shared" ref="C260" si="34">+I260</f>
        <v>Jay</v>
      </c>
      <c r="D260" s="7" t="str">
        <f>+J260</f>
        <v>Jamison</v>
      </c>
      <c r="E260" s="8" t="str">
        <f>E259</f>
        <v>ADMN</v>
      </c>
      <c r="G260" s="8" t="str">
        <f>H260</f>
        <v>JAMI0001</v>
      </c>
      <c r="H260" s="24" t="str">
        <f>"JAMI0001"</f>
        <v>JAMI0001</v>
      </c>
      <c r="I260" s="25" t="str">
        <f>"Jay"</f>
        <v>Jay</v>
      </c>
      <c r="J260" s="25" t="str">
        <f>"Jamison"</f>
        <v>Jamison</v>
      </c>
      <c r="K260" s="26"/>
      <c r="L260" s="26"/>
      <c r="M260" s="26"/>
      <c r="N260" s="26"/>
      <c r="O260" s="26"/>
      <c r="P260" s="26"/>
      <c r="Q260" s="26"/>
      <c r="R260" s="26"/>
      <c r="S260" s="26"/>
      <c r="T260" s="27"/>
    </row>
    <row r="261" spans="1:20" s="7" customFormat="1" hidden="1" outlineLevel="3" x14ac:dyDescent="0.2">
      <c r="A261" s="7" t="s">
        <v>92</v>
      </c>
      <c r="C261" s="7" t="str">
        <f t="shared" ref="C261:C317" si="35">+C260</f>
        <v>Jay</v>
      </c>
      <c r="D261" s="7" t="str">
        <f>+D260</f>
        <v>Jamison</v>
      </c>
      <c r="E261" s="8" t="str">
        <f>E260</f>
        <v>ADMN</v>
      </c>
      <c r="G261" s="8" t="str">
        <f>G260</f>
        <v>JAMI0001</v>
      </c>
      <c r="H261" s="26"/>
      <c r="I261" s="26"/>
      <c r="J261" s="26"/>
      <c r="K261" s="28">
        <f>+N261</f>
        <v>42005</v>
      </c>
      <c r="L261" s="26" t="str">
        <f>M261</f>
        <v>10364</v>
      </c>
      <c r="M261" s="26" t="str">
        <f>"10364"</f>
        <v>10364</v>
      </c>
      <c r="N261" s="28">
        <v>42005</v>
      </c>
      <c r="O261" s="26"/>
      <c r="P261" s="26"/>
      <c r="Q261" s="26"/>
      <c r="R261" s="26"/>
      <c r="S261" s="26"/>
      <c r="T261" s="27"/>
    </row>
    <row r="262" spans="1:20" s="7" customFormat="1" hidden="1" outlineLevel="3" x14ac:dyDescent="0.2">
      <c r="A262" s="7" t="s">
        <v>92</v>
      </c>
      <c r="C262" s="7" t="str">
        <f t="shared" si="35"/>
        <v>Jay</v>
      </c>
      <c r="D262" s="7" t="str">
        <f>+D261</f>
        <v>Jamison</v>
      </c>
      <c r="E262" s="8" t="str">
        <f>E261</f>
        <v>ADMN</v>
      </c>
      <c r="G262" s="8" t="str">
        <f>G261</f>
        <v>JAMI0001</v>
      </c>
      <c r="H262" s="26"/>
      <c r="I262" s="26"/>
      <c r="J262" s="26"/>
      <c r="K262" s="28">
        <f>+K261</f>
        <v>42005</v>
      </c>
      <c r="L262" s="26" t="str">
        <f>L261</f>
        <v>10364</v>
      </c>
      <c r="M262" s="26"/>
      <c r="N262" s="26"/>
      <c r="O262" s="26" t="str">
        <f>"""GP Direct"",""Fabrikam, Inc."",""UPR30300"",""PAYRATE"",""0.00000"",""PAYROLCD"",""401K"",""STATECD"","""",""CHEKDATE"",""1/1/2015"",""UPRTRXAM"",""2.03000"""</f>
        <v>"GP Direct","Fabrikam, Inc.","UPR30300","PAYRATE","0.00000","PAYROLCD","401K","STATECD","","CHEKDATE","1/1/2015","UPRTRXAM","2.03000"</v>
      </c>
      <c r="P262" s="29">
        <v>0</v>
      </c>
      <c r="Q262" s="26" t="str">
        <f>"401K"</f>
        <v>401K</v>
      </c>
      <c r="R262" s="26"/>
      <c r="S262" s="28">
        <v>42005</v>
      </c>
      <c r="T262" s="29">
        <v>2.0299999999999998</v>
      </c>
    </row>
    <row r="263" spans="1:20" s="7" customFormat="1" hidden="1" outlineLevel="3" x14ac:dyDescent="0.2">
      <c r="A263" s="7" t="s">
        <v>92</v>
      </c>
      <c r="C263" s="7" t="str">
        <f t="shared" ref="C263:C267" si="36">+C262</f>
        <v>Jay</v>
      </c>
      <c r="D263" s="7" t="str">
        <f>+D262</f>
        <v>Jamison</v>
      </c>
      <c r="E263" s="8" t="str">
        <f>E262</f>
        <v>ADMN</v>
      </c>
      <c r="G263" s="8" t="str">
        <f>G262</f>
        <v>JAMI0001</v>
      </c>
      <c r="H263" s="26"/>
      <c r="I263" s="26"/>
      <c r="J263" s="26"/>
      <c r="K263" s="28">
        <f>+K262</f>
        <v>42005</v>
      </c>
      <c r="L263" s="26" t="str">
        <f>L262</f>
        <v>10364</v>
      </c>
      <c r="M263" s="26"/>
      <c r="N263" s="26"/>
      <c r="O263" s="26" t="str">
        <f>"""GP Direct"",""Fabrikam, Inc."",""UPR30300"",""PAYRATE"",""0.00000"",""PAYROLCD"",""401K"",""STATECD"","""",""CHEKDATE"",""1/1/2015"",""UPRTRXAM"",""40.63000"""</f>
        <v>"GP Direct","Fabrikam, Inc.","UPR30300","PAYRATE","0.00000","PAYROLCD","401K","STATECD","","CHEKDATE","1/1/2015","UPRTRXAM","40.63000"</v>
      </c>
      <c r="P263" s="29">
        <v>0</v>
      </c>
      <c r="Q263" s="26" t="str">
        <f>"401K"</f>
        <v>401K</v>
      </c>
      <c r="R263" s="26"/>
      <c r="S263" s="28">
        <v>42005</v>
      </c>
      <c r="T263" s="29">
        <v>40.630000000000003</v>
      </c>
    </row>
    <row r="264" spans="1:20" s="7" customFormat="1" hidden="1" outlineLevel="3" x14ac:dyDescent="0.2">
      <c r="A264" s="7" t="s">
        <v>92</v>
      </c>
      <c r="C264" s="7" t="str">
        <f t="shared" si="36"/>
        <v>Jay</v>
      </c>
      <c r="D264" s="7" t="str">
        <f>+D263</f>
        <v>Jamison</v>
      </c>
      <c r="E264" s="8" t="str">
        <f>E263</f>
        <v>ADMN</v>
      </c>
      <c r="G264" s="8" t="str">
        <f>G263</f>
        <v>JAMI0001</v>
      </c>
      <c r="H264" s="26"/>
      <c r="I264" s="26"/>
      <c r="J264" s="26"/>
      <c r="K264" s="28">
        <f>+K263</f>
        <v>42005</v>
      </c>
      <c r="L264" s="26" t="str">
        <f>L263</f>
        <v>10364</v>
      </c>
      <c r="M264" s="26"/>
      <c r="N264" s="26"/>
      <c r="O264" s="26" t="str">
        <f>"""GP Direct"",""Fabrikam, Inc."",""UPR30300"",""PAYRATE"",""0.00000"",""PAYROLCD"",""IL"",""STATECD"","""",""CHEKDATE"",""1/1/2015"",""UPRTRXAM"",""38.01000"""</f>
        <v>"GP Direct","Fabrikam, Inc.","UPR30300","PAYRATE","0.00000","PAYROLCD","IL","STATECD","","CHEKDATE","1/1/2015","UPRTRXAM","38.01000"</v>
      </c>
      <c r="P264" s="29">
        <v>0</v>
      </c>
      <c r="Q264" s="26" t="str">
        <f>"IL"</f>
        <v>IL</v>
      </c>
      <c r="R264" s="26"/>
      <c r="S264" s="28">
        <v>42005</v>
      </c>
      <c r="T264" s="29">
        <v>38.01</v>
      </c>
    </row>
    <row r="265" spans="1:20" s="7" customFormat="1" hidden="1" outlineLevel="3" x14ac:dyDescent="0.2">
      <c r="A265" s="7" t="s">
        <v>92</v>
      </c>
      <c r="C265" s="7" t="str">
        <f t="shared" si="36"/>
        <v>Jay</v>
      </c>
      <c r="D265" s="7" t="str">
        <f>+D264</f>
        <v>Jamison</v>
      </c>
      <c r="E265" s="8" t="str">
        <f>E264</f>
        <v>ADMN</v>
      </c>
      <c r="G265" s="8" t="str">
        <f>G264</f>
        <v>JAMI0001</v>
      </c>
      <c r="H265" s="26"/>
      <c r="I265" s="26"/>
      <c r="J265" s="26"/>
      <c r="K265" s="28">
        <f>+K264</f>
        <v>42005</v>
      </c>
      <c r="L265" s="26" t="str">
        <f>L264</f>
        <v>10364</v>
      </c>
      <c r="M265" s="26"/>
      <c r="N265" s="26"/>
      <c r="O265" s="26" t="str">
        <f>"""GP Direct"",""Fabrikam, Inc."",""UPR30300"",""PAYRATE"",""0.00000"",""PAYROLCD"",""INS"",""STATECD"","""",""CHEKDATE"",""1/1/2015"",""UPRTRXAM"",""49.36000"""</f>
        <v>"GP Direct","Fabrikam, Inc.","UPR30300","PAYRATE","0.00000","PAYROLCD","INS","STATECD","","CHEKDATE","1/1/2015","UPRTRXAM","49.36000"</v>
      </c>
      <c r="P265" s="29">
        <v>0</v>
      </c>
      <c r="Q265" s="26" t="str">
        <f>"INS"</f>
        <v>INS</v>
      </c>
      <c r="R265" s="26"/>
      <c r="S265" s="28">
        <v>42005</v>
      </c>
      <c r="T265" s="29">
        <v>49.36</v>
      </c>
    </row>
    <row r="266" spans="1:20" s="7" customFormat="1" hidden="1" outlineLevel="3" x14ac:dyDescent="0.2">
      <c r="A266" s="7" t="s">
        <v>92</v>
      </c>
      <c r="C266" s="7" t="str">
        <f t="shared" si="36"/>
        <v>Jay</v>
      </c>
      <c r="D266" s="7" t="str">
        <f>+D265</f>
        <v>Jamison</v>
      </c>
      <c r="E266" s="8" t="str">
        <f>E265</f>
        <v>ADMN</v>
      </c>
      <c r="G266" s="8" t="str">
        <f>G265</f>
        <v>JAMI0001</v>
      </c>
      <c r="H266" s="26"/>
      <c r="I266" s="26"/>
      <c r="J266" s="26"/>
      <c r="K266" s="28">
        <f>+K265</f>
        <v>42005</v>
      </c>
      <c r="L266" s="26" t="str">
        <f>L265</f>
        <v>10364</v>
      </c>
      <c r="M266" s="26"/>
      <c r="N266" s="26"/>
      <c r="O266" s="26" t="str">
        <f>"""GP Direct"",""Fabrikam, Inc."",""UPR30300"",""PAYRATE"",""0.00000"",""PAYROLCD"",""MED"",""STATECD"","""",""CHEKDATE"",""1/1/2015"",""UPRTRXAM"",""5.00000"""</f>
        <v>"GP Direct","Fabrikam, Inc.","UPR30300","PAYRATE","0.00000","PAYROLCD","MED","STATECD","","CHEKDATE","1/1/2015","UPRTRXAM","5.00000"</v>
      </c>
      <c r="P266" s="29">
        <v>0</v>
      </c>
      <c r="Q266" s="26" t="str">
        <f>"MED"</f>
        <v>MED</v>
      </c>
      <c r="R266" s="26"/>
      <c r="S266" s="28">
        <v>42005</v>
      </c>
      <c r="T266" s="29">
        <v>5</v>
      </c>
    </row>
    <row r="267" spans="1:20" s="7" customFormat="1" hidden="1" outlineLevel="3" x14ac:dyDescent="0.2">
      <c r="A267" s="7" t="s">
        <v>92</v>
      </c>
      <c r="C267" s="7" t="str">
        <f t="shared" si="36"/>
        <v>Jay</v>
      </c>
      <c r="D267" s="7" t="str">
        <f>+D266</f>
        <v>Jamison</v>
      </c>
      <c r="E267" s="8" t="str">
        <f>E266</f>
        <v>ADMN</v>
      </c>
      <c r="G267" s="8" t="str">
        <f>G266</f>
        <v>JAMI0001</v>
      </c>
      <c r="H267" s="26"/>
      <c r="I267" s="26"/>
      <c r="J267" s="26"/>
      <c r="K267" s="28">
        <f>+K266</f>
        <v>42005</v>
      </c>
      <c r="L267" s="26" t="str">
        <f>L266</f>
        <v>10364</v>
      </c>
      <c r="M267" s="26"/>
      <c r="N267" s="26"/>
      <c r="O267" s="26" t="str">
        <f>"""GP Direct"",""Fabrikam, Inc."",""UPR30300"",""PAYRATE"",""32500.00000"",""PAYROLCD"",""SALY"",""STATECD"",""IL"",""CHEKDATE"",""1/1/2015"",""UPRTRXAM"",""1354.17000"""</f>
        <v>"GP Direct","Fabrikam, Inc.","UPR30300","PAYRATE","32500.00000","PAYROLCD","SALY","STATECD","IL","CHEKDATE","1/1/2015","UPRTRXAM","1354.17000"</v>
      </c>
      <c r="P267" s="29">
        <v>32500</v>
      </c>
      <c r="Q267" s="26" t="str">
        <f>"SALY"</f>
        <v>SALY</v>
      </c>
      <c r="R267" s="26" t="str">
        <f>"IL"</f>
        <v>IL</v>
      </c>
      <c r="S267" s="28">
        <v>42005</v>
      </c>
      <c r="T267" s="29">
        <v>1354.17</v>
      </c>
    </row>
    <row r="268" spans="1:20" s="7" customFormat="1" hidden="1" outlineLevel="3" x14ac:dyDescent="0.2">
      <c r="A268" s="7" t="s">
        <v>92</v>
      </c>
      <c r="C268" s="7" t="str">
        <f>+C262</f>
        <v>Jay</v>
      </c>
      <c r="D268" s="7" t="str">
        <f>+D262</f>
        <v>Jamison</v>
      </c>
      <c r="E268" s="8" t="str">
        <f>E262</f>
        <v>ADMN</v>
      </c>
      <c r="G268" s="8" t="str">
        <f>G262</f>
        <v>JAMI0001</v>
      </c>
      <c r="K268" s="12">
        <f>+K262</f>
        <v>42005</v>
      </c>
      <c r="L268" s="8" t="str">
        <f>L262</f>
        <v>10364</v>
      </c>
      <c r="O268" s="8"/>
      <c r="T268" s="20"/>
    </row>
    <row r="269" spans="1:20" s="7" customFormat="1" hidden="1" outlineLevel="2" collapsed="1" x14ac:dyDescent="0.2">
      <c r="A269" s="7" t="s">
        <v>92</v>
      </c>
      <c r="C269" s="7" t="str">
        <f t="shared" si="35"/>
        <v>Jay</v>
      </c>
      <c r="D269" s="7" t="str">
        <f>+D268</f>
        <v>Jamison</v>
      </c>
      <c r="E269" s="8" t="str">
        <f>E268</f>
        <v>ADMN</v>
      </c>
      <c r="G269" s="8" t="str">
        <f>G268</f>
        <v>JAMI0001</v>
      </c>
      <c r="K269" s="12">
        <f>+K268</f>
        <v>42005</v>
      </c>
      <c r="L269" s="8" t="str">
        <f>L268</f>
        <v>10364</v>
      </c>
      <c r="M269" s="33" t="str">
        <f>"Total for " &amp; $L269</f>
        <v>Total for 10364</v>
      </c>
      <c r="N269" s="34">
        <f>+K269</f>
        <v>42005</v>
      </c>
      <c r="O269" s="35"/>
      <c r="P269" s="33"/>
      <c r="Q269" s="33"/>
      <c r="R269" s="33"/>
      <c r="S269" s="33"/>
      <c r="T269" s="36">
        <f>SUBTOTAL(9,T262:T268)</f>
        <v>1489.2</v>
      </c>
    </row>
    <row r="270" spans="1:20" s="7" customFormat="1" hidden="1" outlineLevel="3" x14ac:dyDescent="0.2">
      <c r="A270" s="7" t="s">
        <v>92</v>
      </c>
      <c r="C270" s="7" t="str">
        <f t="shared" ref="C270:C315" si="37">+C269</f>
        <v>Jay</v>
      </c>
      <c r="D270" s="7" t="str">
        <f>+D269</f>
        <v>Jamison</v>
      </c>
      <c r="E270" s="8" t="str">
        <f>E269</f>
        <v>ADMN</v>
      </c>
      <c r="G270" s="8" t="str">
        <f>G269</f>
        <v>JAMI0001</v>
      </c>
      <c r="H270" s="26"/>
      <c r="I270" s="26"/>
      <c r="J270" s="26"/>
      <c r="K270" s="28">
        <f>+N270</f>
        <v>42036</v>
      </c>
      <c r="L270" s="26" t="str">
        <f>M270</f>
        <v>10389</v>
      </c>
      <c r="M270" s="26" t="str">
        <f>"10389"</f>
        <v>10389</v>
      </c>
      <c r="N270" s="28">
        <v>42036</v>
      </c>
      <c r="O270" s="26"/>
      <c r="P270" s="26"/>
      <c r="Q270" s="26"/>
      <c r="R270" s="26"/>
      <c r="S270" s="26"/>
      <c r="T270" s="27"/>
    </row>
    <row r="271" spans="1:20" s="7" customFormat="1" hidden="1" outlineLevel="3" x14ac:dyDescent="0.2">
      <c r="A271" s="7" t="s">
        <v>92</v>
      </c>
      <c r="C271" s="7" t="str">
        <f t="shared" si="37"/>
        <v>Jay</v>
      </c>
      <c r="D271" s="7" t="str">
        <f>+D270</f>
        <v>Jamison</v>
      </c>
      <c r="E271" s="8" t="str">
        <f>E270</f>
        <v>ADMN</v>
      </c>
      <c r="G271" s="8" t="str">
        <f>G270</f>
        <v>JAMI0001</v>
      </c>
      <c r="H271" s="26"/>
      <c r="I271" s="26"/>
      <c r="J271" s="26"/>
      <c r="K271" s="28">
        <f>+K270</f>
        <v>42036</v>
      </c>
      <c r="L271" s="26" t="str">
        <f>L270</f>
        <v>10389</v>
      </c>
      <c r="M271" s="26"/>
      <c r="N271" s="26"/>
      <c r="O271" s="26" t="str">
        <f>"""GP Direct"",""Fabrikam, Inc."",""UPR30300"",""PAYRATE"",""0.00000"",""PAYROLCD"",""401K"",""STATECD"","""",""CHEKDATE"",""2/1/2015"",""UPRTRXAM"",""2.03000"""</f>
        <v>"GP Direct","Fabrikam, Inc.","UPR30300","PAYRATE","0.00000","PAYROLCD","401K","STATECD","","CHEKDATE","2/1/2015","UPRTRXAM","2.03000"</v>
      </c>
      <c r="P271" s="29">
        <v>0</v>
      </c>
      <c r="Q271" s="26" t="str">
        <f>"401K"</f>
        <v>401K</v>
      </c>
      <c r="R271" s="26"/>
      <c r="S271" s="28">
        <v>42036</v>
      </c>
      <c r="T271" s="29">
        <v>2.0299999999999998</v>
      </c>
    </row>
    <row r="272" spans="1:20" s="7" customFormat="1" hidden="1" outlineLevel="3" x14ac:dyDescent="0.2">
      <c r="A272" s="7" t="s">
        <v>92</v>
      </c>
      <c r="C272" s="7" t="str">
        <f t="shared" ref="C272:C276" si="38">+C271</f>
        <v>Jay</v>
      </c>
      <c r="D272" s="7" t="str">
        <f>+D271</f>
        <v>Jamison</v>
      </c>
      <c r="E272" s="8" t="str">
        <f>E271</f>
        <v>ADMN</v>
      </c>
      <c r="G272" s="8" t="str">
        <f>G271</f>
        <v>JAMI0001</v>
      </c>
      <c r="H272" s="26"/>
      <c r="I272" s="26"/>
      <c r="J272" s="26"/>
      <c r="K272" s="28">
        <f>+K271</f>
        <v>42036</v>
      </c>
      <c r="L272" s="26" t="str">
        <f>L271</f>
        <v>10389</v>
      </c>
      <c r="M272" s="26"/>
      <c r="N272" s="26"/>
      <c r="O272" s="26" t="str">
        <f>"""GP Direct"",""Fabrikam, Inc."",""UPR30300"",""PAYRATE"",""0.00000"",""PAYROLCD"",""401K"",""STATECD"","""",""CHEKDATE"",""2/1/2015"",""UPRTRXAM"",""40.63000"""</f>
        <v>"GP Direct","Fabrikam, Inc.","UPR30300","PAYRATE","0.00000","PAYROLCD","401K","STATECD","","CHEKDATE","2/1/2015","UPRTRXAM","40.63000"</v>
      </c>
      <c r="P272" s="29">
        <v>0</v>
      </c>
      <c r="Q272" s="26" t="str">
        <f>"401K"</f>
        <v>401K</v>
      </c>
      <c r="R272" s="26"/>
      <c r="S272" s="28">
        <v>42036</v>
      </c>
      <c r="T272" s="29">
        <v>40.630000000000003</v>
      </c>
    </row>
    <row r="273" spans="1:20" s="7" customFormat="1" hidden="1" outlineLevel="3" x14ac:dyDescent="0.2">
      <c r="A273" s="7" t="s">
        <v>92</v>
      </c>
      <c r="C273" s="7" t="str">
        <f t="shared" si="38"/>
        <v>Jay</v>
      </c>
      <c r="D273" s="7" t="str">
        <f>+D272</f>
        <v>Jamison</v>
      </c>
      <c r="E273" s="8" t="str">
        <f>E272</f>
        <v>ADMN</v>
      </c>
      <c r="G273" s="8" t="str">
        <f>G272</f>
        <v>JAMI0001</v>
      </c>
      <c r="H273" s="26"/>
      <c r="I273" s="26"/>
      <c r="J273" s="26"/>
      <c r="K273" s="28">
        <f>+K272</f>
        <v>42036</v>
      </c>
      <c r="L273" s="26" t="str">
        <f>L272</f>
        <v>10389</v>
      </c>
      <c r="M273" s="26"/>
      <c r="N273" s="26"/>
      <c r="O273" s="26" t="str">
        <f>"""GP Direct"",""Fabrikam, Inc."",""UPR30300"",""PAYRATE"",""0.00000"",""PAYROLCD"",""IL"",""STATECD"","""",""CHEKDATE"",""2/1/2015"",""UPRTRXAM"",""38.01000"""</f>
        <v>"GP Direct","Fabrikam, Inc.","UPR30300","PAYRATE","0.00000","PAYROLCD","IL","STATECD","","CHEKDATE","2/1/2015","UPRTRXAM","38.01000"</v>
      </c>
      <c r="P273" s="29">
        <v>0</v>
      </c>
      <c r="Q273" s="26" t="str">
        <f>"IL"</f>
        <v>IL</v>
      </c>
      <c r="R273" s="26"/>
      <c r="S273" s="28">
        <v>42036</v>
      </c>
      <c r="T273" s="29">
        <v>38.01</v>
      </c>
    </row>
    <row r="274" spans="1:20" s="7" customFormat="1" hidden="1" outlineLevel="3" x14ac:dyDescent="0.2">
      <c r="A274" s="7" t="s">
        <v>92</v>
      </c>
      <c r="C274" s="7" t="str">
        <f t="shared" si="38"/>
        <v>Jay</v>
      </c>
      <c r="D274" s="7" t="str">
        <f>+D273</f>
        <v>Jamison</v>
      </c>
      <c r="E274" s="8" t="str">
        <f>E273</f>
        <v>ADMN</v>
      </c>
      <c r="G274" s="8" t="str">
        <f>G273</f>
        <v>JAMI0001</v>
      </c>
      <c r="H274" s="26"/>
      <c r="I274" s="26"/>
      <c r="J274" s="26"/>
      <c r="K274" s="28">
        <f>+K273</f>
        <v>42036</v>
      </c>
      <c r="L274" s="26" t="str">
        <f>L273</f>
        <v>10389</v>
      </c>
      <c r="M274" s="26"/>
      <c r="N274" s="26"/>
      <c r="O274" s="26" t="str">
        <f>"""GP Direct"",""Fabrikam, Inc."",""UPR30300"",""PAYRATE"",""0.00000"",""PAYROLCD"",""INS"",""STATECD"","""",""CHEKDATE"",""2/1/2015"",""UPRTRXAM"",""49.36000"""</f>
        <v>"GP Direct","Fabrikam, Inc.","UPR30300","PAYRATE","0.00000","PAYROLCD","INS","STATECD","","CHEKDATE","2/1/2015","UPRTRXAM","49.36000"</v>
      </c>
      <c r="P274" s="29">
        <v>0</v>
      </c>
      <c r="Q274" s="26" t="str">
        <f>"INS"</f>
        <v>INS</v>
      </c>
      <c r="R274" s="26"/>
      <c r="S274" s="28">
        <v>42036</v>
      </c>
      <c r="T274" s="29">
        <v>49.36</v>
      </c>
    </row>
    <row r="275" spans="1:20" s="7" customFormat="1" hidden="1" outlineLevel="3" x14ac:dyDescent="0.2">
      <c r="A275" s="7" t="s">
        <v>92</v>
      </c>
      <c r="C275" s="7" t="str">
        <f t="shared" si="38"/>
        <v>Jay</v>
      </c>
      <c r="D275" s="7" t="str">
        <f>+D274</f>
        <v>Jamison</v>
      </c>
      <c r="E275" s="8" t="str">
        <f>E274</f>
        <v>ADMN</v>
      </c>
      <c r="G275" s="8" t="str">
        <f>G274</f>
        <v>JAMI0001</v>
      </c>
      <c r="H275" s="26"/>
      <c r="I275" s="26"/>
      <c r="J275" s="26"/>
      <c r="K275" s="28">
        <f>+K274</f>
        <v>42036</v>
      </c>
      <c r="L275" s="26" t="str">
        <f>L274</f>
        <v>10389</v>
      </c>
      <c r="M275" s="26"/>
      <c r="N275" s="26"/>
      <c r="O275" s="26" t="str">
        <f>"""GP Direct"",""Fabrikam, Inc."",""UPR30300"",""PAYRATE"",""0.00000"",""PAYROLCD"",""MED"",""STATECD"","""",""CHEKDATE"",""2/1/2015"",""UPRTRXAM"",""5.00000"""</f>
        <v>"GP Direct","Fabrikam, Inc.","UPR30300","PAYRATE","0.00000","PAYROLCD","MED","STATECD","","CHEKDATE","2/1/2015","UPRTRXAM","5.00000"</v>
      </c>
      <c r="P275" s="29">
        <v>0</v>
      </c>
      <c r="Q275" s="26" t="str">
        <f>"MED"</f>
        <v>MED</v>
      </c>
      <c r="R275" s="26"/>
      <c r="S275" s="28">
        <v>42036</v>
      </c>
      <c r="T275" s="29">
        <v>5</v>
      </c>
    </row>
    <row r="276" spans="1:20" s="7" customFormat="1" hidden="1" outlineLevel="3" x14ac:dyDescent="0.2">
      <c r="A276" s="7" t="s">
        <v>92</v>
      </c>
      <c r="C276" s="7" t="str">
        <f t="shared" si="38"/>
        <v>Jay</v>
      </c>
      <c r="D276" s="7" t="str">
        <f>+D275</f>
        <v>Jamison</v>
      </c>
      <c r="E276" s="8" t="str">
        <f>E275</f>
        <v>ADMN</v>
      </c>
      <c r="G276" s="8" t="str">
        <f>G275</f>
        <v>JAMI0001</v>
      </c>
      <c r="H276" s="26"/>
      <c r="I276" s="26"/>
      <c r="J276" s="26"/>
      <c r="K276" s="28">
        <f>+K275</f>
        <v>42036</v>
      </c>
      <c r="L276" s="26" t="str">
        <f>L275</f>
        <v>10389</v>
      </c>
      <c r="M276" s="26"/>
      <c r="N276" s="26"/>
      <c r="O276" s="26" t="str">
        <f>"""GP Direct"",""Fabrikam, Inc."",""UPR30300"",""PAYRATE"",""32500.00000"",""PAYROLCD"",""SALY"",""STATECD"",""IL"",""CHEKDATE"",""2/1/2015"",""UPRTRXAM"",""1354.17000"""</f>
        <v>"GP Direct","Fabrikam, Inc.","UPR30300","PAYRATE","32500.00000","PAYROLCD","SALY","STATECD","IL","CHEKDATE","2/1/2015","UPRTRXAM","1354.17000"</v>
      </c>
      <c r="P276" s="29">
        <v>32500</v>
      </c>
      <c r="Q276" s="26" t="str">
        <f>"SALY"</f>
        <v>SALY</v>
      </c>
      <c r="R276" s="26" t="str">
        <f>"IL"</f>
        <v>IL</v>
      </c>
      <c r="S276" s="28">
        <v>42036</v>
      </c>
      <c r="T276" s="29">
        <v>1354.17</v>
      </c>
    </row>
    <row r="277" spans="1:20" s="7" customFormat="1" hidden="1" outlineLevel="3" x14ac:dyDescent="0.2">
      <c r="A277" s="7" t="s">
        <v>92</v>
      </c>
      <c r="C277" s="7" t="str">
        <f>+C271</f>
        <v>Jay</v>
      </c>
      <c r="D277" s="7" t="str">
        <f>+D271</f>
        <v>Jamison</v>
      </c>
      <c r="E277" s="8" t="str">
        <f>E271</f>
        <v>ADMN</v>
      </c>
      <c r="G277" s="8" t="str">
        <f>G271</f>
        <v>JAMI0001</v>
      </c>
      <c r="K277" s="12">
        <f>+K271</f>
        <v>42036</v>
      </c>
      <c r="L277" s="8" t="str">
        <f>L271</f>
        <v>10389</v>
      </c>
      <c r="O277" s="8"/>
      <c r="T277" s="20"/>
    </row>
    <row r="278" spans="1:20" s="7" customFormat="1" hidden="1" outlineLevel="2" collapsed="1" x14ac:dyDescent="0.2">
      <c r="A278" s="7" t="s">
        <v>92</v>
      </c>
      <c r="C278" s="7" t="str">
        <f t="shared" si="37"/>
        <v>Jay</v>
      </c>
      <c r="D278" s="7" t="str">
        <f>+D277</f>
        <v>Jamison</v>
      </c>
      <c r="E278" s="8" t="str">
        <f>E277</f>
        <v>ADMN</v>
      </c>
      <c r="G278" s="8" t="str">
        <f>G277</f>
        <v>JAMI0001</v>
      </c>
      <c r="K278" s="12">
        <f>+K277</f>
        <v>42036</v>
      </c>
      <c r="L278" s="8" t="str">
        <f>L277</f>
        <v>10389</v>
      </c>
      <c r="M278" s="33" t="str">
        <f>"Total for " &amp; $L278</f>
        <v>Total for 10389</v>
      </c>
      <c r="N278" s="34">
        <f>+K278</f>
        <v>42036</v>
      </c>
      <c r="O278" s="35"/>
      <c r="P278" s="33"/>
      <c r="Q278" s="33"/>
      <c r="R278" s="33"/>
      <c r="S278" s="33"/>
      <c r="T278" s="36">
        <f>SUBTOTAL(9,T271:T277)</f>
        <v>1489.2</v>
      </c>
    </row>
    <row r="279" spans="1:20" s="7" customFormat="1" hidden="1" outlineLevel="3" x14ac:dyDescent="0.2">
      <c r="A279" s="7" t="s">
        <v>92</v>
      </c>
      <c r="C279" s="7" t="str">
        <f t="shared" si="37"/>
        <v>Jay</v>
      </c>
      <c r="D279" s="7" t="str">
        <f>+D278</f>
        <v>Jamison</v>
      </c>
      <c r="E279" s="8" t="str">
        <f>E278</f>
        <v>ADMN</v>
      </c>
      <c r="G279" s="8" t="str">
        <f>G278</f>
        <v>JAMI0001</v>
      </c>
      <c r="H279" s="26"/>
      <c r="I279" s="26"/>
      <c r="J279" s="26"/>
      <c r="K279" s="28">
        <f>+N279</f>
        <v>42064</v>
      </c>
      <c r="L279" s="26" t="str">
        <f>M279</f>
        <v>10414</v>
      </c>
      <c r="M279" s="26" t="str">
        <f>"10414"</f>
        <v>10414</v>
      </c>
      <c r="N279" s="28">
        <v>42064</v>
      </c>
      <c r="O279" s="26"/>
      <c r="P279" s="26"/>
      <c r="Q279" s="26"/>
      <c r="R279" s="26"/>
      <c r="S279" s="26"/>
      <c r="T279" s="27"/>
    </row>
    <row r="280" spans="1:20" s="7" customFormat="1" hidden="1" outlineLevel="3" x14ac:dyDescent="0.2">
      <c r="A280" s="7" t="s">
        <v>92</v>
      </c>
      <c r="C280" s="7" t="str">
        <f t="shared" si="37"/>
        <v>Jay</v>
      </c>
      <c r="D280" s="7" t="str">
        <f>+D279</f>
        <v>Jamison</v>
      </c>
      <c r="E280" s="8" t="str">
        <f>E279</f>
        <v>ADMN</v>
      </c>
      <c r="G280" s="8" t="str">
        <f>G279</f>
        <v>JAMI0001</v>
      </c>
      <c r="H280" s="26"/>
      <c r="I280" s="26"/>
      <c r="J280" s="26"/>
      <c r="K280" s="28">
        <f>+K279</f>
        <v>42064</v>
      </c>
      <c r="L280" s="26" t="str">
        <f>L279</f>
        <v>10414</v>
      </c>
      <c r="M280" s="26"/>
      <c r="N280" s="26"/>
      <c r="O280" s="26" t="str">
        <f>"""GP Direct"",""Fabrikam, Inc."",""UPR30300"",""PAYRATE"",""0.00000"",""PAYROLCD"",""401K"",""STATECD"","""",""CHEKDATE"",""3/1/2015"",""UPRTRXAM"",""1.84000"""</f>
        <v>"GP Direct","Fabrikam, Inc.","UPR30300","PAYRATE","0.00000","PAYROLCD","401K","STATECD","","CHEKDATE","3/1/2015","UPRTRXAM","1.84000"</v>
      </c>
      <c r="P280" s="29">
        <v>0</v>
      </c>
      <c r="Q280" s="26" t="str">
        <f>"401K"</f>
        <v>401K</v>
      </c>
      <c r="R280" s="26"/>
      <c r="S280" s="28">
        <v>42064</v>
      </c>
      <c r="T280" s="29">
        <v>1.84</v>
      </c>
    </row>
    <row r="281" spans="1:20" s="7" customFormat="1" hidden="1" outlineLevel="3" x14ac:dyDescent="0.2">
      <c r="A281" s="7" t="s">
        <v>92</v>
      </c>
      <c r="C281" s="7" t="str">
        <f t="shared" ref="C281:C286" si="39">+C280</f>
        <v>Jay</v>
      </c>
      <c r="D281" s="7" t="str">
        <f>+D280</f>
        <v>Jamison</v>
      </c>
      <c r="E281" s="8" t="str">
        <f>E280</f>
        <v>ADMN</v>
      </c>
      <c r="G281" s="8" t="str">
        <f>G280</f>
        <v>JAMI0001</v>
      </c>
      <c r="H281" s="26"/>
      <c r="I281" s="26"/>
      <c r="J281" s="26"/>
      <c r="K281" s="28">
        <f>+K280</f>
        <v>42064</v>
      </c>
      <c r="L281" s="26" t="str">
        <f>L280</f>
        <v>10414</v>
      </c>
      <c r="M281" s="26"/>
      <c r="N281" s="26"/>
      <c r="O281" s="26" t="str">
        <f>"""GP Direct"",""Fabrikam, Inc."",""UPR30300"",""PAYRATE"",""0.00000"",""PAYROLCD"",""401K"",""STATECD"","""",""CHEKDATE"",""3/1/2015"",""UPRTRXAM"",""36.88000"""</f>
        <v>"GP Direct","Fabrikam, Inc.","UPR30300","PAYRATE","0.00000","PAYROLCD","401K","STATECD","","CHEKDATE","3/1/2015","UPRTRXAM","36.88000"</v>
      </c>
      <c r="P281" s="29">
        <v>0</v>
      </c>
      <c r="Q281" s="26" t="str">
        <f>"401K"</f>
        <v>401K</v>
      </c>
      <c r="R281" s="26"/>
      <c r="S281" s="28">
        <v>42064</v>
      </c>
      <c r="T281" s="29">
        <v>36.880000000000003</v>
      </c>
    </row>
    <row r="282" spans="1:20" s="7" customFormat="1" hidden="1" outlineLevel="3" x14ac:dyDescent="0.2">
      <c r="A282" s="7" t="s">
        <v>92</v>
      </c>
      <c r="C282" s="7" t="str">
        <f t="shared" si="39"/>
        <v>Jay</v>
      </c>
      <c r="D282" s="7" t="str">
        <f>+D281</f>
        <v>Jamison</v>
      </c>
      <c r="E282" s="8" t="str">
        <f>E281</f>
        <v>ADMN</v>
      </c>
      <c r="G282" s="8" t="str">
        <f>G281</f>
        <v>JAMI0001</v>
      </c>
      <c r="H282" s="26"/>
      <c r="I282" s="26"/>
      <c r="J282" s="26"/>
      <c r="K282" s="28">
        <f>+K281</f>
        <v>42064</v>
      </c>
      <c r="L282" s="26" t="str">
        <f>L281</f>
        <v>10414</v>
      </c>
      <c r="M282" s="26"/>
      <c r="N282" s="26"/>
      <c r="O282" s="26" t="str">
        <f>"""GP Direct"",""Fabrikam, Inc."",""UPR30300"",""PAYRATE"",""0.00000"",""PAYROLCD"",""HOLI"",""STATECD"",""IL"",""CHEKDATE"",""3/1/2015"",""UPRTRXAM"",""0.00000"""</f>
        <v>"GP Direct","Fabrikam, Inc.","UPR30300","PAYRATE","0.00000","PAYROLCD","HOLI","STATECD","IL","CHEKDATE","3/1/2015","UPRTRXAM","0.00000"</v>
      </c>
      <c r="P282" s="29">
        <v>0</v>
      </c>
      <c r="Q282" s="26" t="str">
        <f>"HOLI"</f>
        <v>HOLI</v>
      </c>
      <c r="R282" s="26" t="str">
        <f>"IL"</f>
        <v>IL</v>
      </c>
      <c r="S282" s="28">
        <v>42064</v>
      </c>
      <c r="T282" s="29">
        <v>0</v>
      </c>
    </row>
    <row r="283" spans="1:20" s="7" customFormat="1" hidden="1" outlineLevel="3" x14ac:dyDescent="0.2">
      <c r="A283" s="7" t="s">
        <v>92</v>
      </c>
      <c r="C283" s="7" t="str">
        <f t="shared" si="39"/>
        <v>Jay</v>
      </c>
      <c r="D283" s="7" t="str">
        <f>+D282</f>
        <v>Jamison</v>
      </c>
      <c r="E283" s="8" t="str">
        <f>E282</f>
        <v>ADMN</v>
      </c>
      <c r="G283" s="8" t="str">
        <f>G282</f>
        <v>JAMI0001</v>
      </c>
      <c r="H283" s="26"/>
      <c r="I283" s="26"/>
      <c r="J283" s="26"/>
      <c r="K283" s="28">
        <f>+K282</f>
        <v>42064</v>
      </c>
      <c r="L283" s="26" t="str">
        <f>L282</f>
        <v>10414</v>
      </c>
      <c r="M283" s="26"/>
      <c r="N283" s="26"/>
      <c r="O283" s="26" t="str">
        <f>"""GP Direct"",""Fabrikam, Inc."",""UPR30300"",""PAYRATE"",""0.00000"",""PAYROLCD"",""IL"",""STATECD"","""",""CHEKDATE"",""3/1/2015"",""UPRTRXAM"",""34.37000"""</f>
        <v>"GP Direct","Fabrikam, Inc.","UPR30300","PAYRATE","0.00000","PAYROLCD","IL","STATECD","","CHEKDATE","3/1/2015","UPRTRXAM","34.37000"</v>
      </c>
      <c r="P283" s="29">
        <v>0</v>
      </c>
      <c r="Q283" s="26" t="str">
        <f>"IL"</f>
        <v>IL</v>
      </c>
      <c r="R283" s="26"/>
      <c r="S283" s="28">
        <v>42064</v>
      </c>
      <c r="T283" s="29">
        <v>34.369999999999997</v>
      </c>
    </row>
    <row r="284" spans="1:20" s="7" customFormat="1" hidden="1" outlineLevel="3" x14ac:dyDescent="0.2">
      <c r="A284" s="7" t="s">
        <v>92</v>
      </c>
      <c r="C284" s="7" t="str">
        <f t="shared" si="39"/>
        <v>Jay</v>
      </c>
      <c r="D284" s="7" t="str">
        <f>+D283</f>
        <v>Jamison</v>
      </c>
      <c r="E284" s="8" t="str">
        <f>E283</f>
        <v>ADMN</v>
      </c>
      <c r="G284" s="8" t="str">
        <f>G283</f>
        <v>JAMI0001</v>
      </c>
      <c r="H284" s="26"/>
      <c r="I284" s="26"/>
      <c r="J284" s="26"/>
      <c r="K284" s="28">
        <f>+K283</f>
        <v>42064</v>
      </c>
      <c r="L284" s="26" t="str">
        <f>L283</f>
        <v>10414</v>
      </c>
      <c r="M284" s="26"/>
      <c r="N284" s="26"/>
      <c r="O284" s="26" t="str">
        <f>"""GP Direct"",""Fabrikam, Inc."",""UPR30300"",""PAYRATE"",""0.00000"",""PAYROLCD"",""INS"",""STATECD"","""",""CHEKDATE"",""3/1/2015"",""UPRTRXAM"",""49.36000"""</f>
        <v>"GP Direct","Fabrikam, Inc.","UPR30300","PAYRATE","0.00000","PAYROLCD","INS","STATECD","","CHEKDATE","3/1/2015","UPRTRXAM","49.36000"</v>
      </c>
      <c r="P284" s="29">
        <v>0</v>
      </c>
      <c r="Q284" s="26" t="str">
        <f>"INS"</f>
        <v>INS</v>
      </c>
      <c r="R284" s="26"/>
      <c r="S284" s="28">
        <v>42064</v>
      </c>
      <c r="T284" s="29">
        <v>49.36</v>
      </c>
    </row>
    <row r="285" spans="1:20" s="7" customFormat="1" hidden="1" outlineLevel="3" x14ac:dyDescent="0.2">
      <c r="A285" s="7" t="s">
        <v>92</v>
      </c>
      <c r="C285" s="7" t="str">
        <f t="shared" si="39"/>
        <v>Jay</v>
      </c>
      <c r="D285" s="7" t="str">
        <f>+D284</f>
        <v>Jamison</v>
      </c>
      <c r="E285" s="8" t="str">
        <f>E284</f>
        <v>ADMN</v>
      </c>
      <c r="G285" s="8" t="str">
        <f>G284</f>
        <v>JAMI0001</v>
      </c>
      <c r="H285" s="26"/>
      <c r="I285" s="26"/>
      <c r="J285" s="26"/>
      <c r="K285" s="28">
        <f>+K284</f>
        <v>42064</v>
      </c>
      <c r="L285" s="26" t="str">
        <f>L284</f>
        <v>10414</v>
      </c>
      <c r="M285" s="26"/>
      <c r="N285" s="26"/>
      <c r="O285" s="26" t="str">
        <f>"""GP Direct"",""Fabrikam, Inc."",""UPR30300"",""PAYRATE"",""0.00000"",""PAYROLCD"",""MED"",""STATECD"","""",""CHEKDATE"",""3/1/2015"",""UPRTRXAM"",""5.00000"""</f>
        <v>"GP Direct","Fabrikam, Inc.","UPR30300","PAYRATE","0.00000","PAYROLCD","MED","STATECD","","CHEKDATE","3/1/2015","UPRTRXAM","5.00000"</v>
      </c>
      <c r="P285" s="29">
        <v>0</v>
      </c>
      <c r="Q285" s="26" t="str">
        <f>"MED"</f>
        <v>MED</v>
      </c>
      <c r="R285" s="26"/>
      <c r="S285" s="28">
        <v>42064</v>
      </c>
      <c r="T285" s="29">
        <v>5</v>
      </c>
    </row>
    <row r="286" spans="1:20" s="7" customFormat="1" hidden="1" outlineLevel="3" x14ac:dyDescent="0.2">
      <c r="A286" s="7" t="s">
        <v>92</v>
      </c>
      <c r="C286" s="7" t="str">
        <f t="shared" si="39"/>
        <v>Jay</v>
      </c>
      <c r="D286" s="7" t="str">
        <f>+D285</f>
        <v>Jamison</v>
      </c>
      <c r="E286" s="8" t="str">
        <f>E285</f>
        <v>ADMN</v>
      </c>
      <c r="G286" s="8" t="str">
        <f>G285</f>
        <v>JAMI0001</v>
      </c>
      <c r="H286" s="26"/>
      <c r="I286" s="26"/>
      <c r="J286" s="26"/>
      <c r="K286" s="28">
        <f>+K285</f>
        <v>42064</v>
      </c>
      <c r="L286" s="26" t="str">
        <f>L285</f>
        <v>10414</v>
      </c>
      <c r="M286" s="26"/>
      <c r="N286" s="26"/>
      <c r="O286" s="26" t="str">
        <f>"""GP Direct"",""Fabrikam, Inc."",""UPR30300"",""PAYRATE"",""15.62504"",""PAYROLCD"",""SALY"",""STATECD"",""IL"",""CHEKDATE"",""3/1/2015"",""UPRTRXAM"",""1229.17000"""</f>
        <v>"GP Direct","Fabrikam, Inc.","UPR30300","PAYRATE","15.62504","PAYROLCD","SALY","STATECD","IL","CHEKDATE","3/1/2015","UPRTRXAM","1229.17000"</v>
      </c>
      <c r="P286" s="29">
        <v>15.625</v>
      </c>
      <c r="Q286" s="26" t="str">
        <f>"SALY"</f>
        <v>SALY</v>
      </c>
      <c r="R286" s="26" t="str">
        <f>"IL"</f>
        <v>IL</v>
      </c>
      <c r="S286" s="28">
        <v>42064</v>
      </c>
      <c r="T286" s="29">
        <v>1229.17</v>
      </c>
    </row>
    <row r="287" spans="1:20" s="7" customFormat="1" hidden="1" outlineLevel="3" x14ac:dyDescent="0.2">
      <c r="A287" s="7" t="s">
        <v>92</v>
      </c>
      <c r="C287" s="7" t="str">
        <f>+C280</f>
        <v>Jay</v>
      </c>
      <c r="D287" s="7" t="str">
        <f>+D280</f>
        <v>Jamison</v>
      </c>
      <c r="E287" s="8" t="str">
        <f>E280</f>
        <v>ADMN</v>
      </c>
      <c r="G287" s="8" t="str">
        <f>G280</f>
        <v>JAMI0001</v>
      </c>
      <c r="K287" s="12">
        <f>+K280</f>
        <v>42064</v>
      </c>
      <c r="L287" s="8" t="str">
        <f>L280</f>
        <v>10414</v>
      </c>
      <c r="O287" s="8"/>
      <c r="T287" s="20"/>
    </row>
    <row r="288" spans="1:20" s="7" customFormat="1" hidden="1" outlineLevel="2" collapsed="1" x14ac:dyDescent="0.2">
      <c r="A288" s="7" t="s">
        <v>92</v>
      </c>
      <c r="C288" s="7" t="str">
        <f t="shared" si="37"/>
        <v>Jay</v>
      </c>
      <c r="D288" s="7" t="str">
        <f>+D287</f>
        <v>Jamison</v>
      </c>
      <c r="E288" s="8" t="str">
        <f>E287</f>
        <v>ADMN</v>
      </c>
      <c r="G288" s="8" t="str">
        <f>G287</f>
        <v>JAMI0001</v>
      </c>
      <c r="K288" s="12">
        <f>+K287</f>
        <v>42064</v>
      </c>
      <c r="L288" s="8" t="str">
        <f>L287</f>
        <v>10414</v>
      </c>
      <c r="M288" s="33" t="str">
        <f>"Total for " &amp; $L288</f>
        <v>Total for 10414</v>
      </c>
      <c r="N288" s="34">
        <f>+K288</f>
        <v>42064</v>
      </c>
      <c r="O288" s="35"/>
      <c r="P288" s="33"/>
      <c r="Q288" s="33"/>
      <c r="R288" s="33"/>
      <c r="S288" s="33"/>
      <c r="T288" s="36">
        <f>SUBTOTAL(9,T280:T287)</f>
        <v>1356.6200000000001</v>
      </c>
    </row>
    <row r="289" spans="1:20" s="7" customFormat="1" hidden="1" outlineLevel="3" x14ac:dyDescent="0.2">
      <c r="A289" s="7" t="s">
        <v>92</v>
      </c>
      <c r="C289" s="7" t="str">
        <f t="shared" si="37"/>
        <v>Jay</v>
      </c>
      <c r="D289" s="7" t="str">
        <f>+D288</f>
        <v>Jamison</v>
      </c>
      <c r="E289" s="8" t="str">
        <f>E288</f>
        <v>ADMN</v>
      </c>
      <c r="G289" s="8" t="str">
        <f>G288</f>
        <v>JAMI0001</v>
      </c>
      <c r="H289" s="26"/>
      <c r="I289" s="26"/>
      <c r="J289" s="26"/>
      <c r="K289" s="28">
        <f>+N289</f>
        <v>42095</v>
      </c>
      <c r="L289" s="26" t="str">
        <f>M289</f>
        <v>10439</v>
      </c>
      <c r="M289" s="26" t="str">
        <f>"10439"</f>
        <v>10439</v>
      </c>
      <c r="N289" s="28">
        <v>42095</v>
      </c>
      <c r="O289" s="26"/>
      <c r="P289" s="26"/>
      <c r="Q289" s="26"/>
      <c r="R289" s="26"/>
      <c r="S289" s="26"/>
      <c r="T289" s="27"/>
    </row>
    <row r="290" spans="1:20" s="7" customFormat="1" hidden="1" outlineLevel="3" x14ac:dyDescent="0.2">
      <c r="A290" s="7" t="s">
        <v>92</v>
      </c>
      <c r="C290" s="7" t="str">
        <f t="shared" si="37"/>
        <v>Jay</v>
      </c>
      <c r="D290" s="7" t="str">
        <f>+D289</f>
        <v>Jamison</v>
      </c>
      <c r="E290" s="8" t="str">
        <f>E289</f>
        <v>ADMN</v>
      </c>
      <c r="G290" s="8" t="str">
        <f>G289</f>
        <v>JAMI0001</v>
      </c>
      <c r="H290" s="26"/>
      <c r="I290" s="26"/>
      <c r="J290" s="26"/>
      <c r="K290" s="28">
        <f>+K289</f>
        <v>42095</v>
      </c>
      <c r="L290" s="26" t="str">
        <f>L289</f>
        <v>10439</v>
      </c>
      <c r="M290" s="26"/>
      <c r="N290" s="26"/>
      <c r="O290" s="26" t="str">
        <f>"""GP Direct"",""Fabrikam, Inc."",""UPR30300"",""PAYRATE"",""0.00000"",""PAYROLCD"",""401K"",""STATECD"","""",""CHEKDATE"",""4/1/2015"",""UPRTRXAM"",""2.03000"""</f>
        <v>"GP Direct","Fabrikam, Inc.","UPR30300","PAYRATE","0.00000","PAYROLCD","401K","STATECD","","CHEKDATE","4/1/2015","UPRTRXAM","2.03000"</v>
      </c>
      <c r="P290" s="29">
        <v>0</v>
      </c>
      <c r="Q290" s="26" t="str">
        <f>"401K"</f>
        <v>401K</v>
      </c>
      <c r="R290" s="26"/>
      <c r="S290" s="28">
        <v>42095</v>
      </c>
      <c r="T290" s="29">
        <v>2.0299999999999998</v>
      </c>
    </row>
    <row r="291" spans="1:20" s="7" customFormat="1" hidden="1" outlineLevel="3" x14ac:dyDescent="0.2">
      <c r="A291" s="7" t="s">
        <v>92</v>
      </c>
      <c r="C291" s="7" t="str">
        <f t="shared" ref="C291:C295" si="40">+C290</f>
        <v>Jay</v>
      </c>
      <c r="D291" s="7" t="str">
        <f>+D290</f>
        <v>Jamison</v>
      </c>
      <c r="E291" s="8" t="str">
        <f>E290</f>
        <v>ADMN</v>
      </c>
      <c r="G291" s="8" t="str">
        <f>G290</f>
        <v>JAMI0001</v>
      </c>
      <c r="H291" s="26"/>
      <c r="I291" s="26"/>
      <c r="J291" s="26"/>
      <c r="K291" s="28">
        <f>+K290</f>
        <v>42095</v>
      </c>
      <c r="L291" s="26" t="str">
        <f>L290</f>
        <v>10439</v>
      </c>
      <c r="M291" s="26"/>
      <c r="N291" s="26"/>
      <c r="O291" s="26" t="str">
        <f>"""GP Direct"",""Fabrikam, Inc."",""UPR30300"",""PAYRATE"",""0.00000"",""PAYROLCD"",""401K"",""STATECD"","""",""CHEKDATE"",""4/1/2015"",""UPRTRXAM"",""40.63000"""</f>
        <v>"GP Direct","Fabrikam, Inc.","UPR30300","PAYRATE","0.00000","PAYROLCD","401K","STATECD","","CHEKDATE","4/1/2015","UPRTRXAM","40.63000"</v>
      </c>
      <c r="P291" s="29">
        <v>0</v>
      </c>
      <c r="Q291" s="26" t="str">
        <f>"401K"</f>
        <v>401K</v>
      </c>
      <c r="R291" s="26"/>
      <c r="S291" s="28">
        <v>42095</v>
      </c>
      <c r="T291" s="29">
        <v>40.630000000000003</v>
      </c>
    </row>
    <row r="292" spans="1:20" s="7" customFormat="1" hidden="1" outlineLevel="3" x14ac:dyDescent="0.2">
      <c r="A292" s="7" t="s">
        <v>92</v>
      </c>
      <c r="C292" s="7" t="str">
        <f t="shared" si="40"/>
        <v>Jay</v>
      </c>
      <c r="D292" s="7" t="str">
        <f>+D291</f>
        <v>Jamison</v>
      </c>
      <c r="E292" s="8" t="str">
        <f>E291</f>
        <v>ADMN</v>
      </c>
      <c r="G292" s="8" t="str">
        <f>G291</f>
        <v>JAMI0001</v>
      </c>
      <c r="H292" s="26"/>
      <c r="I292" s="26"/>
      <c r="J292" s="26"/>
      <c r="K292" s="28">
        <f>+K291</f>
        <v>42095</v>
      </c>
      <c r="L292" s="26" t="str">
        <f>L291</f>
        <v>10439</v>
      </c>
      <c r="M292" s="26"/>
      <c r="N292" s="26"/>
      <c r="O292" s="26" t="str">
        <f>"""GP Direct"",""Fabrikam, Inc."",""UPR30300"",""PAYRATE"",""0.00000"",""PAYROLCD"",""IL"",""STATECD"","""",""CHEKDATE"",""4/1/2015"",""UPRTRXAM"",""38.01000"""</f>
        <v>"GP Direct","Fabrikam, Inc.","UPR30300","PAYRATE","0.00000","PAYROLCD","IL","STATECD","","CHEKDATE","4/1/2015","UPRTRXAM","38.01000"</v>
      </c>
      <c r="P292" s="29">
        <v>0</v>
      </c>
      <c r="Q292" s="26" t="str">
        <f>"IL"</f>
        <v>IL</v>
      </c>
      <c r="R292" s="26"/>
      <c r="S292" s="28">
        <v>42095</v>
      </c>
      <c r="T292" s="29">
        <v>38.01</v>
      </c>
    </row>
    <row r="293" spans="1:20" s="7" customFormat="1" hidden="1" outlineLevel="3" x14ac:dyDescent="0.2">
      <c r="A293" s="7" t="s">
        <v>92</v>
      </c>
      <c r="C293" s="7" t="str">
        <f t="shared" si="40"/>
        <v>Jay</v>
      </c>
      <c r="D293" s="7" t="str">
        <f>+D292</f>
        <v>Jamison</v>
      </c>
      <c r="E293" s="8" t="str">
        <f>E292</f>
        <v>ADMN</v>
      </c>
      <c r="G293" s="8" t="str">
        <f>G292</f>
        <v>JAMI0001</v>
      </c>
      <c r="H293" s="26"/>
      <c r="I293" s="26"/>
      <c r="J293" s="26"/>
      <c r="K293" s="28">
        <f>+K292</f>
        <v>42095</v>
      </c>
      <c r="L293" s="26" t="str">
        <f>L292</f>
        <v>10439</v>
      </c>
      <c r="M293" s="26"/>
      <c r="N293" s="26"/>
      <c r="O293" s="26" t="str">
        <f>"""GP Direct"",""Fabrikam, Inc."",""UPR30300"",""PAYRATE"",""0.00000"",""PAYROLCD"",""INS"",""STATECD"","""",""CHEKDATE"",""4/1/2015"",""UPRTRXAM"",""49.36000"""</f>
        <v>"GP Direct","Fabrikam, Inc.","UPR30300","PAYRATE","0.00000","PAYROLCD","INS","STATECD","","CHEKDATE","4/1/2015","UPRTRXAM","49.36000"</v>
      </c>
      <c r="P293" s="29">
        <v>0</v>
      </c>
      <c r="Q293" s="26" t="str">
        <f>"INS"</f>
        <v>INS</v>
      </c>
      <c r="R293" s="26"/>
      <c r="S293" s="28">
        <v>42095</v>
      </c>
      <c r="T293" s="29">
        <v>49.36</v>
      </c>
    </row>
    <row r="294" spans="1:20" s="7" customFormat="1" hidden="1" outlineLevel="3" x14ac:dyDescent="0.2">
      <c r="A294" s="7" t="s">
        <v>92</v>
      </c>
      <c r="C294" s="7" t="str">
        <f t="shared" si="40"/>
        <v>Jay</v>
      </c>
      <c r="D294" s="7" t="str">
        <f>+D293</f>
        <v>Jamison</v>
      </c>
      <c r="E294" s="8" t="str">
        <f>E293</f>
        <v>ADMN</v>
      </c>
      <c r="G294" s="8" t="str">
        <f>G293</f>
        <v>JAMI0001</v>
      </c>
      <c r="H294" s="26"/>
      <c r="I294" s="26"/>
      <c r="J294" s="26"/>
      <c r="K294" s="28">
        <f>+K293</f>
        <v>42095</v>
      </c>
      <c r="L294" s="26" t="str">
        <f>L293</f>
        <v>10439</v>
      </c>
      <c r="M294" s="26"/>
      <c r="N294" s="26"/>
      <c r="O294" s="26" t="str">
        <f>"""GP Direct"",""Fabrikam, Inc."",""UPR30300"",""PAYRATE"",""0.00000"",""PAYROLCD"",""MED"",""STATECD"","""",""CHEKDATE"",""4/1/2015"",""UPRTRXAM"",""5.00000"""</f>
        <v>"GP Direct","Fabrikam, Inc.","UPR30300","PAYRATE","0.00000","PAYROLCD","MED","STATECD","","CHEKDATE","4/1/2015","UPRTRXAM","5.00000"</v>
      </c>
      <c r="P294" s="29">
        <v>0</v>
      </c>
      <c r="Q294" s="26" t="str">
        <f>"MED"</f>
        <v>MED</v>
      </c>
      <c r="R294" s="26"/>
      <c r="S294" s="28">
        <v>42095</v>
      </c>
      <c r="T294" s="29">
        <v>5</v>
      </c>
    </row>
    <row r="295" spans="1:20" s="7" customFormat="1" hidden="1" outlineLevel="3" x14ac:dyDescent="0.2">
      <c r="A295" s="7" t="s">
        <v>92</v>
      </c>
      <c r="C295" s="7" t="str">
        <f t="shared" si="40"/>
        <v>Jay</v>
      </c>
      <c r="D295" s="7" t="str">
        <f>+D294</f>
        <v>Jamison</v>
      </c>
      <c r="E295" s="8" t="str">
        <f>E294</f>
        <v>ADMN</v>
      </c>
      <c r="G295" s="8" t="str">
        <f>G294</f>
        <v>JAMI0001</v>
      </c>
      <c r="H295" s="26"/>
      <c r="I295" s="26"/>
      <c r="J295" s="26"/>
      <c r="K295" s="28">
        <f>+K294</f>
        <v>42095</v>
      </c>
      <c r="L295" s="26" t="str">
        <f>L294</f>
        <v>10439</v>
      </c>
      <c r="M295" s="26"/>
      <c r="N295" s="26"/>
      <c r="O295" s="26" t="str">
        <f>"""GP Direct"",""Fabrikam, Inc."",""UPR30300"",""PAYRATE"",""32500.00000"",""PAYROLCD"",""SALY"",""STATECD"",""IL"",""CHEKDATE"",""4/1/2015"",""UPRTRXAM"",""1354.17000"""</f>
        <v>"GP Direct","Fabrikam, Inc.","UPR30300","PAYRATE","32500.00000","PAYROLCD","SALY","STATECD","IL","CHEKDATE","4/1/2015","UPRTRXAM","1354.17000"</v>
      </c>
      <c r="P295" s="29">
        <v>32500</v>
      </c>
      <c r="Q295" s="26" t="str">
        <f>"SALY"</f>
        <v>SALY</v>
      </c>
      <c r="R295" s="26" t="str">
        <f>"IL"</f>
        <v>IL</v>
      </c>
      <c r="S295" s="28">
        <v>42095</v>
      </c>
      <c r="T295" s="29">
        <v>1354.17</v>
      </c>
    </row>
    <row r="296" spans="1:20" s="7" customFormat="1" hidden="1" outlineLevel="3" x14ac:dyDescent="0.2">
      <c r="A296" s="7" t="s">
        <v>92</v>
      </c>
      <c r="C296" s="7" t="str">
        <f>+C290</f>
        <v>Jay</v>
      </c>
      <c r="D296" s="7" t="str">
        <f>+D290</f>
        <v>Jamison</v>
      </c>
      <c r="E296" s="8" t="str">
        <f>E290</f>
        <v>ADMN</v>
      </c>
      <c r="G296" s="8" t="str">
        <f>G290</f>
        <v>JAMI0001</v>
      </c>
      <c r="K296" s="12">
        <f>+K290</f>
        <v>42095</v>
      </c>
      <c r="L296" s="8" t="str">
        <f>L290</f>
        <v>10439</v>
      </c>
      <c r="O296" s="8"/>
      <c r="T296" s="20"/>
    </row>
    <row r="297" spans="1:20" s="7" customFormat="1" hidden="1" outlineLevel="2" collapsed="1" x14ac:dyDescent="0.2">
      <c r="A297" s="7" t="s">
        <v>92</v>
      </c>
      <c r="C297" s="7" t="str">
        <f t="shared" si="37"/>
        <v>Jay</v>
      </c>
      <c r="D297" s="7" t="str">
        <f>+D296</f>
        <v>Jamison</v>
      </c>
      <c r="E297" s="8" t="str">
        <f>E296</f>
        <v>ADMN</v>
      </c>
      <c r="G297" s="8" t="str">
        <f>G296</f>
        <v>JAMI0001</v>
      </c>
      <c r="K297" s="12">
        <f>+K296</f>
        <v>42095</v>
      </c>
      <c r="L297" s="8" t="str">
        <f>L296</f>
        <v>10439</v>
      </c>
      <c r="M297" s="33" t="str">
        <f>"Total for " &amp; $L297</f>
        <v>Total for 10439</v>
      </c>
      <c r="N297" s="34">
        <f>+K297</f>
        <v>42095</v>
      </c>
      <c r="O297" s="35"/>
      <c r="P297" s="33"/>
      <c r="Q297" s="33"/>
      <c r="R297" s="33"/>
      <c r="S297" s="33"/>
      <c r="T297" s="36">
        <f>SUBTOTAL(9,T290:T296)</f>
        <v>1489.2</v>
      </c>
    </row>
    <row r="298" spans="1:20" s="7" customFormat="1" hidden="1" outlineLevel="3" x14ac:dyDescent="0.2">
      <c r="A298" s="7" t="s">
        <v>92</v>
      </c>
      <c r="C298" s="7" t="str">
        <f t="shared" si="37"/>
        <v>Jay</v>
      </c>
      <c r="D298" s="7" t="str">
        <f>+D297</f>
        <v>Jamison</v>
      </c>
      <c r="E298" s="8" t="str">
        <f>E297</f>
        <v>ADMN</v>
      </c>
      <c r="G298" s="8" t="str">
        <f>G297</f>
        <v>JAMI0001</v>
      </c>
      <c r="H298" s="26"/>
      <c r="I298" s="26"/>
      <c r="J298" s="26"/>
      <c r="K298" s="28">
        <f>+N298</f>
        <v>42125</v>
      </c>
      <c r="L298" s="26" t="str">
        <f>M298</f>
        <v>10464</v>
      </c>
      <c r="M298" s="26" t="str">
        <f>"10464"</f>
        <v>10464</v>
      </c>
      <c r="N298" s="28">
        <v>42125</v>
      </c>
      <c r="O298" s="26"/>
      <c r="P298" s="26"/>
      <c r="Q298" s="26"/>
      <c r="R298" s="26"/>
      <c r="S298" s="26"/>
      <c r="T298" s="27"/>
    </row>
    <row r="299" spans="1:20" s="7" customFormat="1" hidden="1" outlineLevel="3" x14ac:dyDescent="0.2">
      <c r="A299" s="7" t="s">
        <v>92</v>
      </c>
      <c r="C299" s="7" t="str">
        <f t="shared" si="37"/>
        <v>Jay</v>
      </c>
      <c r="D299" s="7" t="str">
        <f>+D298</f>
        <v>Jamison</v>
      </c>
      <c r="E299" s="8" t="str">
        <f>E298</f>
        <v>ADMN</v>
      </c>
      <c r="G299" s="8" t="str">
        <f>G298</f>
        <v>JAMI0001</v>
      </c>
      <c r="H299" s="26"/>
      <c r="I299" s="26"/>
      <c r="J299" s="26"/>
      <c r="K299" s="28">
        <f>+K298</f>
        <v>42125</v>
      </c>
      <c r="L299" s="26" t="str">
        <f>L298</f>
        <v>10464</v>
      </c>
      <c r="M299" s="26"/>
      <c r="N299" s="26"/>
      <c r="O299" s="26" t="str">
        <f>"""GP Direct"",""Fabrikam, Inc."",""UPR30300"",""PAYRATE"",""0.00000"",""PAYROLCD"",""401K"",""STATECD"","""",""CHEKDATE"",""5/1/2015"",""UPRTRXAM"",""2.03000"""</f>
        <v>"GP Direct","Fabrikam, Inc.","UPR30300","PAYRATE","0.00000","PAYROLCD","401K","STATECD","","CHEKDATE","5/1/2015","UPRTRXAM","2.03000"</v>
      </c>
      <c r="P299" s="29">
        <v>0</v>
      </c>
      <c r="Q299" s="26" t="str">
        <f>"401K"</f>
        <v>401K</v>
      </c>
      <c r="R299" s="26"/>
      <c r="S299" s="28">
        <v>42125</v>
      </c>
      <c r="T299" s="29">
        <v>2.0299999999999998</v>
      </c>
    </row>
    <row r="300" spans="1:20" s="7" customFormat="1" hidden="1" outlineLevel="3" x14ac:dyDescent="0.2">
      <c r="A300" s="7" t="s">
        <v>92</v>
      </c>
      <c r="C300" s="7" t="str">
        <f t="shared" ref="C300:C304" si="41">+C299</f>
        <v>Jay</v>
      </c>
      <c r="D300" s="7" t="str">
        <f>+D299</f>
        <v>Jamison</v>
      </c>
      <c r="E300" s="8" t="str">
        <f>E299</f>
        <v>ADMN</v>
      </c>
      <c r="G300" s="8" t="str">
        <f>G299</f>
        <v>JAMI0001</v>
      </c>
      <c r="H300" s="26"/>
      <c r="I300" s="26"/>
      <c r="J300" s="26"/>
      <c r="K300" s="28">
        <f>+K299</f>
        <v>42125</v>
      </c>
      <c r="L300" s="26" t="str">
        <f>L299</f>
        <v>10464</v>
      </c>
      <c r="M300" s="26"/>
      <c r="N300" s="26"/>
      <c r="O300" s="26" t="str">
        <f>"""GP Direct"",""Fabrikam, Inc."",""UPR30300"",""PAYRATE"",""0.00000"",""PAYROLCD"",""401K"",""STATECD"","""",""CHEKDATE"",""5/1/2015"",""UPRTRXAM"",""40.63000"""</f>
        <v>"GP Direct","Fabrikam, Inc.","UPR30300","PAYRATE","0.00000","PAYROLCD","401K","STATECD","","CHEKDATE","5/1/2015","UPRTRXAM","40.63000"</v>
      </c>
      <c r="P300" s="29">
        <v>0</v>
      </c>
      <c r="Q300" s="26" t="str">
        <f>"401K"</f>
        <v>401K</v>
      </c>
      <c r="R300" s="26"/>
      <c r="S300" s="28">
        <v>42125</v>
      </c>
      <c r="T300" s="29">
        <v>40.630000000000003</v>
      </c>
    </row>
    <row r="301" spans="1:20" s="7" customFormat="1" hidden="1" outlineLevel="3" x14ac:dyDescent="0.2">
      <c r="A301" s="7" t="s">
        <v>92</v>
      </c>
      <c r="C301" s="7" t="str">
        <f t="shared" si="41"/>
        <v>Jay</v>
      </c>
      <c r="D301" s="7" t="str">
        <f>+D300</f>
        <v>Jamison</v>
      </c>
      <c r="E301" s="8" t="str">
        <f>E300</f>
        <v>ADMN</v>
      </c>
      <c r="G301" s="8" t="str">
        <f>G300</f>
        <v>JAMI0001</v>
      </c>
      <c r="H301" s="26"/>
      <c r="I301" s="26"/>
      <c r="J301" s="26"/>
      <c r="K301" s="28">
        <f>+K300</f>
        <v>42125</v>
      </c>
      <c r="L301" s="26" t="str">
        <f>L300</f>
        <v>10464</v>
      </c>
      <c r="M301" s="26"/>
      <c r="N301" s="26"/>
      <c r="O301" s="26" t="str">
        <f>"""GP Direct"",""Fabrikam, Inc."",""UPR30300"",""PAYRATE"",""0.00000"",""PAYROLCD"",""IL"",""STATECD"","""",""CHEKDATE"",""5/1/2015"",""UPRTRXAM"",""38.01000"""</f>
        <v>"GP Direct","Fabrikam, Inc.","UPR30300","PAYRATE","0.00000","PAYROLCD","IL","STATECD","","CHEKDATE","5/1/2015","UPRTRXAM","38.01000"</v>
      </c>
      <c r="P301" s="29">
        <v>0</v>
      </c>
      <c r="Q301" s="26" t="str">
        <f>"IL"</f>
        <v>IL</v>
      </c>
      <c r="R301" s="26"/>
      <c r="S301" s="28">
        <v>42125</v>
      </c>
      <c r="T301" s="29">
        <v>38.01</v>
      </c>
    </row>
    <row r="302" spans="1:20" s="7" customFormat="1" hidden="1" outlineLevel="3" x14ac:dyDescent="0.2">
      <c r="A302" s="7" t="s">
        <v>92</v>
      </c>
      <c r="C302" s="7" t="str">
        <f t="shared" si="41"/>
        <v>Jay</v>
      </c>
      <c r="D302" s="7" t="str">
        <f>+D301</f>
        <v>Jamison</v>
      </c>
      <c r="E302" s="8" t="str">
        <f>E301</f>
        <v>ADMN</v>
      </c>
      <c r="G302" s="8" t="str">
        <f>G301</f>
        <v>JAMI0001</v>
      </c>
      <c r="H302" s="26"/>
      <c r="I302" s="26"/>
      <c r="J302" s="26"/>
      <c r="K302" s="28">
        <f>+K301</f>
        <v>42125</v>
      </c>
      <c r="L302" s="26" t="str">
        <f>L301</f>
        <v>10464</v>
      </c>
      <c r="M302" s="26"/>
      <c r="N302" s="26"/>
      <c r="O302" s="26" t="str">
        <f>"""GP Direct"",""Fabrikam, Inc."",""UPR30300"",""PAYRATE"",""0.00000"",""PAYROLCD"",""INS"",""STATECD"","""",""CHEKDATE"",""5/1/2015"",""UPRTRXAM"",""49.36000"""</f>
        <v>"GP Direct","Fabrikam, Inc.","UPR30300","PAYRATE","0.00000","PAYROLCD","INS","STATECD","","CHEKDATE","5/1/2015","UPRTRXAM","49.36000"</v>
      </c>
      <c r="P302" s="29">
        <v>0</v>
      </c>
      <c r="Q302" s="26" t="str">
        <f>"INS"</f>
        <v>INS</v>
      </c>
      <c r="R302" s="26"/>
      <c r="S302" s="28">
        <v>42125</v>
      </c>
      <c r="T302" s="29">
        <v>49.36</v>
      </c>
    </row>
    <row r="303" spans="1:20" s="7" customFormat="1" hidden="1" outlineLevel="3" x14ac:dyDescent="0.2">
      <c r="A303" s="7" t="s">
        <v>92</v>
      </c>
      <c r="C303" s="7" t="str">
        <f t="shared" si="41"/>
        <v>Jay</v>
      </c>
      <c r="D303" s="7" t="str">
        <f>+D302</f>
        <v>Jamison</v>
      </c>
      <c r="E303" s="8" t="str">
        <f>E302</f>
        <v>ADMN</v>
      </c>
      <c r="G303" s="8" t="str">
        <f>G302</f>
        <v>JAMI0001</v>
      </c>
      <c r="H303" s="26"/>
      <c r="I303" s="26"/>
      <c r="J303" s="26"/>
      <c r="K303" s="28">
        <f>+K302</f>
        <v>42125</v>
      </c>
      <c r="L303" s="26" t="str">
        <f>L302</f>
        <v>10464</v>
      </c>
      <c r="M303" s="26"/>
      <c r="N303" s="26"/>
      <c r="O303" s="26" t="str">
        <f>"""GP Direct"",""Fabrikam, Inc."",""UPR30300"",""PAYRATE"",""0.00000"",""PAYROLCD"",""MED"",""STATECD"","""",""CHEKDATE"",""5/1/2015"",""UPRTRXAM"",""5.00000"""</f>
        <v>"GP Direct","Fabrikam, Inc.","UPR30300","PAYRATE","0.00000","PAYROLCD","MED","STATECD","","CHEKDATE","5/1/2015","UPRTRXAM","5.00000"</v>
      </c>
      <c r="P303" s="29">
        <v>0</v>
      </c>
      <c r="Q303" s="26" t="str">
        <f>"MED"</f>
        <v>MED</v>
      </c>
      <c r="R303" s="26"/>
      <c r="S303" s="28">
        <v>42125</v>
      </c>
      <c r="T303" s="29">
        <v>5</v>
      </c>
    </row>
    <row r="304" spans="1:20" s="7" customFormat="1" hidden="1" outlineLevel="3" x14ac:dyDescent="0.2">
      <c r="A304" s="7" t="s">
        <v>92</v>
      </c>
      <c r="C304" s="7" t="str">
        <f t="shared" si="41"/>
        <v>Jay</v>
      </c>
      <c r="D304" s="7" t="str">
        <f>+D303</f>
        <v>Jamison</v>
      </c>
      <c r="E304" s="8" t="str">
        <f>E303</f>
        <v>ADMN</v>
      </c>
      <c r="G304" s="8" t="str">
        <f>G303</f>
        <v>JAMI0001</v>
      </c>
      <c r="H304" s="26"/>
      <c r="I304" s="26"/>
      <c r="J304" s="26"/>
      <c r="K304" s="28">
        <f>+K303</f>
        <v>42125</v>
      </c>
      <c r="L304" s="26" t="str">
        <f>L303</f>
        <v>10464</v>
      </c>
      <c r="M304" s="26"/>
      <c r="N304" s="26"/>
      <c r="O304" s="26" t="str">
        <f>"""GP Direct"",""Fabrikam, Inc."",""UPR30300"",""PAYRATE"",""32500.00000"",""PAYROLCD"",""SALY"",""STATECD"",""IL"",""CHEKDATE"",""5/1/2015"",""UPRTRXAM"",""1354.17000"""</f>
        <v>"GP Direct","Fabrikam, Inc.","UPR30300","PAYRATE","32500.00000","PAYROLCD","SALY","STATECD","IL","CHEKDATE","5/1/2015","UPRTRXAM","1354.17000"</v>
      </c>
      <c r="P304" s="29">
        <v>32500</v>
      </c>
      <c r="Q304" s="26" t="str">
        <f>"SALY"</f>
        <v>SALY</v>
      </c>
      <c r="R304" s="26" t="str">
        <f>"IL"</f>
        <v>IL</v>
      </c>
      <c r="S304" s="28">
        <v>42125</v>
      </c>
      <c r="T304" s="29">
        <v>1354.17</v>
      </c>
    </row>
    <row r="305" spans="1:20" s="7" customFormat="1" hidden="1" outlineLevel="3" x14ac:dyDescent="0.2">
      <c r="A305" s="7" t="s">
        <v>92</v>
      </c>
      <c r="C305" s="7" t="str">
        <f>+C299</f>
        <v>Jay</v>
      </c>
      <c r="D305" s="7" t="str">
        <f>+D299</f>
        <v>Jamison</v>
      </c>
      <c r="E305" s="8" t="str">
        <f>E299</f>
        <v>ADMN</v>
      </c>
      <c r="G305" s="8" t="str">
        <f>G299</f>
        <v>JAMI0001</v>
      </c>
      <c r="K305" s="12">
        <f>+K299</f>
        <v>42125</v>
      </c>
      <c r="L305" s="8" t="str">
        <f>L299</f>
        <v>10464</v>
      </c>
      <c r="O305" s="8"/>
      <c r="T305" s="20"/>
    </row>
    <row r="306" spans="1:20" s="7" customFormat="1" hidden="1" outlineLevel="2" collapsed="1" x14ac:dyDescent="0.2">
      <c r="A306" s="7" t="s">
        <v>92</v>
      </c>
      <c r="C306" s="7" t="str">
        <f t="shared" si="37"/>
        <v>Jay</v>
      </c>
      <c r="D306" s="7" t="str">
        <f>+D305</f>
        <v>Jamison</v>
      </c>
      <c r="E306" s="8" t="str">
        <f>E305</f>
        <v>ADMN</v>
      </c>
      <c r="G306" s="8" t="str">
        <f>G305</f>
        <v>JAMI0001</v>
      </c>
      <c r="K306" s="12">
        <f>+K305</f>
        <v>42125</v>
      </c>
      <c r="L306" s="8" t="str">
        <f>L305</f>
        <v>10464</v>
      </c>
      <c r="M306" s="33" t="str">
        <f>"Total for " &amp; $L306</f>
        <v>Total for 10464</v>
      </c>
      <c r="N306" s="34">
        <f>+K306</f>
        <v>42125</v>
      </c>
      <c r="O306" s="35"/>
      <c r="P306" s="33"/>
      <c r="Q306" s="33"/>
      <c r="R306" s="33"/>
      <c r="S306" s="33"/>
      <c r="T306" s="36">
        <f>SUBTOTAL(9,T299:T305)</f>
        <v>1489.2</v>
      </c>
    </row>
    <row r="307" spans="1:20" s="7" customFormat="1" hidden="1" outlineLevel="3" x14ac:dyDescent="0.2">
      <c r="A307" s="7" t="s">
        <v>92</v>
      </c>
      <c r="C307" s="7" t="str">
        <f t="shared" si="37"/>
        <v>Jay</v>
      </c>
      <c r="D307" s="7" t="str">
        <f>+D306</f>
        <v>Jamison</v>
      </c>
      <c r="E307" s="8" t="str">
        <f>E306</f>
        <v>ADMN</v>
      </c>
      <c r="G307" s="8" t="str">
        <f>G306</f>
        <v>JAMI0001</v>
      </c>
      <c r="H307" s="26"/>
      <c r="I307" s="26"/>
      <c r="J307" s="26"/>
      <c r="K307" s="28">
        <f>+N307</f>
        <v>42156</v>
      </c>
      <c r="L307" s="26" t="str">
        <f>M307</f>
        <v>10489</v>
      </c>
      <c r="M307" s="26" t="str">
        <f>"10489"</f>
        <v>10489</v>
      </c>
      <c r="N307" s="28">
        <v>42156</v>
      </c>
      <c r="O307" s="26"/>
      <c r="P307" s="26"/>
      <c r="Q307" s="26"/>
      <c r="R307" s="26"/>
      <c r="S307" s="26"/>
      <c r="T307" s="27"/>
    </row>
    <row r="308" spans="1:20" s="7" customFormat="1" hidden="1" outlineLevel="3" x14ac:dyDescent="0.2">
      <c r="A308" s="7" t="s">
        <v>92</v>
      </c>
      <c r="C308" s="7" t="str">
        <f t="shared" si="37"/>
        <v>Jay</v>
      </c>
      <c r="D308" s="7" t="str">
        <f>+D307</f>
        <v>Jamison</v>
      </c>
      <c r="E308" s="8" t="str">
        <f>E307</f>
        <v>ADMN</v>
      </c>
      <c r="G308" s="8" t="str">
        <f>G307</f>
        <v>JAMI0001</v>
      </c>
      <c r="H308" s="26"/>
      <c r="I308" s="26"/>
      <c r="J308" s="26"/>
      <c r="K308" s="28">
        <f>+K307</f>
        <v>42156</v>
      </c>
      <c r="L308" s="26" t="str">
        <f>L307</f>
        <v>10489</v>
      </c>
      <c r="M308" s="26"/>
      <c r="N308" s="26"/>
      <c r="O308" s="26" t="str">
        <f>"""GP Direct"",""Fabrikam, Inc."",""UPR30300"",""PAYRATE"",""0.00000"",""PAYROLCD"",""401K"",""STATECD"","""",""CHEKDATE"",""6/1/2015"",""UPRTRXAM"",""2.03000"""</f>
        <v>"GP Direct","Fabrikam, Inc.","UPR30300","PAYRATE","0.00000","PAYROLCD","401K","STATECD","","CHEKDATE","6/1/2015","UPRTRXAM","2.03000"</v>
      </c>
      <c r="P308" s="29">
        <v>0</v>
      </c>
      <c r="Q308" s="26" t="str">
        <f>"401K"</f>
        <v>401K</v>
      </c>
      <c r="R308" s="26"/>
      <c r="S308" s="28">
        <v>42156</v>
      </c>
      <c r="T308" s="29">
        <v>2.0299999999999998</v>
      </c>
    </row>
    <row r="309" spans="1:20" s="7" customFormat="1" hidden="1" outlineLevel="3" x14ac:dyDescent="0.2">
      <c r="A309" s="7" t="s">
        <v>92</v>
      </c>
      <c r="C309" s="7" t="str">
        <f t="shared" ref="C309:C313" si="42">+C308</f>
        <v>Jay</v>
      </c>
      <c r="D309" s="7" t="str">
        <f>+D308</f>
        <v>Jamison</v>
      </c>
      <c r="E309" s="8" t="str">
        <f>E308</f>
        <v>ADMN</v>
      </c>
      <c r="G309" s="8" t="str">
        <f>G308</f>
        <v>JAMI0001</v>
      </c>
      <c r="H309" s="26"/>
      <c r="I309" s="26"/>
      <c r="J309" s="26"/>
      <c r="K309" s="28">
        <f>+K308</f>
        <v>42156</v>
      </c>
      <c r="L309" s="26" t="str">
        <f>L308</f>
        <v>10489</v>
      </c>
      <c r="M309" s="26"/>
      <c r="N309" s="26"/>
      <c r="O309" s="26" t="str">
        <f>"""GP Direct"",""Fabrikam, Inc."",""UPR30300"",""PAYRATE"",""0.00000"",""PAYROLCD"",""401K"",""STATECD"","""",""CHEKDATE"",""6/1/2015"",""UPRTRXAM"",""40.63000"""</f>
        <v>"GP Direct","Fabrikam, Inc.","UPR30300","PAYRATE","0.00000","PAYROLCD","401K","STATECD","","CHEKDATE","6/1/2015","UPRTRXAM","40.63000"</v>
      </c>
      <c r="P309" s="29">
        <v>0</v>
      </c>
      <c r="Q309" s="26" t="str">
        <f>"401K"</f>
        <v>401K</v>
      </c>
      <c r="R309" s="26"/>
      <c r="S309" s="28">
        <v>42156</v>
      </c>
      <c r="T309" s="29">
        <v>40.630000000000003</v>
      </c>
    </row>
    <row r="310" spans="1:20" s="7" customFormat="1" hidden="1" outlineLevel="3" x14ac:dyDescent="0.2">
      <c r="A310" s="7" t="s">
        <v>92</v>
      </c>
      <c r="C310" s="7" t="str">
        <f t="shared" si="42"/>
        <v>Jay</v>
      </c>
      <c r="D310" s="7" t="str">
        <f>+D309</f>
        <v>Jamison</v>
      </c>
      <c r="E310" s="8" t="str">
        <f>E309</f>
        <v>ADMN</v>
      </c>
      <c r="G310" s="8" t="str">
        <f>G309</f>
        <v>JAMI0001</v>
      </c>
      <c r="H310" s="26"/>
      <c r="I310" s="26"/>
      <c r="J310" s="26"/>
      <c r="K310" s="28">
        <f>+K309</f>
        <v>42156</v>
      </c>
      <c r="L310" s="26" t="str">
        <f>L309</f>
        <v>10489</v>
      </c>
      <c r="M310" s="26"/>
      <c r="N310" s="26"/>
      <c r="O310" s="26" t="str">
        <f>"""GP Direct"",""Fabrikam, Inc."",""UPR30300"",""PAYRATE"",""0.00000"",""PAYROLCD"",""IL"",""STATECD"","""",""CHEKDATE"",""6/1/2015"",""UPRTRXAM"",""38.01000"""</f>
        <v>"GP Direct","Fabrikam, Inc.","UPR30300","PAYRATE","0.00000","PAYROLCD","IL","STATECD","","CHEKDATE","6/1/2015","UPRTRXAM","38.01000"</v>
      </c>
      <c r="P310" s="29">
        <v>0</v>
      </c>
      <c r="Q310" s="26" t="str">
        <f>"IL"</f>
        <v>IL</v>
      </c>
      <c r="R310" s="26"/>
      <c r="S310" s="28">
        <v>42156</v>
      </c>
      <c r="T310" s="29">
        <v>38.01</v>
      </c>
    </row>
    <row r="311" spans="1:20" s="7" customFormat="1" hidden="1" outlineLevel="3" x14ac:dyDescent="0.2">
      <c r="A311" s="7" t="s">
        <v>92</v>
      </c>
      <c r="C311" s="7" t="str">
        <f t="shared" si="42"/>
        <v>Jay</v>
      </c>
      <c r="D311" s="7" t="str">
        <f>+D310</f>
        <v>Jamison</v>
      </c>
      <c r="E311" s="8" t="str">
        <f>E310</f>
        <v>ADMN</v>
      </c>
      <c r="G311" s="8" t="str">
        <f>G310</f>
        <v>JAMI0001</v>
      </c>
      <c r="H311" s="26"/>
      <c r="I311" s="26"/>
      <c r="J311" s="26"/>
      <c r="K311" s="28">
        <f>+K310</f>
        <v>42156</v>
      </c>
      <c r="L311" s="26" t="str">
        <f>L310</f>
        <v>10489</v>
      </c>
      <c r="M311" s="26"/>
      <c r="N311" s="26"/>
      <c r="O311" s="26" t="str">
        <f>"""GP Direct"",""Fabrikam, Inc."",""UPR30300"",""PAYRATE"",""0.00000"",""PAYROLCD"",""INS"",""STATECD"","""",""CHEKDATE"",""6/1/2015"",""UPRTRXAM"",""49.36000"""</f>
        <v>"GP Direct","Fabrikam, Inc.","UPR30300","PAYRATE","0.00000","PAYROLCD","INS","STATECD","","CHEKDATE","6/1/2015","UPRTRXAM","49.36000"</v>
      </c>
      <c r="P311" s="29">
        <v>0</v>
      </c>
      <c r="Q311" s="26" t="str">
        <f>"INS"</f>
        <v>INS</v>
      </c>
      <c r="R311" s="26"/>
      <c r="S311" s="28">
        <v>42156</v>
      </c>
      <c r="T311" s="29">
        <v>49.36</v>
      </c>
    </row>
    <row r="312" spans="1:20" s="7" customFormat="1" hidden="1" outlineLevel="3" x14ac:dyDescent="0.2">
      <c r="A312" s="7" t="s">
        <v>92</v>
      </c>
      <c r="C312" s="7" t="str">
        <f t="shared" si="42"/>
        <v>Jay</v>
      </c>
      <c r="D312" s="7" t="str">
        <f>+D311</f>
        <v>Jamison</v>
      </c>
      <c r="E312" s="8" t="str">
        <f>E311</f>
        <v>ADMN</v>
      </c>
      <c r="G312" s="8" t="str">
        <f>G311</f>
        <v>JAMI0001</v>
      </c>
      <c r="H312" s="26"/>
      <c r="I312" s="26"/>
      <c r="J312" s="26"/>
      <c r="K312" s="28">
        <f>+K311</f>
        <v>42156</v>
      </c>
      <c r="L312" s="26" t="str">
        <f>L311</f>
        <v>10489</v>
      </c>
      <c r="M312" s="26"/>
      <c r="N312" s="26"/>
      <c r="O312" s="26" t="str">
        <f>"""GP Direct"",""Fabrikam, Inc."",""UPR30300"",""PAYRATE"",""0.00000"",""PAYROLCD"",""MED"",""STATECD"","""",""CHEKDATE"",""6/1/2015"",""UPRTRXAM"",""5.00000"""</f>
        <v>"GP Direct","Fabrikam, Inc.","UPR30300","PAYRATE","0.00000","PAYROLCD","MED","STATECD","","CHEKDATE","6/1/2015","UPRTRXAM","5.00000"</v>
      </c>
      <c r="P312" s="29">
        <v>0</v>
      </c>
      <c r="Q312" s="26" t="str">
        <f>"MED"</f>
        <v>MED</v>
      </c>
      <c r="R312" s="26"/>
      <c r="S312" s="28">
        <v>42156</v>
      </c>
      <c r="T312" s="29">
        <v>5</v>
      </c>
    </row>
    <row r="313" spans="1:20" s="7" customFormat="1" hidden="1" outlineLevel="3" x14ac:dyDescent="0.2">
      <c r="A313" s="7" t="s">
        <v>92</v>
      </c>
      <c r="C313" s="7" t="str">
        <f t="shared" si="42"/>
        <v>Jay</v>
      </c>
      <c r="D313" s="7" t="str">
        <f>+D312</f>
        <v>Jamison</v>
      </c>
      <c r="E313" s="8" t="str">
        <f>E312</f>
        <v>ADMN</v>
      </c>
      <c r="G313" s="8" t="str">
        <f>G312</f>
        <v>JAMI0001</v>
      </c>
      <c r="H313" s="26"/>
      <c r="I313" s="26"/>
      <c r="J313" s="26"/>
      <c r="K313" s="28">
        <f>+K312</f>
        <v>42156</v>
      </c>
      <c r="L313" s="26" t="str">
        <f>L312</f>
        <v>10489</v>
      </c>
      <c r="M313" s="26"/>
      <c r="N313" s="26"/>
      <c r="O313" s="26" t="str">
        <f>"""GP Direct"",""Fabrikam, Inc."",""UPR30300"",""PAYRATE"",""32500.00000"",""PAYROLCD"",""SALY"",""STATECD"",""IL"",""CHEKDATE"",""6/1/2015"",""UPRTRXAM"",""1354.17000"""</f>
        <v>"GP Direct","Fabrikam, Inc.","UPR30300","PAYRATE","32500.00000","PAYROLCD","SALY","STATECD","IL","CHEKDATE","6/1/2015","UPRTRXAM","1354.17000"</v>
      </c>
      <c r="P313" s="29">
        <v>32500</v>
      </c>
      <c r="Q313" s="26" t="str">
        <f>"SALY"</f>
        <v>SALY</v>
      </c>
      <c r="R313" s="26" t="str">
        <f>"IL"</f>
        <v>IL</v>
      </c>
      <c r="S313" s="28">
        <v>42156</v>
      </c>
      <c r="T313" s="29">
        <v>1354.17</v>
      </c>
    </row>
    <row r="314" spans="1:20" s="7" customFormat="1" hidden="1" outlineLevel="3" x14ac:dyDescent="0.2">
      <c r="A314" s="7" t="s">
        <v>92</v>
      </c>
      <c r="C314" s="7" t="str">
        <f>+C308</f>
        <v>Jay</v>
      </c>
      <c r="D314" s="7" t="str">
        <f>+D308</f>
        <v>Jamison</v>
      </c>
      <c r="E314" s="8" t="str">
        <f>E308</f>
        <v>ADMN</v>
      </c>
      <c r="G314" s="8" t="str">
        <f>G308</f>
        <v>JAMI0001</v>
      </c>
      <c r="K314" s="12">
        <f>+K308</f>
        <v>42156</v>
      </c>
      <c r="L314" s="8" t="str">
        <f>L308</f>
        <v>10489</v>
      </c>
      <c r="O314" s="8"/>
      <c r="T314" s="20"/>
    </row>
    <row r="315" spans="1:20" s="7" customFormat="1" hidden="1" outlineLevel="2" collapsed="1" x14ac:dyDescent="0.2">
      <c r="A315" s="7" t="s">
        <v>92</v>
      </c>
      <c r="C315" s="7" t="str">
        <f t="shared" si="37"/>
        <v>Jay</v>
      </c>
      <c r="D315" s="7" t="str">
        <f>+D314</f>
        <v>Jamison</v>
      </c>
      <c r="E315" s="8" t="str">
        <f>E314</f>
        <v>ADMN</v>
      </c>
      <c r="G315" s="8" t="str">
        <f>G314</f>
        <v>JAMI0001</v>
      </c>
      <c r="K315" s="12">
        <f>+K314</f>
        <v>42156</v>
      </c>
      <c r="L315" s="8" t="str">
        <f>L314</f>
        <v>10489</v>
      </c>
      <c r="M315" s="33" t="str">
        <f>"Total for " &amp; $L315</f>
        <v>Total for 10489</v>
      </c>
      <c r="N315" s="34">
        <f>+K315</f>
        <v>42156</v>
      </c>
      <c r="O315" s="35"/>
      <c r="P315" s="33"/>
      <c r="Q315" s="33"/>
      <c r="R315" s="33"/>
      <c r="S315" s="33"/>
      <c r="T315" s="36">
        <f>SUBTOTAL(9,T308:T314)</f>
        <v>1489.2</v>
      </c>
    </row>
    <row r="316" spans="1:20" s="7" customFormat="1" hidden="1" outlineLevel="2" x14ac:dyDescent="0.2">
      <c r="A316" s="7" t="s">
        <v>92</v>
      </c>
      <c r="C316" s="7" t="str">
        <f>+C269</f>
        <v>Jay</v>
      </c>
      <c r="D316" s="7" t="str">
        <f>+D269</f>
        <v>Jamison</v>
      </c>
      <c r="E316" s="8" t="str">
        <f>E269</f>
        <v>ADMN</v>
      </c>
      <c r="G316" s="8" t="str">
        <f>G269</f>
        <v>JAMI0001</v>
      </c>
      <c r="L316" s="8"/>
      <c r="O316" s="8"/>
      <c r="T316" s="20"/>
    </row>
    <row r="317" spans="1:20" s="7" customFormat="1" hidden="1" outlineLevel="1" collapsed="1" x14ac:dyDescent="0.2">
      <c r="A317" s="7" t="s">
        <v>92</v>
      </c>
      <c r="C317" s="7" t="str">
        <f t="shared" si="35"/>
        <v>Jay</v>
      </c>
      <c r="D317" s="7" t="str">
        <f>+D316</f>
        <v>Jamison</v>
      </c>
      <c r="E317" s="8" t="str">
        <f>E316</f>
        <v>ADMN</v>
      </c>
      <c r="G317" s="8" t="str">
        <f>G316</f>
        <v>JAMI0001</v>
      </c>
      <c r="H317" s="30" t="str">
        <f>"Total for " &amp; $G317</f>
        <v>Total for JAMI0001</v>
      </c>
      <c r="I317" s="30" t="str">
        <f>+C317</f>
        <v>Jay</v>
      </c>
      <c r="J317" s="30" t="str">
        <f>+D317</f>
        <v>Jamison</v>
      </c>
      <c r="K317" s="30"/>
      <c r="L317" s="31"/>
      <c r="M317" s="30"/>
      <c r="N317" s="30"/>
      <c r="O317" s="31"/>
      <c r="P317" s="30"/>
      <c r="Q317" s="30"/>
      <c r="R317" s="30"/>
      <c r="S317" s="30"/>
      <c r="T317" s="32">
        <f>SUBTOTAL(9,T262:T316)</f>
        <v>8802.619999999999</v>
      </c>
    </row>
    <row r="318" spans="1:20" s="7" customFormat="1" hidden="1" outlineLevel="2" x14ac:dyDescent="0.2">
      <c r="A318" s="7" t="s">
        <v>92</v>
      </c>
      <c r="C318" s="7" t="str">
        <f t="shared" ref="C318" si="43">+I318</f>
        <v>Wendy</v>
      </c>
      <c r="D318" s="7" t="str">
        <f>+J318</f>
        <v>Kahn</v>
      </c>
      <c r="E318" s="8" t="str">
        <f>E317</f>
        <v>ADMN</v>
      </c>
      <c r="G318" s="8" t="str">
        <f>H318</f>
        <v>KAHN0001</v>
      </c>
      <c r="H318" s="24" t="str">
        <f>"KAHN0001"</f>
        <v>KAHN0001</v>
      </c>
      <c r="I318" s="25" t="str">
        <f>"Wendy"</f>
        <v>Wendy</v>
      </c>
      <c r="J318" s="25" t="str">
        <f>"Kahn"</f>
        <v>Kahn</v>
      </c>
      <c r="K318" s="26"/>
      <c r="L318" s="26"/>
      <c r="M318" s="26"/>
      <c r="N318" s="26"/>
      <c r="O318" s="26"/>
      <c r="P318" s="26"/>
      <c r="Q318" s="26"/>
      <c r="R318" s="26"/>
      <c r="S318" s="26"/>
      <c r="T318" s="27"/>
    </row>
    <row r="319" spans="1:20" s="7" customFormat="1" hidden="1" outlineLevel="3" x14ac:dyDescent="0.2">
      <c r="A319" s="7" t="s">
        <v>92</v>
      </c>
      <c r="C319" s="7" t="str">
        <f t="shared" ref="C319:C384" si="44">+C318</f>
        <v>Wendy</v>
      </c>
      <c r="D319" s="7" t="str">
        <f>+D318</f>
        <v>Kahn</v>
      </c>
      <c r="E319" s="8" t="str">
        <f>E318</f>
        <v>ADMN</v>
      </c>
      <c r="G319" s="8" t="str">
        <f>G318</f>
        <v>KAHN0001</v>
      </c>
      <c r="H319" s="26"/>
      <c r="I319" s="26"/>
      <c r="J319" s="26"/>
      <c r="K319" s="28">
        <f>+N319</f>
        <v>42005</v>
      </c>
      <c r="L319" s="26" t="str">
        <f>M319</f>
        <v>10365</v>
      </c>
      <c r="M319" s="26" t="str">
        <f>"10365"</f>
        <v>10365</v>
      </c>
      <c r="N319" s="28">
        <v>42005</v>
      </c>
      <c r="O319" s="26"/>
      <c r="P319" s="26"/>
      <c r="Q319" s="26"/>
      <c r="R319" s="26"/>
      <c r="S319" s="26"/>
      <c r="T319" s="27"/>
    </row>
    <row r="320" spans="1:20" s="7" customFormat="1" hidden="1" outlineLevel="3" x14ac:dyDescent="0.2">
      <c r="A320" s="7" t="s">
        <v>92</v>
      </c>
      <c r="C320" s="7" t="str">
        <f t="shared" si="44"/>
        <v>Wendy</v>
      </c>
      <c r="D320" s="7" t="str">
        <f>+D319</f>
        <v>Kahn</v>
      </c>
      <c r="E320" s="8" t="str">
        <f>E319</f>
        <v>ADMN</v>
      </c>
      <c r="G320" s="8" t="str">
        <f>G319</f>
        <v>KAHN0001</v>
      </c>
      <c r="H320" s="26"/>
      <c r="I320" s="26"/>
      <c r="J320" s="26"/>
      <c r="K320" s="28">
        <f>+K319</f>
        <v>42005</v>
      </c>
      <c r="L320" s="26" t="str">
        <f>L319</f>
        <v>10365</v>
      </c>
      <c r="M320" s="26"/>
      <c r="N320" s="26"/>
      <c r="O320" s="26" t="str">
        <f>"""GP Direct"",""Fabrikam, Inc."",""UPR30300"",""PAYRATE"",""0.00000"",""PAYROLCD"",""401K"",""STATECD"","""",""CHEKDATE"",""1/1/2015"",""UPRTRXAM"",""1.03000"""</f>
        <v>"GP Direct","Fabrikam, Inc.","UPR30300","PAYRATE","0.00000","PAYROLCD","401K","STATECD","","CHEKDATE","1/1/2015","UPRTRXAM","1.03000"</v>
      </c>
      <c r="P320" s="29">
        <v>0</v>
      </c>
      <c r="Q320" s="26" t="str">
        <f>"401K"</f>
        <v>401K</v>
      </c>
      <c r="R320" s="26"/>
      <c r="S320" s="28">
        <v>42005</v>
      </c>
      <c r="T320" s="29">
        <v>1.03</v>
      </c>
    </row>
    <row r="321" spans="1:20" s="7" customFormat="1" hidden="1" outlineLevel="3" x14ac:dyDescent="0.2">
      <c r="A321" s="7" t="s">
        <v>92</v>
      </c>
      <c r="C321" s="7" t="str">
        <f t="shared" ref="C321:C325" si="45">+C320</f>
        <v>Wendy</v>
      </c>
      <c r="D321" s="7" t="str">
        <f>+D320</f>
        <v>Kahn</v>
      </c>
      <c r="E321" s="8" t="str">
        <f>E320</f>
        <v>ADMN</v>
      </c>
      <c r="G321" s="8" t="str">
        <f>G320</f>
        <v>KAHN0001</v>
      </c>
      <c r="H321" s="26"/>
      <c r="I321" s="26"/>
      <c r="J321" s="26"/>
      <c r="K321" s="28">
        <f>+K320</f>
        <v>42005</v>
      </c>
      <c r="L321" s="26" t="str">
        <f>L320</f>
        <v>10365</v>
      </c>
      <c r="M321" s="26"/>
      <c r="N321" s="26"/>
      <c r="O321" s="26" t="str">
        <f>"""GP Direct"",""Fabrikam, Inc."",""UPR30300"",""PAYRATE"",""0.00000"",""PAYROLCD"",""401K"",""STATECD"","""",""CHEKDATE"",""1/1/2015"",""UPRTRXAM"",""20.54000"""</f>
        <v>"GP Direct","Fabrikam, Inc.","UPR30300","PAYRATE","0.00000","PAYROLCD","401K","STATECD","","CHEKDATE","1/1/2015","UPRTRXAM","20.54000"</v>
      </c>
      <c r="P321" s="29">
        <v>0</v>
      </c>
      <c r="Q321" s="26" t="str">
        <f>"401K"</f>
        <v>401K</v>
      </c>
      <c r="R321" s="26"/>
      <c r="S321" s="28">
        <v>42005</v>
      </c>
      <c r="T321" s="29">
        <v>20.54</v>
      </c>
    </row>
    <row r="322" spans="1:20" s="7" customFormat="1" hidden="1" outlineLevel="3" x14ac:dyDescent="0.2">
      <c r="A322" s="7" t="s">
        <v>92</v>
      </c>
      <c r="C322" s="7" t="str">
        <f t="shared" si="45"/>
        <v>Wendy</v>
      </c>
      <c r="D322" s="7" t="str">
        <f>+D321</f>
        <v>Kahn</v>
      </c>
      <c r="E322" s="8" t="str">
        <f>E321</f>
        <v>ADMN</v>
      </c>
      <c r="G322" s="8" t="str">
        <f>G321</f>
        <v>KAHN0001</v>
      </c>
      <c r="H322" s="26"/>
      <c r="I322" s="26"/>
      <c r="J322" s="26"/>
      <c r="K322" s="28">
        <f>+K321</f>
        <v>42005</v>
      </c>
      <c r="L322" s="26" t="str">
        <f>L321</f>
        <v>10365</v>
      </c>
      <c r="M322" s="26"/>
      <c r="N322" s="26"/>
      <c r="O322" s="26" t="str">
        <f>"""GP Direct"",""Fabrikam, Inc."",""UPR30300"",""PAYRATE"",""0.00000"",""PAYROLCD"",""IL"",""STATECD"","""",""CHEKDATE"",""1/1/2015"",""UPRTRXAM"",""18.52000"""</f>
        <v>"GP Direct","Fabrikam, Inc.","UPR30300","PAYRATE","0.00000","PAYROLCD","IL","STATECD","","CHEKDATE","1/1/2015","UPRTRXAM","18.52000"</v>
      </c>
      <c r="P322" s="29">
        <v>0</v>
      </c>
      <c r="Q322" s="26" t="str">
        <f>"IL"</f>
        <v>IL</v>
      </c>
      <c r="R322" s="26"/>
      <c r="S322" s="28">
        <v>42005</v>
      </c>
      <c r="T322" s="29">
        <v>18.52</v>
      </c>
    </row>
    <row r="323" spans="1:20" s="7" customFormat="1" hidden="1" outlineLevel="3" x14ac:dyDescent="0.2">
      <c r="A323" s="7" t="s">
        <v>92</v>
      </c>
      <c r="C323" s="7" t="str">
        <f t="shared" si="45"/>
        <v>Wendy</v>
      </c>
      <c r="D323" s="7" t="str">
        <f>+D322</f>
        <v>Kahn</v>
      </c>
      <c r="E323" s="8" t="str">
        <f>E322</f>
        <v>ADMN</v>
      </c>
      <c r="G323" s="8" t="str">
        <f>G322</f>
        <v>KAHN0001</v>
      </c>
      <c r="H323" s="26"/>
      <c r="I323" s="26"/>
      <c r="J323" s="26"/>
      <c r="K323" s="28">
        <f>+K322</f>
        <v>42005</v>
      </c>
      <c r="L323" s="26" t="str">
        <f>L322</f>
        <v>10365</v>
      </c>
      <c r="M323" s="26"/>
      <c r="N323" s="26"/>
      <c r="O323" s="26" t="str">
        <f>"""GP Direct"",""Fabrikam, Inc."",""UPR30300"",""PAYRATE"",""0.00000"",""PAYROLCD"",""INS"",""STATECD"","""",""CHEKDATE"",""1/1/2015"",""UPRTRXAM"",""49.36000"""</f>
        <v>"GP Direct","Fabrikam, Inc.","UPR30300","PAYRATE","0.00000","PAYROLCD","INS","STATECD","","CHEKDATE","1/1/2015","UPRTRXAM","49.36000"</v>
      </c>
      <c r="P323" s="29">
        <v>0</v>
      </c>
      <c r="Q323" s="26" t="str">
        <f>"INS"</f>
        <v>INS</v>
      </c>
      <c r="R323" s="26"/>
      <c r="S323" s="28">
        <v>42005</v>
      </c>
      <c r="T323" s="29">
        <v>49.36</v>
      </c>
    </row>
    <row r="324" spans="1:20" s="7" customFormat="1" hidden="1" outlineLevel="3" x14ac:dyDescent="0.2">
      <c r="A324" s="7" t="s">
        <v>92</v>
      </c>
      <c r="C324" s="7" t="str">
        <f t="shared" si="45"/>
        <v>Wendy</v>
      </c>
      <c r="D324" s="7" t="str">
        <f>+D323</f>
        <v>Kahn</v>
      </c>
      <c r="E324" s="8" t="str">
        <f>E323</f>
        <v>ADMN</v>
      </c>
      <c r="G324" s="8" t="str">
        <f>G323</f>
        <v>KAHN0001</v>
      </c>
      <c r="H324" s="26"/>
      <c r="I324" s="26"/>
      <c r="J324" s="26"/>
      <c r="K324" s="28">
        <f>+K323</f>
        <v>42005</v>
      </c>
      <c r="L324" s="26" t="str">
        <f>L323</f>
        <v>10365</v>
      </c>
      <c r="M324" s="26"/>
      <c r="N324" s="26"/>
      <c r="O324" s="26" t="str">
        <f>"""GP Direct"",""Fabrikam, Inc."",""UPR30300"",""PAYRATE"",""0.00000"",""PAYROLCD"",""MED"",""STATECD"","""",""CHEKDATE"",""1/1/2015"",""UPRTRXAM"",""5.00000"""</f>
        <v>"GP Direct","Fabrikam, Inc.","UPR30300","PAYRATE","0.00000","PAYROLCD","MED","STATECD","","CHEKDATE","1/1/2015","UPRTRXAM","5.00000"</v>
      </c>
      <c r="P324" s="29">
        <v>0</v>
      </c>
      <c r="Q324" s="26" t="str">
        <f>"MED"</f>
        <v>MED</v>
      </c>
      <c r="R324" s="26"/>
      <c r="S324" s="28">
        <v>42005</v>
      </c>
      <c r="T324" s="29">
        <v>5</v>
      </c>
    </row>
    <row r="325" spans="1:20" s="7" customFormat="1" hidden="1" outlineLevel="3" x14ac:dyDescent="0.2">
      <c r="A325" s="7" t="s">
        <v>92</v>
      </c>
      <c r="C325" s="7" t="str">
        <f t="shared" si="45"/>
        <v>Wendy</v>
      </c>
      <c r="D325" s="7" t="str">
        <f>+D324</f>
        <v>Kahn</v>
      </c>
      <c r="E325" s="8" t="str">
        <f>E324</f>
        <v>ADMN</v>
      </c>
      <c r="G325" s="8" t="str">
        <f>G324</f>
        <v>KAHN0001</v>
      </c>
      <c r="H325" s="26"/>
      <c r="I325" s="26"/>
      <c r="J325" s="26"/>
      <c r="K325" s="28">
        <f>+K324</f>
        <v>42005</v>
      </c>
      <c r="L325" s="26" t="str">
        <f>L324</f>
        <v>10365</v>
      </c>
      <c r="M325" s="26"/>
      <c r="N325" s="26"/>
      <c r="O325" s="26" t="str">
        <f>"""GP Direct"",""Fabrikam, Inc."",""UPR30300"",""PAYRATE"",""7.90000"",""PAYROLCD"",""HOUR"",""STATECD"",""IL"",""CHEKDATE"",""1/1/2015"",""UPRTRXAM"",""684.69000"""</f>
        <v>"GP Direct","Fabrikam, Inc.","UPR30300","PAYRATE","7.90000","PAYROLCD","HOUR","STATECD","IL","CHEKDATE","1/1/2015","UPRTRXAM","684.69000"</v>
      </c>
      <c r="P325" s="29">
        <v>7.9</v>
      </c>
      <c r="Q325" s="26" t="str">
        <f>"HOUR"</f>
        <v>HOUR</v>
      </c>
      <c r="R325" s="26" t="str">
        <f>"IL"</f>
        <v>IL</v>
      </c>
      <c r="S325" s="28">
        <v>42005</v>
      </c>
      <c r="T325" s="29">
        <v>684.69</v>
      </c>
    </row>
    <row r="326" spans="1:20" s="7" customFormat="1" hidden="1" outlineLevel="3" x14ac:dyDescent="0.2">
      <c r="A326" s="7" t="s">
        <v>92</v>
      </c>
      <c r="C326" s="7" t="str">
        <f>+C320</f>
        <v>Wendy</v>
      </c>
      <c r="D326" s="7" t="str">
        <f>+D320</f>
        <v>Kahn</v>
      </c>
      <c r="E326" s="8" t="str">
        <f>E320</f>
        <v>ADMN</v>
      </c>
      <c r="G326" s="8" t="str">
        <f>G320</f>
        <v>KAHN0001</v>
      </c>
      <c r="K326" s="12">
        <f>+K320</f>
        <v>42005</v>
      </c>
      <c r="L326" s="8" t="str">
        <f>L320</f>
        <v>10365</v>
      </c>
      <c r="O326" s="8"/>
      <c r="T326" s="20"/>
    </row>
    <row r="327" spans="1:20" s="7" customFormat="1" hidden="1" outlineLevel="2" collapsed="1" x14ac:dyDescent="0.2">
      <c r="A327" s="7" t="s">
        <v>92</v>
      </c>
      <c r="C327" s="7" t="str">
        <f t="shared" si="44"/>
        <v>Wendy</v>
      </c>
      <c r="D327" s="7" t="str">
        <f>+D326</f>
        <v>Kahn</v>
      </c>
      <c r="E327" s="8" t="str">
        <f>E326</f>
        <v>ADMN</v>
      </c>
      <c r="G327" s="8" t="str">
        <f>G326</f>
        <v>KAHN0001</v>
      </c>
      <c r="K327" s="12">
        <f>+K326</f>
        <v>42005</v>
      </c>
      <c r="L327" s="8" t="str">
        <f>L326</f>
        <v>10365</v>
      </c>
      <c r="M327" s="33" t="str">
        <f>"Total for " &amp; $L327</f>
        <v>Total for 10365</v>
      </c>
      <c r="N327" s="34">
        <f>+K327</f>
        <v>42005</v>
      </c>
      <c r="O327" s="35"/>
      <c r="P327" s="33"/>
      <c r="Q327" s="33"/>
      <c r="R327" s="33"/>
      <c r="S327" s="33"/>
      <c r="T327" s="36">
        <f>SUBTOTAL(9,T320:T326)</f>
        <v>779.1400000000001</v>
      </c>
    </row>
    <row r="328" spans="1:20" s="7" customFormat="1" hidden="1" outlineLevel="3" x14ac:dyDescent="0.2">
      <c r="A328" s="7" t="s">
        <v>92</v>
      </c>
      <c r="C328" s="7" t="str">
        <f t="shared" ref="C328:C382" si="46">+C327</f>
        <v>Wendy</v>
      </c>
      <c r="D328" s="7" t="str">
        <f>+D327</f>
        <v>Kahn</v>
      </c>
      <c r="E328" s="8" t="str">
        <f>E327</f>
        <v>ADMN</v>
      </c>
      <c r="G328" s="8" t="str">
        <f>G327</f>
        <v>KAHN0001</v>
      </c>
      <c r="H328" s="26"/>
      <c r="I328" s="26"/>
      <c r="J328" s="26"/>
      <c r="K328" s="28">
        <f>+N328</f>
        <v>42036</v>
      </c>
      <c r="L328" s="26" t="str">
        <f>M328</f>
        <v>10390</v>
      </c>
      <c r="M328" s="26" t="str">
        <f>"10390"</f>
        <v>10390</v>
      </c>
      <c r="N328" s="28">
        <v>42036</v>
      </c>
      <c r="O328" s="26"/>
      <c r="P328" s="26"/>
      <c r="Q328" s="26"/>
      <c r="R328" s="26"/>
      <c r="S328" s="26"/>
      <c r="T328" s="27"/>
    </row>
    <row r="329" spans="1:20" s="7" customFormat="1" hidden="1" outlineLevel="3" x14ac:dyDescent="0.2">
      <c r="A329" s="7" t="s">
        <v>92</v>
      </c>
      <c r="C329" s="7" t="str">
        <f t="shared" si="46"/>
        <v>Wendy</v>
      </c>
      <c r="D329" s="7" t="str">
        <f>+D328</f>
        <v>Kahn</v>
      </c>
      <c r="E329" s="8" t="str">
        <f>E328</f>
        <v>ADMN</v>
      </c>
      <c r="G329" s="8" t="str">
        <f>G328</f>
        <v>KAHN0001</v>
      </c>
      <c r="H329" s="26"/>
      <c r="I329" s="26"/>
      <c r="J329" s="26"/>
      <c r="K329" s="28">
        <f>+K328</f>
        <v>42036</v>
      </c>
      <c r="L329" s="26" t="str">
        <f>L328</f>
        <v>10390</v>
      </c>
      <c r="M329" s="26"/>
      <c r="N329" s="26"/>
      <c r="O329" s="26" t="str">
        <f>"""GP Direct"",""Fabrikam, Inc."",""UPR30300"",""PAYRATE"",""0.00000"",""PAYROLCD"",""401K"",""STATECD"","""",""CHEKDATE"",""2/1/2015"",""UPRTRXAM"",""1.03000"""</f>
        <v>"GP Direct","Fabrikam, Inc.","UPR30300","PAYRATE","0.00000","PAYROLCD","401K","STATECD","","CHEKDATE","2/1/2015","UPRTRXAM","1.03000"</v>
      </c>
      <c r="P329" s="29">
        <v>0</v>
      </c>
      <c r="Q329" s="26" t="str">
        <f>"401K"</f>
        <v>401K</v>
      </c>
      <c r="R329" s="26"/>
      <c r="S329" s="28">
        <v>42036</v>
      </c>
      <c r="T329" s="29">
        <v>1.03</v>
      </c>
    </row>
    <row r="330" spans="1:20" s="7" customFormat="1" hidden="1" outlineLevel="3" x14ac:dyDescent="0.2">
      <c r="A330" s="7" t="s">
        <v>92</v>
      </c>
      <c r="C330" s="7" t="str">
        <f t="shared" ref="C330:C334" si="47">+C329</f>
        <v>Wendy</v>
      </c>
      <c r="D330" s="7" t="str">
        <f>+D329</f>
        <v>Kahn</v>
      </c>
      <c r="E330" s="8" t="str">
        <f>E329</f>
        <v>ADMN</v>
      </c>
      <c r="G330" s="8" t="str">
        <f>G329</f>
        <v>KAHN0001</v>
      </c>
      <c r="H330" s="26"/>
      <c r="I330" s="26"/>
      <c r="J330" s="26"/>
      <c r="K330" s="28">
        <f>+K329</f>
        <v>42036</v>
      </c>
      <c r="L330" s="26" t="str">
        <f>L329</f>
        <v>10390</v>
      </c>
      <c r="M330" s="26"/>
      <c r="N330" s="26"/>
      <c r="O330" s="26" t="str">
        <f>"""GP Direct"",""Fabrikam, Inc."",""UPR30300"",""PAYRATE"",""0.00000"",""PAYROLCD"",""401K"",""STATECD"","""",""CHEKDATE"",""2/1/2015"",""UPRTRXAM"",""20.54000"""</f>
        <v>"GP Direct","Fabrikam, Inc.","UPR30300","PAYRATE","0.00000","PAYROLCD","401K","STATECD","","CHEKDATE","2/1/2015","UPRTRXAM","20.54000"</v>
      </c>
      <c r="P330" s="29">
        <v>0</v>
      </c>
      <c r="Q330" s="26" t="str">
        <f>"401K"</f>
        <v>401K</v>
      </c>
      <c r="R330" s="26"/>
      <c r="S330" s="28">
        <v>42036</v>
      </c>
      <c r="T330" s="29">
        <v>20.54</v>
      </c>
    </row>
    <row r="331" spans="1:20" s="7" customFormat="1" hidden="1" outlineLevel="3" x14ac:dyDescent="0.2">
      <c r="A331" s="7" t="s">
        <v>92</v>
      </c>
      <c r="C331" s="7" t="str">
        <f t="shared" si="47"/>
        <v>Wendy</v>
      </c>
      <c r="D331" s="7" t="str">
        <f>+D330</f>
        <v>Kahn</v>
      </c>
      <c r="E331" s="8" t="str">
        <f>E330</f>
        <v>ADMN</v>
      </c>
      <c r="G331" s="8" t="str">
        <f>G330</f>
        <v>KAHN0001</v>
      </c>
      <c r="H331" s="26"/>
      <c r="I331" s="26"/>
      <c r="J331" s="26"/>
      <c r="K331" s="28">
        <f>+K330</f>
        <v>42036</v>
      </c>
      <c r="L331" s="26" t="str">
        <f>L330</f>
        <v>10390</v>
      </c>
      <c r="M331" s="26"/>
      <c r="N331" s="26"/>
      <c r="O331" s="26" t="str">
        <f>"""GP Direct"",""Fabrikam, Inc."",""UPR30300"",""PAYRATE"",""0.00000"",""PAYROLCD"",""IL"",""STATECD"","""",""CHEKDATE"",""2/1/2015"",""UPRTRXAM"",""18.52000"""</f>
        <v>"GP Direct","Fabrikam, Inc.","UPR30300","PAYRATE","0.00000","PAYROLCD","IL","STATECD","","CHEKDATE","2/1/2015","UPRTRXAM","18.52000"</v>
      </c>
      <c r="P331" s="29">
        <v>0</v>
      </c>
      <c r="Q331" s="26" t="str">
        <f>"IL"</f>
        <v>IL</v>
      </c>
      <c r="R331" s="26"/>
      <c r="S331" s="28">
        <v>42036</v>
      </c>
      <c r="T331" s="29">
        <v>18.52</v>
      </c>
    </row>
    <row r="332" spans="1:20" s="7" customFormat="1" hidden="1" outlineLevel="3" x14ac:dyDescent="0.2">
      <c r="A332" s="7" t="s">
        <v>92</v>
      </c>
      <c r="C332" s="7" t="str">
        <f t="shared" si="47"/>
        <v>Wendy</v>
      </c>
      <c r="D332" s="7" t="str">
        <f>+D331</f>
        <v>Kahn</v>
      </c>
      <c r="E332" s="8" t="str">
        <f>E331</f>
        <v>ADMN</v>
      </c>
      <c r="G332" s="8" t="str">
        <f>G331</f>
        <v>KAHN0001</v>
      </c>
      <c r="H332" s="26"/>
      <c r="I332" s="26"/>
      <c r="J332" s="26"/>
      <c r="K332" s="28">
        <f>+K331</f>
        <v>42036</v>
      </c>
      <c r="L332" s="26" t="str">
        <f>L331</f>
        <v>10390</v>
      </c>
      <c r="M332" s="26"/>
      <c r="N332" s="26"/>
      <c r="O332" s="26" t="str">
        <f>"""GP Direct"",""Fabrikam, Inc."",""UPR30300"",""PAYRATE"",""0.00000"",""PAYROLCD"",""INS"",""STATECD"","""",""CHEKDATE"",""2/1/2015"",""UPRTRXAM"",""49.36000"""</f>
        <v>"GP Direct","Fabrikam, Inc.","UPR30300","PAYRATE","0.00000","PAYROLCD","INS","STATECD","","CHEKDATE","2/1/2015","UPRTRXAM","49.36000"</v>
      </c>
      <c r="P332" s="29">
        <v>0</v>
      </c>
      <c r="Q332" s="26" t="str">
        <f>"INS"</f>
        <v>INS</v>
      </c>
      <c r="R332" s="26"/>
      <c r="S332" s="28">
        <v>42036</v>
      </c>
      <c r="T332" s="29">
        <v>49.36</v>
      </c>
    </row>
    <row r="333" spans="1:20" s="7" customFormat="1" hidden="1" outlineLevel="3" x14ac:dyDescent="0.2">
      <c r="A333" s="7" t="s">
        <v>92</v>
      </c>
      <c r="C333" s="7" t="str">
        <f t="shared" si="47"/>
        <v>Wendy</v>
      </c>
      <c r="D333" s="7" t="str">
        <f>+D332</f>
        <v>Kahn</v>
      </c>
      <c r="E333" s="8" t="str">
        <f>E332</f>
        <v>ADMN</v>
      </c>
      <c r="G333" s="8" t="str">
        <f>G332</f>
        <v>KAHN0001</v>
      </c>
      <c r="H333" s="26"/>
      <c r="I333" s="26"/>
      <c r="J333" s="26"/>
      <c r="K333" s="28">
        <f>+K332</f>
        <v>42036</v>
      </c>
      <c r="L333" s="26" t="str">
        <f>L332</f>
        <v>10390</v>
      </c>
      <c r="M333" s="26"/>
      <c r="N333" s="26"/>
      <c r="O333" s="26" t="str">
        <f>"""GP Direct"",""Fabrikam, Inc."",""UPR30300"",""PAYRATE"",""0.00000"",""PAYROLCD"",""MED"",""STATECD"","""",""CHEKDATE"",""2/1/2015"",""UPRTRXAM"",""5.00000"""</f>
        <v>"GP Direct","Fabrikam, Inc.","UPR30300","PAYRATE","0.00000","PAYROLCD","MED","STATECD","","CHEKDATE","2/1/2015","UPRTRXAM","5.00000"</v>
      </c>
      <c r="P333" s="29">
        <v>0</v>
      </c>
      <c r="Q333" s="26" t="str">
        <f>"MED"</f>
        <v>MED</v>
      </c>
      <c r="R333" s="26"/>
      <c r="S333" s="28">
        <v>42036</v>
      </c>
      <c r="T333" s="29">
        <v>5</v>
      </c>
    </row>
    <row r="334" spans="1:20" s="7" customFormat="1" hidden="1" outlineLevel="3" x14ac:dyDescent="0.2">
      <c r="A334" s="7" t="s">
        <v>92</v>
      </c>
      <c r="C334" s="7" t="str">
        <f t="shared" si="47"/>
        <v>Wendy</v>
      </c>
      <c r="D334" s="7" t="str">
        <f>+D333</f>
        <v>Kahn</v>
      </c>
      <c r="E334" s="8" t="str">
        <f>E333</f>
        <v>ADMN</v>
      </c>
      <c r="G334" s="8" t="str">
        <f>G333</f>
        <v>KAHN0001</v>
      </c>
      <c r="H334" s="26"/>
      <c r="I334" s="26"/>
      <c r="J334" s="26"/>
      <c r="K334" s="28">
        <f>+K333</f>
        <v>42036</v>
      </c>
      <c r="L334" s="26" t="str">
        <f>L333</f>
        <v>10390</v>
      </c>
      <c r="M334" s="26"/>
      <c r="N334" s="26"/>
      <c r="O334" s="26" t="str">
        <f>"""GP Direct"",""Fabrikam, Inc."",""UPR30300"",""PAYRATE"",""7.90000"",""PAYROLCD"",""HOUR"",""STATECD"",""IL"",""CHEKDATE"",""2/1/2015"",""UPRTRXAM"",""684.69000"""</f>
        <v>"GP Direct","Fabrikam, Inc.","UPR30300","PAYRATE","7.90000","PAYROLCD","HOUR","STATECD","IL","CHEKDATE","2/1/2015","UPRTRXAM","684.69000"</v>
      </c>
      <c r="P334" s="29">
        <v>7.9</v>
      </c>
      <c r="Q334" s="26" t="str">
        <f>"HOUR"</f>
        <v>HOUR</v>
      </c>
      <c r="R334" s="26" t="str">
        <f>"IL"</f>
        <v>IL</v>
      </c>
      <c r="S334" s="28">
        <v>42036</v>
      </c>
      <c r="T334" s="29">
        <v>684.69</v>
      </c>
    </row>
    <row r="335" spans="1:20" s="7" customFormat="1" hidden="1" outlineLevel="3" x14ac:dyDescent="0.2">
      <c r="A335" s="7" t="s">
        <v>92</v>
      </c>
      <c r="C335" s="7" t="str">
        <f>+C329</f>
        <v>Wendy</v>
      </c>
      <c r="D335" s="7" t="str">
        <f>+D329</f>
        <v>Kahn</v>
      </c>
      <c r="E335" s="8" t="str">
        <f>E329</f>
        <v>ADMN</v>
      </c>
      <c r="G335" s="8" t="str">
        <f>G329</f>
        <v>KAHN0001</v>
      </c>
      <c r="K335" s="12">
        <f>+K329</f>
        <v>42036</v>
      </c>
      <c r="L335" s="8" t="str">
        <f>L329</f>
        <v>10390</v>
      </c>
      <c r="O335" s="8"/>
      <c r="T335" s="20"/>
    </row>
    <row r="336" spans="1:20" s="7" customFormat="1" hidden="1" outlineLevel="2" collapsed="1" x14ac:dyDescent="0.2">
      <c r="A336" s="7" t="s">
        <v>92</v>
      </c>
      <c r="C336" s="7" t="str">
        <f t="shared" si="46"/>
        <v>Wendy</v>
      </c>
      <c r="D336" s="7" t="str">
        <f>+D335</f>
        <v>Kahn</v>
      </c>
      <c r="E336" s="8" t="str">
        <f>E335</f>
        <v>ADMN</v>
      </c>
      <c r="G336" s="8" t="str">
        <f>G335</f>
        <v>KAHN0001</v>
      </c>
      <c r="K336" s="12">
        <f>+K335</f>
        <v>42036</v>
      </c>
      <c r="L336" s="8" t="str">
        <f>L335</f>
        <v>10390</v>
      </c>
      <c r="M336" s="33" t="str">
        <f>"Total for " &amp; $L336</f>
        <v>Total for 10390</v>
      </c>
      <c r="N336" s="34">
        <f>+K336</f>
        <v>42036</v>
      </c>
      <c r="O336" s="35"/>
      <c r="P336" s="33"/>
      <c r="Q336" s="33"/>
      <c r="R336" s="33"/>
      <c r="S336" s="33"/>
      <c r="T336" s="36">
        <f>SUBTOTAL(9,T329:T335)</f>
        <v>779.1400000000001</v>
      </c>
    </row>
    <row r="337" spans="1:20" s="7" customFormat="1" hidden="1" outlineLevel="3" x14ac:dyDescent="0.2">
      <c r="A337" s="7" t="s">
        <v>92</v>
      </c>
      <c r="C337" s="7" t="str">
        <f t="shared" si="46"/>
        <v>Wendy</v>
      </c>
      <c r="D337" s="7" t="str">
        <f>+D336</f>
        <v>Kahn</v>
      </c>
      <c r="E337" s="8" t="str">
        <f>E336</f>
        <v>ADMN</v>
      </c>
      <c r="G337" s="8" t="str">
        <f>G336</f>
        <v>KAHN0001</v>
      </c>
      <c r="H337" s="26"/>
      <c r="I337" s="26"/>
      <c r="J337" s="26"/>
      <c r="K337" s="28">
        <f>+N337</f>
        <v>42064</v>
      </c>
      <c r="L337" s="26" t="str">
        <f>M337</f>
        <v>10415</v>
      </c>
      <c r="M337" s="26" t="str">
        <f>"10415"</f>
        <v>10415</v>
      </c>
      <c r="N337" s="28">
        <v>42064</v>
      </c>
      <c r="O337" s="26"/>
      <c r="P337" s="26"/>
      <c r="Q337" s="26"/>
      <c r="R337" s="26"/>
      <c r="S337" s="26"/>
      <c r="T337" s="27"/>
    </row>
    <row r="338" spans="1:20" s="7" customFormat="1" hidden="1" outlineLevel="3" x14ac:dyDescent="0.2">
      <c r="A338" s="7" t="s">
        <v>92</v>
      </c>
      <c r="C338" s="7" t="str">
        <f t="shared" si="46"/>
        <v>Wendy</v>
      </c>
      <c r="D338" s="7" t="str">
        <f>+D337</f>
        <v>Kahn</v>
      </c>
      <c r="E338" s="8" t="str">
        <f>E337</f>
        <v>ADMN</v>
      </c>
      <c r="G338" s="8" t="str">
        <f>G337</f>
        <v>KAHN0001</v>
      </c>
      <c r="H338" s="26"/>
      <c r="I338" s="26"/>
      <c r="J338" s="26"/>
      <c r="K338" s="28">
        <f>+K337</f>
        <v>42064</v>
      </c>
      <c r="L338" s="26" t="str">
        <f>L337</f>
        <v>10415</v>
      </c>
      <c r="M338" s="26"/>
      <c r="N338" s="26"/>
      <c r="O338" s="26" t="str">
        <f>"""GP Direct"",""Fabrikam, Inc."",""UPR30300"",""PAYRATE"",""0.00000"",""PAYROLCD"",""401K"",""STATECD"","""",""CHEKDATE"",""3/1/2015"",""UPRTRXAM"",""1.03000"""</f>
        <v>"GP Direct","Fabrikam, Inc.","UPR30300","PAYRATE","0.00000","PAYROLCD","401K","STATECD","","CHEKDATE","3/1/2015","UPRTRXAM","1.03000"</v>
      </c>
      <c r="P338" s="29">
        <v>0</v>
      </c>
      <c r="Q338" s="26" t="str">
        <f>"401K"</f>
        <v>401K</v>
      </c>
      <c r="R338" s="26"/>
      <c r="S338" s="28">
        <v>42064</v>
      </c>
      <c r="T338" s="29">
        <v>1.03</v>
      </c>
    </row>
    <row r="339" spans="1:20" s="7" customFormat="1" hidden="1" outlineLevel="3" x14ac:dyDescent="0.2">
      <c r="A339" s="7" t="s">
        <v>92</v>
      </c>
      <c r="C339" s="7" t="str">
        <f t="shared" ref="C339:C343" si="48">+C338</f>
        <v>Wendy</v>
      </c>
      <c r="D339" s="7" t="str">
        <f>+D338</f>
        <v>Kahn</v>
      </c>
      <c r="E339" s="8" t="str">
        <f>E338</f>
        <v>ADMN</v>
      </c>
      <c r="G339" s="8" t="str">
        <f>G338</f>
        <v>KAHN0001</v>
      </c>
      <c r="H339" s="26"/>
      <c r="I339" s="26"/>
      <c r="J339" s="26"/>
      <c r="K339" s="28">
        <f>+K338</f>
        <v>42064</v>
      </c>
      <c r="L339" s="26" t="str">
        <f>L338</f>
        <v>10415</v>
      </c>
      <c r="M339" s="26"/>
      <c r="N339" s="26"/>
      <c r="O339" s="26" t="str">
        <f>"""GP Direct"",""Fabrikam, Inc."",""UPR30300"",""PAYRATE"",""0.00000"",""PAYROLCD"",""401K"",""STATECD"","""",""CHEKDATE"",""3/1/2015"",""UPRTRXAM"",""20.54000"""</f>
        <v>"GP Direct","Fabrikam, Inc.","UPR30300","PAYRATE","0.00000","PAYROLCD","401K","STATECD","","CHEKDATE","3/1/2015","UPRTRXAM","20.54000"</v>
      </c>
      <c r="P339" s="29">
        <v>0</v>
      </c>
      <c r="Q339" s="26" t="str">
        <f>"401K"</f>
        <v>401K</v>
      </c>
      <c r="R339" s="26"/>
      <c r="S339" s="28">
        <v>42064</v>
      </c>
      <c r="T339" s="29">
        <v>20.54</v>
      </c>
    </row>
    <row r="340" spans="1:20" s="7" customFormat="1" hidden="1" outlineLevel="3" x14ac:dyDescent="0.2">
      <c r="A340" s="7" t="s">
        <v>92</v>
      </c>
      <c r="C340" s="7" t="str">
        <f t="shared" si="48"/>
        <v>Wendy</v>
      </c>
      <c r="D340" s="7" t="str">
        <f>+D339</f>
        <v>Kahn</v>
      </c>
      <c r="E340" s="8" t="str">
        <f>E339</f>
        <v>ADMN</v>
      </c>
      <c r="G340" s="8" t="str">
        <f>G339</f>
        <v>KAHN0001</v>
      </c>
      <c r="H340" s="26"/>
      <c r="I340" s="26"/>
      <c r="J340" s="26"/>
      <c r="K340" s="28">
        <f>+K339</f>
        <v>42064</v>
      </c>
      <c r="L340" s="26" t="str">
        <f>L339</f>
        <v>10415</v>
      </c>
      <c r="M340" s="26"/>
      <c r="N340" s="26"/>
      <c r="O340" s="26" t="str">
        <f>"""GP Direct"",""Fabrikam, Inc."",""UPR30300"",""PAYRATE"",""0.00000"",""PAYROLCD"",""IL"",""STATECD"","""",""CHEKDATE"",""3/1/2015"",""UPRTRXAM"",""18.52000"""</f>
        <v>"GP Direct","Fabrikam, Inc.","UPR30300","PAYRATE","0.00000","PAYROLCD","IL","STATECD","","CHEKDATE","3/1/2015","UPRTRXAM","18.52000"</v>
      </c>
      <c r="P340" s="29">
        <v>0</v>
      </c>
      <c r="Q340" s="26" t="str">
        <f>"IL"</f>
        <v>IL</v>
      </c>
      <c r="R340" s="26"/>
      <c r="S340" s="28">
        <v>42064</v>
      </c>
      <c r="T340" s="29">
        <v>18.52</v>
      </c>
    </row>
    <row r="341" spans="1:20" s="7" customFormat="1" hidden="1" outlineLevel="3" x14ac:dyDescent="0.2">
      <c r="A341" s="7" t="s">
        <v>92</v>
      </c>
      <c r="C341" s="7" t="str">
        <f t="shared" si="48"/>
        <v>Wendy</v>
      </c>
      <c r="D341" s="7" t="str">
        <f>+D340</f>
        <v>Kahn</v>
      </c>
      <c r="E341" s="8" t="str">
        <f>E340</f>
        <v>ADMN</v>
      </c>
      <c r="G341" s="8" t="str">
        <f>G340</f>
        <v>KAHN0001</v>
      </c>
      <c r="H341" s="26"/>
      <c r="I341" s="26"/>
      <c r="J341" s="26"/>
      <c r="K341" s="28">
        <f>+K340</f>
        <v>42064</v>
      </c>
      <c r="L341" s="26" t="str">
        <f>L340</f>
        <v>10415</v>
      </c>
      <c r="M341" s="26"/>
      <c r="N341" s="26"/>
      <c r="O341" s="26" t="str">
        <f>"""GP Direct"",""Fabrikam, Inc."",""UPR30300"",""PAYRATE"",""0.00000"",""PAYROLCD"",""INS"",""STATECD"","""",""CHEKDATE"",""3/1/2015"",""UPRTRXAM"",""49.36000"""</f>
        <v>"GP Direct","Fabrikam, Inc.","UPR30300","PAYRATE","0.00000","PAYROLCD","INS","STATECD","","CHEKDATE","3/1/2015","UPRTRXAM","49.36000"</v>
      </c>
      <c r="P341" s="29">
        <v>0</v>
      </c>
      <c r="Q341" s="26" t="str">
        <f>"INS"</f>
        <v>INS</v>
      </c>
      <c r="R341" s="26"/>
      <c r="S341" s="28">
        <v>42064</v>
      </c>
      <c r="T341" s="29">
        <v>49.36</v>
      </c>
    </row>
    <row r="342" spans="1:20" s="7" customFormat="1" hidden="1" outlineLevel="3" x14ac:dyDescent="0.2">
      <c r="A342" s="7" t="s">
        <v>92</v>
      </c>
      <c r="C342" s="7" t="str">
        <f t="shared" si="48"/>
        <v>Wendy</v>
      </c>
      <c r="D342" s="7" t="str">
        <f>+D341</f>
        <v>Kahn</v>
      </c>
      <c r="E342" s="8" t="str">
        <f>E341</f>
        <v>ADMN</v>
      </c>
      <c r="G342" s="8" t="str">
        <f>G341</f>
        <v>KAHN0001</v>
      </c>
      <c r="H342" s="26"/>
      <c r="I342" s="26"/>
      <c r="J342" s="26"/>
      <c r="K342" s="28">
        <f>+K341</f>
        <v>42064</v>
      </c>
      <c r="L342" s="26" t="str">
        <f>L341</f>
        <v>10415</v>
      </c>
      <c r="M342" s="26"/>
      <c r="N342" s="26"/>
      <c r="O342" s="26" t="str">
        <f>"""GP Direct"",""Fabrikam, Inc."",""UPR30300"",""PAYRATE"",""0.00000"",""PAYROLCD"",""MED"",""STATECD"","""",""CHEKDATE"",""3/1/2015"",""UPRTRXAM"",""5.00000"""</f>
        <v>"GP Direct","Fabrikam, Inc.","UPR30300","PAYRATE","0.00000","PAYROLCD","MED","STATECD","","CHEKDATE","3/1/2015","UPRTRXAM","5.00000"</v>
      </c>
      <c r="P342" s="29">
        <v>0</v>
      </c>
      <c r="Q342" s="26" t="str">
        <f>"MED"</f>
        <v>MED</v>
      </c>
      <c r="R342" s="26"/>
      <c r="S342" s="28">
        <v>42064</v>
      </c>
      <c r="T342" s="29">
        <v>5</v>
      </c>
    </row>
    <row r="343" spans="1:20" s="7" customFormat="1" hidden="1" outlineLevel="3" x14ac:dyDescent="0.2">
      <c r="A343" s="7" t="s">
        <v>92</v>
      </c>
      <c r="C343" s="7" t="str">
        <f t="shared" si="48"/>
        <v>Wendy</v>
      </c>
      <c r="D343" s="7" t="str">
        <f>+D342</f>
        <v>Kahn</v>
      </c>
      <c r="E343" s="8" t="str">
        <f>E342</f>
        <v>ADMN</v>
      </c>
      <c r="G343" s="8" t="str">
        <f>G342</f>
        <v>KAHN0001</v>
      </c>
      <c r="H343" s="26"/>
      <c r="I343" s="26"/>
      <c r="J343" s="26"/>
      <c r="K343" s="28">
        <f>+K342</f>
        <v>42064</v>
      </c>
      <c r="L343" s="26" t="str">
        <f>L342</f>
        <v>10415</v>
      </c>
      <c r="M343" s="26"/>
      <c r="N343" s="26"/>
      <c r="O343" s="26" t="str">
        <f>"""GP Direct"",""Fabrikam, Inc."",""UPR30300"",""PAYRATE"",""7.90000"",""PAYROLCD"",""HOUR"",""STATECD"",""IL"",""CHEKDATE"",""3/1/2015"",""UPRTRXAM"",""684.69000"""</f>
        <v>"GP Direct","Fabrikam, Inc.","UPR30300","PAYRATE","7.90000","PAYROLCD","HOUR","STATECD","IL","CHEKDATE","3/1/2015","UPRTRXAM","684.69000"</v>
      </c>
      <c r="P343" s="29">
        <v>7.9</v>
      </c>
      <c r="Q343" s="26" t="str">
        <f>"HOUR"</f>
        <v>HOUR</v>
      </c>
      <c r="R343" s="26" t="str">
        <f>"IL"</f>
        <v>IL</v>
      </c>
      <c r="S343" s="28">
        <v>42064</v>
      </c>
      <c r="T343" s="29">
        <v>684.69</v>
      </c>
    </row>
    <row r="344" spans="1:20" s="7" customFormat="1" hidden="1" outlineLevel="3" x14ac:dyDescent="0.2">
      <c r="A344" s="7" t="s">
        <v>92</v>
      </c>
      <c r="C344" s="7" t="str">
        <f>+C338</f>
        <v>Wendy</v>
      </c>
      <c r="D344" s="7" t="str">
        <f>+D338</f>
        <v>Kahn</v>
      </c>
      <c r="E344" s="8" t="str">
        <f>E338</f>
        <v>ADMN</v>
      </c>
      <c r="G344" s="8" t="str">
        <f>G338</f>
        <v>KAHN0001</v>
      </c>
      <c r="K344" s="12">
        <f>+K338</f>
        <v>42064</v>
      </c>
      <c r="L344" s="8" t="str">
        <f>L338</f>
        <v>10415</v>
      </c>
      <c r="O344" s="8"/>
      <c r="T344" s="20"/>
    </row>
    <row r="345" spans="1:20" s="7" customFormat="1" hidden="1" outlineLevel="2" collapsed="1" x14ac:dyDescent="0.2">
      <c r="A345" s="7" t="s">
        <v>92</v>
      </c>
      <c r="C345" s="7" t="str">
        <f t="shared" si="46"/>
        <v>Wendy</v>
      </c>
      <c r="D345" s="7" t="str">
        <f>+D344</f>
        <v>Kahn</v>
      </c>
      <c r="E345" s="8" t="str">
        <f>E344</f>
        <v>ADMN</v>
      </c>
      <c r="G345" s="8" t="str">
        <f>G344</f>
        <v>KAHN0001</v>
      </c>
      <c r="K345" s="12">
        <f>+K344</f>
        <v>42064</v>
      </c>
      <c r="L345" s="8" t="str">
        <f>L344</f>
        <v>10415</v>
      </c>
      <c r="M345" s="33" t="str">
        <f>"Total for " &amp; $L345</f>
        <v>Total for 10415</v>
      </c>
      <c r="N345" s="34">
        <f>+K345</f>
        <v>42064</v>
      </c>
      <c r="O345" s="35"/>
      <c r="P345" s="33"/>
      <c r="Q345" s="33"/>
      <c r="R345" s="33"/>
      <c r="S345" s="33"/>
      <c r="T345" s="36">
        <f>SUBTOTAL(9,T338:T344)</f>
        <v>779.1400000000001</v>
      </c>
    </row>
    <row r="346" spans="1:20" s="7" customFormat="1" hidden="1" outlineLevel="3" x14ac:dyDescent="0.2">
      <c r="A346" s="7" t="s">
        <v>92</v>
      </c>
      <c r="C346" s="7" t="str">
        <f t="shared" si="46"/>
        <v>Wendy</v>
      </c>
      <c r="D346" s="7" t="str">
        <f>+D345</f>
        <v>Kahn</v>
      </c>
      <c r="E346" s="8" t="str">
        <f>E345</f>
        <v>ADMN</v>
      </c>
      <c r="G346" s="8" t="str">
        <f>G345</f>
        <v>KAHN0001</v>
      </c>
      <c r="H346" s="26"/>
      <c r="I346" s="26"/>
      <c r="J346" s="26"/>
      <c r="K346" s="28">
        <f>+N346</f>
        <v>42095</v>
      </c>
      <c r="L346" s="26" t="str">
        <f>M346</f>
        <v>10440</v>
      </c>
      <c r="M346" s="26" t="str">
        <f>"10440"</f>
        <v>10440</v>
      </c>
      <c r="N346" s="28">
        <v>42095</v>
      </c>
      <c r="O346" s="26"/>
      <c r="P346" s="26"/>
      <c r="Q346" s="26"/>
      <c r="R346" s="26"/>
      <c r="S346" s="26"/>
      <c r="T346" s="27"/>
    </row>
    <row r="347" spans="1:20" s="7" customFormat="1" hidden="1" outlineLevel="3" x14ac:dyDescent="0.2">
      <c r="A347" s="7" t="s">
        <v>92</v>
      </c>
      <c r="C347" s="7" t="str">
        <f t="shared" si="46"/>
        <v>Wendy</v>
      </c>
      <c r="D347" s="7" t="str">
        <f>+D346</f>
        <v>Kahn</v>
      </c>
      <c r="E347" s="8" t="str">
        <f>E346</f>
        <v>ADMN</v>
      </c>
      <c r="G347" s="8" t="str">
        <f>G346</f>
        <v>KAHN0001</v>
      </c>
      <c r="H347" s="26"/>
      <c r="I347" s="26"/>
      <c r="J347" s="26"/>
      <c r="K347" s="28">
        <f>+K346</f>
        <v>42095</v>
      </c>
      <c r="L347" s="26" t="str">
        <f>L346</f>
        <v>10440</v>
      </c>
      <c r="M347" s="26"/>
      <c r="N347" s="26"/>
      <c r="O347" s="26" t="str">
        <f>"""GP Direct"",""Fabrikam, Inc."",""UPR30300"",""PAYRATE"",""0.00000"",""PAYROLCD"",""401K"",""STATECD"","""",""CHEKDATE"",""4/1/2015"",""UPRTRXAM"",""1.03000"""</f>
        <v>"GP Direct","Fabrikam, Inc.","UPR30300","PAYRATE","0.00000","PAYROLCD","401K","STATECD","","CHEKDATE","4/1/2015","UPRTRXAM","1.03000"</v>
      </c>
      <c r="P347" s="29">
        <v>0</v>
      </c>
      <c r="Q347" s="26" t="str">
        <f>"401K"</f>
        <v>401K</v>
      </c>
      <c r="R347" s="26"/>
      <c r="S347" s="28">
        <v>42095</v>
      </c>
      <c r="T347" s="29">
        <v>1.03</v>
      </c>
    </row>
    <row r="348" spans="1:20" s="7" customFormat="1" hidden="1" outlineLevel="3" x14ac:dyDescent="0.2">
      <c r="A348" s="7" t="s">
        <v>92</v>
      </c>
      <c r="C348" s="7" t="str">
        <f t="shared" ref="C348:C352" si="49">+C347</f>
        <v>Wendy</v>
      </c>
      <c r="D348" s="7" t="str">
        <f>+D347</f>
        <v>Kahn</v>
      </c>
      <c r="E348" s="8" t="str">
        <f>E347</f>
        <v>ADMN</v>
      </c>
      <c r="G348" s="8" t="str">
        <f>G347</f>
        <v>KAHN0001</v>
      </c>
      <c r="H348" s="26"/>
      <c r="I348" s="26"/>
      <c r="J348" s="26"/>
      <c r="K348" s="28">
        <f>+K347</f>
        <v>42095</v>
      </c>
      <c r="L348" s="26" t="str">
        <f>L347</f>
        <v>10440</v>
      </c>
      <c r="M348" s="26"/>
      <c r="N348" s="26"/>
      <c r="O348" s="26" t="str">
        <f>"""GP Direct"",""Fabrikam, Inc."",""UPR30300"",""PAYRATE"",""0.00000"",""PAYROLCD"",""401K"",""STATECD"","""",""CHEKDATE"",""4/1/2015"",""UPRTRXAM"",""20.54000"""</f>
        <v>"GP Direct","Fabrikam, Inc.","UPR30300","PAYRATE","0.00000","PAYROLCD","401K","STATECD","","CHEKDATE","4/1/2015","UPRTRXAM","20.54000"</v>
      </c>
      <c r="P348" s="29">
        <v>0</v>
      </c>
      <c r="Q348" s="26" t="str">
        <f>"401K"</f>
        <v>401K</v>
      </c>
      <c r="R348" s="26"/>
      <c r="S348" s="28">
        <v>42095</v>
      </c>
      <c r="T348" s="29">
        <v>20.54</v>
      </c>
    </row>
    <row r="349" spans="1:20" s="7" customFormat="1" hidden="1" outlineLevel="3" x14ac:dyDescent="0.2">
      <c r="A349" s="7" t="s">
        <v>92</v>
      </c>
      <c r="C349" s="7" t="str">
        <f t="shared" si="49"/>
        <v>Wendy</v>
      </c>
      <c r="D349" s="7" t="str">
        <f>+D348</f>
        <v>Kahn</v>
      </c>
      <c r="E349" s="8" t="str">
        <f>E348</f>
        <v>ADMN</v>
      </c>
      <c r="G349" s="8" t="str">
        <f>G348</f>
        <v>KAHN0001</v>
      </c>
      <c r="H349" s="26"/>
      <c r="I349" s="26"/>
      <c r="J349" s="26"/>
      <c r="K349" s="28">
        <f>+K348</f>
        <v>42095</v>
      </c>
      <c r="L349" s="26" t="str">
        <f>L348</f>
        <v>10440</v>
      </c>
      <c r="M349" s="26"/>
      <c r="N349" s="26"/>
      <c r="O349" s="26" t="str">
        <f>"""GP Direct"",""Fabrikam, Inc."",""UPR30300"",""PAYRATE"",""0.00000"",""PAYROLCD"",""IL"",""STATECD"","""",""CHEKDATE"",""4/1/2015"",""UPRTRXAM"",""18.52000"""</f>
        <v>"GP Direct","Fabrikam, Inc.","UPR30300","PAYRATE","0.00000","PAYROLCD","IL","STATECD","","CHEKDATE","4/1/2015","UPRTRXAM","18.52000"</v>
      </c>
      <c r="P349" s="29">
        <v>0</v>
      </c>
      <c r="Q349" s="26" t="str">
        <f>"IL"</f>
        <v>IL</v>
      </c>
      <c r="R349" s="26"/>
      <c r="S349" s="28">
        <v>42095</v>
      </c>
      <c r="T349" s="29">
        <v>18.52</v>
      </c>
    </row>
    <row r="350" spans="1:20" s="7" customFormat="1" hidden="1" outlineLevel="3" x14ac:dyDescent="0.2">
      <c r="A350" s="7" t="s">
        <v>92</v>
      </c>
      <c r="C350" s="7" t="str">
        <f t="shared" si="49"/>
        <v>Wendy</v>
      </c>
      <c r="D350" s="7" t="str">
        <f>+D349</f>
        <v>Kahn</v>
      </c>
      <c r="E350" s="8" t="str">
        <f>E349</f>
        <v>ADMN</v>
      </c>
      <c r="G350" s="8" t="str">
        <f>G349</f>
        <v>KAHN0001</v>
      </c>
      <c r="H350" s="26"/>
      <c r="I350" s="26"/>
      <c r="J350" s="26"/>
      <c r="K350" s="28">
        <f>+K349</f>
        <v>42095</v>
      </c>
      <c r="L350" s="26" t="str">
        <f>L349</f>
        <v>10440</v>
      </c>
      <c r="M350" s="26"/>
      <c r="N350" s="26"/>
      <c r="O350" s="26" t="str">
        <f>"""GP Direct"",""Fabrikam, Inc."",""UPR30300"",""PAYRATE"",""0.00000"",""PAYROLCD"",""INS"",""STATECD"","""",""CHEKDATE"",""4/1/2015"",""UPRTRXAM"",""49.36000"""</f>
        <v>"GP Direct","Fabrikam, Inc.","UPR30300","PAYRATE","0.00000","PAYROLCD","INS","STATECD","","CHEKDATE","4/1/2015","UPRTRXAM","49.36000"</v>
      </c>
      <c r="P350" s="29">
        <v>0</v>
      </c>
      <c r="Q350" s="26" t="str">
        <f>"INS"</f>
        <v>INS</v>
      </c>
      <c r="R350" s="26"/>
      <c r="S350" s="28">
        <v>42095</v>
      </c>
      <c r="T350" s="29">
        <v>49.36</v>
      </c>
    </row>
    <row r="351" spans="1:20" s="7" customFormat="1" hidden="1" outlineLevel="3" x14ac:dyDescent="0.2">
      <c r="A351" s="7" t="s">
        <v>92</v>
      </c>
      <c r="C351" s="7" t="str">
        <f t="shared" si="49"/>
        <v>Wendy</v>
      </c>
      <c r="D351" s="7" t="str">
        <f>+D350</f>
        <v>Kahn</v>
      </c>
      <c r="E351" s="8" t="str">
        <f>E350</f>
        <v>ADMN</v>
      </c>
      <c r="G351" s="8" t="str">
        <f>G350</f>
        <v>KAHN0001</v>
      </c>
      <c r="H351" s="26"/>
      <c r="I351" s="26"/>
      <c r="J351" s="26"/>
      <c r="K351" s="28">
        <f>+K350</f>
        <v>42095</v>
      </c>
      <c r="L351" s="26" t="str">
        <f>L350</f>
        <v>10440</v>
      </c>
      <c r="M351" s="26"/>
      <c r="N351" s="26"/>
      <c r="O351" s="26" t="str">
        <f>"""GP Direct"",""Fabrikam, Inc."",""UPR30300"",""PAYRATE"",""0.00000"",""PAYROLCD"",""MED"",""STATECD"","""",""CHEKDATE"",""4/1/2015"",""UPRTRXAM"",""5.00000"""</f>
        <v>"GP Direct","Fabrikam, Inc.","UPR30300","PAYRATE","0.00000","PAYROLCD","MED","STATECD","","CHEKDATE","4/1/2015","UPRTRXAM","5.00000"</v>
      </c>
      <c r="P351" s="29">
        <v>0</v>
      </c>
      <c r="Q351" s="26" t="str">
        <f>"MED"</f>
        <v>MED</v>
      </c>
      <c r="R351" s="26"/>
      <c r="S351" s="28">
        <v>42095</v>
      </c>
      <c r="T351" s="29">
        <v>5</v>
      </c>
    </row>
    <row r="352" spans="1:20" s="7" customFormat="1" hidden="1" outlineLevel="3" x14ac:dyDescent="0.2">
      <c r="A352" s="7" t="s">
        <v>92</v>
      </c>
      <c r="C352" s="7" t="str">
        <f t="shared" si="49"/>
        <v>Wendy</v>
      </c>
      <c r="D352" s="7" t="str">
        <f>+D351</f>
        <v>Kahn</v>
      </c>
      <c r="E352" s="8" t="str">
        <f>E351</f>
        <v>ADMN</v>
      </c>
      <c r="G352" s="8" t="str">
        <f>G351</f>
        <v>KAHN0001</v>
      </c>
      <c r="H352" s="26"/>
      <c r="I352" s="26"/>
      <c r="J352" s="26"/>
      <c r="K352" s="28">
        <f>+K351</f>
        <v>42095</v>
      </c>
      <c r="L352" s="26" t="str">
        <f>L351</f>
        <v>10440</v>
      </c>
      <c r="M352" s="26"/>
      <c r="N352" s="26"/>
      <c r="O352" s="26" t="str">
        <f>"""GP Direct"",""Fabrikam, Inc."",""UPR30300"",""PAYRATE"",""7.90000"",""PAYROLCD"",""HOUR"",""STATECD"",""IL"",""CHEKDATE"",""4/1/2015"",""UPRTRXAM"",""684.69000"""</f>
        <v>"GP Direct","Fabrikam, Inc.","UPR30300","PAYRATE","7.90000","PAYROLCD","HOUR","STATECD","IL","CHEKDATE","4/1/2015","UPRTRXAM","684.69000"</v>
      </c>
      <c r="P352" s="29">
        <v>7.9</v>
      </c>
      <c r="Q352" s="26" t="str">
        <f>"HOUR"</f>
        <v>HOUR</v>
      </c>
      <c r="R352" s="26" t="str">
        <f>"IL"</f>
        <v>IL</v>
      </c>
      <c r="S352" s="28">
        <v>42095</v>
      </c>
      <c r="T352" s="29">
        <v>684.69</v>
      </c>
    </row>
    <row r="353" spans="1:20" s="7" customFormat="1" hidden="1" outlineLevel="3" x14ac:dyDescent="0.2">
      <c r="A353" s="7" t="s">
        <v>92</v>
      </c>
      <c r="C353" s="7" t="str">
        <f>+C347</f>
        <v>Wendy</v>
      </c>
      <c r="D353" s="7" t="str">
        <f>+D347</f>
        <v>Kahn</v>
      </c>
      <c r="E353" s="8" t="str">
        <f>E347</f>
        <v>ADMN</v>
      </c>
      <c r="G353" s="8" t="str">
        <f>G347</f>
        <v>KAHN0001</v>
      </c>
      <c r="K353" s="12">
        <f>+K347</f>
        <v>42095</v>
      </c>
      <c r="L353" s="8" t="str">
        <f>L347</f>
        <v>10440</v>
      </c>
      <c r="O353" s="8"/>
      <c r="T353" s="20"/>
    </row>
    <row r="354" spans="1:20" s="7" customFormat="1" hidden="1" outlineLevel="2" collapsed="1" x14ac:dyDescent="0.2">
      <c r="A354" s="7" t="s">
        <v>92</v>
      </c>
      <c r="C354" s="7" t="str">
        <f t="shared" si="46"/>
        <v>Wendy</v>
      </c>
      <c r="D354" s="7" t="str">
        <f>+D353</f>
        <v>Kahn</v>
      </c>
      <c r="E354" s="8" t="str">
        <f>E353</f>
        <v>ADMN</v>
      </c>
      <c r="G354" s="8" t="str">
        <f>G353</f>
        <v>KAHN0001</v>
      </c>
      <c r="K354" s="12">
        <f>+K353</f>
        <v>42095</v>
      </c>
      <c r="L354" s="8" t="str">
        <f>L353</f>
        <v>10440</v>
      </c>
      <c r="M354" s="33" t="str">
        <f>"Total for " &amp; $L354</f>
        <v>Total for 10440</v>
      </c>
      <c r="N354" s="34">
        <f>+K354</f>
        <v>42095</v>
      </c>
      <c r="O354" s="35"/>
      <c r="P354" s="33"/>
      <c r="Q354" s="33"/>
      <c r="R354" s="33"/>
      <c r="S354" s="33"/>
      <c r="T354" s="36">
        <f>SUBTOTAL(9,T347:T353)</f>
        <v>779.1400000000001</v>
      </c>
    </row>
    <row r="355" spans="1:20" s="7" customFormat="1" hidden="1" outlineLevel="3" x14ac:dyDescent="0.2">
      <c r="A355" s="7" t="s">
        <v>92</v>
      </c>
      <c r="C355" s="7" t="str">
        <f t="shared" si="46"/>
        <v>Wendy</v>
      </c>
      <c r="D355" s="7" t="str">
        <f>+D354</f>
        <v>Kahn</v>
      </c>
      <c r="E355" s="8" t="str">
        <f>E354</f>
        <v>ADMN</v>
      </c>
      <c r="G355" s="8" t="str">
        <f>G354</f>
        <v>KAHN0001</v>
      </c>
      <c r="H355" s="26"/>
      <c r="I355" s="26"/>
      <c r="J355" s="26"/>
      <c r="K355" s="28">
        <f>+N355</f>
        <v>42125</v>
      </c>
      <c r="L355" s="26" t="str">
        <f>M355</f>
        <v>10465</v>
      </c>
      <c r="M355" s="26" t="str">
        <f>"10465"</f>
        <v>10465</v>
      </c>
      <c r="N355" s="28">
        <v>42125</v>
      </c>
      <c r="O355" s="26"/>
      <c r="P355" s="26"/>
      <c r="Q355" s="26"/>
      <c r="R355" s="26"/>
      <c r="S355" s="26"/>
      <c r="T355" s="27"/>
    </row>
    <row r="356" spans="1:20" s="7" customFormat="1" hidden="1" outlineLevel="3" x14ac:dyDescent="0.2">
      <c r="A356" s="7" t="s">
        <v>92</v>
      </c>
      <c r="C356" s="7" t="str">
        <f t="shared" si="46"/>
        <v>Wendy</v>
      </c>
      <c r="D356" s="7" t="str">
        <f>+D355</f>
        <v>Kahn</v>
      </c>
      <c r="E356" s="8" t="str">
        <f>E355</f>
        <v>ADMN</v>
      </c>
      <c r="G356" s="8" t="str">
        <f>G355</f>
        <v>KAHN0001</v>
      </c>
      <c r="H356" s="26"/>
      <c r="I356" s="26"/>
      <c r="J356" s="26"/>
      <c r="K356" s="28">
        <f>+K355</f>
        <v>42125</v>
      </c>
      <c r="L356" s="26" t="str">
        <f>L355</f>
        <v>10465</v>
      </c>
      <c r="M356" s="26"/>
      <c r="N356" s="26"/>
      <c r="O356" s="26" t="str">
        <f>"""GP Direct"",""Fabrikam, Inc."",""UPR30300"",""PAYRATE"",""0.00000"",""PAYROLCD"",""401K"",""STATECD"","""",""CHEKDATE"",""5/1/2015"",""UPRTRXAM"",""1.03000"""</f>
        <v>"GP Direct","Fabrikam, Inc.","UPR30300","PAYRATE","0.00000","PAYROLCD","401K","STATECD","","CHEKDATE","5/1/2015","UPRTRXAM","1.03000"</v>
      </c>
      <c r="P356" s="29">
        <v>0</v>
      </c>
      <c r="Q356" s="26" t="str">
        <f>"401K"</f>
        <v>401K</v>
      </c>
      <c r="R356" s="26"/>
      <c r="S356" s="28">
        <v>42125</v>
      </c>
      <c r="T356" s="29">
        <v>1.03</v>
      </c>
    </row>
    <row r="357" spans="1:20" s="7" customFormat="1" hidden="1" outlineLevel="3" x14ac:dyDescent="0.2">
      <c r="A357" s="7" t="s">
        <v>92</v>
      </c>
      <c r="C357" s="7" t="str">
        <f t="shared" ref="C357:C361" si="50">+C356</f>
        <v>Wendy</v>
      </c>
      <c r="D357" s="7" t="str">
        <f>+D356</f>
        <v>Kahn</v>
      </c>
      <c r="E357" s="8" t="str">
        <f>E356</f>
        <v>ADMN</v>
      </c>
      <c r="G357" s="8" t="str">
        <f>G356</f>
        <v>KAHN0001</v>
      </c>
      <c r="H357" s="26"/>
      <c r="I357" s="26"/>
      <c r="J357" s="26"/>
      <c r="K357" s="28">
        <f>+K356</f>
        <v>42125</v>
      </c>
      <c r="L357" s="26" t="str">
        <f>L356</f>
        <v>10465</v>
      </c>
      <c r="M357" s="26"/>
      <c r="N357" s="26"/>
      <c r="O357" s="26" t="str">
        <f>"""GP Direct"",""Fabrikam, Inc."",""UPR30300"",""PAYRATE"",""0.00000"",""PAYROLCD"",""401K"",""STATECD"","""",""CHEKDATE"",""5/1/2015"",""UPRTRXAM"",""20.54000"""</f>
        <v>"GP Direct","Fabrikam, Inc.","UPR30300","PAYRATE","0.00000","PAYROLCD","401K","STATECD","","CHEKDATE","5/1/2015","UPRTRXAM","20.54000"</v>
      </c>
      <c r="P357" s="29">
        <v>0</v>
      </c>
      <c r="Q357" s="26" t="str">
        <f>"401K"</f>
        <v>401K</v>
      </c>
      <c r="R357" s="26"/>
      <c r="S357" s="28">
        <v>42125</v>
      </c>
      <c r="T357" s="29">
        <v>20.54</v>
      </c>
    </row>
    <row r="358" spans="1:20" s="7" customFormat="1" hidden="1" outlineLevel="3" x14ac:dyDescent="0.2">
      <c r="A358" s="7" t="s">
        <v>92</v>
      </c>
      <c r="C358" s="7" t="str">
        <f t="shared" si="50"/>
        <v>Wendy</v>
      </c>
      <c r="D358" s="7" t="str">
        <f>+D357</f>
        <v>Kahn</v>
      </c>
      <c r="E358" s="8" t="str">
        <f>E357</f>
        <v>ADMN</v>
      </c>
      <c r="G358" s="8" t="str">
        <f>G357</f>
        <v>KAHN0001</v>
      </c>
      <c r="H358" s="26"/>
      <c r="I358" s="26"/>
      <c r="J358" s="26"/>
      <c r="K358" s="28">
        <f>+K357</f>
        <v>42125</v>
      </c>
      <c r="L358" s="26" t="str">
        <f>L357</f>
        <v>10465</v>
      </c>
      <c r="M358" s="26"/>
      <c r="N358" s="26"/>
      <c r="O358" s="26" t="str">
        <f>"""GP Direct"",""Fabrikam, Inc."",""UPR30300"",""PAYRATE"",""0.00000"",""PAYROLCD"",""IL"",""STATECD"","""",""CHEKDATE"",""5/1/2015"",""UPRTRXAM"",""18.52000"""</f>
        <v>"GP Direct","Fabrikam, Inc.","UPR30300","PAYRATE","0.00000","PAYROLCD","IL","STATECD","","CHEKDATE","5/1/2015","UPRTRXAM","18.52000"</v>
      </c>
      <c r="P358" s="29">
        <v>0</v>
      </c>
      <c r="Q358" s="26" t="str">
        <f>"IL"</f>
        <v>IL</v>
      </c>
      <c r="R358" s="26"/>
      <c r="S358" s="28">
        <v>42125</v>
      </c>
      <c r="T358" s="29">
        <v>18.52</v>
      </c>
    </row>
    <row r="359" spans="1:20" s="7" customFormat="1" hidden="1" outlineLevel="3" x14ac:dyDescent="0.2">
      <c r="A359" s="7" t="s">
        <v>92</v>
      </c>
      <c r="C359" s="7" t="str">
        <f t="shared" si="50"/>
        <v>Wendy</v>
      </c>
      <c r="D359" s="7" t="str">
        <f>+D358</f>
        <v>Kahn</v>
      </c>
      <c r="E359" s="8" t="str">
        <f>E358</f>
        <v>ADMN</v>
      </c>
      <c r="G359" s="8" t="str">
        <f>G358</f>
        <v>KAHN0001</v>
      </c>
      <c r="H359" s="26"/>
      <c r="I359" s="26"/>
      <c r="J359" s="26"/>
      <c r="K359" s="28">
        <f>+K358</f>
        <v>42125</v>
      </c>
      <c r="L359" s="26" t="str">
        <f>L358</f>
        <v>10465</v>
      </c>
      <c r="M359" s="26"/>
      <c r="N359" s="26"/>
      <c r="O359" s="26" t="str">
        <f>"""GP Direct"",""Fabrikam, Inc."",""UPR30300"",""PAYRATE"",""0.00000"",""PAYROLCD"",""INS"",""STATECD"","""",""CHEKDATE"",""5/1/2015"",""UPRTRXAM"",""49.36000"""</f>
        <v>"GP Direct","Fabrikam, Inc.","UPR30300","PAYRATE","0.00000","PAYROLCD","INS","STATECD","","CHEKDATE","5/1/2015","UPRTRXAM","49.36000"</v>
      </c>
      <c r="P359" s="29">
        <v>0</v>
      </c>
      <c r="Q359" s="26" t="str">
        <f>"INS"</f>
        <v>INS</v>
      </c>
      <c r="R359" s="26"/>
      <c r="S359" s="28">
        <v>42125</v>
      </c>
      <c r="T359" s="29">
        <v>49.36</v>
      </c>
    </row>
    <row r="360" spans="1:20" s="7" customFormat="1" hidden="1" outlineLevel="3" x14ac:dyDescent="0.2">
      <c r="A360" s="7" t="s">
        <v>92</v>
      </c>
      <c r="C360" s="7" t="str">
        <f t="shared" si="50"/>
        <v>Wendy</v>
      </c>
      <c r="D360" s="7" t="str">
        <f>+D359</f>
        <v>Kahn</v>
      </c>
      <c r="E360" s="8" t="str">
        <f>E359</f>
        <v>ADMN</v>
      </c>
      <c r="G360" s="8" t="str">
        <f>G359</f>
        <v>KAHN0001</v>
      </c>
      <c r="H360" s="26"/>
      <c r="I360" s="26"/>
      <c r="J360" s="26"/>
      <c r="K360" s="28">
        <f>+K359</f>
        <v>42125</v>
      </c>
      <c r="L360" s="26" t="str">
        <f>L359</f>
        <v>10465</v>
      </c>
      <c r="M360" s="26"/>
      <c r="N360" s="26"/>
      <c r="O360" s="26" t="str">
        <f>"""GP Direct"",""Fabrikam, Inc."",""UPR30300"",""PAYRATE"",""0.00000"",""PAYROLCD"",""MED"",""STATECD"","""",""CHEKDATE"",""5/1/2015"",""UPRTRXAM"",""5.00000"""</f>
        <v>"GP Direct","Fabrikam, Inc.","UPR30300","PAYRATE","0.00000","PAYROLCD","MED","STATECD","","CHEKDATE","5/1/2015","UPRTRXAM","5.00000"</v>
      </c>
      <c r="P360" s="29">
        <v>0</v>
      </c>
      <c r="Q360" s="26" t="str">
        <f>"MED"</f>
        <v>MED</v>
      </c>
      <c r="R360" s="26"/>
      <c r="S360" s="28">
        <v>42125</v>
      </c>
      <c r="T360" s="29">
        <v>5</v>
      </c>
    </row>
    <row r="361" spans="1:20" s="7" customFormat="1" hidden="1" outlineLevel="3" x14ac:dyDescent="0.2">
      <c r="A361" s="7" t="s">
        <v>92</v>
      </c>
      <c r="C361" s="7" t="str">
        <f t="shared" si="50"/>
        <v>Wendy</v>
      </c>
      <c r="D361" s="7" t="str">
        <f>+D360</f>
        <v>Kahn</v>
      </c>
      <c r="E361" s="8" t="str">
        <f>E360</f>
        <v>ADMN</v>
      </c>
      <c r="G361" s="8" t="str">
        <f>G360</f>
        <v>KAHN0001</v>
      </c>
      <c r="H361" s="26"/>
      <c r="I361" s="26"/>
      <c r="J361" s="26"/>
      <c r="K361" s="28">
        <f>+K360</f>
        <v>42125</v>
      </c>
      <c r="L361" s="26" t="str">
        <f>L360</f>
        <v>10465</v>
      </c>
      <c r="M361" s="26"/>
      <c r="N361" s="26"/>
      <c r="O361" s="26" t="str">
        <f>"""GP Direct"",""Fabrikam, Inc."",""UPR30300"",""PAYRATE"",""7.90000"",""PAYROLCD"",""HOUR"",""STATECD"",""IL"",""CHEKDATE"",""5/1/2015"",""UPRTRXAM"",""684.69000"""</f>
        <v>"GP Direct","Fabrikam, Inc.","UPR30300","PAYRATE","7.90000","PAYROLCD","HOUR","STATECD","IL","CHEKDATE","5/1/2015","UPRTRXAM","684.69000"</v>
      </c>
      <c r="P361" s="29">
        <v>7.9</v>
      </c>
      <c r="Q361" s="26" t="str">
        <f>"HOUR"</f>
        <v>HOUR</v>
      </c>
      <c r="R361" s="26" t="str">
        <f>"IL"</f>
        <v>IL</v>
      </c>
      <c r="S361" s="28">
        <v>42125</v>
      </c>
      <c r="T361" s="29">
        <v>684.69</v>
      </c>
    </row>
    <row r="362" spans="1:20" s="7" customFormat="1" hidden="1" outlineLevel="3" x14ac:dyDescent="0.2">
      <c r="A362" s="7" t="s">
        <v>92</v>
      </c>
      <c r="C362" s="7" t="str">
        <f>+C356</f>
        <v>Wendy</v>
      </c>
      <c r="D362" s="7" t="str">
        <f>+D356</f>
        <v>Kahn</v>
      </c>
      <c r="E362" s="8" t="str">
        <f>E356</f>
        <v>ADMN</v>
      </c>
      <c r="G362" s="8" t="str">
        <f>G356</f>
        <v>KAHN0001</v>
      </c>
      <c r="K362" s="12">
        <f>+K356</f>
        <v>42125</v>
      </c>
      <c r="L362" s="8" t="str">
        <f>L356</f>
        <v>10465</v>
      </c>
      <c r="O362" s="8"/>
      <c r="T362" s="20"/>
    </row>
    <row r="363" spans="1:20" s="7" customFormat="1" hidden="1" outlineLevel="2" collapsed="1" x14ac:dyDescent="0.2">
      <c r="A363" s="7" t="s">
        <v>92</v>
      </c>
      <c r="C363" s="7" t="str">
        <f t="shared" si="46"/>
        <v>Wendy</v>
      </c>
      <c r="D363" s="7" t="str">
        <f>+D362</f>
        <v>Kahn</v>
      </c>
      <c r="E363" s="8" t="str">
        <f>E362</f>
        <v>ADMN</v>
      </c>
      <c r="G363" s="8" t="str">
        <f>G362</f>
        <v>KAHN0001</v>
      </c>
      <c r="K363" s="12">
        <f>+K362</f>
        <v>42125</v>
      </c>
      <c r="L363" s="8" t="str">
        <f>L362</f>
        <v>10465</v>
      </c>
      <c r="M363" s="33" t="str">
        <f>"Total for " &amp; $L363</f>
        <v>Total for 10465</v>
      </c>
      <c r="N363" s="34">
        <f>+K363</f>
        <v>42125</v>
      </c>
      <c r="O363" s="35"/>
      <c r="P363" s="33"/>
      <c r="Q363" s="33"/>
      <c r="R363" s="33"/>
      <c r="S363" s="33"/>
      <c r="T363" s="36">
        <f>SUBTOTAL(9,T356:T362)</f>
        <v>779.1400000000001</v>
      </c>
    </row>
    <row r="364" spans="1:20" s="7" customFormat="1" hidden="1" outlineLevel="3" x14ac:dyDescent="0.2">
      <c r="A364" s="7" t="s">
        <v>92</v>
      </c>
      <c r="C364" s="7" t="str">
        <f t="shared" si="46"/>
        <v>Wendy</v>
      </c>
      <c r="D364" s="7" t="str">
        <f>+D363</f>
        <v>Kahn</v>
      </c>
      <c r="E364" s="8" t="str">
        <f>E363</f>
        <v>ADMN</v>
      </c>
      <c r="G364" s="8" t="str">
        <f>G363</f>
        <v>KAHN0001</v>
      </c>
      <c r="H364" s="26"/>
      <c r="I364" s="26"/>
      <c r="J364" s="26"/>
      <c r="K364" s="28">
        <f>+N364</f>
        <v>42156</v>
      </c>
      <c r="L364" s="26" t="str">
        <f>M364</f>
        <v>10490</v>
      </c>
      <c r="M364" s="26" t="str">
        <f>"10490"</f>
        <v>10490</v>
      </c>
      <c r="N364" s="28">
        <v>42156</v>
      </c>
      <c r="O364" s="26"/>
      <c r="P364" s="26"/>
      <c r="Q364" s="26"/>
      <c r="R364" s="26"/>
      <c r="S364" s="26"/>
      <c r="T364" s="27"/>
    </row>
    <row r="365" spans="1:20" s="7" customFormat="1" hidden="1" outlineLevel="3" x14ac:dyDescent="0.2">
      <c r="A365" s="7" t="s">
        <v>92</v>
      </c>
      <c r="C365" s="7" t="str">
        <f t="shared" si="46"/>
        <v>Wendy</v>
      </c>
      <c r="D365" s="7" t="str">
        <f>+D364</f>
        <v>Kahn</v>
      </c>
      <c r="E365" s="8" t="str">
        <f>E364</f>
        <v>ADMN</v>
      </c>
      <c r="G365" s="8" t="str">
        <f>G364</f>
        <v>KAHN0001</v>
      </c>
      <c r="H365" s="26"/>
      <c r="I365" s="26"/>
      <c r="J365" s="26"/>
      <c r="K365" s="28">
        <f>+K364</f>
        <v>42156</v>
      </c>
      <c r="L365" s="26" t="str">
        <f>L364</f>
        <v>10490</v>
      </c>
      <c r="M365" s="26"/>
      <c r="N365" s="26"/>
      <c r="O365" s="26" t="str">
        <f>"""GP Direct"",""Fabrikam, Inc."",""UPR30300"",""PAYRATE"",""0.00000"",""PAYROLCD"",""401K"",""STATECD"","""",""CHEKDATE"",""6/1/2015"",""UPRTRXAM"",""1.03000"""</f>
        <v>"GP Direct","Fabrikam, Inc.","UPR30300","PAYRATE","0.00000","PAYROLCD","401K","STATECD","","CHEKDATE","6/1/2015","UPRTRXAM","1.03000"</v>
      </c>
      <c r="P365" s="29">
        <v>0</v>
      </c>
      <c r="Q365" s="26" t="str">
        <f>"401K"</f>
        <v>401K</v>
      </c>
      <c r="R365" s="26"/>
      <c r="S365" s="28">
        <v>42156</v>
      </c>
      <c r="T365" s="29">
        <v>1.03</v>
      </c>
    </row>
    <row r="366" spans="1:20" s="7" customFormat="1" hidden="1" outlineLevel="3" x14ac:dyDescent="0.2">
      <c r="A366" s="7" t="s">
        <v>92</v>
      </c>
      <c r="C366" s="7" t="str">
        <f t="shared" ref="C366:C370" si="51">+C365</f>
        <v>Wendy</v>
      </c>
      <c r="D366" s="7" t="str">
        <f>+D365</f>
        <v>Kahn</v>
      </c>
      <c r="E366" s="8" t="str">
        <f>E365</f>
        <v>ADMN</v>
      </c>
      <c r="G366" s="8" t="str">
        <f>G365</f>
        <v>KAHN0001</v>
      </c>
      <c r="H366" s="26"/>
      <c r="I366" s="26"/>
      <c r="J366" s="26"/>
      <c r="K366" s="28">
        <f>+K365</f>
        <v>42156</v>
      </c>
      <c r="L366" s="26" t="str">
        <f>L365</f>
        <v>10490</v>
      </c>
      <c r="M366" s="26"/>
      <c r="N366" s="26"/>
      <c r="O366" s="26" t="str">
        <f>"""GP Direct"",""Fabrikam, Inc."",""UPR30300"",""PAYRATE"",""0.00000"",""PAYROLCD"",""401K"",""STATECD"","""",""CHEKDATE"",""6/1/2015"",""UPRTRXAM"",""20.54000"""</f>
        <v>"GP Direct","Fabrikam, Inc.","UPR30300","PAYRATE","0.00000","PAYROLCD","401K","STATECD","","CHEKDATE","6/1/2015","UPRTRXAM","20.54000"</v>
      </c>
      <c r="P366" s="29">
        <v>0</v>
      </c>
      <c r="Q366" s="26" t="str">
        <f>"401K"</f>
        <v>401K</v>
      </c>
      <c r="R366" s="26"/>
      <c r="S366" s="28">
        <v>42156</v>
      </c>
      <c r="T366" s="29">
        <v>20.54</v>
      </c>
    </row>
    <row r="367" spans="1:20" s="7" customFormat="1" hidden="1" outlineLevel="3" x14ac:dyDescent="0.2">
      <c r="A367" s="7" t="s">
        <v>92</v>
      </c>
      <c r="C367" s="7" t="str">
        <f t="shared" si="51"/>
        <v>Wendy</v>
      </c>
      <c r="D367" s="7" t="str">
        <f>+D366</f>
        <v>Kahn</v>
      </c>
      <c r="E367" s="8" t="str">
        <f>E366</f>
        <v>ADMN</v>
      </c>
      <c r="G367" s="8" t="str">
        <f>G366</f>
        <v>KAHN0001</v>
      </c>
      <c r="H367" s="26"/>
      <c r="I367" s="26"/>
      <c r="J367" s="26"/>
      <c r="K367" s="28">
        <f>+K366</f>
        <v>42156</v>
      </c>
      <c r="L367" s="26" t="str">
        <f>L366</f>
        <v>10490</v>
      </c>
      <c r="M367" s="26"/>
      <c r="N367" s="26"/>
      <c r="O367" s="26" t="str">
        <f>"""GP Direct"",""Fabrikam, Inc."",""UPR30300"",""PAYRATE"",""0.00000"",""PAYROLCD"",""IL"",""STATECD"","""",""CHEKDATE"",""6/1/2015"",""UPRTRXAM"",""18.52000"""</f>
        <v>"GP Direct","Fabrikam, Inc.","UPR30300","PAYRATE","0.00000","PAYROLCD","IL","STATECD","","CHEKDATE","6/1/2015","UPRTRXAM","18.52000"</v>
      </c>
      <c r="P367" s="29">
        <v>0</v>
      </c>
      <c r="Q367" s="26" t="str">
        <f>"IL"</f>
        <v>IL</v>
      </c>
      <c r="R367" s="26"/>
      <c r="S367" s="28">
        <v>42156</v>
      </c>
      <c r="T367" s="29">
        <v>18.52</v>
      </c>
    </row>
    <row r="368" spans="1:20" s="7" customFormat="1" hidden="1" outlineLevel="3" x14ac:dyDescent="0.2">
      <c r="A368" s="7" t="s">
        <v>92</v>
      </c>
      <c r="C368" s="7" t="str">
        <f t="shared" si="51"/>
        <v>Wendy</v>
      </c>
      <c r="D368" s="7" t="str">
        <f>+D367</f>
        <v>Kahn</v>
      </c>
      <c r="E368" s="8" t="str">
        <f>E367</f>
        <v>ADMN</v>
      </c>
      <c r="G368" s="8" t="str">
        <f>G367</f>
        <v>KAHN0001</v>
      </c>
      <c r="H368" s="26"/>
      <c r="I368" s="26"/>
      <c r="J368" s="26"/>
      <c r="K368" s="28">
        <f>+K367</f>
        <v>42156</v>
      </c>
      <c r="L368" s="26" t="str">
        <f>L367</f>
        <v>10490</v>
      </c>
      <c r="M368" s="26"/>
      <c r="N368" s="26"/>
      <c r="O368" s="26" t="str">
        <f>"""GP Direct"",""Fabrikam, Inc."",""UPR30300"",""PAYRATE"",""0.00000"",""PAYROLCD"",""INS"",""STATECD"","""",""CHEKDATE"",""6/1/2015"",""UPRTRXAM"",""49.36000"""</f>
        <v>"GP Direct","Fabrikam, Inc.","UPR30300","PAYRATE","0.00000","PAYROLCD","INS","STATECD","","CHEKDATE","6/1/2015","UPRTRXAM","49.36000"</v>
      </c>
      <c r="P368" s="29">
        <v>0</v>
      </c>
      <c r="Q368" s="26" t="str">
        <f>"INS"</f>
        <v>INS</v>
      </c>
      <c r="R368" s="26"/>
      <c r="S368" s="28">
        <v>42156</v>
      </c>
      <c r="T368" s="29">
        <v>49.36</v>
      </c>
    </row>
    <row r="369" spans="1:20" s="7" customFormat="1" hidden="1" outlineLevel="3" x14ac:dyDescent="0.2">
      <c r="A369" s="7" t="s">
        <v>92</v>
      </c>
      <c r="C369" s="7" t="str">
        <f t="shared" si="51"/>
        <v>Wendy</v>
      </c>
      <c r="D369" s="7" t="str">
        <f>+D368</f>
        <v>Kahn</v>
      </c>
      <c r="E369" s="8" t="str">
        <f>E368</f>
        <v>ADMN</v>
      </c>
      <c r="G369" s="8" t="str">
        <f>G368</f>
        <v>KAHN0001</v>
      </c>
      <c r="H369" s="26"/>
      <c r="I369" s="26"/>
      <c r="J369" s="26"/>
      <c r="K369" s="28">
        <f>+K368</f>
        <v>42156</v>
      </c>
      <c r="L369" s="26" t="str">
        <f>L368</f>
        <v>10490</v>
      </c>
      <c r="M369" s="26"/>
      <c r="N369" s="26"/>
      <c r="O369" s="26" t="str">
        <f>"""GP Direct"",""Fabrikam, Inc."",""UPR30300"",""PAYRATE"",""0.00000"",""PAYROLCD"",""MED"",""STATECD"","""",""CHEKDATE"",""6/1/2015"",""UPRTRXAM"",""5.00000"""</f>
        <v>"GP Direct","Fabrikam, Inc.","UPR30300","PAYRATE","0.00000","PAYROLCD","MED","STATECD","","CHEKDATE","6/1/2015","UPRTRXAM","5.00000"</v>
      </c>
      <c r="P369" s="29">
        <v>0</v>
      </c>
      <c r="Q369" s="26" t="str">
        <f>"MED"</f>
        <v>MED</v>
      </c>
      <c r="R369" s="26"/>
      <c r="S369" s="28">
        <v>42156</v>
      </c>
      <c r="T369" s="29">
        <v>5</v>
      </c>
    </row>
    <row r="370" spans="1:20" s="7" customFormat="1" hidden="1" outlineLevel="3" x14ac:dyDescent="0.2">
      <c r="A370" s="7" t="s">
        <v>92</v>
      </c>
      <c r="C370" s="7" t="str">
        <f t="shared" si="51"/>
        <v>Wendy</v>
      </c>
      <c r="D370" s="7" t="str">
        <f>+D369</f>
        <v>Kahn</v>
      </c>
      <c r="E370" s="8" t="str">
        <f>E369</f>
        <v>ADMN</v>
      </c>
      <c r="G370" s="8" t="str">
        <f>G369</f>
        <v>KAHN0001</v>
      </c>
      <c r="H370" s="26"/>
      <c r="I370" s="26"/>
      <c r="J370" s="26"/>
      <c r="K370" s="28">
        <f>+K369</f>
        <v>42156</v>
      </c>
      <c r="L370" s="26" t="str">
        <f>L369</f>
        <v>10490</v>
      </c>
      <c r="M370" s="26"/>
      <c r="N370" s="26"/>
      <c r="O370" s="26" t="str">
        <f>"""GP Direct"",""Fabrikam, Inc."",""UPR30300"",""PAYRATE"",""7.90000"",""PAYROLCD"",""HOUR"",""STATECD"",""IL"",""CHEKDATE"",""6/1/2015"",""UPRTRXAM"",""684.69000"""</f>
        <v>"GP Direct","Fabrikam, Inc.","UPR30300","PAYRATE","7.90000","PAYROLCD","HOUR","STATECD","IL","CHEKDATE","6/1/2015","UPRTRXAM","684.69000"</v>
      </c>
      <c r="P370" s="29">
        <v>7.9</v>
      </c>
      <c r="Q370" s="26" t="str">
        <f>"HOUR"</f>
        <v>HOUR</v>
      </c>
      <c r="R370" s="26" t="str">
        <f>"IL"</f>
        <v>IL</v>
      </c>
      <c r="S370" s="28">
        <v>42156</v>
      </c>
      <c r="T370" s="29">
        <v>684.69</v>
      </c>
    </row>
    <row r="371" spans="1:20" s="7" customFormat="1" hidden="1" outlineLevel="3" x14ac:dyDescent="0.2">
      <c r="A371" s="7" t="s">
        <v>92</v>
      </c>
      <c r="C371" s="7" t="str">
        <f>+C365</f>
        <v>Wendy</v>
      </c>
      <c r="D371" s="7" t="str">
        <f>+D365</f>
        <v>Kahn</v>
      </c>
      <c r="E371" s="8" t="str">
        <f>E365</f>
        <v>ADMN</v>
      </c>
      <c r="G371" s="8" t="str">
        <f>G365</f>
        <v>KAHN0001</v>
      </c>
      <c r="K371" s="12">
        <f>+K365</f>
        <v>42156</v>
      </c>
      <c r="L371" s="8" t="str">
        <f>L365</f>
        <v>10490</v>
      </c>
      <c r="O371" s="8"/>
      <c r="T371" s="20"/>
    </row>
    <row r="372" spans="1:20" s="7" customFormat="1" hidden="1" outlineLevel="2" collapsed="1" x14ac:dyDescent="0.2">
      <c r="A372" s="7" t="s">
        <v>92</v>
      </c>
      <c r="C372" s="7" t="str">
        <f t="shared" si="46"/>
        <v>Wendy</v>
      </c>
      <c r="D372" s="7" t="str">
        <f>+D371</f>
        <v>Kahn</v>
      </c>
      <c r="E372" s="8" t="str">
        <f>E371</f>
        <v>ADMN</v>
      </c>
      <c r="G372" s="8" t="str">
        <f>G371</f>
        <v>KAHN0001</v>
      </c>
      <c r="K372" s="12">
        <f>+K371</f>
        <v>42156</v>
      </c>
      <c r="L372" s="8" t="str">
        <f>L371</f>
        <v>10490</v>
      </c>
      <c r="M372" s="33" t="str">
        <f>"Total for " &amp; $L372</f>
        <v>Total for 10490</v>
      </c>
      <c r="N372" s="34">
        <f>+K372</f>
        <v>42156</v>
      </c>
      <c r="O372" s="35"/>
      <c r="P372" s="33"/>
      <c r="Q372" s="33"/>
      <c r="R372" s="33"/>
      <c r="S372" s="33"/>
      <c r="T372" s="36">
        <f>SUBTOTAL(9,T365:T371)</f>
        <v>779.1400000000001</v>
      </c>
    </row>
    <row r="373" spans="1:20" s="7" customFormat="1" hidden="1" outlineLevel="3" x14ac:dyDescent="0.2">
      <c r="A373" s="7" t="s">
        <v>92</v>
      </c>
      <c r="C373" s="7" t="str">
        <f t="shared" si="46"/>
        <v>Wendy</v>
      </c>
      <c r="D373" s="7" t="str">
        <f>+D372</f>
        <v>Kahn</v>
      </c>
      <c r="E373" s="8" t="str">
        <f>E372</f>
        <v>ADMN</v>
      </c>
      <c r="G373" s="8" t="str">
        <f>G372</f>
        <v>KAHN0001</v>
      </c>
      <c r="H373" s="26"/>
      <c r="I373" s="26"/>
      <c r="J373" s="26"/>
      <c r="K373" s="28">
        <f>+N373</f>
        <v>42005</v>
      </c>
      <c r="L373" s="26" t="str">
        <f>M373</f>
        <v>11567</v>
      </c>
      <c r="M373" s="26" t="str">
        <f>"11567"</f>
        <v>11567</v>
      </c>
      <c r="N373" s="28">
        <v>42005</v>
      </c>
      <c r="O373" s="26"/>
      <c r="P373" s="26"/>
      <c r="Q373" s="26"/>
      <c r="R373" s="26"/>
      <c r="S373" s="26"/>
      <c r="T373" s="27"/>
    </row>
    <row r="374" spans="1:20" s="7" customFormat="1" hidden="1" outlineLevel="3" x14ac:dyDescent="0.2">
      <c r="A374" s="7" t="s">
        <v>92</v>
      </c>
      <c r="C374" s="7" t="str">
        <f t="shared" si="46"/>
        <v>Wendy</v>
      </c>
      <c r="D374" s="7" t="str">
        <f>+D373</f>
        <v>Kahn</v>
      </c>
      <c r="E374" s="8" t="str">
        <f>E373</f>
        <v>ADMN</v>
      </c>
      <c r="G374" s="8" t="str">
        <f>G373</f>
        <v>KAHN0001</v>
      </c>
      <c r="H374" s="26"/>
      <c r="I374" s="26"/>
      <c r="J374" s="26"/>
      <c r="K374" s="28">
        <f>+K373</f>
        <v>42005</v>
      </c>
      <c r="L374" s="26" t="str">
        <f>L373</f>
        <v>11567</v>
      </c>
      <c r="M374" s="26"/>
      <c r="N374" s="26"/>
      <c r="O374" s="26" t="str">
        <f>"""GP Direct"",""Fabrikam, Inc."",""UPR30300"",""PAYRATE"",""0.00000"",""PAYROLCD"",""IL"",""STATECD"","""",""CHEKDATE"",""1/1/2015"",""UPRTRXAM"",""20.88000"""</f>
        <v>"GP Direct","Fabrikam, Inc.","UPR30300","PAYRATE","0.00000","PAYROLCD","IL","STATECD","","CHEKDATE","1/1/2015","UPRTRXAM","20.88000"</v>
      </c>
      <c r="P374" s="29">
        <v>0</v>
      </c>
      <c r="Q374" s="26" t="str">
        <f>"IL"</f>
        <v>IL</v>
      </c>
      <c r="R374" s="26"/>
      <c r="S374" s="28">
        <v>42005</v>
      </c>
      <c r="T374" s="29">
        <v>20.88</v>
      </c>
    </row>
    <row r="375" spans="1:20" s="7" customFormat="1" hidden="1" outlineLevel="3" x14ac:dyDescent="0.2">
      <c r="A375" s="7" t="s">
        <v>92</v>
      </c>
      <c r="C375" s="7" t="str">
        <f t="shared" ref="C375" si="52">+C374</f>
        <v>Wendy</v>
      </c>
      <c r="D375" s="7" t="str">
        <f>+D374</f>
        <v>Kahn</v>
      </c>
      <c r="E375" s="8" t="str">
        <f>E374</f>
        <v>ADMN</v>
      </c>
      <c r="G375" s="8" t="str">
        <f>G374</f>
        <v>KAHN0001</v>
      </c>
      <c r="H375" s="26"/>
      <c r="I375" s="26"/>
      <c r="J375" s="26"/>
      <c r="K375" s="28">
        <f>+K374</f>
        <v>42005</v>
      </c>
      <c r="L375" s="26" t="str">
        <f>L374</f>
        <v>11567</v>
      </c>
      <c r="M375" s="26"/>
      <c r="N375" s="26"/>
      <c r="O375" s="26" t="str">
        <f>"""GP Direct"",""Fabrikam, Inc."",""UPR30300"",""PAYRATE"",""700.00000"",""PAYROLCD"",""BONS"",""STATECD"",""IL"",""CHEKDATE"",""1/1/2015"",""UPRTRXAM"",""700.00000"""</f>
        <v>"GP Direct","Fabrikam, Inc.","UPR30300","PAYRATE","700.00000","PAYROLCD","BONS","STATECD","IL","CHEKDATE","1/1/2015","UPRTRXAM","700.00000"</v>
      </c>
      <c r="P375" s="29">
        <v>700</v>
      </c>
      <c r="Q375" s="26" t="str">
        <f>"BONS"</f>
        <v>BONS</v>
      </c>
      <c r="R375" s="26" t="str">
        <f>"IL"</f>
        <v>IL</v>
      </c>
      <c r="S375" s="28">
        <v>42005</v>
      </c>
      <c r="T375" s="29">
        <v>700</v>
      </c>
    </row>
    <row r="376" spans="1:20" s="7" customFormat="1" hidden="1" outlineLevel="3" x14ac:dyDescent="0.2">
      <c r="A376" s="7" t="s">
        <v>92</v>
      </c>
      <c r="C376" s="7" t="str">
        <f>+C374</f>
        <v>Wendy</v>
      </c>
      <c r="D376" s="7" t="str">
        <f>+D374</f>
        <v>Kahn</v>
      </c>
      <c r="E376" s="8" t="str">
        <f>E374</f>
        <v>ADMN</v>
      </c>
      <c r="G376" s="8" t="str">
        <f>G374</f>
        <v>KAHN0001</v>
      </c>
      <c r="K376" s="12">
        <f>+K374</f>
        <v>42005</v>
      </c>
      <c r="L376" s="8" t="str">
        <f>L374</f>
        <v>11567</v>
      </c>
      <c r="O376" s="8"/>
      <c r="T376" s="20"/>
    </row>
    <row r="377" spans="1:20" s="7" customFormat="1" hidden="1" outlineLevel="2" collapsed="1" x14ac:dyDescent="0.2">
      <c r="A377" s="7" t="s">
        <v>92</v>
      </c>
      <c r="C377" s="7" t="str">
        <f t="shared" si="46"/>
        <v>Wendy</v>
      </c>
      <c r="D377" s="7" t="str">
        <f>+D376</f>
        <v>Kahn</v>
      </c>
      <c r="E377" s="8" t="str">
        <f>E376</f>
        <v>ADMN</v>
      </c>
      <c r="G377" s="8" t="str">
        <f>G376</f>
        <v>KAHN0001</v>
      </c>
      <c r="K377" s="12">
        <f>+K376</f>
        <v>42005</v>
      </c>
      <c r="L377" s="8" t="str">
        <f>L376</f>
        <v>11567</v>
      </c>
      <c r="M377" s="33" t="str">
        <f>"Total for " &amp; $L377</f>
        <v>Total for 11567</v>
      </c>
      <c r="N377" s="34">
        <f>+K377</f>
        <v>42005</v>
      </c>
      <c r="O377" s="35"/>
      <c r="P377" s="33"/>
      <c r="Q377" s="33"/>
      <c r="R377" s="33"/>
      <c r="S377" s="33"/>
      <c r="T377" s="36">
        <f>SUBTOTAL(9,T374:T376)</f>
        <v>720.88</v>
      </c>
    </row>
    <row r="378" spans="1:20" s="7" customFormat="1" hidden="1" outlineLevel="3" x14ac:dyDescent="0.2">
      <c r="A378" s="7" t="s">
        <v>92</v>
      </c>
      <c r="C378" s="7" t="str">
        <f t="shared" si="46"/>
        <v>Wendy</v>
      </c>
      <c r="D378" s="7" t="str">
        <f>+D377</f>
        <v>Kahn</v>
      </c>
      <c r="E378" s="8" t="str">
        <f>E377</f>
        <v>ADMN</v>
      </c>
      <c r="G378" s="8" t="str">
        <f>G377</f>
        <v>KAHN0001</v>
      </c>
      <c r="H378" s="26"/>
      <c r="I378" s="26"/>
      <c r="J378" s="26"/>
      <c r="K378" s="28">
        <f>+N378</f>
        <v>42156</v>
      </c>
      <c r="L378" s="26" t="str">
        <f>M378</f>
        <v>11572</v>
      </c>
      <c r="M378" s="26" t="str">
        <f>"11572"</f>
        <v>11572</v>
      </c>
      <c r="N378" s="28">
        <v>42156</v>
      </c>
      <c r="O378" s="26"/>
      <c r="P378" s="26"/>
      <c r="Q378" s="26"/>
      <c r="R378" s="26"/>
      <c r="S378" s="26"/>
      <c r="T378" s="27"/>
    </row>
    <row r="379" spans="1:20" s="7" customFormat="1" hidden="1" outlineLevel="3" x14ac:dyDescent="0.2">
      <c r="A379" s="7" t="s">
        <v>92</v>
      </c>
      <c r="C379" s="7" t="str">
        <f t="shared" si="46"/>
        <v>Wendy</v>
      </c>
      <c r="D379" s="7" t="str">
        <f>+D378</f>
        <v>Kahn</v>
      </c>
      <c r="E379" s="8" t="str">
        <f>E378</f>
        <v>ADMN</v>
      </c>
      <c r="G379" s="8" t="str">
        <f>G378</f>
        <v>KAHN0001</v>
      </c>
      <c r="H379" s="26"/>
      <c r="I379" s="26"/>
      <c r="J379" s="26"/>
      <c r="K379" s="28">
        <f>+K378</f>
        <v>42156</v>
      </c>
      <c r="L379" s="26" t="str">
        <f>L378</f>
        <v>11572</v>
      </c>
      <c r="M379" s="26"/>
      <c r="N379" s="26"/>
      <c r="O379" s="26" t="str">
        <f>"""GP Direct"",""Fabrikam, Inc."",""UPR30300"",""PAYRATE"",""0.00000"",""PAYROLCD"",""IL"",""STATECD"","""",""CHEKDATE"",""6/1/2015"",""UPRTRXAM"",""11.88000"""</f>
        <v>"GP Direct","Fabrikam, Inc.","UPR30300","PAYRATE","0.00000","PAYROLCD","IL","STATECD","","CHEKDATE","6/1/2015","UPRTRXAM","11.88000"</v>
      </c>
      <c r="P379" s="29">
        <v>0</v>
      </c>
      <c r="Q379" s="26" t="str">
        <f>"IL"</f>
        <v>IL</v>
      </c>
      <c r="R379" s="26"/>
      <c r="S379" s="28">
        <v>42156</v>
      </c>
      <c r="T379" s="29">
        <v>11.88</v>
      </c>
    </row>
    <row r="380" spans="1:20" s="7" customFormat="1" hidden="1" outlineLevel="3" x14ac:dyDescent="0.2">
      <c r="A380" s="7" t="s">
        <v>92</v>
      </c>
      <c r="C380" s="7" t="str">
        <f t="shared" ref="C380" si="53">+C379</f>
        <v>Wendy</v>
      </c>
      <c r="D380" s="7" t="str">
        <f>+D379</f>
        <v>Kahn</v>
      </c>
      <c r="E380" s="8" t="str">
        <f>E379</f>
        <v>ADMN</v>
      </c>
      <c r="G380" s="8" t="str">
        <f>G379</f>
        <v>KAHN0001</v>
      </c>
      <c r="H380" s="26"/>
      <c r="I380" s="26"/>
      <c r="J380" s="26"/>
      <c r="K380" s="28">
        <f>+K379</f>
        <v>42156</v>
      </c>
      <c r="L380" s="26" t="str">
        <f>L379</f>
        <v>11572</v>
      </c>
      <c r="M380" s="26"/>
      <c r="N380" s="26"/>
      <c r="O380" s="26" t="str">
        <f>"""GP Direct"",""Fabrikam, Inc."",""UPR30300"",""PAYRATE"",""400.00000"",""PAYROLCD"",""BONS"",""STATECD"",""IL"",""CHEKDATE"",""6/1/2015"",""UPRTRXAM"",""400.00000"""</f>
        <v>"GP Direct","Fabrikam, Inc.","UPR30300","PAYRATE","400.00000","PAYROLCD","BONS","STATECD","IL","CHEKDATE","6/1/2015","UPRTRXAM","400.00000"</v>
      </c>
      <c r="P380" s="29">
        <v>400</v>
      </c>
      <c r="Q380" s="26" t="str">
        <f>"BONS"</f>
        <v>BONS</v>
      </c>
      <c r="R380" s="26" t="str">
        <f>"IL"</f>
        <v>IL</v>
      </c>
      <c r="S380" s="28">
        <v>42156</v>
      </c>
      <c r="T380" s="29">
        <v>400</v>
      </c>
    </row>
    <row r="381" spans="1:20" s="7" customFormat="1" hidden="1" outlineLevel="3" x14ac:dyDescent="0.2">
      <c r="A381" s="7" t="s">
        <v>92</v>
      </c>
      <c r="C381" s="7" t="str">
        <f>+C379</f>
        <v>Wendy</v>
      </c>
      <c r="D381" s="7" t="str">
        <f>+D379</f>
        <v>Kahn</v>
      </c>
      <c r="E381" s="8" t="str">
        <f>E379</f>
        <v>ADMN</v>
      </c>
      <c r="G381" s="8" t="str">
        <f>G379</f>
        <v>KAHN0001</v>
      </c>
      <c r="K381" s="12">
        <f>+K379</f>
        <v>42156</v>
      </c>
      <c r="L381" s="8" t="str">
        <f>L379</f>
        <v>11572</v>
      </c>
      <c r="O381" s="8"/>
      <c r="T381" s="20"/>
    </row>
    <row r="382" spans="1:20" s="7" customFormat="1" hidden="1" outlineLevel="2" collapsed="1" x14ac:dyDescent="0.2">
      <c r="A382" s="7" t="s">
        <v>92</v>
      </c>
      <c r="C382" s="7" t="str">
        <f t="shared" si="46"/>
        <v>Wendy</v>
      </c>
      <c r="D382" s="7" t="str">
        <f>+D381</f>
        <v>Kahn</v>
      </c>
      <c r="E382" s="8" t="str">
        <f>E381</f>
        <v>ADMN</v>
      </c>
      <c r="G382" s="8" t="str">
        <f>G381</f>
        <v>KAHN0001</v>
      </c>
      <c r="K382" s="12">
        <f>+K381</f>
        <v>42156</v>
      </c>
      <c r="L382" s="8" t="str">
        <f>L381</f>
        <v>11572</v>
      </c>
      <c r="M382" s="33" t="str">
        <f>"Total for " &amp; $L382</f>
        <v>Total for 11572</v>
      </c>
      <c r="N382" s="34">
        <f>+K382</f>
        <v>42156</v>
      </c>
      <c r="O382" s="35"/>
      <c r="P382" s="33"/>
      <c r="Q382" s="33"/>
      <c r="R382" s="33"/>
      <c r="S382" s="33"/>
      <c r="T382" s="36">
        <f>SUBTOTAL(9,T379:T381)</f>
        <v>411.88</v>
      </c>
    </row>
    <row r="383" spans="1:20" s="7" customFormat="1" hidden="1" outlineLevel="2" x14ac:dyDescent="0.2">
      <c r="A383" s="7" t="s">
        <v>92</v>
      </c>
      <c r="C383" s="7" t="str">
        <f>+C327</f>
        <v>Wendy</v>
      </c>
      <c r="D383" s="7" t="str">
        <f>+D327</f>
        <v>Kahn</v>
      </c>
      <c r="E383" s="8" t="str">
        <f>E327</f>
        <v>ADMN</v>
      </c>
      <c r="G383" s="8" t="str">
        <f>G327</f>
        <v>KAHN0001</v>
      </c>
      <c r="L383" s="8"/>
      <c r="O383" s="8"/>
      <c r="T383" s="20"/>
    </row>
    <row r="384" spans="1:20" s="7" customFormat="1" hidden="1" outlineLevel="1" collapsed="1" x14ac:dyDescent="0.2">
      <c r="A384" s="7" t="s">
        <v>92</v>
      </c>
      <c r="C384" s="7" t="str">
        <f t="shared" si="44"/>
        <v>Wendy</v>
      </c>
      <c r="D384" s="7" t="str">
        <f>+D383</f>
        <v>Kahn</v>
      </c>
      <c r="E384" s="8" t="str">
        <f>E383</f>
        <v>ADMN</v>
      </c>
      <c r="G384" s="8" t="str">
        <f>G383</f>
        <v>KAHN0001</v>
      </c>
      <c r="H384" s="30" t="str">
        <f>"Total for " &amp; $G384</f>
        <v>Total for KAHN0001</v>
      </c>
      <c r="I384" s="30" t="str">
        <f>+C384</f>
        <v>Wendy</v>
      </c>
      <c r="J384" s="30" t="str">
        <f>+D384</f>
        <v>Kahn</v>
      </c>
      <c r="K384" s="30"/>
      <c r="L384" s="31"/>
      <c r="M384" s="30"/>
      <c r="N384" s="30"/>
      <c r="O384" s="31"/>
      <c r="P384" s="30"/>
      <c r="Q384" s="30"/>
      <c r="R384" s="30"/>
      <c r="S384" s="30"/>
      <c r="T384" s="32">
        <f>SUBTOTAL(9,T320:T383)</f>
        <v>5807.6000000000013</v>
      </c>
    </row>
    <row r="385" spans="1:20" s="7" customFormat="1" hidden="1" outlineLevel="2" x14ac:dyDescent="0.2">
      <c r="A385" s="7" t="s">
        <v>92</v>
      </c>
      <c r="C385" s="7" t="str">
        <f t="shared" ref="C385" si="54">+I385</f>
        <v>Randy</v>
      </c>
      <c r="D385" s="7" t="str">
        <f>+J385</f>
        <v>Reeves</v>
      </c>
      <c r="E385" s="8" t="str">
        <f>E384</f>
        <v>ADMN</v>
      </c>
      <c r="G385" s="8" t="str">
        <f>H385</f>
        <v>REEV0001</v>
      </c>
      <c r="H385" s="24" t="str">
        <f>"REEV0001"</f>
        <v>REEV0001</v>
      </c>
      <c r="I385" s="25" t="str">
        <f>"Randy"</f>
        <v>Randy</v>
      </c>
      <c r="J385" s="25" t="str">
        <f>"Reeves"</f>
        <v>Reeves</v>
      </c>
      <c r="K385" s="26"/>
      <c r="L385" s="26"/>
      <c r="M385" s="26"/>
      <c r="N385" s="26"/>
      <c r="O385" s="26"/>
      <c r="P385" s="26"/>
      <c r="Q385" s="26"/>
      <c r="R385" s="26"/>
      <c r="S385" s="26"/>
      <c r="T385" s="27"/>
    </row>
    <row r="386" spans="1:20" s="7" customFormat="1" hidden="1" outlineLevel="3" x14ac:dyDescent="0.2">
      <c r="A386" s="7" t="s">
        <v>92</v>
      </c>
      <c r="C386" s="7" t="str">
        <f t="shared" ref="C386:C442" si="55">+C385</f>
        <v>Randy</v>
      </c>
      <c r="D386" s="7" t="str">
        <f>+D385</f>
        <v>Reeves</v>
      </c>
      <c r="E386" s="8" t="str">
        <f>E385</f>
        <v>ADMN</v>
      </c>
      <c r="G386" s="8" t="str">
        <f>G385</f>
        <v>REEV0001</v>
      </c>
      <c r="H386" s="26"/>
      <c r="I386" s="26"/>
      <c r="J386" s="26"/>
      <c r="K386" s="28">
        <f>+N386</f>
        <v>42005</v>
      </c>
      <c r="L386" s="26" t="str">
        <f>M386</f>
        <v>10373</v>
      </c>
      <c r="M386" s="26" t="str">
        <f>"10373"</f>
        <v>10373</v>
      </c>
      <c r="N386" s="28">
        <v>42005</v>
      </c>
      <c r="O386" s="26"/>
      <c r="P386" s="26"/>
      <c r="Q386" s="26"/>
      <c r="R386" s="26"/>
      <c r="S386" s="26"/>
      <c r="T386" s="27"/>
    </row>
    <row r="387" spans="1:20" s="7" customFormat="1" hidden="1" outlineLevel="3" x14ac:dyDescent="0.2">
      <c r="A387" s="7" t="s">
        <v>92</v>
      </c>
      <c r="C387" s="7" t="str">
        <f t="shared" si="55"/>
        <v>Randy</v>
      </c>
      <c r="D387" s="7" t="str">
        <f>+D386</f>
        <v>Reeves</v>
      </c>
      <c r="E387" s="8" t="str">
        <f>E386</f>
        <v>ADMN</v>
      </c>
      <c r="G387" s="8" t="str">
        <f>G386</f>
        <v>REEV0001</v>
      </c>
      <c r="H387" s="26"/>
      <c r="I387" s="26"/>
      <c r="J387" s="26"/>
      <c r="K387" s="28">
        <f>+K386</f>
        <v>42005</v>
      </c>
      <c r="L387" s="26" t="str">
        <f>L386</f>
        <v>10373</v>
      </c>
      <c r="M387" s="26"/>
      <c r="N387" s="26"/>
      <c r="O387" s="26" t="str">
        <f>"""GP Direct"",""Fabrikam, Inc."",""UPR30300"",""PAYRATE"",""0.00000"",""PAYROLCD"",""401K"",""STATECD"","""",""CHEKDATE"",""1/1/2015"",""UPRTRXAM"",""1.63000"""</f>
        <v>"GP Direct","Fabrikam, Inc.","UPR30300","PAYRATE","0.00000","PAYROLCD","401K","STATECD","","CHEKDATE","1/1/2015","UPRTRXAM","1.63000"</v>
      </c>
      <c r="P387" s="29">
        <v>0</v>
      </c>
      <c r="Q387" s="26" t="str">
        <f>"401K"</f>
        <v>401K</v>
      </c>
      <c r="R387" s="26"/>
      <c r="S387" s="28">
        <v>42005</v>
      </c>
      <c r="T387" s="29">
        <v>1.63</v>
      </c>
    </row>
    <row r="388" spans="1:20" s="7" customFormat="1" hidden="1" outlineLevel="3" x14ac:dyDescent="0.2">
      <c r="A388" s="7" t="s">
        <v>92</v>
      </c>
      <c r="C388" s="7" t="str">
        <f t="shared" ref="C388:C392" si="56">+C387</f>
        <v>Randy</v>
      </c>
      <c r="D388" s="7" t="str">
        <f>+D387</f>
        <v>Reeves</v>
      </c>
      <c r="E388" s="8" t="str">
        <f>E387</f>
        <v>ADMN</v>
      </c>
      <c r="G388" s="8" t="str">
        <f>G387</f>
        <v>REEV0001</v>
      </c>
      <c r="H388" s="26"/>
      <c r="I388" s="26"/>
      <c r="J388" s="26"/>
      <c r="K388" s="28">
        <f>+K387</f>
        <v>42005</v>
      </c>
      <c r="L388" s="26" t="str">
        <f>L387</f>
        <v>10373</v>
      </c>
      <c r="M388" s="26"/>
      <c r="N388" s="26"/>
      <c r="O388" s="26" t="str">
        <f>"""GP Direct"",""Fabrikam, Inc."",""UPR30300"",""PAYRATE"",""0.00000"",""PAYROLCD"",""401K"",""STATECD"","""",""CHEKDATE"",""1/1/2015"",""UPRTRXAM"",""32.57000"""</f>
        <v>"GP Direct","Fabrikam, Inc.","UPR30300","PAYRATE","0.00000","PAYROLCD","401K","STATECD","","CHEKDATE","1/1/2015","UPRTRXAM","32.57000"</v>
      </c>
      <c r="P388" s="29">
        <v>0</v>
      </c>
      <c r="Q388" s="26" t="str">
        <f>"401K"</f>
        <v>401K</v>
      </c>
      <c r="R388" s="26"/>
      <c r="S388" s="28">
        <v>42005</v>
      </c>
      <c r="T388" s="29">
        <v>32.57</v>
      </c>
    </row>
    <row r="389" spans="1:20" s="7" customFormat="1" hidden="1" outlineLevel="3" x14ac:dyDescent="0.2">
      <c r="A389" s="7" t="s">
        <v>92</v>
      </c>
      <c r="C389" s="7" t="str">
        <f t="shared" si="56"/>
        <v>Randy</v>
      </c>
      <c r="D389" s="7" t="str">
        <f>+D388</f>
        <v>Reeves</v>
      </c>
      <c r="E389" s="8" t="str">
        <f>E388</f>
        <v>ADMN</v>
      </c>
      <c r="G389" s="8" t="str">
        <f>G388</f>
        <v>REEV0001</v>
      </c>
      <c r="H389" s="26"/>
      <c r="I389" s="26"/>
      <c r="J389" s="26"/>
      <c r="K389" s="28">
        <f>+K388</f>
        <v>42005</v>
      </c>
      <c r="L389" s="26" t="str">
        <f>L388</f>
        <v>10373</v>
      </c>
      <c r="M389" s="26"/>
      <c r="N389" s="26"/>
      <c r="O389" s="26" t="str">
        <f>"""GP Direct"",""Fabrikam, Inc."",""UPR30300"",""PAYRATE"",""0.00000"",""PAYROLCD"",""IL"",""STATECD"","""",""CHEKDATE"",""1/1/2015"",""UPRTRXAM"",""30.19000"""</f>
        <v>"GP Direct","Fabrikam, Inc.","UPR30300","PAYRATE","0.00000","PAYROLCD","IL","STATECD","","CHEKDATE","1/1/2015","UPRTRXAM","30.19000"</v>
      </c>
      <c r="P389" s="29">
        <v>0</v>
      </c>
      <c r="Q389" s="26" t="str">
        <f>"IL"</f>
        <v>IL</v>
      </c>
      <c r="R389" s="26"/>
      <c r="S389" s="28">
        <v>42005</v>
      </c>
      <c r="T389" s="29">
        <v>30.19</v>
      </c>
    </row>
    <row r="390" spans="1:20" s="7" customFormat="1" hidden="1" outlineLevel="3" x14ac:dyDescent="0.2">
      <c r="A390" s="7" t="s">
        <v>92</v>
      </c>
      <c r="C390" s="7" t="str">
        <f t="shared" si="56"/>
        <v>Randy</v>
      </c>
      <c r="D390" s="7" t="str">
        <f>+D389</f>
        <v>Reeves</v>
      </c>
      <c r="E390" s="8" t="str">
        <f>E389</f>
        <v>ADMN</v>
      </c>
      <c r="G390" s="8" t="str">
        <f>G389</f>
        <v>REEV0001</v>
      </c>
      <c r="H390" s="26"/>
      <c r="I390" s="26"/>
      <c r="J390" s="26"/>
      <c r="K390" s="28">
        <f>+K389</f>
        <v>42005</v>
      </c>
      <c r="L390" s="26" t="str">
        <f>L389</f>
        <v>10373</v>
      </c>
      <c r="M390" s="26"/>
      <c r="N390" s="26"/>
      <c r="O390" s="26" t="str">
        <f>"""GP Direct"",""Fabrikam, Inc."",""UPR30300"",""PAYRATE"",""0.00000"",""PAYROLCD"",""INS"",""STATECD"","""",""CHEKDATE"",""1/1/2015"",""UPRTRXAM"",""49.36000"""</f>
        <v>"GP Direct","Fabrikam, Inc.","UPR30300","PAYRATE","0.00000","PAYROLCD","INS","STATECD","","CHEKDATE","1/1/2015","UPRTRXAM","49.36000"</v>
      </c>
      <c r="P390" s="29">
        <v>0</v>
      </c>
      <c r="Q390" s="26" t="str">
        <f>"INS"</f>
        <v>INS</v>
      </c>
      <c r="R390" s="26"/>
      <c r="S390" s="28">
        <v>42005</v>
      </c>
      <c r="T390" s="29">
        <v>49.36</v>
      </c>
    </row>
    <row r="391" spans="1:20" s="7" customFormat="1" hidden="1" outlineLevel="3" x14ac:dyDescent="0.2">
      <c r="A391" s="7" t="s">
        <v>92</v>
      </c>
      <c r="C391" s="7" t="str">
        <f t="shared" si="56"/>
        <v>Randy</v>
      </c>
      <c r="D391" s="7" t="str">
        <f>+D390</f>
        <v>Reeves</v>
      </c>
      <c r="E391" s="8" t="str">
        <f>E390</f>
        <v>ADMN</v>
      </c>
      <c r="G391" s="8" t="str">
        <f>G390</f>
        <v>REEV0001</v>
      </c>
      <c r="H391" s="26"/>
      <c r="I391" s="26"/>
      <c r="J391" s="26"/>
      <c r="K391" s="28">
        <f>+K390</f>
        <v>42005</v>
      </c>
      <c r="L391" s="26" t="str">
        <f>L390</f>
        <v>10373</v>
      </c>
      <c r="M391" s="26"/>
      <c r="N391" s="26"/>
      <c r="O391" s="26" t="str">
        <f>"""GP Direct"",""Fabrikam, Inc."",""UPR30300"",""PAYRATE"",""0.00000"",""PAYROLCD"",""MED"",""STATECD"","""",""CHEKDATE"",""1/1/2015"",""UPRTRXAM"",""5.00000"""</f>
        <v>"GP Direct","Fabrikam, Inc.","UPR30300","PAYRATE","0.00000","PAYROLCD","MED","STATECD","","CHEKDATE","1/1/2015","UPRTRXAM","5.00000"</v>
      </c>
      <c r="P391" s="29">
        <v>0</v>
      </c>
      <c r="Q391" s="26" t="str">
        <f>"MED"</f>
        <v>MED</v>
      </c>
      <c r="R391" s="26"/>
      <c r="S391" s="28">
        <v>42005</v>
      </c>
      <c r="T391" s="29">
        <v>5</v>
      </c>
    </row>
    <row r="392" spans="1:20" s="7" customFormat="1" hidden="1" outlineLevel="3" x14ac:dyDescent="0.2">
      <c r="A392" s="7" t="s">
        <v>92</v>
      </c>
      <c r="C392" s="7" t="str">
        <f t="shared" si="56"/>
        <v>Randy</v>
      </c>
      <c r="D392" s="7" t="str">
        <f>+D391</f>
        <v>Reeves</v>
      </c>
      <c r="E392" s="8" t="str">
        <f>E391</f>
        <v>ADMN</v>
      </c>
      <c r="G392" s="8" t="str">
        <f>G391</f>
        <v>REEV0001</v>
      </c>
      <c r="H392" s="26"/>
      <c r="I392" s="26"/>
      <c r="J392" s="26"/>
      <c r="K392" s="28">
        <f>+K391</f>
        <v>42005</v>
      </c>
      <c r="L392" s="26" t="str">
        <f>L391</f>
        <v>10373</v>
      </c>
      <c r="M392" s="26"/>
      <c r="N392" s="26"/>
      <c r="O392" s="26" t="str">
        <f>"""GP Direct"",""Fabrikam, Inc."",""UPR30300"",""PAYRATE"",""26057.00000"",""PAYROLCD"",""SALY"",""STATECD"",""IL"",""CHEKDATE"",""1/1/2015"",""UPRTRXAM"",""1085.71000"""</f>
        <v>"GP Direct","Fabrikam, Inc.","UPR30300","PAYRATE","26057.00000","PAYROLCD","SALY","STATECD","IL","CHEKDATE","1/1/2015","UPRTRXAM","1085.71000"</v>
      </c>
      <c r="P392" s="29">
        <v>26057</v>
      </c>
      <c r="Q392" s="26" t="str">
        <f>"SALY"</f>
        <v>SALY</v>
      </c>
      <c r="R392" s="26" t="str">
        <f>"IL"</f>
        <v>IL</v>
      </c>
      <c r="S392" s="28">
        <v>42005</v>
      </c>
      <c r="T392" s="29">
        <v>1085.71</v>
      </c>
    </row>
    <row r="393" spans="1:20" s="7" customFormat="1" hidden="1" outlineLevel="3" x14ac:dyDescent="0.2">
      <c r="A393" s="7" t="s">
        <v>92</v>
      </c>
      <c r="C393" s="7" t="str">
        <f>+C387</f>
        <v>Randy</v>
      </c>
      <c r="D393" s="7" t="str">
        <f>+D387</f>
        <v>Reeves</v>
      </c>
      <c r="E393" s="8" t="str">
        <f>E387</f>
        <v>ADMN</v>
      </c>
      <c r="G393" s="8" t="str">
        <f>G387</f>
        <v>REEV0001</v>
      </c>
      <c r="K393" s="12">
        <f>+K387</f>
        <v>42005</v>
      </c>
      <c r="L393" s="8" t="str">
        <f>L387</f>
        <v>10373</v>
      </c>
      <c r="O393" s="8"/>
      <c r="T393" s="20"/>
    </row>
    <row r="394" spans="1:20" s="7" customFormat="1" hidden="1" outlineLevel="2" collapsed="1" x14ac:dyDescent="0.2">
      <c r="A394" s="7" t="s">
        <v>92</v>
      </c>
      <c r="C394" s="7" t="str">
        <f t="shared" si="55"/>
        <v>Randy</v>
      </c>
      <c r="D394" s="7" t="str">
        <f>+D393</f>
        <v>Reeves</v>
      </c>
      <c r="E394" s="8" t="str">
        <f>E393</f>
        <v>ADMN</v>
      </c>
      <c r="G394" s="8" t="str">
        <f>G393</f>
        <v>REEV0001</v>
      </c>
      <c r="K394" s="12">
        <f>+K393</f>
        <v>42005</v>
      </c>
      <c r="L394" s="8" t="str">
        <f>L393</f>
        <v>10373</v>
      </c>
      <c r="M394" s="33" t="str">
        <f>"Total for " &amp; $L394</f>
        <v>Total for 10373</v>
      </c>
      <c r="N394" s="34">
        <f>+K394</f>
        <v>42005</v>
      </c>
      <c r="O394" s="35"/>
      <c r="P394" s="33"/>
      <c r="Q394" s="33"/>
      <c r="R394" s="33"/>
      <c r="S394" s="33"/>
      <c r="T394" s="36">
        <f>SUBTOTAL(9,T387:T393)</f>
        <v>1204.46</v>
      </c>
    </row>
    <row r="395" spans="1:20" s="7" customFormat="1" hidden="1" outlineLevel="3" x14ac:dyDescent="0.2">
      <c r="A395" s="7" t="s">
        <v>92</v>
      </c>
      <c r="C395" s="7" t="str">
        <f t="shared" ref="C395:C440" si="57">+C394</f>
        <v>Randy</v>
      </c>
      <c r="D395" s="7" t="str">
        <f>+D394</f>
        <v>Reeves</v>
      </c>
      <c r="E395" s="8" t="str">
        <f>E394</f>
        <v>ADMN</v>
      </c>
      <c r="G395" s="8" t="str">
        <f>G394</f>
        <v>REEV0001</v>
      </c>
      <c r="H395" s="26"/>
      <c r="I395" s="26"/>
      <c r="J395" s="26"/>
      <c r="K395" s="28">
        <f>+N395</f>
        <v>42036</v>
      </c>
      <c r="L395" s="26" t="str">
        <f>M395</f>
        <v>10398</v>
      </c>
      <c r="M395" s="26" t="str">
        <f>"10398"</f>
        <v>10398</v>
      </c>
      <c r="N395" s="28">
        <v>42036</v>
      </c>
      <c r="O395" s="26"/>
      <c r="P395" s="26"/>
      <c r="Q395" s="26"/>
      <c r="R395" s="26"/>
      <c r="S395" s="26"/>
      <c r="T395" s="27"/>
    </row>
    <row r="396" spans="1:20" s="7" customFormat="1" hidden="1" outlineLevel="3" x14ac:dyDescent="0.2">
      <c r="A396" s="7" t="s">
        <v>92</v>
      </c>
      <c r="C396" s="7" t="str">
        <f t="shared" si="57"/>
        <v>Randy</v>
      </c>
      <c r="D396" s="7" t="str">
        <f>+D395</f>
        <v>Reeves</v>
      </c>
      <c r="E396" s="8" t="str">
        <f>E395</f>
        <v>ADMN</v>
      </c>
      <c r="G396" s="8" t="str">
        <f>G395</f>
        <v>REEV0001</v>
      </c>
      <c r="H396" s="26"/>
      <c r="I396" s="26"/>
      <c r="J396" s="26"/>
      <c r="K396" s="28">
        <f>+K395</f>
        <v>42036</v>
      </c>
      <c r="L396" s="26" t="str">
        <f>L395</f>
        <v>10398</v>
      </c>
      <c r="M396" s="26"/>
      <c r="N396" s="26"/>
      <c r="O396" s="26" t="str">
        <f>"""GP Direct"",""Fabrikam, Inc."",""UPR30300"",""PAYRATE"",""0.00000"",""PAYROLCD"",""401K"",""STATECD"","""",""CHEKDATE"",""2/1/2015"",""UPRTRXAM"",""1.33000"""</f>
        <v>"GP Direct","Fabrikam, Inc.","UPR30300","PAYRATE","0.00000","PAYROLCD","401K","STATECD","","CHEKDATE","2/1/2015","UPRTRXAM","1.33000"</v>
      </c>
      <c r="P396" s="29">
        <v>0</v>
      </c>
      <c r="Q396" s="26" t="str">
        <f>"401K"</f>
        <v>401K</v>
      </c>
      <c r="R396" s="26"/>
      <c r="S396" s="28">
        <v>42036</v>
      </c>
      <c r="T396" s="29">
        <v>1.33</v>
      </c>
    </row>
    <row r="397" spans="1:20" s="7" customFormat="1" hidden="1" outlineLevel="3" x14ac:dyDescent="0.2">
      <c r="A397" s="7" t="s">
        <v>92</v>
      </c>
      <c r="C397" s="7" t="str">
        <f t="shared" ref="C397:C402" si="58">+C396</f>
        <v>Randy</v>
      </c>
      <c r="D397" s="7" t="str">
        <f>+D396</f>
        <v>Reeves</v>
      </c>
      <c r="E397" s="8" t="str">
        <f>E396</f>
        <v>ADMN</v>
      </c>
      <c r="G397" s="8" t="str">
        <f>G396</f>
        <v>REEV0001</v>
      </c>
      <c r="H397" s="26"/>
      <c r="I397" s="26"/>
      <c r="J397" s="26"/>
      <c r="K397" s="28">
        <f>+K396</f>
        <v>42036</v>
      </c>
      <c r="L397" s="26" t="str">
        <f>L396</f>
        <v>10398</v>
      </c>
      <c r="M397" s="26"/>
      <c r="N397" s="26"/>
      <c r="O397" s="26" t="str">
        <f>"""GP Direct"",""Fabrikam, Inc."",""UPR30300"",""PAYRATE"",""0.00000"",""PAYROLCD"",""401K"",""STATECD"","""",""CHEKDATE"",""2/1/2015"",""UPRTRXAM"",""26.56000"""</f>
        <v>"GP Direct","Fabrikam, Inc.","UPR30300","PAYRATE","0.00000","PAYROLCD","401K","STATECD","","CHEKDATE","2/1/2015","UPRTRXAM","26.56000"</v>
      </c>
      <c r="P397" s="29">
        <v>0</v>
      </c>
      <c r="Q397" s="26" t="str">
        <f>"401K"</f>
        <v>401K</v>
      </c>
      <c r="R397" s="26"/>
      <c r="S397" s="28">
        <v>42036</v>
      </c>
      <c r="T397" s="29">
        <v>26.56</v>
      </c>
    </row>
    <row r="398" spans="1:20" s="7" customFormat="1" hidden="1" outlineLevel="3" x14ac:dyDescent="0.2">
      <c r="A398" s="7" t="s">
        <v>92</v>
      </c>
      <c r="C398" s="7" t="str">
        <f t="shared" si="58"/>
        <v>Randy</v>
      </c>
      <c r="D398" s="7" t="str">
        <f>+D397</f>
        <v>Reeves</v>
      </c>
      <c r="E398" s="8" t="str">
        <f>E397</f>
        <v>ADMN</v>
      </c>
      <c r="G398" s="8" t="str">
        <f>G397</f>
        <v>REEV0001</v>
      </c>
      <c r="H398" s="26"/>
      <c r="I398" s="26"/>
      <c r="J398" s="26"/>
      <c r="K398" s="28">
        <f>+K397</f>
        <v>42036</v>
      </c>
      <c r="L398" s="26" t="str">
        <f>L397</f>
        <v>10398</v>
      </c>
      <c r="M398" s="26"/>
      <c r="N398" s="26"/>
      <c r="O398" s="26" t="str">
        <f>"""GP Direct"",""Fabrikam, Inc."",""UPR30300"",""PAYRATE"",""0.00000"",""PAYROLCD"",""HOLI"",""STATECD"",""IL"",""CHEKDATE"",""2/1/2015"",""UPRTRXAM"",""0.00000"""</f>
        <v>"GP Direct","Fabrikam, Inc.","UPR30300","PAYRATE","0.00000","PAYROLCD","HOLI","STATECD","IL","CHEKDATE","2/1/2015","UPRTRXAM","0.00000"</v>
      </c>
      <c r="P398" s="29">
        <v>0</v>
      </c>
      <c r="Q398" s="26" t="str">
        <f>"HOLI"</f>
        <v>HOLI</v>
      </c>
      <c r="R398" s="26" t="str">
        <f>"IL"</f>
        <v>IL</v>
      </c>
      <c r="S398" s="28">
        <v>42036</v>
      </c>
      <c r="T398" s="29">
        <v>0</v>
      </c>
    </row>
    <row r="399" spans="1:20" s="7" customFormat="1" hidden="1" outlineLevel="3" x14ac:dyDescent="0.2">
      <c r="A399" s="7" t="s">
        <v>92</v>
      </c>
      <c r="C399" s="7" t="str">
        <f t="shared" si="58"/>
        <v>Randy</v>
      </c>
      <c r="D399" s="7" t="str">
        <f>+D398</f>
        <v>Reeves</v>
      </c>
      <c r="E399" s="8" t="str">
        <f>E398</f>
        <v>ADMN</v>
      </c>
      <c r="G399" s="8" t="str">
        <f>G398</f>
        <v>REEV0001</v>
      </c>
      <c r="H399" s="26"/>
      <c r="I399" s="26"/>
      <c r="J399" s="26"/>
      <c r="K399" s="28">
        <f>+K398</f>
        <v>42036</v>
      </c>
      <c r="L399" s="26" t="str">
        <f>L398</f>
        <v>10398</v>
      </c>
      <c r="M399" s="26"/>
      <c r="N399" s="26"/>
      <c r="O399" s="26" t="str">
        <f>"""GP Direct"",""Fabrikam, Inc."",""UPR30300"",""PAYRATE"",""0.00000"",""PAYROLCD"",""IL"",""STATECD"","""",""CHEKDATE"",""2/1/2015"",""UPRTRXAM"",""24.36000"""</f>
        <v>"GP Direct","Fabrikam, Inc.","UPR30300","PAYRATE","0.00000","PAYROLCD","IL","STATECD","","CHEKDATE","2/1/2015","UPRTRXAM","24.36000"</v>
      </c>
      <c r="P399" s="29">
        <v>0</v>
      </c>
      <c r="Q399" s="26" t="str">
        <f>"IL"</f>
        <v>IL</v>
      </c>
      <c r="R399" s="26"/>
      <c r="S399" s="28">
        <v>42036</v>
      </c>
      <c r="T399" s="29">
        <v>24.36</v>
      </c>
    </row>
    <row r="400" spans="1:20" s="7" customFormat="1" hidden="1" outlineLevel="3" x14ac:dyDescent="0.2">
      <c r="A400" s="7" t="s">
        <v>92</v>
      </c>
      <c r="C400" s="7" t="str">
        <f t="shared" si="58"/>
        <v>Randy</v>
      </c>
      <c r="D400" s="7" t="str">
        <f>+D399</f>
        <v>Reeves</v>
      </c>
      <c r="E400" s="8" t="str">
        <f>E399</f>
        <v>ADMN</v>
      </c>
      <c r="G400" s="8" t="str">
        <f>G399</f>
        <v>REEV0001</v>
      </c>
      <c r="H400" s="26"/>
      <c r="I400" s="26"/>
      <c r="J400" s="26"/>
      <c r="K400" s="28">
        <f>+K399</f>
        <v>42036</v>
      </c>
      <c r="L400" s="26" t="str">
        <f>L399</f>
        <v>10398</v>
      </c>
      <c r="M400" s="26"/>
      <c r="N400" s="26"/>
      <c r="O400" s="26" t="str">
        <f>"""GP Direct"",""Fabrikam, Inc."",""UPR30300"",""PAYRATE"",""0.00000"",""PAYROLCD"",""INS"",""STATECD"","""",""CHEKDATE"",""2/1/2015"",""UPRTRXAM"",""49.36000"""</f>
        <v>"GP Direct","Fabrikam, Inc.","UPR30300","PAYRATE","0.00000","PAYROLCD","INS","STATECD","","CHEKDATE","2/1/2015","UPRTRXAM","49.36000"</v>
      </c>
      <c r="P400" s="29">
        <v>0</v>
      </c>
      <c r="Q400" s="26" t="str">
        <f>"INS"</f>
        <v>INS</v>
      </c>
      <c r="R400" s="26"/>
      <c r="S400" s="28">
        <v>42036</v>
      </c>
      <c r="T400" s="29">
        <v>49.36</v>
      </c>
    </row>
    <row r="401" spans="1:20" s="7" customFormat="1" hidden="1" outlineLevel="3" x14ac:dyDescent="0.2">
      <c r="A401" s="7" t="s">
        <v>92</v>
      </c>
      <c r="C401" s="7" t="str">
        <f t="shared" si="58"/>
        <v>Randy</v>
      </c>
      <c r="D401" s="7" t="str">
        <f>+D400</f>
        <v>Reeves</v>
      </c>
      <c r="E401" s="8" t="str">
        <f>E400</f>
        <v>ADMN</v>
      </c>
      <c r="G401" s="8" t="str">
        <f>G400</f>
        <v>REEV0001</v>
      </c>
      <c r="H401" s="26"/>
      <c r="I401" s="26"/>
      <c r="J401" s="26"/>
      <c r="K401" s="28">
        <f>+K400</f>
        <v>42036</v>
      </c>
      <c r="L401" s="26" t="str">
        <f>L400</f>
        <v>10398</v>
      </c>
      <c r="M401" s="26"/>
      <c r="N401" s="26"/>
      <c r="O401" s="26" t="str">
        <f>"""GP Direct"",""Fabrikam, Inc."",""UPR30300"",""PAYRATE"",""0.00000"",""PAYROLCD"",""MED"",""STATECD"","""",""CHEKDATE"",""2/1/2015"",""UPRTRXAM"",""5.00000"""</f>
        <v>"GP Direct","Fabrikam, Inc.","UPR30300","PAYRATE","0.00000","PAYROLCD","MED","STATECD","","CHEKDATE","2/1/2015","UPRTRXAM","5.00000"</v>
      </c>
      <c r="P401" s="29">
        <v>0</v>
      </c>
      <c r="Q401" s="26" t="str">
        <f>"MED"</f>
        <v>MED</v>
      </c>
      <c r="R401" s="26"/>
      <c r="S401" s="28">
        <v>42036</v>
      </c>
      <c r="T401" s="29">
        <v>5</v>
      </c>
    </row>
    <row r="402" spans="1:20" s="7" customFormat="1" hidden="1" outlineLevel="3" x14ac:dyDescent="0.2">
      <c r="A402" s="7" t="s">
        <v>92</v>
      </c>
      <c r="C402" s="7" t="str">
        <f t="shared" si="58"/>
        <v>Randy</v>
      </c>
      <c r="D402" s="7" t="str">
        <f>+D401</f>
        <v>Reeves</v>
      </c>
      <c r="E402" s="8" t="str">
        <f>E401</f>
        <v>ADMN</v>
      </c>
      <c r="G402" s="8" t="str">
        <f>G401</f>
        <v>REEV0001</v>
      </c>
      <c r="H402" s="26"/>
      <c r="I402" s="26"/>
      <c r="J402" s="26"/>
      <c r="K402" s="28">
        <f>+K401</f>
        <v>42036</v>
      </c>
      <c r="L402" s="26" t="str">
        <f>L401</f>
        <v>10398</v>
      </c>
      <c r="M402" s="26"/>
      <c r="N402" s="26"/>
      <c r="O402" s="26" t="str">
        <f>"""GP Direct"",""Fabrikam, Inc."",""UPR30300"",""PAYRATE"",""12.52742"",""PAYROLCD"",""SALY"",""STATECD"",""IL"",""CHEKDATE"",""2/1/2015"",""UPRTRXAM"",""885.27000"""</f>
        <v>"GP Direct","Fabrikam, Inc.","UPR30300","PAYRATE","12.52742","PAYROLCD","SALY","STATECD","IL","CHEKDATE","2/1/2015","UPRTRXAM","885.27000"</v>
      </c>
      <c r="P402" s="29">
        <v>12.5274</v>
      </c>
      <c r="Q402" s="26" t="str">
        <f>"SALY"</f>
        <v>SALY</v>
      </c>
      <c r="R402" s="26" t="str">
        <f>"IL"</f>
        <v>IL</v>
      </c>
      <c r="S402" s="28">
        <v>42036</v>
      </c>
      <c r="T402" s="29">
        <v>885.27</v>
      </c>
    </row>
    <row r="403" spans="1:20" s="7" customFormat="1" hidden="1" outlineLevel="3" x14ac:dyDescent="0.2">
      <c r="A403" s="7" t="s">
        <v>92</v>
      </c>
      <c r="C403" s="7" t="str">
        <f>+C396</f>
        <v>Randy</v>
      </c>
      <c r="D403" s="7" t="str">
        <f>+D396</f>
        <v>Reeves</v>
      </c>
      <c r="E403" s="8" t="str">
        <f>E396</f>
        <v>ADMN</v>
      </c>
      <c r="G403" s="8" t="str">
        <f>G396</f>
        <v>REEV0001</v>
      </c>
      <c r="K403" s="12">
        <f>+K396</f>
        <v>42036</v>
      </c>
      <c r="L403" s="8" t="str">
        <f>L396</f>
        <v>10398</v>
      </c>
      <c r="O403" s="8"/>
      <c r="T403" s="20"/>
    </row>
    <row r="404" spans="1:20" s="7" customFormat="1" hidden="1" outlineLevel="2" collapsed="1" x14ac:dyDescent="0.2">
      <c r="A404" s="7" t="s">
        <v>92</v>
      </c>
      <c r="C404" s="7" t="str">
        <f t="shared" si="57"/>
        <v>Randy</v>
      </c>
      <c r="D404" s="7" t="str">
        <f>+D403</f>
        <v>Reeves</v>
      </c>
      <c r="E404" s="8" t="str">
        <f>E403</f>
        <v>ADMN</v>
      </c>
      <c r="G404" s="8" t="str">
        <f>G403</f>
        <v>REEV0001</v>
      </c>
      <c r="K404" s="12">
        <f>+K403</f>
        <v>42036</v>
      </c>
      <c r="L404" s="8" t="str">
        <f>L403</f>
        <v>10398</v>
      </c>
      <c r="M404" s="33" t="str">
        <f>"Total for " &amp; $L404</f>
        <v>Total for 10398</v>
      </c>
      <c r="N404" s="34">
        <f>+K404</f>
        <v>42036</v>
      </c>
      <c r="O404" s="35"/>
      <c r="P404" s="33"/>
      <c r="Q404" s="33"/>
      <c r="R404" s="33"/>
      <c r="S404" s="33"/>
      <c r="T404" s="36">
        <f>SUBTOTAL(9,T396:T403)</f>
        <v>991.88</v>
      </c>
    </row>
    <row r="405" spans="1:20" s="7" customFormat="1" hidden="1" outlineLevel="3" x14ac:dyDescent="0.2">
      <c r="A405" s="7" t="s">
        <v>92</v>
      </c>
      <c r="C405" s="7" t="str">
        <f t="shared" si="57"/>
        <v>Randy</v>
      </c>
      <c r="D405" s="7" t="str">
        <f>+D404</f>
        <v>Reeves</v>
      </c>
      <c r="E405" s="8" t="str">
        <f>E404</f>
        <v>ADMN</v>
      </c>
      <c r="G405" s="8" t="str">
        <f>G404</f>
        <v>REEV0001</v>
      </c>
      <c r="H405" s="26"/>
      <c r="I405" s="26"/>
      <c r="J405" s="26"/>
      <c r="K405" s="28">
        <f>+N405</f>
        <v>42064</v>
      </c>
      <c r="L405" s="26" t="str">
        <f>M405</f>
        <v>10423</v>
      </c>
      <c r="M405" s="26" t="str">
        <f>"10423"</f>
        <v>10423</v>
      </c>
      <c r="N405" s="28">
        <v>42064</v>
      </c>
      <c r="O405" s="26"/>
      <c r="P405" s="26"/>
      <c r="Q405" s="26"/>
      <c r="R405" s="26"/>
      <c r="S405" s="26"/>
      <c r="T405" s="27"/>
    </row>
    <row r="406" spans="1:20" s="7" customFormat="1" hidden="1" outlineLevel="3" x14ac:dyDescent="0.2">
      <c r="A406" s="7" t="s">
        <v>92</v>
      </c>
      <c r="C406" s="7" t="str">
        <f t="shared" si="57"/>
        <v>Randy</v>
      </c>
      <c r="D406" s="7" t="str">
        <f>+D405</f>
        <v>Reeves</v>
      </c>
      <c r="E406" s="8" t="str">
        <f>E405</f>
        <v>ADMN</v>
      </c>
      <c r="G406" s="8" t="str">
        <f>G405</f>
        <v>REEV0001</v>
      </c>
      <c r="H406" s="26"/>
      <c r="I406" s="26"/>
      <c r="J406" s="26"/>
      <c r="K406" s="28">
        <f>+K405</f>
        <v>42064</v>
      </c>
      <c r="L406" s="26" t="str">
        <f>L405</f>
        <v>10423</v>
      </c>
      <c r="M406" s="26"/>
      <c r="N406" s="26"/>
      <c r="O406" s="26" t="str">
        <f>"""GP Direct"",""Fabrikam, Inc."",""UPR30300"",""PAYRATE"",""0.00000"",""PAYROLCD"",""401K"",""STATECD"","""",""CHEKDATE"",""3/1/2015"",""UPRTRXAM"",""1.63000"""</f>
        <v>"GP Direct","Fabrikam, Inc.","UPR30300","PAYRATE","0.00000","PAYROLCD","401K","STATECD","","CHEKDATE","3/1/2015","UPRTRXAM","1.63000"</v>
      </c>
      <c r="P406" s="29">
        <v>0</v>
      </c>
      <c r="Q406" s="26" t="str">
        <f>"401K"</f>
        <v>401K</v>
      </c>
      <c r="R406" s="26"/>
      <c r="S406" s="28">
        <v>42064</v>
      </c>
      <c r="T406" s="29">
        <v>1.63</v>
      </c>
    </row>
    <row r="407" spans="1:20" s="7" customFormat="1" hidden="1" outlineLevel="3" x14ac:dyDescent="0.2">
      <c r="A407" s="7" t="s">
        <v>92</v>
      </c>
      <c r="C407" s="7" t="str">
        <f t="shared" ref="C407:C411" si="59">+C406</f>
        <v>Randy</v>
      </c>
      <c r="D407" s="7" t="str">
        <f>+D406</f>
        <v>Reeves</v>
      </c>
      <c r="E407" s="8" t="str">
        <f>E406</f>
        <v>ADMN</v>
      </c>
      <c r="G407" s="8" t="str">
        <f>G406</f>
        <v>REEV0001</v>
      </c>
      <c r="H407" s="26"/>
      <c r="I407" s="26"/>
      <c r="J407" s="26"/>
      <c r="K407" s="28">
        <f>+K406</f>
        <v>42064</v>
      </c>
      <c r="L407" s="26" t="str">
        <f>L406</f>
        <v>10423</v>
      </c>
      <c r="M407" s="26"/>
      <c r="N407" s="26"/>
      <c r="O407" s="26" t="str">
        <f>"""GP Direct"",""Fabrikam, Inc."",""UPR30300"",""PAYRATE"",""0.00000"",""PAYROLCD"",""401K"",""STATECD"","""",""CHEKDATE"",""3/1/2015"",""UPRTRXAM"",""32.57000"""</f>
        <v>"GP Direct","Fabrikam, Inc.","UPR30300","PAYRATE","0.00000","PAYROLCD","401K","STATECD","","CHEKDATE","3/1/2015","UPRTRXAM","32.57000"</v>
      </c>
      <c r="P407" s="29">
        <v>0</v>
      </c>
      <c r="Q407" s="26" t="str">
        <f>"401K"</f>
        <v>401K</v>
      </c>
      <c r="R407" s="26"/>
      <c r="S407" s="28">
        <v>42064</v>
      </c>
      <c r="T407" s="29">
        <v>32.57</v>
      </c>
    </row>
    <row r="408" spans="1:20" s="7" customFormat="1" hidden="1" outlineLevel="3" x14ac:dyDescent="0.2">
      <c r="A408" s="7" t="s">
        <v>92</v>
      </c>
      <c r="C408" s="7" t="str">
        <f t="shared" si="59"/>
        <v>Randy</v>
      </c>
      <c r="D408" s="7" t="str">
        <f>+D407</f>
        <v>Reeves</v>
      </c>
      <c r="E408" s="8" t="str">
        <f>E407</f>
        <v>ADMN</v>
      </c>
      <c r="G408" s="8" t="str">
        <f>G407</f>
        <v>REEV0001</v>
      </c>
      <c r="H408" s="26"/>
      <c r="I408" s="26"/>
      <c r="J408" s="26"/>
      <c r="K408" s="28">
        <f>+K407</f>
        <v>42064</v>
      </c>
      <c r="L408" s="26" t="str">
        <f>L407</f>
        <v>10423</v>
      </c>
      <c r="M408" s="26"/>
      <c r="N408" s="26"/>
      <c r="O408" s="26" t="str">
        <f>"""GP Direct"",""Fabrikam, Inc."",""UPR30300"",""PAYRATE"",""0.00000"",""PAYROLCD"",""IL"",""STATECD"","""",""CHEKDATE"",""3/1/2015"",""UPRTRXAM"",""30.19000"""</f>
        <v>"GP Direct","Fabrikam, Inc.","UPR30300","PAYRATE","0.00000","PAYROLCD","IL","STATECD","","CHEKDATE","3/1/2015","UPRTRXAM","30.19000"</v>
      </c>
      <c r="P408" s="29">
        <v>0</v>
      </c>
      <c r="Q408" s="26" t="str">
        <f>"IL"</f>
        <v>IL</v>
      </c>
      <c r="R408" s="26"/>
      <c r="S408" s="28">
        <v>42064</v>
      </c>
      <c r="T408" s="29">
        <v>30.19</v>
      </c>
    </row>
    <row r="409" spans="1:20" s="7" customFormat="1" hidden="1" outlineLevel="3" x14ac:dyDescent="0.2">
      <c r="A409" s="7" t="s">
        <v>92</v>
      </c>
      <c r="C409" s="7" t="str">
        <f t="shared" si="59"/>
        <v>Randy</v>
      </c>
      <c r="D409" s="7" t="str">
        <f>+D408</f>
        <v>Reeves</v>
      </c>
      <c r="E409" s="8" t="str">
        <f>E408</f>
        <v>ADMN</v>
      </c>
      <c r="G409" s="8" t="str">
        <f>G408</f>
        <v>REEV0001</v>
      </c>
      <c r="H409" s="26"/>
      <c r="I409" s="26"/>
      <c r="J409" s="26"/>
      <c r="K409" s="28">
        <f>+K408</f>
        <v>42064</v>
      </c>
      <c r="L409" s="26" t="str">
        <f>L408</f>
        <v>10423</v>
      </c>
      <c r="M409" s="26"/>
      <c r="N409" s="26"/>
      <c r="O409" s="26" t="str">
        <f>"""GP Direct"",""Fabrikam, Inc."",""UPR30300"",""PAYRATE"",""0.00000"",""PAYROLCD"",""INS"",""STATECD"","""",""CHEKDATE"",""3/1/2015"",""UPRTRXAM"",""49.36000"""</f>
        <v>"GP Direct","Fabrikam, Inc.","UPR30300","PAYRATE","0.00000","PAYROLCD","INS","STATECD","","CHEKDATE","3/1/2015","UPRTRXAM","49.36000"</v>
      </c>
      <c r="P409" s="29">
        <v>0</v>
      </c>
      <c r="Q409" s="26" t="str">
        <f>"INS"</f>
        <v>INS</v>
      </c>
      <c r="R409" s="26"/>
      <c r="S409" s="28">
        <v>42064</v>
      </c>
      <c r="T409" s="29">
        <v>49.36</v>
      </c>
    </row>
    <row r="410" spans="1:20" s="7" customFormat="1" hidden="1" outlineLevel="3" x14ac:dyDescent="0.2">
      <c r="A410" s="7" t="s">
        <v>92</v>
      </c>
      <c r="C410" s="7" t="str">
        <f t="shared" si="59"/>
        <v>Randy</v>
      </c>
      <c r="D410" s="7" t="str">
        <f>+D409</f>
        <v>Reeves</v>
      </c>
      <c r="E410" s="8" t="str">
        <f>E409</f>
        <v>ADMN</v>
      </c>
      <c r="G410" s="8" t="str">
        <f>G409</f>
        <v>REEV0001</v>
      </c>
      <c r="H410" s="26"/>
      <c r="I410" s="26"/>
      <c r="J410" s="26"/>
      <c r="K410" s="28">
        <f>+K409</f>
        <v>42064</v>
      </c>
      <c r="L410" s="26" t="str">
        <f>L409</f>
        <v>10423</v>
      </c>
      <c r="M410" s="26"/>
      <c r="N410" s="26"/>
      <c r="O410" s="26" t="str">
        <f>"""GP Direct"",""Fabrikam, Inc."",""UPR30300"",""PAYRATE"",""0.00000"",""PAYROLCD"",""MED"",""STATECD"","""",""CHEKDATE"",""3/1/2015"",""UPRTRXAM"",""5.00000"""</f>
        <v>"GP Direct","Fabrikam, Inc.","UPR30300","PAYRATE","0.00000","PAYROLCD","MED","STATECD","","CHEKDATE","3/1/2015","UPRTRXAM","5.00000"</v>
      </c>
      <c r="P410" s="29">
        <v>0</v>
      </c>
      <c r="Q410" s="26" t="str">
        <f>"MED"</f>
        <v>MED</v>
      </c>
      <c r="R410" s="26"/>
      <c r="S410" s="28">
        <v>42064</v>
      </c>
      <c r="T410" s="29">
        <v>5</v>
      </c>
    </row>
    <row r="411" spans="1:20" s="7" customFormat="1" hidden="1" outlineLevel="3" x14ac:dyDescent="0.2">
      <c r="A411" s="7" t="s">
        <v>92</v>
      </c>
      <c r="C411" s="7" t="str">
        <f t="shared" si="59"/>
        <v>Randy</v>
      </c>
      <c r="D411" s="7" t="str">
        <f>+D410</f>
        <v>Reeves</v>
      </c>
      <c r="E411" s="8" t="str">
        <f>E410</f>
        <v>ADMN</v>
      </c>
      <c r="G411" s="8" t="str">
        <f>G410</f>
        <v>REEV0001</v>
      </c>
      <c r="H411" s="26"/>
      <c r="I411" s="26"/>
      <c r="J411" s="26"/>
      <c r="K411" s="28">
        <f>+K410</f>
        <v>42064</v>
      </c>
      <c r="L411" s="26" t="str">
        <f>L410</f>
        <v>10423</v>
      </c>
      <c r="M411" s="26"/>
      <c r="N411" s="26"/>
      <c r="O411" s="26" t="str">
        <f>"""GP Direct"",""Fabrikam, Inc."",""UPR30300"",""PAYRATE"",""26057.00000"",""PAYROLCD"",""SALY"",""STATECD"",""IL"",""CHEKDATE"",""3/1/2015"",""UPRTRXAM"",""1085.71000"""</f>
        <v>"GP Direct","Fabrikam, Inc.","UPR30300","PAYRATE","26057.00000","PAYROLCD","SALY","STATECD","IL","CHEKDATE","3/1/2015","UPRTRXAM","1085.71000"</v>
      </c>
      <c r="P411" s="29">
        <v>26057</v>
      </c>
      <c r="Q411" s="26" t="str">
        <f>"SALY"</f>
        <v>SALY</v>
      </c>
      <c r="R411" s="26" t="str">
        <f>"IL"</f>
        <v>IL</v>
      </c>
      <c r="S411" s="28">
        <v>42064</v>
      </c>
      <c r="T411" s="29">
        <v>1085.71</v>
      </c>
    </row>
    <row r="412" spans="1:20" s="7" customFormat="1" hidden="1" outlineLevel="3" x14ac:dyDescent="0.2">
      <c r="A412" s="7" t="s">
        <v>92</v>
      </c>
      <c r="C412" s="7" t="str">
        <f>+C406</f>
        <v>Randy</v>
      </c>
      <c r="D412" s="7" t="str">
        <f>+D406</f>
        <v>Reeves</v>
      </c>
      <c r="E412" s="8" t="str">
        <f>E406</f>
        <v>ADMN</v>
      </c>
      <c r="G412" s="8" t="str">
        <f>G406</f>
        <v>REEV0001</v>
      </c>
      <c r="K412" s="12">
        <f>+K406</f>
        <v>42064</v>
      </c>
      <c r="L412" s="8" t="str">
        <f>L406</f>
        <v>10423</v>
      </c>
      <c r="O412" s="8"/>
      <c r="T412" s="20"/>
    </row>
    <row r="413" spans="1:20" s="7" customFormat="1" hidden="1" outlineLevel="2" collapsed="1" x14ac:dyDescent="0.2">
      <c r="A413" s="7" t="s">
        <v>92</v>
      </c>
      <c r="C413" s="7" t="str">
        <f t="shared" si="57"/>
        <v>Randy</v>
      </c>
      <c r="D413" s="7" t="str">
        <f>+D412</f>
        <v>Reeves</v>
      </c>
      <c r="E413" s="8" t="str">
        <f>E412</f>
        <v>ADMN</v>
      </c>
      <c r="G413" s="8" t="str">
        <f>G412</f>
        <v>REEV0001</v>
      </c>
      <c r="K413" s="12">
        <f>+K412</f>
        <v>42064</v>
      </c>
      <c r="L413" s="8" t="str">
        <f>L412</f>
        <v>10423</v>
      </c>
      <c r="M413" s="33" t="str">
        <f>"Total for " &amp; $L413</f>
        <v>Total for 10423</v>
      </c>
      <c r="N413" s="34">
        <f>+K413</f>
        <v>42064</v>
      </c>
      <c r="O413" s="35"/>
      <c r="P413" s="33"/>
      <c r="Q413" s="33"/>
      <c r="R413" s="33"/>
      <c r="S413" s="33"/>
      <c r="T413" s="36">
        <f>SUBTOTAL(9,T406:T412)</f>
        <v>1204.46</v>
      </c>
    </row>
    <row r="414" spans="1:20" s="7" customFormat="1" hidden="1" outlineLevel="3" x14ac:dyDescent="0.2">
      <c r="A414" s="7" t="s">
        <v>92</v>
      </c>
      <c r="C414" s="7" t="str">
        <f t="shared" si="57"/>
        <v>Randy</v>
      </c>
      <c r="D414" s="7" t="str">
        <f>+D413</f>
        <v>Reeves</v>
      </c>
      <c r="E414" s="8" t="str">
        <f>E413</f>
        <v>ADMN</v>
      </c>
      <c r="G414" s="8" t="str">
        <f>G413</f>
        <v>REEV0001</v>
      </c>
      <c r="H414" s="26"/>
      <c r="I414" s="26"/>
      <c r="J414" s="26"/>
      <c r="K414" s="28">
        <f>+N414</f>
        <v>42095</v>
      </c>
      <c r="L414" s="26" t="str">
        <f>M414</f>
        <v>10448</v>
      </c>
      <c r="M414" s="26" t="str">
        <f>"10448"</f>
        <v>10448</v>
      </c>
      <c r="N414" s="28">
        <v>42095</v>
      </c>
      <c r="O414" s="26"/>
      <c r="P414" s="26"/>
      <c r="Q414" s="26"/>
      <c r="R414" s="26"/>
      <c r="S414" s="26"/>
      <c r="T414" s="27"/>
    </row>
    <row r="415" spans="1:20" s="7" customFormat="1" hidden="1" outlineLevel="3" x14ac:dyDescent="0.2">
      <c r="A415" s="7" t="s">
        <v>92</v>
      </c>
      <c r="C415" s="7" t="str">
        <f t="shared" si="57"/>
        <v>Randy</v>
      </c>
      <c r="D415" s="7" t="str">
        <f>+D414</f>
        <v>Reeves</v>
      </c>
      <c r="E415" s="8" t="str">
        <f>E414</f>
        <v>ADMN</v>
      </c>
      <c r="G415" s="8" t="str">
        <f>G414</f>
        <v>REEV0001</v>
      </c>
      <c r="H415" s="26"/>
      <c r="I415" s="26"/>
      <c r="J415" s="26"/>
      <c r="K415" s="28">
        <f>+K414</f>
        <v>42095</v>
      </c>
      <c r="L415" s="26" t="str">
        <f>L414</f>
        <v>10448</v>
      </c>
      <c r="M415" s="26"/>
      <c r="N415" s="26"/>
      <c r="O415" s="26" t="str">
        <f>"""GP Direct"",""Fabrikam, Inc."",""UPR30300"",""PAYRATE"",""0.00000"",""PAYROLCD"",""401K"",""STATECD"","""",""CHEKDATE"",""4/1/2015"",""UPRTRXAM"",""1.63000"""</f>
        <v>"GP Direct","Fabrikam, Inc.","UPR30300","PAYRATE","0.00000","PAYROLCD","401K","STATECD","","CHEKDATE","4/1/2015","UPRTRXAM","1.63000"</v>
      </c>
      <c r="P415" s="29">
        <v>0</v>
      </c>
      <c r="Q415" s="26" t="str">
        <f>"401K"</f>
        <v>401K</v>
      </c>
      <c r="R415" s="26"/>
      <c r="S415" s="28">
        <v>42095</v>
      </c>
      <c r="T415" s="29">
        <v>1.63</v>
      </c>
    </row>
    <row r="416" spans="1:20" s="7" customFormat="1" hidden="1" outlineLevel="3" x14ac:dyDescent="0.2">
      <c r="A416" s="7" t="s">
        <v>92</v>
      </c>
      <c r="C416" s="7" t="str">
        <f t="shared" ref="C416:C420" si="60">+C415</f>
        <v>Randy</v>
      </c>
      <c r="D416" s="7" t="str">
        <f>+D415</f>
        <v>Reeves</v>
      </c>
      <c r="E416" s="8" t="str">
        <f>E415</f>
        <v>ADMN</v>
      </c>
      <c r="G416" s="8" t="str">
        <f>G415</f>
        <v>REEV0001</v>
      </c>
      <c r="H416" s="26"/>
      <c r="I416" s="26"/>
      <c r="J416" s="26"/>
      <c r="K416" s="28">
        <f>+K415</f>
        <v>42095</v>
      </c>
      <c r="L416" s="26" t="str">
        <f>L415</f>
        <v>10448</v>
      </c>
      <c r="M416" s="26"/>
      <c r="N416" s="26"/>
      <c r="O416" s="26" t="str">
        <f>"""GP Direct"",""Fabrikam, Inc."",""UPR30300"",""PAYRATE"",""0.00000"",""PAYROLCD"",""401K"",""STATECD"","""",""CHEKDATE"",""4/1/2015"",""UPRTRXAM"",""32.57000"""</f>
        <v>"GP Direct","Fabrikam, Inc.","UPR30300","PAYRATE","0.00000","PAYROLCD","401K","STATECD","","CHEKDATE","4/1/2015","UPRTRXAM","32.57000"</v>
      </c>
      <c r="P416" s="29">
        <v>0</v>
      </c>
      <c r="Q416" s="26" t="str">
        <f>"401K"</f>
        <v>401K</v>
      </c>
      <c r="R416" s="26"/>
      <c r="S416" s="28">
        <v>42095</v>
      </c>
      <c r="T416" s="29">
        <v>32.57</v>
      </c>
    </row>
    <row r="417" spans="1:20" s="7" customFormat="1" hidden="1" outlineLevel="3" x14ac:dyDescent="0.2">
      <c r="A417" s="7" t="s">
        <v>92</v>
      </c>
      <c r="C417" s="7" t="str">
        <f t="shared" si="60"/>
        <v>Randy</v>
      </c>
      <c r="D417" s="7" t="str">
        <f>+D416</f>
        <v>Reeves</v>
      </c>
      <c r="E417" s="8" t="str">
        <f>E416</f>
        <v>ADMN</v>
      </c>
      <c r="G417" s="8" t="str">
        <f>G416</f>
        <v>REEV0001</v>
      </c>
      <c r="H417" s="26"/>
      <c r="I417" s="26"/>
      <c r="J417" s="26"/>
      <c r="K417" s="28">
        <f>+K416</f>
        <v>42095</v>
      </c>
      <c r="L417" s="26" t="str">
        <f>L416</f>
        <v>10448</v>
      </c>
      <c r="M417" s="26"/>
      <c r="N417" s="26"/>
      <c r="O417" s="26" t="str">
        <f>"""GP Direct"",""Fabrikam, Inc."",""UPR30300"",""PAYRATE"",""0.00000"",""PAYROLCD"",""IL"",""STATECD"","""",""CHEKDATE"",""4/1/2015"",""UPRTRXAM"",""30.19000"""</f>
        <v>"GP Direct","Fabrikam, Inc.","UPR30300","PAYRATE","0.00000","PAYROLCD","IL","STATECD","","CHEKDATE","4/1/2015","UPRTRXAM","30.19000"</v>
      </c>
      <c r="P417" s="29">
        <v>0</v>
      </c>
      <c r="Q417" s="26" t="str">
        <f>"IL"</f>
        <v>IL</v>
      </c>
      <c r="R417" s="26"/>
      <c r="S417" s="28">
        <v>42095</v>
      </c>
      <c r="T417" s="29">
        <v>30.19</v>
      </c>
    </row>
    <row r="418" spans="1:20" s="7" customFormat="1" hidden="1" outlineLevel="3" x14ac:dyDescent="0.2">
      <c r="A418" s="7" t="s">
        <v>92</v>
      </c>
      <c r="C418" s="7" t="str">
        <f t="shared" si="60"/>
        <v>Randy</v>
      </c>
      <c r="D418" s="7" t="str">
        <f>+D417</f>
        <v>Reeves</v>
      </c>
      <c r="E418" s="8" t="str">
        <f>E417</f>
        <v>ADMN</v>
      </c>
      <c r="G418" s="8" t="str">
        <f>G417</f>
        <v>REEV0001</v>
      </c>
      <c r="H418" s="26"/>
      <c r="I418" s="26"/>
      <c r="J418" s="26"/>
      <c r="K418" s="28">
        <f>+K417</f>
        <v>42095</v>
      </c>
      <c r="L418" s="26" t="str">
        <f>L417</f>
        <v>10448</v>
      </c>
      <c r="M418" s="26"/>
      <c r="N418" s="26"/>
      <c r="O418" s="26" t="str">
        <f>"""GP Direct"",""Fabrikam, Inc."",""UPR30300"",""PAYRATE"",""0.00000"",""PAYROLCD"",""INS"",""STATECD"","""",""CHEKDATE"",""4/1/2015"",""UPRTRXAM"",""49.36000"""</f>
        <v>"GP Direct","Fabrikam, Inc.","UPR30300","PAYRATE","0.00000","PAYROLCD","INS","STATECD","","CHEKDATE","4/1/2015","UPRTRXAM","49.36000"</v>
      </c>
      <c r="P418" s="29">
        <v>0</v>
      </c>
      <c r="Q418" s="26" t="str">
        <f>"INS"</f>
        <v>INS</v>
      </c>
      <c r="R418" s="26"/>
      <c r="S418" s="28">
        <v>42095</v>
      </c>
      <c r="T418" s="29">
        <v>49.36</v>
      </c>
    </row>
    <row r="419" spans="1:20" s="7" customFormat="1" hidden="1" outlineLevel="3" x14ac:dyDescent="0.2">
      <c r="A419" s="7" t="s">
        <v>92</v>
      </c>
      <c r="C419" s="7" t="str">
        <f t="shared" si="60"/>
        <v>Randy</v>
      </c>
      <c r="D419" s="7" t="str">
        <f>+D418</f>
        <v>Reeves</v>
      </c>
      <c r="E419" s="8" t="str">
        <f>E418</f>
        <v>ADMN</v>
      </c>
      <c r="G419" s="8" t="str">
        <f>G418</f>
        <v>REEV0001</v>
      </c>
      <c r="H419" s="26"/>
      <c r="I419" s="26"/>
      <c r="J419" s="26"/>
      <c r="K419" s="28">
        <f>+K418</f>
        <v>42095</v>
      </c>
      <c r="L419" s="26" t="str">
        <f>L418</f>
        <v>10448</v>
      </c>
      <c r="M419" s="26"/>
      <c r="N419" s="26"/>
      <c r="O419" s="26" t="str">
        <f>"""GP Direct"",""Fabrikam, Inc."",""UPR30300"",""PAYRATE"",""0.00000"",""PAYROLCD"",""MED"",""STATECD"","""",""CHEKDATE"",""4/1/2015"",""UPRTRXAM"",""5.00000"""</f>
        <v>"GP Direct","Fabrikam, Inc.","UPR30300","PAYRATE","0.00000","PAYROLCD","MED","STATECD","","CHEKDATE","4/1/2015","UPRTRXAM","5.00000"</v>
      </c>
      <c r="P419" s="29">
        <v>0</v>
      </c>
      <c r="Q419" s="26" t="str">
        <f>"MED"</f>
        <v>MED</v>
      </c>
      <c r="R419" s="26"/>
      <c r="S419" s="28">
        <v>42095</v>
      </c>
      <c r="T419" s="29">
        <v>5</v>
      </c>
    </row>
    <row r="420" spans="1:20" s="7" customFormat="1" hidden="1" outlineLevel="3" x14ac:dyDescent="0.2">
      <c r="A420" s="7" t="s">
        <v>92</v>
      </c>
      <c r="C420" s="7" t="str">
        <f t="shared" si="60"/>
        <v>Randy</v>
      </c>
      <c r="D420" s="7" t="str">
        <f>+D419</f>
        <v>Reeves</v>
      </c>
      <c r="E420" s="8" t="str">
        <f>E419</f>
        <v>ADMN</v>
      </c>
      <c r="G420" s="8" t="str">
        <f>G419</f>
        <v>REEV0001</v>
      </c>
      <c r="H420" s="26"/>
      <c r="I420" s="26"/>
      <c r="J420" s="26"/>
      <c r="K420" s="28">
        <f>+K419</f>
        <v>42095</v>
      </c>
      <c r="L420" s="26" t="str">
        <f>L419</f>
        <v>10448</v>
      </c>
      <c r="M420" s="26"/>
      <c r="N420" s="26"/>
      <c r="O420" s="26" t="str">
        <f>"""GP Direct"",""Fabrikam, Inc."",""UPR30300"",""PAYRATE"",""26057.00000"",""PAYROLCD"",""SALY"",""STATECD"",""IL"",""CHEKDATE"",""4/1/2015"",""UPRTRXAM"",""1085.71000"""</f>
        <v>"GP Direct","Fabrikam, Inc.","UPR30300","PAYRATE","26057.00000","PAYROLCD","SALY","STATECD","IL","CHEKDATE","4/1/2015","UPRTRXAM","1085.71000"</v>
      </c>
      <c r="P420" s="29">
        <v>26057</v>
      </c>
      <c r="Q420" s="26" t="str">
        <f>"SALY"</f>
        <v>SALY</v>
      </c>
      <c r="R420" s="26" t="str">
        <f>"IL"</f>
        <v>IL</v>
      </c>
      <c r="S420" s="28">
        <v>42095</v>
      </c>
      <c r="T420" s="29">
        <v>1085.71</v>
      </c>
    </row>
    <row r="421" spans="1:20" s="7" customFormat="1" hidden="1" outlineLevel="3" x14ac:dyDescent="0.2">
      <c r="A421" s="7" t="s">
        <v>92</v>
      </c>
      <c r="C421" s="7" t="str">
        <f>+C415</f>
        <v>Randy</v>
      </c>
      <c r="D421" s="7" t="str">
        <f>+D415</f>
        <v>Reeves</v>
      </c>
      <c r="E421" s="8" t="str">
        <f>E415</f>
        <v>ADMN</v>
      </c>
      <c r="G421" s="8" t="str">
        <f>G415</f>
        <v>REEV0001</v>
      </c>
      <c r="K421" s="12">
        <f>+K415</f>
        <v>42095</v>
      </c>
      <c r="L421" s="8" t="str">
        <f>L415</f>
        <v>10448</v>
      </c>
      <c r="O421" s="8"/>
      <c r="T421" s="20"/>
    </row>
    <row r="422" spans="1:20" s="7" customFormat="1" hidden="1" outlineLevel="2" collapsed="1" x14ac:dyDescent="0.2">
      <c r="A422" s="7" t="s">
        <v>92</v>
      </c>
      <c r="C422" s="7" t="str">
        <f t="shared" si="57"/>
        <v>Randy</v>
      </c>
      <c r="D422" s="7" t="str">
        <f>+D421</f>
        <v>Reeves</v>
      </c>
      <c r="E422" s="8" t="str">
        <f>E421</f>
        <v>ADMN</v>
      </c>
      <c r="G422" s="8" t="str">
        <f>G421</f>
        <v>REEV0001</v>
      </c>
      <c r="K422" s="12">
        <f>+K421</f>
        <v>42095</v>
      </c>
      <c r="L422" s="8" t="str">
        <f>L421</f>
        <v>10448</v>
      </c>
      <c r="M422" s="33" t="str">
        <f>"Total for " &amp; $L422</f>
        <v>Total for 10448</v>
      </c>
      <c r="N422" s="34">
        <f>+K422</f>
        <v>42095</v>
      </c>
      <c r="O422" s="35"/>
      <c r="P422" s="33"/>
      <c r="Q422" s="33"/>
      <c r="R422" s="33"/>
      <c r="S422" s="33"/>
      <c r="T422" s="36">
        <f>SUBTOTAL(9,T415:T421)</f>
        <v>1204.46</v>
      </c>
    </row>
    <row r="423" spans="1:20" s="7" customFormat="1" hidden="1" outlineLevel="3" x14ac:dyDescent="0.2">
      <c r="A423" s="7" t="s">
        <v>92</v>
      </c>
      <c r="C423" s="7" t="str">
        <f t="shared" si="57"/>
        <v>Randy</v>
      </c>
      <c r="D423" s="7" t="str">
        <f>+D422</f>
        <v>Reeves</v>
      </c>
      <c r="E423" s="8" t="str">
        <f>E422</f>
        <v>ADMN</v>
      </c>
      <c r="G423" s="8" t="str">
        <f>G422</f>
        <v>REEV0001</v>
      </c>
      <c r="H423" s="26"/>
      <c r="I423" s="26"/>
      <c r="J423" s="26"/>
      <c r="K423" s="28">
        <f>+N423</f>
        <v>42125</v>
      </c>
      <c r="L423" s="26" t="str">
        <f>M423</f>
        <v>10473</v>
      </c>
      <c r="M423" s="26" t="str">
        <f>"10473"</f>
        <v>10473</v>
      </c>
      <c r="N423" s="28">
        <v>42125</v>
      </c>
      <c r="O423" s="26"/>
      <c r="P423" s="26"/>
      <c r="Q423" s="26"/>
      <c r="R423" s="26"/>
      <c r="S423" s="26"/>
      <c r="T423" s="27"/>
    </row>
    <row r="424" spans="1:20" s="7" customFormat="1" hidden="1" outlineLevel="3" x14ac:dyDescent="0.2">
      <c r="A424" s="7" t="s">
        <v>92</v>
      </c>
      <c r="C424" s="7" t="str">
        <f t="shared" si="57"/>
        <v>Randy</v>
      </c>
      <c r="D424" s="7" t="str">
        <f>+D423</f>
        <v>Reeves</v>
      </c>
      <c r="E424" s="8" t="str">
        <f>E423</f>
        <v>ADMN</v>
      </c>
      <c r="G424" s="8" t="str">
        <f>G423</f>
        <v>REEV0001</v>
      </c>
      <c r="H424" s="26"/>
      <c r="I424" s="26"/>
      <c r="J424" s="26"/>
      <c r="K424" s="28">
        <f>+K423</f>
        <v>42125</v>
      </c>
      <c r="L424" s="26" t="str">
        <f>L423</f>
        <v>10473</v>
      </c>
      <c r="M424" s="26"/>
      <c r="N424" s="26"/>
      <c r="O424" s="26" t="str">
        <f>"""GP Direct"",""Fabrikam, Inc."",""UPR30300"",""PAYRATE"",""0.00000"",""PAYROLCD"",""401K"",""STATECD"","""",""CHEKDATE"",""5/1/2015"",""UPRTRXAM"",""1.63000"""</f>
        <v>"GP Direct","Fabrikam, Inc.","UPR30300","PAYRATE","0.00000","PAYROLCD","401K","STATECD","","CHEKDATE","5/1/2015","UPRTRXAM","1.63000"</v>
      </c>
      <c r="P424" s="29">
        <v>0</v>
      </c>
      <c r="Q424" s="26" t="str">
        <f>"401K"</f>
        <v>401K</v>
      </c>
      <c r="R424" s="26"/>
      <c r="S424" s="28">
        <v>42125</v>
      </c>
      <c r="T424" s="29">
        <v>1.63</v>
      </c>
    </row>
    <row r="425" spans="1:20" s="7" customFormat="1" hidden="1" outlineLevel="3" x14ac:dyDescent="0.2">
      <c r="A425" s="7" t="s">
        <v>92</v>
      </c>
      <c r="C425" s="7" t="str">
        <f t="shared" ref="C425:C429" si="61">+C424</f>
        <v>Randy</v>
      </c>
      <c r="D425" s="7" t="str">
        <f>+D424</f>
        <v>Reeves</v>
      </c>
      <c r="E425" s="8" t="str">
        <f>E424</f>
        <v>ADMN</v>
      </c>
      <c r="G425" s="8" t="str">
        <f>G424</f>
        <v>REEV0001</v>
      </c>
      <c r="H425" s="26"/>
      <c r="I425" s="26"/>
      <c r="J425" s="26"/>
      <c r="K425" s="28">
        <f>+K424</f>
        <v>42125</v>
      </c>
      <c r="L425" s="26" t="str">
        <f>L424</f>
        <v>10473</v>
      </c>
      <c r="M425" s="26"/>
      <c r="N425" s="26"/>
      <c r="O425" s="26" t="str">
        <f>"""GP Direct"",""Fabrikam, Inc."",""UPR30300"",""PAYRATE"",""0.00000"",""PAYROLCD"",""401K"",""STATECD"","""",""CHEKDATE"",""5/1/2015"",""UPRTRXAM"",""32.57000"""</f>
        <v>"GP Direct","Fabrikam, Inc.","UPR30300","PAYRATE","0.00000","PAYROLCD","401K","STATECD","","CHEKDATE","5/1/2015","UPRTRXAM","32.57000"</v>
      </c>
      <c r="P425" s="29">
        <v>0</v>
      </c>
      <c r="Q425" s="26" t="str">
        <f>"401K"</f>
        <v>401K</v>
      </c>
      <c r="R425" s="26"/>
      <c r="S425" s="28">
        <v>42125</v>
      </c>
      <c r="T425" s="29">
        <v>32.57</v>
      </c>
    </row>
    <row r="426" spans="1:20" s="7" customFormat="1" hidden="1" outlineLevel="3" x14ac:dyDescent="0.2">
      <c r="A426" s="7" t="s">
        <v>92</v>
      </c>
      <c r="C426" s="7" t="str">
        <f t="shared" si="61"/>
        <v>Randy</v>
      </c>
      <c r="D426" s="7" t="str">
        <f>+D425</f>
        <v>Reeves</v>
      </c>
      <c r="E426" s="8" t="str">
        <f>E425</f>
        <v>ADMN</v>
      </c>
      <c r="G426" s="8" t="str">
        <f>G425</f>
        <v>REEV0001</v>
      </c>
      <c r="H426" s="26"/>
      <c r="I426" s="26"/>
      <c r="J426" s="26"/>
      <c r="K426" s="28">
        <f>+K425</f>
        <v>42125</v>
      </c>
      <c r="L426" s="26" t="str">
        <f>L425</f>
        <v>10473</v>
      </c>
      <c r="M426" s="26"/>
      <c r="N426" s="26"/>
      <c r="O426" s="26" t="str">
        <f>"""GP Direct"",""Fabrikam, Inc."",""UPR30300"",""PAYRATE"",""0.00000"",""PAYROLCD"",""IL"",""STATECD"","""",""CHEKDATE"",""5/1/2015"",""UPRTRXAM"",""30.19000"""</f>
        <v>"GP Direct","Fabrikam, Inc.","UPR30300","PAYRATE","0.00000","PAYROLCD","IL","STATECD","","CHEKDATE","5/1/2015","UPRTRXAM","30.19000"</v>
      </c>
      <c r="P426" s="29">
        <v>0</v>
      </c>
      <c r="Q426" s="26" t="str">
        <f>"IL"</f>
        <v>IL</v>
      </c>
      <c r="R426" s="26"/>
      <c r="S426" s="28">
        <v>42125</v>
      </c>
      <c r="T426" s="29">
        <v>30.19</v>
      </c>
    </row>
    <row r="427" spans="1:20" s="7" customFormat="1" hidden="1" outlineLevel="3" x14ac:dyDescent="0.2">
      <c r="A427" s="7" t="s">
        <v>92</v>
      </c>
      <c r="C427" s="7" t="str">
        <f t="shared" si="61"/>
        <v>Randy</v>
      </c>
      <c r="D427" s="7" t="str">
        <f>+D426</f>
        <v>Reeves</v>
      </c>
      <c r="E427" s="8" t="str">
        <f>E426</f>
        <v>ADMN</v>
      </c>
      <c r="G427" s="8" t="str">
        <f>G426</f>
        <v>REEV0001</v>
      </c>
      <c r="H427" s="26"/>
      <c r="I427" s="26"/>
      <c r="J427" s="26"/>
      <c r="K427" s="28">
        <f>+K426</f>
        <v>42125</v>
      </c>
      <c r="L427" s="26" t="str">
        <f>L426</f>
        <v>10473</v>
      </c>
      <c r="M427" s="26"/>
      <c r="N427" s="26"/>
      <c r="O427" s="26" t="str">
        <f>"""GP Direct"",""Fabrikam, Inc."",""UPR30300"",""PAYRATE"",""0.00000"",""PAYROLCD"",""INS"",""STATECD"","""",""CHEKDATE"",""5/1/2015"",""UPRTRXAM"",""49.36000"""</f>
        <v>"GP Direct","Fabrikam, Inc.","UPR30300","PAYRATE","0.00000","PAYROLCD","INS","STATECD","","CHEKDATE","5/1/2015","UPRTRXAM","49.36000"</v>
      </c>
      <c r="P427" s="29">
        <v>0</v>
      </c>
      <c r="Q427" s="26" t="str">
        <f>"INS"</f>
        <v>INS</v>
      </c>
      <c r="R427" s="26"/>
      <c r="S427" s="28">
        <v>42125</v>
      </c>
      <c r="T427" s="29">
        <v>49.36</v>
      </c>
    </row>
    <row r="428" spans="1:20" s="7" customFormat="1" hidden="1" outlineLevel="3" x14ac:dyDescent="0.2">
      <c r="A428" s="7" t="s">
        <v>92</v>
      </c>
      <c r="C428" s="7" t="str">
        <f t="shared" si="61"/>
        <v>Randy</v>
      </c>
      <c r="D428" s="7" t="str">
        <f>+D427</f>
        <v>Reeves</v>
      </c>
      <c r="E428" s="8" t="str">
        <f>E427</f>
        <v>ADMN</v>
      </c>
      <c r="G428" s="8" t="str">
        <f>G427</f>
        <v>REEV0001</v>
      </c>
      <c r="H428" s="26"/>
      <c r="I428" s="26"/>
      <c r="J428" s="26"/>
      <c r="K428" s="28">
        <f>+K427</f>
        <v>42125</v>
      </c>
      <c r="L428" s="26" t="str">
        <f>L427</f>
        <v>10473</v>
      </c>
      <c r="M428" s="26"/>
      <c r="N428" s="26"/>
      <c r="O428" s="26" t="str">
        <f>"""GP Direct"",""Fabrikam, Inc."",""UPR30300"",""PAYRATE"",""0.00000"",""PAYROLCD"",""MED"",""STATECD"","""",""CHEKDATE"",""5/1/2015"",""UPRTRXAM"",""5.00000"""</f>
        <v>"GP Direct","Fabrikam, Inc.","UPR30300","PAYRATE","0.00000","PAYROLCD","MED","STATECD","","CHEKDATE","5/1/2015","UPRTRXAM","5.00000"</v>
      </c>
      <c r="P428" s="29">
        <v>0</v>
      </c>
      <c r="Q428" s="26" t="str">
        <f>"MED"</f>
        <v>MED</v>
      </c>
      <c r="R428" s="26"/>
      <c r="S428" s="28">
        <v>42125</v>
      </c>
      <c r="T428" s="29">
        <v>5</v>
      </c>
    </row>
    <row r="429" spans="1:20" s="7" customFormat="1" hidden="1" outlineLevel="3" x14ac:dyDescent="0.2">
      <c r="A429" s="7" t="s">
        <v>92</v>
      </c>
      <c r="C429" s="7" t="str">
        <f t="shared" si="61"/>
        <v>Randy</v>
      </c>
      <c r="D429" s="7" t="str">
        <f>+D428</f>
        <v>Reeves</v>
      </c>
      <c r="E429" s="8" t="str">
        <f>E428</f>
        <v>ADMN</v>
      </c>
      <c r="G429" s="8" t="str">
        <f>G428</f>
        <v>REEV0001</v>
      </c>
      <c r="H429" s="26"/>
      <c r="I429" s="26"/>
      <c r="J429" s="26"/>
      <c r="K429" s="28">
        <f>+K428</f>
        <v>42125</v>
      </c>
      <c r="L429" s="26" t="str">
        <f>L428</f>
        <v>10473</v>
      </c>
      <c r="M429" s="26"/>
      <c r="N429" s="26"/>
      <c r="O429" s="26" t="str">
        <f>"""GP Direct"",""Fabrikam, Inc."",""UPR30300"",""PAYRATE"",""26057.00000"",""PAYROLCD"",""SALY"",""STATECD"",""IL"",""CHEKDATE"",""5/1/2015"",""UPRTRXAM"",""1085.71000"""</f>
        <v>"GP Direct","Fabrikam, Inc.","UPR30300","PAYRATE","26057.00000","PAYROLCD","SALY","STATECD","IL","CHEKDATE","5/1/2015","UPRTRXAM","1085.71000"</v>
      </c>
      <c r="P429" s="29">
        <v>26057</v>
      </c>
      <c r="Q429" s="26" t="str">
        <f>"SALY"</f>
        <v>SALY</v>
      </c>
      <c r="R429" s="26" t="str">
        <f>"IL"</f>
        <v>IL</v>
      </c>
      <c r="S429" s="28">
        <v>42125</v>
      </c>
      <c r="T429" s="29">
        <v>1085.71</v>
      </c>
    </row>
    <row r="430" spans="1:20" s="7" customFormat="1" hidden="1" outlineLevel="3" x14ac:dyDescent="0.2">
      <c r="A430" s="7" t="s">
        <v>92</v>
      </c>
      <c r="C430" s="7" t="str">
        <f>+C424</f>
        <v>Randy</v>
      </c>
      <c r="D430" s="7" t="str">
        <f>+D424</f>
        <v>Reeves</v>
      </c>
      <c r="E430" s="8" t="str">
        <f>E424</f>
        <v>ADMN</v>
      </c>
      <c r="G430" s="8" t="str">
        <f>G424</f>
        <v>REEV0001</v>
      </c>
      <c r="K430" s="12">
        <f>+K424</f>
        <v>42125</v>
      </c>
      <c r="L430" s="8" t="str">
        <f>L424</f>
        <v>10473</v>
      </c>
      <c r="O430" s="8"/>
      <c r="T430" s="20"/>
    </row>
    <row r="431" spans="1:20" s="7" customFormat="1" hidden="1" outlineLevel="2" collapsed="1" x14ac:dyDescent="0.2">
      <c r="A431" s="7" t="s">
        <v>92</v>
      </c>
      <c r="C431" s="7" t="str">
        <f t="shared" si="57"/>
        <v>Randy</v>
      </c>
      <c r="D431" s="7" t="str">
        <f>+D430</f>
        <v>Reeves</v>
      </c>
      <c r="E431" s="8" t="str">
        <f>E430</f>
        <v>ADMN</v>
      </c>
      <c r="G431" s="8" t="str">
        <f>G430</f>
        <v>REEV0001</v>
      </c>
      <c r="K431" s="12">
        <f>+K430</f>
        <v>42125</v>
      </c>
      <c r="L431" s="8" t="str">
        <f>L430</f>
        <v>10473</v>
      </c>
      <c r="M431" s="33" t="str">
        <f>"Total for " &amp; $L431</f>
        <v>Total for 10473</v>
      </c>
      <c r="N431" s="34">
        <f>+K431</f>
        <v>42125</v>
      </c>
      <c r="O431" s="35"/>
      <c r="P431" s="33"/>
      <c r="Q431" s="33"/>
      <c r="R431" s="33"/>
      <c r="S431" s="33"/>
      <c r="T431" s="36">
        <f>SUBTOTAL(9,T424:T430)</f>
        <v>1204.46</v>
      </c>
    </row>
    <row r="432" spans="1:20" s="7" customFormat="1" hidden="1" outlineLevel="3" x14ac:dyDescent="0.2">
      <c r="A432" s="7" t="s">
        <v>92</v>
      </c>
      <c r="C432" s="7" t="str">
        <f t="shared" si="57"/>
        <v>Randy</v>
      </c>
      <c r="D432" s="7" t="str">
        <f>+D431</f>
        <v>Reeves</v>
      </c>
      <c r="E432" s="8" t="str">
        <f>E431</f>
        <v>ADMN</v>
      </c>
      <c r="G432" s="8" t="str">
        <f>G431</f>
        <v>REEV0001</v>
      </c>
      <c r="H432" s="26"/>
      <c r="I432" s="26"/>
      <c r="J432" s="26"/>
      <c r="K432" s="28">
        <f>+N432</f>
        <v>42156</v>
      </c>
      <c r="L432" s="26" t="str">
        <f>M432</f>
        <v>10498</v>
      </c>
      <c r="M432" s="26" t="str">
        <f>"10498"</f>
        <v>10498</v>
      </c>
      <c r="N432" s="28">
        <v>42156</v>
      </c>
      <c r="O432" s="26"/>
      <c r="P432" s="26"/>
      <c r="Q432" s="26"/>
      <c r="R432" s="26"/>
      <c r="S432" s="26"/>
      <c r="T432" s="27"/>
    </row>
    <row r="433" spans="1:20" s="7" customFormat="1" hidden="1" outlineLevel="3" x14ac:dyDescent="0.2">
      <c r="A433" s="7" t="s">
        <v>92</v>
      </c>
      <c r="C433" s="7" t="str">
        <f t="shared" si="57"/>
        <v>Randy</v>
      </c>
      <c r="D433" s="7" t="str">
        <f>+D432</f>
        <v>Reeves</v>
      </c>
      <c r="E433" s="8" t="str">
        <f>E432</f>
        <v>ADMN</v>
      </c>
      <c r="G433" s="8" t="str">
        <f>G432</f>
        <v>REEV0001</v>
      </c>
      <c r="H433" s="26"/>
      <c r="I433" s="26"/>
      <c r="J433" s="26"/>
      <c r="K433" s="28">
        <f>+K432</f>
        <v>42156</v>
      </c>
      <c r="L433" s="26" t="str">
        <f>L432</f>
        <v>10498</v>
      </c>
      <c r="M433" s="26"/>
      <c r="N433" s="26"/>
      <c r="O433" s="26" t="str">
        <f>"""GP Direct"",""Fabrikam, Inc."",""UPR30300"",""PAYRATE"",""0.00000"",""PAYROLCD"",""401K"",""STATECD"","""",""CHEKDATE"",""6/1/2015"",""UPRTRXAM"",""1.63000"""</f>
        <v>"GP Direct","Fabrikam, Inc.","UPR30300","PAYRATE","0.00000","PAYROLCD","401K","STATECD","","CHEKDATE","6/1/2015","UPRTRXAM","1.63000"</v>
      </c>
      <c r="P433" s="29">
        <v>0</v>
      </c>
      <c r="Q433" s="26" t="str">
        <f>"401K"</f>
        <v>401K</v>
      </c>
      <c r="R433" s="26"/>
      <c r="S433" s="28">
        <v>42156</v>
      </c>
      <c r="T433" s="29">
        <v>1.63</v>
      </c>
    </row>
    <row r="434" spans="1:20" s="7" customFormat="1" hidden="1" outlineLevel="3" x14ac:dyDescent="0.2">
      <c r="A434" s="7" t="s">
        <v>92</v>
      </c>
      <c r="C434" s="7" t="str">
        <f t="shared" ref="C434:C438" si="62">+C433</f>
        <v>Randy</v>
      </c>
      <c r="D434" s="7" t="str">
        <f>+D433</f>
        <v>Reeves</v>
      </c>
      <c r="E434" s="8" t="str">
        <f>E433</f>
        <v>ADMN</v>
      </c>
      <c r="G434" s="8" t="str">
        <f>G433</f>
        <v>REEV0001</v>
      </c>
      <c r="H434" s="26"/>
      <c r="I434" s="26"/>
      <c r="J434" s="26"/>
      <c r="K434" s="28">
        <f>+K433</f>
        <v>42156</v>
      </c>
      <c r="L434" s="26" t="str">
        <f>L433</f>
        <v>10498</v>
      </c>
      <c r="M434" s="26"/>
      <c r="N434" s="26"/>
      <c r="O434" s="26" t="str">
        <f>"""GP Direct"",""Fabrikam, Inc."",""UPR30300"",""PAYRATE"",""0.00000"",""PAYROLCD"",""401K"",""STATECD"","""",""CHEKDATE"",""6/1/2015"",""UPRTRXAM"",""32.57000"""</f>
        <v>"GP Direct","Fabrikam, Inc.","UPR30300","PAYRATE","0.00000","PAYROLCD","401K","STATECD","","CHEKDATE","6/1/2015","UPRTRXAM","32.57000"</v>
      </c>
      <c r="P434" s="29">
        <v>0</v>
      </c>
      <c r="Q434" s="26" t="str">
        <f>"401K"</f>
        <v>401K</v>
      </c>
      <c r="R434" s="26"/>
      <c r="S434" s="28">
        <v>42156</v>
      </c>
      <c r="T434" s="29">
        <v>32.57</v>
      </c>
    </row>
    <row r="435" spans="1:20" s="7" customFormat="1" hidden="1" outlineLevel="3" x14ac:dyDescent="0.2">
      <c r="A435" s="7" t="s">
        <v>92</v>
      </c>
      <c r="C435" s="7" t="str">
        <f t="shared" si="62"/>
        <v>Randy</v>
      </c>
      <c r="D435" s="7" t="str">
        <f>+D434</f>
        <v>Reeves</v>
      </c>
      <c r="E435" s="8" t="str">
        <f>E434</f>
        <v>ADMN</v>
      </c>
      <c r="G435" s="8" t="str">
        <f>G434</f>
        <v>REEV0001</v>
      </c>
      <c r="H435" s="26"/>
      <c r="I435" s="26"/>
      <c r="J435" s="26"/>
      <c r="K435" s="28">
        <f>+K434</f>
        <v>42156</v>
      </c>
      <c r="L435" s="26" t="str">
        <f>L434</f>
        <v>10498</v>
      </c>
      <c r="M435" s="26"/>
      <c r="N435" s="26"/>
      <c r="O435" s="26" t="str">
        <f>"""GP Direct"",""Fabrikam, Inc."",""UPR30300"",""PAYRATE"",""0.00000"",""PAYROLCD"",""IL"",""STATECD"","""",""CHEKDATE"",""6/1/2015"",""UPRTRXAM"",""30.19000"""</f>
        <v>"GP Direct","Fabrikam, Inc.","UPR30300","PAYRATE","0.00000","PAYROLCD","IL","STATECD","","CHEKDATE","6/1/2015","UPRTRXAM","30.19000"</v>
      </c>
      <c r="P435" s="29">
        <v>0</v>
      </c>
      <c r="Q435" s="26" t="str">
        <f>"IL"</f>
        <v>IL</v>
      </c>
      <c r="R435" s="26"/>
      <c r="S435" s="28">
        <v>42156</v>
      </c>
      <c r="T435" s="29">
        <v>30.19</v>
      </c>
    </row>
    <row r="436" spans="1:20" s="7" customFormat="1" hidden="1" outlineLevel="3" x14ac:dyDescent="0.2">
      <c r="A436" s="7" t="s">
        <v>92</v>
      </c>
      <c r="C436" s="7" t="str">
        <f t="shared" si="62"/>
        <v>Randy</v>
      </c>
      <c r="D436" s="7" t="str">
        <f>+D435</f>
        <v>Reeves</v>
      </c>
      <c r="E436" s="8" t="str">
        <f>E435</f>
        <v>ADMN</v>
      </c>
      <c r="G436" s="8" t="str">
        <f>G435</f>
        <v>REEV0001</v>
      </c>
      <c r="H436" s="26"/>
      <c r="I436" s="26"/>
      <c r="J436" s="26"/>
      <c r="K436" s="28">
        <f>+K435</f>
        <v>42156</v>
      </c>
      <c r="L436" s="26" t="str">
        <f>L435</f>
        <v>10498</v>
      </c>
      <c r="M436" s="26"/>
      <c r="N436" s="26"/>
      <c r="O436" s="26" t="str">
        <f>"""GP Direct"",""Fabrikam, Inc."",""UPR30300"",""PAYRATE"",""0.00000"",""PAYROLCD"",""INS"",""STATECD"","""",""CHEKDATE"",""6/1/2015"",""UPRTRXAM"",""49.36000"""</f>
        <v>"GP Direct","Fabrikam, Inc.","UPR30300","PAYRATE","0.00000","PAYROLCD","INS","STATECD","","CHEKDATE","6/1/2015","UPRTRXAM","49.36000"</v>
      </c>
      <c r="P436" s="29">
        <v>0</v>
      </c>
      <c r="Q436" s="26" t="str">
        <f>"INS"</f>
        <v>INS</v>
      </c>
      <c r="R436" s="26"/>
      <c r="S436" s="28">
        <v>42156</v>
      </c>
      <c r="T436" s="29">
        <v>49.36</v>
      </c>
    </row>
    <row r="437" spans="1:20" s="7" customFormat="1" hidden="1" outlineLevel="3" x14ac:dyDescent="0.2">
      <c r="A437" s="7" t="s">
        <v>92</v>
      </c>
      <c r="C437" s="7" t="str">
        <f t="shared" si="62"/>
        <v>Randy</v>
      </c>
      <c r="D437" s="7" t="str">
        <f>+D436</f>
        <v>Reeves</v>
      </c>
      <c r="E437" s="8" t="str">
        <f>E436</f>
        <v>ADMN</v>
      </c>
      <c r="G437" s="8" t="str">
        <f>G436</f>
        <v>REEV0001</v>
      </c>
      <c r="H437" s="26"/>
      <c r="I437" s="26"/>
      <c r="J437" s="26"/>
      <c r="K437" s="28">
        <f>+K436</f>
        <v>42156</v>
      </c>
      <c r="L437" s="26" t="str">
        <f>L436</f>
        <v>10498</v>
      </c>
      <c r="M437" s="26"/>
      <c r="N437" s="26"/>
      <c r="O437" s="26" t="str">
        <f>"""GP Direct"",""Fabrikam, Inc."",""UPR30300"",""PAYRATE"",""0.00000"",""PAYROLCD"",""MED"",""STATECD"","""",""CHEKDATE"",""6/1/2015"",""UPRTRXAM"",""5.00000"""</f>
        <v>"GP Direct","Fabrikam, Inc.","UPR30300","PAYRATE","0.00000","PAYROLCD","MED","STATECD","","CHEKDATE","6/1/2015","UPRTRXAM","5.00000"</v>
      </c>
      <c r="P437" s="29">
        <v>0</v>
      </c>
      <c r="Q437" s="26" t="str">
        <f>"MED"</f>
        <v>MED</v>
      </c>
      <c r="R437" s="26"/>
      <c r="S437" s="28">
        <v>42156</v>
      </c>
      <c r="T437" s="29">
        <v>5</v>
      </c>
    </row>
    <row r="438" spans="1:20" s="7" customFormat="1" hidden="1" outlineLevel="3" x14ac:dyDescent="0.2">
      <c r="A438" s="7" t="s">
        <v>92</v>
      </c>
      <c r="C438" s="7" t="str">
        <f t="shared" si="62"/>
        <v>Randy</v>
      </c>
      <c r="D438" s="7" t="str">
        <f>+D437</f>
        <v>Reeves</v>
      </c>
      <c r="E438" s="8" t="str">
        <f>E437</f>
        <v>ADMN</v>
      </c>
      <c r="G438" s="8" t="str">
        <f>G437</f>
        <v>REEV0001</v>
      </c>
      <c r="H438" s="26"/>
      <c r="I438" s="26"/>
      <c r="J438" s="26"/>
      <c r="K438" s="28">
        <f>+K437</f>
        <v>42156</v>
      </c>
      <c r="L438" s="26" t="str">
        <f>L437</f>
        <v>10498</v>
      </c>
      <c r="M438" s="26"/>
      <c r="N438" s="26"/>
      <c r="O438" s="26" t="str">
        <f>"""GP Direct"",""Fabrikam, Inc."",""UPR30300"",""PAYRATE"",""26057.00000"",""PAYROLCD"",""SALY"",""STATECD"",""IL"",""CHEKDATE"",""6/1/2015"",""UPRTRXAM"",""1085.71000"""</f>
        <v>"GP Direct","Fabrikam, Inc.","UPR30300","PAYRATE","26057.00000","PAYROLCD","SALY","STATECD","IL","CHEKDATE","6/1/2015","UPRTRXAM","1085.71000"</v>
      </c>
      <c r="P438" s="29">
        <v>26057</v>
      </c>
      <c r="Q438" s="26" t="str">
        <f>"SALY"</f>
        <v>SALY</v>
      </c>
      <c r="R438" s="26" t="str">
        <f>"IL"</f>
        <v>IL</v>
      </c>
      <c r="S438" s="28">
        <v>42156</v>
      </c>
      <c r="T438" s="29">
        <v>1085.71</v>
      </c>
    </row>
    <row r="439" spans="1:20" s="7" customFormat="1" hidden="1" outlineLevel="3" x14ac:dyDescent="0.2">
      <c r="A439" s="7" t="s">
        <v>92</v>
      </c>
      <c r="C439" s="7" t="str">
        <f>+C433</f>
        <v>Randy</v>
      </c>
      <c r="D439" s="7" t="str">
        <f>+D433</f>
        <v>Reeves</v>
      </c>
      <c r="E439" s="8" t="str">
        <f>E433</f>
        <v>ADMN</v>
      </c>
      <c r="G439" s="8" t="str">
        <f>G433</f>
        <v>REEV0001</v>
      </c>
      <c r="K439" s="12">
        <f>+K433</f>
        <v>42156</v>
      </c>
      <c r="L439" s="8" t="str">
        <f>L433</f>
        <v>10498</v>
      </c>
      <c r="O439" s="8"/>
      <c r="T439" s="20"/>
    </row>
    <row r="440" spans="1:20" s="7" customFormat="1" hidden="1" outlineLevel="2" collapsed="1" x14ac:dyDescent="0.2">
      <c r="A440" s="7" t="s">
        <v>92</v>
      </c>
      <c r="C440" s="7" t="str">
        <f t="shared" si="57"/>
        <v>Randy</v>
      </c>
      <c r="D440" s="7" t="str">
        <f>+D439</f>
        <v>Reeves</v>
      </c>
      <c r="E440" s="8" t="str">
        <f>E439</f>
        <v>ADMN</v>
      </c>
      <c r="G440" s="8" t="str">
        <f>G439</f>
        <v>REEV0001</v>
      </c>
      <c r="K440" s="12">
        <f>+K439</f>
        <v>42156</v>
      </c>
      <c r="L440" s="8" t="str">
        <f>L439</f>
        <v>10498</v>
      </c>
      <c r="M440" s="33" t="str">
        <f>"Total for " &amp; $L440</f>
        <v>Total for 10498</v>
      </c>
      <c r="N440" s="34">
        <f>+K440</f>
        <v>42156</v>
      </c>
      <c r="O440" s="35"/>
      <c r="P440" s="33"/>
      <c r="Q440" s="33"/>
      <c r="R440" s="33"/>
      <c r="S440" s="33"/>
      <c r="T440" s="36">
        <f>SUBTOTAL(9,T433:T439)</f>
        <v>1204.46</v>
      </c>
    </row>
    <row r="441" spans="1:20" s="7" customFormat="1" hidden="1" outlineLevel="2" x14ac:dyDescent="0.2">
      <c r="A441" s="7" t="s">
        <v>92</v>
      </c>
      <c r="C441" s="7" t="str">
        <f>+C394</f>
        <v>Randy</v>
      </c>
      <c r="D441" s="7" t="str">
        <f>+D394</f>
        <v>Reeves</v>
      </c>
      <c r="E441" s="8" t="str">
        <f>E394</f>
        <v>ADMN</v>
      </c>
      <c r="G441" s="8" t="str">
        <f>G394</f>
        <v>REEV0001</v>
      </c>
      <c r="L441" s="8"/>
      <c r="O441" s="8"/>
      <c r="T441" s="20"/>
    </row>
    <row r="442" spans="1:20" s="7" customFormat="1" hidden="1" outlineLevel="1" collapsed="1" x14ac:dyDescent="0.2">
      <c r="A442" s="7" t="s">
        <v>92</v>
      </c>
      <c r="C442" s="7" t="str">
        <f t="shared" si="55"/>
        <v>Randy</v>
      </c>
      <c r="D442" s="7" t="str">
        <f>+D441</f>
        <v>Reeves</v>
      </c>
      <c r="E442" s="8" t="str">
        <f>E441</f>
        <v>ADMN</v>
      </c>
      <c r="G442" s="8" t="str">
        <f>G441</f>
        <v>REEV0001</v>
      </c>
      <c r="H442" s="30" t="str">
        <f>"Total for " &amp; $G442</f>
        <v>Total for REEV0001</v>
      </c>
      <c r="I442" s="30" t="str">
        <f>+C442</f>
        <v>Randy</v>
      </c>
      <c r="J442" s="30" t="str">
        <f>+D442</f>
        <v>Reeves</v>
      </c>
      <c r="K442" s="30"/>
      <c r="L442" s="31"/>
      <c r="M442" s="30"/>
      <c r="N442" s="30"/>
      <c r="O442" s="31"/>
      <c r="P442" s="30"/>
      <c r="Q442" s="30"/>
      <c r="R442" s="30"/>
      <c r="S442" s="30"/>
      <c r="T442" s="32">
        <f>SUBTOTAL(9,T387:T441)</f>
        <v>7014.1799999999985</v>
      </c>
    </row>
    <row r="443" spans="1:20" s="7" customFormat="1" hidden="1" outlineLevel="2" x14ac:dyDescent="0.2">
      <c r="A443" s="7" t="s">
        <v>92</v>
      </c>
      <c r="C443" s="7" t="str">
        <f t="shared" ref="C443" si="63">+I443</f>
        <v>Jim</v>
      </c>
      <c r="D443" s="7" t="str">
        <f>+J443</f>
        <v>Stewart</v>
      </c>
      <c r="E443" s="8" t="str">
        <f>E442</f>
        <v>ADMN</v>
      </c>
      <c r="G443" s="8" t="str">
        <f>H443</f>
        <v>STEW0001</v>
      </c>
      <c r="H443" s="24" t="str">
        <f>"STEW0001"</f>
        <v>STEW0001</v>
      </c>
      <c r="I443" s="25" t="str">
        <f>"Jim"</f>
        <v>Jim</v>
      </c>
      <c r="J443" s="25" t="str">
        <f>"Stewart"</f>
        <v>Stewart</v>
      </c>
      <c r="K443" s="26"/>
      <c r="L443" s="26"/>
      <c r="M443" s="26"/>
      <c r="N443" s="26"/>
      <c r="O443" s="26"/>
      <c r="P443" s="26"/>
      <c r="Q443" s="26"/>
      <c r="R443" s="26"/>
      <c r="S443" s="26"/>
      <c r="T443" s="27"/>
    </row>
    <row r="444" spans="1:20" s="7" customFormat="1" hidden="1" outlineLevel="3" x14ac:dyDescent="0.2">
      <c r="A444" s="7" t="s">
        <v>92</v>
      </c>
      <c r="C444" s="7" t="str">
        <f t="shared" ref="C444:C507" si="64">+C443</f>
        <v>Jim</v>
      </c>
      <c r="D444" s="7" t="str">
        <f>+D443</f>
        <v>Stewart</v>
      </c>
      <c r="E444" s="8" t="str">
        <f>E443</f>
        <v>ADMN</v>
      </c>
      <c r="G444" s="8" t="str">
        <f>G443</f>
        <v>STEW0001</v>
      </c>
      <c r="H444" s="26"/>
      <c r="I444" s="26"/>
      <c r="J444" s="26"/>
      <c r="K444" s="28">
        <f>+N444</f>
        <v>42005</v>
      </c>
      <c r="L444" s="26" t="str">
        <f>M444</f>
        <v>10374</v>
      </c>
      <c r="M444" s="26" t="str">
        <f>"10374"</f>
        <v>10374</v>
      </c>
      <c r="N444" s="28">
        <v>42005</v>
      </c>
      <c r="O444" s="26"/>
      <c r="P444" s="26"/>
      <c r="Q444" s="26"/>
      <c r="R444" s="26"/>
      <c r="S444" s="26"/>
      <c r="T444" s="27"/>
    </row>
    <row r="445" spans="1:20" s="7" customFormat="1" hidden="1" outlineLevel="3" x14ac:dyDescent="0.2">
      <c r="A445" s="7" t="s">
        <v>92</v>
      </c>
      <c r="C445" s="7" t="str">
        <f t="shared" si="64"/>
        <v>Jim</v>
      </c>
      <c r="D445" s="7" t="str">
        <f>+D444</f>
        <v>Stewart</v>
      </c>
      <c r="E445" s="8" t="str">
        <f>E444</f>
        <v>ADMN</v>
      </c>
      <c r="G445" s="8" t="str">
        <f>G444</f>
        <v>STEW0001</v>
      </c>
      <c r="H445" s="26"/>
      <c r="I445" s="26"/>
      <c r="J445" s="26"/>
      <c r="K445" s="28">
        <f>+K444</f>
        <v>42005</v>
      </c>
      <c r="L445" s="26" t="str">
        <f>L444</f>
        <v>10374</v>
      </c>
      <c r="M445" s="26"/>
      <c r="N445" s="26"/>
      <c r="O445" s="26" t="str">
        <f>"""GP Direct"",""Fabrikam, Inc."",""UPR30300"",""PAYRATE"",""0.00000"",""PAYROLCD"",""401K"",""STATECD"","""",""CHEKDATE"",""1/1/2015"",""UPRTRXAM"",""4.60000"""</f>
        <v>"GP Direct","Fabrikam, Inc.","UPR30300","PAYRATE","0.00000","PAYROLCD","401K","STATECD","","CHEKDATE","1/1/2015","UPRTRXAM","4.60000"</v>
      </c>
      <c r="P445" s="29">
        <v>0</v>
      </c>
      <c r="Q445" s="26" t="str">
        <f>"401K"</f>
        <v>401K</v>
      </c>
      <c r="R445" s="26"/>
      <c r="S445" s="28">
        <v>42005</v>
      </c>
      <c r="T445" s="29">
        <v>4.5999999999999996</v>
      </c>
    </row>
    <row r="446" spans="1:20" s="7" customFormat="1" hidden="1" outlineLevel="3" x14ac:dyDescent="0.2">
      <c r="A446" s="7" t="s">
        <v>92</v>
      </c>
      <c r="C446" s="7" t="str">
        <f t="shared" ref="C446:C452" si="65">+C445</f>
        <v>Jim</v>
      </c>
      <c r="D446" s="7" t="str">
        <f>+D445</f>
        <v>Stewart</v>
      </c>
      <c r="E446" s="8" t="str">
        <f>E445</f>
        <v>ADMN</v>
      </c>
      <c r="G446" s="8" t="str">
        <f>G445</f>
        <v>STEW0001</v>
      </c>
      <c r="H446" s="26"/>
      <c r="I446" s="26"/>
      <c r="J446" s="26"/>
      <c r="K446" s="28">
        <f>+K445</f>
        <v>42005</v>
      </c>
      <c r="L446" s="26" t="str">
        <f>L445</f>
        <v>10374</v>
      </c>
      <c r="M446" s="26"/>
      <c r="N446" s="26"/>
      <c r="O446" s="26" t="str">
        <f>"""GP Direct"",""Fabrikam, Inc."",""UPR30300"",""PAYRATE"",""0.00000"",""PAYROLCD"",""401K"",""STATECD"","""",""CHEKDATE"",""1/1/2015"",""UPRTRXAM"",""92.01000"""</f>
        <v>"GP Direct","Fabrikam, Inc.","UPR30300","PAYRATE","0.00000","PAYROLCD","401K","STATECD","","CHEKDATE","1/1/2015","UPRTRXAM","92.01000"</v>
      </c>
      <c r="P446" s="29">
        <v>0</v>
      </c>
      <c r="Q446" s="26" t="str">
        <f>"401K"</f>
        <v>401K</v>
      </c>
      <c r="R446" s="26"/>
      <c r="S446" s="28">
        <v>42005</v>
      </c>
      <c r="T446" s="29">
        <v>92.01</v>
      </c>
    </row>
    <row r="447" spans="1:20" s="7" customFormat="1" hidden="1" outlineLevel="3" x14ac:dyDescent="0.2">
      <c r="A447" s="7" t="s">
        <v>92</v>
      </c>
      <c r="C447" s="7" t="str">
        <f t="shared" si="65"/>
        <v>Jim</v>
      </c>
      <c r="D447" s="7" t="str">
        <f>+D446</f>
        <v>Stewart</v>
      </c>
      <c r="E447" s="8" t="str">
        <f>E446</f>
        <v>ADMN</v>
      </c>
      <c r="G447" s="8" t="str">
        <f>G446</f>
        <v>STEW0001</v>
      </c>
      <c r="H447" s="26"/>
      <c r="I447" s="26"/>
      <c r="J447" s="26"/>
      <c r="K447" s="28">
        <f>+K446</f>
        <v>42005</v>
      </c>
      <c r="L447" s="26" t="str">
        <f>L446</f>
        <v>10374</v>
      </c>
      <c r="M447" s="26"/>
      <c r="N447" s="26"/>
      <c r="O447" s="26" t="str">
        <f>"""GP Direct"",""Fabrikam, Inc."",""UPR30300"",""PAYRATE"",""0.00000"",""PAYROLCD"",""HOLI"",""STATECD"",""IL"",""CHEKDATE"",""1/1/2015"",""UPRTRXAM"",""0.00000"""</f>
        <v>"GP Direct","Fabrikam, Inc.","UPR30300","PAYRATE","0.00000","PAYROLCD","HOLI","STATECD","IL","CHEKDATE","1/1/2015","UPRTRXAM","0.00000"</v>
      </c>
      <c r="P447" s="29">
        <v>0</v>
      </c>
      <c r="Q447" s="26" t="str">
        <f>"HOLI"</f>
        <v>HOLI</v>
      </c>
      <c r="R447" s="26" t="str">
        <f>"IL"</f>
        <v>IL</v>
      </c>
      <c r="S447" s="28">
        <v>42005</v>
      </c>
      <c r="T447" s="29">
        <v>0</v>
      </c>
    </row>
    <row r="448" spans="1:20" s="7" customFormat="1" hidden="1" outlineLevel="3" x14ac:dyDescent="0.2">
      <c r="A448" s="7" t="s">
        <v>92</v>
      </c>
      <c r="C448" s="7" t="str">
        <f t="shared" si="65"/>
        <v>Jim</v>
      </c>
      <c r="D448" s="7" t="str">
        <f>+D447</f>
        <v>Stewart</v>
      </c>
      <c r="E448" s="8" t="str">
        <f>E447</f>
        <v>ADMN</v>
      </c>
      <c r="G448" s="8" t="str">
        <f>G447</f>
        <v>STEW0001</v>
      </c>
      <c r="H448" s="26"/>
      <c r="I448" s="26"/>
      <c r="J448" s="26"/>
      <c r="K448" s="28">
        <f>+K447</f>
        <v>42005</v>
      </c>
      <c r="L448" s="26" t="str">
        <f>L447</f>
        <v>10374</v>
      </c>
      <c r="M448" s="26"/>
      <c r="N448" s="26"/>
      <c r="O448" s="26" t="str">
        <f>"""GP Direct"",""Fabrikam, Inc."",""UPR30300"",""PAYRATE"",""0.00000"",""PAYROLCD"",""IL"",""STATECD"","""",""CHEKDATE"",""1/1/2015"",""UPRTRXAM"",""42.15000"""</f>
        <v>"GP Direct","Fabrikam, Inc.","UPR30300","PAYRATE","0.00000","PAYROLCD","IL","STATECD","","CHEKDATE","1/1/2015","UPRTRXAM","42.15000"</v>
      </c>
      <c r="P448" s="29">
        <v>0</v>
      </c>
      <c r="Q448" s="26" t="str">
        <f>"IL"</f>
        <v>IL</v>
      </c>
      <c r="R448" s="26"/>
      <c r="S448" s="28">
        <v>42005</v>
      </c>
      <c r="T448" s="29">
        <v>42.15</v>
      </c>
    </row>
    <row r="449" spans="1:20" s="7" customFormat="1" hidden="1" outlineLevel="3" x14ac:dyDescent="0.2">
      <c r="A449" s="7" t="s">
        <v>92</v>
      </c>
      <c r="C449" s="7" t="str">
        <f t="shared" si="65"/>
        <v>Jim</v>
      </c>
      <c r="D449" s="7" t="str">
        <f>+D448</f>
        <v>Stewart</v>
      </c>
      <c r="E449" s="8" t="str">
        <f>E448</f>
        <v>ADMN</v>
      </c>
      <c r="G449" s="8" t="str">
        <f>G448</f>
        <v>STEW0001</v>
      </c>
      <c r="H449" s="26"/>
      <c r="I449" s="26"/>
      <c r="J449" s="26"/>
      <c r="K449" s="28">
        <f>+K448</f>
        <v>42005</v>
      </c>
      <c r="L449" s="26" t="str">
        <f>L448</f>
        <v>10374</v>
      </c>
      <c r="M449" s="26"/>
      <c r="N449" s="26"/>
      <c r="O449" s="26" t="str">
        <f>"""GP Direct"",""Fabrikam, Inc."",""UPR30300"",""PAYRATE"",""0.00000"",""PAYROLCD"",""INS"",""STATECD"","""",""CHEKDATE"",""1/1/2015"",""UPRTRXAM"",""49.36000"""</f>
        <v>"GP Direct","Fabrikam, Inc.","UPR30300","PAYRATE","0.00000","PAYROLCD","INS","STATECD","","CHEKDATE","1/1/2015","UPRTRXAM","49.36000"</v>
      </c>
      <c r="P449" s="29">
        <v>0</v>
      </c>
      <c r="Q449" s="26" t="str">
        <f>"INS"</f>
        <v>INS</v>
      </c>
      <c r="R449" s="26"/>
      <c r="S449" s="28">
        <v>42005</v>
      </c>
      <c r="T449" s="29">
        <v>49.36</v>
      </c>
    </row>
    <row r="450" spans="1:20" s="7" customFormat="1" hidden="1" outlineLevel="3" x14ac:dyDescent="0.2">
      <c r="A450" s="7" t="s">
        <v>92</v>
      </c>
      <c r="C450" s="7" t="str">
        <f t="shared" si="65"/>
        <v>Jim</v>
      </c>
      <c r="D450" s="7" t="str">
        <f>+D449</f>
        <v>Stewart</v>
      </c>
      <c r="E450" s="8" t="str">
        <f>E449</f>
        <v>ADMN</v>
      </c>
      <c r="G450" s="8" t="str">
        <f>G449</f>
        <v>STEW0001</v>
      </c>
      <c r="H450" s="26"/>
      <c r="I450" s="26"/>
      <c r="J450" s="26"/>
      <c r="K450" s="28">
        <f>+K449</f>
        <v>42005</v>
      </c>
      <c r="L450" s="26" t="str">
        <f>L449</f>
        <v>10374</v>
      </c>
      <c r="M450" s="26"/>
      <c r="N450" s="26"/>
      <c r="O450" s="26" t="str">
        <f>"""GP Direct"",""Fabrikam, Inc."",""UPR30300"",""PAYRATE"",""0.00000"",""PAYROLCD"",""INS2"",""STATECD"","""",""CHEKDATE"",""1/1/2015"",""UPRTRXAM"",""72.95000"""</f>
        <v>"GP Direct","Fabrikam, Inc.","UPR30300","PAYRATE","0.00000","PAYROLCD","INS2","STATECD","","CHEKDATE","1/1/2015","UPRTRXAM","72.95000"</v>
      </c>
      <c r="P450" s="29">
        <v>0</v>
      </c>
      <c r="Q450" s="26" t="str">
        <f>"INS2"</f>
        <v>INS2</v>
      </c>
      <c r="R450" s="26"/>
      <c r="S450" s="28">
        <v>42005</v>
      </c>
      <c r="T450" s="29">
        <v>72.95</v>
      </c>
    </row>
    <row r="451" spans="1:20" s="7" customFormat="1" hidden="1" outlineLevel="3" x14ac:dyDescent="0.2">
      <c r="A451" s="7" t="s">
        <v>92</v>
      </c>
      <c r="C451" s="7" t="str">
        <f t="shared" si="65"/>
        <v>Jim</v>
      </c>
      <c r="D451" s="7" t="str">
        <f>+D450</f>
        <v>Stewart</v>
      </c>
      <c r="E451" s="8" t="str">
        <f>E450</f>
        <v>ADMN</v>
      </c>
      <c r="G451" s="8" t="str">
        <f>G450</f>
        <v>STEW0001</v>
      </c>
      <c r="H451" s="26"/>
      <c r="I451" s="26"/>
      <c r="J451" s="26"/>
      <c r="K451" s="28">
        <f>+K450</f>
        <v>42005</v>
      </c>
      <c r="L451" s="26" t="str">
        <f>L450</f>
        <v>10374</v>
      </c>
      <c r="M451" s="26"/>
      <c r="N451" s="26"/>
      <c r="O451" s="26" t="str">
        <f>"""GP Direct"",""Fabrikam, Inc."",""UPR30300"",""PAYRATE"",""0.00000"",""PAYROLCD"",""MED"",""STATECD"","""",""CHEKDATE"",""1/1/2015"",""UPRTRXAM"",""20.00000"""</f>
        <v>"GP Direct","Fabrikam, Inc.","UPR30300","PAYRATE","0.00000","PAYROLCD","MED","STATECD","","CHEKDATE","1/1/2015","UPRTRXAM","20.00000"</v>
      </c>
      <c r="P451" s="29">
        <v>0</v>
      </c>
      <c r="Q451" s="26" t="str">
        <f>"MED"</f>
        <v>MED</v>
      </c>
      <c r="R451" s="26"/>
      <c r="S451" s="28">
        <v>42005</v>
      </c>
      <c r="T451" s="29">
        <v>20</v>
      </c>
    </row>
    <row r="452" spans="1:20" s="7" customFormat="1" hidden="1" outlineLevel="3" x14ac:dyDescent="0.2">
      <c r="A452" s="7" t="s">
        <v>92</v>
      </c>
      <c r="C452" s="7" t="str">
        <f t="shared" si="65"/>
        <v>Jim</v>
      </c>
      <c r="D452" s="7" t="str">
        <f>+D451</f>
        <v>Stewart</v>
      </c>
      <c r="E452" s="8" t="str">
        <f>E451</f>
        <v>ADMN</v>
      </c>
      <c r="G452" s="8" t="str">
        <f>G451</f>
        <v>STEW0001</v>
      </c>
      <c r="H452" s="26"/>
      <c r="I452" s="26"/>
      <c r="J452" s="26"/>
      <c r="K452" s="28">
        <f>+K451</f>
        <v>42005</v>
      </c>
      <c r="L452" s="26" t="str">
        <f>L451</f>
        <v>10374</v>
      </c>
      <c r="M452" s="26"/>
      <c r="N452" s="26"/>
      <c r="O452" s="26" t="str">
        <f>"""GP Direct"",""Fabrikam, Inc."",""UPR30300"",""PAYRATE"",""23.39135"",""PAYROLCD"",""SALY"",""STATECD"",""IL"",""CHEKDATE"",""1/1/2015"",""UPRTRXAM"",""1840.12000"""</f>
        <v>"GP Direct","Fabrikam, Inc.","UPR30300","PAYRATE","23.39135","PAYROLCD","SALY","STATECD","IL","CHEKDATE","1/1/2015","UPRTRXAM","1840.12000"</v>
      </c>
      <c r="P452" s="29">
        <v>23.391300000000001</v>
      </c>
      <c r="Q452" s="26" t="str">
        <f>"SALY"</f>
        <v>SALY</v>
      </c>
      <c r="R452" s="26" t="str">
        <f>"IL"</f>
        <v>IL</v>
      </c>
      <c r="S452" s="28">
        <v>42005</v>
      </c>
      <c r="T452" s="29">
        <v>1840.12</v>
      </c>
    </row>
    <row r="453" spans="1:20" s="7" customFormat="1" hidden="1" outlineLevel="3" x14ac:dyDescent="0.2">
      <c r="A453" s="7" t="s">
        <v>92</v>
      </c>
      <c r="C453" s="7" t="str">
        <f>+C445</f>
        <v>Jim</v>
      </c>
      <c r="D453" s="7" t="str">
        <f>+D445</f>
        <v>Stewart</v>
      </c>
      <c r="E453" s="8" t="str">
        <f>E445</f>
        <v>ADMN</v>
      </c>
      <c r="G453" s="8" t="str">
        <f>G445</f>
        <v>STEW0001</v>
      </c>
      <c r="K453" s="12">
        <f>+K445</f>
        <v>42005</v>
      </c>
      <c r="L453" s="8" t="str">
        <f>L445</f>
        <v>10374</v>
      </c>
      <c r="O453" s="8"/>
      <c r="T453" s="20"/>
    </row>
    <row r="454" spans="1:20" s="7" customFormat="1" hidden="1" outlineLevel="2" collapsed="1" x14ac:dyDescent="0.2">
      <c r="A454" s="7" t="s">
        <v>92</v>
      </c>
      <c r="C454" s="7" t="str">
        <f t="shared" si="64"/>
        <v>Jim</v>
      </c>
      <c r="D454" s="7" t="str">
        <f>+D453</f>
        <v>Stewart</v>
      </c>
      <c r="E454" s="8" t="str">
        <f>E453</f>
        <v>ADMN</v>
      </c>
      <c r="G454" s="8" t="str">
        <f>G453</f>
        <v>STEW0001</v>
      </c>
      <c r="K454" s="12">
        <f>+K453</f>
        <v>42005</v>
      </c>
      <c r="L454" s="8" t="str">
        <f>L453</f>
        <v>10374</v>
      </c>
      <c r="M454" s="33" t="str">
        <f>"Total for " &amp; $L454</f>
        <v>Total for 10374</v>
      </c>
      <c r="N454" s="34">
        <f>+K454</f>
        <v>42005</v>
      </c>
      <c r="O454" s="35"/>
      <c r="P454" s="33"/>
      <c r="Q454" s="33"/>
      <c r="R454" s="33"/>
      <c r="S454" s="33"/>
      <c r="T454" s="36">
        <f>SUBTOTAL(9,T445:T453)</f>
        <v>2121.19</v>
      </c>
    </row>
    <row r="455" spans="1:20" s="7" customFormat="1" hidden="1" outlineLevel="3" x14ac:dyDescent="0.2">
      <c r="A455" s="7" t="s">
        <v>92</v>
      </c>
      <c r="C455" s="7" t="str">
        <f t="shared" ref="C455:C505" si="66">+C454</f>
        <v>Jim</v>
      </c>
      <c r="D455" s="7" t="str">
        <f>+D454</f>
        <v>Stewart</v>
      </c>
      <c r="E455" s="8" t="str">
        <f>E454</f>
        <v>ADMN</v>
      </c>
      <c r="G455" s="8" t="str">
        <f>G454</f>
        <v>STEW0001</v>
      </c>
      <c r="H455" s="26"/>
      <c r="I455" s="26"/>
      <c r="J455" s="26"/>
      <c r="K455" s="28">
        <f>+N455</f>
        <v>42036</v>
      </c>
      <c r="L455" s="26" t="str">
        <f>M455</f>
        <v>10399</v>
      </c>
      <c r="M455" s="26" t="str">
        <f>"10399"</f>
        <v>10399</v>
      </c>
      <c r="N455" s="28">
        <v>42036</v>
      </c>
      <c r="O455" s="26"/>
      <c r="P455" s="26"/>
      <c r="Q455" s="26"/>
      <c r="R455" s="26"/>
      <c r="S455" s="26"/>
      <c r="T455" s="27"/>
    </row>
    <row r="456" spans="1:20" s="7" customFormat="1" hidden="1" outlineLevel="3" x14ac:dyDescent="0.2">
      <c r="A456" s="7" t="s">
        <v>92</v>
      </c>
      <c r="C456" s="7" t="str">
        <f t="shared" si="66"/>
        <v>Jim</v>
      </c>
      <c r="D456" s="7" t="str">
        <f>+D455</f>
        <v>Stewart</v>
      </c>
      <c r="E456" s="8" t="str">
        <f>E455</f>
        <v>ADMN</v>
      </c>
      <c r="G456" s="8" t="str">
        <f>G455</f>
        <v>STEW0001</v>
      </c>
      <c r="H456" s="26"/>
      <c r="I456" s="26"/>
      <c r="J456" s="26"/>
      <c r="K456" s="28">
        <f>+K455</f>
        <v>42036</v>
      </c>
      <c r="L456" s="26" t="str">
        <f>L455</f>
        <v>10399</v>
      </c>
      <c r="M456" s="26"/>
      <c r="N456" s="26"/>
      <c r="O456" s="26" t="str">
        <f>"""GP Direct"",""Fabrikam, Inc."",""UPR30300"",""PAYRATE"",""0.00000"",""PAYROLCD"",""401K"",""STATECD"","""",""CHEKDATE"",""2/1/2015"",""UPRTRXAM"",""5.07000"""</f>
        <v>"GP Direct","Fabrikam, Inc.","UPR30300","PAYRATE","0.00000","PAYROLCD","401K","STATECD","","CHEKDATE","2/1/2015","UPRTRXAM","5.07000"</v>
      </c>
      <c r="P456" s="29">
        <v>0</v>
      </c>
      <c r="Q456" s="26" t="str">
        <f>"401K"</f>
        <v>401K</v>
      </c>
      <c r="R456" s="26"/>
      <c r="S456" s="28">
        <v>42036</v>
      </c>
      <c r="T456" s="29">
        <v>5.07</v>
      </c>
    </row>
    <row r="457" spans="1:20" s="7" customFormat="1" hidden="1" outlineLevel="3" x14ac:dyDescent="0.2">
      <c r="A457" s="7" t="s">
        <v>92</v>
      </c>
      <c r="C457" s="7" t="str">
        <f t="shared" ref="C457:C462" si="67">+C456</f>
        <v>Jim</v>
      </c>
      <c r="D457" s="7" t="str">
        <f>+D456</f>
        <v>Stewart</v>
      </c>
      <c r="E457" s="8" t="str">
        <f>E456</f>
        <v>ADMN</v>
      </c>
      <c r="G457" s="8" t="str">
        <f>G456</f>
        <v>STEW0001</v>
      </c>
      <c r="H457" s="26"/>
      <c r="I457" s="26"/>
      <c r="J457" s="26"/>
      <c r="K457" s="28">
        <f>+K456</f>
        <v>42036</v>
      </c>
      <c r="L457" s="26" t="str">
        <f>L456</f>
        <v>10399</v>
      </c>
      <c r="M457" s="26"/>
      <c r="N457" s="26"/>
      <c r="O457" s="26" t="str">
        <f>"""GP Direct"",""Fabrikam, Inc."",""UPR30300"",""PAYRATE"",""0.00000"",""PAYROLCD"",""401K"",""STATECD"","""",""CHEKDATE"",""2/1/2015"",""UPRTRXAM"",""101.36000"""</f>
        <v>"GP Direct","Fabrikam, Inc.","UPR30300","PAYRATE","0.00000","PAYROLCD","401K","STATECD","","CHEKDATE","2/1/2015","UPRTRXAM","101.36000"</v>
      </c>
      <c r="P457" s="29">
        <v>0</v>
      </c>
      <c r="Q457" s="26" t="str">
        <f>"401K"</f>
        <v>401K</v>
      </c>
      <c r="R457" s="26"/>
      <c r="S457" s="28">
        <v>42036</v>
      </c>
      <c r="T457" s="29">
        <v>101.36</v>
      </c>
    </row>
    <row r="458" spans="1:20" s="7" customFormat="1" hidden="1" outlineLevel="3" x14ac:dyDescent="0.2">
      <c r="A458" s="7" t="s">
        <v>92</v>
      </c>
      <c r="C458" s="7" t="str">
        <f t="shared" si="67"/>
        <v>Jim</v>
      </c>
      <c r="D458" s="7" t="str">
        <f>+D457</f>
        <v>Stewart</v>
      </c>
      <c r="E458" s="8" t="str">
        <f>E457</f>
        <v>ADMN</v>
      </c>
      <c r="G458" s="8" t="str">
        <f>G457</f>
        <v>STEW0001</v>
      </c>
      <c r="H458" s="26"/>
      <c r="I458" s="26"/>
      <c r="J458" s="26"/>
      <c r="K458" s="28">
        <f>+K457</f>
        <v>42036</v>
      </c>
      <c r="L458" s="26" t="str">
        <f>L457</f>
        <v>10399</v>
      </c>
      <c r="M458" s="26"/>
      <c r="N458" s="26"/>
      <c r="O458" s="26" t="str">
        <f>"""GP Direct"",""Fabrikam, Inc."",""UPR30300"",""PAYRATE"",""0.00000"",""PAYROLCD"",""IL"",""STATECD"","""",""CHEKDATE"",""2/1/2015"",""UPRTRXAM"",""47.49000"""</f>
        <v>"GP Direct","Fabrikam, Inc.","UPR30300","PAYRATE","0.00000","PAYROLCD","IL","STATECD","","CHEKDATE","2/1/2015","UPRTRXAM","47.49000"</v>
      </c>
      <c r="P458" s="29">
        <v>0</v>
      </c>
      <c r="Q458" s="26" t="str">
        <f>"IL"</f>
        <v>IL</v>
      </c>
      <c r="R458" s="26"/>
      <c r="S458" s="28">
        <v>42036</v>
      </c>
      <c r="T458" s="29">
        <v>47.49</v>
      </c>
    </row>
    <row r="459" spans="1:20" s="7" customFormat="1" hidden="1" outlineLevel="3" x14ac:dyDescent="0.2">
      <c r="A459" s="7" t="s">
        <v>92</v>
      </c>
      <c r="C459" s="7" t="str">
        <f t="shared" si="67"/>
        <v>Jim</v>
      </c>
      <c r="D459" s="7" t="str">
        <f>+D458</f>
        <v>Stewart</v>
      </c>
      <c r="E459" s="8" t="str">
        <f>E458</f>
        <v>ADMN</v>
      </c>
      <c r="G459" s="8" t="str">
        <f>G458</f>
        <v>STEW0001</v>
      </c>
      <c r="H459" s="26"/>
      <c r="I459" s="26"/>
      <c r="J459" s="26"/>
      <c r="K459" s="28">
        <f>+K458</f>
        <v>42036</v>
      </c>
      <c r="L459" s="26" t="str">
        <f>L458</f>
        <v>10399</v>
      </c>
      <c r="M459" s="26"/>
      <c r="N459" s="26"/>
      <c r="O459" s="26" t="str">
        <f>"""GP Direct"",""Fabrikam, Inc."",""UPR30300"",""PAYRATE"",""0.00000"",""PAYROLCD"",""INS"",""STATECD"","""",""CHEKDATE"",""2/1/2015"",""UPRTRXAM"",""49.36000"""</f>
        <v>"GP Direct","Fabrikam, Inc.","UPR30300","PAYRATE","0.00000","PAYROLCD","INS","STATECD","","CHEKDATE","2/1/2015","UPRTRXAM","49.36000"</v>
      </c>
      <c r="P459" s="29">
        <v>0</v>
      </c>
      <c r="Q459" s="26" t="str">
        <f>"INS"</f>
        <v>INS</v>
      </c>
      <c r="R459" s="26"/>
      <c r="S459" s="28">
        <v>42036</v>
      </c>
      <c r="T459" s="29">
        <v>49.36</v>
      </c>
    </row>
    <row r="460" spans="1:20" s="7" customFormat="1" hidden="1" outlineLevel="3" x14ac:dyDescent="0.2">
      <c r="A460" s="7" t="s">
        <v>92</v>
      </c>
      <c r="C460" s="7" t="str">
        <f t="shared" si="67"/>
        <v>Jim</v>
      </c>
      <c r="D460" s="7" t="str">
        <f>+D459</f>
        <v>Stewart</v>
      </c>
      <c r="E460" s="8" t="str">
        <f>E459</f>
        <v>ADMN</v>
      </c>
      <c r="G460" s="8" t="str">
        <f>G459</f>
        <v>STEW0001</v>
      </c>
      <c r="H460" s="26"/>
      <c r="I460" s="26"/>
      <c r="J460" s="26"/>
      <c r="K460" s="28">
        <f>+K459</f>
        <v>42036</v>
      </c>
      <c r="L460" s="26" t="str">
        <f>L459</f>
        <v>10399</v>
      </c>
      <c r="M460" s="26"/>
      <c r="N460" s="26"/>
      <c r="O460" s="26" t="str">
        <f>"""GP Direct"",""Fabrikam, Inc."",""UPR30300"",""PAYRATE"",""0.00000"",""PAYROLCD"",""INS2"",""STATECD"","""",""CHEKDATE"",""2/1/2015"",""UPRTRXAM"",""72.95000"""</f>
        <v>"GP Direct","Fabrikam, Inc.","UPR30300","PAYRATE","0.00000","PAYROLCD","INS2","STATECD","","CHEKDATE","2/1/2015","UPRTRXAM","72.95000"</v>
      </c>
      <c r="P460" s="29">
        <v>0</v>
      </c>
      <c r="Q460" s="26" t="str">
        <f>"INS2"</f>
        <v>INS2</v>
      </c>
      <c r="R460" s="26"/>
      <c r="S460" s="28">
        <v>42036</v>
      </c>
      <c r="T460" s="29">
        <v>72.95</v>
      </c>
    </row>
    <row r="461" spans="1:20" s="7" customFormat="1" hidden="1" outlineLevel="3" x14ac:dyDescent="0.2">
      <c r="A461" s="7" t="s">
        <v>92</v>
      </c>
      <c r="C461" s="7" t="str">
        <f t="shared" si="67"/>
        <v>Jim</v>
      </c>
      <c r="D461" s="7" t="str">
        <f>+D460</f>
        <v>Stewart</v>
      </c>
      <c r="E461" s="8" t="str">
        <f>E460</f>
        <v>ADMN</v>
      </c>
      <c r="G461" s="8" t="str">
        <f>G460</f>
        <v>STEW0001</v>
      </c>
      <c r="H461" s="26"/>
      <c r="I461" s="26"/>
      <c r="J461" s="26"/>
      <c r="K461" s="28">
        <f>+K460</f>
        <v>42036</v>
      </c>
      <c r="L461" s="26" t="str">
        <f>L460</f>
        <v>10399</v>
      </c>
      <c r="M461" s="26"/>
      <c r="N461" s="26"/>
      <c r="O461" s="26" t="str">
        <f>"""GP Direct"",""Fabrikam, Inc."",""UPR30300"",""PAYRATE"",""0.00000"",""PAYROLCD"",""MED"",""STATECD"","""",""CHEKDATE"",""2/1/2015"",""UPRTRXAM"",""20.00000"""</f>
        <v>"GP Direct","Fabrikam, Inc.","UPR30300","PAYRATE","0.00000","PAYROLCD","MED","STATECD","","CHEKDATE","2/1/2015","UPRTRXAM","20.00000"</v>
      </c>
      <c r="P461" s="29">
        <v>0</v>
      </c>
      <c r="Q461" s="26" t="str">
        <f>"MED"</f>
        <v>MED</v>
      </c>
      <c r="R461" s="26"/>
      <c r="S461" s="28">
        <v>42036</v>
      </c>
      <c r="T461" s="29">
        <v>20</v>
      </c>
    </row>
    <row r="462" spans="1:20" s="7" customFormat="1" hidden="1" outlineLevel="3" x14ac:dyDescent="0.2">
      <c r="A462" s="7" t="s">
        <v>92</v>
      </c>
      <c r="C462" s="7" t="str">
        <f t="shared" si="67"/>
        <v>Jim</v>
      </c>
      <c r="D462" s="7" t="str">
        <f>+D461</f>
        <v>Stewart</v>
      </c>
      <c r="E462" s="8" t="str">
        <f>E461</f>
        <v>ADMN</v>
      </c>
      <c r="G462" s="8" t="str">
        <f>G461</f>
        <v>STEW0001</v>
      </c>
      <c r="H462" s="26"/>
      <c r="I462" s="26"/>
      <c r="J462" s="26"/>
      <c r="K462" s="28">
        <f>+K461</f>
        <v>42036</v>
      </c>
      <c r="L462" s="26" t="str">
        <f>L461</f>
        <v>10399</v>
      </c>
      <c r="M462" s="26"/>
      <c r="N462" s="26"/>
      <c r="O462" s="26" t="str">
        <f>"""GP Direct"",""Fabrikam, Inc."",""UPR30300"",""PAYRATE"",""48654.00000"",""PAYROLCD"",""SALY"",""STATECD"",""IL"",""CHEKDATE"",""2/1/2015"",""UPRTRXAM"",""2027.25000"""</f>
        <v>"GP Direct","Fabrikam, Inc.","UPR30300","PAYRATE","48654.00000","PAYROLCD","SALY","STATECD","IL","CHEKDATE","2/1/2015","UPRTRXAM","2027.25000"</v>
      </c>
      <c r="P462" s="29">
        <v>48654</v>
      </c>
      <c r="Q462" s="26" t="str">
        <f>"SALY"</f>
        <v>SALY</v>
      </c>
      <c r="R462" s="26" t="str">
        <f>"IL"</f>
        <v>IL</v>
      </c>
      <c r="S462" s="28">
        <v>42036</v>
      </c>
      <c r="T462" s="29">
        <v>2027.25</v>
      </c>
    </row>
    <row r="463" spans="1:20" s="7" customFormat="1" hidden="1" outlineLevel="3" x14ac:dyDescent="0.2">
      <c r="A463" s="7" t="s">
        <v>92</v>
      </c>
      <c r="C463" s="7" t="str">
        <f>+C456</f>
        <v>Jim</v>
      </c>
      <c r="D463" s="7" t="str">
        <f>+D456</f>
        <v>Stewart</v>
      </c>
      <c r="E463" s="8" t="str">
        <f>E456</f>
        <v>ADMN</v>
      </c>
      <c r="G463" s="8" t="str">
        <f>G456</f>
        <v>STEW0001</v>
      </c>
      <c r="K463" s="12">
        <f>+K456</f>
        <v>42036</v>
      </c>
      <c r="L463" s="8" t="str">
        <f>L456</f>
        <v>10399</v>
      </c>
      <c r="O463" s="8"/>
      <c r="T463" s="20"/>
    </row>
    <row r="464" spans="1:20" s="7" customFormat="1" hidden="1" outlineLevel="2" collapsed="1" x14ac:dyDescent="0.2">
      <c r="A464" s="7" t="s">
        <v>92</v>
      </c>
      <c r="C464" s="7" t="str">
        <f t="shared" si="66"/>
        <v>Jim</v>
      </c>
      <c r="D464" s="7" t="str">
        <f>+D463</f>
        <v>Stewart</v>
      </c>
      <c r="E464" s="8" t="str">
        <f>E463</f>
        <v>ADMN</v>
      </c>
      <c r="G464" s="8" t="str">
        <f>G463</f>
        <v>STEW0001</v>
      </c>
      <c r="K464" s="12">
        <f>+K463</f>
        <v>42036</v>
      </c>
      <c r="L464" s="8" t="str">
        <f>L463</f>
        <v>10399</v>
      </c>
      <c r="M464" s="33" t="str">
        <f>"Total for " &amp; $L464</f>
        <v>Total for 10399</v>
      </c>
      <c r="N464" s="34">
        <f>+K464</f>
        <v>42036</v>
      </c>
      <c r="O464" s="35"/>
      <c r="P464" s="33"/>
      <c r="Q464" s="33"/>
      <c r="R464" s="33"/>
      <c r="S464" s="33"/>
      <c r="T464" s="36">
        <f>SUBTOTAL(9,T456:T463)</f>
        <v>2323.48</v>
      </c>
    </row>
    <row r="465" spans="1:20" s="7" customFormat="1" hidden="1" outlineLevel="3" x14ac:dyDescent="0.2">
      <c r="A465" s="7" t="s">
        <v>92</v>
      </c>
      <c r="C465" s="7" t="str">
        <f t="shared" si="66"/>
        <v>Jim</v>
      </c>
      <c r="D465" s="7" t="str">
        <f>+D464</f>
        <v>Stewart</v>
      </c>
      <c r="E465" s="8" t="str">
        <f>E464</f>
        <v>ADMN</v>
      </c>
      <c r="G465" s="8" t="str">
        <f>G464</f>
        <v>STEW0001</v>
      </c>
      <c r="H465" s="26"/>
      <c r="I465" s="26"/>
      <c r="J465" s="26"/>
      <c r="K465" s="28">
        <f>+N465</f>
        <v>42064</v>
      </c>
      <c r="L465" s="26" t="str">
        <f>M465</f>
        <v>10424</v>
      </c>
      <c r="M465" s="26" t="str">
        <f>"10424"</f>
        <v>10424</v>
      </c>
      <c r="N465" s="28">
        <v>42064</v>
      </c>
      <c r="O465" s="26"/>
      <c r="P465" s="26"/>
      <c r="Q465" s="26"/>
      <c r="R465" s="26"/>
      <c r="S465" s="26"/>
      <c r="T465" s="27"/>
    </row>
    <row r="466" spans="1:20" s="7" customFormat="1" hidden="1" outlineLevel="3" x14ac:dyDescent="0.2">
      <c r="A466" s="7" t="s">
        <v>92</v>
      </c>
      <c r="C466" s="7" t="str">
        <f t="shared" si="66"/>
        <v>Jim</v>
      </c>
      <c r="D466" s="7" t="str">
        <f>+D465</f>
        <v>Stewart</v>
      </c>
      <c r="E466" s="8" t="str">
        <f>E465</f>
        <v>ADMN</v>
      </c>
      <c r="G466" s="8" t="str">
        <f>G465</f>
        <v>STEW0001</v>
      </c>
      <c r="H466" s="26"/>
      <c r="I466" s="26"/>
      <c r="J466" s="26"/>
      <c r="K466" s="28">
        <f>+K465</f>
        <v>42064</v>
      </c>
      <c r="L466" s="26" t="str">
        <f>L465</f>
        <v>10424</v>
      </c>
      <c r="M466" s="26"/>
      <c r="N466" s="26"/>
      <c r="O466" s="26" t="str">
        <f>"""GP Direct"",""Fabrikam, Inc."",""UPR30300"",""PAYRATE"",""0.00000"",""PAYROLCD"",""401K"",""STATECD"","""",""CHEKDATE"",""3/1/2015"",""UPRTRXAM"",""5.07000"""</f>
        <v>"GP Direct","Fabrikam, Inc.","UPR30300","PAYRATE","0.00000","PAYROLCD","401K","STATECD","","CHEKDATE","3/1/2015","UPRTRXAM","5.07000"</v>
      </c>
      <c r="P466" s="29">
        <v>0</v>
      </c>
      <c r="Q466" s="26" t="str">
        <f>"401K"</f>
        <v>401K</v>
      </c>
      <c r="R466" s="26"/>
      <c r="S466" s="28">
        <v>42064</v>
      </c>
      <c r="T466" s="29">
        <v>5.07</v>
      </c>
    </row>
    <row r="467" spans="1:20" s="7" customFormat="1" hidden="1" outlineLevel="3" x14ac:dyDescent="0.2">
      <c r="A467" s="7" t="s">
        <v>92</v>
      </c>
      <c r="C467" s="7" t="str">
        <f t="shared" ref="C467:C472" si="68">+C466</f>
        <v>Jim</v>
      </c>
      <c r="D467" s="7" t="str">
        <f>+D466</f>
        <v>Stewart</v>
      </c>
      <c r="E467" s="8" t="str">
        <f>E466</f>
        <v>ADMN</v>
      </c>
      <c r="G467" s="8" t="str">
        <f>G466</f>
        <v>STEW0001</v>
      </c>
      <c r="H467" s="26"/>
      <c r="I467" s="26"/>
      <c r="J467" s="26"/>
      <c r="K467" s="28">
        <f>+K466</f>
        <v>42064</v>
      </c>
      <c r="L467" s="26" t="str">
        <f>L466</f>
        <v>10424</v>
      </c>
      <c r="M467" s="26"/>
      <c r="N467" s="26"/>
      <c r="O467" s="26" t="str">
        <f>"""GP Direct"",""Fabrikam, Inc."",""UPR30300"",""PAYRATE"",""0.00000"",""PAYROLCD"",""401K"",""STATECD"","""",""CHEKDATE"",""3/1/2015"",""UPRTRXAM"",""101.36000"""</f>
        <v>"GP Direct","Fabrikam, Inc.","UPR30300","PAYRATE","0.00000","PAYROLCD","401K","STATECD","","CHEKDATE","3/1/2015","UPRTRXAM","101.36000"</v>
      </c>
      <c r="P467" s="29">
        <v>0</v>
      </c>
      <c r="Q467" s="26" t="str">
        <f>"401K"</f>
        <v>401K</v>
      </c>
      <c r="R467" s="26"/>
      <c r="S467" s="28">
        <v>42064</v>
      </c>
      <c r="T467" s="29">
        <v>101.36</v>
      </c>
    </row>
    <row r="468" spans="1:20" s="7" customFormat="1" hidden="1" outlineLevel="3" x14ac:dyDescent="0.2">
      <c r="A468" s="7" t="s">
        <v>92</v>
      </c>
      <c r="C468" s="7" t="str">
        <f t="shared" si="68"/>
        <v>Jim</v>
      </c>
      <c r="D468" s="7" t="str">
        <f>+D467</f>
        <v>Stewart</v>
      </c>
      <c r="E468" s="8" t="str">
        <f>E467</f>
        <v>ADMN</v>
      </c>
      <c r="G468" s="8" t="str">
        <f>G467</f>
        <v>STEW0001</v>
      </c>
      <c r="H468" s="26"/>
      <c r="I468" s="26"/>
      <c r="J468" s="26"/>
      <c r="K468" s="28">
        <f>+K467</f>
        <v>42064</v>
      </c>
      <c r="L468" s="26" t="str">
        <f>L467</f>
        <v>10424</v>
      </c>
      <c r="M468" s="26"/>
      <c r="N468" s="26"/>
      <c r="O468" s="26" t="str">
        <f>"""GP Direct"",""Fabrikam, Inc."",""UPR30300"",""PAYRATE"",""0.00000"",""PAYROLCD"",""IL"",""STATECD"","""",""CHEKDATE"",""3/1/2015"",""UPRTRXAM"",""47.49000"""</f>
        <v>"GP Direct","Fabrikam, Inc.","UPR30300","PAYRATE","0.00000","PAYROLCD","IL","STATECD","","CHEKDATE","3/1/2015","UPRTRXAM","47.49000"</v>
      </c>
      <c r="P468" s="29">
        <v>0</v>
      </c>
      <c r="Q468" s="26" t="str">
        <f>"IL"</f>
        <v>IL</v>
      </c>
      <c r="R468" s="26"/>
      <c r="S468" s="28">
        <v>42064</v>
      </c>
      <c r="T468" s="29">
        <v>47.49</v>
      </c>
    </row>
    <row r="469" spans="1:20" s="7" customFormat="1" hidden="1" outlineLevel="3" x14ac:dyDescent="0.2">
      <c r="A469" s="7" t="s">
        <v>92</v>
      </c>
      <c r="C469" s="7" t="str">
        <f t="shared" si="68"/>
        <v>Jim</v>
      </c>
      <c r="D469" s="7" t="str">
        <f>+D468</f>
        <v>Stewart</v>
      </c>
      <c r="E469" s="8" t="str">
        <f>E468</f>
        <v>ADMN</v>
      </c>
      <c r="G469" s="8" t="str">
        <f>G468</f>
        <v>STEW0001</v>
      </c>
      <c r="H469" s="26"/>
      <c r="I469" s="26"/>
      <c r="J469" s="26"/>
      <c r="K469" s="28">
        <f>+K468</f>
        <v>42064</v>
      </c>
      <c r="L469" s="26" t="str">
        <f>L468</f>
        <v>10424</v>
      </c>
      <c r="M469" s="26"/>
      <c r="N469" s="26"/>
      <c r="O469" s="26" t="str">
        <f>"""GP Direct"",""Fabrikam, Inc."",""UPR30300"",""PAYRATE"",""0.00000"",""PAYROLCD"",""INS"",""STATECD"","""",""CHEKDATE"",""3/1/2015"",""UPRTRXAM"",""49.36000"""</f>
        <v>"GP Direct","Fabrikam, Inc.","UPR30300","PAYRATE","0.00000","PAYROLCD","INS","STATECD","","CHEKDATE","3/1/2015","UPRTRXAM","49.36000"</v>
      </c>
      <c r="P469" s="29">
        <v>0</v>
      </c>
      <c r="Q469" s="26" t="str">
        <f>"INS"</f>
        <v>INS</v>
      </c>
      <c r="R469" s="26"/>
      <c r="S469" s="28">
        <v>42064</v>
      </c>
      <c r="T469" s="29">
        <v>49.36</v>
      </c>
    </row>
    <row r="470" spans="1:20" s="7" customFormat="1" hidden="1" outlineLevel="3" x14ac:dyDescent="0.2">
      <c r="A470" s="7" t="s">
        <v>92</v>
      </c>
      <c r="C470" s="7" t="str">
        <f t="shared" si="68"/>
        <v>Jim</v>
      </c>
      <c r="D470" s="7" t="str">
        <f>+D469</f>
        <v>Stewart</v>
      </c>
      <c r="E470" s="8" t="str">
        <f>E469</f>
        <v>ADMN</v>
      </c>
      <c r="G470" s="8" t="str">
        <f>G469</f>
        <v>STEW0001</v>
      </c>
      <c r="H470" s="26"/>
      <c r="I470" s="26"/>
      <c r="J470" s="26"/>
      <c r="K470" s="28">
        <f>+K469</f>
        <v>42064</v>
      </c>
      <c r="L470" s="26" t="str">
        <f>L469</f>
        <v>10424</v>
      </c>
      <c r="M470" s="26"/>
      <c r="N470" s="26"/>
      <c r="O470" s="26" t="str">
        <f>"""GP Direct"",""Fabrikam, Inc."",""UPR30300"",""PAYRATE"",""0.00000"",""PAYROLCD"",""INS2"",""STATECD"","""",""CHEKDATE"",""3/1/2015"",""UPRTRXAM"",""72.95000"""</f>
        <v>"GP Direct","Fabrikam, Inc.","UPR30300","PAYRATE","0.00000","PAYROLCD","INS2","STATECD","","CHEKDATE","3/1/2015","UPRTRXAM","72.95000"</v>
      </c>
      <c r="P470" s="29">
        <v>0</v>
      </c>
      <c r="Q470" s="26" t="str">
        <f>"INS2"</f>
        <v>INS2</v>
      </c>
      <c r="R470" s="26"/>
      <c r="S470" s="28">
        <v>42064</v>
      </c>
      <c r="T470" s="29">
        <v>72.95</v>
      </c>
    </row>
    <row r="471" spans="1:20" s="7" customFormat="1" hidden="1" outlineLevel="3" x14ac:dyDescent="0.2">
      <c r="A471" s="7" t="s">
        <v>92</v>
      </c>
      <c r="C471" s="7" t="str">
        <f t="shared" si="68"/>
        <v>Jim</v>
      </c>
      <c r="D471" s="7" t="str">
        <f>+D470</f>
        <v>Stewart</v>
      </c>
      <c r="E471" s="8" t="str">
        <f>E470</f>
        <v>ADMN</v>
      </c>
      <c r="G471" s="8" t="str">
        <f>G470</f>
        <v>STEW0001</v>
      </c>
      <c r="H471" s="26"/>
      <c r="I471" s="26"/>
      <c r="J471" s="26"/>
      <c r="K471" s="28">
        <f>+K470</f>
        <v>42064</v>
      </c>
      <c r="L471" s="26" t="str">
        <f>L470</f>
        <v>10424</v>
      </c>
      <c r="M471" s="26"/>
      <c r="N471" s="26"/>
      <c r="O471" s="26" t="str">
        <f>"""GP Direct"",""Fabrikam, Inc."",""UPR30300"",""PAYRATE"",""0.00000"",""PAYROLCD"",""MED"",""STATECD"","""",""CHEKDATE"",""3/1/2015"",""UPRTRXAM"",""20.00000"""</f>
        <v>"GP Direct","Fabrikam, Inc.","UPR30300","PAYRATE","0.00000","PAYROLCD","MED","STATECD","","CHEKDATE","3/1/2015","UPRTRXAM","20.00000"</v>
      </c>
      <c r="P471" s="29">
        <v>0</v>
      </c>
      <c r="Q471" s="26" t="str">
        <f>"MED"</f>
        <v>MED</v>
      </c>
      <c r="R471" s="26"/>
      <c r="S471" s="28">
        <v>42064</v>
      </c>
      <c r="T471" s="29">
        <v>20</v>
      </c>
    </row>
    <row r="472" spans="1:20" s="7" customFormat="1" hidden="1" outlineLevel="3" x14ac:dyDescent="0.2">
      <c r="A472" s="7" t="s">
        <v>92</v>
      </c>
      <c r="C472" s="7" t="str">
        <f t="shared" si="68"/>
        <v>Jim</v>
      </c>
      <c r="D472" s="7" t="str">
        <f>+D471</f>
        <v>Stewart</v>
      </c>
      <c r="E472" s="8" t="str">
        <f>E471</f>
        <v>ADMN</v>
      </c>
      <c r="G472" s="8" t="str">
        <f>G471</f>
        <v>STEW0001</v>
      </c>
      <c r="H472" s="26"/>
      <c r="I472" s="26"/>
      <c r="J472" s="26"/>
      <c r="K472" s="28">
        <f>+K471</f>
        <v>42064</v>
      </c>
      <c r="L472" s="26" t="str">
        <f>L471</f>
        <v>10424</v>
      </c>
      <c r="M472" s="26"/>
      <c r="N472" s="26"/>
      <c r="O472" s="26" t="str">
        <f>"""GP Direct"",""Fabrikam, Inc."",""UPR30300"",""PAYRATE"",""48654.00000"",""PAYROLCD"",""SALY"",""STATECD"",""IL"",""CHEKDATE"",""3/1/2015"",""UPRTRXAM"",""2027.25000"""</f>
        <v>"GP Direct","Fabrikam, Inc.","UPR30300","PAYRATE","48654.00000","PAYROLCD","SALY","STATECD","IL","CHEKDATE","3/1/2015","UPRTRXAM","2027.25000"</v>
      </c>
      <c r="P472" s="29">
        <v>48654</v>
      </c>
      <c r="Q472" s="26" t="str">
        <f>"SALY"</f>
        <v>SALY</v>
      </c>
      <c r="R472" s="26" t="str">
        <f>"IL"</f>
        <v>IL</v>
      </c>
      <c r="S472" s="28">
        <v>42064</v>
      </c>
      <c r="T472" s="29">
        <v>2027.25</v>
      </c>
    </row>
    <row r="473" spans="1:20" s="7" customFormat="1" hidden="1" outlineLevel="3" x14ac:dyDescent="0.2">
      <c r="A473" s="7" t="s">
        <v>92</v>
      </c>
      <c r="C473" s="7" t="str">
        <f>+C466</f>
        <v>Jim</v>
      </c>
      <c r="D473" s="7" t="str">
        <f>+D466</f>
        <v>Stewart</v>
      </c>
      <c r="E473" s="8" t="str">
        <f>E466</f>
        <v>ADMN</v>
      </c>
      <c r="G473" s="8" t="str">
        <f>G466</f>
        <v>STEW0001</v>
      </c>
      <c r="K473" s="12">
        <f>+K466</f>
        <v>42064</v>
      </c>
      <c r="L473" s="8" t="str">
        <f>L466</f>
        <v>10424</v>
      </c>
      <c r="O473" s="8"/>
      <c r="T473" s="20"/>
    </row>
    <row r="474" spans="1:20" s="7" customFormat="1" hidden="1" outlineLevel="2" collapsed="1" x14ac:dyDescent="0.2">
      <c r="A474" s="7" t="s">
        <v>92</v>
      </c>
      <c r="C474" s="7" t="str">
        <f t="shared" si="66"/>
        <v>Jim</v>
      </c>
      <c r="D474" s="7" t="str">
        <f>+D473</f>
        <v>Stewart</v>
      </c>
      <c r="E474" s="8" t="str">
        <f>E473</f>
        <v>ADMN</v>
      </c>
      <c r="G474" s="8" t="str">
        <f>G473</f>
        <v>STEW0001</v>
      </c>
      <c r="K474" s="12">
        <f>+K473</f>
        <v>42064</v>
      </c>
      <c r="L474" s="8" t="str">
        <f>L473</f>
        <v>10424</v>
      </c>
      <c r="M474" s="33" t="str">
        <f>"Total for " &amp; $L474</f>
        <v>Total for 10424</v>
      </c>
      <c r="N474" s="34">
        <f>+K474</f>
        <v>42064</v>
      </c>
      <c r="O474" s="35"/>
      <c r="P474" s="33"/>
      <c r="Q474" s="33"/>
      <c r="R474" s="33"/>
      <c r="S474" s="33"/>
      <c r="T474" s="36">
        <f>SUBTOTAL(9,T466:T473)</f>
        <v>2323.48</v>
      </c>
    </row>
    <row r="475" spans="1:20" s="7" customFormat="1" hidden="1" outlineLevel="3" x14ac:dyDescent="0.2">
      <c r="A475" s="7" t="s">
        <v>92</v>
      </c>
      <c r="C475" s="7" t="str">
        <f t="shared" si="66"/>
        <v>Jim</v>
      </c>
      <c r="D475" s="7" t="str">
        <f>+D474</f>
        <v>Stewart</v>
      </c>
      <c r="E475" s="8" t="str">
        <f>E474</f>
        <v>ADMN</v>
      </c>
      <c r="G475" s="8" t="str">
        <f>G474</f>
        <v>STEW0001</v>
      </c>
      <c r="H475" s="26"/>
      <c r="I475" s="26"/>
      <c r="J475" s="26"/>
      <c r="K475" s="28">
        <f>+N475</f>
        <v>42095</v>
      </c>
      <c r="L475" s="26" t="str">
        <f>M475</f>
        <v>10449</v>
      </c>
      <c r="M475" s="26" t="str">
        <f>"10449"</f>
        <v>10449</v>
      </c>
      <c r="N475" s="28">
        <v>42095</v>
      </c>
      <c r="O475" s="26"/>
      <c r="P475" s="26"/>
      <c r="Q475" s="26"/>
      <c r="R475" s="26"/>
      <c r="S475" s="26"/>
      <c r="T475" s="27"/>
    </row>
    <row r="476" spans="1:20" s="7" customFormat="1" hidden="1" outlineLevel="3" x14ac:dyDescent="0.2">
      <c r="A476" s="7" t="s">
        <v>92</v>
      </c>
      <c r="C476" s="7" t="str">
        <f t="shared" si="66"/>
        <v>Jim</v>
      </c>
      <c r="D476" s="7" t="str">
        <f>+D475</f>
        <v>Stewart</v>
      </c>
      <c r="E476" s="8" t="str">
        <f>E475</f>
        <v>ADMN</v>
      </c>
      <c r="G476" s="8" t="str">
        <f>G475</f>
        <v>STEW0001</v>
      </c>
      <c r="H476" s="26"/>
      <c r="I476" s="26"/>
      <c r="J476" s="26"/>
      <c r="K476" s="28">
        <f>+K475</f>
        <v>42095</v>
      </c>
      <c r="L476" s="26" t="str">
        <f>L475</f>
        <v>10449</v>
      </c>
      <c r="M476" s="26"/>
      <c r="N476" s="26"/>
      <c r="O476" s="26" t="str">
        <f>"""GP Direct"",""Fabrikam, Inc."",""UPR30300"",""PAYRATE"",""0.00000"",""PAYROLCD"",""401K"",""STATECD"","""",""CHEKDATE"",""4/1/2015"",""UPRTRXAM"",""5.07000"""</f>
        <v>"GP Direct","Fabrikam, Inc.","UPR30300","PAYRATE","0.00000","PAYROLCD","401K","STATECD","","CHEKDATE","4/1/2015","UPRTRXAM","5.07000"</v>
      </c>
      <c r="P476" s="29">
        <v>0</v>
      </c>
      <c r="Q476" s="26" t="str">
        <f>"401K"</f>
        <v>401K</v>
      </c>
      <c r="R476" s="26"/>
      <c r="S476" s="28">
        <v>42095</v>
      </c>
      <c r="T476" s="29">
        <v>5.07</v>
      </c>
    </row>
    <row r="477" spans="1:20" s="7" customFormat="1" hidden="1" outlineLevel="3" x14ac:dyDescent="0.2">
      <c r="A477" s="7" t="s">
        <v>92</v>
      </c>
      <c r="C477" s="7" t="str">
        <f t="shared" ref="C477:C482" si="69">+C476</f>
        <v>Jim</v>
      </c>
      <c r="D477" s="7" t="str">
        <f>+D476</f>
        <v>Stewart</v>
      </c>
      <c r="E477" s="8" t="str">
        <f>E476</f>
        <v>ADMN</v>
      </c>
      <c r="G477" s="8" t="str">
        <f>G476</f>
        <v>STEW0001</v>
      </c>
      <c r="H477" s="26"/>
      <c r="I477" s="26"/>
      <c r="J477" s="26"/>
      <c r="K477" s="28">
        <f>+K476</f>
        <v>42095</v>
      </c>
      <c r="L477" s="26" t="str">
        <f>L476</f>
        <v>10449</v>
      </c>
      <c r="M477" s="26"/>
      <c r="N477" s="26"/>
      <c r="O477" s="26" t="str">
        <f>"""GP Direct"",""Fabrikam, Inc."",""UPR30300"",""PAYRATE"",""0.00000"",""PAYROLCD"",""401K"",""STATECD"","""",""CHEKDATE"",""4/1/2015"",""UPRTRXAM"",""101.36000"""</f>
        <v>"GP Direct","Fabrikam, Inc.","UPR30300","PAYRATE","0.00000","PAYROLCD","401K","STATECD","","CHEKDATE","4/1/2015","UPRTRXAM","101.36000"</v>
      </c>
      <c r="P477" s="29">
        <v>0</v>
      </c>
      <c r="Q477" s="26" t="str">
        <f>"401K"</f>
        <v>401K</v>
      </c>
      <c r="R477" s="26"/>
      <c r="S477" s="28">
        <v>42095</v>
      </c>
      <c r="T477" s="29">
        <v>101.36</v>
      </c>
    </row>
    <row r="478" spans="1:20" s="7" customFormat="1" hidden="1" outlineLevel="3" x14ac:dyDescent="0.2">
      <c r="A478" s="7" t="s">
        <v>92</v>
      </c>
      <c r="C478" s="7" t="str">
        <f t="shared" si="69"/>
        <v>Jim</v>
      </c>
      <c r="D478" s="7" t="str">
        <f>+D477</f>
        <v>Stewart</v>
      </c>
      <c r="E478" s="8" t="str">
        <f>E477</f>
        <v>ADMN</v>
      </c>
      <c r="G478" s="8" t="str">
        <f>G477</f>
        <v>STEW0001</v>
      </c>
      <c r="H478" s="26"/>
      <c r="I478" s="26"/>
      <c r="J478" s="26"/>
      <c r="K478" s="28">
        <f>+K477</f>
        <v>42095</v>
      </c>
      <c r="L478" s="26" t="str">
        <f>L477</f>
        <v>10449</v>
      </c>
      <c r="M478" s="26"/>
      <c r="N478" s="26"/>
      <c r="O478" s="26" t="str">
        <f>"""GP Direct"",""Fabrikam, Inc."",""UPR30300"",""PAYRATE"",""0.00000"",""PAYROLCD"",""IL"",""STATECD"","""",""CHEKDATE"",""4/1/2015"",""UPRTRXAM"",""47.49000"""</f>
        <v>"GP Direct","Fabrikam, Inc.","UPR30300","PAYRATE","0.00000","PAYROLCD","IL","STATECD","","CHEKDATE","4/1/2015","UPRTRXAM","47.49000"</v>
      </c>
      <c r="P478" s="29">
        <v>0</v>
      </c>
      <c r="Q478" s="26" t="str">
        <f>"IL"</f>
        <v>IL</v>
      </c>
      <c r="R478" s="26"/>
      <c r="S478" s="28">
        <v>42095</v>
      </c>
      <c r="T478" s="29">
        <v>47.49</v>
      </c>
    </row>
    <row r="479" spans="1:20" s="7" customFormat="1" hidden="1" outlineLevel="3" x14ac:dyDescent="0.2">
      <c r="A479" s="7" t="s">
        <v>92</v>
      </c>
      <c r="C479" s="7" t="str">
        <f t="shared" si="69"/>
        <v>Jim</v>
      </c>
      <c r="D479" s="7" t="str">
        <f>+D478</f>
        <v>Stewart</v>
      </c>
      <c r="E479" s="8" t="str">
        <f>E478</f>
        <v>ADMN</v>
      </c>
      <c r="G479" s="8" t="str">
        <f>G478</f>
        <v>STEW0001</v>
      </c>
      <c r="H479" s="26"/>
      <c r="I479" s="26"/>
      <c r="J479" s="26"/>
      <c r="K479" s="28">
        <f>+K478</f>
        <v>42095</v>
      </c>
      <c r="L479" s="26" t="str">
        <f>L478</f>
        <v>10449</v>
      </c>
      <c r="M479" s="26"/>
      <c r="N479" s="26"/>
      <c r="O479" s="26" t="str">
        <f>"""GP Direct"",""Fabrikam, Inc."",""UPR30300"",""PAYRATE"",""0.00000"",""PAYROLCD"",""INS"",""STATECD"","""",""CHEKDATE"",""4/1/2015"",""UPRTRXAM"",""49.36000"""</f>
        <v>"GP Direct","Fabrikam, Inc.","UPR30300","PAYRATE","0.00000","PAYROLCD","INS","STATECD","","CHEKDATE","4/1/2015","UPRTRXAM","49.36000"</v>
      </c>
      <c r="P479" s="29">
        <v>0</v>
      </c>
      <c r="Q479" s="26" t="str">
        <f>"INS"</f>
        <v>INS</v>
      </c>
      <c r="R479" s="26"/>
      <c r="S479" s="28">
        <v>42095</v>
      </c>
      <c r="T479" s="29">
        <v>49.36</v>
      </c>
    </row>
    <row r="480" spans="1:20" s="7" customFormat="1" hidden="1" outlineLevel="3" x14ac:dyDescent="0.2">
      <c r="A480" s="7" t="s">
        <v>92</v>
      </c>
      <c r="C480" s="7" t="str">
        <f t="shared" si="69"/>
        <v>Jim</v>
      </c>
      <c r="D480" s="7" t="str">
        <f>+D479</f>
        <v>Stewart</v>
      </c>
      <c r="E480" s="8" t="str">
        <f>E479</f>
        <v>ADMN</v>
      </c>
      <c r="G480" s="8" t="str">
        <f>G479</f>
        <v>STEW0001</v>
      </c>
      <c r="H480" s="26"/>
      <c r="I480" s="26"/>
      <c r="J480" s="26"/>
      <c r="K480" s="28">
        <f>+K479</f>
        <v>42095</v>
      </c>
      <c r="L480" s="26" t="str">
        <f>L479</f>
        <v>10449</v>
      </c>
      <c r="M480" s="26"/>
      <c r="N480" s="26"/>
      <c r="O480" s="26" t="str">
        <f>"""GP Direct"",""Fabrikam, Inc."",""UPR30300"",""PAYRATE"",""0.00000"",""PAYROLCD"",""INS2"",""STATECD"","""",""CHEKDATE"",""4/1/2015"",""UPRTRXAM"",""72.95000"""</f>
        <v>"GP Direct","Fabrikam, Inc.","UPR30300","PAYRATE","0.00000","PAYROLCD","INS2","STATECD","","CHEKDATE","4/1/2015","UPRTRXAM","72.95000"</v>
      </c>
      <c r="P480" s="29">
        <v>0</v>
      </c>
      <c r="Q480" s="26" t="str">
        <f>"INS2"</f>
        <v>INS2</v>
      </c>
      <c r="R480" s="26"/>
      <c r="S480" s="28">
        <v>42095</v>
      </c>
      <c r="T480" s="29">
        <v>72.95</v>
      </c>
    </row>
    <row r="481" spans="1:20" s="7" customFormat="1" hidden="1" outlineLevel="3" x14ac:dyDescent="0.2">
      <c r="A481" s="7" t="s">
        <v>92</v>
      </c>
      <c r="C481" s="7" t="str">
        <f t="shared" si="69"/>
        <v>Jim</v>
      </c>
      <c r="D481" s="7" t="str">
        <f>+D480</f>
        <v>Stewart</v>
      </c>
      <c r="E481" s="8" t="str">
        <f>E480</f>
        <v>ADMN</v>
      </c>
      <c r="G481" s="8" t="str">
        <f>G480</f>
        <v>STEW0001</v>
      </c>
      <c r="H481" s="26"/>
      <c r="I481" s="26"/>
      <c r="J481" s="26"/>
      <c r="K481" s="28">
        <f>+K480</f>
        <v>42095</v>
      </c>
      <c r="L481" s="26" t="str">
        <f>L480</f>
        <v>10449</v>
      </c>
      <c r="M481" s="26"/>
      <c r="N481" s="26"/>
      <c r="O481" s="26" t="str">
        <f>"""GP Direct"",""Fabrikam, Inc."",""UPR30300"",""PAYRATE"",""0.00000"",""PAYROLCD"",""MED"",""STATECD"","""",""CHEKDATE"",""4/1/2015"",""UPRTRXAM"",""20.00000"""</f>
        <v>"GP Direct","Fabrikam, Inc.","UPR30300","PAYRATE","0.00000","PAYROLCD","MED","STATECD","","CHEKDATE","4/1/2015","UPRTRXAM","20.00000"</v>
      </c>
      <c r="P481" s="29">
        <v>0</v>
      </c>
      <c r="Q481" s="26" t="str">
        <f>"MED"</f>
        <v>MED</v>
      </c>
      <c r="R481" s="26"/>
      <c r="S481" s="28">
        <v>42095</v>
      </c>
      <c r="T481" s="29">
        <v>20</v>
      </c>
    </row>
    <row r="482" spans="1:20" s="7" customFormat="1" hidden="1" outlineLevel="3" x14ac:dyDescent="0.2">
      <c r="A482" s="7" t="s">
        <v>92</v>
      </c>
      <c r="C482" s="7" t="str">
        <f t="shared" si="69"/>
        <v>Jim</v>
      </c>
      <c r="D482" s="7" t="str">
        <f>+D481</f>
        <v>Stewart</v>
      </c>
      <c r="E482" s="8" t="str">
        <f>E481</f>
        <v>ADMN</v>
      </c>
      <c r="G482" s="8" t="str">
        <f>G481</f>
        <v>STEW0001</v>
      </c>
      <c r="H482" s="26"/>
      <c r="I482" s="26"/>
      <c r="J482" s="26"/>
      <c r="K482" s="28">
        <f>+K481</f>
        <v>42095</v>
      </c>
      <c r="L482" s="26" t="str">
        <f>L481</f>
        <v>10449</v>
      </c>
      <c r="M482" s="26"/>
      <c r="N482" s="26"/>
      <c r="O482" s="26" t="str">
        <f>"""GP Direct"",""Fabrikam, Inc."",""UPR30300"",""PAYRATE"",""48654.00000"",""PAYROLCD"",""SALY"",""STATECD"",""IL"",""CHEKDATE"",""4/1/2015"",""UPRTRXAM"",""2027.25000"""</f>
        <v>"GP Direct","Fabrikam, Inc.","UPR30300","PAYRATE","48654.00000","PAYROLCD","SALY","STATECD","IL","CHEKDATE","4/1/2015","UPRTRXAM","2027.25000"</v>
      </c>
      <c r="P482" s="29">
        <v>48654</v>
      </c>
      <c r="Q482" s="26" t="str">
        <f>"SALY"</f>
        <v>SALY</v>
      </c>
      <c r="R482" s="26" t="str">
        <f>"IL"</f>
        <v>IL</v>
      </c>
      <c r="S482" s="28">
        <v>42095</v>
      </c>
      <c r="T482" s="29">
        <v>2027.25</v>
      </c>
    </row>
    <row r="483" spans="1:20" s="7" customFormat="1" hidden="1" outlineLevel="3" x14ac:dyDescent="0.2">
      <c r="A483" s="7" t="s">
        <v>92</v>
      </c>
      <c r="C483" s="7" t="str">
        <f>+C476</f>
        <v>Jim</v>
      </c>
      <c r="D483" s="7" t="str">
        <f>+D476</f>
        <v>Stewart</v>
      </c>
      <c r="E483" s="8" t="str">
        <f>E476</f>
        <v>ADMN</v>
      </c>
      <c r="G483" s="8" t="str">
        <f>G476</f>
        <v>STEW0001</v>
      </c>
      <c r="K483" s="12">
        <f>+K476</f>
        <v>42095</v>
      </c>
      <c r="L483" s="8" t="str">
        <f>L476</f>
        <v>10449</v>
      </c>
      <c r="O483" s="8"/>
      <c r="T483" s="20"/>
    </row>
    <row r="484" spans="1:20" s="7" customFormat="1" hidden="1" outlineLevel="2" collapsed="1" x14ac:dyDescent="0.2">
      <c r="A484" s="7" t="s">
        <v>92</v>
      </c>
      <c r="C484" s="7" t="str">
        <f t="shared" si="66"/>
        <v>Jim</v>
      </c>
      <c r="D484" s="7" t="str">
        <f>+D483</f>
        <v>Stewart</v>
      </c>
      <c r="E484" s="8" t="str">
        <f>E483</f>
        <v>ADMN</v>
      </c>
      <c r="G484" s="8" t="str">
        <f>G483</f>
        <v>STEW0001</v>
      </c>
      <c r="K484" s="12">
        <f>+K483</f>
        <v>42095</v>
      </c>
      <c r="L484" s="8" t="str">
        <f>L483</f>
        <v>10449</v>
      </c>
      <c r="M484" s="33" t="str">
        <f>"Total for " &amp; $L484</f>
        <v>Total for 10449</v>
      </c>
      <c r="N484" s="34">
        <f>+K484</f>
        <v>42095</v>
      </c>
      <c r="O484" s="35"/>
      <c r="P484" s="33"/>
      <c r="Q484" s="33"/>
      <c r="R484" s="33"/>
      <c r="S484" s="33"/>
      <c r="T484" s="36">
        <f>SUBTOTAL(9,T476:T483)</f>
        <v>2323.48</v>
      </c>
    </row>
    <row r="485" spans="1:20" s="7" customFormat="1" hidden="1" outlineLevel="3" x14ac:dyDescent="0.2">
      <c r="A485" s="7" t="s">
        <v>92</v>
      </c>
      <c r="C485" s="7" t="str">
        <f t="shared" si="66"/>
        <v>Jim</v>
      </c>
      <c r="D485" s="7" t="str">
        <f>+D484</f>
        <v>Stewart</v>
      </c>
      <c r="E485" s="8" t="str">
        <f>E484</f>
        <v>ADMN</v>
      </c>
      <c r="G485" s="8" t="str">
        <f>G484</f>
        <v>STEW0001</v>
      </c>
      <c r="H485" s="26"/>
      <c r="I485" s="26"/>
      <c r="J485" s="26"/>
      <c r="K485" s="28">
        <f>+N485</f>
        <v>42125</v>
      </c>
      <c r="L485" s="26" t="str">
        <f>M485</f>
        <v>10474</v>
      </c>
      <c r="M485" s="26" t="str">
        <f>"10474"</f>
        <v>10474</v>
      </c>
      <c r="N485" s="28">
        <v>42125</v>
      </c>
      <c r="O485" s="26"/>
      <c r="P485" s="26"/>
      <c r="Q485" s="26"/>
      <c r="R485" s="26"/>
      <c r="S485" s="26"/>
      <c r="T485" s="27"/>
    </row>
    <row r="486" spans="1:20" s="7" customFormat="1" hidden="1" outlineLevel="3" x14ac:dyDescent="0.2">
      <c r="A486" s="7" t="s">
        <v>92</v>
      </c>
      <c r="C486" s="7" t="str">
        <f t="shared" si="66"/>
        <v>Jim</v>
      </c>
      <c r="D486" s="7" t="str">
        <f>+D485</f>
        <v>Stewart</v>
      </c>
      <c r="E486" s="8" t="str">
        <f>E485</f>
        <v>ADMN</v>
      </c>
      <c r="G486" s="8" t="str">
        <f>G485</f>
        <v>STEW0001</v>
      </c>
      <c r="H486" s="26"/>
      <c r="I486" s="26"/>
      <c r="J486" s="26"/>
      <c r="K486" s="28">
        <f>+K485</f>
        <v>42125</v>
      </c>
      <c r="L486" s="26" t="str">
        <f>L485</f>
        <v>10474</v>
      </c>
      <c r="M486" s="26"/>
      <c r="N486" s="26"/>
      <c r="O486" s="26" t="str">
        <f>"""GP Direct"",""Fabrikam, Inc."",""UPR30300"",""PAYRATE"",""0.00000"",""PAYROLCD"",""401K"",""STATECD"","""",""CHEKDATE"",""5/1/2015"",""UPRTRXAM"",""4.60000"""</f>
        <v>"GP Direct","Fabrikam, Inc.","UPR30300","PAYRATE","0.00000","PAYROLCD","401K","STATECD","","CHEKDATE","5/1/2015","UPRTRXAM","4.60000"</v>
      </c>
      <c r="P486" s="29">
        <v>0</v>
      </c>
      <c r="Q486" s="26" t="str">
        <f>"401K"</f>
        <v>401K</v>
      </c>
      <c r="R486" s="26"/>
      <c r="S486" s="28">
        <v>42125</v>
      </c>
      <c r="T486" s="29">
        <v>4.5999999999999996</v>
      </c>
    </row>
    <row r="487" spans="1:20" s="7" customFormat="1" hidden="1" outlineLevel="3" x14ac:dyDescent="0.2">
      <c r="A487" s="7" t="s">
        <v>92</v>
      </c>
      <c r="C487" s="7" t="str">
        <f t="shared" ref="C487:C493" si="70">+C486</f>
        <v>Jim</v>
      </c>
      <c r="D487" s="7" t="str">
        <f>+D486</f>
        <v>Stewart</v>
      </c>
      <c r="E487" s="8" t="str">
        <f>E486</f>
        <v>ADMN</v>
      </c>
      <c r="G487" s="8" t="str">
        <f>G486</f>
        <v>STEW0001</v>
      </c>
      <c r="H487" s="26"/>
      <c r="I487" s="26"/>
      <c r="J487" s="26"/>
      <c r="K487" s="28">
        <f>+K486</f>
        <v>42125</v>
      </c>
      <c r="L487" s="26" t="str">
        <f>L486</f>
        <v>10474</v>
      </c>
      <c r="M487" s="26"/>
      <c r="N487" s="26"/>
      <c r="O487" s="26" t="str">
        <f>"""GP Direct"",""Fabrikam, Inc."",""UPR30300"",""PAYRATE"",""0.00000"",""PAYROLCD"",""401K"",""STATECD"","""",""CHEKDATE"",""5/1/2015"",""UPRTRXAM"",""92.01000"""</f>
        <v>"GP Direct","Fabrikam, Inc.","UPR30300","PAYRATE","0.00000","PAYROLCD","401K","STATECD","","CHEKDATE","5/1/2015","UPRTRXAM","92.01000"</v>
      </c>
      <c r="P487" s="29">
        <v>0</v>
      </c>
      <c r="Q487" s="26" t="str">
        <f>"401K"</f>
        <v>401K</v>
      </c>
      <c r="R487" s="26"/>
      <c r="S487" s="28">
        <v>42125</v>
      </c>
      <c r="T487" s="29">
        <v>92.01</v>
      </c>
    </row>
    <row r="488" spans="1:20" s="7" customFormat="1" hidden="1" outlineLevel="3" x14ac:dyDescent="0.2">
      <c r="A488" s="7" t="s">
        <v>92</v>
      </c>
      <c r="C488" s="7" t="str">
        <f t="shared" si="70"/>
        <v>Jim</v>
      </c>
      <c r="D488" s="7" t="str">
        <f>+D487</f>
        <v>Stewart</v>
      </c>
      <c r="E488" s="8" t="str">
        <f>E487</f>
        <v>ADMN</v>
      </c>
      <c r="G488" s="8" t="str">
        <f>G487</f>
        <v>STEW0001</v>
      </c>
      <c r="H488" s="26"/>
      <c r="I488" s="26"/>
      <c r="J488" s="26"/>
      <c r="K488" s="28">
        <f>+K487</f>
        <v>42125</v>
      </c>
      <c r="L488" s="26" t="str">
        <f>L487</f>
        <v>10474</v>
      </c>
      <c r="M488" s="26"/>
      <c r="N488" s="26"/>
      <c r="O488" s="26" t="str">
        <f>"""GP Direct"",""Fabrikam, Inc."",""UPR30300"",""PAYRATE"",""0.00000"",""PAYROLCD"",""IL"",""STATECD"","""",""CHEKDATE"",""5/1/2015"",""UPRTRXAM"",""42.15000"""</f>
        <v>"GP Direct","Fabrikam, Inc.","UPR30300","PAYRATE","0.00000","PAYROLCD","IL","STATECD","","CHEKDATE","5/1/2015","UPRTRXAM","42.15000"</v>
      </c>
      <c r="P488" s="29">
        <v>0</v>
      </c>
      <c r="Q488" s="26" t="str">
        <f>"IL"</f>
        <v>IL</v>
      </c>
      <c r="R488" s="26"/>
      <c r="S488" s="28">
        <v>42125</v>
      </c>
      <c r="T488" s="29">
        <v>42.15</v>
      </c>
    </row>
    <row r="489" spans="1:20" s="7" customFormat="1" hidden="1" outlineLevel="3" x14ac:dyDescent="0.2">
      <c r="A489" s="7" t="s">
        <v>92</v>
      </c>
      <c r="C489" s="7" t="str">
        <f t="shared" si="70"/>
        <v>Jim</v>
      </c>
      <c r="D489" s="7" t="str">
        <f>+D488</f>
        <v>Stewart</v>
      </c>
      <c r="E489" s="8" t="str">
        <f>E488</f>
        <v>ADMN</v>
      </c>
      <c r="G489" s="8" t="str">
        <f>G488</f>
        <v>STEW0001</v>
      </c>
      <c r="H489" s="26"/>
      <c r="I489" s="26"/>
      <c r="J489" s="26"/>
      <c r="K489" s="28">
        <f>+K488</f>
        <v>42125</v>
      </c>
      <c r="L489" s="26" t="str">
        <f>L488</f>
        <v>10474</v>
      </c>
      <c r="M489" s="26"/>
      <c r="N489" s="26"/>
      <c r="O489" s="26" t="str">
        <f>"""GP Direct"",""Fabrikam, Inc."",""UPR30300"",""PAYRATE"",""0.00000"",""PAYROLCD"",""INS"",""STATECD"","""",""CHEKDATE"",""5/1/2015"",""UPRTRXAM"",""49.36000"""</f>
        <v>"GP Direct","Fabrikam, Inc.","UPR30300","PAYRATE","0.00000","PAYROLCD","INS","STATECD","","CHEKDATE","5/1/2015","UPRTRXAM","49.36000"</v>
      </c>
      <c r="P489" s="29">
        <v>0</v>
      </c>
      <c r="Q489" s="26" t="str">
        <f>"INS"</f>
        <v>INS</v>
      </c>
      <c r="R489" s="26"/>
      <c r="S489" s="28">
        <v>42125</v>
      </c>
      <c r="T489" s="29">
        <v>49.36</v>
      </c>
    </row>
    <row r="490" spans="1:20" s="7" customFormat="1" hidden="1" outlineLevel="3" x14ac:dyDescent="0.2">
      <c r="A490" s="7" t="s">
        <v>92</v>
      </c>
      <c r="C490" s="7" t="str">
        <f t="shared" si="70"/>
        <v>Jim</v>
      </c>
      <c r="D490" s="7" t="str">
        <f>+D489</f>
        <v>Stewart</v>
      </c>
      <c r="E490" s="8" t="str">
        <f>E489</f>
        <v>ADMN</v>
      </c>
      <c r="G490" s="8" t="str">
        <f>G489</f>
        <v>STEW0001</v>
      </c>
      <c r="H490" s="26"/>
      <c r="I490" s="26"/>
      <c r="J490" s="26"/>
      <c r="K490" s="28">
        <f>+K489</f>
        <v>42125</v>
      </c>
      <c r="L490" s="26" t="str">
        <f>L489</f>
        <v>10474</v>
      </c>
      <c r="M490" s="26"/>
      <c r="N490" s="26"/>
      <c r="O490" s="26" t="str">
        <f>"""GP Direct"",""Fabrikam, Inc."",""UPR30300"",""PAYRATE"",""0.00000"",""PAYROLCD"",""INS2"",""STATECD"","""",""CHEKDATE"",""5/1/2015"",""UPRTRXAM"",""72.95000"""</f>
        <v>"GP Direct","Fabrikam, Inc.","UPR30300","PAYRATE","0.00000","PAYROLCD","INS2","STATECD","","CHEKDATE","5/1/2015","UPRTRXAM","72.95000"</v>
      </c>
      <c r="P490" s="29">
        <v>0</v>
      </c>
      <c r="Q490" s="26" t="str">
        <f>"INS2"</f>
        <v>INS2</v>
      </c>
      <c r="R490" s="26"/>
      <c r="S490" s="28">
        <v>42125</v>
      </c>
      <c r="T490" s="29">
        <v>72.95</v>
      </c>
    </row>
    <row r="491" spans="1:20" s="7" customFormat="1" hidden="1" outlineLevel="3" x14ac:dyDescent="0.2">
      <c r="A491" s="7" t="s">
        <v>92</v>
      </c>
      <c r="C491" s="7" t="str">
        <f t="shared" si="70"/>
        <v>Jim</v>
      </c>
      <c r="D491" s="7" t="str">
        <f>+D490</f>
        <v>Stewart</v>
      </c>
      <c r="E491" s="8" t="str">
        <f>E490</f>
        <v>ADMN</v>
      </c>
      <c r="G491" s="8" t="str">
        <f>G490</f>
        <v>STEW0001</v>
      </c>
      <c r="H491" s="26"/>
      <c r="I491" s="26"/>
      <c r="J491" s="26"/>
      <c r="K491" s="28">
        <f>+K490</f>
        <v>42125</v>
      </c>
      <c r="L491" s="26" t="str">
        <f>L490</f>
        <v>10474</v>
      </c>
      <c r="M491" s="26"/>
      <c r="N491" s="26"/>
      <c r="O491" s="26" t="str">
        <f>"""GP Direct"",""Fabrikam, Inc."",""UPR30300"",""PAYRATE"",""0.00000"",""PAYROLCD"",""MED"",""STATECD"","""",""CHEKDATE"",""5/1/2015"",""UPRTRXAM"",""20.00000"""</f>
        <v>"GP Direct","Fabrikam, Inc.","UPR30300","PAYRATE","0.00000","PAYROLCD","MED","STATECD","","CHEKDATE","5/1/2015","UPRTRXAM","20.00000"</v>
      </c>
      <c r="P491" s="29">
        <v>0</v>
      </c>
      <c r="Q491" s="26" t="str">
        <f>"MED"</f>
        <v>MED</v>
      </c>
      <c r="R491" s="26"/>
      <c r="S491" s="28">
        <v>42125</v>
      </c>
      <c r="T491" s="29">
        <v>20</v>
      </c>
    </row>
    <row r="492" spans="1:20" s="7" customFormat="1" hidden="1" outlineLevel="3" x14ac:dyDescent="0.2">
      <c r="A492" s="7" t="s">
        <v>92</v>
      </c>
      <c r="C492" s="7" t="str">
        <f t="shared" si="70"/>
        <v>Jim</v>
      </c>
      <c r="D492" s="7" t="str">
        <f>+D491</f>
        <v>Stewart</v>
      </c>
      <c r="E492" s="8" t="str">
        <f>E491</f>
        <v>ADMN</v>
      </c>
      <c r="G492" s="8" t="str">
        <f>G491</f>
        <v>STEW0001</v>
      </c>
      <c r="H492" s="26"/>
      <c r="I492" s="26"/>
      <c r="J492" s="26"/>
      <c r="K492" s="28">
        <f>+K491</f>
        <v>42125</v>
      </c>
      <c r="L492" s="26" t="str">
        <f>L491</f>
        <v>10474</v>
      </c>
      <c r="M492" s="26"/>
      <c r="N492" s="26"/>
      <c r="O492" s="26" t="str">
        <f>"""GP Direct"",""Fabrikam, Inc."",""UPR30300"",""PAYRATE"",""0.00000"",""PAYROLCD"",""SICK"",""STATECD"",""IL"",""CHEKDATE"",""5/1/2015"",""UPRTRXAM"",""0.00000"""</f>
        <v>"GP Direct","Fabrikam, Inc.","UPR30300","PAYRATE","0.00000","PAYROLCD","SICK","STATECD","IL","CHEKDATE","5/1/2015","UPRTRXAM","0.00000"</v>
      </c>
      <c r="P492" s="29">
        <v>0</v>
      </c>
      <c r="Q492" s="26" t="str">
        <f>"SICK"</f>
        <v>SICK</v>
      </c>
      <c r="R492" s="26" t="str">
        <f>"IL"</f>
        <v>IL</v>
      </c>
      <c r="S492" s="28">
        <v>42125</v>
      </c>
      <c r="T492" s="29">
        <v>0</v>
      </c>
    </row>
    <row r="493" spans="1:20" s="7" customFormat="1" hidden="1" outlineLevel="3" x14ac:dyDescent="0.2">
      <c r="A493" s="7" t="s">
        <v>92</v>
      </c>
      <c r="C493" s="7" t="str">
        <f t="shared" si="70"/>
        <v>Jim</v>
      </c>
      <c r="D493" s="7" t="str">
        <f>+D492</f>
        <v>Stewart</v>
      </c>
      <c r="E493" s="8" t="str">
        <f>E492</f>
        <v>ADMN</v>
      </c>
      <c r="G493" s="8" t="str">
        <f>G492</f>
        <v>STEW0001</v>
      </c>
      <c r="H493" s="26"/>
      <c r="I493" s="26"/>
      <c r="J493" s="26"/>
      <c r="K493" s="28">
        <f>+K492</f>
        <v>42125</v>
      </c>
      <c r="L493" s="26" t="str">
        <f>L492</f>
        <v>10474</v>
      </c>
      <c r="M493" s="26"/>
      <c r="N493" s="26"/>
      <c r="O493" s="26" t="str">
        <f>"""GP Direct"",""Fabrikam, Inc."",""UPR30300"",""PAYRATE"",""23.39135"",""PAYROLCD"",""SALY"",""STATECD"",""IL"",""CHEKDATE"",""5/1/2015"",""UPRTRXAM"",""1840.12000"""</f>
        <v>"GP Direct","Fabrikam, Inc.","UPR30300","PAYRATE","23.39135","PAYROLCD","SALY","STATECD","IL","CHEKDATE","5/1/2015","UPRTRXAM","1840.12000"</v>
      </c>
      <c r="P493" s="29">
        <v>23.391300000000001</v>
      </c>
      <c r="Q493" s="26" t="str">
        <f>"SALY"</f>
        <v>SALY</v>
      </c>
      <c r="R493" s="26" t="str">
        <f>"IL"</f>
        <v>IL</v>
      </c>
      <c r="S493" s="28">
        <v>42125</v>
      </c>
      <c r="T493" s="29">
        <v>1840.12</v>
      </c>
    </row>
    <row r="494" spans="1:20" s="7" customFormat="1" hidden="1" outlineLevel="3" x14ac:dyDescent="0.2">
      <c r="A494" s="7" t="s">
        <v>92</v>
      </c>
      <c r="C494" s="7" t="str">
        <f>+C486</f>
        <v>Jim</v>
      </c>
      <c r="D494" s="7" t="str">
        <f>+D486</f>
        <v>Stewart</v>
      </c>
      <c r="E494" s="8" t="str">
        <f>E486</f>
        <v>ADMN</v>
      </c>
      <c r="G494" s="8" t="str">
        <f>G486</f>
        <v>STEW0001</v>
      </c>
      <c r="K494" s="12">
        <f>+K486</f>
        <v>42125</v>
      </c>
      <c r="L494" s="8" t="str">
        <f>L486</f>
        <v>10474</v>
      </c>
      <c r="O494" s="8"/>
      <c r="T494" s="20"/>
    </row>
    <row r="495" spans="1:20" s="7" customFormat="1" hidden="1" outlineLevel="2" collapsed="1" x14ac:dyDescent="0.2">
      <c r="A495" s="7" t="s">
        <v>92</v>
      </c>
      <c r="C495" s="7" t="str">
        <f t="shared" si="66"/>
        <v>Jim</v>
      </c>
      <c r="D495" s="7" t="str">
        <f>+D494</f>
        <v>Stewart</v>
      </c>
      <c r="E495" s="8" t="str">
        <f>E494</f>
        <v>ADMN</v>
      </c>
      <c r="G495" s="8" t="str">
        <f>G494</f>
        <v>STEW0001</v>
      </c>
      <c r="K495" s="12">
        <f>+K494</f>
        <v>42125</v>
      </c>
      <c r="L495" s="8" t="str">
        <f>L494</f>
        <v>10474</v>
      </c>
      <c r="M495" s="33" t="str">
        <f>"Total for " &amp; $L495</f>
        <v>Total for 10474</v>
      </c>
      <c r="N495" s="34">
        <f>+K495</f>
        <v>42125</v>
      </c>
      <c r="O495" s="35"/>
      <c r="P495" s="33"/>
      <c r="Q495" s="33"/>
      <c r="R495" s="33"/>
      <c r="S495" s="33"/>
      <c r="T495" s="36">
        <f>SUBTOTAL(9,T486:T494)</f>
        <v>2121.19</v>
      </c>
    </row>
    <row r="496" spans="1:20" s="7" customFormat="1" hidden="1" outlineLevel="3" x14ac:dyDescent="0.2">
      <c r="A496" s="7" t="s">
        <v>92</v>
      </c>
      <c r="C496" s="7" t="str">
        <f t="shared" si="66"/>
        <v>Jim</v>
      </c>
      <c r="D496" s="7" t="str">
        <f>+D495</f>
        <v>Stewart</v>
      </c>
      <c r="E496" s="8" t="str">
        <f>E495</f>
        <v>ADMN</v>
      </c>
      <c r="G496" s="8" t="str">
        <f>G495</f>
        <v>STEW0001</v>
      </c>
      <c r="H496" s="26"/>
      <c r="I496" s="26"/>
      <c r="J496" s="26"/>
      <c r="K496" s="28">
        <f>+N496</f>
        <v>42156</v>
      </c>
      <c r="L496" s="26" t="str">
        <f>M496</f>
        <v>10499</v>
      </c>
      <c r="M496" s="26" t="str">
        <f>"10499"</f>
        <v>10499</v>
      </c>
      <c r="N496" s="28">
        <v>42156</v>
      </c>
      <c r="O496" s="26"/>
      <c r="P496" s="26"/>
      <c r="Q496" s="26"/>
      <c r="R496" s="26"/>
      <c r="S496" s="26"/>
      <c r="T496" s="27"/>
    </row>
    <row r="497" spans="1:20" s="7" customFormat="1" hidden="1" outlineLevel="3" x14ac:dyDescent="0.2">
      <c r="A497" s="7" t="s">
        <v>92</v>
      </c>
      <c r="C497" s="7" t="str">
        <f t="shared" si="66"/>
        <v>Jim</v>
      </c>
      <c r="D497" s="7" t="str">
        <f>+D496</f>
        <v>Stewart</v>
      </c>
      <c r="E497" s="8" t="str">
        <f>E496</f>
        <v>ADMN</v>
      </c>
      <c r="G497" s="8" t="str">
        <f>G496</f>
        <v>STEW0001</v>
      </c>
      <c r="H497" s="26"/>
      <c r="I497" s="26"/>
      <c r="J497" s="26"/>
      <c r="K497" s="28">
        <f>+K496</f>
        <v>42156</v>
      </c>
      <c r="L497" s="26" t="str">
        <f>L496</f>
        <v>10499</v>
      </c>
      <c r="M497" s="26"/>
      <c r="N497" s="26"/>
      <c r="O497" s="26" t="str">
        <f>"""GP Direct"",""Fabrikam, Inc."",""UPR30300"",""PAYRATE"",""0.00000"",""PAYROLCD"",""401K"",""STATECD"","""",""CHEKDATE"",""6/1/2015"",""UPRTRXAM"",""5.07000"""</f>
        <v>"GP Direct","Fabrikam, Inc.","UPR30300","PAYRATE","0.00000","PAYROLCD","401K","STATECD","","CHEKDATE","6/1/2015","UPRTRXAM","5.07000"</v>
      </c>
      <c r="P497" s="29">
        <v>0</v>
      </c>
      <c r="Q497" s="26" t="str">
        <f>"401K"</f>
        <v>401K</v>
      </c>
      <c r="R497" s="26"/>
      <c r="S497" s="28">
        <v>42156</v>
      </c>
      <c r="T497" s="29">
        <v>5.07</v>
      </c>
    </row>
    <row r="498" spans="1:20" s="7" customFormat="1" hidden="1" outlineLevel="3" x14ac:dyDescent="0.2">
      <c r="A498" s="7" t="s">
        <v>92</v>
      </c>
      <c r="C498" s="7" t="str">
        <f t="shared" ref="C498:C503" si="71">+C497</f>
        <v>Jim</v>
      </c>
      <c r="D498" s="7" t="str">
        <f>+D497</f>
        <v>Stewart</v>
      </c>
      <c r="E498" s="8" t="str">
        <f>E497</f>
        <v>ADMN</v>
      </c>
      <c r="G498" s="8" t="str">
        <f>G497</f>
        <v>STEW0001</v>
      </c>
      <c r="H498" s="26"/>
      <c r="I498" s="26"/>
      <c r="J498" s="26"/>
      <c r="K498" s="28">
        <f>+K497</f>
        <v>42156</v>
      </c>
      <c r="L498" s="26" t="str">
        <f>L497</f>
        <v>10499</v>
      </c>
      <c r="M498" s="26"/>
      <c r="N498" s="26"/>
      <c r="O498" s="26" t="str">
        <f>"""GP Direct"",""Fabrikam, Inc."",""UPR30300"",""PAYRATE"",""0.00000"",""PAYROLCD"",""401K"",""STATECD"","""",""CHEKDATE"",""6/1/2015"",""UPRTRXAM"",""101.36000"""</f>
        <v>"GP Direct","Fabrikam, Inc.","UPR30300","PAYRATE","0.00000","PAYROLCD","401K","STATECD","","CHEKDATE","6/1/2015","UPRTRXAM","101.36000"</v>
      </c>
      <c r="P498" s="29">
        <v>0</v>
      </c>
      <c r="Q498" s="26" t="str">
        <f>"401K"</f>
        <v>401K</v>
      </c>
      <c r="R498" s="26"/>
      <c r="S498" s="28">
        <v>42156</v>
      </c>
      <c r="T498" s="29">
        <v>101.36</v>
      </c>
    </row>
    <row r="499" spans="1:20" s="7" customFormat="1" hidden="1" outlineLevel="3" x14ac:dyDescent="0.2">
      <c r="A499" s="7" t="s">
        <v>92</v>
      </c>
      <c r="C499" s="7" t="str">
        <f t="shared" si="71"/>
        <v>Jim</v>
      </c>
      <c r="D499" s="7" t="str">
        <f>+D498</f>
        <v>Stewart</v>
      </c>
      <c r="E499" s="8" t="str">
        <f>E498</f>
        <v>ADMN</v>
      </c>
      <c r="G499" s="8" t="str">
        <f>G498</f>
        <v>STEW0001</v>
      </c>
      <c r="H499" s="26"/>
      <c r="I499" s="26"/>
      <c r="J499" s="26"/>
      <c r="K499" s="28">
        <f>+K498</f>
        <v>42156</v>
      </c>
      <c r="L499" s="26" t="str">
        <f>L498</f>
        <v>10499</v>
      </c>
      <c r="M499" s="26"/>
      <c r="N499" s="26"/>
      <c r="O499" s="26" t="str">
        <f>"""GP Direct"",""Fabrikam, Inc."",""UPR30300"",""PAYRATE"",""0.00000"",""PAYROLCD"",""IL"",""STATECD"","""",""CHEKDATE"",""6/1/2015"",""UPRTRXAM"",""47.49000"""</f>
        <v>"GP Direct","Fabrikam, Inc.","UPR30300","PAYRATE","0.00000","PAYROLCD","IL","STATECD","","CHEKDATE","6/1/2015","UPRTRXAM","47.49000"</v>
      </c>
      <c r="P499" s="29">
        <v>0</v>
      </c>
      <c r="Q499" s="26" t="str">
        <f>"IL"</f>
        <v>IL</v>
      </c>
      <c r="R499" s="26"/>
      <c r="S499" s="28">
        <v>42156</v>
      </c>
      <c r="T499" s="29">
        <v>47.49</v>
      </c>
    </row>
    <row r="500" spans="1:20" s="7" customFormat="1" hidden="1" outlineLevel="3" x14ac:dyDescent="0.2">
      <c r="A500" s="7" t="s">
        <v>92</v>
      </c>
      <c r="C500" s="7" t="str">
        <f t="shared" si="71"/>
        <v>Jim</v>
      </c>
      <c r="D500" s="7" t="str">
        <f>+D499</f>
        <v>Stewart</v>
      </c>
      <c r="E500" s="8" t="str">
        <f>E499</f>
        <v>ADMN</v>
      </c>
      <c r="G500" s="8" t="str">
        <f>G499</f>
        <v>STEW0001</v>
      </c>
      <c r="H500" s="26"/>
      <c r="I500" s="26"/>
      <c r="J500" s="26"/>
      <c r="K500" s="28">
        <f>+K499</f>
        <v>42156</v>
      </c>
      <c r="L500" s="26" t="str">
        <f>L499</f>
        <v>10499</v>
      </c>
      <c r="M500" s="26"/>
      <c r="N500" s="26"/>
      <c r="O500" s="26" t="str">
        <f>"""GP Direct"",""Fabrikam, Inc."",""UPR30300"",""PAYRATE"",""0.00000"",""PAYROLCD"",""INS"",""STATECD"","""",""CHEKDATE"",""6/1/2015"",""UPRTRXAM"",""49.36000"""</f>
        <v>"GP Direct","Fabrikam, Inc.","UPR30300","PAYRATE","0.00000","PAYROLCD","INS","STATECD","","CHEKDATE","6/1/2015","UPRTRXAM","49.36000"</v>
      </c>
      <c r="P500" s="29">
        <v>0</v>
      </c>
      <c r="Q500" s="26" t="str">
        <f>"INS"</f>
        <v>INS</v>
      </c>
      <c r="R500" s="26"/>
      <c r="S500" s="28">
        <v>42156</v>
      </c>
      <c r="T500" s="29">
        <v>49.36</v>
      </c>
    </row>
    <row r="501" spans="1:20" s="7" customFormat="1" hidden="1" outlineLevel="3" x14ac:dyDescent="0.2">
      <c r="A501" s="7" t="s">
        <v>92</v>
      </c>
      <c r="C501" s="7" t="str">
        <f t="shared" si="71"/>
        <v>Jim</v>
      </c>
      <c r="D501" s="7" t="str">
        <f>+D500</f>
        <v>Stewart</v>
      </c>
      <c r="E501" s="8" t="str">
        <f>E500</f>
        <v>ADMN</v>
      </c>
      <c r="G501" s="8" t="str">
        <f>G500</f>
        <v>STEW0001</v>
      </c>
      <c r="H501" s="26"/>
      <c r="I501" s="26"/>
      <c r="J501" s="26"/>
      <c r="K501" s="28">
        <f>+K500</f>
        <v>42156</v>
      </c>
      <c r="L501" s="26" t="str">
        <f>L500</f>
        <v>10499</v>
      </c>
      <c r="M501" s="26"/>
      <c r="N501" s="26"/>
      <c r="O501" s="26" t="str">
        <f>"""GP Direct"",""Fabrikam, Inc."",""UPR30300"",""PAYRATE"",""0.00000"",""PAYROLCD"",""INS2"",""STATECD"","""",""CHEKDATE"",""6/1/2015"",""UPRTRXAM"",""72.95000"""</f>
        <v>"GP Direct","Fabrikam, Inc.","UPR30300","PAYRATE","0.00000","PAYROLCD","INS2","STATECD","","CHEKDATE","6/1/2015","UPRTRXAM","72.95000"</v>
      </c>
      <c r="P501" s="29">
        <v>0</v>
      </c>
      <c r="Q501" s="26" t="str">
        <f>"INS2"</f>
        <v>INS2</v>
      </c>
      <c r="R501" s="26"/>
      <c r="S501" s="28">
        <v>42156</v>
      </c>
      <c r="T501" s="29">
        <v>72.95</v>
      </c>
    </row>
    <row r="502" spans="1:20" s="7" customFormat="1" hidden="1" outlineLevel="3" x14ac:dyDescent="0.2">
      <c r="A502" s="7" t="s">
        <v>92</v>
      </c>
      <c r="C502" s="7" t="str">
        <f t="shared" si="71"/>
        <v>Jim</v>
      </c>
      <c r="D502" s="7" t="str">
        <f>+D501</f>
        <v>Stewart</v>
      </c>
      <c r="E502" s="8" t="str">
        <f>E501</f>
        <v>ADMN</v>
      </c>
      <c r="G502" s="8" t="str">
        <f>G501</f>
        <v>STEW0001</v>
      </c>
      <c r="H502" s="26"/>
      <c r="I502" s="26"/>
      <c r="J502" s="26"/>
      <c r="K502" s="28">
        <f>+K501</f>
        <v>42156</v>
      </c>
      <c r="L502" s="26" t="str">
        <f>L501</f>
        <v>10499</v>
      </c>
      <c r="M502" s="26"/>
      <c r="N502" s="26"/>
      <c r="O502" s="26" t="str">
        <f>"""GP Direct"",""Fabrikam, Inc."",""UPR30300"",""PAYRATE"",""0.00000"",""PAYROLCD"",""MED"",""STATECD"","""",""CHEKDATE"",""6/1/2015"",""UPRTRXAM"",""20.00000"""</f>
        <v>"GP Direct","Fabrikam, Inc.","UPR30300","PAYRATE","0.00000","PAYROLCD","MED","STATECD","","CHEKDATE","6/1/2015","UPRTRXAM","20.00000"</v>
      </c>
      <c r="P502" s="29">
        <v>0</v>
      </c>
      <c r="Q502" s="26" t="str">
        <f>"MED"</f>
        <v>MED</v>
      </c>
      <c r="R502" s="26"/>
      <c r="S502" s="28">
        <v>42156</v>
      </c>
      <c r="T502" s="29">
        <v>20</v>
      </c>
    </row>
    <row r="503" spans="1:20" s="7" customFormat="1" hidden="1" outlineLevel="3" x14ac:dyDescent="0.2">
      <c r="A503" s="7" t="s">
        <v>92</v>
      </c>
      <c r="C503" s="7" t="str">
        <f t="shared" si="71"/>
        <v>Jim</v>
      </c>
      <c r="D503" s="7" t="str">
        <f>+D502</f>
        <v>Stewart</v>
      </c>
      <c r="E503" s="8" t="str">
        <f>E502</f>
        <v>ADMN</v>
      </c>
      <c r="G503" s="8" t="str">
        <f>G502</f>
        <v>STEW0001</v>
      </c>
      <c r="H503" s="26"/>
      <c r="I503" s="26"/>
      <c r="J503" s="26"/>
      <c r="K503" s="28">
        <f>+K502</f>
        <v>42156</v>
      </c>
      <c r="L503" s="26" t="str">
        <f>L502</f>
        <v>10499</v>
      </c>
      <c r="M503" s="26"/>
      <c r="N503" s="26"/>
      <c r="O503" s="26" t="str">
        <f>"""GP Direct"",""Fabrikam, Inc."",""UPR30300"",""PAYRATE"",""48654.00000"",""PAYROLCD"",""SALY"",""STATECD"",""IL"",""CHEKDATE"",""6/1/2015"",""UPRTRXAM"",""2027.25000"""</f>
        <v>"GP Direct","Fabrikam, Inc.","UPR30300","PAYRATE","48654.00000","PAYROLCD","SALY","STATECD","IL","CHEKDATE","6/1/2015","UPRTRXAM","2027.25000"</v>
      </c>
      <c r="P503" s="29">
        <v>48654</v>
      </c>
      <c r="Q503" s="26" t="str">
        <f>"SALY"</f>
        <v>SALY</v>
      </c>
      <c r="R503" s="26" t="str">
        <f>"IL"</f>
        <v>IL</v>
      </c>
      <c r="S503" s="28">
        <v>42156</v>
      </c>
      <c r="T503" s="29">
        <v>2027.25</v>
      </c>
    </row>
    <row r="504" spans="1:20" s="7" customFormat="1" hidden="1" outlineLevel="3" x14ac:dyDescent="0.2">
      <c r="A504" s="7" t="s">
        <v>92</v>
      </c>
      <c r="C504" s="7" t="str">
        <f>+C497</f>
        <v>Jim</v>
      </c>
      <c r="D504" s="7" t="str">
        <f>+D497</f>
        <v>Stewart</v>
      </c>
      <c r="E504" s="8" t="str">
        <f>E497</f>
        <v>ADMN</v>
      </c>
      <c r="G504" s="8" t="str">
        <f>G497</f>
        <v>STEW0001</v>
      </c>
      <c r="K504" s="12">
        <f>+K497</f>
        <v>42156</v>
      </c>
      <c r="L504" s="8" t="str">
        <f>L497</f>
        <v>10499</v>
      </c>
      <c r="O504" s="8"/>
      <c r="T504" s="20"/>
    </row>
    <row r="505" spans="1:20" s="7" customFormat="1" hidden="1" outlineLevel="2" collapsed="1" x14ac:dyDescent="0.2">
      <c r="A505" s="7" t="s">
        <v>92</v>
      </c>
      <c r="C505" s="7" t="str">
        <f t="shared" si="66"/>
        <v>Jim</v>
      </c>
      <c r="D505" s="7" t="str">
        <f>+D504</f>
        <v>Stewart</v>
      </c>
      <c r="E505" s="8" t="str">
        <f>E504</f>
        <v>ADMN</v>
      </c>
      <c r="G505" s="8" t="str">
        <f>G504</f>
        <v>STEW0001</v>
      </c>
      <c r="K505" s="12">
        <f>+K504</f>
        <v>42156</v>
      </c>
      <c r="L505" s="8" t="str">
        <f>L504</f>
        <v>10499</v>
      </c>
      <c r="M505" s="33" t="str">
        <f>"Total for " &amp; $L505</f>
        <v>Total for 10499</v>
      </c>
      <c r="N505" s="34">
        <f>+K505</f>
        <v>42156</v>
      </c>
      <c r="O505" s="35"/>
      <c r="P505" s="33"/>
      <c r="Q505" s="33"/>
      <c r="R505" s="33"/>
      <c r="S505" s="33"/>
      <c r="T505" s="36">
        <f>SUBTOTAL(9,T497:T504)</f>
        <v>2323.48</v>
      </c>
    </row>
    <row r="506" spans="1:20" s="7" customFormat="1" hidden="1" outlineLevel="2" x14ac:dyDescent="0.2">
      <c r="A506" s="7" t="s">
        <v>92</v>
      </c>
      <c r="C506" s="7" t="str">
        <f>+C454</f>
        <v>Jim</v>
      </c>
      <c r="D506" s="7" t="str">
        <f>+D454</f>
        <v>Stewart</v>
      </c>
      <c r="E506" s="8" t="str">
        <f>E454</f>
        <v>ADMN</v>
      </c>
      <c r="G506" s="8" t="str">
        <f>G454</f>
        <v>STEW0001</v>
      </c>
      <c r="L506" s="8"/>
      <c r="O506" s="8"/>
      <c r="T506" s="20"/>
    </row>
    <row r="507" spans="1:20" s="7" customFormat="1" hidden="1" outlineLevel="1" collapsed="1" x14ac:dyDescent="0.2">
      <c r="A507" s="7" t="s">
        <v>92</v>
      </c>
      <c r="C507" s="7" t="str">
        <f t="shared" si="64"/>
        <v>Jim</v>
      </c>
      <c r="D507" s="7" t="str">
        <f>+D506</f>
        <v>Stewart</v>
      </c>
      <c r="E507" s="8" t="str">
        <f>E506</f>
        <v>ADMN</v>
      </c>
      <c r="G507" s="8" t="str">
        <f>G506</f>
        <v>STEW0001</v>
      </c>
      <c r="H507" s="30" t="str">
        <f>"Total for " &amp; $G507</f>
        <v>Total for STEW0001</v>
      </c>
      <c r="I507" s="30" t="str">
        <f>+C507</f>
        <v>Jim</v>
      </c>
      <c r="J507" s="30" t="str">
        <f>+D507</f>
        <v>Stewart</v>
      </c>
      <c r="K507" s="30"/>
      <c r="L507" s="31"/>
      <c r="M507" s="30"/>
      <c r="N507" s="30"/>
      <c r="O507" s="31"/>
      <c r="P507" s="30"/>
      <c r="Q507" s="30"/>
      <c r="R507" s="30"/>
      <c r="S507" s="30"/>
      <c r="T507" s="32">
        <f>SUBTOTAL(9,T445:T506)</f>
        <v>13536.300000000001</v>
      </c>
    </row>
    <row r="508" spans="1:20" s="7" customFormat="1" hidden="1" outlineLevel="1" x14ac:dyDescent="0.2">
      <c r="A508" s="7" t="s">
        <v>92</v>
      </c>
      <c r="E508" s="8" t="str">
        <f>E317</f>
        <v>ADMN</v>
      </c>
      <c r="G508" s="8"/>
      <c r="L508" s="8"/>
      <c r="O508" s="8"/>
      <c r="T508" s="20"/>
    </row>
    <row r="509" spans="1:20" s="7" customFormat="1" collapsed="1" x14ac:dyDescent="0.2">
      <c r="A509" s="7" t="s">
        <v>92</v>
      </c>
      <c r="E509" s="8" t="str">
        <f>E508</f>
        <v>ADMN</v>
      </c>
      <c r="F509" s="13" t="str">
        <f>"Total for " &amp; F259</f>
        <v>Total for Admin</v>
      </c>
      <c r="G509" s="13"/>
      <c r="H509" s="13"/>
      <c r="I509" s="13"/>
      <c r="J509" s="13"/>
      <c r="K509" s="13"/>
      <c r="L509" s="13"/>
      <c r="M509" s="13"/>
      <c r="N509" s="13"/>
      <c r="O509" s="13"/>
      <c r="P509" s="13"/>
      <c r="Q509" s="13"/>
      <c r="R509" s="13"/>
      <c r="S509" s="13"/>
      <c r="T509" s="21">
        <f>SUBTOTAL(9,T262:T508)</f>
        <v>35160.700000000019</v>
      </c>
    </row>
    <row r="510" spans="1:20" s="7" customFormat="1" hidden="1" outlineLevel="1" x14ac:dyDescent="0.2">
      <c r="A510" s="7" t="s">
        <v>92</v>
      </c>
      <c r="D510" s="9" t="str">
        <f>"INST"</f>
        <v>INST</v>
      </c>
      <c r="E510" s="8" t="str">
        <f>D510</f>
        <v>INST</v>
      </c>
      <c r="F510" s="11" t="str">
        <f>"Installation"</f>
        <v>Installation</v>
      </c>
      <c r="G510" s="8"/>
      <c r="L510" s="8"/>
      <c r="O510" s="8"/>
      <c r="T510" s="10"/>
    </row>
    <row r="511" spans="1:20" s="7" customFormat="1" hidden="1" outlineLevel="2" x14ac:dyDescent="0.2">
      <c r="A511" s="7" t="s">
        <v>92</v>
      </c>
      <c r="C511" s="7" t="str">
        <f t="shared" ref="C511" si="72">+I511</f>
        <v>Angela</v>
      </c>
      <c r="D511" s="7" t="str">
        <f>+J511</f>
        <v>Barbariol</v>
      </c>
      <c r="E511" s="8" t="str">
        <f>E510</f>
        <v>INST</v>
      </c>
      <c r="G511" s="8" t="str">
        <f>H511</f>
        <v>BARB0001</v>
      </c>
      <c r="H511" s="24" t="str">
        <f>"BARB0001"</f>
        <v>BARB0001</v>
      </c>
      <c r="I511" s="25" t="str">
        <f>"Angela"</f>
        <v>Angela</v>
      </c>
      <c r="J511" s="25" t="str">
        <f>"Barbariol"</f>
        <v>Barbariol</v>
      </c>
      <c r="K511" s="26"/>
      <c r="L511" s="26"/>
      <c r="M511" s="26"/>
      <c r="N511" s="26"/>
      <c r="O511" s="26"/>
      <c r="P511" s="26"/>
      <c r="Q511" s="26"/>
      <c r="R511" s="26"/>
      <c r="S511" s="26"/>
      <c r="T511" s="27"/>
    </row>
    <row r="512" spans="1:20" s="7" customFormat="1" hidden="1" outlineLevel="3" x14ac:dyDescent="0.2">
      <c r="A512" s="7" t="s">
        <v>92</v>
      </c>
      <c r="C512" s="7" t="str">
        <f t="shared" ref="C512:C578" si="73">+C511</f>
        <v>Angela</v>
      </c>
      <c r="D512" s="7" t="str">
        <f>+D511</f>
        <v>Barbariol</v>
      </c>
      <c r="E512" s="8" t="str">
        <f>E511</f>
        <v>INST</v>
      </c>
      <c r="G512" s="8" t="str">
        <f>G511</f>
        <v>BARB0001</v>
      </c>
      <c r="H512" s="26"/>
      <c r="I512" s="26"/>
      <c r="J512" s="26"/>
      <c r="K512" s="28">
        <f>+N512</f>
        <v>42005</v>
      </c>
      <c r="L512" s="26" t="str">
        <f>M512</f>
        <v>DD000000000000000038</v>
      </c>
      <c r="M512" s="26" t="str">
        <f>"DD000000000000000038"</f>
        <v>DD000000000000000038</v>
      </c>
      <c r="N512" s="28">
        <v>42005</v>
      </c>
      <c r="O512" s="26"/>
      <c r="P512" s="26"/>
      <c r="Q512" s="26"/>
      <c r="R512" s="26"/>
      <c r="S512" s="26"/>
      <c r="T512" s="27"/>
    </row>
    <row r="513" spans="1:20" s="7" customFormat="1" hidden="1" outlineLevel="3" x14ac:dyDescent="0.2">
      <c r="A513" s="7" t="s">
        <v>92</v>
      </c>
      <c r="C513" s="7" t="str">
        <f t="shared" si="73"/>
        <v>Angela</v>
      </c>
      <c r="D513" s="7" t="str">
        <f>+D512</f>
        <v>Barbariol</v>
      </c>
      <c r="E513" s="8" t="str">
        <f>E512</f>
        <v>INST</v>
      </c>
      <c r="G513" s="8" t="str">
        <f>G512</f>
        <v>BARB0001</v>
      </c>
      <c r="H513" s="26"/>
      <c r="I513" s="26"/>
      <c r="J513" s="26"/>
      <c r="K513" s="28">
        <f>+K512</f>
        <v>42005</v>
      </c>
      <c r="L513" s="26" t="str">
        <f>L512</f>
        <v>DD000000000000000038</v>
      </c>
      <c r="M513" s="26"/>
      <c r="N513" s="26"/>
      <c r="O513" s="26" t="str">
        <f>"""GP Direct"",""Fabrikam, Inc."",""UPR30300"",""PAYRATE"",""0.00000"",""PAYROLCD"",""401K"",""STATECD"","""",""CHEKDATE"",""1/1/2015"",""UPRTRXAM"",""1.96000"""</f>
        <v>"GP Direct","Fabrikam, Inc.","UPR30300","PAYRATE","0.00000","PAYROLCD","401K","STATECD","","CHEKDATE","1/1/2015","UPRTRXAM","1.96000"</v>
      </c>
      <c r="P513" s="29">
        <v>0</v>
      </c>
      <c r="Q513" s="26" t="str">
        <f>"401K"</f>
        <v>401K</v>
      </c>
      <c r="R513" s="26"/>
      <c r="S513" s="28">
        <v>42005</v>
      </c>
      <c r="T513" s="29">
        <v>1.96</v>
      </c>
    </row>
    <row r="514" spans="1:20" s="7" customFormat="1" hidden="1" outlineLevel="3" x14ac:dyDescent="0.2">
      <c r="A514" s="7" t="s">
        <v>92</v>
      </c>
      <c r="C514" s="7" t="str">
        <f t="shared" ref="C514:C518" si="74">+C513</f>
        <v>Angela</v>
      </c>
      <c r="D514" s="7" t="str">
        <f>+D513</f>
        <v>Barbariol</v>
      </c>
      <c r="E514" s="8" t="str">
        <f>E513</f>
        <v>INST</v>
      </c>
      <c r="G514" s="8" t="str">
        <f>G513</f>
        <v>BARB0001</v>
      </c>
      <c r="H514" s="26"/>
      <c r="I514" s="26"/>
      <c r="J514" s="26"/>
      <c r="K514" s="28">
        <f>+K513</f>
        <v>42005</v>
      </c>
      <c r="L514" s="26" t="str">
        <f>L513</f>
        <v>DD000000000000000038</v>
      </c>
      <c r="M514" s="26"/>
      <c r="N514" s="26"/>
      <c r="O514" s="26" t="str">
        <f>"""GP Direct"",""Fabrikam, Inc."",""UPR30300"",""PAYRATE"",""0.00000"",""PAYROLCD"",""401K"",""STATECD"","""",""CHEKDATE"",""1/1/2015"",""UPRTRXAM"",""39.26000"""</f>
        <v>"GP Direct","Fabrikam, Inc.","UPR30300","PAYRATE","0.00000","PAYROLCD","401K","STATECD","","CHEKDATE","1/1/2015","UPRTRXAM","39.26000"</v>
      </c>
      <c r="P514" s="29">
        <v>0</v>
      </c>
      <c r="Q514" s="26" t="str">
        <f>"401K"</f>
        <v>401K</v>
      </c>
      <c r="R514" s="26"/>
      <c r="S514" s="28">
        <v>42005</v>
      </c>
      <c r="T514" s="29">
        <v>39.26</v>
      </c>
    </row>
    <row r="515" spans="1:20" s="7" customFormat="1" hidden="1" outlineLevel="3" x14ac:dyDescent="0.2">
      <c r="A515" s="7" t="s">
        <v>92</v>
      </c>
      <c r="C515" s="7" t="str">
        <f t="shared" si="74"/>
        <v>Angela</v>
      </c>
      <c r="D515" s="7" t="str">
        <f>+D514</f>
        <v>Barbariol</v>
      </c>
      <c r="E515" s="8" t="str">
        <f>E514</f>
        <v>INST</v>
      </c>
      <c r="G515" s="8" t="str">
        <f>G514</f>
        <v>BARB0001</v>
      </c>
      <c r="H515" s="26"/>
      <c r="I515" s="26"/>
      <c r="J515" s="26"/>
      <c r="K515" s="28">
        <f>+K514</f>
        <v>42005</v>
      </c>
      <c r="L515" s="26" t="str">
        <f>L514</f>
        <v>DD000000000000000038</v>
      </c>
      <c r="M515" s="26"/>
      <c r="N515" s="26"/>
      <c r="O515" s="26" t="str">
        <f>"""GP Direct"",""Fabrikam, Inc."",""UPR30300"",""PAYRATE"",""0.00000"",""PAYROLCD"",""IN"",""STATECD"","""",""CHEKDATE"",""1/1/2015"",""UPRTRXAM"",""40.16000"""</f>
        <v>"GP Direct","Fabrikam, Inc.","UPR30300","PAYRATE","0.00000","PAYROLCD","IN","STATECD","","CHEKDATE","1/1/2015","UPRTRXAM","40.16000"</v>
      </c>
      <c r="P515" s="29">
        <v>0</v>
      </c>
      <c r="Q515" s="26" t="str">
        <f>"IN"</f>
        <v>IN</v>
      </c>
      <c r="R515" s="26"/>
      <c r="S515" s="28">
        <v>42005</v>
      </c>
      <c r="T515" s="29">
        <v>40.159999999999997</v>
      </c>
    </row>
    <row r="516" spans="1:20" s="7" customFormat="1" hidden="1" outlineLevel="3" x14ac:dyDescent="0.2">
      <c r="A516" s="7" t="s">
        <v>92</v>
      </c>
      <c r="C516" s="7" t="str">
        <f t="shared" si="74"/>
        <v>Angela</v>
      </c>
      <c r="D516" s="7" t="str">
        <f>+D515</f>
        <v>Barbariol</v>
      </c>
      <c r="E516" s="8" t="str">
        <f>E515</f>
        <v>INST</v>
      </c>
      <c r="G516" s="8" t="str">
        <f>G515</f>
        <v>BARB0001</v>
      </c>
      <c r="H516" s="26"/>
      <c r="I516" s="26"/>
      <c r="J516" s="26"/>
      <c r="K516" s="28">
        <f>+K515</f>
        <v>42005</v>
      </c>
      <c r="L516" s="26" t="str">
        <f>L515</f>
        <v>DD000000000000000038</v>
      </c>
      <c r="M516" s="26"/>
      <c r="N516" s="26"/>
      <c r="O516" s="26" t="str">
        <f>"""GP Direct"",""Fabrikam, Inc."",""UPR30300"",""PAYRATE"",""0.00000"",""PAYROLCD"",""INS"",""STATECD"","""",""CHEKDATE"",""1/1/2015"",""UPRTRXAM"",""49.36000"""</f>
        <v>"GP Direct","Fabrikam, Inc.","UPR30300","PAYRATE","0.00000","PAYROLCD","INS","STATECD","","CHEKDATE","1/1/2015","UPRTRXAM","49.36000"</v>
      </c>
      <c r="P516" s="29">
        <v>0</v>
      </c>
      <c r="Q516" s="26" t="str">
        <f>"INS"</f>
        <v>INS</v>
      </c>
      <c r="R516" s="26"/>
      <c r="S516" s="28">
        <v>42005</v>
      </c>
      <c r="T516" s="29">
        <v>49.36</v>
      </c>
    </row>
    <row r="517" spans="1:20" s="7" customFormat="1" hidden="1" outlineLevel="3" x14ac:dyDescent="0.2">
      <c r="A517" s="7" t="s">
        <v>92</v>
      </c>
      <c r="C517" s="7" t="str">
        <f t="shared" si="74"/>
        <v>Angela</v>
      </c>
      <c r="D517" s="7" t="str">
        <f>+D516</f>
        <v>Barbariol</v>
      </c>
      <c r="E517" s="8" t="str">
        <f>E516</f>
        <v>INST</v>
      </c>
      <c r="G517" s="8" t="str">
        <f>G516</f>
        <v>BARB0001</v>
      </c>
      <c r="H517" s="26"/>
      <c r="I517" s="26"/>
      <c r="J517" s="26"/>
      <c r="K517" s="28">
        <f>+K516</f>
        <v>42005</v>
      </c>
      <c r="L517" s="26" t="str">
        <f>L516</f>
        <v>DD000000000000000038</v>
      </c>
      <c r="M517" s="26"/>
      <c r="N517" s="26"/>
      <c r="O517" s="26" t="str">
        <f>"""GP Direct"",""Fabrikam, Inc."",""UPR30300"",""PAYRATE"",""0.00000"",""PAYROLCD"",""MED"",""STATECD"","""",""CHEKDATE"",""1/1/2015"",""UPRTRXAM"",""5.00000"""</f>
        <v>"GP Direct","Fabrikam, Inc.","UPR30300","PAYRATE","0.00000","PAYROLCD","MED","STATECD","","CHEKDATE","1/1/2015","UPRTRXAM","5.00000"</v>
      </c>
      <c r="P517" s="29">
        <v>0</v>
      </c>
      <c r="Q517" s="26" t="str">
        <f>"MED"</f>
        <v>MED</v>
      </c>
      <c r="R517" s="26"/>
      <c r="S517" s="28">
        <v>42005</v>
      </c>
      <c r="T517" s="29">
        <v>5</v>
      </c>
    </row>
    <row r="518" spans="1:20" s="7" customFormat="1" hidden="1" outlineLevel="3" x14ac:dyDescent="0.2">
      <c r="A518" s="7" t="s">
        <v>92</v>
      </c>
      <c r="C518" s="7" t="str">
        <f t="shared" si="74"/>
        <v>Angela</v>
      </c>
      <c r="D518" s="7" t="str">
        <f>+D517</f>
        <v>Barbariol</v>
      </c>
      <c r="E518" s="8" t="str">
        <f>E517</f>
        <v>INST</v>
      </c>
      <c r="G518" s="8" t="str">
        <f>G517</f>
        <v>BARB0001</v>
      </c>
      <c r="H518" s="26"/>
      <c r="I518" s="26"/>
      <c r="J518" s="26"/>
      <c r="K518" s="28">
        <f>+K517</f>
        <v>42005</v>
      </c>
      <c r="L518" s="26" t="str">
        <f>L517</f>
        <v>DD000000000000000038</v>
      </c>
      <c r="M518" s="26"/>
      <c r="N518" s="26"/>
      <c r="O518" s="26" t="str">
        <f>"""GP Direct"",""Fabrikam, Inc."",""UPR30300"",""PAYRATE"",""15.10000"",""PAYROLCD"",""HOUR"",""STATECD"",""IN"",""CHEKDATE"",""1/1/2015"",""UPRTRXAM"",""1308.72000"""</f>
        <v>"GP Direct","Fabrikam, Inc.","UPR30300","PAYRATE","15.10000","PAYROLCD","HOUR","STATECD","IN","CHEKDATE","1/1/2015","UPRTRXAM","1308.72000"</v>
      </c>
      <c r="P518" s="29">
        <v>15.1</v>
      </c>
      <c r="Q518" s="26" t="str">
        <f>"HOUR"</f>
        <v>HOUR</v>
      </c>
      <c r="R518" s="26" t="str">
        <f>"IN"</f>
        <v>IN</v>
      </c>
      <c r="S518" s="28">
        <v>42005</v>
      </c>
      <c r="T518" s="29">
        <v>1308.72</v>
      </c>
    </row>
    <row r="519" spans="1:20" s="7" customFormat="1" hidden="1" outlineLevel="3" x14ac:dyDescent="0.2">
      <c r="A519" s="7" t="s">
        <v>92</v>
      </c>
      <c r="C519" s="7" t="str">
        <f>+C513</f>
        <v>Angela</v>
      </c>
      <c r="D519" s="7" t="str">
        <f>+D513</f>
        <v>Barbariol</v>
      </c>
      <c r="E519" s="8" t="str">
        <f>E513</f>
        <v>INST</v>
      </c>
      <c r="G519" s="8" t="str">
        <f>G513</f>
        <v>BARB0001</v>
      </c>
      <c r="K519" s="12">
        <f>+K513</f>
        <v>42005</v>
      </c>
      <c r="L519" s="8" t="str">
        <f>L513</f>
        <v>DD000000000000000038</v>
      </c>
      <c r="O519" s="8"/>
      <c r="T519" s="20"/>
    </row>
    <row r="520" spans="1:20" s="7" customFormat="1" hidden="1" outlineLevel="2" collapsed="1" x14ac:dyDescent="0.2">
      <c r="A520" s="7" t="s">
        <v>92</v>
      </c>
      <c r="C520" s="7" t="str">
        <f t="shared" si="73"/>
        <v>Angela</v>
      </c>
      <c r="D520" s="7" t="str">
        <f>+D519</f>
        <v>Barbariol</v>
      </c>
      <c r="E520" s="8" t="str">
        <f>E519</f>
        <v>INST</v>
      </c>
      <c r="G520" s="8" t="str">
        <f>G519</f>
        <v>BARB0001</v>
      </c>
      <c r="K520" s="12">
        <f>+K519</f>
        <v>42005</v>
      </c>
      <c r="L520" s="8" t="str">
        <f>L519</f>
        <v>DD000000000000000038</v>
      </c>
      <c r="M520" s="33" t="str">
        <f>"Total for " &amp; $L520</f>
        <v>Total for DD000000000000000038</v>
      </c>
      <c r="N520" s="34">
        <f>+K520</f>
        <v>42005</v>
      </c>
      <c r="O520" s="35"/>
      <c r="P520" s="33"/>
      <c r="Q520" s="33"/>
      <c r="R520" s="33"/>
      <c r="S520" s="33"/>
      <c r="T520" s="36">
        <f>SUBTOTAL(9,T513:T519)</f>
        <v>1444.46</v>
      </c>
    </row>
    <row r="521" spans="1:20" s="7" customFormat="1" hidden="1" outlineLevel="3" x14ac:dyDescent="0.2">
      <c r="A521" s="7" t="s">
        <v>92</v>
      </c>
      <c r="C521" s="7" t="str">
        <f t="shared" ref="C521:C576" si="75">+C520</f>
        <v>Angela</v>
      </c>
      <c r="D521" s="7" t="str">
        <f>+D520</f>
        <v>Barbariol</v>
      </c>
      <c r="E521" s="8" t="str">
        <f>E520</f>
        <v>INST</v>
      </c>
      <c r="G521" s="8" t="str">
        <f>G520</f>
        <v>BARB0001</v>
      </c>
      <c r="H521" s="26"/>
      <c r="I521" s="26"/>
      <c r="J521" s="26"/>
      <c r="K521" s="28">
        <f>+N521</f>
        <v>42036</v>
      </c>
      <c r="L521" s="26" t="str">
        <f>M521</f>
        <v>DD000000000000000041</v>
      </c>
      <c r="M521" s="26" t="str">
        <f>"DD000000000000000041"</f>
        <v>DD000000000000000041</v>
      </c>
      <c r="N521" s="28">
        <v>42036</v>
      </c>
      <c r="O521" s="26"/>
      <c r="P521" s="26"/>
      <c r="Q521" s="26"/>
      <c r="R521" s="26"/>
      <c r="S521" s="26"/>
      <c r="T521" s="27"/>
    </row>
    <row r="522" spans="1:20" s="7" customFormat="1" hidden="1" outlineLevel="3" x14ac:dyDescent="0.2">
      <c r="A522" s="7" t="s">
        <v>92</v>
      </c>
      <c r="C522" s="7" t="str">
        <f t="shared" si="75"/>
        <v>Angela</v>
      </c>
      <c r="D522" s="7" t="str">
        <f>+D521</f>
        <v>Barbariol</v>
      </c>
      <c r="E522" s="8" t="str">
        <f>E521</f>
        <v>INST</v>
      </c>
      <c r="G522" s="8" t="str">
        <f>G521</f>
        <v>BARB0001</v>
      </c>
      <c r="H522" s="26"/>
      <c r="I522" s="26"/>
      <c r="J522" s="26"/>
      <c r="K522" s="28">
        <f>+K521</f>
        <v>42036</v>
      </c>
      <c r="L522" s="26" t="str">
        <f>L521</f>
        <v>DD000000000000000041</v>
      </c>
      <c r="M522" s="26"/>
      <c r="N522" s="26"/>
      <c r="O522" s="26" t="str">
        <f>"""GP Direct"",""Fabrikam, Inc."",""UPR30300"",""PAYRATE"",""0.00000"",""PAYROLCD"",""401K"",""STATECD"","""",""CHEKDATE"",""2/1/2015"",""UPRTRXAM"",""1.96000"""</f>
        <v>"GP Direct","Fabrikam, Inc.","UPR30300","PAYRATE","0.00000","PAYROLCD","401K","STATECD","","CHEKDATE","2/1/2015","UPRTRXAM","1.96000"</v>
      </c>
      <c r="P522" s="29">
        <v>0</v>
      </c>
      <c r="Q522" s="26" t="str">
        <f>"401K"</f>
        <v>401K</v>
      </c>
      <c r="R522" s="26"/>
      <c r="S522" s="28">
        <v>42036</v>
      </c>
      <c r="T522" s="29">
        <v>1.96</v>
      </c>
    </row>
    <row r="523" spans="1:20" s="7" customFormat="1" hidden="1" outlineLevel="3" x14ac:dyDescent="0.2">
      <c r="A523" s="7" t="s">
        <v>92</v>
      </c>
      <c r="C523" s="7" t="str">
        <f t="shared" ref="C523:C527" si="76">+C522</f>
        <v>Angela</v>
      </c>
      <c r="D523" s="7" t="str">
        <f>+D522</f>
        <v>Barbariol</v>
      </c>
      <c r="E523" s="8" t="str">
        <f>E522</f>
        <v>INST</v>
      </c>
      <c r="G523" s="8" t="str">
        <f>G522</f>
        <v>BARB0001</v>
      </c>
      <c r="H523" s="26"/>
      <c r="I523" s="26"/>
      <c r="J523" s="26"/>
      <c r="K523" s="28">
        <f>+K522</f>
        <v>42036</v>
      </c>
      <c r="L523" s="26" t="str">
        <f>L522</f>
        <v>DD000000000000000041</v>
      </c>
      <c r="M523" s="26"/>
      <c r="N523" s="26"/>
      <c r="O523" s="26" t="str">
        <f>"""GP Direct"",""Fabrikam, Inc."",""UPR30300"",""PAYRATE"",""0.00000"",""PAYROLCD"",""401K"",""STATECD"","""",""CHEKDATE"",""2/1/2015"",""UPRTRXAM"",""39.26000"""</f>
        <v>"GP Direct","Fabrikam, Inc.","UPR30300","PAYRATE","0.00000","PAYROLCD","401K","STATECD","","CHEKDATE","2/1/2015","UPRTRXAM","39.26000"</v>
      </c>
      <c r="P523" s="29">
        <v>0</v>
      </c>
      <c r="Q523" s="26" t="str">
        <f>"401K"</f>
        <v>401K</v>
      </c>
      <c r="R523" s="26"/>
      <c r="S523" s="28">
        <v>42036</v>
      </c>
      <c r="T523" s="29">
        <v>39.26</v>
      </c>
    </row>
    <row r="524" spans="1:20" s="7" customFormat="1" hidden="1" outlineLevel="3" x14ac:dyDescent="0.2">
      <c r="A524" s="7" t="s">
        <v>92</v>
      </c>
      <c r="C524" s="7" t="str">
        <f t="shared" si="76"/>
        <v>Angela</v>
      </c>
      <c r="D524" s="7" t="str">
        <f>+D523</f>
        <v>Barbariol</v>
      </c>
      <c r="E524" s="8" t="str">
        <f>E523</f>
        <v>INST</v>
      </c>
      <c r="G524" s="8" t="str">
        <f>G523</f>
        <v>BARB0001</v>
      </c>
      <c r="H524" s="26"/>
      <c r="I524" s="26"/>
      <c r="J524" s="26"/>
      <c r="K524" s="28">
        <f>+K523</f>
        <v>42036</v>
      </c>
      <c r="L524" s="26" t="str">
        <f>L523</f>
        <v>DD000000000000000041</v>
      </c>
      <c r="M524" s="26"/>
      <c r="N524" s="26"/>
      <c r="O524" s="26" t="str">
        <f>"""GP Direct"",""Fabrikam, Inc."",""UPR30300"",""PAYRATE"",""0.00000"",""PAYROLCD"",""IN"",""STATECD"","""",""CHEKDATE"",""2/1/2015"",""UPRTRXAM"",""40.16000"""</f>
        <v>"GP Direct","Fabrikam, Inc.","UPR30300","PAYRATE","0.00000","PAYROLCD","IN","STATECD","","CHEKDATE","2/1/2015","UPRTRXAM","40.16000"</v>
      </c>
      <c r="P524" s="29">
        <v>0</v>
      </c>
      <c r="Q524" s="26" t="str">
        <f>"IN"</f>
        <v>IN</v>
      </c>
      <c r="R524" s="26"/>
      <c r="S524" s="28">
        <v>42036</v>
      </c>
      <c r="T524" s="29">
        <v>40.159999999999997</v>
      </c>
    </row>
    <row r="525" spans="1:20" s="7" customFormat="1" hidden="1" outlineLevel="3" x14ac:dyDescent="0.2">
      <c r="A525" s="7" t="s">
        <v>92</v>
      </c>
      <c r="C525" s="7" t="str">
        <f t="shared" si="76"/>
        <v>Angela</v>
      </c>
      <c r="D525" s="7" t="str">
        <f>+D524</f>
        <v>Barbariol</v>
      </c>
      <c r="E525" s="8" t="str">
        <f>E524</f>
        <v>INST</v>
      </c>
      <c r="G525" s="8" t="str">
        <f>G524</f>
        <v>BARB0001</v>
      </c>
      <c r="H525" s="26"/>
      <c r="I525" s="26"/>
      <c r="J525" s="26"/>
      <c r="K525" s="28">
        <f>+K524</f>
        <v>42036</v>
      </c>
      <c r="L525" s="26" t="str">
        <f>L524</f>
        <v>DD000000000000000041</v>
      </c>
      <c r="M525" s="26"/>
      <c r="N525" s="26"/>
      <c r="O525" s="26" t="str">
        <f>"""GP Direct"",""Fabrikam, Inc."",""UPR30300"",""PAYRATE"",""0.00000"",""PAYROLCD"",""INS"",""STATECD"","""",""CHEKDATE"",""2/1/2015"",""UPRTRXAM"",""49.36000"""</f>
        <v>"GP Direct","Fabrikam, Inc.","UPR30300","PAYRATE","0.00000","PAYROLCD","INS","STATECD","","CHEKDATE","2/1/2015","UPRTRXAM","49.36000"</v>
      </c>
      <c r="P525" s="29">
        <v>0</v>
      </c>
      <c r="Q525" s="26" t="str">
        <f>"INS"</f>
        <v>INS</v>
      </c>
      <c r="R525" s="26"/>
      <c r="S525" s="28">
        <v>42036</v>
      </c>
      <c r="T525" s="29">
        <v>49.36</v>
      </c>
    </row>
    <row r="526" spans="1:20" s="7" customFormat="1" hidden="1" outlineLevel="3" x14ac:dyDescent="0.2">
      <c r="A526" s="7" t="s">
        <v>92</v>
      </c>
      <c r="C526" s="7" t="str">
        <f t="shared" si="76"/>
        <v>Angela</v>
      </c>
      <c r="D526" s="7" t="str">
        <f>+D525</f>
        <v>Barbariol</v>
      </c>
      <c r="E526" s="8" t="str">
        <f>E525</f>
        <v>INST</v>
      </c>
      <c r="G526" s="8" t="str">
        <f>G525</f>
        <v>BARB0001</v>
      </c>
      <c r="H526" s="26"/>
      <c r="I526" s="26"/>
      <c r="J526" s="26"/>
      <c r="K526" s="28">
        <f>+K525</f>
        <v>42036</v>
      </c>
      <c r="L526" s="26" t="str">
        <f>L525</f>
        <v>DD000000000000000041</v>
      </c>
      <c r="M526" s="26"/>
      <c r="N526" s="26"/>
      <c r="O526" s="26" t="str">
        <f>"""GP Direct"",""Fabrikam, Inc."",""UPR30300"",""PAYRATE"",""0.00000"",""PAYROLCD"",""MED"",""STATECD"","""",""CHEKDATE"",""2/1/2015"",""UPRTRXAM"",""5.00000"""</f>
        <v>"GP Direct","Fabrikam, Inc.","UPR30300","PAYRATE","0.00000","PAYROLCD","MED","STATECD","","CHEKDATE","2/1/2015","UPRTRXAM","5.00000"</v>
      </c>
      <c r="P526" s="29">
        <v>0</v>
      </c>
      <c r="Q526" s="26" t="str">
        <f>"MED"</f>
        <v>MED</v>
      </c>
      <c r="R526" s="26"/>
      <c r="S526" s="28">
        <v>42036</v>
      </c>
      <c r="T526" s="29">
        <v>5</v>
      </c>
    </row>
    <row r="527" spans="1:20" s="7" customFormat="1" hidden="1" outlineLevel="3" x14ac:dyDescent="0.2">
      <c r="A527" s="7" t="s">
        <v>92</v>
      </c>
      <c r="C527" s="7" t="str">
        <f t="shared" si="76"/>
        <v>Angela</v>
      </c>
      <c r="D527" s="7" t="str">
        <f>+D526</f>
        <v>Barbariol</v>
      </c>
      <c r="E527" s="8" t="str">
        <f>E526</f>
        <v>INST</v>
      </c>
      <c r="G527" s="8" t="str">
        <f>G526</f>
        <v>BARB0001</v>
      </c>
      <c r="H527" s="26"/>
      <c r="I527" s="26"/>
      <c r="J527" s="26"/>
      <c r="K527" s="28">
        <f>+K526</f>
        <v>42036</v>
      </c>
      <c r="L527" s="26" t="str">
        <f>L526</f>
        <v>DD000000000000000041</v>
      </c>
      <c r="M527" s="26"/>
      <c r="N527" s="26"/>
      <c r="O527" s="26" t="str">
        <f>"""GP Direct"",""Fabrikam, Inc."",""UPR30300"",""PAYRATE"",""15.10000"",""PAYROLCD"",""HOUR"",""STATECD"",""IN"",""CHEKDATE"",""2/1/2015"",""UPRTRXAM"",""1308.72000"""</f>
        <v>"GP Direct","Fabrikam, Inc.","UPR30300","PAYRATE","15.10000","PAYROLCD","HOUR","STATECD","IN","CHEKDATE","2/1/2015","UPRTRXAM","1308.72000"</v>
      </c>
      <c r="P527" s="29">
        <v>15.1</v>
      </c>
      <c r="Q527" s="26" t="str">
        <f>"HOUR"</f>
        <v>HOUR</v>
      </c>
      <c r="R527" s="26" t="str">
        <f>"IN"</f>
        <v>IN</v>
      </c>
      <c r="S527" s="28">
        <v>42036</v>
      </c>
      <c r="T527" s="29">
        <v>1308.72</v>
      </c>
    </row>
    <row r="528" spans="1:20" s="7" customFormat="1" hidden="1" outlineLevel="3" x14ac:dyDescent="0.2">
      <c r="A528" s="7" t="s">
        <v>92</v>
      </c>
      <c r="C528" s="7" t="str">
        <f>+C522</f>
        <v>Angela</v>
      </c>
      <c r="D528" s="7" t="str">
        <f>+D522</f>
        <v>Barbariol</v>
      </c>
      <c r="E528" s="8" t="str">
        <f>E522</f>
        <v>INST</v>
      </c>
      <c r="G528" s="8" t="str">
        <f>G522</f>
        <v>BARB0001</v>
      </c>
      <c r="K528" s="12">
        <f>+K522</f>
        <v>42036</v>
      </c>
      <c r="L528" s="8" t="str">
        <f>L522</f>
        <v>DD000000000000000041</v>
      </c>
      <c r="O528" s="8"/>
      <c r="T528" s="20"/>
    </row>
    <row r="529" spans="1:20" s="7" customFormat="1" hidden="1" outlineLevel="2" collapsed="1" x14ac:dyDescent="0.2">
      <c r="A529" s="7" t="s">
        <v>92</v>
      </c>
      <c r="C529" s="7" t="str">
        <f t="shared" si="75"/>
        <v>Angela</v>
      </c>
      <c r="D529" s="7" t="str">
        <f>+D528</f>
        <v>Barbariol</v>
      </c>
      <c r="E529" s="8" t="str">
        <f>E528</f>
        <v>INST</v>
      </c>
      <c r="G529" s="8" t="str">
        <f>G528</f>
        <v>BARB0001</v>
      </c>
      <c r="K529" s="12">
        <f>+K528</f>
        <v>42036</v>
      </c>
      <c r="L529" s="8" t="str">
        <f>L528</f>
        <v>DD000000000000000041</v>
      </c>
      <c r="M529" s="33" t="str">
        <f>"Total for " &amp; $L529</f>
        <v>Total for DD000000000000000041</v>
      </c>
      <c r="N529" s="34">
        <f>+K529</f>
        <v>42036</v>
      </c>
      <c r="O529" s="35"/>
      <c r="P529" s="33"/>
      <c r="Q529" s="33"/>
      <c r="R529" s="33"/>
      <c r="S529" s="33"/>
      <c r="T529" s="36">
        <f>SUBTOTAL(9,T522:T528)</f>
        <v>1444.46</v>
      </c>
    </row>
    <row r="530" spans="1:20" s="7" customFormat="1" hidden="1" outlineLevel="3" x14ac:dyDescent="0.2">
      <c r="A530" s="7" t="s">
        <v>92</v>
      </c>
      <c r="C530" s="7" t="str">
        <f t="shared" si="75"/>
        <v>Angela</v>
      </c>
      <c r="D530" s="7" t="str">
        <f>+D529</f>
        <v>Barbariol</v>
      </c>
      <c r="E530" s="8" t="str">
        <f>E529</f>
        <v>INST</v>
      </c>
      <c r="G530" s="8" t="str">
        <f>G529</f>
        <v>BARB0001</v>
      </c>
      <c r="H530" s="26"/>
      <c r="I530" s="26"/>
      <c r="J530" s="26"/>
      <c r="K530" s="28">
        <f>+N530</f>
        <v>42064</v>
      </c>
      <c r="L530" s="26" t="str">
        <f>M530</f>
        <v>DD000000000000000044</v>
      </c>
      <c r="M530" s="26" t="str">
        <f>"DD000000000000000044"</f>
        <v>DD000000000000000044</v>
      </c>
      <c r="N530" s="28">
        <v>42064</v>
      </c>
      <c r="O530" s="26"/>
      <c r="P530" s="26"/>
      <c r="Q530" s="26"/>
      <c r="R530" s="26"/>
      <c r="S530" s="26"/>
      <c r="T530" s="27"/>
    </row>
    <row r="531" spans="1:20" s="7" customFormat="1" hidden="1" outlineLevel="3" x14ac:dyDescent="0.2">
      <c r="A531" s="7" t="s">
        <v>92</v>
      </c>
      <c r="C531" s="7" t="str">
        <f t="shared" si="75"/>
        <v>Angela</v>
      </c>
      <c r="D531" s="7" t="str">
        <f>+D530</f>
        <v>Barbariol</v>
      </c>
      <c r="E531" s="8" t="str">
        <f>E530</f>
        <v>INST</v>
      </c>
      <c r="G531" s="8" t="str">
        <f>G530</f>
        <v>BARB0001</v>
      </c>
      <c r="H531" s="26"/>
      <c r="I531" s="26"/>
      <c r="J531" s="26"/>
      <c r="K531" s="28">
        <f>+K530</f>
        <v>42064</v>
      </c>
      <c r="L531" s="26" t="str">
        <f>L530</f>
        <v>DD000000000000000044</v>
      </c>
      <c r="M531" s="26"/>
      <c r="N531" s="26"/>
      <c r="O531" s="26" t="str">
        <f>"""GP Direct"",""Fabrikam, Inc."",""UPR30300"",""PAYRATE"",""0.00000"",""PAYROLCD"",""401K"",""STATECD"","""",""CHEKDATE"",""3/1/2015"",""UPRTRXAM"",""1.96000"""</f>
        <v>"GP Direct","Fabrikam, Inc.","UPR30300","PAYRATE","0.00000","PAYROLCD","401K","STATECD","","CHEKDATE","3/1/2015","UPRTRXAM","1.96000"</v>
      </c>
      <c r="P531" s="29">
        <v>0</v>
      </c>
      <c r="Q531" s="26" t="str">
        <f>"401K"</f>
        <v>401K</v>
      </c>
      <c r="R531" s="26"/>
      <c r="S531" s="28">
        <v>42064</v>
      </c>
      <c r="T531" s="29">
        <v>1.96</v>
      </c>
    </row>
    <row r="532" spans="1:20" s="7" customFormat="1" hidden="1" outlineLevel="3" x14ac:dyDescent="0.2">
      <c r="A532" s="7" t="s">
        <v>92</v>
      </c>
      <c r="C532" s="7" t="str">
        <f t="shared" ref="C532:C536" si="77">+C531</f>
        <v>Angela</v>
      </c>
      <c r="D532" s="7" t="str">
        <f>+D531</f>
        <v>Barbariol</v>
      </c>
      <c r="E532" s="8" t="str">
        <f>E531</f>
        <v>INST</v>
      </c>
      <c r="G532" s="8" t="str">
        <f>G531</f>
        <v>BARB0001</v>
      </c>
      <c r="H532" s="26"/>
      <c r="I532" s="26"/>
      <c r="J532" s="26"/>
      <c r="K532" s="28">
        <f>+K531</f>
        <v>42064</v>
      </c>
      <c r="L532" s="26" t="str">
        <f>L531</f>
        <v>DD000000000000000044</v>
      </c>
      <c r="M532" s="26"/>
      <c r="N532" s="26"/>
      <c r="O532" s="26" t="str">
        <f>"""GP Direct"",""Fabrikam, Inc."",""UPR30300"",""PAYRATE"",""0.00000"",""PAYROLCD"",""401K"",""STATECD"","""",""CHEKDATE"",""3/1/2015"",""UPRTRXAM"",""39.26000"""</f>
        <v>"GP Direct","Fabrikam, Inc.","UPR30300","PAYRATE","0.00000","PAYROLCD","401K","STATECD","","CHEKDATE","3/1/2015","UPRTRXAM","39.26000"</v>
      </c>
      <c r="P532" s="29">
        <v>0</v>
      </c>
      <c r="Q532" s="26" t="str">
        <f>"401K"</f>
        <v>401K</v>
      </c>
      <c r="R532" s="26"/>
      <c r="S532" s="28">
        <v>42064</v>
      </c>
      <c r="T532" s="29">
        <v>39.26</v>
      </c>
    </row>
    <row r="533" spans="1:20" s="7" customFormat="1" hidden="1" outlineLevel="3" x14ac:dyDescent="0.2">
      <c r="A533" s="7" t="s">
        <v>92</v>
      </c>
      <c r="C533" s="7" t="str">
        <f t="shared" si="77"/>
        <v>Angela</v>
      </c>
      <c r="D533" s="7" t="str">
        <f>+D532</f>
        <v>Barbariol</v>
      </c>
      <c r="E533" s="8" t="str">
        <f>E532</f>
        <v>INST</v>
      </c>
      <c r="G533" s="8" t="str">
        <f>G532</f>
        <v>BARB0001</v>
      </c>
      <c r="H533" s="26"/>
      <c r="I533" s="26"/>
      <c r="J533" s="26"/>
      <c r="K533" s="28">
        <f>+K532</f>
        <v>42064</v>
      </c>
      <c r="L533" s="26" t="str">
        <f>L532</f>
        <v>DD000000000000000044</v>
      </c>
      <c r="M533" s="26"/>
      <c r="N533" s="26"/>
      <c r="O533" s="26" t="str">
        <f>"""GP Direct"",""Fabrikam, Inc."",""UPR30300"",""PAYRATE"",""0.00000"",""PAYROLCD"",""IN"",""STATECD"","""",""CHEKDATE"",""3/1/2015"",""UPRTRXAM"",""40.16000"""</f>
        <v>"GP Direct","Fabrikam, Inc.","UPR30300","PAYRATE","0.00000","PAYROLCD","IN","STATECD","","CHEKDATE","3/1/2015","UPRTRXAM","40.16000"</v>
      </c>
      <c r="P533" s="29">
        <v>0</v>
      </c>
      <c r="Q533" s="26" t="str">
        <f>"IN"</f>
        <v>IN</v>
      </c>
      <c r="R533" s="26"/>
      <c r="S533" s="28">
        <v>42064</v>
      </c>
      <c r="T533" s="29">
        <v>40.159999999999997</v>
      </c>
    </row>
    <row r="534" spans="1:20" s="7" customFormat="1" hidden="1" outlineLevel="3" x14ac:dyDescent="0.2">
      <c r="A534" s="7" t="s">
        <v>92</v>
      </c>
      <c r="C534" s="7" t="str">
        <f t="shared" si="77"/>
        <v>Angela</v>
      </c>
      <c r="D534" s="7" t="str">
        <f>+D533</f>
        <v>Barbariol</v>
      </c>
      <c r="E534" s="8" t="str">
        <f>E533</f>
        <v>INST</v>
      </c>
      <c r="G534" s="8" t="str">
        <f>G533</f>
        <v>BARB0001</v>
      </c>
      <c r="H534" s="26"/>
      <c r="I534" s="26"/>
      <c r="J534" s="26"/>
      <c r="K534" s="28">
        <f>+K533</f>
        <v>42064</v>
      </c>
      <c r="L534" s="26" t="str">
        <f>L533</f>
        <v>DD000000000000000044</v>
      </c>
      <c r="M534" s="26"/>
      <c r="N534" s="26"/>
      <c r="O534" s="26" t="str">
        <f>"""GP Direct"",""Fabrikam, Inc."",""UPR30300"",""PAYRATE"",""0.00000"",""PAYROLCD"",""INS"",""STATECD"","""",""CHEKDATE"",""3/1/2015"",""UPRTRXAM"",""49.36000"""</f>
        <v>"GP Direct","Fabrikam, Inc.","UPR30300","PAYRATE","0.00000","PAYROLCD","INS","STATECD","","CHEKDATE","3/1/2015","UPRTRXAM","49.36000"</v>
      </c>
      <c r="P534" s="29">
        <v>0</v>
      </c>
      <c r="Q534" s="26" t="str">
        <f>"INS"</f>
        <v>INS</v>
      </c>
      <c r="R534" s="26"/>
      <c r="S534" s="28">
        <v>42064</v>
      </c>
      <c r="T534" s="29">
        <v>49.36</v>
      </c>
    </row>
    <row r="535" spans="1:20" s="7" customFormat="1" hidden="1" outlineLevel="3" x14ac:dyDescent="0.2">
      <c r="A535" s="7" t="s">
        <v>92</v>
      </c>
      <c r="C535" s="7" t="str">
        <f t="shared" si="77"/>
        <v>Angela</v>
      </c>
      <c r="D535" s="7" t="str">
        <f>+D534</f>
        <v>Barbariol</v>
      </c>
      <c r="E535" s="8" t="str">
        <f>E534</f>
        <v>INST</v>
      </c>
      <c r="G535" s="8" t="str">
        <f>G534</f>
        <v>BARB0001</v>
      </c>
      <c r="H535" s="26"/>
      <c r="I535" s="26"/>
      <c r="J535" s="26"/>
      <c r="K535" s="28">
        <f>+K534</f>
        <v>42064</v>
      </c>
      <c r="L535" s="26" t="str">
        <f>L534</f>
        <v>DD000000000000000044</v>
      </c>
      <c r="M535" s="26"/>
      <c r="N535" s="26"/>
      <c r="O535" s="26" t="str">
        <f>"""GP Direct"",""Fabrikam, Inc."",""UPR30300"",""PAYRATE"",""0.00000"",""PAYROLCD"",""MED"",""STATECD"","""",""CHEKDATE"",""3/1/2015"",""UPRTRXAM"",""5.00000"""</f>
        <v>"GP Direct","Fabrikam, Inc.","UPR30300","PAYRATE","0.00000","PAYROLCD","MED","STATECD","","CHEKDATE","3/1/2015","UPRTRXAM","5.00000"</v>
      </c>
      <c r="P535" s="29">
        <v>0</v>
      </c>
      <c r="Q535" s="26" t="str">
        <f>"MED"</f>
        <v>MED</v>
      </c>
      <c r="R535" s="26"/>
      <c r="S535" s="28">
        <v>42064</v>
      </c>
      <c r="T535" s="29">
        <v>5</v>
      </c>
    </row>
    <row r="536" spans="1:20" s="7" customFormat="1" hidden="1" outlineLevel="3" x14ac:dyDescent="0.2">
      <c r="A536" s="7" t="s">
        <v>92</v>
      </c>
      <c r="C536" s="7" t="str">
        <f t="shared" si="77"/>
        <v>Angela</v>
      </c>
      <c r="D536" s="7" t="str">
        <f>+D535</f>
        <v>Barbariol</v>
      </c>
      <c r="E536" s="8" t="str">
        <f>E535</f>
        <v>INST</v>
      </c>
      <c r="G536" s="8" t="str">
        <f>G535</f>
        <v>BARB0001</v>
      </c>
      <c r="H536" s="26"/>
      <c r="I536" s="26"/>
      <c r="J536" s="26"/>
      <c r="K536" s="28">
        <f>+K535</f>
        <v>42064</v>
      </c>
      <c r="L536" s="26" t="str">
        <f>L535</f>
        <v>DD000000000000000044</v>
      </c>
      <c r="M536" s="26"/>
      <c r="N536" s="26"/>
      <c r="O536" s="26" t="str">
        <f>"""GP Direct"",""Fabrikam, Inc."",""UPR30300"",""PAYRATE"",""15.10000"",""PAYROLCD"",""HOUR"",""STATECD"",""IN"",""CHEKDATE"",""3/1/2015"",""UPRTRXAM"",""1308.72000"""</f>
        <v>"GP Direct","Fabrikam, Inc.","UPR30300","PAYRATE","15.10000","PAYROLCD","HOUR","STATECD","IN","CHEKDATE","3/1/2015","UPRTRXAM","1308.72000"</v>
      </c>
      <c r="P536" s="29">
        <v>15.1</v>
      </c>
      <c r="Q536" s="26" t="str">
        <f>"HOUR"</f>
        <v>HOUR</v>
      </c>
      <c r="R536" s="26" t="str">
        <f>"IN"</f>
        <v>IN</v>
      </c>
      <c r="S536" s="28">
        <v>42064</v>
      </c>
      <c r="T536" s="29">
        <v>1308.72</v>
      </c>
    </row>
    <row r="537" spans="1:20" s="7" customFormat="1" hidden="1" outlineLevel="3" x14ac:dyDescent="0.2">
      <c r="A537" s="7" t="s">
        <v>92</v>
      </c>
      <c r="C537" s="7" t="str">
        <f>+C531</f>
        <v>Angela</v>
      </c>
      <c r="D537" s="7" t="str">
        <f>+D531</f>
        <v>Barbariol</v>
      </c>
      <c r="E537" s="8" t="str">
        <f>E531</f>
        <v>INST</v>
      </c>
      <c r="G537" s="8" t="str">
        <f>G531</f>
        <v>BARB0001</v>
      </c>
      <c r="K537" s="12">
        <f>+K531</f>
        <v>42064</v>
      </c>
      <c r="L537" s="8" t="str">
        <f>L531</f>
        <v>DD000000000000000044</v>
      </c>
      <c r="O537" s="8"/>
      <c r="T537" s="20"/>
    </row>
    <row r="538" spans="1:20" s="7" customFormat="1" hidden="1" outlineLevel="2" collapsed="1" x14ac:dyDescent="0.2">
      <c r="A538" s="7" t="s">
        <v>92</v>
      </c>
      <c r="C538" s="7" t="str">
        <f t="shared" si="75"/>
        <v>Angela</v>
      </c>
      <c r="D538" s="7" t="str">
        <f>+D537</f>
        <v>Barbariol</v>
      </c>
      <c r="E538" s="8" t="str">
        <f>E537</f>
        <v>INST</v>
      </c>
      <c r="G538" s="8" t="str">
        <f>G537</f>
        <v>BARB0001</v>
      </c>
      <c r="K538" s="12">
        <f>+K537</f>
        <v>42064</v>
      </c>
      <c r="L538" s="8" t="str">
        <f>L537</f>
        <v>DD000000000000000044</v>
      </c>
      <c r="M538" s="33" t="str">
        <f>"Total for " &amp; $L538</f>
        <v>Total for DD000000000000000044</v>
      </c>
      <c r="N538" s="34">
        <f>+K538</f>
        <v>42064</v>
      </c>
      <c r="O538" s="35"/>
      <c r="P538" s="33"/>
      <c r="Q538" s="33"/>
      <c r="R538" s="33"/>
      <c r="S538" s="33"/>
      <c r="T538" s="36">
        <f>SUBTOTAL(9,T531:T537)</f>
        <v>1444.46</v>
      </c>
    </row>
    <row r="539" spans="1:20" s="7" customFormat="1" hidden="1" outlineLevel="3" x14ac:dyDescent="0.2">
      <c r="A539" s="7" t="s">
        <v>92</v>
      </c>
      <c r="C539" s="7" t="str">
        <f t="shared" si="75"/>
        <v>Angela</v>
      </c>
      <c r="D539" s="7" t="str">
        <f>+D538</f>
        <v>Barbariol</v>
      </c>
      <c r="E539" s="8" t="str">
        <f>E538</f>
        <v>INST</v>
      </c>
      <c r="G539" s="8" t="str">
        <f>G538</f>
        <v>BARB0001</v>
      </c>
      <c r="H539" s="26"/>
      <c r="I539" s="26"/>
      <c r="J539" s="26"/>
      <c r="K539" s="28">
        <f>+N539</f>
        <v>42095</v>
      </c>
      <c r="L539" s="26" t="str">
        <f>M539</f>
        <v>DD000000000000000047</v>
      </c>
      <c r="M539" s="26" t="str">
        <f>"DD000000000000000047"</f>
        <v>DD000000000000000047</v>
      </c>
      <c r="N539" s="28">
        <v>42095</v>
      </c>
      <c r="O539" s="26"/>
      <c r="P539" s="26"/>
      <c r="Q539" s="26"/>
      <c r="R539" s="26"/>
      <c r="S539" s="26"/>
      <c r="T539" s="27"/>
    </row>
    <row r="540" spans="1:20" s="7" customFormat="1" hidden="1" outlineLevel="3" x14ac:dyDescent="0.2">
      <c r="A540" s="7" t="s">
        <v>92</v>
      </c>
      <c r="C540" s="7" t="str">
        <f t="shared" si="75"/>
        <v>Angela</v>
      </c>
      <c r="D540" s="7" t="str">
        <f>+D539</f>
        <v>Barbariol</v>
      </c>
      <c r="E540" s="8" t="str">
        <f>E539</f>
        <v>INST</v>
      </c>
      <c r="G540" s="8" t="str">
        <f>G539</f>
        <v>BARB0001</v>
      </c>
      <c r="H540" s="26"/>
      <c r="I540" s="26"/>
      <c r="J540" s="26"/>
      <c r="K540" s="28">
        <f>+K539</f>
        <v>42095</v>
      </c>
      <c r="L540" s="26" t="str">
        <f>L539</f>
        <v>DD000000000000000047</v>
      </c>
      <c r="M540" s="26"/>
      <c r="N540" s="26"/>
      <c r="O540" s="26" t="str">
        <f>"""GP Direct"",""Fabrikam, Inc."",""UPR30300"",""PAYRATE"",""0.00000"",""PAYROLCD"",""401K"",""STATECD"","""",""CHEKDATE"",""4/1/2015"",""UPRTRXAM"",""1.96000"""</f>
        <v>"GP Direct","Fabrikam, Inc.","UPR30300","PAYRATE","0.00000","PAYROLCD","401K","STATECD","","CHEKDATE","4/1/2015","UPRTRXAM","1.96000"</v>
      </c>
      <c r="P540" s="29">
        <v>0</v>
      </c>
      <c r="Q540" s="26" t="str">
        <f>"401K"</f>
        <v>401K</v>
      </c>
      <c r="R540" s="26"/>
      <c r="S540" s="28">
        <v>42095</v>
      </c>
      <c r="T540" s="29">
        <v>1.96</v>
      </c>
    </row>
    <row r="541" spans="1:20" s="7" customFormat="1" hidden="1" outlineLevel="3" x14ac:dyDescent="0.2">
      <c r="A541" s="7" t="s">
        <v>92</v>
      </c>
      <c r="C541" s="7" t="str">
        <f t="shared" ref="C541:C545" si="78">+C540</f>
        <v>Angela</v>
      </c>
      <c r="D541" s="7" t="str">
        <f>+D540</f>
        <v>Barbariol</v>
      </c>
      <c r="E541" s="8" t="str">
        <f>E540</f>
        <v>INST</v>
      </c>
      <c r="G541" s="8" t="str">
        <f>G540</f>
        <v>BARB0001</v>
      </c>
      <c r="H541" s="26"/>
      <c r="I541" s="26"/>
      <c r="J541" s="26"/>
      <c r="K541" s="28">
        <f>+K540</f>
        <v>42095</v>
      </c>
      <c r="L541" s="26" t="str">
        <f>L540</f>
        <v>DD000000000000000047</v>
      </c>
      <c r="M541" s="26"/>
      <c r="N541" s="26"/>
      <c r="O541" s="26" t="str">
        <f>"""GP Direct"",""Fabrikam, Inc."",""UPR30300"",""PAYRATE"",""0.00000"",""PAYROLCD"",""401K"",""STATECD"","""",""CHEKDATE"",""4/1/2015"",""UPRTRXAM"",""39.26000"""</f>
        <v>"GP Direct","Fabrikam, Inc.","UPR30300","PAYRATE","0.00000","PAYROLCD","401K","STATECD","","CHEKDATE","4/1/2015","UPRTRXAM","39.26000"</v>
      </c>
      <c r="P541" s="29">
        <v>0</v>
      </c>
      <c r="Q541" s="26" t="str">
        <f>"401K"</f>
        <v>401K</v>
      </c>
      <c r="R541" s="26"/>
      <c r="S541" s="28">
        <v>42095</v>
      </c>
      <c r="T541" s="29">
        <v>39.26</v>
      </c>
    </row>
    <row r="542" spans="1:20" s="7" customFormat="1" hidden="1" outlineLevel="3" x14ac:dyDescent="0.2">
      <c r="A542" s="7" t="s">
        <v>92</v>
      </c>
      <c r="C542" s="7" t="str">
        <f t="shared" si="78"/>
        <v>Angela</v>
      </c>
      <c r="D542" s="7" t="str">
        <f>+D541</f>
        <v>Barbariol</v>
      </c>
      <c r="E542" s="8" t="str">
        <f>E541</f>
        <v>INST</v>
      </c>
      <c r="G542" s="8" t="str">
        <f>G541</f>
        <v>BARB0001</v>
      </c>
      <c r="H542" s="26"/>
      <c r="I542" s="26"/>
      <c r="J542" s="26"/>
      <c r="K542" s="28">
        <f>+K541</f>
        <v>42095</v>
      </c>
      <c r="L542" s="26" t="str">
        <f>L541</f>
        <v>DD000000000000000047</v>
      </c>
      <c r="M542" s="26"/>
      <c r="N542" s="26"/>
      <c r="O542" s="26" t="str">
        <f>"""GP Direct"",""Fabrikam, Inc."",""UPR30300"",""PAYRATE"",""0.00000"",""PAYROLCD"",""IN"",""STATECD"","""",""CHEKDATE"",""4/1/2015"",""UPRTRXAM"",""40.16000"""</f>
        <v>"GP Direct","Fabrikam, Inc.","UPR30300","PAYRATE","0.00000","PAYROLCD","IN","STATECD","","CHEKDATE","4/1/2015","UPRTRXAM","40.16000"</v>
      </c>
      <c r="P542" s="29">
        <v>0</v>
      </c>
      <c r="Q542" s="26" t="str">
        <f>"IN"</f>
        <v>IN</v>
      </c>
      <c r="R542" s="26"/>
      <c r="S542" s="28">
        <v>42095</v>
      </c>
      <c r="T542" s="29">
        <v>40.159999999999997</v>
      </c>
    </row>
    <row r="543" spans="1:20" s="7" customFormat="1" hidden="1" outlineLevel="3" x14ac:dyDescent="0.2">
      <c r="A543" s="7" t="s">
        <v>92</v>
      </c>
      <c r="C543" s="7" t="str">
        <f t="shared" si="78"/>
        <v>Angela</v>
      </c>
      <c r="D543" s="7" t="str">
        <f>+D542</f>
        <v>Barbariol</v>
      </c>
      <c r="E543" s="8" t="str">
        <f>E542</f>
        <v>INST</v>
      </c>
      <c r="G543" s="8" t="str">
        <f>G542</f>
        <v>BARB0001</v>
      </c>
      <c r="H543" s="26"/>
      <c r="I543" s="26"/>
      <c r="J543" s="26"/>
      <c r="K543" s="28">
        <f>+K542</f>
        <v>42095</v>
      </c>
      <c r="L543" s="26" t="str">
        <f>L542</f>
        <v>DD000000000000000047</v>
      </c>
      <c r="M543" s="26"/>
      <c r="N543" s="26"/>
      <c r="O543" s="26" t="str">
        <f>"""GP Direct"",""Fabrikam, Inc."",""UPR30300"",""PAYRATE"",""0.00000"",""PAYROLCD"",""INS"",""STATECD"","""",""CHEKDATE"",""4/1/2015"",""UPRTRXAM"",""49.36000"""</f>
        <v>"GP Direct","Fabrikam, Inc.","UPR30300","PAYRATE","0.00000","PAYROLCD","INS","STATECD","","CHEKDATE","4/1/2015","UPRTRXAM","49.36000"</v>
      </c>
      <c r="P543" s="29">
        <v>0</v>
      </c>
      <c r="Q543" s="26" t="str">
        <f>"INS"</f>
        <v>INS</v>
      </c>
      <c r="R543" s="26"/>
      <c r="S543" s="28">
        <v>42095</v>
      </c>
      <c r="T543" s="29">
        <v>49.36</v>
      </c>
    </row>
    <row r="544" spans="1:20" s="7" customFormat="1" hidden="1" outlineLevel="3" x14ac:dyDescent="0.2">
      <c r="A544" s="7" t="s">
        <v>92</v>
      </c>
      <c r="C544" s="7" t="str">
        <f t="shared" si="78"/>
        <v>Angela</v>
      </c>
      <c r="D544" s="7" t="str">
        <f>+D543</f>
        <v>Barbariol</v>
      </c>
      <c r="E544" s="8" t="str">
        <f>E543</f>
        <v>INST</v>
      </c>
      <c r="G544" s="8" t="str">
        <f>G543</f>
        <v>BARB0001</v>
      </c>
      <c r="H544" s="26"/>
      <c r="I544" s="26"/>
      <c r="J544" s="26"/>
      <c r="K544" s="28">
        <f>+K543</f>
        <v>42095</v>
      </c>
      <c r="L544" s="26" t="str">
        <f>L543</f>
        <v>DD000000000000000047</v>
      </c>
      <c r="M544" s="26"/>
      <c r="N544" s="26"/>
      <c r="O544" s="26" t="str">
        <f>"""GP Direct"",""Fabrikam, Inc."",""UPR30300"",""PAYRATE"",""0.00000"",""PAYROLCD"",""MED"",""STATECD"","""",""CHEKDATE"",""4/1/2015"",""UPRTRXAM"",""5.00000"""</f>
        <v>"GP Direct","Fabrikam, Inc.","UPR30300","PAYRATE","0.00000","PAYROLCD","MED","STATECD","","CHEKDATE","4/1/2015","UPRTRXAM","5.00000"</v>
      </c>
      <c r="P544" s="29">
        <v>0</v>
      </c>
      <c r="Q544" s="26" t="str">
        <f>"MED"</f>
        <v>MED</v>
      </c>
      <c r="R544" s="26"/>
      <c r="S544" s="28">
        <v>42095</v>
      </c>
      <c r="T544" s="29">
        <v>5</v>
      </c>
    </row>
    <row r="545" spans="1:20" s="7" customFormat="1" hidden="1" outlineLevel="3" x14ac:dyDescent="0.2">
      <c r="A545" s="7" t="s">
        <v>92</v>
      </c>
      <c r="C545" s="7" t="str">
        <f t="shared" si="78"/>
        <v>Angela</v>
      </c>
      <c r="D545" s="7" t="str">
        <f>+D544</f>
        <v>Barbariol</v>
      </c>
      <c r="E545" s="8" t="str">
        <f>E544</f>
        <v>INST</v>
      </c>
      <c r="G545" s="8" t="str">
        <f>G544</f>
        <v>BARB0001</v>
      </c>
      <c r="H545" s="26"/>
      <c r="I545" s="26"/>
      <c r="J545" s="26"/>
      <c r="K545" s="28">
        <f>+K544</f>
        <v>42095</v>
      </c>
      <c r="L545" s="26" t="str">
        <f>L544</f>
        <v>DD000000000000000047</v>
      </c>
      <c r="M545" s="26"/>
      <c r="N545" s="26"/>
      <c r="O545" s="26" t="str">
        <f>"""GP Direct"",""Fabrikam, Inc."",""UPR30300"",""PAYRATE"",""15.10000"",""PAYROLCD"",""HOUR"",""STATECD"",""IN"",""CHEKDATE"",""4/1/2015"",""UPRTRXAM"",""1308.72000"""</f>
        <v>"GP Direct","Fabrikam, Inc.","UPR30300","PAYRATE","15.10000","PAYROLCD","HOUR","STATECD","IN","CHEKDATE","4/1/2015","UPRTRXAM","1308.72000"</v>
      </c>
      <c r="P545" s="29">
        <v>15.1</v>
      </c>
      <c r="Q545" s="26" t="str">
        <f>"HOUR"</f>
        <v>HOUR</v>
      </c>
      <c r="R545" s="26" t="str">
        <f>"IN"</f>
        <v>IN</v>
      </c>
      <c r="S545" s="28">
        <v>42095</v>
      </c>
      <c r="T545" s="29">
        <v>1308.72</v>
      </c>
    </row>
    <row r="546" spans="1:20" s="7" customFormat="1" hidden="1" outlineLevel="3" x14ac:dyDescent="0.2">
      <c r="A546" s="7" t="s">
        <v>92</v>
      </c>
      <c r="C546" s="7" t="str">
        <f>+C540</f>
        <v>Angela</v>
      </c>
      <c r="D546" s="7" t="str">
        <f>+D540</f>
        <v>Barbariol</v>
      </c>
      <c r="E546" s="8" t="str">
        <f>E540</f>
        <v>INST</v>
      </c>
      <c r="G546" s="8" t="str">
        <f>G540</f>
        <v>BARB0001</v>
      </c>
      <c r="K546" s="12">
        <f>+K540</f>
        <v>42095</v>
      </c>
      <c r="L546" s="8" t="str">
        <f>L540</f>
        <v>DD000000000000000047</v>
      </c>
      <c r="O546" s="8"/>
      <c r="T546" s="20"/>
    </row>
    <row r="547" spans="1:20" s="7" customFormat="1" hidden="1" outlineLevel="2" collapsed="1" x14ac:dyDescent="0.2">
      <c r="A547" s="7" t="s">
        <v>92</v>
      </c>
      <c r="C547" s="7" t="str">
        <f t="shared" si="75"/>
        <v>Angela</v>
      </c>
      <c r="D547" s="7" t="str">
        <f>+D546</f>
        <v>Barbariol</v>
      </c>
      <c r="E547" s="8" t="str">
        <f>E546</f>
        <v>INST</v>
      </c>
      <c r="G547" s="8" t="str">
        <f>G546</f>
        <v>BARB0001</v>
      </c>
      <c r="K547" s="12">
        <f>+K546</f>
        <v>42095</v>
      </c>
      <c r="L547" s="8" t="str">
        <f>L546</f>
        <v>DD000000000000000047</v>
      </c>
      <c r="M547" s="33" t="str">
        <f>"Total for " &amp; $L547</f>
        <v>Total for DD000000000000000047</v>
      </c>
      <c r="N547" s="34">
        <f>+K547</f>
        <v>42095</v>
      </c>
      <c r="O547" s="35"/>
      <c r="P547" s="33"/>
      <c r="Q547" s="33"/>
      <c r="R547" s="33"/>
      <c r="S547" s="33"/>
      <c r="T547" s="36">
        <f>SUBTOTAL(9,T540:T546)</f>
        <v>1444.46</v>
      </c>
    </row>
    <row r="548" spans="1:20" s="7" customFormat="1" hidden="1" outlineLevel="3" x14ac:dyDescent="0.2">
      <c r="A548" s="7" t="s">
        <v>92</v>
      </c>
      <c r="C548" s="7" t="str">
        <f t="shared" si="75"/>
        <v>Angela</v>
      </c>
      <c r="D548" s="7" t="str">
        <f>+D547</f>
        <v>Barbariol</v>
      </c>
      <c r="E548" s="8" t="str">
        <f>E547</f>
        <v>INST</v>
      </c>
      <c r="G548" s="8" t="str">
        <f>G547</f>
        <v>BARB0001</v>
      </c>
      <c r="H548" s="26"/>
      <c r="I548" s="26"/>
      <c r="J548" s="26"/>
      <c r="K548" s="28">
        <f>+N548</f>
        <v>42125</v>
      </c>
      <c r="L548" s="26" t="str">
        <f>M548</f>
        <v>DD000000000000000050</v>
      </c>
      <c r="M548" s="26" t="str">
        <f>"DD000000000000000050"</f>
        <v>DD000000000000000050</v>
      </c>
      <c r="N548" s="28">
        <v>42125</v>
      </c>
      <c r="O548" s="26"/>
      <c r="P548" s="26"/>
      <c r="Q548" s="26"/>
      <c r="R548" s="26"/>
      <c r="S548" s="26"/>
      <c r="T548" s="27"/>
    </row>
    <row r="549" spans="1:20" s="7" customFormat="1" hidden="1" outlineLevel="3" x14ac:dyDescent="0.2">
      <c r="A549" s="7" t="s">
        <v>92</v>
      </c>
      <c r="C549" s="7" t="str">
        <f t="shared" si="75"/>
        <v>Angela</v>
      </c>
      <c r="D549" s="7" t="str">
        <f>+D548</f>
        <v>Barbariol</v>
      </c>
      <c r="E549" s="8" t="str">
        <f>E548</f>
        <v>INST</v>
      </c>
      <c r="G549" s="8" t="str">
        <f>G548</f>
        <v>BARB0001</v>
      </c>
      <c r="H549" s="26"/>
      <c r="I549" s="26"/>
      <c r="J549" s="26"/>
      <c r="K549" s="28">
        <f>+K548</f>
        <v>42125</v>
      </c>
      <c r="L549" s="26" t="str">
        <f>L548</f>
        <v>DD000000000000000050</v>
      </c>
      <c r="M549" s="26"/>
      <c r="N549" s="26"/>
      <c r="O549" s="26" t="str">
        <f>"""GP Direct"",""Fabrikam, Inc."",""UPR30300"",""PAYRATE"",""0.00000"",""PAYROLCD"",""401K"",""STATECD"","""",""CHEKDATE"",""5/1/2015"",""UPRTRXAM"",""1.96000"""</f>
        <v>"GP Direct","Fabrikam, Inc.","UPR30300","PAYRATE","0.00000","PAYROLCD","401K","STATECD","","CHEKDATE","5/1/2015","UPRTRXAM","1.96000"</v>
      </c>
      <c r="P549" s="29">
        <v>0</v>
      </c>
      <c r="Q549" s="26" t="str">
        <f>"401K"</f>
        <v>401K</v>
      </c>
      <c r="R549" s="26"/>
      <c r="S549" s="28">
        <v>42125</v>
      </c>
      <c r="T549" s="29">
        <v>1.96</v>
      </c>
    </row>
    <row r="550" spans="1:20" s="7" customFormat="1" hidden="1" outlineLevel="3" x14ac:dyDescent="0.2">
      <c r="A550" s="7" t="s">
        <v>92</v>
      </c>
      <c r="C550" s="7" t="str">
        <f t="shared" ref="C550:C555" si="79">+C549</f>
        <v>Angela</v>
      </c>
      <c r="D550" s="7" t="str">
        <f>+D549</f>
        <v>Barbariol</v>
      </c>
      <c r="E550" s="8" t="str">
        <f>E549</f>
        <v>INST</v>
      </c>
      <c r="G550" s="8" t="str">
        <f>G549</f>
        <v>BARB0001</v>
      </c>
      <c r="H550" s="26"/>
      <c r="I550" s="26"/>
      <c r="J550" s="26"/>
      <c r="K550" s="28">
        <f>+K549</f>
        <v>42125</v>
      </c>
      <c r="L550" s="26" t="str">
        <f>L549</f>
        <v>DD000000000000000050</v>
      </c>
      <c r="M550" s="26"/>
      <c r="N550" s="26"/>
      <c r="O550" s="26" t="str">
        <f>"""GP Direct"",""Fabrikam, Inc."",""UPR30300"",""PAYRATE"",""0.00000"",""PAYROLCD"",""401K"",""STATECD"","""",""CHEKDATE"",""5/1/2015"",""UPRTRXAM"",""39.26000"""</f>
        <v>"GP Direct","Fabrikam, Inc.","UPR30300","PAYRATE","0.00000","PAYROLCD","401K","STATECD","","CHEKDATE","5/1/2015","UPRTRXAM","39.26000"</v>
      </c>
      <c r="P550" s="29">
        <v>0</v>
      </c>
      <c r="Q550" s="26" t="str">
        <f>"401K"</f>
        <v>401K</v>
      </c>
      <c r="R550" s="26"/>
      <c r="S550" s="28">
        <v>42125</v>
      </c>
      <c r="T550" s="29">
        <v>39.26</v>
      </c>
    </row>
    <row r="551" spans="1:20" s="7" customFormat="1" hidden="1" outlineLevel="3" x14ac:dyDescent="0.2">
      <c r="A551" s="7" t="s">
        <v>92</v>
      </c>
      <c r="C551" s="7" t="str">
        <f t="shared" si="79"/>
        <v>Angela</v>
      </c>
      <c r="D551" s="7" t="str">
        <f>+D550</f>
        <v>Barbariol</v>
      </c>
      <c r="E551" s="8" t="str">
        <f>E550</f>
        <v>INST</v>
      </c>
      <c r="G551" s="8" t="str">
        <f>G550</f>
        <v>BARB0001</v>
      </c>
      <c r="H551" s="26"/>
      <c r="I551" s="26"/>
      <c r="J551" s="26"/>
      <c r="K551" s="28">
        <f>+K550</f>
        <v>42125</v>
      </c>
      <c r="L551" s="26" t="str">
        <f>L550</f>
        <v>DD000000000000000050</v>
      </c>
      <c r="M551" s="26"/>
      <c r="N551" s="26"/>
      <c r="O551" s="26" t="str">
        <f>"""GP Direct"",""Fabrikam, Inc."",""UPR30300"",""PAYRATE"",""0.00000"",""PAYROLCD"",""IN"",""STATECD"","""",""CHEKDATE"",""5/1/2015"",""UPRTRXAM"",""40.16000"""</f>
        <v>"GP Direct","Fabrikam, Inc.","UPR30300","PAYRATE","0.00000","PAYROLCD","IN","STATECD","","CHEKDATE","5/1/2015","UPRTRXAM","40.16000"</v>
      </c>
      <c r="P551" s="29">
        <v>0</v>
      </c>
      <c r="Q551" s="26" t="str">
        <f>"IN"</f>
        <v>IN</v>
      </c>
      <c r="R551" s="26"/>
      <c r="S551" s="28">
        <v>42125</v>
      </c>
      <c r="T551" s="29">
        <v>40.159999999999997</v>
      </c>
    </row>
    <row r="552" spans="1:20" s="7" customFormat="1" hidden="1" outlineLevel="3" x14ac:dyDescent="0.2">
      <c r="A552" s="7" t="s">
        <v>92</v>
      </c>
      <c r="C552" s="7" t="str">
        <f t="shared" si="79"/>
        <v>Angela</v>
      </c>
      <c r="D552" s="7" t="str">
        <f>+D551</f>
        <v>Barbariol</v>
      </c>
      <c r="E552" s="8" t="str">
        <f>E551</f>
        <v>INST</v>
      </c>
      <c r="G552" s="8" t="str">
        <f>G551</f>
        <v>BARB0001</v>
      </c>
      <c r="H552" s="26"/>
      <c r="I552" s="26"/>
      <c r="J552" s="26"/>
      <c r="K552" s="28">
        <f>+K551</f>
        <v>42125</v>
      </c>
      <c r="L552" s="26" t="str">
        <f>L551</f>
        <v>DD000000000000000050</v>
      </c>
      <c r="M552" s="26"/>
      <c r="N552" s="26"/>
      <c r="O552" s="26" t="str">
        <f>"""GP Direct"",""Fabrikam, Inc."",""UPR30300"",""PAYRATE"",""0.00000"",""PAYROLCD"",""INS"",""STATECD"","""",""CHEKDATE"",""5/1/2015"",""UPRTRXAM"",""49.36000"""</f>
        <v>"GP Direct","Fabrikam, Inc.","UPR30300","PAYRATE","0.00000","PAYROLCD","INS","STATECD","","CHEKDATE","5/1/2015","UPRTRXAM","49.36000"</v>
      </c>
      <c r="P552" s="29">
        <v>0</v>
      </c>
      <c r="Q552" s="26" t="str">
        <f>"INS"</f>
        <v>INS</v>
      </c>
      <c r="R552" s="26"/>
      <c r="S552" s="28">
        <v>42125</v>
      </c>
      <c r="T552" s="29">
        <v>49.36</v>
      </c>
    </row>
    <row r="553" spans="1:20" s="7" customFormat="1" hidden="1" outlineLevel="3" x14ac:dyDescent="0.2">
      <c r="A553" s="7" t="s">
        <v>92</v>
      </c>
      <c r="C553" s="7" t="str">
        <f t="shared" si="79"/>
        <v>Angela</v>
      </c>
      <c r="D553" s="7" t="str">
        <f>+D552</f>
        <v>Barbariol</v>
      </c>
      <c r="E553" s="8" t="str">
        <f>E552</f>
        <v>INST</v>
      </c>
      <c r="G553" s="8" t="str">
        <f>G552</f>
        <v>BARB0001</v>
      </c>
      <c r="H553" s="26"/>
      <c r="I553" s="26"/>
      <c r="J553" s="26"/>
      <c r="K553" s="28">
        <f>+K552</f>
        <v>42125</v>
      </c>
      <c r="L553" s="26" t="str">
        <f>L552</f>
        <v>DD000000000000000050</v>
      </c>
      <c r="M553" s="26"/>
      <c r="N553" s="26"/>
      <c r="O553" s="26" t="str">
        <f>"""GP Direct"",""Fabrikam, Inc."",""UPR30300"",""PAYRATE"",""0.00000"",""PAYROLCD"",""MED"",""STATECD"","""",""CHEKDATE"",""5/1/2015"",""UPRTRXAM"",""5.00000"""</f>
        <v>"GP Direct","Fabrikam, Inc.","UPR30300","PAYRATE","0.00000","PAYROLCD","MED","STATECD","","CHEKDATE","5/1/2015","UPRTRXAM","5.00000"</v>
      </c>
      <c r="P553" s="29">
        <v>0</v>
      </c>
      <c r="Q553" s="26" t="str">
        <f>"MED"</f>
        <v>MED</v>
      </c>
      <c r="R553" s="26"/>
      <c r="S553" s="28">
        <v>42125</v>
      </c>
      <c r="T553" s="29">
        <v>5</v>
      </c>
    </row>
    <row r="554" spans="1:20" s="7" customFormat="1" hidden="1" outlineLevel="3" x14ac:dyDescent="0.2">
      <c r="A554" s="7" t="s">
        <v>92</v>
      </c>
      <c r="C554" s="7" t="str">
        <f t="shared" si="79"/>
        <v>Angela</v>
      </c>
      <c r="D554" s="7" t="str">
        <f>+D553</f>
        <v>Barbariol</v>
      </c>
      <c r="E554" s="8" t="str">
        <f>E553</f>
        <v>INST</v>
      </c>
      <c r="G554" s="8" t="str">
        <f>G553</f>
        <v>BARB0001</v>
      </c>
      <c r="H554" s="26"/>
      <c r="I554" s="26"/>
      <c r="J554" s="26"/>
      <c r="K554" s="28">
        <f>+K553</f>
        <v>42125</v>
      </c>
      <c r="L554" s="26" t="str">
        <f>L553</f>
        <v>DD000000000000000050</v>
      </c>
      <c r="M554" s="26"/>
      <c r="N554" s="26"/>
      <c r="O554" s="26" t="str">
        <f>"""GP Direct"",""Fabrikam, Inc."",""UPR30300"",""PAYRATE"",""15.10000"",""PAYROLCD"",""HOLI"",""STATECD"",""IN"",""CHEKDATE"",""5/1/2015"",""UPRTRXAM"",""241.60000"""</f>
        <v>"GP Direct","Fabrikam, Inc.","UPR30300","PAYRATE","15.10000","PAYROLCD","HOLI","STATECD","IN","CHEKDATE","5/1/2015","UPRTRXAM","241.60000"</v>
      </c>
      <c r="P554" s="29">
        <v>15.1</v>
      </c>
      <c r="Q554" s="26" t="str">
        <f>"HOLI"</f>
        <v>HOLI</v>
      </c>
      <c r="R554" s="26" t="str">
        <f>"IN"</f>
        <v>IN</v>
      </c>
      <c r="S554" s="28">
        <v>42125</v>
      </c>
      <c r="T554" s="29">
        <v>241.6</v>
      </c>
    </row>
    <row r="555" spans="1:20" s="7" customFormat="1" hidden="1" outlineLevel="3" x14ac:dyDescent="0.2">
      <c r="A555" s="7" t="s">
        <v>92</v>
      </c>
      <c r="C555" s="7" t="str">
        <f t="shared" si="79"/>
        <v>Angela</v>
      </c>
      <c r="D555" s="7" t="str">
        <f>+D554</f>
        <v>Barbariol</v>
      </c>
      <c r="E555" s="8" t="str">
        <f>E554</f>
        <v>INST</v>
      </c>
      <c r="G555" s="8" t="str">
        <f>G554</f>
        <v>BARB0001</v>
      </c>
      <c r="H555" s="26"/>
      <c r="I555" s="26"/>
      <c r="J555" s="26"/>
      <c r="K555" s="28">
        <f>+K554</f>
        <v>42125</v>
      </c>
      <c r="L555" s="26" t="str">
        <f>L554</f>
        <v>DD000000000000000050</v>
      </c>
      <c r="M555" s="26"/>
      <c r="N555" s="26"/>
      <c r="O555" s="26" t="str">
        <f>"""GP Direct"",""Fabrikam, Inc."",""UPR30300"",""PAYRATE"",""15.10000"",""PAYROLCD"",""HOUR"",""STATECD"",""IN"",""CHEKDATE"",""5/1/2015"",""UPRTRXAM"",""1067.12000"""</f>
        <v>"GP Direct","Fabrikam, Inc.","UPR30300","PAYRATE","15.10000","PAYROLCD","HOUR","STATECD","IN","CHEKDATE","5/1/2015","UPRTRXAM","1067.12000"</v>
      </c>
      <c r="P555" s="29">
        <v>15.1</v>
      </c>
      <c r="Q555" s="26" t="str">
        <f>"HOUR"</f>
        <v>HOUR</v>
      </c>
      <c r="R555" s="26" t="str">
        <f>"IN"</f>
        <v>IN</v>
      </c>
      <c r="S555" s="28">
        <v>42125</v>
      </c>
      <c r="T555" s="29">
        <v>1067.1199999999999</v>
      </c>
    </row>
    <row r="556" spans="1:20" s="7" customFormat="1" hidden="1" outlineLevel="3" x14ac:dyDescent="0.2">
      <c r="A556" s="7" t="s">
        <v>92</v>
      </c>
      <c r="C556" s="7" t="str">
        <f>+C549</f>
        <v>Angela</v>
      </c>
      <c r="D556" s="7" t="str">
        <f>+D549</f>
        <v>Barbariol</v>
      </c>
      <c r="E556" s="8" t="str">
        <f>E549</f>
        <v>INST</v>
      </c>
      <c r="G556" s="8" t="str">
        <f>G549</f>
        <v>BARB0001</v>
      </c>
      <c r="K556" s="12">
        <f>+K549</f>
        <v>42125</v>
      </c>
      <c r="L556" s="8" t="str">
        <f>L549</f>
        <v>DD000000000000000050</v>
      </c>
      <c r="O556" s="8"/>
      <c r="T556" s="20"/>
    </row>
    <row r="557" spans="1:20" s="7" customFormat="1" hidden="1" outlineLevel="2" collapsed="1" x14ac:dyDescent="0.2">
      <c r="A557" s="7" t="s">
        <v>92</v>
      </c>
      <c r="C557" s="7" t="str">
        <f t="shared" si="75"/>
        <v>Angela</v>
      </c>
      <c r="D557" s="7" t="str">
        <f>+D556</f>
        <v>Barbariol</v>
      </c>
      <c r="E557" s="8" t="str">
        <f>E556</f>
        <v>INST</v>
      </c>
      <c r="G557" s="8" t="str">
        <f>G556</f>
        <v>BARB0001</v>
      </c>
      <c r="K557" s="12">
        <f>+K556</f>
        <v>42125</v>
      </c>
      <c r="L557" s="8" t="str">
        <f>L556</f>
        <v>DD000000000000000050</v>
      </c>
      <c r="M557" s="33" t="str">
        <f>"Total for " &amp; $L557</f>
        <v>Total for DD000000000000000050</v>
      </c>
      <c r="N557" s="34">
        <f>+K557</f>
        <v>42125</v>
      </c>
      <c r="O557" s="35"/>
      <c r="P557" s="33"/>
      <c r="Q557" s="33"/>
      <c r="R557" s="33"/>
      <c r="S557" s="33"/>
      <c r="T557" s="36">
        <f>SUBTOTAL(9,T549:T556)</f>
        <v>1444.46</v>
      </c>
    </row>
    <row r="558" spans="1:20" s="7" customFormat="1" hidden="1" outlineLevel="3" x14ac:dyDescent="0.2">
      <c r="A558" s="7" t="s">
        <v>92</v>
      </c>
      <c r="C558" s="7" t="str">
        <f t="shared" si="75"/>
        <v>Angela</v>
      </c>
      <c r="D558" s="7" t="str">
        <f>+D557</f>
        <v>Barbariol</v>
      </c>
      <c r="E558" s="8" t="str">
        <f>E557</f>
        <v>INST</v>
      </c>
      <c r="G558" s="8" t="str">
        <f>G557</f>
        <v>BARB0001</v>
      </c>
      <c r="H558" s="26"/>
      <c r="I558" s="26"/>
      <c r="J558" s="26"/>
      <c r="K558" s="28">
        <f>+N558</f>
        <v>42156</v>
      </c>
      <c r="L558" s="26" t="str">
        <f>M558</f>
        <v>DD000000000000000053</v>
      </c>
      <c r="M558" s="26" t="str">
        <f>"DD000000000000000053"</f>
        <v>DD000000000000000053</v>
      </c>
      <c r="N558" s="28">
        <v>42156</v>
      </c>
      <c r="O558" s="26"/>
      <c r="P558" s="26"/>
      <c r="Q558" s="26"/>
      <c r="R558" s="26"/>
      <c r="S558" s="26"/>
      <c r="T558" s="27"/>
    </row>
    <row r="559" spans="1:20" s="7" customFormat="1" hidden="1" outlineLevel="3" x14ac:dyDescent="0.2">
      <c r="A559" s="7" t="s">
        <v>92</v>
      </c>
      <c r="C559" s="7" t="str">
        <f t="shared" si="75"/>
        <v>Angela</v>
      </c>
      <c r="D559" s="7" t="str">
        <f>+D558</f>
        <v>Barbariol</v>
      </c>
      <c r="E559" s="8" t="str">
        <f>E558</f>
        <v>INST</v>
      </c>
      <c r="G559" s="8" t="str">
        <f>G558</f>
        <v>BARB0001</v>
      </c>
      <c r="H559" s="26"/>
      <c r="I559" s="26"/>
      <c r="J559" s="26"/>
      <c r="K559" s="28">
        <f>+K558</f>
        <v>42156</v>
      </c>
      <c r="L559" s="26" t="str">
        <f>L558</f>
        <v>DD000000000000000053</v>
      </c>
      <c r="M559" s="26"/>
      <c r="N559" s="26"/>
      <c r="O559" s="26" t="str">
        <f>"""GP Direct"",""Fabrikam, Inc."",""UPR30300"",""PAYRATE"",""0.00000"",""PAYROLCD"",""401K"",""STATECD"","""",""CHEKDATE"",""6/1/2015"",""UPRTRXAM"",""1.96000"""</f>
        <v>"GP Direct","Fabrikam, Inc.","UPR30300","PAYRATE","0.00000","PAYROLCD","401K","STATECD","","CHEKDATE","6/1/2015","UPRTRXAM","1.96000"</v>
      </c>
      <c r="P559" s="29">
        <v>0</v>
      </c>
      <c r="Q559" s="26" t="str">
        <f>"401K"</f>
        <v>401K</v>
      </c>
      <c r="R559" s="26"/>
      <c r="S559" s="28">
        <v>42156</v>
      </c>
      <c r="T559" s="29">
        <v>1.96</v>
      </c>
    </row>
    <row r="560" spans="1:20" s="7" customFormat="1" hidden="1" outlineLevel="3" x14ac:dyDescent="0.2">
      <c r="A560" s="7" t="s">
        <v>92</v>
      </c>
      <c r="C560" s="7" t="str">
        <f t="shared" ref="C560:C564" si="80">+C559</f>
        <v>Angela</v>
      </c>
      <c r="D560" s="7" t="str">
        <f>+D559</f>
        <v>Barbariol</v>
      </c>
      <c r="E560" s="8" t="str">
        <f>E559</f>
        <v>INST</v>
      </c>
      <c r="G560" s="8" t="str">
        <f>G559</f>
        <v>BARB0001</v>
      </c>
      <c r="H560" s="26"/>
      <c r="I560" s="26"/>
      <c r="J560" s="26"/>
      <c r="K560" s="28">
        <f>+K559</f>
        <v>42156</v>
      </c>
      <c r="L560" s="26" t="str">
        <f>L559</f>
        <v>DD000000000000000053</v>
      </c>
      <c r="M560" s="26"/>
      <c r="N560" s="26"/>
      <c r="O560" s="26" t="str">
        <f>"""GP Direct"",""Fabrikam, Inc."",""UPR30300"",""PAYRATE"",""0.00000"",""PAYROLCD"",""401K"",""STATECD"","""",""CHEKDATE"",""6/1/2015"",""UPRTRXAM"",""39.26000"""</f>
        <v>"GP Direct","Fabrikam, Inc.","UPR30300","PAYRATE","0.00000","PAYROLCD","401K","STATECD","","CHEKDATE","6/1/2015","UPRTRXAM","39.26000"</v>
      </c>
      <c r="P560" s="29">
        <v>0</v>
      </c>
      <c r="Q560" s="26" t="str">
        <f>"401K"</f>
        <v>401K</v>
      </c>
      <c r="R560" s="26"/>
      <c r="S560" s="28">
        <v>42156</v>
      </c>
      <c r="T560" s="29">
        <v>39.26</v>
      </c>
    </row>
    <row r="561" spans="1:20" s="7" customFormat="1" hidden="1" outlineLevel="3" x14ac:dyDescent="0.2">
      <c r="A561" s="7" t="s">
        <v>92</v>
      </c>
      <c r="C561" s="7" t="str">
        <f t="shared" si="80"/>
        <v>Angela</v>
      </c>
      <c r="D561" s="7" t="str">
        <f>+D560</f>
        <v>Barbariol</v>
      </c>
      <c r="E561" s="8" t="str">
        <f>E560</f>
        <v>INST</v>
      </c>
      <c r="G561" s="8" t="str">
        <f>G560</f>
        <v>BARB0001</v>
      </c>
      <c r="H561" s="26"/>
      <c r="I561" s="26"/>
      <c r="J561" s="26"/>
      <c r="K561" s="28">
        <f>+K560</f>
        <v>42156</v>
      </c>
      <c r="L561" s="26" t="str">
        <f>L560</f>
        <v>DD000000000000000053</v>
      </c>
      <c r="M561" s="26"/>
      <c r="N561" s="26"/>
      <c r="O561" s="26" t="str">
        <f>"""GP Direct"",""Fabrikam, Inc."",""UPR30300"",""PAYRATE"",""0.00000"",""PAYROLCD"",""IN"",""STATECD"","""",""CHEKDATE"",""6/1/2015"",""UPRTRXAM"",""40.16000"""</f>
        <v>"GP Direct","Fabrikam, Inc.","UPR30300","PAYRATE","0.00000","PAYROLCD","IN","STATECD","","CHEKDATE","6/1/2015","UPRTRXAM","40.16000"</v>
      </c>
      <c r="P561" s="29">
        <v>0</v>
      </c>
      <c r="Q561" s="26" t="str">
        <f>"IN"</f>
        <v>IN</v>
      </c>
      <c r="R561" s="26"/>
      <c r="S561" s="28">
        <v>42156</v>
      </c>
      <c r="T561" s="29">
        <v>40.159999999999997</v>
      </c>
    </row>
    <row r="562" spans="1:20" s="7" customFormat="1" hidden="1" outlineLevel="3" x14ac:dyDescent="0.2">
      <c r="A562" s="7" t="s">
        <v>92</v>
      </c>
      <c r="C562" s="7" t="str">
        <f t="shared" si="80"/>
        <v>Angela</v>
      </c>
      <c r="D562" s="7" t="str">
        <f>+D561</f>
        <v>Barbariol</v>
      </c>
      <c r="E562" s="8" t="str">
        <f>E561</f>
        <v>INST</v>
      </c>
      <c r="G562" s="8" t="str">
        <f>G561</f>
        <v>BARB0001</v>
      </c>
      <c r="H562" s="26"/>
      <c r="I562" s="26"/>
      <c r="J562" s="26"/>
      <c r="K562" s="28">
        <f>+K561</f>
        <v>42156</v>
      </c>
      <c r="L562" s="26" t="str">
        <f>L561</f>
        <v>DD000000000000000053</v>
      </c>
      <c r="M562" s="26"/>
      <c r="N562" s="26"/>
      <c r="O562" s="26" t="str">
        <f>"""GP Direct"",""Fabrikam, Inc."",""UPR30300"",""PAYRATE"",""0.00000"",""PAYROLCD"",""INS"",""STATECD"","""",""CHEKDATE"",""6/1/2015"",""UPRTRXAM"",""49.36000"""</f>
        <v>"GP Direct","Fabrikam, Inc.","UPR30300","PAYRATE","0.00000","PAYROLCD","INS","STATECD","","CHEKDATE","6/1/2015","UPRTRXAM","49.36000"</v>
      </c>
      <c r="P562" s="29">
        <v>0</v>
      </c>
      <c r="Q562" s="26" t="str">
        <f>"INS"</f>
        <v>INS</v>
      </c>
      <c r="R562" s="26"/>
      <c r="S562" s="28">
        <v>42156</v>
      </c>
      <c r="T562" s="29">
        <v>49.36</v>
      </c>
    </row>
    <row r="563" spans="1:20" s="7" customFormat="1" hidden="1" outlineLevel="3" x14ac:dyDescent="0.2">
      <c r="A563" s="7" t="s">
        <v>92</v>
      </c>
      <c r="C563" s="7" t="str">
        <f t="shared" si="80"/>
        <v>Angela</v>
      </c>
      <c r="D563" s="7" t="str">
        <f>+D562</f>
        <v>Barbariol</v>
      </c>
      <c r="E563" s="8" t="str">
        <f>E562</f>
        <v>INST</v>
      </c>
      <c r="G563" s="8" t="str">
        <f>G562</f>
        <v>BARB0001</v>
      </c>
      <c r="H563" s="26"/>
      <c r="I563" s="26"/>
      <c r="J563" s="26"/>
      <c r="K563" s="28">
        <f>+K562</f>
        <v>42156</v>
      </c>
      <c r="L563" s="26" t="str">
        <f>L562</f>
        <v>DD000000000000000053</v>
      </c>
      <c r="M563" s="26"/>
      <c r="N563" s="26"/>
      <c r="O563" s="26" t="str">
        <f>"""GP Direct"",""Fabrikam, Inc."",""UPR30300"",""PAYRATE"",""0.00000"",""PAYROLCD"",""MED"",""STATECD"","""",""CHEKDATE"",""6/1/2015"",""UPRTRXAM"",""5.00000"""</f>
        <v>"GP Direct","Fabrikam, Inc.","UPR30300","PAYRATE","0.00000","PAYROLCD","MED","STATECD","","CHEKDATE","6/1/2015","UPRTRXAM","5.00000"</v>
      </c>
      <c r="P563" s="29">
        <v>0</v>
      </c>
      <c r="Q563" s="26" t="str">
        <f>"MED"</f>
        <v>MED</v>
      </c>
      <c r="R563" s="26"/>
      <c r="S563" s="28">
        <v>42156</v>
      </c>
      <c r="T563" s="29">
        <v>5</v>
      </c>
    </row>
    <row r="564" spans="1:20" s="7" customFormat="1" hidden="1" outlineLevel="3" x14ac:dyDescent="0.2">
      <c r="A564" s="7" t="s">
        <v>92</v>
      </c>
      <c r="C564" s="7" t="str">
        <f t="shared" si="80"/>
        <v>Angela</v>
      </c>
      <c r="D564" s="7" t="str">
        <f>+D563</f>
        <v>Barbariol</v>
      </c>
      <c r="E564" s="8" t="str">
        <f>E563</f>
        <v>INST</v>
      </c>
      <c r="G564" s="8" t="str">
        <f>G563</f>
        <v>BARB0001</v>
      </c>
      <c r="H564" s="26"/>
      <c r="I564" s="26"/>
      <c r="J564" s="26"/>
      <c r="K564" s="28">
        <f>+K563</f>
        <v>42156</v>
      </c>
      <c r="L564" s="26" t="str">
        <f>L563</f>
        <v>DD000000000000000053</v>
      </c>
      <c r="M564" s="26"/>
      <c r="N564" s="26"/>
      <c r="O564" s="26" t="str">
        <f>"""GP Direct"",""Fabrikam, Inc."",""UPR30300"",""PAYRATE"",""15.10000"",""PAYROLCD"",""HOUR"",""STATECD"",""IN"",""CHEKDATE"",""6/1/2015"",""UPRTRXAM"",""1308.72000"""</f>
        <v>"GP Direct","Fabrikam, Inc.","UPR30300","PAYRATE","15.10000","PAYROLCD","HOUR","STATECD","IN","CHEKDATE","6/1/2015","UPRTRXAM","1308.72000"</v>
      </c>
      <c r="P564" s="29">
        <v>15.1</v>
      </c>
      <c r="Q564" s="26" t="str">
        <f>"HOUR"</f>
        <v>HOUR</v>
      </c>
      <c r="R564" s="26" t="str">
        <f>"IN"</f>
        <v>IN</v>
      </c>
      <c r="S564" s="28">
        <v>42156</v>
      </c>
      <c r="T564" s="29">
        <v>1308.72</v>
      </c>
    </row>
    <row r="565" spans="1:20" s="7" customFormat="1" hidden="1" outlineLevel="3" x14ac:dyDescent="0.2">
      <c r="A565" s="7" t="s">
        <v>92</v>
      </c>
      <c r="C565" s="7" t="str">
        <f>+C559</f>
        <v>Angela</v>
      </c>
      <c r="D565" s="7" t="str">
        <f>+D559</f>
        <v>Barbariol</v>
      </c>
      <c r="E565" s="8" t="str">
        <f>E559</f>
        <v>INST</v>
      </c>
      <c r="G565" s="8" t="str">
        <f>G559</f>
        <v>BARB0001</v>
      </c>
      <c r="K565" s="12">
        <f>+K559</f>
        <v>42156</v>
      </c>
      <c r="L565" s="8" t="str">
        <f>L559</f>
        <v>DD000000000000000053</v>
      </c>
      <c r="O565" s="8"/>
      <c r="T565" s="20"/>
    </row>
    <row r="566" spans="1:20" s="7" customFormat="1" hidden="1" outlineLevel="2" collapsed="1" x14ac:dyDescent="0.2">
      <c r="A566" s="7" t="s">
        <v>92</v>
      </c>
      <c r="C566" s="7" t="str">
        <f t="shared" si="75"/>
        <v>Angela</v>
      </c>
      <c r="D566" s="7" t="str">
        <f>+D565</f>
        <v>Barbariol</v>
      </c>
      <c r="E566" s="8" t="str">
        <f>E565</f>
        <v>INST</v>
      </c>
      <c r="G566" s="8" t="str">
        <f>G565</f>
        <v>BARB0001</v>
      </c>
      <c r="K566" s="12">
        <f>+K565</f>
        <v>42156</v>
      </c>
      <c r="L566" s="8" t="str">
        <f>L565</f>
        <v>DD000000000000000053</v>
      </c>
      <c r="M566" s="33" t="str">
        <f>"Total for " &amp; $L566</f>
        <v>Total for DD000000000000000053</v>
      </c>
      <c r="N566" s="34">
        <f>+K566</f>
        <v>42156</v>
      </c>
      <c r="O566" s="35"/>
      <c r="P566" s="33"/>
      <c r="Q566" s="33"/>
      <c r="R566" s="33"/>
      <c r="S566" s="33"/>
      <c r="T566" s="36">
        <f>SUBTOTAL(9,T559:T565)</f>
        <v>1444.46</v>
      </c>
    </row>
    <row r="567" spans="1:20" s="7" customFormat="1" hidden="1" outlineLevel="3" x14ac:dyDescent="0.2">
      <c r="A567" s="7" t="s">
        <v>92</v>
      </c>
      <c r="C567" s="7" t="str">
        <f t="shared" si="75"/>
        <v>Angela</v>
      </c>
      <c r="D567" s="7" t="str">
        <f>+D566</f>
        <v>Barbariol</v>
      </c>
      <c r="E567" s="8" t="str">
        <f>E566</f>
        <v>INST</v>
      </c>
      <c r="G567" s="8" t="str">
        <f>G566</f>
        <v>BARB0001</v>
      </c>
      <c r="H567" s="26"/>
      <c r="I567" s="26"/>
      <c r="J567" s="26"/>
      <c r="K567" s="28">
        <f>+N567</f>
        <v>42005</v>
      </c>
      <c r="L567" s="26" t="str">
        <f>M567</f>
        <v>DD000000000000000186</v>
      </c>
      <c r="M567" s="26" t="str">
        <f>"DD000000000000000186"</f>
        <v>DD000000000000000186</v>
      </c>
      <c r="N567" s="28">
        <v>42005</v>
      </c>
      <c r="O567" s="26"/>
      <c r="P567" s="26"/>
      <c r="Q567" s="26"/>
      <c r="R567" s="26"/>
      <c r="S567" s="26"/>
      <c r="T567" s="27"/>
    </row>
    <row r="568" spans="1:20" s="7" customFormat="1" hidden="1" outlineLevel="3" x14ac:dyDescent="0.2">
      <c r="A568" s="7" t="s">
        <v>92</v>
      </c>
      <c r="C568" s="7" t="str">
        <f t="shared" si="75"/>
        <v>Angela</v>
      </c>
      <c r="D568" s="7" t="str">
        <f>+D567</f>
        <v>Barbariol</v>
      </c>
      <c r="E568" s="8" t="str">
        <f>E567</f>
        <v>INST</v>
      </c>
      <c r="G568" s="8" t="str">
        <f>G567</f>
        <v>BARB0001</v>
      </c>
      <c r="H568" s="26"/>
      <c r="I568" s="26"/>
      <c r="J568" s="26"/>
      <c r="K568" s="28">
        <f>+K567</f>
        <v>42005</v>
      </c>
      <c r="L568" s="26" t="str">
        <f>L567</f>
        <v>DD000000000000000186</v>
      </c>
      <c r="M568" s="26"/>
      <c r="N568" s="26"/>
      <c r="O568" s="26" t="str">
        <f>"""GP Direct"",""Fabrikam, Inc."",""UPR30300"",""PAYRATE"",""0.00000"",""PAYROLCD"",""IN"",""STATECD"","""",""CHEKDATE"",""1/1/2015"",""UPRTRXAM"",""30.34000"""</f>
        <v>"GP Direct","Fabrikam, Inc.","UPR30300","PAYRATE","0.00000","PAYROLCD","IN","STATECD","","CHEKDATE","1/1/2015","UPRTRXAM","30.34000"</v>
      </c>
      <c r="P568" s="29">
        <v>0</v>
      </c>
      <c r="Q568" s="26" t="str">
        <f>"IN"</f>
        <v>IN</v>
      </c>
      <c r="R568" s="26"/>
      <c r="S568" s="28">
        <v>42005</v>
      </c>
      <c r="T568" s="29">
        <v>30.34</v>
      </c>
    </row>
    <row r="569" spans="1:20" s="7" customFormat="1" hidden="1" outlineLevel="3" x14ac:dyDescent="0.2">
      <c r="A569" s="7" t="s">
        <v>92</v>
      </c>
      <c r="C569" s="7" t="str">
        <f t="shared" ref="C569" si="81">+C568</f>
        <v>Angela</v>
      </c>
      <c r="D569" s="7" t="str">
        <f>+D568</f>
        <v>Barbariol</v>
      </c>
      <c r="E569" s="8" t="str">
        <f>E568</f>
        <v>INST</v>
      </c>
      <c r="G569" s="8" t="str">
        <f>G568</f>
        <v>BARB0001</v>
      </c>
      <c r="H569" s="26"/>
      <c r="I569" s="26"/>
      <c r="J569" s="26"/>
      <c r="K569" s="28">
        <f>+K568</f>
        <v>42005</v>
      </c>
      <c r="L569" s="26" t="str">
        <f>L568</f>
        <v>DD000000000000000186</v>
      </c>
      <c r="M569" s="26"/>
      <c r="N569" s="26"/>
      <c r="O569" s="26" t="str">
        <f>"""GP Direct"",""Fabrikam, Inc."",""UPR30300"",""PAYRATE"",""900.00000"",""PAYROLCD"",""BONS"",""STATECD"",""IN"",""CHEKDATE"",""1/1/2015"",""UPRTRXAM"",""900.00000"""</f>
        <v>"GP Direct","Fabrikam, Inc.","UPR30300","PAYRATE","900.00000","PAYROLCD","BONS","STATECD","IN","CHEKDATE","1/1/2015","UPRTRXAM","900.00000"</v>
      </c>
      <c r="P569" s="29">
        <v>900</v>
      </c>
      <c r="Q569" s="26" t="str">
        <f>"BONS"</f>
        <v>BONS</v>
      </c>
      <c r="R569" s="26" t="str">
        <f>"IN"</f>
        <v>IN</v>
      </c>
      <c r="S569" s="28">
        <v>42005</v>
      </c>
      <c r="T569" s="29">
        <v>900</v>
      </c>
    </row>
    <row r="570" spans="1:20" s="7" customFormat="1" hidden="1" outlineLevel="3" x14ac:dyDescent="0.2">
      <c r="A570" s="7" t="s">
        <v>92</v>
      </c>
      <c r="C570" s="7" t="str">
        <f>+C568</f>
        <v>Angela</v>
      </c>
      <c r="D570" s="7" t="str">
        <f>+D568</f>
        <v>Barbariol</v>
      </c>
      <c r="E570" s="8" t="str">
        <f>E568</f>
        <v>INST</v>
      </c>
      <c r="G570" s="8" t="str">
        <f>G568</f>
        <v>BARB0001</v>
      </c>
      <c r="K570" s="12">
        <f>+K568</f>
        <v>42005</v>
      </c>
      <c r="L570" s="8" t="str">
        <f>L568</f>
        <v>DD000000000000000186</v>
      </c>
      <c r="O570" s="8"/>
      <c r="T570" s="20"/>
    </row>
    <row r="571" spans="1:20" s="7" customFormat="1" hidden="1" outlineLevel="2" collapsed="1" x14ac:dyDescent="0.2">
      <c r="A571" s="7" t="s">
        <v>92</v>
      </c>
      <c r="C571" s="7" t="str">
        <f t="shared" si="75"/>
        <v>Angela</v>
      </c>
      <c r="D571" s="7" t="str">
        <f>+D570</f>
        <v>Barbariol</v>
      </c>
      <c r="E571" s="8" t="str">
        <f>E570</f>
        <v>INST</v>
      </c>
      <c r="G571" s="8" t="str">
        <f>G570</f>
        <v>BARB0001</v>
      </c>
      <c r="K571" s="12">
        <f>+K570</f>
        <v>42005</v>
      </c>
      <c r="L571" s="8" t="str">
        <f>L570</f>
        <v>DD000000000000000186</v>
      </c>
      <c r="M571" s="33" t="str">
        <f>"Total for " &amp; $L571</f>
        <v>Total for DD000000000000000186</v>
      </c>
      <c r="N571" s="34">
        <f>+K571</f>
        <v>42005</v>
      </c>
      <c r="O571" s="35"/>
      <c r="P571" s="33"/>
      <c r="Q571" s="33"/>
      <c r="R571" s="33"/>
      <c r="S571" s="33"/>
      <c r="T571" s="36">
        <f>SUBTOTAL(9,T568:T570)</f>
        <v>930.34</v>
      </c>
    </row>
    <row r="572" spans="1:20" s="7" customFormat="1" hidden="1" outlineLevel="3" x14ac:dyDescent="0.2">
      <c r="A572" s="7" t="s">
        <v>92</v>
      </c>
      <c r="C572" s="7" t="str">
        <f t="shared" si="75"/>
        <v>Angela</v>
      </c>
      <c r="D572" s="7" t="str">
        <f>+D571</f>
        <v>Barbariol</v>
      </c>
      <c r="E572" s="8" t="str">
        <f>E571</f>
        <v>INST</v>
      </c>
      <c r="G572" s="8" t="str">
        <f>G571</f>
        <v>BARB0001</v>
      </c>
      <c r="H572" s="26"/>
      <c r="I572" s="26"/>
      <c r="J572" s="26"/>
      <c r="K572" s="28">
        <f>+N572</f>
        <v>42156</v>
      </c>
      <c r="L572" s="26" t="str">
        <f>M572</f>
        <v>DD000000000000000188</v>
      </c>
      <c r="M572" s="26" t="str">
        <f>"DD000000000000000188"</f>
        <v>DD000000000000000188</v>
      </c>
      <c r="N572" s="28">
        <v>42156</v>
      </c>
      <c r="O572" s="26"/>
      <c r="P572" s="26"/>
      <c r="Q572" s="26"/>
      <c r="R572" s="26"/>
      <c r="S572" s="26"/>
      <c r="T572" s="27"/>
    </row>
    <row r="573" spans="1:20" s="7" customFormat="1" hidden="1" outlineLevel="3" x14ac:dyDescent="0.2">
      <c r="A573" s="7" t="s">
        <v>92</v>
      </c>
      <c r="C573" s="7" t="str">
        <f t="shared" si="75"/>
        <v>Angela</v>
      </c>
      <c r="D573" s="7" t="str">
        <f>+D572</f>
        <v>Barbariol</v>
      </c>
      <c r="E573" s="8" t="str">
        <f>E572</f>
        <v>INST</v>
      </c>
      <c r="G573" s="8" t="str">
        <f>G572</f>
        <v>BARB0001</v>
      </c>
      <c r="H573" s="26"/>
      <c r="I573" s="26"/>
      <c r="J573" s="26"/>
      <c r="K573" s="28">
        <f>+K572</f>
        <v>42156</v>
      </c>
      <c r="L573" s="26" t="str">
        <f>L572</f>
        <v>DD000000000000000188</v>
      </c>
      <c r="M573" s="26"/>
      <c r="N573" s="26"/>
      <c r="O573" s="26" t="str">
        <f>"""GP Direct"",""Fabrikam, Inc."",""UPR30300"",""PAYRATE"",""0.00000"",""PAYROLCD"",""IN"",""STATECD"","""",""CHEKDATE"",""6/1/2015"",""UPRTRXAM"",""9.94000"""</f>
        <v>"GP Direct","Fabrikam, Inc.","UPR30300","PAYRATE","0.00000","PAYROLCD","IN","STATECD","","CHEKDATE","6/1/2015","UPRTRXAM","9.94000"</v>
      </c>
      <c r="P573" s="29">
        <v>0</v>
      </c>
      <c r="Q573" s="26" t="str">
        <f>"IN"</f>
        <v>IN</v>
      </c>
      <c r="R573" s="26"/>
      <c r="S573" s="28">
        <v>42156</v>
      </c>
      <c r="T573" s="29">
        <v>9.94</v>
      </c>
    </row>
    <row r="574" spans="1:20" s="7" customFormat="1" hidden="1" outlineLevel="3" x14ac:dyDescent="0.2">
      <c r="A574" s="7" t="s">
        <v>92</v>
      </c>
      <c r="C574" s="7" t="str">
        <f t="shared" ref="C574" si="82">+C573</f>
        <v>Angela</v>
      </c>
      <c r="D574" s="7" t="str">
        <f>+D573</f>
        <v>Barbariol</v>
      </c>
      <c r="E574" s="8" t="str">
        <f>E573</f>
        <v>INST</v>
      </c>
      <c r="G574" s="8" t="str">
        <f>G573</f>
        <v>BARB0001</v>
      </c>
      <c r="H574" s="26"/>
      <c r="I574" s="26"/>
      <c r="J574" s="26"/>
      <c r="K574" s="28">
        <f>+K573</f>
        <v>42156</v>
      </c>
      <c r="L574" s="26" t="str">
        <f>L573</f>
        <v>DD000000000000000188</v>
      </c>
      <c r="M574" s="26"/>
      <c r="N574" s="26"/>
      <c r="O574" s="26" t="str">
        <f>"""GP Direct"",""Fabrikam, Inc."",""UPR30300"",""PAYRATE"",""300.00000"",""PAYROLCD"",""BONS"",""STATECD"",""IN"",""CHEKDATE"",""6/1/2015"",""UPRTRXAM"",""300.00000"""</f>
        <v>"GP Direct","Fabrikam, Inc.","UPR30300","PAYRATE","300.00000","PAYROLCD","BONS","STATECD","IN","CHEKDATE","6/1/2015","UPRTRXAM","300.00000"</v>
      </c>
      <c r="P574" s="29">
        <v>300</v>
      </c>
      <c r="Q574" s="26" t="str">
        <f>"BONS"</f>
        <v>BONS</v>
      </c>
      <c r="R574" s="26" t="str">
        <f>"IN"</f>
        <v>IN</v>
      </c>
      <c r="S574" s="28">
        <v>42156</v>
      </c>
      <c r="T574" s="29">
        <v>300</v>
      </c>
    </row>
    <row r="575" spans="1:20" s="7" customFormat="1" hidden="1" outlineLevel="3" x14ac:dyDescent="0.2">
      <c r="A575" s="7" t="s">
        <v>92</v>
      </c>
      <c r="C575" s="7" t="str">
        <f>+C573</f>
        <v>Angela</v>
      </c>
      <c r="D575" s="7" t="str">
        <f>+D573</f>
        <v>Barbariol</v>
      </c>
      <c r="E575" s="8" t="str">
        <f>E573</f>
        <v>INST</v>
      </c>
      <c r="G575" s="8" t="str">
        <f>G573</f>
        <v>BARB0001</v>
      </c>
      <c r="K575" s="12">
        <f>+K573</f>
        <v>42156</v>
      </c>
      <c r="L575" s="8" t="str">
        <f>L573</f>
        <v>DD000000000000000188</v>
      </c>
      <c r="O575" s="8"/>
      <c r="T575" s="20"/>
    </row>
    <row r="576" spans="1:20" s="7" customFormat="1" hidden="1" outlineLevel="2" collapsed="1" x14ac:dyDescent="0.2">
      <c r="A576" s="7" t="s">
        <v>92</v>
      </c>
      <c r="C576" s="7" t="str">
        <f t="shared" si="75"/>
        <v>Angela</v>
      </c>
      <c r="D576" s="7" t="str">
        <f>+D575</f>
        <v>Barbariol</v>
      </c>
      <c r="E576" s="8" t="str">
        <f>E575</f>
        <v>INST</v>
      </c>
      <c r="G576" s="8" t="str">
        <f>G575</f>
        <v>BARB0001</v>
      </c>
      <c r="K576" s="12">
        <f>+K575</f>
        <v>42156</v>
      </c>
      <c r="L576" s="8" t="str">
        <f>L575</f>
        <v>DD000000000000000188</v>
      </c>
      <c r="M576" s="33" t="str">
        <f>"Total for " &amp; $L576</f>
        <v>Total for DD000000000000000188</v>
      </c>
      <c r="N576" s="34">
        <f>+K576</f>
        <v>42156</v>
      </c>
      <c r="O576" s="35"/>
      <c r="P576" s="33"/>
      <c r="Q576" s="33"/>
      <c r="R576" s="33"/>
      <c r="S576" s="33"/>
      <c r="T576" s="36">
        <f>SUBTOTAL(9,T573:T575)</f>
        <v>309.94</v>
      </c>
    </row>
    <row r="577" spans="1:20" s="7" customFormat="1" hidden="1" outlineLevel="2" x14ac:dyDescent="0.2">
      <c r="A577" s="7" t="s">
        <v>92</v>
      </c>
      <c r="C577" s="7" t="str">
        <f>+C520</f>
        <v>Angela</v>
      </c>
      <c r="D577" s="7" t="str">
        <f>+D520</f>
        <v>Barbariol</v>
      </c>
      <c r="E577" s="8" t="str">
        <f>E520</f>
        <v>INST</v>
      </c>
      <c r="G577" s="8" t="str">
        <f>G520</f>
        <v>BARB0001</v>
      </c>
      <c r="L577" s="8"/>
      <c r="O577" s="8"/>
      <c r="T577" s="20"/>
    </row>
    <row r="578" spans="1:20" s="7" customFormat="1" hidden="1" outlineLevel="1" collapsed="1" x14ac:dyDescent="0.2">
      <c r="A578" s="7" t="s">
        <v>92</v>
      </c>
      <c r="C578" s="7" t="str">
        <f t="shared" si="73"/>
        <v>Angela</v>
      </c>
      <c r="D578" s="7" t="str">
        <f>+D577</f>
        <v>Barbariol</v>
      </c>
      <c r="E578" s="8" t="str">
        <f>E577</f>
        <v>INST</v>
      </c>
      <c r="G578" s="8" t="str">
        <f>G577</f>
        <v>BARB0001</v>
      </c>
      <c r="H578" s="30" t="str">
        <f>"Total for " &amp; $G578</f>
        <v>Total for BARB0001</v>
      </c>
      <c r="I578" s="30" t="str">
        <f>+C578</f>
        <v>Angela</v>
      </c>
      <c r="J578" s="30" t="str">
        <f>+D578</f>
        <v>Barbariol</v>
      </c>
      <c r="K578" s="30"/>
      <c r="L578" s="31"/>
      <c r="M578" s="30"/>
      <c r="N578" s="30"/>
      <c r="O578" s="31"/>
      <c r="P578" s="30"/>
      <c r="Q578" s="30"/>
      <c r="R578" s="30"/>
      <c r="S578" s="30"/>
      <c r="T578" s="32">
        <f>SUBTOTAL(9,T513:T577)</f>
        <v>9907.0400000000009</v>
      </c>
    </row>
    <row r="579" spans="1:20" s="7" customFormat="1" hidden="1" outlineLevel="2" x14ac:dyDescent="0.2">
      <c r="A579" s="7" t="s">
        <v>92</v>
      </c>
      <c r="C579" s="7" t="str">
        <f t="shared" ref="C579" si="83">+I579</f>
        <v>Adam</v>
      </c>
      <c r="D579" s="7" t="str">
        <f>+J579</f>
        <v>Barr</v>
      </c>
      <c r="E579" s="8" t="str">
        <f>E578</f>
        <v>INST</v>
      </c>
      <c r="G579" s="8" t="str">
        <f>H579</f>
        <v>BARR0001</v>
      </c>
      <c r="H579" s="24" t="str">
        <f>"BARR0001"</f>
        <v>BARR0001</v>
      </c>
      <c r="I579" s="25" t="str">
        <f>"Adam"</f>
        <v>Adam</v>
      </c>
      <c r="J579" s="25" t="str">
        <f>"Barr"</f>
        <v>Barr</v>
      </c>
      <c r="K579" s="26"/>
      <c r="L579" s="26"/>
      <c r="M579" s="26"/>
      <c r="N579" s="26"/>
      <c r="O579" s="26"/>
      <c r="P579" s="26"/>
      <c r="Q579" s="26"/>
      <c r="R579" s="26"/>
      <c r="S579" s="26"/>
      <c r="T579" s="27"/>
    </row>
    <row r="580" spans="1:20" s="7" customFormat="1" hidden="1" outlineLevel="3" x14ac:dyDescent="0.2">
      <c r="A580" s="7" t="s">
        <v>92</v>
      </c>
      <c r="C580" s="7" t="str">
        <f t="shared" ref="C580:C646" si="84">+C579</f>
        <v>Adam</v>
      </c>
      <c r="D580" s="7" t="str">
        <f>+D579</f>
        <v>Barr</v>
      </c>
      <c r="E580" s="8" t="str">
        <f>E579</f>
        <v>INST</v>
      </c>
      <c r="G580" s="8" t="str">
        <f>G579</f>
        <v>BARR0001</v>
      </c>
      <c r="H580" s="26"/>
      <c r="I580" s="26"/>
      <c r="J580" s="26"/>
      <c r="K580" s="28">
        <f>+N580</f>
        <v>42005</v>
      </c>
      <c r="L580" s="26" t="str">
        <f>M580</f>
        <v>10354</v>
      </c>
      <c r="M580" s="26" t="str">
        <f>"10354"</f>
        <v>10354</v>
      </c>
      <c r="N580" s="28">
        <v>42005</v>
      </c>
      <c r="O580" s="26"/>
      <c r="P580" s="26"/>
      <c r="Q580" s="26"/>
      <c r="R580" s="26"/>
      <c r="S580" s="26"/>
      <c r="T580" s="27"/>
    </row>
    <row r="581" spans="1:20" s="7" customFormat="1" hidden="1" outlineLevel="3" x14ac:dyDescent="0.2">
      <c r="A581" s="7" t="s">
        <v>92</v>
      </c>
      <c r="C581" s="7" t="str">
        <f t="shared" si="84"/>
        <v>Adam</v>
      </c>
      <c r="D581" s="7" t="str">
        <f>+D580</f>
        <v>Barr</v>
      </c>
      <c r="E581" s="8" t="str">
        <f>E580</f>
        <v>INST</v>
      </c>
      <c r="G581" s="8" t="str">
        <f>G580</f>
        <v>BARR0001</v>
      </c>
      <c r="H581" s="26"/>
      <c r="I581" s="26"/>
      <c r="J581" s="26"/>
      <c r="K581" s="28">
        <f>+K580</f>
        <v>42005</v>
      </c>
      <c r="L581" s="26" t="str">
        <f>L580</f>
        <v>10354</v>
      </c>
      <c r="M581" s="26"/>
      <c r="N581" s="26"/>
      <c r="O581" s="26" t="str">
        <f>"""GP Direct"",""Fabrikam, Inc."",""UPR30300"",""PAYRATE"",""0.00000"",""PAYROLCD"",""401K"",""STATECD"","""",""CHEKDATE"",""1/1/2015"",""UPRTRXAM"",""2.79000"""</f>
        <v>"GP Direct","Fabrikam, Inc.","UPR30300","PAYRATE","0.00000","PAYROLCD","401K","STATECD","","CHEKDATE","1/1/2015","UPRTRXAM","2.79000"</v>
      </c>
      <c r="P581" s="29">
        <v>0</v>
      </c>
      <c r="Q581" s="26" t="str">
        <f>"401K"</f>
        <v>401K</v>
      </c>
      <c r="R581" s="26"/>
      <c r="S581" s="28">
        <v>42005</v>
      </c>
      <c r="T581" s="29">
        <v>2.79</v>
      </c>
    </row>
    <row r="582" spans="1:20" s="7" customFormat="1" hidden="1" outlineLevel="3" x14ac:dyDescent="0.2">
      <c r="A582" s="7" t="s">
        <v>92</v>
      </c>
      <c r="C582" s="7" t="str">
        <f t="shared" ref="C582:C586" si="85">+C581</f>
        <v>Adam</v>
      </c>
      <c r="D582" s="7" t="str">
        <f>+D581</f>
        <v>Barr</v>
      </c>
      <c r="E582" s="8" t="str">
        <f>E581</f>
        <v>INST</v>
      </c>
      <c r="G582" s="8" t="str">
        <f>G581</f>
        <v>BARR0001</v>
      </c>
      <c r="H582" s="26"/>
      <c r="I582" s="26"/>
      <c r="J582" s="26"/>
      <c r="K582" s="28">
        <f>+K581</f>
        <v>42005</v>
      </c>
      <c r="L582" s="26" t="str">
        <f>L581</f>
        <v>10354</v>
      </c>
      <c r="M582" s="26"/>
      <c r="N582" s="26"/>
      <c r="O582" s="26" t="str">
        <f>"""GP Direct"",""Fabrikam, Inc."",""UPR30300"",""PAYRATE"",""0.00000"",""PAYROLCD"",""401K"",""STATECD"","""",""CHEKDATE"",""1/1/2015"",""UPRTRXAM"",""55.82000"""</f>
        <v>"GP Direct","Fabrikam, Inc.","UPR30300","PAYRATE","0.00000","PAYROLCD","401K","STATECD","","CHEKDATE","1/1/2015","UPRTRXAM","55.82000"</v>
      </c>
      <c r="P582" s="29">
        <v>0</v>
      </c>
      <c r="Q582" s="26" t="str">
        <f>"401K"</f>
        <v>401K</v>
      </c>
      <c r="R582" s="26"/>
      <c r="S582" s="28">
        <v>42005</v>
      </c>
      <c r="T582" s="29">
        <v>55.82</v>
      </c>
    </row>
    <row r="583" spans="1:20" s="7" customFormat="1" hidden="1" outlineLevel="3" x14ac:dyDescent="0.2">
      <c r="A583" s="7" t="s">
        <v>92</v>
      </c>
      <c r="C583" s="7" t="str">
        <f t="shared" si="85"/>
        <v>Adam</v>
      </c>
      <c r="D583" s="7" t="str">
        <f>+D582</f>
        <v>Barr</v>
      </c>
      <c r="E583" s="8" t="str">
        <f>E582</f>
        <v>INST</v>
      </c>
      <c r="G583" s="8" t="str">
        <f>G582</f>
        <v>BARR0001</v>
      </c>
      <c r="H583" s="26"/>
      <c r="I583" s="26"/>
      <c r="J583" s="26"/>
      <c r="K583" s="28">
        <f>+K582</f>
        <v>42005</v>
      </c>
      <c r="L583" s="26" t="str">
        <f>L582</f>
        <v>10354</v>
      </c>
      <c r="M583" s="26"/>
      <c r="N583" s="26"/>
      <c r="O583" s="26" t="str">
        <f>"""GP Direct"",""Fabrikam, Inc."",""UPR30300"",""PAYRATE"",""0.00000"",""PAYROLCD"",""INS"",""STATECD"","""",""CHEKDATE"",""1/1/2015"",""UPRTRXAM"",""49.36000"""</f>
        <v>"GP Direct","Fabrikam, Inc.","UPR30300","PAYRATE","0.00000","PAYROLCD","INS","STATECD","","CHEKDATE","1/1/2015","UPRTRXAM","49.36000"</v>
      </c>
      <c r="P583" s="29">
        <v>0</v>
      </c>
      <c r="Q583" s="26" t="str">
        <f>"INS"</f>
        <v>INS</v>
      </c>
      <c r="R583" s="26"/>
      <c r="S583" s="28">
        <v>42005</v>
      </c>
      <c r="T583" s="29">
        <v>49.36</v>
      </c>
    </row>
    <row r="584" spans="1:20" s="7" customFormat="1" hidden="1" outlineLevel="3" x14ac:dyDescent="0.2">
      <c r="A584" s="7" t="s">
        <v>92</v>
      </c>
      <c r="C584" s="7" t="str">
        <f t="shared" si="85"/>
        <v>Adam</v>
      </c>
      <c r="D584" s="7" t="str">
        <f>+D583</f>
        <v>Barr</v>
      </c>
      <c r="E584" s="8" t="str">
        <f>E583</f>
        <v>INST</v>
      </c>
      <c r="G584" s="8" t="str">
        <f>G583</f>
        <v>BARR0001</v>
      </c>
      <c r="H584" s="26"/>
      <c r="I584" s="26"/>
      <c r="J584" s="26"/>
      <c r="K584" s="28">
        <f>+K583</f>
        <v>42005</v>
      </c>
      <c r="L584" s="26" t="str">
        <f>L583</f>
        <v>10354</v>
      </c>
      <c r="M584" s="26"/>
      <c r="N584" s="26"/>
      <c r="O584" s="26" t="str">
        <f>"""GP Direct"",""Fabrikam, Inc."",""UPR30300"",""PAYRATE"",""0.00000"",""PAYROLCD"",""MED"",""STATECD"","""",""CHEKDATE"",""1/1/2015"",""UPRTRXAM"",""5.00000"""</f>
        <v>"GP Direct","Fabrikam, Inc.","UPR30300","PAYRATE","0.00000","PAYROLCD","MED","STATECD","","CHEKDATE","1/1/2015","UPRTRXAM","5.00000"</v>
      </c>
      <c r="P584" s="29">
        <v>0</v>
      </c>
      <c r="Q584" s="26" t="str">
        <f>"MED"</f>
        <v>MED</v>
      </c>
      <c r="R584" s="26"/>
      <c r="S584" s="28">
        <v>42005</v>
      </c>
      <c r="T584" s="29">
        <v>5</v>
      </c>
    </row>
    <row r="585" spans="1:20" s="7" customFormat="1" hidden="1" outlineLevel="3" x14ac:dyDescent="0.2">
      <c r="A585" s="7" t="s">
        <v>92</v>
      </c>
      <c r="C585" s="7" t="str">
        <f t="shared" si="85"/>
        <v>Adam</v>
      </c>
      <c r="D585" s="7" t="str">
        <f>+D584</f>
        <v>Barr</v>
      </c>
      <c r="E585" s="8" t="str">
        <f>E584</f>
        <v>INST</v>
      </c>
      <c r="G585" s="8" t="str">
        <f>G584</f>
        <v>BARR0001</v>
      </c>
      <c r="H585" s="26"/>
      <c r="I585" s="26"/>
      <c r="J585" s="26"/>
      <c r="K585" s="28">
        <f>+K584</f>
        <v>42005</v>
      </c>
      <c r="L585" s="26" t="str">
        <f>L584</f>
        <v>10354</v>
      </c>
      <c r="M585" s="26"/>
      <c r="N585" s="26"/>
      <c r="O585" s="26" t="str">
        <f>"""GP Direct"",""Fabrikam, Inc."",""UPR30300"",""PAYRATE"",""0.00000"",""PAYROLCD"",""WI"",""STATECD"","""",""CHEKDATE"",""1/1/2015"",""UPRTRXAM"",""71.88000"""</f>
        <v>"GP Direct","Fabrikam, Inc.","UPR30300","PAYRATE","0.00000","PAYROLCD","WI","STATECD","","CHEKDATE","1/1/2015","UPRTRXAM","71.88000"</v>
      </c>
      <c r="P585" s="29">
        <v>0</v>
      </c>
      <c r="Q585" s="26" t="str">
        <f>"WI"</f>
        <v>WI</v>
      </c>
      <c r="R585" s="26"/>
      <c r="S585" s="28">
        <v>42005</v>
      </c>
      <c r="T585" s="29">
        <v>71.88</v>
      </c>
    </row>
    <row r="586" spans="1:20" s="7" customFormat="1" hidden="1" outlineLevel="3" x14ac:dyDescent="0.2">
      <c r="A586" s="7" t="s">
        <v>92</v>
      </c>
      <c r="C586" s="7" t="str">
        <f t="shared" si="85"/>
        <v>Adam</v>
      </c>
      <c r="D586" s="7" t="str">
        <f>+D585</f>
        <v>Barr</v>
      </c>
      <c r="E586" s="8" t="str">
        <f>E585</f>
        <v>INST</v>
      </c>
      <c r="G586" s="8" t="str">
        <f>G585</f>
        <v>BARR0001</v>
      </c>
      <c r="H586" s="26"/>
      <c r="I586" s="26"/>
      <c r="J586" s="26"/>
      <c r="K586" s="28">
        <f>+K585</f>
        <v>42005</v>
      </c>
      <c r="L586" s="26" t="str">
        <f>L585</f>
        <v>10354</v>
      </c>
      <c r="M586" s="26"/>
      <c r="N586" s="26"/>
      <c r="O586" s="26" t="str">
        <f>"""GP Direct"",""Fabrikam, Inc."",""UPR30300"",""PAYRATE"",""16.10000"",""PAYROLCD"",""HOUR"",""STATECD"",""WI"",""CHEKDATE"",""1/1/2015"",""UPRTRXAM"",""1395.39000"""</f>
        <v>"GP Direct","Fabrikam, Inc.","UPR30300","PAYRATE","16.10000","PAYROLCD","HOUR","STATECD","WI","CHEKDATE","1/1/2015","UPRTRXAM","1395.39000"</v>
      </c>
      <c r="P586" s="29">
        <v>16.100000000000001</v>
      </c>
      <c r="Q586" s="26" t="str">
        <f>"HOUR"</f>
        <v>HOUR</v>
      </c>
      <c r="R586" s="26" t="str">
        <f>"WI"</f>
        <v>WI</v>
      </c>
      <c r="S586" s="28">
        <v>42005</v>
      </c>
      <c r="T586" s="29">
        <v>1395.39</v>
      </c>
    </row>
    <row r="587" spans="1:20" s="7" customFormat="1" hidden="1" outlineLevel="3" x14ac:dyDescent="0.2">
      <c r="A587" s="7" t="s">
        <v>92</v>
      </c>
      <c r="C587" s="7" t="str">
        <f>+C581</f>
        <v>Adam</v>
      </c>
      <c r="D587" s="7" t="str">
        <f>+D581</f>
        <v>Barr</v>
      </c>
      <c r="E587" s="8" t="str">
        <f>E581</f>
        <v>INST</v>
      </c>
      <c r="G587" s="8" t="str">
        <f>G581</f>
        <v>BARR0001</v>
      </c>
      <c r="K587" s="12">
        <f>+K581</f>
        <v>42005</v>
      </c>
      <c r="L587" s="8" t="str">
        <f>L581</f>
        <v>10354</v>
      </c>
      <c r="O587" s="8"/>
      <c r="T587" s="20"/>
    </row>
    <row r="588" spans="1:20" s="7" customFormat="1" hidden="1" outlineLevel="2" collapsed="1" x14ac:dyDescent="0.2">
      <c r="A588" s="7" t="s">
        <v>92</v>
      </c>
      <c r="C588" s="7" t="str">
        <f t="shared" si="84"/>
        <v>Adam</v>
      </c>
      <c r="D588" s="7" t="str">
        <f>+D587</f>
        <v>Barr</v>
      </c>
      <c r="E588" s="8" t="str">
        <f>E587</f>
        <v>INST</v>
      </c>
      <c r="G588" s="8" t="str">
        <f>G587</f>
        <v>BARR0001</v>
      </c>
      <c r="K588" s="12">
        <f>+K587</f>
        <v>42005</v>
      </c>
      <c r="L588" s="8" t="str">
        <f>L587</f>
        <v>10354</v>
      </c>
      <c r="M588" s="33" t="str">
        <f>"Total for " &amp; $L588</f>
        <v>Total for 10354</v>
      </c>
      <c r="N588" s="34">
        <f>+K588</f>
        <v>42005</v>
      </c>
      <c r="O588" s="35"/>
      <c r="P588" s="33"/>
      <c r="Q588" s="33"/>
      <c r="R588" s="33"/>
      <c r="S588" s="33"/>
      <c r="T588" s="36">
        <f>SUBTOTAL(9,T581:T587)</f>
        <v>1580.24</v>
      </c>
    </row>
    <row r="589" spans="1:20" s="7" customFormat="1" hidden="1" outlineLevel="3" x14ac:dyDescent="0.2">
      <c r="A589" s="7" t="s">
        <v>92</v>
      </c>
      <c r="C589" s="7" t="str">
        <f t="shared" ref="C589:C644" si="86">+C588</f>
        <v>Adam</v>
      </c>
      <c r="D589" s="7" t="str">
        <f>+D588</f>
        <v>Barr</v>
      </c>
      <c r="E589" s="8" t="str">
        <f>E588</f>
        <v>INST</v>
      </c>
      <c r="G589" s="8" t="str">
        <f>G588</f>
        <v>BARR0001</v>
      </c>
      <c r="H589" s="26"/>
      <c r="I589" s="26"/>
      <c r="J589" s="26"/>
      <c r="K589" s="28">
        <f>+N589</f>
        <v>42036</v>
      </c>
      <c r="L589" s="26" t="str">
        <f>M589</f>
        <v>10379</v>
      </c>
      <c r="M589" s="26" t="str">
        <f>"10379"</f>
        <v>10379</v>
      </c>
      <c r="N589" s="28">
        <v>42036</v>
      </c>
      <c r="O589" s="26"/>
      <c r="P589" s="26"/>
      <c r="Q589" s="26"/>
      <c r="R589" s="26"/>
      <c r="S589" s="26"/>
      <c r="T589" s="27"/>
    </row>
    <row r="590" spans="1:20" s="7" customFormat="1" hidden="1" outlineLevel="3" x14ac:dyDescent="0.2">
      <c r="A590" s="7" t="s">
        <v>92</v>
      </c>
      <c r="C590" s="7" t="str">
        <f t="shared" si="86"/>
        <v>Adam</v>
      </c>
      <c r="D590" s="7" t="str">
        <f>+D589</f>
        <v>Barr</v>
      </c>
      <c r="E590" s="8" t="str">
        <f>E589</f>
        <v>INST</v>
      </c>
      <c r="G590" s="8" t="str">
        <f>G589</f>
        <v>BARR0001</v>
      </c>
      <c r="H590" s="26"/>
      <c r="I590" s="26"/>
      <c r="J590" s="26"/>
      <c r="K590" s="28">
        <f>+K589</f>
        <v>42036</v>
      </c>
      <c r="L590" s="26" t="str">
        <f>L589</f>
        <v>10379</v>
      </c>
      <c r="M590" s="26"/>
      <c r="N590" s="26"/>
      <c r="O590" s="26" t="str">
        <f>"""GP Direct"",""Fabrikam, Inc."",""UPR30300"",""PAYRATE"",""0.00000"",""PAYROLCD"",""401K"",""STATECD"","""",""CHEKDATE"",""2/1/2015"",""UPRTRXAM"",""2.79000"""</f>
        <v>"GP Direct","Fabrikam, Inc.","UPR30300","PAYRATE","0.00000","PAYROLCD","401K","STATECD","","CHEKDATE","2/1/2015","UPRTRXAM","2.79000"</v>
      </c>
      <c r="P590" s="29">
        <v>0</v>
      </c>
      <c r="Q590" s="26" t="str">
        <f>"401K"</f>
        <v>401K</v>
      </c>
      <c r="R590" s="26"/>
      <c r="S590" s="28">
        <v>42036</v>
      </c>
      <c r="T590" s="29">
        <v>2.79</v>
      </c>
    </row>
    <row r="591" spans="1:20" s="7" customFormat="1" hidden="1" outlineLevel="3" x14ac:dyDescent="0.2">
      <c r="A591" s="7" t="s">
        <v>92</v>
      </c>
      <c r="C591" s="7" t="str">
        <f t="shared" ref="C591:C595" si="87">+C590</f>
        <v>Adam</v>
      </c>
      <c r="D591" s="7" t="str">
        <f>+D590</f>
        <v>Barr</v>
      </c>
      <c r="E591" s="8" t="str">
        <f>E590</f>
        <v>INST</v>
      </c>
      <c r="G591" s="8" t="str">
        <f>G590</f>
        <v>BARR0001</v>
      </c>
      <c r="H591" s="26"/>
      <c r="I591" s="26"/>
      <c r="J591" s="26"/>
      <c r="K591" s="28">
        <f>+K590</f>
        <v>42036</v>
      </c>
      <c r="L591" s="26" t="str">
        <f>L590</f>
        <v>10379</v>
      </c>
      <c r="M591" s="26"/>
      <c r="N591" s="26"/>
      <c r="O591" s="26" t="str">
        <f>"""GP Direct"",""Fabrikam, Inc."",""UPR30300"",""PAYRATE"",""0.00000"",""PAYROLCD"",""401K"",""STATECD"","""",""CHEKDATE"",""2/1/2015"",""UPRTRXAM"",""55.82000"""</f>
        <v>"GP Direct","Fabrikam, Inc.","UPR30300","PAYRATE","0.00000","PAYROLCD","401K","STATECD","","CHEKDATE","2/1/2015","UPRTRXAM","55.82000"</v>
      </c>
      <c r="P591" s="29">
        <v>0</v>
      </c>
      <c r="Q591" s="26" t="str">
        <f>"401K"</f>
        <v>401K</v>
      </c>
      <c r="R591" s="26"/>
      <c r="S591" s="28">
        <v>42036</v>
      </c>
      <c r="T591" s="29">
        <v>55.82</v>
      </c>
    </row>
    <row r="592" spans="1:20" s="7" customFormat="1" hidden="1" outlineLevel="3" x14ac:dyDescent="0.2">
      <c r="A592" s="7" t="s">
        <v>92</v>
      </c>
      <c r="C592" s="7" t="str">
        <f t="shared" si="87"/>
        <v>Adam</v>
      </c>
      <c r="D592" s="7" t="str">
        <f>+D591</f>
        <v>Barr</v>
      </c>
      <c r="E592" s="8" t="str">
        <f>E591</f>
        <v>INST</v>
      </c>
      <c r="G592" s="8" t="str">
        <f>G591</f>
        <v>BARR0001</v>
      </c>
      <c r="H592" s="26"/>
      <c r="I592" s="26"/>
      <c r="J592" s="26"/>
      <c r="K592" s="28">
        <f>+K591</f>
        <v>42036</v>
      </c>
      <c r="L592" s="26" t="str">
        <f>L591</f>
        <v>10379</v>
      </c>
      <c r="M592" s="26"/>
      <c r="N592" s="26"/>
      <c r="O592" s="26" t="str">
        <f>"""GP Direct"",""Fabrikam, Inc."",""UPR30300"",""PAYRATE"",""0.00000"",""PAYROLCD"",""INS"",""STATECD"","""",""CHEKDATE"",""2/1/2015"",""UPRTRXAM"",""49.36000"""</f>
        <v>"GP Direct","Fabrikam, Inc.","UPR30300","PAYRATE","0.00000","PAYROLCD","INS","STATECD","","CHEKDATE","2/1/2015","UPRTRXAM","49.36000"</v>
      </c>
      <c r="P592" s="29">
        <v>0</v>
      </c>
      <c r="Q592" s="26" t="str">
        <f>"INS"</f>
        <v>INS</v>
      </c>
      <c r="R592" s="26"/>
      <c r="S592" s="28">
        <v>42036</v>
      </c>
      <c r="T592" s="29">
        <v>49.36</v>
      </c>
    </row>
    <row r="593" spans="1:20" s="7" customFormat="1" hidden="1" outlineLevel="3" x14ac:dyDescent="0.2">
      <c r="A593" s="7" t="s">
        <v>92</v>
      </c>
      <c r="C593" s="7" t="str">
        <f t="shared" si="87"/>
        <v>Adam</v>
      </c>
      <c r="D593" s="7" t="str">
        <f>+D592</f>
        <v>Barr</v>
      </c>
      <c r="E593" s="8" t="str">
        <f>E592</f>
        <v>INST</v>
      </c>
      <c r="G593" s="8" t="str">
        <f>G592</f>
        <v>BARR0001</v>
      </c>
      <c r="H593" s="26"/>
      <c r="I593" s="26"/>
      <c r="J593" s="26"/>
      <c r="K593" s="28">
        <f>+K592</f>
        <v>42036</v>
      </c>
      <c r="L593" s="26" t="str">
        <f>L592</f>
        <v>10379</v>
      </c>
      <c r="M593" s="26"/>
      <c r="N593" s="26"/>
      <c r="O593" s="26" t="str">
        <f>"""GP Direct"",""Fabrikam, Inc."",""UPR30300"",""PAYRATE"",""0.00000"",""PAYROLCD"",""MED"",""STATECD"","""",""CHEKDATE"",""2/1/2015"",""UPRTRXAM"",""5.00000"""</f>
        <v>"GP Direct","Fabrikam, Inc.","UPR30300","PAYRATE","0.00000","PAYROLCD","MED","STATECD","","CHEKDATE","2/1/2015","UPRTRXAM","5.00000"</v>
      </c>
      <c r="P593" s="29">
        <v>0</v>
      </c>
      <c r="Q593" s="26" t="str">
        <f>"MED"</f>
        <v>MED</v>
      </c>
      <c r="R593" s="26"/>
      <c r="S593" s="28">
        <v>42036</v>
      </c>
      <c r="T593" s="29">
        <v>5</v>
      </c>
    </row>
    <row r="594" spans="1:20" s="7" customFormat="1" hidden="1" outlineLevel="3" x14ac:dyDescent="0.2">
      <c r="A594" s="7" t="s">
        <v>92</v>
      </c>
      <c r="C594" s="7" t="str">
        <f t="shared" si="87"/>
        <v>Adam</v>
      </c>
      <c r="D594" s="7" t="str">
        <f>+D593</f>
        <v>Barr</v>
      </c>
      <c r="E594" s="8" t="str">
        <f>E593</f>
        <v>INST</v>
      </c>
      <c r="G594" s="8" t="str">
        <f>G593</f>
        <v>BARR0001</v>
      </c>
      <c r="H594" s="26"/>
      <c r="I594" s="26"/>
      <c r="J594" s="26"/>
      <c r="K594" s="28">
        <f>+K593</f>
        <v>42036</v>
      </c>
      <c r="L594" s="26" t="str">
        <f>L593</f>
        <v>10379</v>
      </c>
      <c r="M594" s="26"/>
      <c r="N594" s="26"/>
      <c r="O594" s="26" t="str">
        <f>"""GP Direct"",""Fabrikam, Inc."",""UPR30300"",""PAYRATE"",""0.00000"",""PAYROLCD"",""WI"",""STATECD"","""",""CHEKDATE"",""2/1/2015"",""UPRTRXAM"",""71.88000"""</f>
        <v>"GP Direct","Fabrikam, Inc.","UPR30300","PAYRATE","0.00000","PAYROLCD","WI","STATECD","","CHEKDATE","2/1/2015","UPRTRXAM","71.88000"</v>
      </c>
      <c r="P594" s="29">
        <v>0</v>
      </c>
      <c r="Q594" s="26" t="str">
        <f>"WI"</f>
        <v>WI</v>
      </c>
      <c r="R594" s="26"/>
      <c r="S594" s="28">
        <v>42036</v>
      </c>
      <c r="T594" s="29">
        <v>71.88</v>
      </c>
    </row>
    <row r="595" spans="1:20" s="7" customFormat="1" hidden="1" outlineLevel="3" x14ac:dyDescent="0.2">
      <c r="A595" s="7" t="s">
        <v>92</v>
      </c>
      <c r="C595" s="7" t="str">
        <f t="shared" si="87"/>
        <v>Adam</v>
      </c>
      <c r="D595" s="7" t="str">
        <f>+D594</f>
        <v>Barr</v>
      </c>
      <c r="E595" s="8" t="str">
        <f>E594</f>
        <v>INST</v>
      </c>
      <c r="G595" s="8" t="str">
        <f>G594</f>
        <v>BARR0001</v>
      </c>
      <c r="H595" s="26"/>
      <c r="I595" s="26"/>
      <c r="J595" s="26"/>
      <c r="K595" s="28">
        <f>+K594</f>
        <v>42036</v>
      </c>
      <c r="L595" s="26" t="str">
        <f>L594</f>
        <v>10379</v>
      </c>
      <c r="M595" s="26"/>
      <c r="N595" s="26"/>
      <c r="O595" s="26" t="str">
        <f>"""GP Direct"",""Fabrikam, Inc."",""UPR30300"",""PAYRATE"",""16.10000"",""PAYROLCD"",""HOUR"",""STATECD"",""WI"",""CHEKDATE"",""2/1/2015"",""UPRTRXAM"",""1395.39000"""</f>
        <v>"GP Direct","Fabrikam, Inc.","UPR30300","PAYRATE","16.10000","PAYROLCD","HOUR","STATECD","WI","CHEKDATE","2/1/2015","UPRTRXAM","1395.39000"</v>
      </c>
      <c r="P595" s="29">
        <v>16.100000000000001</v>
      </c>
      <c r="Q595" s="26" t="str">
        <f>"HOUR"</f>
        <v>HOUR</v>
      </c>
      <c r="R595" s="26" t="str">
        <f>"WI"</f>
        <v>WI</v>
      </c>
      <c r="S595" s="28">
        <v>42036</v>
      </c>
      <c r="T595" s="29">
        <v>1395.39</v>
      </c>
    </row>
    <row r="596" spans="1:20" s="7" customFormat="1" hidden="1" outlineLevel="3" x14ac:dyDescent="0.2">
      <c r="A596" s="7" t="s">
        <v>92</v>
      </c>
      <c r="C596" s="7" t="str">
        <f>+C590</f>
        <v>Adam</v>
      </c>
      <c r="D596" s="7" t="str">
        <f>+D590</f>
        <v>Barr</v>
      </c>
      <c r="E596" s="8" t="str">
        <f>E590</f>
        <v>INST</v>
      </c>
      <c r="G596" s="8" t="str">
        <f>G590</f>
        <v>BARR0001</v>
      </c>
      <c r="K596" s="12">
        <f>+K590</f>
        <v>42036</v>
      </c>
      <c r="L596" s="8" t="str">
        <f>L590</f>
        <v>10379</v>
      </c>
      <c r="O596" s="8"/>
      <c r="T596" s="20"/>
    </row>
    <row r="597" spans="1:20" s="7" customFormat="1" hidden="1" outlineLevel="2" collapsed="1" x14ac:dyDescent="0.2">
      <c r="A597" s="7" t="s">
        <v>92</v>
      </c>
      <c r="C597" s="7" t="str">
        <f t="shared" si="86"/>
        <v>Adam</v>
      </c>
      <c r="D597" s="7" t="str">
        <f>+D596</f>
        <v>Barr</v>
      </c>
      <c r="E597" s="8" t="str">
        <f>E596</f>
        <v>INST</v>
      </c>
      <c r="G597" s="8" t="str">
        <f>G596</f>
        <v>BARR0001</v>
      </c>
      <c r="K597" s="12">
        <f>+K596</f>
        <v>42036</v>
      </c>
      <c r="L597" s="8" t="str">
        <f>L596</f>
        <v>10379</v>
      </c>
      <c r="M597" s="33" t="str">
        <f>"Total for " &amp; $L597</f>
        <v>Total for 10379</v>
      </c>
      <c r="N597" s="34">
        <f>+K597</f>
        <v>42036</v>
      </c>
      <c r="O597" s="35"/>
      <c r="P597" s="33"/>
      <c r="Q597" s="33"/>
      <c r="R597" s="33"/>
      <c r="S597" s="33"/>
      <c r="T597" s="36">
        <f>SUBTOTAL(9,T590:T596)</f>
        <v>1580.24</v>
      </c>
    </row>
    <row r="598" spans="1:20" s="7" customFormat="1" hidden="1" outlineLevel="3" x14ac:dyDescent="0.2">
      <c r="A598" s="7" t="s">
        <v>92</v>
      </c>
      <c r="C598" s="7" t="str">
        <f t="shared" si="86"/>
        <v>Adam</v>
      </c>
      <c r="D598" s="7" t="str">
        <f>+D597</f>
        <v>Barr</v>
      </c>
      <c r="E598" s="8" t="str">
        <f>E597</f>
        <v>INST</v>
      </c>
      <c r="G598" s="8" t="str">
        <f>G597</f>
        <v>BARR0001</v>
      </c>
      <c r="H598" s="26"/>
      <c r="I598" s="26"/>
      <c r="J598" s="26"/>
      <c r="K598" s="28">
        <f>+N598</f>
        <v>42064</v>
      </c>
      <c r="L598" s="26" t="str">
        <f>M598</f>
        <v>10404</v>
      </c>
      <c r="M598" s="26" t="str">
        <f>"10404"</f>
        <v>10404</v>
      </c>
      <c r="N598" s="28">
        <v>42064</v>
      </c>
      <c r="O598" s="26"/>
      <c r="P598" s="26"/>
      <c r="Q598" s="26"/>
      <c r="R598" s="26"/>
      <c r="S598" s="26"/>
      <c r="T598" s="27"/>
    </row>
    <row r="599" spans="1:20" s="7" customFormat="1" hidden="1" outlineLevel="3" x14ac:dyDescent="0.2">
      <c r="A599" s="7" t="s">
        <v>92</v>
      </c>
      <c r="C599" s="7" t="str">
        <f t="shared" si="86"/>
        <v>Adam</v>
      </c>
      <c r="D599" s="7" t="str">
        <f>+D598</f>
        <v>Barr</v>
      </c>
      <c r="E599" s="8" t="str">
        <f>E598</f>
        <v>INST</v>
      </c>
      <c r="G599" s="8" t="str">
        <f>G598</f>
        <v>BARR0001</v>
      </c>
      <c r="H599" s="26"/>
      <c r="I599" s="26"/>
      <c r="J599" s="26"/>
      <c r="K599" s="28">
        <f>+K598</f>
        <v>42064</v>
      </c>
      <c r="L599" s="26" t="str">
        <f>L598</f>
        <v>10404</v>
      </c>
      <c r="M599" s="26"/>
      <c r="N599" s="26"/>
      <c r="O599" s="26" t="str">
        <f>"""GP Direct"",""Fabrikam, Inc."",""UPR30300"",""PAYRATE"",""0.00000"",""PAYROLCD"",""401K"",""STATECD"","""",""CHEKDATE"",""3/1/2015"",""UPRTRXAM"",""2.79000"""</f>
        <v>"GP Direct","Fabrikam, Inc.","UPR30300","PAYRATE","0.00000","PAYROLCD","401K","STATECD","","CHEKDATE","3/1/2015","UPRTRXAM","2.79000"</v>
      </c>
      <c r="P599" s="29">
        <v>0</v>
      </c>
      <c r="Q599" s="26" t="str">
        <f>"401K"</f>
        <v>401K</v>
      </c>
      <c r="R599" s="26"/>
      <c r="S599" s="28">
        <v>42064</v>
      </c>
      <c r="T599" s="29">
        <v>2.79</v>
      </c>
    </row>
    <row r="600" spans="1:20" s="7" customFormat="1" hidden="1" outlineLevel="3" x14ac:dyDescent="0.2">
      <c r="A600" s="7" t="s">
        <v>92</v>
      </c>
      <c r="C600" s="7" t="str">
        <f t="shared" ref="C600:C604" si="88">+C599</f>
        <v>Adam</v>
      </c>
      <c r="D600" s="7" t="str">
        <f>+D599</f>
        <v>Barr</v>
      </c>
      <c r="E600" s="8" t="str">
        <f>E599</f>
        <v>INST</v>
      </c>
      <c r="G600" s="8" t="str">
        <f>G599</f>
        <v>BARR0001</v>
      </c>
      <c r="H600" s="26"/>
      <c r="I600" s="26"/>
      <c r="J600" s="26"/>
      <c r="K600" s="28">
        <f>+K599</f>
        <v>42064</v>
      </c>
      <c r="L600" s="26" t="str">
        <f>L599</f>
        <v>10404</v>
      </c>
      <c r="M600" s="26"/>
      <c r="N600" s="26"/>
      <c r="O600" s="26" t="str">
        <f>"""GP Direct"",""Fabrikam, Inc."",""UPR30300"",""PAYRATE"",""0.00000"",""PAYROLCD"",""401K"",""STATECD"","""",""CHEKDATE"",""3/1/2015"",""UPRTRXAM"",""55.82000"""</f>
        <v>"GP Direct","Fabrikam, Inc.","UPR30300","PAYRATE","0.00000","PAYROLCD","401K","STATECD","","CHEKDATE","3/1/2015","UPRTRXAM","55.82000"</v>
      </c>
      <c r="P600" s="29">
        <v>0</v>
      </c>
      <c r="Q600" s="26" t="str">
        <f>"401K"</f>
        <v>401K</v>
      </c>
      <c r="R600" s="26"/>
      <c r="S600" s="28">
        <v>42064</v>
      </c>
      <c r="T600" s="29">
        <v>55.82</v>
      </c>
    </row>
    <row r="601" spans="1:20" s="7" customFormat="1" hidden="1" outlineLevel="3" x14ac:dyDescent="0.2">
      <c r="A601" s="7" t="s">
        <v>92</v>
      </c>
      <c r="C601" s="7" t="str">
        <f t="shared" si="88"/>
        <v>Adam</v>
      </c>
      <c r="D601" s="7" t="str">
        <f>+D600</f>
        <v>Barr</v>
      </c>
      <c r="E601" s="8" t="str">
        <f>E600</f>
        <v>INST</v>
      </c>
      <c r="G601" s="8" t="str">
        <f>G600</f>
        <v>BARR0001</v>
      </c>
      <c r="H601" s="26"/>
      <c r="I601" s="26"/>
      <c r="J601" s="26"/>
      <c r="K601" s="28">
        <f>+K600</f>
        <v>42064</v>
      </c>
      <c r="L601" s="26" t="str">
        <f>L600</f>
        <v>10404</v>
      </c>
      <c r="M601" s="26"/>
      <c r="N601" s="26"/>
      <c r="O601" s="26" t="str">
        <f>"""GP Direct"",""Fabrikam, Inc."",""UPR30300"",""PAYRATE"",""0.00000"",""PAYROLCD"",""INS"",""STATECD"","""",""CHEKDATE"",""3/1/2015"",""UPRTRXAM"",""49.36000"""</f>
        <v>"GP Direct","Fabrikam, Inc.","UPR30300","PAYRATE","0.00000","PAYROLCD","INS","STATECD","","CHEKDATE","3/1/2015","UPRTRXAM","49.36000"</v>
      </c>
      <c r="P601" s="29">
        <v>0</v>
      </c>
      <c r="Q601" s="26" t="str">
        <f>"INS"</f>
        <v>INS</v>
      </c>
      <c r="R601" s="26"/>
      <c r="S601" s="28">
        <v>42064</v>
      </c>
      <c r="T601" s="29">
        <v>49.36</v>
      </c>
    </row>
    <row r="602" spans="1:20" s="7" customFormat="1" hidden="1" outlineLevel="3" x14ac:dyDescent="0.2">
      <c r="A602" s="7" t="s">
        <v>92</v>
      </c>
      <c r="C602" s="7" t="str">
        <f t="shared" si="88"/>
        <v>Adam</v>
      </c>
      <c r="D602" s="7" t="str">
        <f>+D601</f>
        <v>Barr</v>
      </c>
      <c r="E602" s="8" t="str">
        <f>E601</f>
        <v>INST</v>
      </c>
      <c r="G602" s="8" t="str">
        <f>G601</f>
        <v>BARR0001</v>
      </c>
      <c r="H602" s="26"/>
      <c r="I602" s="26"/>
      <c r="J602" s="26"/>
      <c r="K602" s="28">
        <f>+K601</f>
        <v>42064</v>
      </c>
      <c r="L602" s="26" t="str">
        <f>L601</f>
        <v>10404</v>
      </c>
      <c r="M602" s="26"/>
      <c r="N602" s="26"/>
      <c r="O602" s="26" t="str">
        <f>"""GP Direct"",""Fabrikam, Inc."",""UPR30300"",""PAYRATE"",""0.00000"",""PAYROLCD"",""MED"",""STATECD"","""",""CHEKDATE"",""3/1/2015"",""UPRTRXAM"",""5.00000"""</f>
        <v>"GP Direct","Fabrikam, Inc.","UPR30300","PAYRATE","0.00000","PAYROLCD","MED","STATECD","","CHEKDATE","3/1/2015","UPRTRXAM","5.00000"</v>
      </c>
      <c r="P602" s="29">
        <v>0</v>
      </c>
      <c r="Q602" s="26" t="str">
        <f>"MED"</f>
        <v>MED</v>
      </c>
      <c r="R602" s="26"/>
      <c r="S602" s="28">
        <v>42064</v>
      </c>
      <c r="T602" s="29">
        <v>5</v>
      </c>
    </row>
    <row r="603" spans="1:20" s="7" customFormat="1" hidden="1" outlineLevel="3" x14ac:dyDescent="0.2">
      <c r="A603" s="7" t="s">
        <v>92</v>
      </c>
      <c r="C603" s="7" t="str">
        <f t="shared" si="88"/>
        <v>Adam</v>
      </c>
      <c r="D603" s="7" t="str">
        <f>+D602</f>
        <v>Barr</v>
      </c>
      <c r="E603" s="8" t="str">
        <f>E602</f>
        <v>INST</v>
      </c>
      <c r="G603" s="8" t="str">
        <f>G602</f>
        <v>BARR0001</v>
      </c>
      <c r="H603" s="26"/>
      <c r="I603" s="26"/>
      <c r="J603" s="26"/>
      <c r="K603" s="28">
        <f>+K602</f>
        <v>42064</v>
      </c>
      <c r="L603" s="26" t="str">
        <f>L602</f>
        <v>10404</v>
      </c>
      <c r="M603" s="26"/>
      <c r="N603" s="26"/>
      <c r="O603" s="26" t="str">
        <f>"""GP Direct"",""Fabrikam, Inc."",""UPR30300"",""PAYRATE"",""0.00000"",""PAYROLCD"",""WI"",""STATECD"","""",""CHEKDATE"",""3/1/2015"",""UPRTRXAM"",""71.88000"""</f>
        <v>"GP Direct","Fabrikam, Inc.","UPR30300","PAYRATE","0.00000","PAYROLCD","WI","STATECD","","CHEKDATE","3/1/2015","UPRTRXAM","71.88000"</v>
      </c>
      <c r="P603" s="29">
        <v>0</v>
      </c>
      <c r="Q603" s="26" t="str">
        <f>"WI"</f>
        <v>WI</v>
      </c>
      <c r="R603" s="26"/>
      <c r="S603" s="28">
        <v>42064</v>
      </c>
      <c r="T603" s="29">
        <v>71.88</v>
      </c>
    </row>
    <row r="604" spans="1:20" s="7" customFormat="1" hidden="1" outlineLevel="3" x14ac:dyDescent="0.2">
      <c r="A604" s="7" t="s">
        <v>92</v>
      </c>
      <c r="C604" s="7" t="str">
        <f t="shared" si="88"/>
        <v>Adam</v>
      </c>
      <c r="D604" s="7" t="str">
        <f>+D603</f>
        <v>Barr</v>
      </c>
      <c r="E604" s="8" t="str">
        <f>E603</f>
        <v>INST</v>
      </c>
      <c r="G604" s="8" t="str">
        <f>G603</f>
        <v>BARR0001</v>
      </c>
      <c r="H604" s="26"/>
      <c r="I604" s="26"/>
      <c r="J604" s="26"/>
      <c r="K604" s="28">
        <f>+K603</f>
        <v>42064</v>
      </c>
      <c r="L604" s="26" t="str">
        <f>L603</f>
        <v>10404</v>
      </c>
      <c r="M604" s="26"/>
      <c r="N604" s="26"/>
      <c r="O604" s="26" t="str">
        <f>"""GP Direct"",""Fabrikam, Inc."",""UPR30300"",""PAYRATE"",""16.10000"",""PAYROLCD"",""HOUR"",""STATECD"",""WI"",""CHEKDATE"",""3/1/2015"",""UPRTRXAM"",""1395.39000"""</f>
        <v>"GP Direct","Fabrikam, Inc.","UPR30300","PAYRATE","16.10000","PAYROLCD","HOUR","STATECD","WI","CHEKDATE","3/1/2015","UPRTRXAM","1395.39000"</v>
      </c>
      <c r="P604" s="29">
        <v>16.100000000000001</v>
      </c>
      <c r="Q604" s="26" t="str">
        <f>"HOUR"</f>
        <v>HOUR</v>
      </c>
      <c r="R604" s="26" t="str">
        <f>"WI"</f>
        <v>WI</v>
      </c>
      <c r="S604" s="28">
        <v>42064</v>
      </c>
      <c r="T604" s="29">
        <v>1395.39</v>
      </c>
    </row>
    <row r="605" spans="1:20" s="7" customFormat="1" hidden="1" outlineLevel="3" x14ac:dyDescent="0.2">
      <c r="A605" s="7" t="s">
        <v>92</v>
      </c>
      <c r="C605" s="7" t="str">
        <f>+C599</f>
        <v>Adam</v>
      </c>
      <c r="D605" s="7" t="str">
        <f>+D599</f>
        <v>Barr</v>
      </c>
      <c r="E605" s="8" t="str">
        <f>E599</f>
        <v>INST</v>
      </c>
      <c r="G605" s="8" t="str">
        <f>G599</f>
        <v>BARR0001</v>
      </c>
      <c r="K605" s="12">
        <f>+K599</f>
        <v>42064</v>
      </c>
      <c r="L605" s="8" t="str">
        <f>L599</f>
        <v>10404</v>
      </c>
      <c r="O605" s="8"/>
      <c r="T605" s="20"/>
    </row>
    <row r="606" spans="1:20" s="7" customFormat="1" hidden="1" outlineLevel="2" collapsed="1" x14ac:dyDescent="0.2">
      <c r="A606" s="7" t="s">
        <v>92</v>
      </c>
      <c r="C606" s="7" t="str">
        <f t="shared" si="86"/>
        <v>Adam</v>
      </c>
      <c r="D606" s="7" t="str">
        <f>+D605</f>
        <v>Barr</v>
      </c>
      <c r="E606" s="8" t="str">
        <f>E605</f>
        <v>INST</v>
      </c>
      <c r="G606" s="8" t="str">
        <f>G605</f>
        <v>BARR0001</v>
      </c>
      <c r="K606" s="12">
        <f>+K605</f>
        <v>42064</v>
      </c>
      <c r="L606" s="8" t="str">
        <f>L605</f>
        <v>10404</v>
      </c>
      <c r="M606" s="33" t="str">
        <f>"Total for " &amp; $L606</f>
        <v>Total for 10404</v>
      </c>
      <c r="N606" s="34">
        <f>+K606</f>
        <v>42064</v>
      </c>
      <c r="O606" s="35"/>
      <c r="P606" s="33"/>
      <c r="Q606" s="33"/>
      <c r="R606" s="33"/>
      <c r="S606" s="33"/>
      <c r="T606" s="36">
        <f>SUBTOTAL(9,T599:T605)</f>
        <v>1580.24</v>
      </c>
    </row>
    <row r="607" spans="1:20" s="7" customFormat="1" hidden="1" outlineLevel="3" x14ac:dyDescent="0.2">
      <c r="A607" s="7" t="s">
        <v>92</v>
      </c>
      <c r="C607" s="7" t="str">
        <f t="shared" si="86"/>
        <v>Adam</v>
      </c>
      <c r="D607" s="7" t="str">
        <f>+D606</f>
        <v>Barr</v>
      </c>
      <c r="E607" s="8" t="str">
        <f>E606</f>
        <v>INST</v>
      </c>
      <c r="G607" s="8" t="str">
        <f>G606</f>
        <v>BARR0001</v>
      </c>
      <c r="H607" s="26"/>
      <c r="I607" s="26"/>
      <c r="J607" s="26"/>
      <c r="K607" s="28">
        <f>+N607</f>
        <v>42095</v>
      </c>
      <c r="L607" s="26" t="str">
        <f>M607</f>
        <v>10429</v>
      </c>
      <c r="M607" s="26" t="str">
        <f>"10429"</f>
        <v>10429</v>
      </c>
      <c r="N607" s="28">
        <v>42095</v>
      </c>
      <c r="O607" s="26"/>
      <c r="P607" s="26"/>
      <c r="Q607" s="26"/>
      <c r="R607" s="26"/>
      <c r="S607" s="26"/>
      <c r="T607" s="27"/>
    </row>
    <row r="608" spans="1:20" s="7" customFormat="1" hidden="1" outlineLevel="3" x14ac:dyDescent="0.2">
      <c r="A608" s="7" t="s">
        <v>92</v>
      </c>
      <c r="C608" s="7" t="str">
        <f t="shared" si="86"/>
        <v>Adam</v>
      </c>
      <c r="D608" s="7" t="str">
        <f>+D607</f>
        <v>Barr</v>
      </c>
      <c r="E608" s="8" t="str">
        <f>E607</f>
        <v>INST</v>
      </c>
      <c r="G608" s="8" t="str">
        <f>G607</f>
        <v>BARR0001</v>
      </c>
      <c r="H608" s="26"/>
      <c r="I608" s="26"/>
      <c r="J608" s="26"/>
      <c r="K608" s="28">
        <f>+K607</f>
        <v>42095</v>
      </c>
      <c r="L608" s="26" t="str">
        <f>L607</f>
        <v>10429</v>
      </c>
      <c r="M608" s="26"/>
      <c r="N608" s="26"/>
      <c r="O608" s="26" t="str">
        <f>"""GP Direct"",""Fabrikam, Inc."",""UPR30300"",""PAYRATE"",""0.00000"",""PAYROLCD"",""401K"",""STATECD"","""",""CHEKDATE"",""4/1/2015"",""UPRTRXAM"",""2.79000"""</f>
        <v>"GP Direct","Fabrikam, Inc.","UPR30300","PAYRATE","0.00000","PAYROLCD","401K","STATECD","","CHEKDATE","4/1/2015","UPRTRXAM","2.79000"</v>
      </c>
      <c r="P608" s="29">
        <v>0</v>
      </c>
      <c r="Q608" s="26" t="str">
        <f>"401K"</f>
        <v>401K</v>
      </c>
      <c r="R608" s="26"/>
      <c r="S608" s="28">
        <v>42095</v>
      </c>
      <c r="T608" s="29">
        <v>2.79</v>
      </c>
    </row>
    <row r="609" spans="1:20" s="7" customFormat="1" hidden="1" outlineLevel="3" x14ac:dyDescent="0.2">
      <c r="A609" s="7" t="s">
        <v>92</v>
      </c>
      <c r="C609" s="7" t="str">
        <f t="shared" ref="C609:C613" si="89">+C608</f>
        <v>Adam</v>
      </c>
      <c r="D609" s="7" t="str">
        <f>+D608</f>
        <v>Barr</v>
      </c>
      <c r="E609" s="8" t="str">
        <f>E608</f>
        <v>INST</v>
      </c>
      <c r="G609" s="8" t="str">
        <f>G608</f>
        <v>BARR0001</v>
      </c>
      <c r="H609" s="26"/>
      <c r="I609" s="26"/>
      <c r="J609" s="26"/>
      <c r="K609" s="28">
        <f>+K608</f>
        <v>42095</v>
      </c>
      <c r="L609" s="26" t="str">
        <f>L608</f>
        <v>10429</v>
      </c>
      <c r="M609" s="26"/>
      <c r="N609" s="26"/>
      <c r="O609" s="26" t="str">
        <f>"""GP Direct"",""Fabrikam, Inc."",""UPR30300"",""PAYRATE"",""0.00000"",""PAYROLCD"",""401K"",""STATECD"","""",""CHEKDATE"",""4/1/2015"",""UPRTRXAM"",""55.82000"""</f>
        <v>"GP Direct","Fabrikam, Inc.","UPR30300","PAYRATE","0.00000","PAYROLCD","401K","STATECD","","CHEKDATE","4/1/2015","UPRTRXAM","55.82000"</v>
      </c>
      <c r="P609" s="29">
        <v>0</v>
      </c>
      <c r="Q609" s="26" t="str">
        <f>"401K"</f>
        <v>401K</v>
      </c>
      <c r="R609" s="26"/>
      <c r="S609" s="28">
        <v>42095</v>
      </c>
      <c r="T609" s="29">
        <v>55.82</v>
      </c>
    </row>
    <row r="610" spans="1:20" s="7" customFormat="1" hidden="1" outlineLevel="3" x14ac:dyDescent="0.2">
      <c r="A610" s="7" t="s">
        <v>92</v>
      </c>
      <c r="C610" s="7" t="str">
        <f t="shared" si="89"/>
        <v>Adam</v>
      </c>
      <c r="D610" s="7" t="str">
        <f>+D609</f>
        <v>Barr</v>
      </c>
      <c r="E610" s="8" t="str">
        <f>E609</f>
        <v>INST</v>
      </c>
      <c r="G610" s="8" t="str">
        <f>G609</f>
        <v>BARR0001</v>
      </c>
      <c r="H610" s="26"/>
      <c r="I610" s="26"/>
      <c r="J610" s="26"/>
      <c r="K610" s="28">
        <f>+K609</f>
        <v>42095</v>
      </c>
      <c r="L610" s="26" t="str">
        <f>L609</f>
        <v>10429</v>
      </c>
      <c r="M610" s="26"/>
      <c r="N610" s="26"/>
      <c r="O610" s="26" t="str">
        <f>"""GP Direct"",""Fabrikam, Inc."",""UPR30300"",""PAYRATE"",""0.00000"",""PAYROLCD"",""INS"",""STATECD"","""",""CHEKDATE"",""4/1/2015"",""UPRTRXAM"",""49.36000"""</f>
        <v>"GP Direct","Fabrikam, Inc.","UPR30300","PAYRATE","0.00000","PAYROLCD","INS","STATECD","","CHEKDATE","4/1/2015","UPRTRXAM","49.36000"</v>
      </c>
      <c r="P610" s="29">
        <v>0</v>
      </c>
      <c r="Q610" s="26" t="str">
        <f>"INS"</f>
        <v>INS</v>
      </c>
      <c r="R610" s="26"/>
      <c r="S610" s="28">
        <v>42095</v>
      </c>
      <c r="T610" s="29">
        <v>49.36</v>
      </c>
    </row>
    <row r="611" spans="1:20" s="7" customFormat="1" hidden="1" outlineLevel="3" x14ac:dyDescent="0.2">
      <c r="A611" s="7" t="s">
        <v>92</v>
      </c>
      <c r="C611" s="7" t="str">
        <f t="shared" si="89"/>
        <v>Adam</v>
      </c>
      <c r="D611" s="7" t="str">
        <f>+D610</f>
        <v>Barr</v>
      </c>
      <c r="E611" s="8" t="str">
        <f>E610</f>
        <v>INST</v>
      </c>
      <c r="G611" s="8" t="str">
        <f>G610</f>
        <v>BARR0001</v>
      </c>
      <c r="H611" s="26"/>
      <c r="I611" s="26"/>
      <c r="J611" s="26"/>
      <c r="K611" s="28">
        <f>+K610</f>
        <v>42095</v>
      </c>
      <c r="L611" s="26" t="str">
        <f>L610</f>
        <v>10429</v>
      </c>
      <c r="M611" s="26"/>
      <c r="N611" s="26"/>
      <c r="O611" s="26" t="str">
        <f>"""GP Direct"",""Fabrikam, Inc."",""UPR30300"",""PAYRATE"",""0.00000"",""PAYROLCD"",""MED"",""STATECD"","""",""CHEKDATE"",""4/1/2015"",""UPRTRXAM"",""5.00000"""</f>
        <v>"GP Direct","Fabrikam, Inc.","UPR30300","PAYRATE","0.00000","PAYROLCD","MED","STATECD","","CHEKDATE","4/1/2015","UPRTRXAM","5.00000"</v>
      </c>
      <c r="P611" s="29">
        <v>0</v>
      </c>
      <c r="Q611" s="26" t="str">
        <f>"MED"</f>
        <v>MED</v>
      </c>
      <c r="R611" s="26"/>
      <c r="S611" s="28">
        <v>42095</v>
      </c>
      <c r="T611" s="29">
        <v>5</v>
      </c>
    </row>
    <row r="612" spans="1:20" s="7" customFormat="1" hidden="1" outlineLevel="3" x14ac:dyDescent="0.2">
      <c r="A612" s="7" t="s">
        <v>92</v>
      </c>
      <c r="C612" s="7" t="str">
        <f t="shared" si="89"/>
        <v>Adam</v>
      </c>
      <c r="D612" s="7" t="str">
        <f>+D611</f>
        <v>Barr</v>
      </c>
      <c r="E612" s="8" t="str">
        <f>E611</f>
        <v>INST</v>
      </c>
      <c r="G612" s="8" t="str">
        <f>G611</f>
        <v>BARR0001</v>
      </c>
      <c r="H612" s="26"/>
      <c r="I612" s="26"/>
      <c r="J612" s="26"/>
      <c r="K612" s="28">
        <f>+K611</f>
        <v>42095</v>
      </c>
      <c r="L612" s="26" t="str">
        <f>L611</f>
        <v>10429</v>
      </c>
      <c r="M612" s="26"/>
      <c r="N612" s="26"/>
      <c r="O612" s="26" t="str">
        <f>"""GP Direct"",""Fabrikam, Inc."",""UPR30300"",""PAYRATE"",""0.00000"",""PAYROLCD"",""WI"",""STATECD"","""",""CHEKDATE"",""4/1/2015"",""UPRTRXAM"",""71.88000"""</f>
        <v>"GP Direct","Fabrikam, Inc.","UPR30300","PAYRATE","0.00000","PAYROLCD","WI","STATECD","","CHEKDATE","4/1/2015","UPRTRXAM","71.88000"</v>
      </c>
      <c r="P612" s="29">
        <v>0</v>
      </c>
      <c r="Q612" s="26" t="str">
        <f>"WI"</f>
        <v>WI</v>
      </c>
      <c r="R612" s="26"/>
      <c r="S612" s="28">
        <v>42095</v>
      </c>
      <c r="T612" s="29">
        <v>71.88</v>
      </c>
    </row>
    <row r="613" spans="1:20" s="7" customFormat="1" hidden="1" outlineLevel="3" x14ac:dyDescent="0.2">
      <c r="A613" s="7" t="s">
        <v>92</v>
      </c>
      <c r="C613" s="7" t="str">
        <f t="shared" si="89"/>
        <v>Adam</v>
      </c>
      <c r="D613" s="7" t="str">
        <f>+D612</f>
        <v>Barr</v>
      </c>
      <c r="E613" s="8" t="str">
        <f>E612</f>
        <v>INST</v>
      </c>
      <c r="G613" s="8" t="str">
        <f>G612</f>
        <v>BARR0001</v>
      </c>
      <c r="H613" s="26"/>
      <c r="I613" s="26"/>
      <c r="J613" s="26"/>
      <c r="K613" s="28">
        <f>+K612</f>
        <v>42095</v>
      </c>
      <c r="L613" s="26" t="str">
        <f>L612</f>
        <v>10429</v>
      </c>
      <c r="M613" s="26"/>
      <c r="N613" s="26"/>
      <c r="O613" s="26" t="str">
        <f>"""GP Direct"",""Fabrikam, Inc."",""UPR30300"",""PAYRATE"",""16.10000"",""PAYROLCD"",""HOUR"",""STATECD"",""WI"",""CHEKDATE"",""4/1/2015"",""UPRTRXAM"",""1395.39000"""</f>
        <v>"GP Direct","Fabrikam, Inc.","UPR30300","PAYRATE","16.10000","PAYROLCD","HOUR","STATECD","WI","CHEKDATE","4/1/2015","UPRTRXAM","1395.39000"</v>
      </c>
      <c r="P613" s="29">
        <v>16.100000000000001</v>
      </c>
      <c r="Q613" s="26" t="str">
        <f>"HOUR"</f>
        <v>HOUR</v>
      </c>
      <c r="R613" s="26" t="str">
        <f>"WI"</f>
        <v>WI</v>
      </c>
      <c r="S613" s="28">
        <v>42095</v>
      </c>
      <c r="T613" s="29">
        <v>1395.39</v>
      </c>
    </row>
    <row r="614" spans="1:20" s="7" customFormat="1" hidden="1" outlineLevel="3" x14ac:dyDescent="0.2">
      <c r="A614" s="7" t="s">
        <v>92</v>
      </c>
      <c r="C614" s="7" t="str">
        <f>+C608</f>
        <v>Adam</v>
      </c>
      <c r="D614" s="7" t="str">
        <f>+D608</f>
        <v>Barr</v>
      </c>
      <c r="E614" s="8" t="str">
        <f>E608</f>
        <v>INST</v>
      </c>
      <c r="G614" s="8" t="str">
        <f>G608</f>
        <v>BARR0001</v>
      </c>
      <c r="K614" s="12">
        <f>+K608</f>
        <v>42095</v>
      </c>
      <c r="L614" s="8" t="str">
        <f>L608</f>
        <v>10429</v>
      </c>
      <c r="O614" s="8"/>
      <c r="T614" s="20"/>
    </row>
    <row r="615" spans="1:20" s="7" customFormat="1" hidden="1" outlineLevel="2" collapsed="1" x14ac:dyDescent="0.2">
      <c r="A615" s="7" t="s">
        <v>92</v>
      </c>
      <c r="C615" s="7" t="str">
        <f t="shared" si="86"/>
        <v>Adam</v>
      </c>
      <c r="D615" s="7" t="str">
        <f>+D614</f>
        <v>Barr</v>
      </c>
      <c r="E615" s="8" t="str">
        <f>E614</f>
        <v>INST</v>
      </c>
      <c r="G615" s="8" t="str">
        <f>G614</f>
        <v>BARR0001</v>
      </c>
      <c r="K615" s="12">
        <f>+K614</f>
        <v>42095</v>
      </c>
      <c r="L615" s="8" t="str">
        <f>L614</f>
        <v>10429</v>
      </c>
      <c r="M615" s="33" t="str">
        <f>"Total for " &amp; $L615</f>
        <v>Total for 10429</v>
      </c>
      <c r="N615" s="34">
        <f>+K615</f>
        <v>42095</v>
      </c>
      <c r="O615" s="35"/>
      <c r="P615" s="33"/>
      <c r="Q615" s="33"/>
      <c r="R615" s="33"/>
      <c r="S615" s="33"/>
      <c r="T615" s="36">
        <f>SUBTOTAL(9,T608:T614)</f>
        <v>1580.24</v>
      </c>
    </row>
    <row r="616" spans="1:20" s="7" customFormat="1" hidden="1" outlineLevel="3" x14ac:dyDescent="0.2">
      <c r="A616" s="7" t="s">
        <v>92</v>
      </c>
      <c r="C616" s="7" t="str">
        <f t="shared" si="86"/>
        <v>Adam</v>
      </c>
      <c r="D616" s="7" t="str">
        <f>+D615</f>
        <v>Barr</v>
      </c>
      <c r="E616" s="8" t="str">
        <f>E615</f>
        <v>INST</v>
      </c>
      <c r="G616" s="8" t="str">
        <f>G615</f>
        <v>BARR0001</v>
      </c>
      <c r="H616" s="26"/>
      <c r="I616" s="26"/>
      <c r="J616" s="26"/>
      <c r="K616" s="28">
        <f>+N616</f>
        <v>42125</v>
      </c>
      <c r="L616" s="26" t="str">
        <f>M616</f>
        <v>10454</v>
      </c>
      <c r="M616" s="26" t="str">
        <f>"10454"</f>
        <v>10454</v>
      </c>
      <c r="N616" s="28">
        <v>42125</v>
      </c>
      <c r="O616" s="26"/>
      <c r="P616" s="26"/>
      <c r="Q616" s="26"/>
      <c r="R616" s="26"/>
      <c r="S616" s="26"/>
      <c r="T616" s="27"/>
    </row>
    <row r="617" spans="1:20" s="7" customFormat="1" hidden="1" outlineLevel="3" x14ac:dyDescent="0.2">
      <c r="A617" s="7" t="s">
        <v>92</v>
      </c>
      <c r="C617" s="7" t="str">
        <f t="shared" si="86"/>
        <v>Adam</v>
      </c>
      <c r="D617" s="7" t="str">
        <f>+D616</f>
        <v>Barr</v>
      </c>
      <c r="E617" s="8" t="str">
        <f>E616</f>
        <v>INST</v>
      </c>
      <c r="G617" s="8" t="str">
        <f>G616</f>
        <v>BARR0001</v>
      </c>
      <c r="H617" s="26"/>
      <c r="I617" s="26"/>
      <c r="J617" s="26"/>
      <c r="K617" s="28">
        <f>+K616</f>
        <v>42125</v>
      </c>
      <c r="L617" s="26" t="str">
        <f>L616</f>
        <v>10454</v>
      </c>
      <c r="M617" s="26"/>
      <c r="N617" s="26"/>
      <c r="O617" s="26" t="str">
        <f>"""GP Direct"",""Fabrikam, Inc."",""UPR30300"",""PAYRATE"",""0.00000"",""PAYROLCD"",""401K"",""STATECD"","""",""CHEKDATE"",""5/1/2015"",""UPRTRXAM"",""2.79000"""</f>
        <v>"GP Direct","Fabrikam, Inc.","UPR30300","PAYRATE","0.00000","PAYROLCD","401K","STATECD","","CHEKDATE","5/1/2015","UPRTRXAM","2.79000"</v>
      </c>
      <c r="P617" s="29">
        <v>0</v>
      </c>
      <c r="Q617" s="26" t="str">
        <f>"401K"</f>
        <v>401K</v>
      </c>
      <c r="R617" s="26"/>
      <c r="S617" s="28">
        <v>42125</v>
      </c>
      <c r="T617" s="29">
        <v>2.79</v>
      </c>
    </row>
    <row r="618" spans="1:20" s="7" customFormat="1" hidden="1" outlineLevel="3" x14ac:dyDescent="0.2">
      <c r="A618" s="7" t="s">
        <v>92</v>
      </c>
      <c r="C618" s="7" t="str">
        <f t="shared" ref="C618:C623" si="90">+C617</f>
        <v>Adam</v>
      </c>
      <c r="D618" s="7" t="str">
        <f>+D617</f>
        <v>Barr</v>
      </c>
      <c r="E618" s="8" t="str">
        <f>E617</f>
        <v>INST</v>
      </c>
      <c r="G618" s="8" t="str">
        <f>G617</f>
        <v>BARR0001</v>
      </c>
      <c r="H618" s="26"/>
      <c r="I618" s="26"/>
      <c r="J618" s="26"/>
      <c r="K618" s="28">
        <f>+K617</f>
        <v>42125</v>
      </c>
      <c r="L618" s="26" t="str">
        <f>L617</f>
        <v>10454</v>
      </c>
      <c r="M618" s="26"/>
      <c r="N618" s="26"/>
      <c r="O618" s="26" t="str">
        <f>"""GP Direct"",""Fabrikam, Inc."",""UPR30300"",""PAYRATE"",""0.00000"",""PAYROLCD"",""401K"",""STATECD"","""",""CHEKDATE"",""5/1/2015"",""UPRTRXAM"",""55.82000"""</f>
        <v>"GP Direct","Fabrikam, Inc.","UPR30300","PAYRATE","0.00000","PAYROLCD","401K","STATECD","","CHEKDATE","5/1/2015","UPRTRXAM","55.82000"</v>
      </c>
      <c r="P618" s="29">
        <v>0</v>
      </c>
      <c r="Q618" s="26" t="str">
        <f>"401K"</f>
        <v>401K</v>
      </c>
      <c r="R618" s="26"/>
      <c r="S618" s="28">
        <v>42125</v>
      </c>
      <c r="T618" s="29">
        <v>55.82</v>
      </c>
    </row>
    <row r="619" spans="1:20" s="7" customFormat="1" hidden="1" outlineLevel="3" x14ac:dyDescent="0.2">
      <c r="A619" s="7" t="s">
        <v>92</v>
      </c>
      <c r="C619" s="7" t="str">
        <f t="shared" si="90"/>
        <v>Adam</v>
      </c>
      <c r="D619" s="7" t="str">
        <f>+D618</f>
        <v>Barr</v>
      </c>
      <c r="E619" s="8" t="str">
        <f>E618</f>
        <v>INST</v>
      </c>
      <c r="G619" s="8" t="str">
        <f>G618</f>
        <v>BARR0001</v>
      </c>
      <c r="H619" s="26"/>
      <c r="I619" s="26"/>
      <c r="J619" s="26"/>
      <c r="K619" s="28">
        <f>+K618</f>
        <v>42125</v>
      </c>
      <c r="L619" s="26" t="str">
        <f>L618</f>
        <v>10454</v>
      </c>
      <c r="M619" s="26"/>
      <c r="N619" s="26"/>
      <c r="O619" s="26" t="str">
        <f>"""GP Direct"",""Fabrikam, Inc."",""UPR30300"",""PAYRATE"",""0.00000"",""PAYROLCD"",""INS"",""STATECD"","""",""CHEKDATE"",""5/1/2015"",""UPRTRXAM"",""49.36000"""</f>
        <v>"GP Direct","Fabrikam, Inc.","UPR30300","PAYRATE","0.00000","PAYROLCD","INS","STATECD","","CHEKDATE","5/1/2015","UPRTRXAM","49.36000"</v>
      </c>
      <c r="P619" s="29">
        <v>0</v>
      </c>
      <c r="Q619" s="26" t="str">
        <f>"INS"</f>
        <v>INS</v>
      </c>
      <c r="R619" s="26"/>
      <c r="S619" s="28">
        <v>42125</v>
      </c>
      <c r="T619" s="29">
        <v>49.36</v>
      </c>
    </row>
    <row r="620" spans="1:20" s="7" customFormat="1" hidden="1" outlineLevel="3" x14ac:dyDescent="0.2">
      <c r="A620" s="7" t="s">
        <v>92</v>
      </c>
      <c r="C620" s="7" t="str">
        <f t="shared" si="90"/>
        <v>Adam</v>
      </c>
      <c r="D620" s="7" t="str">
        <f>+D619</f>
        <v>Barr</v>
      </c>
      <c r="E620" s="8" t="str">
        <f>E619</f>
        <v>INST</v>
      </c>
      <c r="G620" s="8" t="str">
        <f>G619</f>
        <v>BARR0001</v>
      </c>
      <c r="H620" s="26"/>
      <c r="I620" s="26"/>
      <c r="J620" s="26"/>
      <c r="K620" s="28">
        <f>+K619</f>
        <v>42125</v>
      </c>
      <c r="L620" s="26" t="str">
        <f>L619</f>
        <v>10454</v>
      </c>
      <c r="M620" s="26"/>
      <c r="N620" s="26"/>
      <c r="O620" s="26" t="str">
        <f>"""GP Direct"",""Fabrikam, Inc."",""UPR30300"",""PAYRATE"",""0.00000"",""PAYROLCD"",""MED"",""STATECD"","""",""CHEKDATE"",""5/1/2015"",""UPRTRXAM"",""5.00000"""</f>
        <v>"GP Direct","Fabrikam, Inc.","UPR30300","PAYRATE","0.00000","PAYROLCD","MED","STATECD","","CHEKDATE","5/1/2015","UPRTRXAM","5.00000"</v>
      </c>
      <c r="P620" s="29">
        <v>0</v>
      </c>
      <c r="Q620" s="26" t="str">
        <f>"MED"</f>
        <v>MED</v>
      </c>
      <c r="R620" s="26"/>
      <c r="S620" s="28">
        <v>42125</v>
      </c>
      <c r="T620" s="29">
        <v>5</v>
      </c>
    </row>
    <row r="621" spans="1:20" s="7" customFormat="1" hidden="1" outlineLevel="3" x14ac:dyDescent="0.2">
      <c r="A621" s="7" t="s">
        <v>92</v>
      </c>
      <c r="C621" s="7" t="str">
        <f t="shared" si="90"/>
        <v>Adam</v>
      </c>
      <c r="D621" s="7" t="str">
        <f>+D620</f>
        <v>Barr</v>
      </c>
      <c r="E621" s="8" t="str">
        <f>E620</f>
        <v>INST</v>
      </c>
      <c r="G621" s="8" t="str">
        <f>G620</f>
        <v>BARR0001</v>
      </c>
      <c r="H621" s="26"/>
      <c r="I621" s="26"/>
      <c r="J621" s="26"/>
      <c r="K621" s="28">
        <f>+K620</f>
        <v>42125</v>
      </c>
      <c r="L621" s="26" t="str">
        <f>L620</f>
        <v>10454</v>
      </c>
      <c r="M621" s="26"/>
      <c r="N621" s="26"/>
      <c r="O621" s="26" t="str">
        <f>"""GP Direct"",""Fabrikam, Inc."",""UPR30300"",""PAYRATE"",""0.00000"",""PAYROLCD"",""WI"",""STATECD"","""",""CHEKDATE"",""5/1/2015"",""UPRTRXAM"",""71.88000"""</f>
        <v>"GP Direct","Fabrikam, Inc.","UPR30300","PAYRATE","0.00000","PAYROLCD","WI","STATECD","","CHEKDATE","5/1/2015","UPRTRXAM","71.88000"</v>
      </c>
      <c r="P621" s="29">
        <v>0</v>
      </c>
      <c r="Q621" s="26" t="str">
        <f>"WI"</f>
        <v>WI</v>
      </c>
      <c r="R621" s="26"/>
      <c r="S621" s="28">
        <v>42125</v>
      </c>
      <c r="T621" s="29">
        <v>71.88</v>
      </c>
    </row>
    <row r="622" spans="1:20" s="7" customFormat="1" hidden="1" outlineLevel="3" x14ac:dyDescent="0.2">
      <c r="A622" s="7" t="s">
        <v>92</v>
      </c>
      <c r="C622" s="7" t="str">
        <f t="shared" si="90"/>
        <v>Adam</v>
      </c>
      <c r="D622" s="7" t="str">
        <f>+D621</f>
        <v>Barr</v>
      </c>
      <c r="E622" s="8" t="str">
        <f>E621</f>
        <v>INST</v>
      </c>
      <c r="G622" s="8" t="str">
        <f>G621</f>
        <v>BARR0001</v>
      </c>
      <c r="H622" s="26"/>
      <c r="I622" s="26"/>
      <c r="J622" s="26"/>
      <c r="K622" s="28">
        <f>+K621</f>
        <v>42125</v>
      </c>
      <c r="L622" s="26" t="str">
        <f>L621</f>
        <v>10454</v>
      </c>
      <c r="M622" s="26"/>
      <c r="N622" s="26"/>
      <c r="O622" s="26" t="str">
        <f>"""GP Direct"",""Fabrikam, Inc."",""UPR30300"",""PAYRATE"",""16.10000"",""PAYROLCD"",""HOLI"",""STATECD"",""WI"",""CHEKDATE"",""5/1/2015"",""UPRTRXAM"",""128.80000"""</f>
        <v>"GP Direct","Fabrikam, Inc.","UPR30300","PAYRATE","16.10000","PAYROLCD","HOLI","STATECD","WI","CHEKDATE","5/1/2015","UPRTRXAM","128.80000"</v>
      </c>
      <c r="P622" s="29">
        <v>16.100000000000001</v>
      </c>
      <c r="Q622" s="26" t="str">
        <f>"HOLI"</f>
        <v>HOLI</v>
      </c>
      <c r="R622" s="26" t="str">
        <f>"WI"</f>
        <v>WI</v>
      </c>
      <c r="S622" s="28">
        <v>42125</v>
      </c>
      <c r="T622" s="29">
        <v>128.80000000000001</v>
      </c>
    </row>
    <row r="623" spans="1:20" s="7" customFormat="1" hidden="1" outlineLevel="3" x14ac:dyDescent="0.2">
      <c r="A623" s="7" t="s">
        <v>92</v>
      </c>
      <c r="C623" s="7" t="str">
        <f t="shared" si="90"/>
        <v>Adam</v>
      </c>
      <c r="D623" s="7" t="str">
        <f>+D622</f>
        <v>Barr</v>
      </c>
      <c r="E623" s="8" t="str">
        <f>E622</f>
        <v>INST</v>
      </c>
      <c r="G623" s="8" t="str">
        <f>G622</f>
        <v>BARR0001</v>
      </c>
      <c r="H623" s="26"/>
      <c r="I623" s="26"/>
      <c r="J623" s="26"/>
      <c r="K623" s="28">
        <f>+K622</f>
        <v>42125</v>
      </c>
      <c r="L623" s="26" t="str">
        <f>L622</f>
        <v>10454</v>
      </c>
      <c r="M623" s="26"/>
      <c r="N623" s="26"/>
      <c r="O623" s="26" t="str">
        <f>"""GP Direct"",""Fabrikam, Inc."",""UPR30300"",""PAYRATE"",""16.10000"",""PAYROLCD"",""HOUR"",""STATECD"",""WI"",""CHEKDATE"",""5/1/2015"",""UPRTRXAM"",""1266.59000"""</f>
        <v>"GP Direct","Fabrikam, Inc.","UPR30300","PAYRATE","16.10000","PAYROLCD","HOUR","STATECD","WI","CHEKDATE","5/1/2015","UPRTRXAM","1266.59000"</v>
      </c>
      <c r="P623" s="29">
        <v>16.100000000000001</v>
      </c>
      <c r="Q623" s="26" t="str">
        <f>"HOUR"</f>
        <v>HOUR</v>
      </c>
      <c r="R623" s="26" t="str">
        <f>"WI"</f>
        <v>WI</v>
      </c>
      <c r="S623" s="28">
        <v>42125</v>
      </c>
      <c r="T623" s="29">
        <v>1266.5899999999999</v>
      </c>
    </row>
    <row r="624" spans="1:20" s="7" customFormat="1" hidden="1" outlineLevel="3" x14ac:dyDescent="0.2">
      <c r="A624" s="7" t="s">
        <v>92</v>
      </c>
      <c r="C624" s="7" t="str">
        <f>+C617</f>
        <v>Adam</v>
      </c>
      <c r="D624" s="7" t="str">
        <f>+D617</f>
        <v>Barr</v>
      </c>
      <c r="E624" s="8" t="str">
        <f>E617</f>
        <v>INST</v>
      </c>
      <c r="G624" s="8" t="str">
        <f>G617</f>
        <v>BARR0001</v>
      </c>
      <c r="K624" s="12">
        <f>+K617</f>
        <v>42125</v>
      </c>
      <c r="L624" s="8" t="str">
        <f>L617</f>
        <v>10454</v>
      </c>
      <c r="O624" s="8"/>
      <c r="T624" s="20"/>
    </row>
    <row r="625" spans="1:20" s="7" customFormat="1" hidden="1" outlineLevel="2" collapsed="1" x14ac:dyDescent="0.2">
      <c r="A625" s="7" t="s">
        <v>92</v>
      </c>
      <c r="C625" s="7" t="str">
        <f t="shared" si="86"/>
        <v>Adam</v>
      </c>
      <c r="D625" s="7" t="str">
        <f>+D624</f>
        <v>Barr</v>
      </c>
      <c r="E625" s="8" t="str">
        <f>E624</f>
        <v>INST</v>
      </c>
      <c r="G625" s="8" t="str">
        <f>G624</f>
        <v>BARR0001</v>
      </c>
      <c r="K625" s="12">
        <f>+K624</f>
        <v>42125</v>
      </c>
      <c r="L625" s="8" t="str">
        <f>L624</f>
        <v>10454</v>
      </c>
      <c r="M625" s="33" t="str">
        <f>"Total for " &amp; $L625</f>
        <v>Total for 10454</v>
      </c>
      <c r="N625" s="34">
        <f>+K625</f>
        <v>42125</v>
      </c>
      <c r="O625" s="35"/>
      <c r="P625" s="33"/>
      <c r="Q625" s="33"/>
      <c r="R625" s="33"/>
      <c r="S625" s="33"/>
      <c r="T625" s="36">
        <f>SUBTOTAL(9,T617:T624)</f>
        <v>1580.2399999999998</v>
      </c>
    </row>
    <row r="626" spans="1:20" s="7" customFormat="1" hidden="1" outlineLevel="3" x14ac:dyDescent="0.2">
      <c r="A626" s="7" t="s">
        <v>92</v>
      </c>
      <c r="C626" s="7" t="str">
        <f t="shared" si="86"/>
        <v>Adam</v>
      </c>
      <c r="D626" s="7" t="str">
        <f>+D625</f>
        <v>Barr</v>
      </c>
      <c r="E626" s="8" t="str">
        <f>E625</f>
        <v>INST</v>
      </c>
      <c r="G626" s="8" t="str">
        <f>G625</f>
        <v>BARR0001</v>
      </c>
      <c r="H626" s="26"/>
      <c r="I626" s="26"/>
      <c r="J626" s="26"/>
      <c r="K626" s="28">
        <f>+N626</f>
        <v>42156</v>
      </c>
      <c r="L626" s="26" t="str">
        <f>M626</f>
        <v>10479</v>
      </c>
      <c r="M626" s="26" t="str">
        <f>"10479"</f>
        <v>10479</v>
      </c>
      <c r="N626" s="28">
        <v>42156</v>
      </c>
      <c r="O626" s="26"/>
      <c r="P626" s="26"/>
      <c r="Q626" s="26"/>
      <c r="R626" s="26"/>
      <c r="S626" s="26"/>
      <c r="T626" s="27"/>
    </row>
    <row r="627" spans="1:20" s="7" customFormat="1" hidden="1" outlineLevel="3" x14ac:dyDescent="0.2">
      <c r="A627" s="7" t="s">
        <v>92</v>
      </c>
      <c r="C627" s="7" t="str">
        <f t="shared" si="86"/>
        <v>Adam</v>
      </c>
      <c r="D627" s="7" t="str">
        <f>+D626</f>
        <v>Barr</v>
      </c>
      <c r="E627" s="8" t="str">
        <f>E626</f>
        <v>INST</v>
      </c>
      <c r="G627" s="8" t="str">
        <f>G626</f>
        <v>BARR0001</v>
      </c>
      <c r="H627" s="26"/>
      <c r="I627" s="26"/>
      <c r="J627" s="26"/>
      <c r="K627" s="28">
        <f>+K626</f>
        <v>42156</v>
      </c>
      <c r="L627" s="26" t="str">
        <f>L626</f>
        <v>10479</v>
      </c>
      <c r="M627" s="26"/>
      <c r="N627" s="26"/>
      <c r="O627" s="26" t="str">
        <f>"""GP Direct"",""Fabrikam, Inc."",""UPR30300"",""PAYRATE"",""0.00000"",""PAYROLCD"",""401K"",""STATECD"","""",""CHEKDATE"",""6/1/2015"",""UPRTRXAM"",""2.79000"""</f>
        <v>"GP Direct","Fabrikam, Inc.","UPR30300","PAYRATE","0.00000","PAYROLCD","401K","STATECD","","CHEKDATE","6/1/2015","UPRTRXAM","2.79000"</v>
      </c>
      <c r="P627" s="29">
        <v>0</v>
      </c>
      <c r="Q627" s="26" t="str">
        <f>"401K"</f>
        <v>401K</v>
      </c>
      <c r="R627" s="26"/>
      <c r="S627" s="28">
        <v>42156</v>
      </c>
      <c r="T627" s="29">
        <v>2.79</v>
      </c>
    </row>
    <row r="628" spans="1:20" s="7" customFormat="1" hidden="1" outlineLevel="3" x14ac:dyDescent="0.2">
      <c r="A628" s="7" t="s">
        <v>92</v>
      </c>
      <c r="C628" s="7" t="str">
        <f t="shared" ref="C628:C632" si="91">+C627</f>
        <v>Adam</v>
      </c>
      <c r="D628" s="7" t="str">
        <f>+D627</f>
        <v>Barr</v>
      </c>
      <c r="E628" s="8" t="str">
        <f>E627</f>
        <v>INST</v>
      </c>
      <c r="G628" s="8" t="str">
        <f>G627</f>
        <v>BARR0001</v>
      </c>
      <c r="H628" s="26"/>
      <c r="I628" s="26"/>
      <c r="J628" s="26"/>
      <c r="K628" s="28">
        <f>+K627</f>
        <v>42156</v>
      </c>
      <c r="L628" s="26" t="str">
        <f>L627</f>
        <v>10479</v>
      </c>
      <c r="M628" s="26"/>
      <c r="N628" s="26"/>
      <c r="O628" s="26" t="str">
        <f>"""GP Direct"",""Fabrikam, Inc."",""UPR30300"",""PAYRATE"",""0.00000"",""PAYROLCD"",""401K"",""STATECD"","""",""CHEKDATE"",""6/1/2015"",""UPRTRXAM"",""55.82000"""</f>
        <v>"GP Direct","Fabrikam, Inc.","UPR30300","PAYRATE","0.00000","PAYROLCD","401K","STATECD","","CHEKDATE","6/1/2015","UPRTRXAM","55.82000"</v>
      </c>
      <c r="P628" s="29">
        <v>0</v>
      </c>
      <c r="Q628" s="26" t="str">
        <f>"401K"</f>
        <v>401K</v>
      </c>
      <c r="R628" s="26"/>
      <c r="S628" s="28">
        <v>42156</v>
      </c>
      <c r="T628" s="29">
        <v>55.82</v>
      </c>
    </row>
    <row r="629" spans="1:20" s="7" customFormat="1" hidden="1" outlineLevel="3" x14ac:dyDescent="0.2">
      <c r="A629" s="7" t="s">
        <v>92</v>
      </c>
      <c r="C629" s="7" t="str">
        <f t="shared" si="91"/>
        <v>Adam</v>
      </c>
      <c r="D629" s="7" t="str">
        <f>+D628</f>
        <v>Barr</v>
      </c>
      <c r="E629" s="8" t="str">
        <f>E628</f>
        <v>INST</v>
      </c>
      <c r="G629" s="8" t="str">
        <f>G628</f>
        <v>BARR0001</v>
      </c>
      <c r="H629" s="26"/>
      <c r="I629" s="26"/>
      <c r="J629" s="26"/>
      <c r="K629" s="28">
        <f>+K628</f>
        <v>42156</v>
      </c>
      <c r="L629" s="26" t="str">
        <f>L628</f>
        <v>10479</v>
      </c>
      <c r="M629" s="26"/>
      <c r="N629" s="26"/>
      <c r="O629" s="26" t="str">
        <f>"""GP Direct"",""Fabrikam, Inc."",""UPR30300"",""PAYRATE"",""0.00000"",""PAYROLCD"",""INS"",""STATECD"","""",""CHEKDATE"",""6/1/2015"",""UPRTRXAM"",""49.36000"""</f>
        <v>"GP Direct","Fabrikam, Inc.","UPR30300","PAYRATE","0.00000","PAYROLCD","INS","STATECD","","CHEKDATE","6/1/2015","UPRTRXAM","49.36000"</v>
      </c>
      <c r="P629" s="29">
        <v>0</v>
      </c>
      <c r="Q629" s="26" t="str">
        <f>"INS"</f>
        <v>INS</v>
      </c>
      <c r="R629" s="26"/>
      <c r="S629" s="28">
        <v>42156</v>
      </c>
      <c r="T629" s="29">
        <v>49.36</v>
      </c>
    </row>
    <row r="630" spans="1:20" s="7" customFormat="1" hidden="1" outlineLevel="3" x14ac:dyDescent="0.2">
      <c r="A630" s="7" t="s">
        <v>92</v>
      </c>
      <c r="C630" s="7" t="str">
        <f t="shared" si="91"/>
        <v>Adam</v>
      </c>
      <c r="D630" s="7" t="str">
        <f>+D629</f>
        <v>Barr</v>
      </c>
      <c r="E630" s="8" t="str">
        <f>E629</f>
        <v>INST</v>
      </c>
      <c r="G630" s="8" t="str">
        <f>G629</f>
        <v>BARR0001</v>
      </c>
      <c r="H630" s="26"/>
      <c r="I630" s="26"/>
      <c r="J630" s="26"/>
      <c r="K630" s="28">
        <f>+K629</f>
        <v>42156</v>
      </c>
      <c r="L630" s="26" t="str">
        <f>L629</f>
        <v>10479</v>
      </c>
      <c r="M630" s="26"/>
      <c r="N630" s="26"/>
      <c r="O630" s="26" t="str">
        <f>"""GP Direct"",""Fabrikam, Inc."",""UPR30300"",""PAYRATE"",""0.00000"",""PAYROLCD"",""MED"",""STATECD"","""",""CHEKDATE"",""6/1/2015"",""UPRTRXAM"",""5.00000"""</f>
        <v>"GP Direct","Fabrikam, Inc.","UPR30300","PAYRATE","0.00000","PAYROLCD","MED","STATECD","","CHEKDATE","6/1/2015","UPRTRXAM","5.00000"</v>
      </c>
      <c r="P630" s="29">
        <v>0</v>
      </c>
      <c r="Q630" s="26" t="str">
        <f>"MED"</f>
        <v>MED</v>
      </c>
      <c r="R630" s="26"/>
      <c r="S630" s="28">
        <v>42156</v>
      </c>
      <c r="T630" s="29">
        <v>5</v>
      </c>
    </row>
    <row r="631" spans="1:20" s="7" customFormat="1" hidden="1" outlineLevel="3" x14ac:dyDescent="0.2">
      <c r="A631" s="7" t="s">
        <v>92</v>
      </c>
      <c r="C631" s="7" t="str">
        <f t="shared" si="91"/>
        <v>Adam</v>
      </c>
      <c r="D631" s="7" t="str">
        <f>+D630</f>
        <v>Barr</v>
      </c>
      <c r="E631" s="8" t="str">
        <f>E630</f>
        <v>INST</v>
      </c>
      <c r="G631" s="8" t="str">
        <f>G630</f>
        <v>BARR0001</v>
      </c>
      <c r="H631" s="26"/>
      <c r="I631" s="26"/>
      <c r="J631" s="26"/>
      <c r="K631" s="28">
        <f>+K630</f>
        <v>42156</v>
      </c>
      <c r="L631" s="26" t="str">
        <f>L630</f>
        <v>10479</v>
      </c>
      <c r="M631" s="26"/>
      <c r="N631" s="26"/>
      <c r="O631" s="26" t="str">
        <f>"""GP Direct"",""Fabrikam, Inc."",""UPR30300"",""PAYRATE"",""0.00000"",""PAYROLCD"",""WI"",""STATECD"","""",""CHEKDATE"",""6/1/2015"",""UPRTRXAM"",""71.88000"""</f>
        <v>"GP Direct","Fabrikam, Inc.","UPR30300","PAYRATE","0.00000","PAYROLCD","WI","STATECD","","CHEKDATE","6/1/2015","UPRTRXAM","71.88000"</v>
      </c>
      <c r="P631" s="29">
        <v>0</v>
      </c>
      <c r="Q631" s="26" t="str">
        <f>"WI"</f>
        <v>WI</v>
      </c>
      <c r="R631" s="26"/>
      <c r="S631" s="28">
        <v>42156</v>
      </c>
      <c r="T631" s="29">
        <v>71.88</v>
      </c>
    </row>
    <row r="632" spans="1:20" s="7" customFormat="1" hidden="1" outlineLevel="3" x14ac:dyDescent="0.2">
      <c r="A632" s="7" t="s">
        <v>92</v>
      </c>
      <c r="C632" s="7" t="str">
        <f t="shared" si="91"/>
        <v>Adam</v>
      </c>
      <c r="D632" s="7" t="str">
        <f>+D631</f>
        <v>Barr</v>
      </c>
      <c r="E632" s="8" t="str">
        <f>E631</f>
        <v>INST</v>
      </c>
      <c r="G632" s="8" t="str">
        <f>G631</f>
        <v>BARR0001</v>
      </c>
      <c r="H632" s="26"/>
      <c r="I632" s="26"/>
      <c r="J632" s="26"/>
      <c r="K632" s="28">
        <f>+K631</f>
        <v>42156</v>
      </c>
      <c r="L632" s="26" t="str">
        <f>L631</f>
        <v>10479</v>
      </c>
      <c r="M632" s="26"/>
      <c r="N632" s="26"/>
      <c r="O632" s="26" t="str">
        <f>"""GP Direct"",""Fabrikam, Inc."",""UPR30300"",""PAYRATE"",""16.10000"",""PAYROLCD"",""HOUR"",""STATECD"",""WI"",""CHEKDATE"",""6/1/2015"",""UPRTRXAM"",""1395.39000"""</f>
        <v>"GP Direct","Fabrikam, Inc.","UPR30300","PAYRATE","16.10000","PAYROLCD","HOUR","STATECD","WI","CHEKDATE","6/1/2015","UPRTRXAM","1395.39000"</v>
      </c>
      <c r="P632" s="29">
        <v>16.100000000000001</v>
      </c>
      <c r="Q632" s="26" t="str">
        <f>"HOUR"</f>
        <v>HOUR</v>
      </c>
      <c r="R632" s="26" t="str">
        <f>"WI"</f>
        <v>WI</v>
      </c>
      <c r="S632" s="28">
        <v>42156</v>
      </c>
      <c r="T632" s="29">
        <v>1395.39</v>
      </c>
    </row>
    <row r="633" spans="1:20" s="7" customFormat="1" hidden="1" outlineLevel="3" x14ac:dyDescent="0.2">
      <c r="A633" s="7" t="s">
        <v>92</v>
      </c>
      <c r="C633" s="7" t="str">
        <f>+C627</f>
        <v>Adam</v>
      </c>
      <c r="D633" s="7" t="str">
        <f>+D627</f>
        <v>Barr</v>
      </c>
      <c r="E633" s="8" t="str">
        <f>E627</f>
        <v>INST</v>
      </c>
      <c r="G633" s="8" t="str">
        <f>G627</f>
        <v>BARR0001</v>
      </c>
      <c r="K633" s="12">
        <f>+K627</f>
        <v>42156</v>
      </c>
      <c r="L633" s="8" t="str">
        <f>L627</f>
        <v>10479</v>
      </c>
      <c r="O633" s="8"/>
      <c r="T633" s="20"/>
    </row>
    <row r="634" spans="1:20" s="7" customFormat="1" hidden="1" outlineLevel="2" collapsed="1" x14ac:dyDescent="0.2">
      <c r="A634" s="7" t="s">
        <v>92</v>
      </c>
      <c r="C634" s="7" t="str">
        <f t="shared" si="86"/>
        <v>Adam</v>
      </c>
      <c r="D634" s="7" t="str">
        <f>+D633</f>
        <v>Barr</v>
      </c>
      <c r="E634" s="8" t="str">
        <f>E633</f>
        <v>INST</v>
      </c>
      <c r="G634" s="8" t="str">
        <f>G633</f>
        <v>BARR0001</v>
      </c>
      <c r="K634" s="12">
        <f>+K633</f>
        <v>42156</v>
      </c>
      <c r="L634" s="8" t="str">
        <f>L633</f>
        <v>10479</v>
      </c>
      <c r="M634" s="33" t="str">
        <f>"Total for " &amp; $L634</f>
        <v>Total for 10479</v>
      </c>
      <c r="N634" s="34">
        <f>+K634</f>
        <v>42156</v>
      </c>
      <c r="O634" s="35"/>
      <c r="P634" s="33"/>
      <c r="Q634" s="33"/>
      <c r="R634" s="33"/>
      <c r="S634" s="33"/>
      <c r="T634" s="36">
        <f>SUBTOTAL(9,T627:T633)</f>
        <v>1580.24</v>
      </c>
    </row>
    <row r="635" spans="1:20" s="7" customFormat="1" hidden="1" outlineLevel="3" x14ac:dyDescent="0.2">
      <c r="A635" s="7" t="s">
        <v>92</v>
      </c>
      <c r="C635" s="7" t="str">
        <f t="shared" si="86"/>
        <v>Adam</v>
      </c>
      <c r="D635" s="7" t="str">
        <f>+D634</f>
        <v>Barr</v>
      </c>
      <c r="E635" s="8" t="str">
        <f>E634</f>
        <v>INST</v>
      </c>
      <c r="G635" s="8" t="str">
        <f>G634</f>
        <v>BARR0001</v>
      </c>
      <c r="H635" s="26"/>
      <c r="I635" s="26"/>
      <c r="J635" s="26"/>
      <c r="K635" s="28">
        <f>+N635</f>
        <v>42005</v>
      </c>
      <c r="L635" s="26" t="str">
        <f>M635</f>
        <v>11564</v>
      </c>
      <c r="M635" s="26" t="str">
        <f>"11564"</f>
        <v>11564</v>
      </c>
      <c r="N635" s="28">
        <v>42005</v>
      </c>
      <c r="O635" s="26"/>
      <c r="P635" s="26"/>
      <c r="Q635" s="26"/>
      <c r="R635" s="26"/>
      <c r="S635" s="26"/>
      <c r="T635" s="27"/>
    </row>
    <row r="636" spans="1:20" s="7" customFormat="1" hidden="1" outlineLevel="3" x14ac:dyDescent="0.2">
      <c r="A636" s="7" t="s">
        <v>92</v>
      </c>
      <c r="C636" s="7" t="str">
        <f t="shared" si="86"/>
        <v>Adam</v>
      </c>
      <c r="D636" s="7" t="str">
        <f>+D635</f>
        <v>Barr</v>
      </c>
      <c r="E636" s="8" t="str">
        <f>E635</f>
        <v>INST</v>
      </c>
      <c r="G636" s="8" t="str">
        <f>G635</f>
        <v>BARR0001</v>
      </c>
      <c r="H636" s="26"/>
      <c r="I636" s="26"/>
      <c r="J636" s="26"/>
      <c r="K636" s="28">
        <f>+K635</f>
        <v>42005</v>
      </c>
      <c r="L636" s="26" t="str">
        <f>L635</f>
        <v>11564</v>
      </c>
      <c r="M636" s="26"/>
      <c r="N636" s="26"/>
      <c r="O636" s="26" t="str">
        <f>"""GP Direct"",""Fabrikam, Inc."",""UPR30300"",""PAYRATE"",""0.00000"",""PAYROLCD"",""WI"",""STATECD"","""",""CHEKDATE"",""1/1/2015"",""UPRTRXAM"",""31.79000"""</f>
        <v>"GP Direct","Fabrikam, Inc.","UPR30300","PAYRATE","0.00000","PAYROLCD","WI","STATECD","","CHEKDATE","1/1/2015","UPRTRXAM","31.79000"</v>
      </c>
      <c r="P636" s="29">
        <v>0</v>
      </c>
      <c r="Q636" s="26" t="str">
        <f>"WI"</f>
        <v>WI</v>
      </c>
      <c r="R636" s="26"/>
      <c r="S636" s="28">
        <v>42005</v>
      </c>
      <c r="T636" s="29">
        <v>31.79</v>
      </c>
    </row>
    <row r="637" spans="1:20" s="7" customFormat="1" hidden="1" outlineLevel="3" x14ac:dyDescent="0.2">
      <c r="A637" s="7" t="s">
        <v>92</v>
      </c>
      <c r="C637" s="7" t="str">
        <f t="shared" ref="C637" si="92">+C636</f>
        <v>Adam</v>
      </c>
      <c r="D637" s="7" t="str">
        <f>+D636</f>
        <v>Barr</v>
      </c>
      <c r="E637" s="8" t="str">
        <f>E636</f>
        <v>INST</v>
      </c>
      <c r="G637" s="8" t="str">
        <f>G636</f>
        <v>BARR0001</v>
      </c>
      <c r="H637" s="26"/>
      <c r="I637" s="26"/>
      <c r="J637" s="26"/>
      <c r="K637" s="28">
        <f>+K636</f>
        <v>42005</v>
      </c>
      <c r="L637" s="26" t="str">
        <f>L636</f>
        <v>11564</v>
      </c>
      <c r="M637" s="26"/>
      <c r="N637" s="26"/>
      <c r="O637" s="26" t="str">
        <f>"""GP Direct"",""Fabrikam, Inc."",""UPR30300"",""PAYRATE"",""500.00000"",""PAYROLCD"",""BONS"",""STATECD"",""WI"",""CHEKDATE"",""1/1/2015"",""UPRTRXAM"",""500.00000"""</f>
        <v>"GP Direct","Fabrikam, Inc.","UPR30300","PAYRATE","500.00000","PAYROLCD","BONS","STATECD","WI","CHEKDATE","1/1/2015","UPRTRXAM","500.00000"</v>
      </c>
      <c r="P637" s="29">
        <v>500</v>
      </c>
      <c r="Q637" s="26" t="str">
        <f>"BONS"</f>
        <v>BONS</v>
      </c>
      <c r="R637" s="26" t="str">
        <f>"WI"</f>
        <v>WI</v>
      </c>
      <c r="S637" s="28">
        <v>42005</v>
      </c>
      <c r="T637" s="29">
        <v>500</v>
      </c>
    </row>
    <row r="638" spans="1:20" s="7" customFormat="1" hidden="1" outlineLevel="3" x14ac:dyDescent="0.2">
      <c r="A638" s="7" t="s">
        <v>92</v>
      </c>
      <c r="C638" s="7" t="str">
        <f>+C636</f>
        <v>Adam</v>
      </c>
      <c r="D638" s="7" t="str">
        <f>+D636</f>
        <v>Barr</v>
      </c>
      <c r="E638" s="8" t="str">
        <f>E636</f>
        <v>INST</v>
      </c>
      <c r="G638" s="8" t="str">
        <f>G636</f>
        <v>BARR0001</v>
      </c>
      <c r="K638" s="12">
        <f>+K636</f>
        <v>42005</v>
      </c>
      <c r="L638" s="8" t="str">
        <f>L636</f>
        <v>11564</v>
      </c>
      <c r="O638" s="8"/>
      <c r="T638" s="20"/>
    </row>
    <row r="639" spans="1:20" s="7" customFormat="1" hidden="1" outlineLevel="2" collapsed="1" x14ac:dyDescent="0.2">
      <c r="A639" s="7" t="s">
        <v>92</v>
      </c>
      <c r="C639" s="7" t="str">
        <f t="shared" si="86"/>
        <v>Adam</v>
      </c>
      <c r="D639" s="7" t="str">
        <f>+D638</f>
        <v>Barr</v>
      </c>
      <c r="E639" s="8" t="str">
        <f>E638</f>
        <v>INST</v>
      </c>
      <c r="G639" s="8" t="str">
        <f>G638</f>
        <v>BARR0001</v>
      </c>
      <c r="K639" s="12">
        <f>+K638</f>
        <v>42005</v>
      </c>
      <c r="L639" s="8" t="str">
        <f>L638</f>
        <v>11564</v>
      </c>
      <c r="M639" s="33" t="str">
        <f>"Total for " &amp; $L639</f>
        <v>Total for 11564</v>
      </c>
      <c r="N639" s="34">
        <f>+K639</f>
        <v>42005</v>
      </c>
      <c r="O639" s="35"/>
      <c r="P639" s="33"/>
      <c r="Q639" s="33"/>
      <c r="R639" s="33"/>
      <c r="S639" s="33"/>
      <c r="T639" s="36">
        <f>SUBTOTAL(9,T636:T638)</f>
        <v>531.79</v>
      </c>
    </row>
    <row r="640" spans="1:20" s="7" customFormat="1" hidden="1" outlineLevel="3" x14ac:dyDescent="0.2">
      <c r="A640" s="7" t="s">
        <v>92</v>
      </c>
      <c r="C640" s="7" t="str">
        <f t="shared" si="86"/>
        <v>Adam</v>
      </c>
      <c r="D640" s="7" t="str">
        <f>+D639</f>
        <v>Barr</v>
      </c>
      <c r="E640" s="8" t="str">
        <f>E639</f>
        <v>INST</v>
      </c>
      <c r="G640" s="8" t="str">
        <f>G639</f>
        <v>BARR0001</v>
      </c>
      <c r="H640" s="26"/>
      <c r="I640" s="26"/>
      <c r="J640" s="26"/>
      <c r="K640" s="28">
        <f>+N640</f>
        <v>42156</v>
      </c>
      <c r="L640" s="26" t="str">
        <f>M640</f>
        <v>11569</v>
      </c>
      <c r="M640" s="26" t="str">
        <f>"11569"</f>
        <v>11569</v>
      </c>
      <c r="N640" s="28">
        <v>42156</v>
      </c>
      <c r="O640" s="26"/>
      <c r="P640" s="26"/>
      <c r="Q640" s="26"/>
      <c r="R640" s="26"/>
      <c r="S640" s="26"/>
      <c r="T640" s="27"/>
    </row>
    <row r="641" spans="1:20" s="7" customFormat="1" hidden="1" outlineLevel="3" x14ac:dyDescent="0.2">
      <c r="A641" s="7" t="s">
        <v>92</v>
      </c>
      <c r="C641" s="7" t="str">
        <f t="shared" si="86"/>
        <v>Adam</v>
      </c>
      <c r="D641" s="7" t="str">
        <f>+D640</f>
        <v>Barr</v>
      </c>
      <c r="E641" s="8" t="str">
        <f>E640</f>
        <v>INST</v>
      </c>
      <c r="G641" s="8" t="str">
        <f>G640</f>
        <v>BARR0001</v>
      </c>
      <c r="H641" s="26"/>
      <c r="I641" s="26"/>
      <c r="J641" s="26"/>
      <c r="K641" s="28">
        <f>+K640</f>
        <v>42156</v>
      </c>
      <c r="L641" s="26" t="str">
        <f>L640</f>
        <v>11569</v>
      </c>
      <c r="M641" s="26"/>
      <c r="N641" s="26"/>
      <c r="O641" s="26" t="str">
        <f>"""GP Direct"",""Fabrikam, Inc."",""UPR30300"",""PAYRATE"",""0.00000"",""PAYROLCD"",""WI"",""STATECD"","""",""CHEKDATE"",""6/1/2015"",""UPRTRXAM"",""25.15000"""</f>
        <v>"GP Direct","Fabrikam, Inc.","UPR30300","PAYRATE","0.00000","PAYROLCD","WI","STATECD","","CHEKDATE","6/1/2015","UPRTRXAM","25.15000"</v>
      </c>
      <c r="P641" s="29">
        <v>0</v>
      </c>
      <c r="Q641" s="26" t="str">
        <f>"WI"</f>
        <v>WI</v>
      </c>
      <c r="R641" s="26"/>
      <c r="S641" s="28">
        <v>42156</v>
      </c>
      <c r="T641" s="29">
        <v>25.15</v>
      </c>
    </row>
    <row r="642" spans="1:20" s="7" customFormat="1" hidden="1" outlineLevel="3" x14ac:dyDescent="0.2">
      <c r="A642" s="7" t="s">
        <v>92</v>
      </c>
      <c r="C642" s="7" t="str">
        <f t="shared" ref="C642" si="93">+C641</f>
        <v>Adam</v>
      </c>
      <c r="D642" s="7" t="str">
        <f>+D641</f>
        <v>Barr</v>
      </c>
      <c r="E642" s="8" t="str">
        <f>E641</f>
        <v>INST</v>
      </c>
      <c r="G642" s="8" t="str">
        <f>G641</f>
        <v>BARR0001</v>
      </c>
      <c r="H642" s="26"/>
      <c r="I642" s="26"/>
      <c r="J642" s="26"/>
      <c r="K642" s="28">
        <f>+K641</f>
        <v>42156</v>
      </c>
      <c r="L642" s="26" t="str">
        <f>L641</f>
        <v>11569</v>
      </c>
      <c r="M642" s="26"/>
      <c r="N642" s="26"/>
      <c r="O642" s="26" t="str">
        <f>"""GP Direct"",""Fabrikam, Inc."",""UPR30300"",""PAYRATE"",""400.00000"",""PAYROLCD"",""BONS"",""STATECD"",""WI"",""CHEKDATE"",""6/1/2015"",""UPRTRXAM"",""400.00000"""</f>
        <v>"GP Direct","Fabrikam, Inc.","UPR30300","PAYRATE","400.00000","PAYROLCD","BONS","STATECD","WI","CHEKDATE","6/1/2015","UPRTRXAM","400.00000"</v>
      </c>
      <c r="P642" s="29">
        <v>400</v>
      </c>
      <c r="Q642" s="26" t="str">
        <f>"BONS"</f>
        <v>BONS</v>
      </c>
      <c r="R642" s="26" t="str">
        <f>"WI"</f>
        <v>WI</v>
      </c>
      <c r="S642" s="28">
        <v>42156</v>
      </c>
      <c r="T642" s="29">
        <v>400</v>
      </c>
    </row>
    <row r="643" spans="1:20" s="7" customFormat="1" hidden="1" outlineLevel="3" x14ac:dyDescent="0.2">
      <c r="A643" s="7" t="s">
        <v>92</v>
      </c>
      <c r="C643" s="7" t="str">
        <f>+C641</f>
        <v>Adam</v>
      </c>
      <c r="D643" s="7" t="str">
        <f>+D641</f>
        <v>Barr</v>
      </c>
      <c r="E643" s="8" t="str">
        <f>E641</f>
        <v>INST</v>
      </c>
      <c r="G643" s="8" t="str">
        <f>G641</f>
        <v>BARR0001</v>
      </c>
      <c r="K643" s="12">
        <f>+K641</f>
        <v>42156</v>
      </c>
      <c r="L643" s="8" t="str">
        <f>L641</f>
        <v>11569</v>
      </c>
      <c r="O643" s="8"/>
      <c r="T643" s="20"/>
    </row>
    <row r="644" spans="1:20" s="7" customFormat="1" hidden="1" outlineLevel="2" collapsed="1" x14ac:dyDescent="0.2">
      <c r="A644" s="7" t="s">
        <v>92</v>
      </c>
      <c r="C644" s="7" t="str">
        <f t="shared" si="86"/>
        <v>Adam</v>
      </c>
      <c r="D644" s="7" t="str">
        <f>+D643</f>
        <v>Barr</v>
      </c>
      <c r="E644" s="8" t="str">
        <f>E643</f>
        <v>INST</v>
      </c>
      <c r="G644" s="8" t="str">
        <f>G643</f>
        <v>BARR0001</v>
      </c>
      <c r="K644" s="12">
        <f>+K643</f>
        <v>42156</v>
      </c>
      <c r="L644" s="8" t="str">
        <f>L643</f>
        <v>11569</v>
      </c>
      <c r="M644" s="33" t="str">
        <f>"Total for " &amp; $L644</f>
        <v>Total for 11569</v>
      </c>
      <c r="N644" s="34">
        <f>+K644</f>
        <v>42156</v>
      </c>
      <c r="O644" s="35"/>
      <c r="P644" s="33"/>
      <c r="Q644" s="33"/>
      <c r="R644" s="33"/>
      <c r="S644" s="33"/>
      <c r="T644" s="36">
        <f>SUBTOTAL(9,T641:T643)</f>
        <v>425.15</v>
      </c>
    </row>
    <row r="645" spans="1:20" s="7" customFormat="1" hidden="1" outlineLevel="2" x14ac:dyDescent="0.2">
      <c r="A645" s="7" t="s">
        <v>92</v>
      </c>
      <c r="C645" s="7" t="str">
        <f>+C588</f>
        <v>Adam</v>
      </c>
      <c r="D645" s="7" t="str">
        <f>+D588</f>
        <v>Barr</v>
      </c>
      <c r="E645" s="8" t="str">
        <f>E588</f>
        <v>INST</v>
      </c>
      <c r="G645" s="8" t="str">
        <f>G588</f>
        <v>BARR0001</v>
      </c>
      <c r="L645" s="8"/>
      <c r="O645" s="8"/>
      <c r="T645" s="20"/>
    </row>
    <row r="646" spans="1:20" s="7" customFormat="1" hidden="1" outlineLevel="1" collapsed="1" x14ac:dyDescent="0.2">
      <c r="A646" s="7" t="s">
        <v>92</v>
      </c>
      <c r="C646" s="7" t="str">
        <f t="shared" si="84"/>
        <v>Adam</v>
      </c>
      <c r="D646" s="7" t="str">
        <f>+D645</f>
        <v>Barr</v>
      </c>
      <c r="E646" s="8" t="str">
        <f>E645</f>
        <v>INST</v>
      </c>
      <c r="G646" s="8" t="str">
        <f>G645</f>
        <v>BARR0001</v>
      </c>
      <c r="H646" s="30" t="str">
        <f>"Total for " &amp; $G646</f>
        <v>Total for BARR0001</v>
      </c>
      <c r="I646" s="30" t="str">
        <f>+C646</f>
        <v>Adam</v>
      </c>
      <c r="J646" s="30" t="str">
        <f>+D646</f>
        <v>Barr</v>
      </c>
      <c r="K646" s="30"/>
      <c r="L646" s="31"/>
      <c r="M646" s="30"/>
      <c r="N646" s="30"/>
      <c r="O646" s="31"/>
      <c r="P646" s="30"/>
      <c r="Q646" s="30"/>
      <c r="R646" s="30"/>
      <c r="S646" s="30"/>
      <c r="T646" s="32">
        <f>SUBTOTAL(9,T581:T645)</f>
        <v>10438.379999999999</v>
      </c>
    </row>
    <row r="647" spans="1:20" s="7" customFormat="1" hidden="1" outlineLevel="2" x14ac:dyDescent="0.2">
      <c r="A647" s="7" t="s">
        <v>92</v>
      </c>
      <c r="C647" s="7" t="str">
        <f t="shared" ref="C647" si="94">+I647</f>
        <v>Jane</v>
      </c>
      <c r="D647" s="7" t="str">
        <f>+J647</f>
        <v>Clayton</v>
      </c>
      <c r="E647" s="8" t="str">
        <f>E646</f>
        <v>INST</v>
      </c>
      <c r="G647" s="8" t="str">
        <f>H647</f>
        <v>CLAY0001</v>
      </c>
      <c r="H647" s="24" t="str">
        <f>"CLAY0001"</f>
        <v>CLAY0001</v>
      </c>
      <c r="I647" s="25" t="str">
        <f>"Jane"</f>
        <v>Jane</v>
      </c>
      <c r="J647" s="25" t="str">
        <f>"Clayton"</f>
        <v>Clayton</v>
      </c>
      <c r="K647" s="26"/>
      <c r="L647" s="26"/>
      <c r="M647" s="26"/>
      <c r="N647" s="26"/>
      <c r="O647" s="26"/>
      <c r="P647" s="26"/>
      <c r="Q647" s="26"/>
      <c r="R647" s="26"/>
      <c r="S647" s="26"/>
      <c r="T647" s="27"/>
    </row>
    <row r="648" spans="1:20" s="7" customFormat="1" hidden="1" outlineLevel="3" x14ac:dyDescent="0.2">
      <c r="A648" s="7" t="s">
        <v>92</v>
      </c>
      <c r="C648" s="7" t="str">
        <f t="shared" ref="C648:C709" si="95">+C647</f>
        <v>Jane</v>
      </c>
      <c r="D648" s="7" t="str">
        <f>+D647</f>
        <v>Clayton</v>
      </c>
      <c r="E648" s="8" t="str">
        <f>E647</f>
        <v>INST</v>
      </c>
      <c r="G648" s="8" t="str">
        <f>G647</f>
        <v>CLAY0001</v>
      </c>
      <c r="H648" s="26"/>
      <c r="I648" s="26"/>
      <c r="J648" s="26"/>
      <c r="K648" s="28">
        <f>+N648</f>
        <v>42005</v>
      </c>
      <c r="L648" s="26" t="str">
        <f>M648</f>
        <v>10357</v>
      </c>
      <c r="M648" s="26" t="str">
        <f>"10357"</f>
        <v>10357</v>
      </c>
      <c r="N648" s="28">
        <v>42005</v>
      </c>
      <c r="O648" s="26"/>
      <c r="P648" s="26"/>
      <c r="Q648" s="26"/>
      <c r="R648" s="26"/>
      <c r="S648" s="26"/>
      <c r="T648" s="27"/>
    </row>
    <row r="649" spans="1:20" s="7" customFormat="1" hidden="1" outlineLevel="3" x14ac:dyDescent="0.2">
      <c r="A649" s="7" t="s">
        <v>92</v>
      </c>
      <c r="C649" s="7" t="str">
        <f t="shared" si="95"/>
        <v>Jane</v>
      </c>
      <c r="D649" s="7" t="str">
        <f>+D648</f>
        <v>Clayton</v>
      </c>
      <c r="E649" s="8" t="str">
        <f>E648</f>
        <v>INST</v>
      </c>
      <c r="G649" s="8" t="str">
        <f>G648</f>
        <v>CLAY0001</v>
      </c>
      <c r="H649" s="26"/>
      <c r="I649" s="26"/>
      <c r="J649" s="26"/>
      <c r="K649" s="28">
        <f>+K648</f>
        <v>42005</v>
      </c>
      <c r="L649" s="26" t="str">
        <f>L648</f>
        <v>10357</v>
      </c>
      <c r="M649" s="26"/>
      <c r="N649" s="26"/>
      <c r="O649" s="26" t="str">
        <f>"""GP Direct"",""Fabrikam, Inc."",""UPR30300"",""PAYRATE"",""0.00000"",""PAYROLCD"",""401K"",""STATECD"","""",""CHEKDATE"",""1/1/2015"",""UPRTRXAM"",""2.63000"""</f>
        <v>"GP Direct","Fabrikam, Inc.","UPR30300","PAYRATE","0.00000","PAYROLCD","401K","STATECD","","CHEKDATE","1/1/2015","UPRTRXAM","2.63000"</v>
      </c>
      <c r="P649" s="29">
        <v>0</v>
      </c>
      <c r="Q649" s="26" t="str">
        <f>"401K"</f>
        <v>401K</v>
      </c>
      <c r="R649" s="26"/>
      <c r="S649" s="28">
        <v>42005</v>
      </c>
      <c r="T649" s="29">
        <v>2.63</v>
      </c>
    </row>
    <row r="650" spans="1:20" s="7" customFormat="1" hidden="1" outlineLevel="3" x14ac:dyDescent="0.2">
      <c r="A650" s="7" t="s">
        <v>92</v>
      </c>
      <c r="C650" s="7" t="str">
        <f t="shared" ref="C650:C655" si="96">+C649</f>
        <v>Jane</v>
      </c>
      <c r="D650" s="7" t="str">
        <f>+D649</f>
        <v>Clayton</v>
      </c>
      <c r="E650" s="8" t="str">
        <f>E649</f>
        <v>INST</v>
      </c>
      <c r="G650" s="8" t="str">
        <f>G649</f>
        <v>CLAY0001</v>
      </c>
      <c r="H650" s="26"/>
      <c r="I650" s="26"/>
      <c r="J650" s="26"/>
      <c r="K650" s="28">
        <f>+K649</f>
        <v>42005</v>
      </c>
      <c r="L650" s="26" t="str">
        <f>L649</f>
        <v>10357</v>
      </c>
      <c r="M650" s="26"/>
      <c r="N650" s="26"/>
      <c r="O650" s="26" t="str">
        <f>"""GP Direct"",""Fabrikam, Inc."",""UPR30300"",""PAYRATE"",""0.00000"",""PAYROLCD"",""401K"",""STATECD"","""",""CHEKDATE"",""1/1/2015"",""UPRTRXAM"",""52.50000"""</f>
        <v>"GP Direct","Fabrikam, Inc.","UPR30300","PAYRATE","0.00000","PAYROLCD","401K","STATECD","","CHEKDATE","1/1/2015","UPRTRXAM","52.50000"</v>
      </c>
      <c r="P650" s="29">
        <v>0</v>
      </c>
      <c r="Q650" s="26" t="str">
        <f>"401K"</f>
        <v>401K</v>
      </c>
      <c r="R650" s="26"/>
      <c r="S650" s="28">
        <v>42005</v>
      </c>
      <c r="T650" s="29">
        <v>52.5</v>
      </c>
    </row>
    <row r="651" spans="1:20" s="7" customFormat="1" hidden="1" outlineLevel="3" x14ac:dyDescent="0.2">
      <c r="A651" s="7" t="s">
        <v>92</v>
      </c>
      <c r="C651" s="7" t="str">
        <f t="shared" si="96"/>
        <v>Jane</v>
      </c>
      <c r="D651" s="7" t="str">
        <f>+D650</f>
        <v>Clayton</v>
      </c>
      <c r="E651" s="8" t="str">
        <f>E650</f>
        <v>INST</v>
      </c>
      <c r="G651" s="8" t="str">
        <f>G650</f>
        <v>CLAY0001</v>
      </c>
      <c r="H651" s="26"/>
      <c r="I651" s="26"/>
      <c r="J651" s="26"/>
      <c r="K651" s="28">
        <f>+K650</f>
        <v>42005</v>
      </c>
      <c r="L651" s="26" t="str">
        <f>L650</f>
        <v>10357</v>
      </c>
      <c r="M651" s="26"/>
      <c r="N651" s="26"/>
      <c r="O651" s="26" t="str">
        <f>"""GP Direct"",""Fabrikam, Inc."",""UPR30300"",""PAYRATE"",""0.00000"",""PAYROLCD"",""INS"",""STATECD"","""",""CHEKDATE"",""1/1/2015"",""UPRTRXAM"",""49.36000"""</f>
        <v>"GP Direct","Fabrikam, Inc.","UPR30300","PAYRATE","0.00000","PAYROLCD","INS","STATECD","","CHEKDATE","1/1/2015","UPRTRXAM","49.36000"</v>
      </c>
      <c r="P651" s="29">
        <v>0</v>
      </c>
      <c r="Q651" s="26" t="str">
        <f>"INS"</f>
        <v>INS</v>
      </c>
      <c r="R651" s="26"/>
      <c r="S651" s="28">
        <v>42005</v>
      </c>
      <c r="T651" s="29">
        <v>49.36</v>
      </c>
    </row>
    <row r="652" spans="1:20" s="7" customFormat="1" hidden="1" outlineLevel="3" x14ac:dyDescent="0.2">
      <c r="A652" s="7" t="s">
        <v>92</v>
      </c>
      <c r="C652" s="7" t="str">
        <f t="shared" si="96"/>
        <v>Jane</v>
      </c>
      <c r="D652" s="7" t="str">
        <f>+D651</f>
        <v>Clayton</v>
      </c>
      <c r="E652" s="8" t="str">
        <f>E651</f>
        <v>INST</v>
      </c>
      <c r="G652" s="8" t="str">
        <f>G651</f>
        <v>CLAY0001</v>
      </c>
      <c r="H652" s="26"/>
      <c r="I652" s="26"/>
      <c r="J652" s="26"/>
      <c r="K652" s="28">
        <f>+K651</f>
        <v>42005</v>
      </c>
      <c r="L652" s="26" t="str">
        <f>L651</f>
        <v>10357</v>
      </c>
      <c r="M652" s="26"/>
      <c r="N652" s="26"/>
      <c r="O652" s="26" t="str">
        <f>"""GP Direct"",""Fabrikam, Inc."",""UPR30300"",""PAYRATE"",""0.00000"",""PAYROLCD"",""INS1"",""STATECD"","""",""CHEKDATE"",""1/1/2015"",""UPRTRXAM"",""47.95000"""</f>
        <v>"GP Direct","Fabrikam, Inc.","UPR30300","PAYRATE","0.00000","PAYROLCD","INS1","STATECD","","CHEKDATE","1/1/2015","UPRTRXAM","47.95000"</v>
      </c>
      <c r="P652" s="29">
        <v>0</v>
      </c>
      <c r="Q652" s="26" t="str">
        <f>"INS1"</f>
        <v>INS1</v>
      </c>
      <c r="R652" s="26"/>
      <c r="S652" s="28">
        <v>42005</v>
      </c>
      <c r="T652" s="29">
        <v>47.95</v>
      </c>
    </row>
    <row r="653" spans="1:20" s="7" customFormat="1" hidden="1" outlineLevel="3" x14ac:dyDescent="0.2">
      <c r="A653" s="7" t="s">
        <v>92</v>
      </c>
      <c r="C653" s="7" t="str">
        <f t="shared" si="96"/>
        <v>Jane</v>
      </c>
      <c r="D653" s="7" t="str">
        <f>+D652</f>
        <v>Clayton</v>
      </c>
      <c r="E653" s="8" t="str">
        <f>E652</f>
        <v>INST</v>
      </c>
      <c r="G653" s="8" t="str">
        <f>G652</f>
        <v>CLAY0001</v>
      </c>
      <c r="H653" s="26"/>
      <c r="I653" s="26"/>
      <c r="J653" s="26"/>
      <c r="K653" s="28">
        <f>+K652</f>
        <v>42005</v>
      </c>
      <c r="L653" s="26" t="str">
        <f>L652</f>
        <v>10357</v>
      </c>
      <c r="M653" s="26"/>
      <c r="N653" s="26"/>
      <c r="O653" s="26" t="str">
        <f>"""GP Direct"",""Fabrikam, Inc."",""UPR30300"",""PAYRATE"",""0.00000"",""PAYROLCD"",""MED"",""STATECD"","""",""CHEKDATE"",""1/1/2015"",""UPRTRXAM"",""5.00000"""</f>
        <v>"GP Direct","Fabrikam, Inc.","UPR30300","PAYRATE","0.00000","PAYROLCD","MED","STATECD","","CHEKDATE","1/1/2015","UPRTRXAM","5.00000"</v>
      </c>
      <c r="P653" s="29">
        <v>0</v>
      </c>
      <c r="Q653" s="26" t="str">
        <f>"MED"</f>
        <v>MED</v>
      </c>
      <c r="R653" s="26"/>
      <c r="S653" s="28">
        <v>42005</v>
      </c>
      <c r="T653" s="29">
        <v>5</v>
      </c>
    </row>
    <row r="654" spans="1:20" s="7" customFormat="1" hidden="1" outlineLevel="3" x14ac:dyDescent="0.2">
      <c r="A654" s="7" t="s">
        <v>92</v>
      </c>
      <c r="C654" s="7" t="str">
        <f t="shared" si="96"/>
        <v>Jane</v>
      </c>
      <c r="D654" s="7" t="str">
        <f>+D653</f>
        <v>Clayton</v>
      </c>
      <c r="E654" s="8" t="str">
        <f>E653</f>
        <v>INST</v>
      </c>
      <c r="G654" s="8" t="str">
        <f>G653</f>
        <v>CLAY0001</v>
      </c>
      <c r="H654" s="26"/>
      <c r="I654" s="26"/>
      <c r="J654" s="26"/>
      <c r="K654" s="28">
        <f>+K653</f>
        <v>42005</v>
      </c>
      <c r="L654" s="26" t="str">
        <f>L653</f>
        <v>10357</v>
      </c>
      <c r="M654" s="26"/>
      <c r="N654" s="26"/>
      <c r="O654" s="26" t="str">
        <f>"""GP Direct"",""Fabrikam, Inc."",""UPR30300"",""PAYRATE"",""0.00000"",""PAYROLCD"",""NE"",""STATECD"","""",""CHEKDATE"",""1/1/2015"",""UPRTRXAM"",""28.22000"""</f>
        <v>"GP Direct","Fabrikam, Inc.","UPR30300","PAYRATE","0.00000","PAYROLCD","NE","STATECD","","CHEKDATE","1/1/2015","UPRTRXAM","28.22000"</v>
      </c>
      <c r="P654" s="29">
        <v>0</v>
      </c>
      <c r="Q654" s="26" t="str">
        <f>"NE"</f>
        <v>NE</v>
      </c>
      <c r="R654" s="26"/>
      <c r="S654" s="28">
        <v>42005</v>
      </c>
      <c r="T654" s="29">
        <v>28.22</v>
      </c>
    </row>
    <row r="655" spans="1:20" s="7" customFormat="1" hidden="1" outlineLevel="3" x14ac:dyDescent="0.2">
      <c r="A655" s="7" t="s">
        <v>92</v>
      </c>
      <c r="C655" s="7" t="str">
        <f t="shared" si="96"/>
        <v>Jane</v>
      </c>
      <c r="D655" s="7" t="str">
        <f>+D654</f>
        <v>Clayton</v>
      </c>
      <c r="E655" s="8" t="str">
        <f>E654</f>
        <v>INST</v>
      </c>
      <c r="G655" s="8" t="str">
        <f>G654</f>
        <v>CLAY0001</v>
      </c>
      <c r="H655" s="26"/>
      <c r="I655" s="26"/>
      <c r="J655" s="26"/>
      <c r="K655" s="28">
        <f>+K654</f>
        <v>42005</v>
      </c>
      <c r="L655" s="26" t="str">
        <f>L654</f>
        <v>10357</v>
      </c>
      <c r="M655" s="26"/>
      <c r="N655" s="26"/>
      <c r="O655" s="26" t="str">
        <f>"""GP Direct"",""Fabrikam, Inc."",""UPR30300"",""PAYRATE"",""31500.00000"",""PAYROLCD"",""SALY"",""STATECD"",""NE"",""CHEKDATE"",""1/1/2015"",""UPRTRXAM"",""1312.50000"""</f>
        <v>"GP Direct","Fabrikam, Inc.","UPR30300","PAYRATE","31500.00000","PAYROLCD","SALY","STATECD","NE","CHEKDATE","1/1/2015","UPRTRXAM","1312.50000"</v>
      </c>
      <c r="P655" s="29">
        <v>31500</v>
      </c>
      <c r="Q655" s="26" t="str">
        <f>"SALY"</f>
        <v>SALY</v>
      </c>
      <c r="R655" s="26" t="str">
        <f>"NE"</f>
        <v>NE</v>
      </c>
      <c r="S655" s="28">
        <v>42005</v>
      </c>
      <c r="T655" s="29">
        <v>1312.5</v>
      </c>
    </row>
    <row r="656" spans="1:20" s="7" customFormat="1" hidden="1" outlineLevel="3" x14ac:dyDescent="0.2">
      <c r="A656" s="7" t="s">
        <v>92</v>
      </c>
      <c r="C656" s="7" t="str">
        <f>+C649</f>
        <v>Jane</v>
      </c>
      <c r="D656" s="7" t="str">
        <f>+D649</f>
        <v>Clayton</v>
      </c>
      <c r="E656" s="8" t="str">
        <f>E649</f>
        <v>INST</v>
      </c>
      <c r="G656" s="8" t="str">
        <f>G649</f>
        <v>CLAY0001</v>
      </c>
      <c r="K656" s="12">
        <f>+K649</f>
        <v>42005</v>
      </c>
      <c r="L656" s="8" t="str">
        <f>L649</f>
        <v>10357</v>
      </c>
      <c r="O656" s="8"/>
      <c r="T656" s="20"/>
    </row>
    <row r="657" spans="1:20" s="7" customFormat="1" hidden="1" outlineLevel="2" collapsed="1" x14ac:dyDescent="0.2">
      <c r="A657" s="7" t="s">
        <v>92</v>
      </c>
      <c r="C657" s="7" t="str">
        <f t="shared" si="95"/>
        <v>Jane</v>
      </c>
      <c r="D657" s="7" t="str">
        <f>+D656</f>
        <v>Clayton</v>
      </c>
      <c r="E657" s="8" t="str">
        <f>E656</f>
        <v>INST</v>
      </c>
      <c r="G657" s="8" t="str">
        <f>G656</f>
        <v>CLAY0001</v>
      </c>
      <c r="K657" s="12">
        <f>+K656</f>
        <v>42005</v>
      </c>
      <c r="L657" s="8" t="str">
        <f>L656</f>
        <v>10357</v>
      </c>
      <c r="M657" s="33" t="str">
        <f>"Total for " &amp; $L657</f>
        <v>Total for 10357</v>
      </c>
      <c r="N657" s="34">
        <f>+K657</f>
        <v>42005</v>
      </c>
      <c r="O657" s="35"/>
      <c r="P657" s="33"/>
      <c r="Q657" s="33"/>
      <c r="R657" s="33"/>
      <c r="S657" s="33"/>
      <c r="T657" s="36">
        <f>SUBTOTAL(9,T649:T656)</f>
        <v>1498.16</v>
      </c>
    </row>
    <row r="658" spans="1:20" s="7" customFormat="1" hidden="1" outlineLevel="3" x14ac:dyDescent="0.2">
      <c r="A658" s="7" t="s">
        <v>92</v>
      </c>
      <c r="C658" s="7" t="str">
        <f t="shared" ref="C658:C707" si="97">+C657</f>
        <v>Jane</v>
      </c>
      <c r="D658" s="7" t="str">
        <f>+D657</f>
        <v>Clayton</v>
      </c>
      <c r="E658" s="8" t="str">
        <f>E657</f>
        <v>INST</v>
      </c>
      <c r="G658" s="8" t="str">
        <f>G657</f>
        <v>CLAY0001</v>
      </c>
      <c r="H658" s="26"/>
      <c r="I658" s="26"/>
      <c r="J658" s="26"/>
      <c r="K658" s="28">
        <f>+N658</f>
        <v>42036</v>
      </c>
      <c r="L658" s="26" t="str">
        <f>M658</f>
        <v>10382</v>
      </c>
      <c r="M658" s="26" t="str">
        <f>"10382"</f>
        <v>10382</v>
      </c>
      <c r="N658" s="28">
        <v>42036</v>
      </c>
      <c r="O658" s="26"/>
      <c r="P658" s="26"/>
      <c r="Q658" s="26"/>
      <c r="R658" s="26"/>
      <c r="S658" s="26"/>
      <c r="T658" s="27"/>
    </row>
    <row r="659" spans="1:20" s="7" customFormat="1" hidden="1" outlineLevel="3" x14ac:dyDescent="0.2">
      <c r="A659" s="7" t="s">
        <v>92</v>
      </c>
      <c r="C659" s="7" t="str">
        <f t="shared" si="97"/>
        <v>Jane</v>
      </c>
      <c r="D659" s="7" t="str">
        <f>+D658</f>
        <v>Clayton</v>
      </c>
      <c r="E659" s="8" t="str">
        <f>E658</f>
        <v>INST</v>
      </c>
      <c r="G659" s="8" t="str">
        <f>G658</f>
        <v>CLAY0001</v>
      </c>
      <c r="H659" s="26"/>
      <c r="I659" s="26"/>
      <c r="J659" s="26"/>
      <c r="K659" s="28">
        <f>+K658</f>
        <v>42036</v>
      </c>
      <c r="L659" s="26" t="str">
        <f>L658</f>
        <v>10382</v>
      </c>
      <c r="M659" s="26"/>
      <c r="N659" s="26"/>
      <c r="O659" s="26" t="str">
        <f>"""GP Direct"",""Fabrikam, Inc."",""UPR30300"",""PAYRATE"",""0.00000"",""PAYROLCD"",""401K"",""STATECD"","""",""CHEKDATE"",""2/1/2015"",""UPRTRXAM"",""2.63000"""</f>
        <v>"GP Direct","Fabrikam, Inc.","UPR30300","PAYRATE","0.00000","PAYROLCD","401K","STATECD","","CHEKDATE","2/1/2015","UPRTRXAM","2.63000"</v>
      </c>
      <c r="P659" s="29">
        <v>0</v>
      </c>
      <c r="Q659" s="26" t="str">
        <f>"401K"</f>
        <v>401K</v>
      </c>
      <c r="R659" s="26"/>
      <c r="S659" s="28">
        <v>42036</v>
      </c>
      <c r="T659" s="29">
        <v>2.63</v>
      </c>
    </row>
    <row r="660" spans="1:20" s="7" customFormat="1" hidden="1" outlineLevel="3" x14ac:dyDescent="0.2">
      <c r="A660" s="7" t="s">
        <v>92</v>
      </c>
      <c r="C660" s="7" t="str">
        <f t="shared" ref="C660:C665" si="98">+C659</f>
        <v>Jane</v>
      </c>
      <c r="D660" s="7" t="str">
        <f>+D659</f>
        <v>Clayton</v>
      </c>
      <c r="E660" s="8" t="str">
        <f>E659</f>
        <v>INST</v>
      </c>
      <c r="G660" s="8" t="str">
        <f>G659</f>
        <v>CLAY0001</v>
      </c>
      <c r="H660" s="26"/>
      <c r="I660" s="26"/>
      <c r="J660" s="26"/>
      <c r="K660" s="28">
        <f>+K659</f>
        <v>42036</v>
      </c>
      <c r="L660" s="26" t="str">
        <f>L659</f>
        <v>10382</v>
      </c>
      <c r="M660" s="26"/>
      <c r="N660" s="26"/>
      <c r="O660" s="26" t="str">
        <f>"""GP Direct"",""Fabrikam, Inc."",""UPR30300"",""PAYRATE"",""0.00000"",""PAYROLCD"",""401K"",""STATECD"","""",""CHEKDATE"",""2/1/2015"",""UPRTRXAM"",""52.50000"""</f>
        <v>"GP Direct","Fabrikam, Inc.","UPR30300","PAYRATE","0.00000","PAYROLCD","401K","STATECD","","CHEKDATE","2/1/2015","UPRTRXAM","52.50000"</v>
      </c>
      <c r="P660" s="29">
        <v>0</v>
      </c>
      <c r="Q660" s="26" t="str">
        <f>"401K"</f>
        <v>401K</v>
      </c>
      <c r="R660" s="26"/>
      <c r="S660" s="28">
        <v>42036</v>
      </c>
      <c r="T660" s="29">
        <v>52.5</v>
      </c>
    </row>
    <row r="661" spans="1:20" s="7" customFormat="1" hidden="1" outlineLevel="3" x14ac:dyDescent="0.2">
      <c r="A661" s="7" t="s">
        <v>92</v>
      </c>
      <c r="C661" s="7" t="str">
        <f t="shared" si="98"/>
        <v>Jane</v>
      </c>
      <c r="D661" s="7" t="str">
        <f>+D660</f>
        <v>Clayton</v>
      </c>
      <c r="E661" s="8" t="str">
        <f>E660</f>
        <v>INST</v>
      </c>
      <c r="G661" s="8" t="str">
        <f>G660</f>
        <v>CLAY0001</v>
      </c>
      <c r="H661" s="26"/>
      <c r="I661" s="26"/>
      <c r="J661" s="26"/>
      <c r="K661" s="28">
        <f>+K660</f>
        <v>42036</v>
      </c>
      <c r="L661" s="26" t="str">
        <f>L660</f>
        <v>10382</v>
      </c>
      <c r="M661" s="26"/>
      <c r="N661" s="26"/>
      <c r="O661" s="26" t="str">
        <f>"""GP Direct"",""Fabrikam, Inc."",""UPR30300"",""PAYRATE"",""0.00000"",""PAYROLCD"",""INS"",""STATECD"","""",""CHEKDATE"",""2/1/2015"",""UPRTRXAM"",""49.36000"""</f>
        <v>"GP Direct","Fabrikam, Inc.","UPR30300","PAYRATE","0.00000","PAYROLCD","INS","STATECD","","CHEKDATE","2/1/2015","UPRTRXAM","49.36000"</v>
      </c>
      <c r="P661" s="29">
        <v>0</v>
      </c>
      <c r="Q661" s="26" t="str">
        <f>"INS"</f>
        <v>INS</v>
      </c>
      <c r="R661" s="26"/>
      <c r="S661" s="28">
        <v>42036</v>
      </c>
      <c r="T661" s="29">
        <v>49.36</v>
      </c>
    </row>
    <row r="662" spans="1:20" s="7" customFormat="1" hidden="1" outlineLevel="3" x14ac:dyDescent="0.2">
      <c r="A662" s="7" t="s">
        <v>92</v>
      </c>
      <c r="C662" s="7" t="str">
        <f t="shared" si="98"/>
        <v>Jane</v>
      </c>
      <c r="D662" s="7" t="str">
        <f>+D661</f>
        <v>Clayton</v>
      </c>
      <c r="E662" s="8" t="str">
        <f>E661</f>
        <v>INST</v>
      </c>
      <c r="G662" s="8" t="str">
        <f>G661</f>
        <v>CLAY0001</v>
      </c>
      <c r="H662" s="26"/>
      <c r="I662" s="26"/>
      <c r="J662" s="26"/>
      <c r="K662" s="28">
        <f>+K661</f>
        <v>42036</v>
      </c>
      <c r="L662" s="26" t="str">
        <f>L661</f>
        <v>10382</v>
      </c>
      <c r="M662" s="26"/>
      <c r="N662" s="26"/>
      <c r="O662" s="26" t="str">
        <f>"""GP Direct"",""Fabrikam, Inc."",""UPR30300"",""PAYRATE"",""0.00000"",""PAYROLCD"",""INS1"",""STATECD"","""",""CHEKDATE"",""2/1/2015"",""UPRTRXAM"",""47.95000"""</f>
        <v>"GP Direct","Fabrikam, Inc.","UPR30300","PAYRATE","0.00000","PAYROLCD","INS1","STATECD","","CHEKDATE","2/1/2015","UPRTRXAM","47.95000"</v>
      </c>
      <c r="P662" s="29">
        <v>0</v>
      </c>
      <c r="Q662" s="26" t="str">
        <f>"INS1"</f>
        <v>INS1</v>
      </c>
      <c r="R662" s="26"/>
      <c r="S662" s="28">
        <v>42036</v>
      </c>
      <c r="T662" s="29">
        <v>47.95</v>
      </c>
    </row>
    <row r="663" spans="1:20" s="7" customFormat="1" hidden="1" outlineLevel="3" x14ac:dyDescent="0.2">
      <c r="A663" s="7" t="s">
        <v>92</v>
      </c>
      <c r="C663" s="7" t="str">
        <f t="shared" si="98"/>
        <v>Jane</v>
      </c>
      <c r="D663" s="7" t="str">
        <f>+D662</f>
        <v>Clayton</v>
      </c>
      <c r="E663" s="8" t="str">
        <f>E662</f>
        <v>INST</v>
      </c>
      <c r="G663" s="8" t="str">
        <f>G662</f>
        <v>CLAY0001</v>
      </c>
      <c r="H663" s="26"/>
      <c r="I663" s="26"/>
      <c r="J663" s="26"/>
      <c r="K663" s="28">
        <f>+K662</f>
        <v>42036</v>
      </c>
      <c r="L663" s="26" t="str">
        <f>L662</f>
        <v>10382</v>
      </c>
      <c r="M663" s="26"/>
      <c r="N663" s="26"/>
      <c r="O663" s="26" t="str">
        <f>"""GP Direct"",""Fabrikam, Inc."",""UPR30300"",""PAYRATE"",""0.00000"",""PAYROLCD"",""MED"",""STATECD"","""",""CHEKDATE"",""2/1/2015"",""UPRTRXAM"",""5.00000"""</f>
        <v>"GP Direct","Fabrikam, Inc.","UPR30300","PAYRATE","0.00000","PAYROLCD","MED","STATECD","","CHEKDATE","2/1/2015","UPRTRXAM","5.00000"</v>
      </c>
      <c r="P663" s="29">
        <v>0</v>
      </c>
      <c r="Q663" s="26" t="str">
        <f>"MED"</f>
        <v>MED</v>
      </c>
      <c r="R663" s="26"/>
      <c r="S663" s="28">
        <v>42036</v>
      </c>
      <c r="T663" s="29">
        <v>5</v>
      </c>
    </row>
    <row r="664" spans="1:20" s="7" customFormat="1" hidden="1" outlineLevel="3" x14ac:dyDescent="0.2">
      <c r="A664" s="7" t="s">
        <v>92</v>
      </c>
      <c r="C664" s="7" t="str">
        <f t="shared" si="98"/>
        <v>Jane</v>
      </c>
      <c r="D664" s="7" t="str">
        <f>+D663</f>
        <v>Clayton</v>
      </c>
      <c r="E664" s="8" t="str">
        <f>E663</f>
        <v>INST</v>
      </c>
      <c r="G664" s="8" t="str">
        <f>G663</f>
        <v>CLAY0001</v>
      </c>
      <c r="H664" s="26"/>
      <c r="I664" s="26"/>
      <c r="J664" s="26"/>
      <c r="K664" s="28">
        <f>+K663</f>
        <v>42036</v>
      </c>
      <c r="L664" s="26" t="str">
        <f>L663</f>
        <v>10382</v>
      </c>
      <c r="M664" s="26"/>
      <c r="N664" s="26"/>
      <c r="O664" s="26" t="str">
        <f>"""GP Direct"",""Fabrikam, Inc."",""UPR30300"",""PAYRATE"",""0.00000"",""PAYROLCD"",""NE"",""STATECD"","""",""CHEKDATE"",""2/1/2015"",""UPRTRXAM"",""28.22000"""</f>
        <v>"GP Direct","Fabrikam, Inc.","UPR30300","PAYRATE","0.00000","PAYROLCD","NE","STATECD","","CHEKDATE","2/1/2015","UPRTRXAM","28.22000"</v>
      </c>
      <c r="P664" s="29">
        <v>0</v>
      </c>
      <c r="Q664" s="26" t="str">
        <f>"NE"</f>
        <v>NE</v>
      </c>
      <c r="R664" s="26"/>
      <c r="S664" s="28">
        <v>42036</v>
      </c>
      <c r="T664" s="29">
        <v>28.22</v>
      </c>
    </row>
    <row r="665" spans="1:20" s="7" customFormat="1" hidden="1" outlineLevel="3" x14ac:dyDescent="0.2">
      <c r="A665" s="7" t="s">
        <v>92</v>
      </c>
      <c r="C665" s="7" t="str">
        <f t="shared" si="98"/>
        <v>Jane</v>
      </c>
      <c r="D665" s="7" t="str">
        <f>+D664</f>
        <v>Clayton</v>
      </c>
      <c r="E665" s="8" t="str">
        <f>E664</f>
        <v>INST</v>
      </c>
      <c r="G665" s="8" t="str">
        <f>G664</f>
        <v>CLAY0001</v>
      </c>
      <c r="H665" s="26"/>
      <c r="I665" s="26"/>
      <c r="J665" s="26"/>
      <c r="K665" s="28">
        <f>+K664</f>
        <v>42036</v>
      </c>
      <c r="L665" s="26" t="str">
        <f>L664</f>
        <v>10382</v>
      </c>
      <c r="M665" s="26"/>
      <c r="N665" s="26"/>
      <c r="O665" s="26" t="str">
        <f>"""GP Direct"",""Fabrikam, Inc."",""UPR30300"",""PAYRATE"",""31500.00000"",""PAYROLCD"",""SALY"",""STATECD"",""NE"",""CHEKDATE"",""2/1/2015"",""UPRTRXAM"",""1312.50000"""</f>
        <v>"GP Direct","Fabrikam, Inc.","UPR30300","PAYRATE","31500.00000","PAYROLCD","SALY","STATECD","NE","CHEKDATE","2/1/2015","UPRTRXAM","1312.50000"</v>
      </c>
      <c r="P665" s="29">
        <v>31500</v>
      </c>
      <c r="Q665" s="26" t="str">
        <f>"SALY"</f>
        <v>SALY</v>
      </c>
      <c r="R665" s="26" t="str">
        <f>"NE"</f>
        <v>NE</v>
      </c>
      <c r="S665" s="28">
        <v>42036</v>
      </c>
      <c r="T665" s="29">
        <v>1312.5</v>
      </c>
    </row>
    <row r="666" spans="1:20" s="7" customFormat="1" hidden="1" outlineLevel="3" x14ac:dyDescent="0.2">
      <c r="A666" s="7" t="s">
        <v>92</v>
      </c>
      <c r="C666" s="7" t="str">
        <f>+C659</f>
        <v>Jane</v>
      </c>
      <c r="D666" s="7" t="str">
        <f>+D659</f>
        <v>Clayton</v>
      </c>
      <c r="E666" s="8" t="str">
        <f>E659</f>
        <v>INST</v>
      </c>
      <c r="G666" s="8" t="str">
        <f>G659</f>
        <v>CLAY0001</v>
      </c>
      <c r="K666" s="12">
        <f>+K659</f>
        <v>42036</v>
      </c>
      <c r="L666" s="8" t="str">
        <f>L659</f>
        <v>10382</v>
      </c>
      <c r="O666" s="8"/>
      <c r="T666" s="20"/>
    </row>
    <row r="667" spans="1:20" s="7" customFormat="1" hidden="1" outlineLevel="2" collapsed="1" x14ac:dyDescent="0.2">
      <c r="A667" s="7" t="s">
        <v>92</v>
      </c>
      <c r="C667" s="7" t="str">
        <f t="shared" si="97"/>
        <v>Jane</v>
      </c>
      <c r="D667" s="7" t="str">
        <f>+D666</f>
        <v>Clayton</v>
      </c>
      <c r="E667" s="8" t="str">
        <f>E666</f>
        <v>INST</v>
      </c>
      <c r="G667" s="8" t="str">
        <f>G666</f>
        <v>CLAY0001</v>
      </c>
      <c r="K667" s="12">
        <f>+K666</f>
        <v>42036</v>
      </c>
      <c r="L667" s="8" t="str">
        <f>L666</f>
        <v>10382</v>
      </c>
      <c r="M667" s="33" t="str">
        <f>"Total for " &amp; $L667</f>
        <v>Total for 10382</v>
      </c>
      <c r="N667" s="34">
        <f>+K667</f>
        <v>42036</v>
      </c>
      <c r="O667" s="35"/>
      <c r="P667" s="33"/>
      <c r="Q667" s="33"/>
      <c r="R667" s="33"/>
      <c r="S667" s="33"/>
      <c r="T667" s="36">
        <f>SUBTOTAL(9,T659:T666)</f>
        <v>1498.16</v>
      </c>
    </row>
    <row r="668" spans="1:20" s="7" customFormat="1" hidden="1" outlineLevel="3" x14ac:dyDescent="0.2">
      <c r="A668" s="7" t="s">
        <v>92</v>
      </c>
      <c r="C668" s="7" t="str">
        <f t="shared" si="97"/>
        <v>Jane</v>
      </c>
      <c r="D668" s="7" t="str">
        <f>+D667</f>
        <v>Clayton</v>
      </c>
      <c r="E668" s="8" t="str">
        <f>E667</f>
        <v>INST</v>
      </c>
      <c r="G668" s="8" t="str">
        <f>G667</f>
        <v>CLAY0001</v>
      </c>
      <c r="H668" s="26"/>
      <c r="I668" s="26"/>
      <c r="J668" s="26"/>
      <c r="K668" s="28">
        <f>+N668</f>
        <v>42064</v>
      </c>
      <c r="L668" s="26" t="str">
        <f>M668</f>
        <v>10407</v>
      </c>
      <c r="M668" s="26" t="str">
        <f>"10407"</f>
        <v>10407</v>
      </c>
      <c r="N668" s="28">
        <v>42064</v>
      </c>
      <c r="O668" s="26"/>
      <c r="P668" s="26"/>
      <c r="Q668" s="26"/>
      <c r="R668" s="26"/>
      <c r="S668" s="26"/>
      <c r="T668" s="27"/>
    </row>
    <row r="669" spans="1:20" s="7" customFormat="1" hidden="1" outlineLevel="3" x14ac:dyDescent="0.2">
      <c r="A669" s="7" t="s">
        <v>92</v>
      </c>
      <c r="C669" s="7" t="str">
        <f t="shared" si="97"/>
        <v>Jane</v>
      </c>
      <c r="D669" s="7" t="str">
        <f>+D668</f>
        <v>Clayton</v>
      </c>
      <c r="E669" s="8" t="str">
        <f>E668</f>
        <v>INST</v>
      </c>
      <c r="G669" s="8" t="str">
        <f>G668</f>
        <v>CLAY0001</v>
      </c>
      <c r="H669" s="26"/>
      <c r="I669" s="26"/>
      <c r="J669" s="26"/>
      <c r="K669" s="28">
        <f>+K668</f>
        <v>42064</v>
      </c>
      <c r="L669" s="26" t="str">
        <f>L668</f>
        <v>10407</v>
      </c>
      <c r="M669" s="26"/>
      <c r="N669" s="26"/>
      <c r="O669" s="26" t="str">
        <f>"""GP Direct"",""Fabrikam, Inc."",""UPR30300"",""PAYRATE"",""0.00000"",""PAYROLCD"",""401K"",""STATECD"","""",""CHEKDATE"",""3/1/2015"",""UPRTRXAM"",""2.63000"""</f>
        <v>"GP Direct","Fabrikam, Inc.","UPR30300","PAYRATE","0.00000","PAYROLCD","401K","STATECD","","CHEKDATE","3/1/2015","UPRTRXAM","2.63000"</v>
      </c>
      <c r="P669" s="29">
        <v>0</v>
      </c>
      <c r="Q669" s="26" t="str">
        <f>"401K"</f>
        <v>401K</v>
      </c>
      <c r="R669" s="26"/>
      <c r="S669" s="28">
        <v>42064</v>
      </c>
      <c r="T669" s="29">
        <v>2.63</v>
      </c>
    </row>
    <row r="670" spans="1:20" s="7" customFormat="1" hidden="1" outlineLevel="3" x14ac:dyDescent="0.2">
      <c r="A670" s="7" t="s">
        <v>92</v>
      </c>
      <c r="C670" s="7" t="str">
        <f t="shared" ref="C670:C675" si="99">+C669</f>
        <v>Jane</v>
      </c>
      <c r="D670" s="7" t="str">
        <f>+D669</f>
        <v>Clayton</v>
      </c>
      <c r="E670" s="8" t="str">
        <f>E669</f>
        <v>INST</v>
      </c>
      <c r="G670" s="8" t="str">
        <f>G669</f>
        <v>CLAY0001</v>
      </c>
      <c r="H670" s="26"/>
      <c r="I670" s="26"/>
      <c r="J670" s="26"/>
      <c r="K670" s="28">
        <f>+K669</f>
        <v>42064</v>
      </c>
      <c r="L670" s="26" t="str">
        <f>L669</f>
        <v>10407</v>
      </c>
      <c r="M670" s="26"/>
      <c r="N670" s="26"/>
      <c r="O670" s="26" t="str">
        <f>"""GP Direct"",""Fabrikam, Inc."",""UPR30300"",""PAYRATE"",""0.00000"",""PAYROLCD"",""401K"",""STATECD"","""",""CHEKDATE"",""3/1/2015"",""UPRTRXAM"",""52.50000"""</f>
        <v>"GP Direct","Fabrikam, Inc.","UPR30300","PAYRATE","0.00000","PAYROLCD","401K","STATECD","","CHEKDATE","3/1/2015","UPRTRXAM","52.50000"</v>
      </c>
      <c r="P670" s="29">
        <v>0</v>
      </c>
      <c r="Q670" s="26" t="str">
        <f>"401K"</f>
        <v>401K</v>
      </c>
      <c r="R670" s="26"/>
      <c r="S670" s="28">
        <v>42064</v>
      </c>
      <c r="T670" s="29">
        <v>52.5</v>
      </c>
    </row>
    <row r="671" spans="1:20" s="7" customFormat="1" hidden="1" outlineLevel="3" x14ac:dyDescent="0.2">
      <c r="A671" s="7" t="s">
        <v>92</v>
      </c>
      <c r="C671" s="7" t="str">
        <f t="shared" si="99"/>
        <v>Jane</v>
      </c>
      <c r="D671" s="7" t="str">
        <f>+D670</f>
        <v>Clayton</v>
      </c>
      <c r="E671" s="8" t="str">
        <f>E670</f>
        <v>INST</v>
      </c>
      <c r="G671" s="8" t="str">
        <f>G670</f>
        <v>CLAY0001</v>
      </c>
      <c r="H671" s="26"/>
      <c r="I671" s="26"/>
      <c r="J671" s="26"/>
      <c r="K671" s="28">
        <f>+K670</f>
        <v>42064</v>
      </c>
      <c r="L671" s="26" t="str">
        <f>L670</f>
        <v>10407</v>
      </c>
      <c r="M671" s="26"/>
      <c r="N671" s="26"/>
      <c r="O671" s="26" t="str">
        <f>"""GP Direct"",""Fabrikam, Inc."",""UPR30300"",""PAYRATE"",""0.00000"",""PAYROLCD"",""INS"",""STATECD"","""",""CHEKDATE"",""3/1/2015"",""UPRTRXAM"",""49.36000"""</f>
        <v>"GP Direct","Fabrikam, Inc.","UPR30300","PAYRATE","0.00000","PAYROLCD","INS","STATECD","","CHEKDATE","3/1/2015","UPRTRXAM","49.36000"</v>
      </c>
      <c r="P671" s="29">
        <v>0</v>
      </c>
      <c r="Q671" s="26" t="str">
        <f>"INS"</f>
        <v>INS</v>
      </c>
      <c r="R671" s="26"/>
      <c r="S671" s="28">
        <v>42064</v>
      </c>
      <c r="T671" s="29">
        <v>49.36</v>
      </c>
    </row>
    <row r="672" spans="1:20" s="7" customFormat="1" hidden="1" outlineLevel="3" x14ac:dyDescent="0.2">
      <c r="A672" s="7" t="s">
        <v>92</v>
      </c>
      <c r="C672" s="7" t="str">
        <f t="shared" si="99"/>
        <v>Jane</v>
      </c>
      <c r="D672" s="7" t="str">
        <f>+D671</f>
        <v>Clayton</v>
      </c>
      <c r="E672" s="8" t="str">
        <f>E671</f>
        <v>INST</v>
      </c>
      <c r="G672" s="8" t="str">
        <f>G671</f>
        <v>CLAY0001</v>
      </c>
      <c r="H672" s="26"/>
      <c r="I672" s="26"/>
      <c r="J672" s="26"/>
      <c r="K672" s="28">
        <f>+K671</f>
        <v>42064</v>
      </c>
      <c r="L672" s="26" t="str">
        <f>L671</f>
        <v>10407</v>
      </c>
      <c r="M672" s="26"/>
      <c r="N672" s="26"/>
      <c r="O672" s="26" t="str">
        <f>"""GP Direct"",""Fabrikam, Inc."",""UPR30300"",""PAYRATE"",""0.00000"",""PAYROLCD"",""INS1"",""STATECD"","""",""CHEKDATE"",""3/1/2015"",""UPRTRXAM"",""47.95000"""</f>
        <v>"GP Direct","Fabrikam, Inc.","UPR30300","PAYRATE","0.00000","PAYROLCD","INS1","STATECD","","CHEKDATE","3/1/2015","UPRTRXAM","47.95000"</v>
      </c>
      <c r="P672" s="29">
        <v>0</v>
      </c>
      <c r="Q672" s="26" t="str">
        <f>"INS1"</f>
        <v>INS1</v>
      </c>
      <c r="R672" s="26"/>
      <c r="S672" s="28">
        <v>42064</v>
      </c>
      <c r="T672" s="29">
        <v>47.95</v>
      </c>
    </row>
    <row r="673" spans="1:20" s="7" customFormat="1" hidden="1" outlineLevel="3" x14ac:dyDescent="0.2">
      <c r="A673" s="7" t="s">
        <v>92</v>
      </c>
      <c r="C673" s="7" t="str">
        <f t="shared" si="99"/>
        <v>Jane</v>
      </c>
      <c r="D673" s="7" t="str">
        <f>+D672</f>
        <v>Clayton</v>
      </c>
      <c r="E673" s="8" t="str">
        <f>E672</f>
        <v>INST</v>
      </c>
      <c r="G673" s="8" t="str">
        <f>G672</f>
        <v>CLAY0001</v>
      </c>
      <c r="H673" s="26"/>
      <c r="I673" s="26"/>
      <c r="J673" s="26"/>
      <c r="K673" s="28">
        <f>+K672</f>
        <v>42064</v>
      </c>
      <c r="L673" s="26" t="str">
        <f>L672</f>
        <v>10407</v>
      </c>
      <c r="M673" s="26"/>
      <c r="N673" s="26"/>
      <c r="O673" s="26" t="str">
        <f>"""GP Direct"",""Fabrikam, Inc."",""UPR30300"",""PAYRATE"",""0.00000"",""PAYROLCD"",""MED"",""STATECD"","""",""CHEKDATE"",""3/1/2015"",""UPRTRXAM"",""5.00000"""</f>
        <v>"GP Direct","Fabrikam, Inc.","UPR30300","PAYRATE","0.00000","PAYROLCD","MED","STATECD","","CHEKDATE","3/1/2015","UPRTRXAM","5.00000"</v>
      </c>
      <c r="P673" s="29">
        <v>0</v>
      </c>
      <c r="Q673" s="26" t="str">
        <f>"MED"</f>
        <v>MED</v>
      </c>
      <c r="R673" s="26"/>
      <c r="S673" s="28">
        <v>42064</v>
      </c>
      <c r="T673" s="29">
        <v>5</v>
      </c>
    </row>
    <row r="674" spans="1:20" s="7" customFormat="1" hidden="1" outlineLevel="3" x14ac:dyDescent="0.2">
      <c r="A674" s="7" t="s">
        <v>92</v>
      </c>
      <c r="C674" s="7" t="str">
        <f t="shared" si="99"/>
        <v>Jane</v>
      </c>
      <c r="D674" s="7" t="str">
        <f>+D673</f>
        <v>Clayton</v>
      </c>
      <c r="E674" s="8" t="str">
        <f>E673</f>
        <v>INST</v>
      </c>
      <c r="G674" s="8" t="str">
        <f>G673</f>
        <v>CLAY0001</v>
      </c>
      <c r="H674" s="26"/>
      <c r="I674" s="26"/>
      <c r="J674" s="26"/>
      <c r="K674" s="28">
        <f>+K673</f>
        <v>42064</v>
      </c>
      <c r="L674" s="26" t="str">
        <f>L673</f>
        <v>10407</v>
      </c>
      <c r="M674" s="26"/>
      <c r="N674" s="26"/>
      <c r="O674" s="26" t="str">
        <f>"""GP Direct"",""Fabrikam, Inc."",""UPR30300"",""PAYRATE"",""0.00000"",""PAYROLCD"",""NE"",""STATECD"","""",""CHEKDATE"",""3/1/2015"",""UPRTRXAM"",""28.22000"""</f>
        <v>"GP Direct","Fabrikam, Inc.","UPR30300","PAYRATE","0.00000","PAYROLCD","NE","STATECD","","CHEKDATE","3/1/2015","UPRTRXAM","28.22000"</v>
      </c>
      <c r="P674" s="29">
        <v>0</v>
      </c>
      <c r="Q674" s="26" t="str">
        <f>"NE"</f>
        <v>NE</v>
      </c>
      <c r="R674" s="26"/>
      <c r="S674" s="28">
        <v>42064</v>
      </c>
      <c r="T674" s="29">
        <v>28.22</v>
      </c>
    </row>
    <row r="675" spans="1:20" s="7" customFormat="1" hidden="1" outlineLevel="3" x14ac:dyDescent="0.2">
      <c r="A675" s="7" t="s">
        <v>92</v>
      </c>
      <c r="C675" s="7" t="str">
        <f t="shared" si="99"/>
        <v>Jane</v>
      </c>
      <c r="D675" s="7" t="str">
        <f>+D674</f>
        <v>Clayton</v>
      </c>
      <c r="E675" s="8" t="str">
        <f>E674</f>
        <v>INST</v>
      </c>
      <c r="G675" s="8" t="str">
        <f>G674</f>
        <v>CLAY0001</v>
      </c>
      <c r="H675" s="26"/>
      <c r="I675" s="26"/>
      <c r="J675" s="26"/>
      <c r="K675" s="28">
        <f>+K674</f>
        <v>42064</v>
      </c>
      <c r="L675" s="26" t="str">
        <f>L674</f>
        <v>10407</v>
      </c>
      <c r="M675" s="26"/>
      <c r="N675" s="26"/>
      <c r="O675" s="26" t="str">
        <f>"""GP Direct"",""Fabrikam, Inc."",""UPR30300"",""PAYRATE"",""31500.00000"",""PAYROLCD"",""SALY"",""STATECD"",""NE"",""CHEKDATE"",""3/1/2015"",""UPRTRXAM"",""1312.50000"""</f>
        <v>"GP Direct","Fabrikam, Inc.","UPR30300","PAYRATE","31500.00000","PAYROLCD","SALY","STATECD","NE","CHEKDATE","3/1/2015","UPRTRXAM","1312.50000"</v>
      </c>
      <c r="P675" s="29">
        <v>31500</v>
      </c>
      <c r="Q675" s="26" t="str">
        <f>"SALY"</f>
        <v>SALY</v>
      </c>
      <c r="R675" s="26" t="str">
        <f>"NE"</f>
        <v>NE</v>
      </c>
      <c r="S675" s="28">
        <v>42064</v>
      </c>
      <c r="T675" s="29">
        <v>1312.5</v>
      </c>
    </row>
    <row r="676" spans="1:20" s="7" customFormat="1" hidden="1" outlineLevel="3" x14ac:dyDescent="0.2">
      <c r="A676" s="7" t="s">
        <v>92</v>
      </c>
      <c r="C676" s="7" t="str">
        <f>+C669</f>
        <v>Jane</v>
      </c>
      <c r="D676" s="7" t="str">
        <f>+D669</f>
        <v>Clayton</v>
      </c>
      <c r="E676" s="8" t="str">
        <f>E669</f>
        <v>INST</v>
      </c>
      <c r="G676" s="8" t="str">
        <f>G669</f>
        <v>CLAY0001</v>
      </c>
      <c r="K676" s="12">
        <f>+K669</f>
        <v>42064</v>
      </c>
      <c r="L676" s="8" t="str">
        <f>L669</f>
        <v>10407</v>
      </c>
      <c r="O676" s="8"/>
      <c r="T676" s="20"/>
    </row>
    <row r="677" spans="1:20" s="7" customFormat="1" hidden="1" outlineLevel="2" collapsed="1" x14ac:dyDescent="0.2">
      <c r="A677" s="7" t="s">
        <v>92</v>
      </c>
      <c r="C677" s="7" t="str">
        <f t="shared" si="97"/>
        <v>Jane</v>
      </c>
      <c r="D677" s="7" t="str">
        <f>+D676</f>
        <v>Clayton</v>
      </c>
      <c r="E677" s="8" t="str">
        <f>E676</f>
        <v>INST</v>
      </c>
      <c r="G677" s="8" t="str">
        <f>G676</f>
        <v>CLAY0001</v>
      </c>
      <c r="K677" s="12">
        <f>+K676</f>
        <v>42064</v>
      </c>
      <c r="L677" s="8" t="str">
        <f>L676</f>
        <v>10407</v>
      </c>
      <c r="M677" s="33" t="str">
        <f>"Total for " &amp; $L677</f>
        <v>Total for 10407</v>
      </c>
      <c r="N677" s="34">
        <f>+K677</f>
        <v>42064</v>
      </c>
      <c r="O677" s="35"/>
      <c r="P677" s="33"/>
      <c r="Q677" s="33"/>
      <c r="R677" s="33"/>
      <c r="S677" s="33"/>
      <c r="T677" s="36">
        <f>SUBTOTAL(9,T669:T676)</f>
        <v>1498.16</v>
      </c>
    </row>
    <row r="678" spans="1:20" s="7" customFormat="1" hidden="1" outlineLevel="3" x14ac:dyDescent="0.2">
      <c r="A678" s="7" t="s">
        <v>92</v>
      </c>
      <c r="C678" s="7" t="str">
        <f t="shared" si="97"/>
        <v>Jane</v>
      </c>
      <c r="D678" s="7" t="str">
        <f>+D677</f>
        <v>Clayton</v>
      </c>
      <c r="E678" s="8" t="str">
        <f>E677</f>
        <v>INST</v>
      </c>
      <c r="G678" s="8" t="str">
        <f>G677</f>
        <v>CLAY0001</v>
      </c>
      <c r="H678" s="26"/>
      <c r="I678" s="26"/>
      <c r="J678" s="26"/>
      <c r="K678" s="28">
        <f>+N678</f>
        <v>42095</v>
      </c>
      <c r="L678" s="26" t="str">
        <f>M678</f>
        <v>10432</v>
      </c>
      <c r="M678" s="26" t="str">
        <f>"10432"</f>
        <v>10432</v>
      </c>
      <c r="N678" s="28">
        <v>42095</v>
      </c>
      <c r="O678" s="26"/>
      <c r="P678" s="26"/>
      <c r="Q678" s="26"/>
      <c r="R678" s="26"/>
      <c r="S678" s="26"/>
      <c r="T678" s="27"/>
    </row>
    <row r="679" spans="1:20" s="7" customFormat="1" hidden="1" outlineLevel="3" x14ac:dyDescent="0.2">
      <c r="A679" s="7" t="s">
        <v>92</v>
      </c>
      <c r="C679" s="7" t="str">
        <f t="shared" si="97"/>
        <v>Jane</v>
      </c>
      <c r="D679" s="7" t="str">
        <f>+D678</f>
        <v>Clayton</v>
      </c>
      <c r="E679" s="8" t="str">
        <f>E678</f>
        <v>INST</v>
      </c>
      <c r="G679" s="8" t="str">
        <f>G678</f>
        <v>CLAY0001</v>
      </c>
      <c r="H679" s="26"/>
      <c r="I679" s="26"/>
      <c r="J679" s="26"/>
      <c r="K679" s="28">
        <f>+K678</f>
        <v>42095</v>
      </c>
      <c r="L679" s="26" t="str">
        <f>L678</f>
        <v>10432</v>
      </c>
      <c r="M679" s="26"/>
      <c r="N679" s="26"/>
      <c r="O679" s="26" t="str">
        <f>"""GP Direct"",""Fabrikam, Inc."",""UPR30300"",""PAYRATE"",""0.00000"",""PAYROLCD"",""401K"",""STATECD"","""",""CHEKDATE"",""4/1/2015"",""UPRTRXAM"",""2.63000"""</f>
        <v>"GP Direct","Fabrikam, Inc.","UPR30300","PAYRATE","0.00000","PAYROLCD","401K","STATECD","","CHEKDATE","4/1/2015","UPRTRXAM","2.63000"</v>
      </c>
      <c r="P679" s="29">
        <v>0</v>
      </c>
      <c r="Q679" s="26" t="str">
        <f>"401K"</f>
        <v>401K</v>
      </c>
      <c r="R679" s="26"/>
      <c r="S679" s="28">
        <v>42095</v>
      </c>
      <c r="T679" s="29">
        <v>2.63</v>
      </c>
    </row>
    <row r="680" spans="1:20" s="7" customFormat="1" hidden="1" outlineLevel="3" x14ac:dyDescent="0.2">
      <c r="A680" s="7" t="s">
        <v>92</v>
      </c>
      <c r="C680" s="7" t="str">
        <f t="shared" ref="C680:C685" si="100">+C679</f>
        <v>Jane</v>
      </c>
      <c r="D680" s="7" t="str">
        <f>+D679</f>
        <v>Clayton</v>
      </c>
      <c r="E680" s="8" t="str">
        <f>E679</f>
        <v>INST</v>
      </c>
      <c r="G680" s="8" t="str">
        <f>G679</f>
        <v>CLAY0001</v>
      </c>
      <c r="H680" s="26"/>
      <c r="I680" s="26"/>
      <c r="J680" s="26"/>
      <c r="K680" s="28">
        <f>+K679</f>
        <v>42095</v>
      </c>
      <c r="L680" s="26" t="str">
        <f>L679</f>
        <v>10432</v>
      </c>
      <c r="M680" s="26"/>
      <c r="N680" s="26"/>
      <c r="O680" s="26" t="str">
        <f>"""GP Direct"",""Fabrikam, Inc."",""UPR30300"",""PAYRATE"",""0.00000"",""PAYROLCD"",""401K"",""STATECD"","""",""CHEKDATE"",""4/1/2015"",""UPRTRXAM"",""52.50000"""</f>
        <v>"GP Direct","Fabrikam, Inc.","UPR30300","PAYRATE","0.00000","PAYROLCD","401K","STATECD","","CHEKDATE","4/1/2015","UPRTRXAM","52.50000"</v>
      </c>
      <c r="P680" s="29">
        <v>0</v>
      </c>
      <c r="Q680" s="26" t="str">
        <f>"401K"</f>
        <v>401K</v>
      </c>
      <c r="R680" s="26"/>
      <c r="S680" s="28">
        <v>42095</v>
      </c>
      <c r="T680" s="29">
        <v>52.5</v>
      </c>
    </row>
    <row r="681" spans="1:20" s="7" customFormat="1" hidden="1" outlineLevel="3" x14ac:dyDescent="0.2">
      <c r="A681" s="7" t="s">
        <v>92</v>
      </c>
      <c r="C681" s="7" t="str">
        <f t="shared" si="100"/>
        <v>Jane</v>
      </c>
      <c r="D681" s="7" t="str">
        <f>+D680</f>
        <v>Clayton</v>
      </c>
      <c r="E681" s="8" t="str">
        <f>E680</f>
        <v>INST</v>
      </c>
      <c r="G681" s="8" t="str">
        <f>G680</f>
        <v>CLAY0001</v>
      </c>
      <c r="H681" s="26"/>
      <c r="I681" s="26"/>
      <c r="J681" s="26"/>
      <c r="K681" s="28">
        <f>+K680</f>
        <v>42095</v>
      </c>
      <c r="L681" s="26" t="str">
        <f>L680</f>
        <v>10432</v>
      </c>
      <c r="M681" s="26"/>
      <c r="N681" s="26"/>
      <c r="O681" s="26" t="str">
        <f>"""GP Direct"",""Fabrikam, Inc."",""UPR30300"",""PAYRATE"",""0.00000"",""PAYROLCD"",""INS"",""STATECD"","""",""CHEKDATE"",""4/1/2015"",""UPRTRXAM"",""49.36000"""</f>
        <v>"GP Direct","Fabrikam, Inc.","UPR30300","PAYRATE","0.00000","PAYROLCD","INS","STATECD","","CHEKDATE","4/1/2015","UPRTRXAM","49.36000"</v>
      </c>
      <c r="P681" s="29">
        <v>0</v>
      </c>
      <c r="Q681" s="26" t="str">
        <f>"INS"</f>
        <v>INS</v>
      </c>
      <c r="R681" s="26"/>
      <c r="S681" s="28">
        <v>42095</v>
      </c>
      <c r="T681" s="29">
        <v>49.36</v>
      </c>
    </row>
    <row r="682" spans="1:20" s="7" customFormat="1" hidden="1" outlineLevel="3" x14ac:dyDescent="0.2">
      <c r="A682" s="7" t="s">
        <v>92</v>
      </c>
      <c r="C682" s="7" t="str">
        <f t="shared" si="100"/>
        <v>Jane</v>
      </c>
      <c r="D682" s="7" t="str">
        <f>+D681</f>
        <v>Clayton</v>
      </c>
      <c r="E682" s="8" t="str">
        <f>E681</f>
        <v>INST</v>
      </c>
      <c r="G682" s="8" t="str">
        <f>G681</f>
        <v>CLAY0001</v>
      </c>
      <c r="H682" s="26"/>
      <c r="I682" s="26"/>
      <c r="J682" s="26"/>
      <c r="K682" s="28">
        <f>+K681</f>
        <v>42095</v>
      </c>
      <c r="L682" s="26" t="str">
        <f>L681</f>
        <v>10432</v>
      </c>
      <c r="M682" s="26"/>
      <c r="N682" s="26"/>
      <c r="O682" s="26" t="str">
        <f>"""GP Direct"",""Fabrikam, Inc."",""UPR30300"",""PAYRATE"",""0.00000"",""PAYROLCD"",""INS1"",""STATECD"","""",""CHEKDATE"",""4/1/2015"",""UPRTRXAM"",""47.95000"""</f>
        <v>"GP Direct","Fabrikam, Inc.","UPR30300","PAYRATE","0.00000","PAYROLCD","INS1","STATECD","","CHEKDATE","4/1/2015","UPRTRXAM","47.95000"</v>
      </c>
      <c r="P682" s="29">
        <v>0</v>
      </c>
      <c r="Q682" s="26" t="str">
        <f>"INS1"</f>
        <v>INS1</v>
      </c>
      <c r="R682" s="26"/>
      <c r="S682" s="28">
        <v>42095</v>
      </c>
      <c r="T682" s="29">
        <v>47.95</v>
      </c>
    </row>
    <row r="683" spans="1:20" s="7" customFormat="1" hidden="1" outlineLevel="3" x14ac:dyDescent="0.2">
      <c r="A683" s="7" t="s">
        <v>92</v>
      </c>
      <c r="C683" s="7" t="str">
        <f t="shared" si="100"/>
        <v>Jane</v>
      </c>
      <c r="D683" s="7" t="str">
        <f>+D682</f>
        <v>Clayton</v>
      </c>
      <c r="E683" s="8" t="str">
        <f>E682</f>
        <v>INST</v>
      </c>
      <c r="G683" s="8" t="str">
        <f>G682</f>
        <v>CLAY0001</v>
      </c>
      <c r="H683" s="26"/>
      <c r="I683" s="26"/>
      <c r="J683" s="26"/>
      <c r="K683" s="28">
        <f>+K682</f>
        <v>42095</v>
      </c>
      <c r="L683" s="26" t="str">
        <f>L682</f>
        <v>10432</v>
      </c>
      <c r="M683" s="26"/>
      <c r="N683" s="26"/>
      <c r="O683" s="26" t="str">
        <f>"""GP Direct"",""Fabrikam, Inc."",""UPR30300"",""PAYRATE"",""0.00000"",""PAYROLCD"",""MED"",""STATECD"","""",""CHEKDATE"",""4/1/2015"",""UPRTRXAM"",""5.00000"""</f>
        <v>"GP Direct","Fabrikam, Inc.","UPR30300","PAYRATE","0.00000","PAYROLCD","MED","STATECD","","CHEKDATE","4/1/2015","UPRTRXAM","5.00000"</v>
      </c>
      <c r="P683" s="29">
        <v>0</v>
      </c>
      <c r="Q683" s="26" t="str">
        <f>"MED"</f>
        <v>MED</v>
      </c>
      <c r="R683" s="26"/>
      <c r="S683" s="28">
        <v>42095</v>
      </c>
      <c r="T683" s="29">
        <v>5</v>
      </c>
    </row>
    <row r="684" spans="1:20" s="7" customFormat="1" hidden="1" outlineLevel="3" x14ac:dyDescent="0.2">
      <c r="A684" s="7" t="s">
        <v>92</v>
      </c>
      <c r="C684" s="7" t="str">
        <f t="shared" si="100"/>
        <v>Jane</v>
      </c>
      <c r="D684" s="7" t="str">
        <f>+D683</f>
        <v>Clayton</v>
      </c>
      <c r="E684" s="8" t="str">
        <f>E683</f>
        <v>INST</v>
      </c>
      <c r="G684" s="8" t="str">
        <f>G683</f>
        <v>CLAY0001</v>
      </c>
      <c r="H684" s="26"/>
      <c r="I684" s="26"/>
      <c r="J684" s="26"/>
      <c r="K684" s="28">
        <f>+K683</f>
        <v>42095</v>
      </c>
      <c r="L684" s="26" t="str">
        <f>L683</f>
        <v>10432</v>
      </c>
      <c r="M684" s="26"/>
      <c r="N684" s="26"/>
      <c r="O684" s="26" t="str">
        <f>"""GP Direct"",""Fabrikam, Inc."",""UPR30300"",""PAYRATE"",""0.00000"",""PAYROLCD"",""NE"",""STATECD"","""",""CHEKDATE"",""4/1/2015"",""UPRTRXAM"",""28.22000"""</f>
        <v>"GP Direct","Fabrikam, Inc.","UPR30300","PAYRATE","0.00000","PAYROLCD","NE","STATECD","","CHEKDATE","4/1/2015","UPRTRXAM","28.22000"</v>
      </c>
      <c r="P684" s="29">
        <v>0</v>
      </c>
      <c r="Q684" s="26" t="str">
        <f>"NE"</f>
        <v>NE</v>
      </c>
      <c r="R684" s="26"/>
      <c r="S684" s="28">
        <v>42095</v>
      </c>
      <c r="T684" s="29">
        <v>28.22</v>
      </c>
    </row>
    <row r="685" spans="1:20" s="7" customFormat="1" hidden="1" outlineLevel="3" x14ac:dyDescent="0.2">
      <c r="A685" s="7" t="s">
        <v>92</v>
      </c>
      <c r="C685" s="7" t="str">
        <f t="shared" si="100"/>
        <v>Jane</v>
      </c>
      <c r="D685" s="7" t="str">
        <f>+D684</f>
        <v>Clayton</v>
      </c>
      <c r="E685" s="8" t="str">
        <f>E684</f>
        <v>INST</v>
      </c>
      <c r="G685" s="8" t="str">
        <f>G684</f>
        <v>CLAY0001</v>
      </c>
      <c r="H685" s="26"/>
      <c r="I685" s="26"/>
      <c r="J685" s="26"/>
      <c r="K685" s="28">
        <f>+K684</f>
        <v>42095</v>
      </c>
      <c r="L685" s="26" t="str">
        <f>L684</f>
        <v>10432</v>
      </c>
      <c r="M685" s="26"/>
      <c r="N685" s="26"/>
      <c r="O685" s="26" t="str">
        <f>"""GP Direct"",""Fabrikam, Inc."",""UPR30300"",""PAYRATE"",""31500.00000"",""PAYROLCD"",""SALY"",""STATECD"",""NE"",""CHEKDATE"",""4/1/2015"",""UPRTRXAM"",""1312.50000"""</f>
        <v>"GP Direct","Fabrikam, Inc.","UPR30300","PAYRATE","31500.00000","PAYROLCD","SALY","STATECD","NE","CHEKDATE","4/1/2015","UPRTRXAM","1312.50000"</v>
      </c>
      <c r="P685" s="29">
        <v>31500</v>
      </c>
      <c r="Q685" s="26" t="str">
        <f>"SALY"</f>
        <v>SALY</v>
      </c>
      <c r="R685" s="26" t="str">
        <f>"NE"</f>
        <v>NE</v>
      </c>
      <c r="S685" s="28">
        <v>42095</v>
      </c>
      <c r="T685" s="29">
        <v>1312.5</v>
      </c>
    </row>
    <row r="686" spans="1:20" s="7" customFormat="1" hidden="1" outlineLevel="3" x14ac:dyDescent="0.2">
      <c r="A686" s="7" t="s">
        <v>92</v>
      </c>
      <c r="C686" s="7" t="str">
        <f>+C679</f>
        <v>Jane</v>
      </c>
      <c r="D686" s="7" t="str">
        <f>+D679</f>
        <v>Clayton</v>
      </c>
      <c r="E686" s="8" t="str">
        <f>E679</f>
        <v>INST</v>
      </c>
      <c r="G686" s="8" t="str">
        <f>G679</f>
        <v>CLAY0001</v>
      </c>
      <c r="K686" s="12">
        <f>+K679</f>
        <v>42095</v>
      </c>
      <c r="L686" s="8" t="str">
        <f>L679</f>
        <v>10432</v>
      </c>
      <c r="O686" s="8"/>
      <c r="T686" s="20"/>
    </row>
    <row r="687" spans="1:20" s="7" customFormat="1" hidden="1" outlineLevel="2" collapsed="1" x14ac:dyDescent="0.2">
      <c r="A687" s="7" t="s">
        <v>92</v>
      </c>
      <c r="C687" s="7" t="str">
        <f t="shared" si="97"/>
        <v>Jane</v>
      </c>
      <c r="D687" s="7" t="str">
        <f>+D686</f>
        <v>Clayton</v>
      </c>
      <c r="E687" s="8" t="str">
        <f>E686</f>
        <v>INST</v>
      </c>
      <c r="G687" s="8" t="str">
        <f>G686</f>
        <v>CLAY0001</v>
      </c>
      <c r="K687" s="12">
        <f>+K686</f>
        <v>42095</v>
      </c>
      <c r="L687" s="8" t="str">
        <f>L686</f>
        <v>10432</v>
      </c>
      <c r="M687" s="33" t="str">
        <f>"Total for " &amp; $L687</f>
        <v>Total for 10432</v>
      </c>
      <c r="N687" s="34">
        <f>+K687</f>
        <v>42095</v>
      </c>
      <c r="O687" s="35"/>
      <c r="P687" s="33"/>
      <c r="Q687" s="33"/>
      <c r="R687" s="33"/>
      <c r="S687" s="33"/>
      <c r="T687" s="36">
        <f>SUBTOTAL(9,T679:T686)</f>
        <v>1498.16</v>
      </c>
    </row>
    <row r="688" spans="1:20" s="7" customFormat="1" hidden="1" outlineLevel="3" x14ac:dyDescent="0.2">
      <c r="A688" s="7" t="s">
        <v>92</v>
      </c>
      <c r="C688" s="7" t="str">
        <f t="shared" si="97"/>
        <v>Jane</v>
      </c>
      <c r="D688" s="7" t="str">
        <f>+D687</f>
        <v>Clayton</v>
      </c>
      <c r="E688" s="8" t="str">
        <f>E687</f>
        <v>INST</v>
      </c>
      <c r="G688" s="8" t="str">
        <f>G687</f>
        <v>CLAY0001</v>
      </c>
      <c r="H688" s="26"/>
      <c r="I688" s="26"/>
      <c r="J688" s="26"/>
      <c r="K688" s="28">
        <f>+N688</f>
        <v>42125</v>
      </c>
      <c r="L688" s="26" t="str">
        <f>M688</f>
        <v>10457</v>
      </c>
      <c r="M688" s="26" t="str">
        <f>"10457"</f>
        <v>10457</v>
      </c>
      <c r="N688" s="28">
        <v>42125</v>
      </c>
      <c r="O688" s="26"/>
      <c r="P688" s="26"/>
      <c r="Q688" s="26"/>
      <c r="R688" s="26"/>
      <c r="S688" s="26"/>
      <c r="T688" s="27"/>
    </row>
    <row r="689" spans="1:20" s="7" customFormat="1" hidden="1" outlineLevel="3" x14ac:dyDescent="0.2">
      <c r="A689" s="7" t="s">
        <v>92</v>
      </c>
      <c r="C689" s="7" t="str">
        <f t="shared" si="97"/>
        <v>Jane</v>
      </c>
      <c r="D689" s="7" t="str">
        <f>+D688</f>
        <v>Clayton</v>
      </c>
      <c r="E689" s="8" t="str">
        <f>E688</f>
        <v>INST</v>
      </c>
      <c r="G689" s="8" t="str">
        <f>G688</f>
        <v>CLAY0001</v>
      </c>
      <c r="H689" s="26"/>
      <c r="I689" s="26"/>
      <c r="J689" s="26"/>
      <c r="K689" s="28">
        <f>+K688</f>
        <v>42125</v>
      </c>
      <c r="L689" s="26" t="str">
        <f>L688</f>
        <v>10457</v>
      </c>
      <c r="M689" s="26"/>
      <c r="N689" s="26"/>
      <c r="O689" s="26" t="str">
        <f>"""GP Direct"",""Fabrikam, Inc."",""UPR30300"",""PAYRATE"",""0.00000"",""PAYROLCD"",""401K"",""STATECD"","""",""CHEKDATE"",""5/1/2015"",""UPRTRXAM"",""2.63000"""</f>
        <v>"GP Direct","Fabrikam, Inc.","UPR30300","PAYRATE","0.00000","PAYROLCD","401K","STATECD","","CHEKDATE","5/1/2015","UPRTRXAM","2.63000"</v>
      </c>
      <c r="P689" s="29">
        <v>0</v>
      </c>
      <c r="Q689" s="26" t="str">
        <f>"401K"</f>
        <v>401K</v>
      </c>
      <c r="R689" s="26"/>
      <c r="S689" s="28">
        <v>42125</v>
      </c>
      <c r="T689" s="29">
        <v>2.63</v>
      </c>
    </row>
    <row r="690" spans="1:20" s="7" customFormat="1" hidden="1" outlineLevel="3" x14ac:dyDescent="0.2">
      <c r="A690" s="7" t="s">
        <v>92</v>
      </c>
      <c r="C690" s="7" t="str">
        <f t="shared" ref="C690:C695" si="101">+C689</f>
        <v>Jane</v>
      </c>
      <c r="D690" s="7" t="str">
        <f>+D689</f>
        <v>Clayton</v>
      </c>
      <c r="E690" s="8" t="str">
        <f>E689</f>
        <v>INST</v>
      </c>
      <c r="G690" s="8" t="str">
        <f>G689</f>
        <v>CLAY0001</v>
      </c>
      <c r="H690" s="26"/>
      <c r="I690" s="26"/>
      <c r="J690" s="26"/>
      <c r="K690" s="28">
        <f>+K689</f>
        <v>42125</v>
      </c>
      <c r="L690" s="26" t="str">
        <f>L689</f>
        <v>10457</v>
      </c>
      <c r="M690" s="26"/>
      <c r="N690" s="26"/>
      <c r="O690" s="26" t="str">
        <f>"""GP Direct"",""Fabrikam, Inc."",""UPR30300"",""PAYRATE"",""0.00000"",""PAYROLCD"",""401K"",""STATECD"","""",""CHEKDATE"",""5/1/2015"",""UPRTRXAM"",""52.50000"""</f>
        <v>"GP Direct","Fabrikam, Inc.","UPR30300","PAYRATE","0.00000","PAYROLCD","401K","STATECD","","CHEKDATE","5/1/2015","UPRTRXAM","52.50000"</v>
      </c>
      <c r="P690" s="29">
        <v>0</v>
      </c>
      <c r="Q690" s="26" t="str">
        <f>"401K"</f>
        <v>401K</v>
      </c>
      <c r="R690" s="26"/>
      <c r="S690" s="28">
        <v>42125</v>
      </c>
      <c r="T690" s="29">
        <v>52.5</v>
      </c>
    </row>
    <row r="691" spans="1:20" s="7" customFormat="1" hidden="1" outlineLevel="3" x14ac:dyDescent="0.2">
      <c r="A691" s="7" t="s">
        <v>92</v>
      </c>
      <c r="C691" s="7" t="str">
        <f t="shared" si="101"/>
        <v>Jane</v>
      </c>
      <c r="D691" s="7" t="str">
        <f>+D690</f>
        <v>Clayton</v>
      </c>
      <c r="E691" s="8" t="str">
        <f>E690</f>
        <v>INST</v>
      </c>
      <c r="G691" s="8" t="str">
        <f>G690</f>
        <v>CLAY0001</v>
      </c>
      <c r="H691" s="26"/>
      <c r="I691" s="26"/>
      <c r="J691" s="26"/>
      <c r="K691" s="28">
        <f>+K690</f>
        <v>42125</v>
      </c>
      <c r="L691" s="26" t="str">
        <f>L690</f>
        <v>10457</v>
      </c>
      <c r="M691" s="26"/>
      <c r="N691" s="26"/>
      <c r="O691" s="26" t="str">
        <f>"""GP Direct"",""Fabrikam, Inc."",""UPR30300"",""PAYRATE"",""0.00000"",""PAYROLCD"",""INS"",""STATECD"","""",""CHEKDATE"",""5/1/2015"",""UPRTRXAM"",""49.36000"""</f>
        <v>"GP Direct","Fabrikam, Inc.","UPR30300","PAYRATE","0.00000","PAYROLCD","INS","STATECD","","CHEKDATE","5/1/2015","UPRTRXAM","49.36000"</v>
      </c>
      <c r="P691" s="29">
        <v>0</v>
      </c>
      <c r="Q691" s="26" t="str">
        <f>"INS"</f>
        <v>INS</v>
      </c>
      <c r="R691" s="26"/>
      <c r="S691" s="28">
        <v>42125</v>
      </c>
      <c r="T691" s="29">
        <v>49.36</v>
      </c>
    </row>
    <row r="692" spans="1:20" s="7" customFormat="1" hidden="1" outlineLevel="3" x14ac:dyDescent="0.2">
      <c r="A692" s="7" t="s">
        <v>92</v>
      </c>
      <c r="C692" s="7" t="str">
        <f t="shared" si="101"/>
        <v>Jane</v>
      </c>
      <c r="D692" s="7" t="str">
        <f>+D691</f>
        <v>Clayton</v>
      </c>
      <c r="E692" s="8" t="str">
        <f>E691</f>
        <v>INST</v>
      </c>
      <c r="G692" s="8" t="str">
        <f>G691</f>
        <v>CLAY0001</v>
      </c>
      <c r="H692" s="26"/>
      <c r="I692" s="26"/>
      <c r="J692" s="26"/>
      <c r="K692" s="28">
        <f>+K691</f>
        <v>42125</v>
      </c>
      <c r="L692" s="26" t="str">
        <f>L691</f>
        <v>10457</v>
      </c>
      <c r="M692" s="26"/>
      <c r="N692" s="26"/>
      <c r="O692" s="26" t="str">
        <f>"""GP Direct"",""Fabrikam, Inc."",""UPR30300"",""PAYRATE"",""0.00000"",""PAYROLCD"",""INS1"",""STATECD"","""",""CHEKDATE"",""5/1/2015"",""UPRTRXAM"",""47.95000"""</f>
        <v>"GP Direct","Fabrikam, Inc.","UPR30300","PAYRATE","0.00000","PAYROLCD","INS1","STATECD","","CHEKDATE","5/1/2015","UPRTRXAM","47.95000"</v>
      </c>
      <c r="P692" s="29">
        <v>0</v>
      </c>
      <c r="Q692" s="26" t="str">
        <f>"INS1"</f>
        <v>INS1</v>
      </c>
      <c r="R692" s="26"/>
      <c r="S692" s="28">
        <v>42125</v>
      </c>
      <c r="T692" s="29">
        <v>47.95</v>
      </c>
    </row>
    <row r="693" spans="1:20" s="7" customFormat="1" hidden="1" outlineLevel="3" x14ac:dyDescent="0.2">
      <c r="A693" s="7" t="s">
        <v>92</v>
      </c>
      <c r="C693" s="7" t="str">
        <f t="shared" si="101"/>
        <v>Jane</v>
      </c>
      <c r="D693" s="7" t="str">
        <f>+D692</f>
        <v>Clayton</v>
      </c>
      <c r="E693" s="8" t="str">
        <f>E692</f>
        <v>INST</v>
      </c>
      <c r="G693" s="8" t="str">
        <f>G692</f>
        <v>CLAY0001</v>
      </c>
      <c r="H693" s="26"/>
      <c r="I693" s="26"/>
      <c r="J693" s="26"/>
      <c r="K693" s="28">
        <f>+K692</f>
        <v>42125</v>
      </c>
      <c r="L693" s="26" t="str">
        <f>L692</f>
        <v>10457</v>
      </c>
      <c r="M693" s="26"/>
      <c r="N693" s="26"/>
      <c r="O693" s="26" t="str">
        <f>"""GP Direct"",""Fabrikam, Inc."",""UPR30300"",""PAYRATE"",""0.00000"",""PAYROLCD"",""MED"",""STATECD"","""",""CHEKDATE"",""5/1/2015"",""UPRTRXAM"",""5.00000"""</f>
        <v>"GP Direct","Fabrikam, Inc.","UPR30300","PAYRATE","0.00000","PAYROLCD","MED","STATECD","","CHEKDATE","5/1/2015","UPRTRXAM","5.00000"</v>
      </c>
      <c r="P693" s="29">
        <v>0</v>
      </c>
      <c r="Q693" s="26" t="str">
        <f>"MED"</f>
        <v>MED</v>
      </c>
      <c r="R693" s="26"/>
      <c r="S693" s="28">
        <v>42125</v>
      </c>
      <c r="T693" s="29">
        <v>5</v>
      </c>
    </row>
    <row r="694" spans="1:20" s="7" customFormat="1" hidden="1" outlineLevel="3" x14ac:dyDescent="0.2">
      <c r="A694" s="7" t="s">
        <v>92</v>
      </c>
      <c r="C694" s="7" t="str">
        <f t="shared" si="101"/>
        <v>Jane</v>
      </c>
      <c r="D694" s="7" t="str">
        <f>+D693</f>
        <v>Clayton</v>
      </c>
      <c r="E694" s="8" t="str">
        <f>E693</f>
        <v>INST</v>
      </c>
      <c r="G694" s="8" t="str">
        <f>G693</f>
        <v>CLAY0001</v>
      </c>
      <c r="H694" s="26"/>
      <c r="I694" s="26"/>
      <c r="J694" s="26"/>
      <c r="K694" s="28">
        <f>+K693</f>
        <v>42125</v>
      </c>
      <c r="L694" s="26" t="str">
        <f>L693</f>
        <v>10457</v>
      </c>
      <c r="M694" s="26"/>
      <c r="N694" s="26"/>
      <c r="O694" s="26" t="str">
        <f>"""GP Direct"",""Fabrikam, Inc."",""UPR30300"",""PAYRATE"",""0.00000"",""PAYROLCD"",""NE"",""STATECD"","""",""CHEKDATE"",""5/1/2015"",""UPRTRXAM"",""28.22000"""</f>
        <v>"GP Direct","Fabrikam, Inc.","UPR30300","PAYRATE","0.00000","PAYROLCD","NE","STATECD","","CHEKDATE","5/1/2015","UPRTRXAM","28.22000"</v>
      </c>
      <c r="P694" s="29">
        <v>0</v>
      </c>
      <c r="Q694" s="26" t="str">
        <f>"NE"</f>
        <v>NE</v>
      </c>
      <c r="R694" s="26"/>
      <c r="S694" s="28">
        <v>42125</v>
      </c>
      <c r="T694" s="29">
        <v>28.22</v>
      </c>
    </row>
    <row r="695" spans="1:20" s="7" customFormat="1" hidden="1" outlineLevel="3" x14ac:dyDescent="0.2">
      <c r="A695" s="7" t="s">
        <v>92</v>
      </c>
      <c r="C695" s="7" t="str">
        <f t="shared" si="101"/>
        <v>Jane</v>
      </c>
      <c r="D695" s="7" t="str">
        <f>+D694</f>
        <v>Clayton</v>
      </c>
      <c r="E695" s="8" t="str">
        <f>E694</f>
        <v>INST</v>
      </c>
      <c r="G695" s="8" t="str">
        <f>G694</f>
        <v>CLAY0001</v>
      </c>
      <c r="H695" s="26"/>
      <c r="I695" s="26"/>
      <c r="J695" s="26"/>
      <c r="K695" s="28">
        <f>+K694</f>
        <v>42125</v>
      </c>
      <c r="L695" s="26" t="str">
        <f>L694</f>
        <v>10457</v>
      </c>
      <c r="M695" s="26"/>
      <c r="N695" s="26"/>
      <c r="O695" s="26" t="str">
        <f>"""GP Direct"",""Fabrikam, Inc."",""UPR30300"",""PAYRATE"",""31500.00000"",""PAYROLCD"",""SALY"",""STATECD"",""NE"",""CHEKDATE"",""5/1/2015"",""UPRTRXAM"",""1312.50000"""</f>
        <v>"GP Direct","Fabrikam, Inc.","UPR30300","PAYRATE","31500.00000","PAYROLCD","SALY","STATECD","NE","CHEKDATE","5/1/2015","UPRTRXAM","1312.50000"</v>
      </c>
      <c r="P695" s="29">
        <v>31500</v>
      </c>
      <c r="Q695" s="26" t="str">
        <f>"SALY"</f>
        <v>SALY</v>
      </c>
      <c r="R695" s="26" t="str">
        <f>"NE"</f>
        <v>NE</v>
      </c>
      <c r="S695" s="28">
        <v>42125</v>
      </c>
      <c r="T695" s="29">
        <v>1312.5</v>
      </c>
    </row>
    <row r="696" spans="1:20" s="7" customFormat="1" hidden="1" outlineLevel="3" x14ac:dyDescent="0.2">
      <c r="A696" s="7" t="s">
        <v>92</v>
      </c>
      <c r="C696" s="7" t="str">
        <f>+C689</f>
        <v>Jane</v>
      </c>
      <c r="D696" s="7" t="str">
        <f>+D689</f>
        <v>Clayton</v>
      </c>
      <c r="E696" s="8" t="str">
        <f>E689</f>
        <v>INST</v>
      </c>
      <c r="G696" s="8" t="str">
        <f>G689</f>
        <v>CLAY0001</v>
      </c>
      <c r="K696" s="12">
        <f>+K689</f>
        <v>42125</v>
      </c>
      <c r="L696" s="8" t="str">
        <f>L689</f>
        <v>10457</v>
      </c>
      <c r="O696" s="8"/>
      <c r="T696" s="20"/>
    </row>
    <row r="697" spans="1:20" s="7" customFormat="1" hidden="1" outlineLevel="2" collapsed="1" x14ac:dyDescent="0.2">
      <c r="A697" s="7" t="s">
        <v>92</v>
      </c>
      <c r="C697" s="7" t="str">
        <f t="shared" si="97"/>
        <v>Jane</v>
      </c>
      <c r="D697" s="7" t="str">
        <f>+D696</f>
        <v>Clayton</v>
      </c>
      <c r="E697" s="8" t="str">
        <f>E696</f>
        <v>INST</v>
      </c>
      <c r="G697" s="8" t="str">
        <f>G696</f>
        <v>CLAY0001</v>
      </c>
      <c r="K697" s="12">
        <f>+K696</f>
        <v>42125</v>
      </c>
      <c r="L697" s="8" t="str">
        <f>L696</f>
        <v>10457</v>
      </c>
      <c r="M697" s="33" t="str">
        <f>"Total for " &amp; $L697</f>
        <v>Total for 10457</v>
      </c>
      <c r="N697" s="34">
        <f>+K697</f>
        <v>42125</v>
      </c>
      <c r="O697" s="35"/>
      <c r="P697" s="33"/>
      <c r="Q697" s="33"/>
      <c r="R697" s="33"/>
      <c r="S697" s="33"/>
      <c r="T697" s="36">
        <f>SUBTOTAL(9,T689:T696)</f>
        <v>1498.16</v>
      </c>
    </row>
    <row r="698" spans="1:20" s="7" customFormat="1" hidden="1" outlineLevel="3" x14ac:dyDescent="0.2">
      <c r="A698" s="7" t="s">
        <v>92</v>
      </c>
      <c r="C698" s="7" t="str">
        <f t="shared" si="97"/>
        <v>Jane</v>
      </c>
      <c r="D698" s="7" t="str">
        <f>+D697</f>
        <v>Clayton</v>
      </c>
      <c r="E698" s="8" t="str">
        <f>E697</f>
        <v>INST</v>
      </c>
      <c r="G698" s="8" t="str">
        <f>G697</f>
        <v>CLAY0001</v>
      </c>
      <c r="H698" s="26"/>
      <c r="I698" s="26"/>
      <c r="J698" s="26"/>
      <c r="K698" s="28">
        <f>+N698</f>
        <v>42156</v>
      </c>
      <c r="L698" s="26" t="str">
        <f>M698</f>
        <v>10482</v>
      </c>
      <c r="M698" s="26" t="str">
        <f>"10482"</f>
        <v>10482</v>
      </c>
      <c r="N698" s="28">
        <v>42156</v>
      </c>
      <c r="O698" s="26"/>
      <c r="P698" s="26"/>
      <c r="Q698" s="26"/>
      <c r="R698" s="26"/>
      <c r="S698" s="26"/>
      <c r="T698" s="27"/>
    </row>
    <row r="699" spans="1:20" s="7" customFormat="1" hidden="1" outlineLevel="3" x14ac:dyDescent="0.2">
      <c r="A699" s="7" t="s">
        <v>92</v>
      </c>
      <c r="C699" s="7" t="str">
        <f t="shared" si="97"/>
        <v>Jane</v>
      </c>
      <c r="D699" s="7" t="str">
        <f>+D698</f>
        <v>Clayton</v>
      </c>
      <c r="E699" s="8" t="str">
        <f>E698</f>
        <v>INST</v>
      </c>
      <c r="G699" s="8" t="str">
        <f>G698</f>
        <v>CLAY0001</v>
      </c>
      <c r="H699" s="26"/>
      <c r="I699" s="26"/>
      <c r="J699" s="26"/>
      <c r="K699" s="28">
        <f>+K698</f>
        <v>42156</v>
      </c>
      <c r="L699" s="26" t="str">
        <f>L698</f>
        <v>10482</v>
      </c>
      <c r="M699" s="26"/>
      <c r="N699" s="26"/>
      <c r="O699" s="26" t="str">
        <f>"""GP Direct"",""Fabrikam, Inc."",""UPR30300"",""PAYRATE"",""0.00000"",""PAYROLCD"",""401K"",""STATECD"","""",""CHEKDATE"",""6/1/2015"",""UPRTRXAM"",""2.63000"""</f>
        <v>"GP Direct","Fabrikam, Inc.","UPR30300","PAYRATE","0.00000","PAYROLCD","401K","STATECD","","CHEKDATE","6/1/2015","UPRTRXAM","2.63000"</v>
      </c>
      <c r="P699" s="29">
        <v>0</v>
      </c>
      <c r="Q699" s="26" t="str">
        <f>"401K"</f>
        <v>401K</v>
      </c>
      <c r="R699" s="26"/>
      <c r="S699" s="28">
        <v>42156</v>
      </c>
      <c r="T699" s="29">
        <v>2.63</v>
      </c>
    </row>
    <row r="700" spans="1:20" s="7" customFormat="1" hidden="1" outlineLevel="3" x14ac:dyDescent="0.2">
      <c r="A700" s="7" t="s">
        <v>92</v>
      </c>
      <c r="C700" s="7" t="str">
        <f t="shared" ref="C700:C705" si="102">+C699</f>
        <v>Jane</v>
      </c>
      <c r="D700" s="7" t="str">
        <f>+D699</f>
        <v>Clayton</v>
      </c>
      <c r="E700" s="8" t="str">
        <f>E699</f>
        <v>INST</v>
      </c>
      <c r="G700" s="8" t="str">
        <f>G699</f>
        <v>CLAY0001</v>
      </c>
      <c r="H700" s="26"/>
      <c r="I700" s="26"/>
      <c r="J700" s="26"/>
      <c r="K700" s="28">
        <f>+K699</f>
        <v>42156</v>
      </c>
      <c r="L700" s="26" t="str">
        <f>L699</f>
        <v>10482</v>
      </c>
      <c r="M700" s="26"/>
      <c r="N700" s="26"/>
      <c r="O700" s="26" t="str">
        <f>"""GP Direct"",""Fabrikam, Inc."",""UPR30300"",""PAYRATE"",""0.00000"",""PAYROLCD"",""401K"",""STATECD"","""",""CHEKDATE"",""6/1/2015"",""UPRTRXAM"",""52.50000"""</f>
        <v>"GP Direct","Fabrikam, Inc.","UPR30300","PAYRATE","0.00000","PAYROLCD","401K","STATECD","","CHEKDATE","6/1/2015","UPRTRXAM","52.50000"</v>
      </c>
      <c r="P700" s="29">
        <v>0</v>
      </c>
      <c r="Q700" s="26" t="str">
        <f>"401K"</f>
        <v>401K</v>
      </c>
      <c r="R700" s="26"/>
      <c r="S700" s="28">
        <v>42156</v>
      </c>
      <c r="T700" s="29">
        <v>52.5</v>
      </c>
    </row>
    <row r="701" spans="1:20" s="7" customFormat="1" hidden="1" outlineLevel="3" x14ac:dyDescent="0.2">
      <c r="A701" s="7" t="s">
        <v>92</v>
      </c>
      <c r="C701" s="7" t="str">
        <f t="shared" si="102"/>
        <v>Jane</v>
      </c>
      <c r="D701" s="7" t="str">
        <f>+D700</f>
        <v>Clayton</v>
      </c>
      <c r="E701" s="8" t="str">
        <f>E700</f>
        <v>INST</v>
      </c>
      <c r="G701" s="8" t="str">
        <f>G700</f>
        <v>CLAY0001</v>
      </c>
      <c r="H701" s="26"/>
      <c r="I701" s="26"/>
      <c r="J701" s="26"/>
      <c r="K701" s="28">
        <f>+K700</f>
        <v>42156</v>
      </c>
      <c r="L701" s="26" t="str">
        <f>L700</f>
        <v>10482</v>
      </c>
      <c r="M701" s="26"/>
      <c r="N701" s="26"/>
      <c r="O701" s="26" t="str">
        <f>"""GP Direct"",""Fabrikam, Inc."",""UPR30300"",""PAYRATE"",""0.00000"",""PAYROLCD"",""INS"",""STATECD"","""",""CHEKDATE"",""6/1/2015"",""UPRTRXAM"",""49.36000"""</f>
        <v>"GP Direct","Fabrikam, Inc.","UPR30300","PAYRATE","0.00000","PAYROLCD","INS","STATECD","","CHEKDATE","6/1/2015","UPRTRXAM","49.36000"</v>
      </c>
      <c r="P701" s="29">
        <v>0</v>
      </c>
      <c r="Q701" s="26" t="str">
        <f>"INS"</f>
        <v>INS</v>
      </c>
      <c r="R701" s="26"/>
      <c r="S701" s="28">
        <v>42156</v>
      </c>
      <c r="T701" s="29">
        <v>49.36</v>
      </c>
    </row>
    <row r="702" spans="1:20" s="7" customFormat="1" hidden="1" outlineLevel="3" x14ac:dyDescent="0.2">
      <c r="A702" s="7" t="s">
        <v>92</v>
      </c>
      <c r="C702" s="7" t="str">
        <f t="shared" si="102"/>
        <v>Jane</v>
      </c>
      <c r="D702" s="7" t="str">
        <f>+D701</f>
        <v>Clayton</v>
      </c>
      <c r="E702" s="8" t="str">
        <f>E701</f>
        <v>INST</v>
      </c>
      <c r="G702" s="8" t="str">
        <f>G701</f>
        <v>CLAY0001</v>
      </c>
      <c r="H702" s="26"/>
      <c r="I702" s="26"/>
      <c r="J702" s="26"/>
      <c r="K702" s="28">
        <f>+K701</f>
        <v>42156</v>
      </c>
      <c r="L702" s="26" t="str">
        <f>L701</f>
        <v>10482</v>
      </c>
      <c r="M702" s="26"/>
      <c r="N702" s="26"/>
      <c r="O702" s="26" t="str">
        <f>"""GP Direct"",""Fabrikam, Inc."",""UPR30300"",""PAYRATE"",""0.00000"",""PAYROLCD"",""INS1"",""STATECD"","""",""CHEKDATE"",""6/1/2015"",""UPRTRXAM"",""47.95000"""</f>
        <v>"GP Direct","Fabrikam, Inc.","UPR30300","PAYRATE","0.00000","PAYROLCD","INS1","STATECD","","CHEKDATE","6/1/2015","UPRTRXAM","47.95000"</v>
      </c>
      <c r="P702" s="29">
        <v>0</v>
      </c>
      <c r="Q702" s="26" t="str">
        <f>"INS1"</f>
        <v>INS1</v>
      </c>
      <c r="R702" s="26"/>
      <c r="S702" s="28">
        <v>42156</v>
      </c>
      <c r="T702" s="29">
        <v>47.95</v>
      </c>
    </row>
    <row r="703" spans="1:20" s="7" customFormat="1" hidden="1" outlineLevel="3" x14ac:dyDescent="0.2">
      <c r="A703" s="7" t="s">
        <v>92</v>
      </c>
      <c r="C703" s="7" t="str">
        <f t="shared" si="102"/>
        <v>Jane</v>
      </c>
      <c r="D703" s="7" t="str">
        <f>+D702</f>
        <v>Clayton</v>
      </c>
      <c r="E703" s="8" t="str">
        <f>E702</f>
        <v>INST</v>
      </c>
      <c r="G703" s="8" t="str">
        <f>G702</f>
        <v>CLAY0001</v>
      </c>
      <c r="H703" s="26"/>
      <c r="I703" s="26"/>
      <c r="J703" s="26"/>
      <c r="K703" s="28">
        <f>+K702</f>
        <v>42156</v>
      </c>
      <c r="L703" s="26" t="str">
        <f>L702</f>
        <v>10482</v>
      </c>
      <c r="M703" s="26"/>
      <c r="N703" s="26"/>
      <c r="O703" s="26" t="str">
        <f>"""GP Direct"",""Fabrikam, Inc."",""UPR30300"",""PAYRATE"",""0.00000"",""PAYROLCD"",""MED"",""STATECD"","""",""CHEKDATE"",""6/1/2015"",""UPRTRXAM"",""5.00000"""</f>
        <v>"GP Direct","Fabrikam, Inc.","UPR30300","PAYRATE","0.00000","PAYROLCD","MED","STATECD","","CHEKDATE","6/1/2015","UPRTRXAM","5.00000"</v>
      </c>
      <c r="P703" s="29">
        <v>0</v>
      </c>
      <c r="Q703" s="26" t="str">
        <f>"MED"</f>
        <v>MED</v>
      </c>
      <c r="R703" s="26"/>
      <c r="S703" s="28">
        <v>42156</v>
      </c>
      <c r="T703" s="29">
        <v>5</v>
      </c>
    </row>
    <row r="704" spans="1:20" s="7" customFormat="1" hidden="1" outlineLevel="3" x14ac:dyDescent="0.2">
      <c r="A704" s="7" t="s">
        <v>92</v>
      </c>
      <c r="C704" s="7" t="str">
        <f t="shared" si="102"/>
        <v>Jane</v>
      </c>
      <c r="D704" s="7" t="str">
        <f>+D703</f>
        <v>Clayton</v>
      </c>
      <c r="E704" s="8" t="str">
        <f>E703</f>
        <v>INST</v>
      </c>
      <c r="G704" s="8" t="str">
        <f>G703</f>
        <v>CLAY0001</v>
      </c>
      <c r="H704" s="26"/>
      <c r="I704" s="26"/>
      <c r="J704" s="26"/>
      <c r="K704" s="28">
        <f>+K703</f>
        <v>42156</v>
      </c>
      <c r="L704" s="26" t="str">
        <f>L703</f>
        <v>10482</v>
      </c>
      <c r="M704" s="26"/>
      <c r="N704" s="26"/>
      <c r="O704" s="26" t="str">
        <f>"""GP Direct"",""Fabrikam, Inc."",""UPR30300"",""PAYRATE"",""0.00000"",""PAYROLCD"",""NE"",""STATECD"","""",""CHEKDATE"",""6/1/2015"",""UPRTRXAM"",""28.22000"""</f>
        <v>"GP Direct","Fabrikam, Inc.","UPR30300","PAYRATE","0.00000","PAYROLCD","NE","STATECD","","CHEKDATE","6/1/2015","UPRTRXAM","28.22000"</v>
      </c>
      <c r="P704" s="29">
        <v>0</v>
      </c>
      <c r="Q704" s="26" t="str">
        <f>"NE"</f>
        <v>NE</v>
      </c>
      <c r="R704" s="26"/>
      <c r="S704" s="28">
        <v>42156</v>
      </c>
      <c r="T704" s="29">
        <v>28.22</v>
      </c>
    </row>
    <row r="705" spans="1:20" s="7" customFormat="1" hidden="1" outlineLevel="3" x14ac:dyDescent="0.2">
      <c r="A705" s="7" t="s">
        <v>92</v>
      </c>
      <c r="C705" s="7" t="str">
        <f t="shared" si="102"/>
        <v>Jane</v>
      </c>
      <c r="D705" s="7" t="str">
        <f>+D704</f>
        <v>Clayton</v>
      </c>
      <c r="E705" s="8" t="str">
        <f>E704</f>
        <v>INST</v>
      </c>
      <c r="G705" s="8" t="str">
        <f>G704</f>
        <v>CLAY0001</v>
      </c>
      <c r="H705" s="26"/>
      <c r="I705" s="26"/>
      <c r="J705" s="26"/>
      <c r="K705" s="28">
        <f>+K704</f>
        <v>42156</v>
      </c>
      <c r="L705" s="26" t="str">
        <f>L704</f>
        <v>10482</v>
      </c>
      <c r="M705" s="26"/>
      <c r="N705" s="26"/>
      <c r="O705" s="26" t="str">
        <f>"""GP Direct"",""Fabrikam, Inc."",""UPR30300"",""PAYRATE"",""31500.00000"",""PAYROLCD"",""SALY"",""STATECD"",""NE"",""CHEKDATE"",""6/1/2015"",""UPRTRXAM"",""1312.50000"""</f>
        <v>"GP Direct","Fabrikam, Inc.","UPR30300","PAYRATE","31500.00000","PAYROLCD","SALY","STATECD","NE","CHEKDATE","6/1/2015","UPRTRXAM","1312.50000"</v>
      </c>
      <c r="P705" s="29">
        <v>31500</v>
      </c>
      <c r="Q705" s="26" t="str">
        <f>"SALY"</f>
        <v>SALY</v>
      </c>
      <c r="R705" s="26" t="str">
        <f>"NE"</f>
        <v>NE</v>
      </c>
      <c r="S705" s="28">
        <v>42156</v>
      </c>
      <c r="T705" s="29">
        <v>1312.5</v>
      </c>
    </row>
    <row r="706" spans="1:20" s="7" customFormat="1" hidden="1" outlineLevel="3" x14ac:dyDescent="0.2">
      <c r="A706" s="7" t="s">
        <v>92</v>
      </c>
      <c r="C706" s="7" t="str">
        <f>+C699</f>
        <v>Jane</v>
      </c>
      <c r="D706" s="7" t="str">
        <f>+D699</f>
        <v>Clayton</v>
      </c>
      <c r="E706" s="8" t="str">
        <f>E699</f>
        <v>INST</v>
      </c>
      <c r="G706" s="8" t="str">
        <f>G699</f>
        <v>CLAY0001</v>
      </c>
      <c r="K706" s="12">
        <f>+K699</f>
        <v>42156</v>
      </c>
      <c r="L706" s="8" t="str">
        <f>L699</f>
        <v>10482</v>
      </c>
      <c r="O706" s="8"/>
      <c r="T706" s="20"/>
    </row>
    <row r="707" spans="1:20" s="7" customFormat="1" hidden="1" outlineLevel="2" collapsed="1" x14ac:dyDescent="0.2">
      <c r="A707" s="7" t="s">
        <v>92</v>
      </c>
      <c r="C707" s="7" t="str">
        <f t="shared" si="97"/>
        <v>Jane</v>
      </c>
      <c r="D707" s="7" t="str">
        <f>+D706</f>
        <v>Clayton</v>
      </c>
      <c r="E707" s="8" t="str">
        <f>E706</f>
        <v>INST</v>
      </c>
      <c r="G707" s="8" t="str">
        <f>G706</f>
        <v>CLAY0001</v>
      </c>
      <c r="K707" s="12">
        <f>+K706</f>
        <v>42156</v>
      </c>
      <c r="L707" s="8" t="str">
        <f>L706</f>
        <v>10482</v>
      </c>
      <c r="M707" s="33" t="str">
        <f>"Total for " &amp; $L707</f>
        <v>Total for 10482</v>
      </c>
      <c r="N707" s="34">
        <f>+K707</f>
        <v>42156</v>
      </c>
      <c r="O707" s="35"/>
      <c r="P707" s="33"/>
      <c r="Q707" s="33"/>
      <c r="R707" s="33"/>
      <c r="S707" s="33"/>
      <c r="T707" s="36">
        <f>SUBTOTAL(9,T699:T706)</f>
        <v>1498.16</v>
      </c>
    </row>
    <row r="708" spans="1:20" s="7" customFormat="1" hidden="1" outlineLevel="2" x14ac:dyDescent="0.2">
      <c r="A708" s="7" t="s">
        <v>92</v>
      </c>
      <c r="C708" s="7" t="str">
        <f>+C657</f>
        <v>Jane</v>
      </c>
      <c r="D708" s="7" t="str">
        <f>+D657</f>
        <v>Clayton</v>
      </c>
      <c r="E708" s="8" t="str">
        <f>E657</f>
        <v>INST</v>
      </c>
      <c r="G708" s="8" t="str">
        <f>G657</f>
        <v>CLAY0001</v>
      </c>
      <c r="L708" s="8"/>
      <c r="O708" s="8"/>
      <c r="T708" s="20"/>
    </row>
    <row r="709" spans="1:20" s="7" customFormat="1" hidden="1" outlineLevel="1" collapsed="1" x14ac:dyDescent="0.2">
      <c r="A709" s="7" t="s">
        <v>92</v>
      </c>
      <c r="C709" s="7" t="str">
        <f t="shared" si="95"/>
        <v>Jane</v>
      </c>
      <c r="D709" s="7" t="str">
        <f>+D708</f>
        <v>Clayton</v>
      </c>
      <c r="E709" s="8" t="str">
        <f>E708</f>
        <v>INST</v>
      </c>
      <c r="G709" s="8" t="str">
        <f>G708</f>
        <v>CLAY0001</v>
      </c>
      <c r="H709" s="30" t="str">
        <f>"Total for " &amp; $G709</f>
        <v>Total for CLAY0001</v>
      </c>
      <c r="I709" s="30" t="str">
        <f>+C709</f>
        <v>Jane</v>
      </c>
      <c r="J709" s="30" t="str">
        <f>+D709</f>
        <v>Clayton</v>
      </c>
      <c r="K709" s="30"/>
      <c r="L709" s="31"/>
      <c r="M709" s="30"/>
      <c r="N709" s="30"/>
      <c r="O709" s="31"/>
      <c r="P709" s="30"/>
      <c r="Q709" s="30"/>
      <c r="R709" s="30"/>
      <c r="S709" s="30"/>
      <c r="T709" s="32">
        <f>SUBTOTAL(9,T649:T708)</f>
        <v>8988.9599999999991</v>
      </c>
    </row>
    <row r="710" spans="1:20" s="7" customFormat="1" hidden="1" outlineLevel="2" x14ac:dyDescent="0.2">
      <c r="A710" s="7" t="s">
        <v>92</v>
      </c>
      <c r="C710" s="7" t="str">
        <f t="shared" ref="C710" si="103">+I710</f>
        <v>Brenda</v>
      </c>
      <c r="D710" s="7" t="str">
        <f>+J710</f>
        <v>Diaz</v>
      </c>
      <c r="E710" s="8" t="str">
        <f>E709</f>
        <v>INST</v>
      </c>
      <c r="G710" s="8" t="str">
        <f>H710</f>
        <v>DIAZ0001</v>
      </c>
      <c r="H710" s="24" t="str">
        <f>"DIAZ0001"</f>
        <v>DIAZ0001</v>
      </c>
      <c r="I710" s="25" t="str">
        <f>"Brenda"</f>
        <v>Brenda</v>
      </c>
      <c r="J710" s="25" t="str">
        <f>"Diaz"</f>
        <v>Diaz</v>
      </c>
      <c r="K710" s="26"/>
      <c r="L710" s="26"/>
      <c r="M710" s="26"/>
      <c r="N710" s="26"/>
      <c r="O710" s="26"/>
      <c r="P710" s="26"/>
      <c r="Q710" s="26"/>
      <c r="R710" s="26"/>
      <c r="S710" s="26"/>
      <c r="T710" s="27"/>
    </row>
    <row r="711" spans="1:20" s="7" customFormat="1" hidden="1" outlineLevel="3" x14ac:dyDescent="0.2">
      <c r="A711" s="7" t="s">
        <v>92</v>
      </c>
      <c r="C711" s="7" t="str">
        <f t="shared" ref="C711:C777" si="104">+C710</f>
        <v>Brenda</v>
      </c>
      <c r="D711" s="7" t="str">
        <f>+D710</f>
        <v>Diaz</v>
      </c>
      <c r="E711" s="8" t="str">
        <f>E710</f>
        <v>INST</v>
      </c>
      <c r="G711" s="8" t="str">
        <f>G710</f>
        <v>DIAZ0001</v>
      </c>
      <c r="H711" s="26"/>
      <c r="I711" s="26"/>
      <c r="J711" s="26"/>
      <c r="K711" s="28">
        <f>+N711</f>
        <v>42005</v>
      </c>
      <c r="L711" s="26" t="str">
        <f>M711</f>
        <v>10359</v>
      </c>
      <c r="M711" s="26" t="str">
        <f>"10359"</f>
        <v>10359</v>
      </c>
      <c r="N711" s="28">
        <v>42005</v>
      </c>
      <c r="O711" s="26"/>
      <c r="P711" s="26"/>
      <c r="Q711" s="26"/>
      <c r="R711" s="26"/>
      <c r="S711" s="26"/>
      <c r="T711" s="27"/>
    </row>
    <row r="712" spans="1:20" s="7" customFormat="1" hidden="1" outlineLevel="3" x14ac:dyDescent="0.2">
      <c r="A712" s="7" t="s">
        <v>92</v>
      </c>
      <c r="C712" s="7" t="str">
        <f t="shared" si="104"/>
        <v>Brenda</v>
      </c>
      <c r="D712" s="7" t="str">
        <f>+D711</f>
        <v>Diaz</v>
      </c>
      <c r="E712" s="8" t="str">
        <f>E711</f>
        <v>INST</v>
      </c>
      <c r="G712" s="8" t="str">
        <f>G711</f>
        <v>DIAZ0001</v>
      </c>
      <c r="H712" s="26"/>
      <c r="I712" s="26"/>
      <c r="J712" s="26"/>
      <c r="K712" s="28">
        <f>+K711</f>
        <v>42005</v>
      </c>
      <c r="L712" s="26" t="str">
        <f>L711</f>
        <v>10359</v>
      </c>
      <c r="M712" s="26"/>
      <c r="N712" s="26"/>
      <c r="O712" s="26" t="str">
        <f>"""GP Direct"",""Fabrikam, Inc."",""UPR30300"",""PAYRATE"",""0.00000"",""PAYROLCD"",""401K"",""STATECD"","""",""CHEKDATE"",""1/1/2015"",""UPRTRXAM"",""2.22000"""</f>
        <v>"GP Direct","Fabrikam, Inc.","UPR30300","PAYRATE","0.00000","PAYROLCD","401K","STATECD","","CHEKDATE","1/1/2015","UPRTRXAM","2.22000"</v>
      </c>
      <c r="P712" s="29">
        <v>0</v>
      </c>
      <c r="Q712" s="26" t="str">
        <f>"401K"</f>
        <v>401K</v>
      </c>
      <c r="R712" s="26"/>
      <c r="S712" s="28">
        <v>42005</v>
      </c>
      <c r="T712" s="29">
        <v>2.2200000000000002</v>
      </c>
    </row>
    <row r="713" spans="1:20" s="7" customFormat="1" hidden="1" outlineLevel="3" x14ac:dyDescent="0.2">
      <c r="A713" s="7" t="s">
        <v>92</v>
      </c>
      <c r="C713" s="7" t="str">
        <f t="shared" ref="C713:C717" si="105">+C712</f>
        <v>Brenda</v>
      </c>
      <c r="D713" s="7" t="str">
        <f>+D712</f>
        <v>Diaz</v>
      </c>
      <c r="E713" s="8" t="str">
        <f>E712</f>
        <v>INST</v>
      </c>
      <c r="G713" s="8" t="str">
        <f>G712</f>
        <v>DIAZ0001</v>
      </c>
      <c r="H713" s="26"/>
      <c r="I713" s="26"/>
      <c r="J713" s="26"/>
      <c r="K713" s="28">
        <f>+K712</f>
        <v>42005</v>
      </c>
      <c r="L713" s="26" t="str">
        <f>L712</f>
        <v>10359</v>
      </c>
      <c r="M713" s="26"/>
      <c r="N713" s="26"/>
      <c r="O713" s="26" t="str">
        <f>"""GP Direct"",""Fabrikam, Inc."",""UPR30300"",""PAYRATE"",""0.00000"",""PAYROLCD"",""401K"",""STATECD"","""",""CHEKDATE"",""1/1/2015"",""UPRTRXAM"",""44.46000"""</f>
        <v>"GP Direct","Fabrikam, Inc.","UPR30300","PAYRATE","0.00000","PAYROLCD","401K","STATECD","","CHEKDATE","1/1/2015","UPRTRXAM","44.46000"</v>
      </c>
      <c r="P713" s="29">
        <v>0</v>
      </c>
      <c r="Q713" s="26" t="str">
        <f>"401K"</f>
        <v>401K</v>
      </c>
      <c r="R713" s="26"/>
      <c r="S713" s="28">
        <v>42005</v>
      </c>
      <c r="T713" s="29">
        <v>44.46</v>
      </c>
    </row>
    <row r="714" spans="1:20" s="7" customFormat="1" hidden="1" outlineLevel="3" x14ac:dyDescent="0.2">
      <c r="A714" s="7" t="s">
        <v>92</v>
      </c>
      <c r="C714" s="7" t="str">
        <f t="shared" si="105"/>
        <v>Brenda</v>
      </c>
      <c r="D714" s="7" t="str">
        <f>+D713</f>
        <v>Diaz</v>
      </c>
      <c r="E714" s="8" t="str">
        <f>E713</f>
        <v>INST</v>
      </c>
      <c r="G714" s="8" t="str">
        <f>G713</f>
        <v>DIAZ0001</v>
      </c>
      <c r="H714" s="26"/>
      <c r="I714" s="26"/>
      <c r="J714" s="26"/>
      <c r="K714" s="28">
        <f>+K713</f>
        <v>42005</v>
      </c>
      <c r="L714" s="26" t="str">
        <f>L713</f>
        <v>10359</v>
      </c>
      <c r="M714" s="26"/>
      <c r="N714" s="26"/>
      <c r="O714" s="26" t="str">
        <f>"""GP Direct"",""Fabrikam, Inc."",""UPR30300"",""PAYRATE"",""0.00000"",""PAYROLCD"",""INS"",""STATECD"","""",""CHEKDATE"",""1/1/2015"",""UPRTRXAM"",""49.36000"""</f>
        <v>"GP Direct","Fabrikam, Inc.","UPR30300","PAYRATE","0.00000","PAYROLCD","INS","STATECD","","CHEKDATE","1/1/2015","UPRTRXAM","49.36000"</v>
      </c>
      <c r="P714" s="29">
        <v>0</v>
      </c>
      <c r="Q714" s="26" t="str">
        <f>"INS"</f>
        <v>INS</v>
      </c>
      <c r="R714" s="26"/>
      <c r="S714" s="28">
        <v>42005</v>
      </c>
      <c r="T714" s="29">
        <v>49.36</v>
      </c>
    </row>
    <row r="715" spans="1:20" s="7" customFormat="1" hidden="1" outlineLevel="3" x14ac:dyDescent="0.2">
      <c r="A715" s="7" t="s">
        <v>92</v>
      </c>
      <c r="C715" s="7" t="str">
        <f t="shared" si="105"/>
        <v>Brenda</v>
      </c>
      <c r="D715" s="7" t="str">
        <f>+D714</f>
        <v>Diaz</v>
      </c>
      <c r="E715" s="8" t="str">
        <f>E714</f>
        <v>INST</v>
      </c>
      <c r="G715" s="8" t="str">
        <f>G714</f>
        <v>DIAZ0001</v>
      </c>
      <c r="H715" s="26"/>
      <c r="I715" s="26"/>
      <c r="J715" s="26"/>
      <c r="K715" s="28">
        <f>+K714</f>
        <v>42005</v>
      </c>
      <c r="L715" s="26" t="str">
        <f>L714</f>
        <v>10359</v>
      </c>
      <c r="M715" s="26"/>
      <c r="N715" s="26"/>
      <c r="O715" s="26" t="str">
        <f>"""GP Direct"",""Fabrikam, Inc."",""UPR30300"",""PAYRATE"",""0.00000"",""PAYROLCD"",""MED"",""STATECD"","""",""CHEKDATE"",""1/1/2015"",""UPRTRXAM"",""5.00000"""</f>
        <v>"GP Direct","Fabrikam, Inc.","UPR30300","PAYRATE","0.00000","PAYROLCD","MED","STATECD","","CHEKDATE","1/1/2015","UPRTRXAM","5.00000"</v>
      </c>
      <c r="P715" s="29">
        <v>0</v>
      </c>
      <c r="Q715" s="26" t="str">
        <f>"MED"</f>
        <v>MED</v>
      </c>
      <c r="R715" s="26"/>
      <c r="S715" s="28">
        <v>42005</v>
      </c>
      <c r="T715" s="29">
        <v>5</v>
      </c>
    </row>
    <row r="716" spans="1:20" s="7" customFormat="1" hidden="1" outlineLevel="3" x14ac:dyDescent="0.2">
      <c r="A716" s="7" t="s">
        <v>92</v>
      </c>
      <c r="C716" s="7" t="str">
        <f t="shared" si="105"/>
        <v>Brenda</v>
      </c>
      <c r="D716" s="7" t="str">
        <f>+D715</f>
        <v>Diaz</v>
      </c>
      <c r="E716" s="8" t="str">
        <f>E715</f>
        <v>INST</v>
      </c>
      <c r="G716" s="8" t="str">
        <f>G715</f>
        <v>DIAZ0001</v>
      </c>
      <c r="H716" s="26"/>
      <c r="I716" s="26"/>
      <c r="J716" s="26"/>
      <c r="K716" s="28">
        <f>+K715</f>
        <v>42005</v>
      </c>
      <c r="L716" s="26" t="str">
        <f>L715</f>
        <v>10359</v>
      </c>
      <c r="M716" s="26"/>
      <c r="N716" s="26"/>
      <c r="O716" s="26" t="str">
        <f>"""GP Direct"",""Fabrikam, Inc."",""UPR30300"",""PAYRATE"",""0.00000"",""PAYROLCD"",""MI"",""STATECD"","""",""CHEKDATE"",""1/1/2015"",""UPRTRXAM"",""52.14000"""</f>
        <v>"GP Direct","Fabrikam, Inc.","UPR30300","PAYRATE","0.00000","PAYROLCD","MI","STATECD","","CHEKDATE","1/1/2015","UPRTRXAM","52.14000"</v>
      </c>
      <c r="P716" s="29">
        <v>0</v>
      </c>
      <c r="Q716" s="26" t="str">
        <f>"MI"</f>
        <v>MI</v>
      </c>
      <c r="R716" s="26"/>
      <c r="S716" s="28">
        <v>42005</v>
      </c>
      <c r="T716" s="29">
        <v>52.14</v>
      </c>
    </row>
    <row r="717" spans="1:20" s="7" customFormat="1" hidden="1" outlineLevel="3" x14ac:dyDescent="0.2">
      <c r="A717" s="7" t="s">
        <v>92</v>
      </c>
      <c r="C717" s="7" t="str">
        <f t="shared" si="105"/>
        <v>Brenda</v>
      </c>
      <c r="D717" s="7" t="str">
        <f>+D716</f>
        <v>Diaz</v>
      </c>
      <c r="E717" s="8" t="str">
        <f>E716</f>
        <v>INST</v>
      </c>
      <c r="G717" s="8" t="str">
        <f>G716</f>
        <v>DIAZ0001</v>
      </c>
      <c r="H717" s="26"/>
      <c r="I717" s="26"/>
      <c r="J717" s="26"/>
      <c r="K717" s="28">
        <f>+K716</f>
        <v>42005</v>
      </c>
      <c r="L717" s="26" t="str">
        <f>L716</f>
        <v>10359</v>
      </c>
      <c r="M717" s="26"/>
      <c r="N717" s="26"/>
      <c r="O717" s="26" t="str">
        <f>"""GP Direct"",""Fabrikam, Inc."",""UPR30300"",""PAYRATE"",""17.10000"",""PAYROLCD"",""HOUR"",""STATECD"",""MI"",""CHEKDATE"",""1/1/2015"",""UPRTRXAM"",""1482.06000"""</f>
        <v>"GP Direct","Fabrikam, Inc.","UPR30300","PAYRATE","17.10000","PAYROLCD","HOUR","STATECD","MI","CHEKDATE","1/1/2015","UPRTRXAM","1482.06000"</v>
      </c>
      <c r="P717" s="29">
        <v>17.100000000000001</v>
      </c>
      <c r="Q717" s="26" t="str">
        <f>"HOUR"</f>
        <v>HOUR</v>
      </c>
      <c r="R717" s="26" t="str">
        <f>"MI"</f>
        <v>MI</v>
      </c>
      <c r="S717" s="28">
        <v>42005</v>
      </c>
      <c r="T717" s="29">
        <v>1482.06</v>
      </c>
    </row>
    <row r="718" spans="1:20" s="7" customFormat="1" hidden="1" outlineLevel="3" x14ac:dyDescent="0.2">
      <c r="A718" s="7" t="s">
        <v>92</v>
      </c>
      <c r="C718" s="7" t="str">
        <f>+C712</f>
        <v>Brenda</v>
      </c>
      <c r="D718" s="7" t="str">
        <f>+D712</f>
        <v>Diaz</v>
      </c>
      <c r="E718" s="8" t="str">
        <f>E712</f>
        <v>INST</v>
      </c>
      <c r="G718" s="8" t="str">
        <f>G712</f>
        <v>DIAZ0001</v>
      </c>
      <c r="K718" s="12">
        <f>+K712</f>
        <v>42005</v>
      </c>
      <c r="L718" s="8" t="str">
        <f>L712</f>
        <v>10359</v>
      </c>
      <c r="O718" s="8"/>
      <c r="T718" s="20"/>
    </row>
    <row r="719" spans="1:20" s="7" customFormat="1" hidden="1" outlineLevel="2" collapsed="1" x14ac:dyDescent="0.2">
      <c r="A719" s="7" t="s">
        <v>92</v>
      </c>
      <c r="C719" s="7" t="str">
        <f t="shared" si="104"/>
        <v>Brenda</v>
      </c>
      <c r="D719" s="7" t="str">
        <f>+D718</f>
        <v>Diaz</v>
      </c>
      <c r="E719" s="8" t="str">
        <f>E718</f>
        <v>INST</v>
      </c>
      <c r="G719" s="8" t="str">
        <f>G718</f>
        <v>DIAZ0001</v>
      </c>
      <c r="K719" s="12">
        <f>+K718</f>
        <v>42005</v>
      </c>
      <c r="L719" s="8" t="str">
        <f>L718</f>
        <v>10359</v>
      </c>
      <c r="M719" s="33" t="str">
        <f>"Total for " &amp; $L719</f>
        <v>Total for 10359</v>
      </c>
      <c r="N719" s="34">
        <f>+K719</f>
        <v>42005</v>
      </c>
      <c r="O719" s="35"/>
      <c r="P719" s="33"/>
      <c r="Q719" s="33"/>
      <c r="R719" s="33"/>
      <c r="S719" s="33"/>
      <c r="T719" s="36">
        <f>SUBTOTAL(9,T712:T718)</f>
        <v>1635.24</v>
      </c>
    </row>
    <row r="720" spans="1:20" s="7" customFormat="1" hidden="1" outlineLevel="3" x14ac:dyDescent="0.2">
      <c r="A720" s="7" t="s">
        <v>92</v>
      </c>
      <c r="C720" s="7" t="str">
        <f t="shared" ref="C720:C775" si="106">+C719</f>
        <v>Brenda</v>
      </c>
      <c r="D720" s="7" t="str">
        <f>+D719</f>
        <v>Diaz</v>
      </c>
      <c r="E720" s="8" t="str">
        <f>E719</f>
        <v>INST</v>
      </c>
      <c r="G720" s="8" t="str">
        <f>G719</f>
        <v>DIAZ0001</v>
      </c>
      <c r="H720" s="26"/>
      <c r="I720" s="26"/>
      <c r="J720" s="26"/>
      <c r="K720" s="28">
        <f>+N720</f>
        <v>42036</v>
      </c>
      <c r="L720" s="26" t="str">
        <f>M720</f>
        <v>10384</v>
      </c>
      <c r="M720" s="26" t="str">
        <f>"10384"</f>
        <v>10384</v>
      </c>
      <c r="N720" s="28">
        <v>42036</v>
      </c>
      <c r="O720" s="26"/>
      <c r="P720" s="26"/>
      <c r="Q720" s="26"/>
      <c r="R720" s="26"/>
      <c r="S720" s="26"/>
      <c r="T720" s="27"/>
    </row>
    <row r="721" spans="1:20" s="7" customFormat="1" hidden="1" outlineLevel="3" x14ac:dyDescent="0.2">
      <c r="A721" s="7" t="s">
        <v>92</v>
      </c>
      <c r="C721" s="7" t="str">
        <f t="shared" si="106"/>
        <v>Brenda</v>
      </c>
      <c r="D721" s="7" t="str">
        <f>+D720</f>
        <v>Diaz</v>
      </c>
      <c r="E721" s="8" t="str">
        <f>E720</f>
        <v>INST</v>
      </c>
      <c r="G721" s="8" t="str">
        <f>G720</f>
        <v>DIAZ0001</v>
      </c>
      <c r="H721" s="26"/>
      <c r="I721" s="26"/>
      <c r="J721" s="26"/>
      <c r="K721" s="28">
        <f>+K720</f>
        <v>42036</v>
      </c>
      <c r="L721" s="26" t="str">
        <f>L720</f>
        <v>10384</v>
      </c>
      <c r="M721" s="26"/>
      <c r="N721" s="26"/>
      <c r="O721" s="26" t="str">
        <f>"""GP Direct"",""Fabrikam, Inc."",""UPR30300"",""PAYRATE"",""0.00000"",""PAYROLCD"",""401K"",""STATECD"","""",""CHEKDATE"",""2/1/2015"",""UPRTRXAM"",""2.22000"""</f>
        <v>"GP Direct","Fabrikam, Inc.","UPR30300","PAYRATE","0.00000","PAYROLCD","401K","STATECD","","CHEKDATE","2/1/2015","UPRTRXAM","2.22000"</v>
      </c>
      <c r="P721" s="29">
        <v>0</v>
      </c>
      <c r="Q721" s="26" t="str">
        <f>"401K"</f>
        <v>401K</v>
      </c>
      <c r="R721" s="26"/>
      <c r="S721" s="28">
        <v>42036</v>
      </c>
      <c r="T721" s="29">
        <v>2.2200000000000002</v>
      </c>
    </row>
    <row r="722" spans="1:20" s="7" customFormat="1" hidden="1" outlineLevel="3" x14ac:dyDescent="0.2">
      <c r="A722" s="7" t="s">
        <v>92</v>
      </c>
      <c r="C722" s="7" t="str">
        <f t="shared" ref="C722:C726" si="107">+C721</f>
        <v>Brenda</v>
      </c>
      <c r="D722" s="7" t="str">
        <f>+D721</f>
        <v>Diaz</v>
      </c>
      <c r="E722" s="8" t="str">
        <f>E721</f>
        <v>INST</v>
      </c>
      <c r="G722" s="8" t="str">
        <f>G721</f>
        <v>DIAZ0001</v>
      </c>
      <c r="H722" s="26"/>
      <c r="I722" s="26"/>
      <c r="J722" s="26"/>
      <c r="K722" s="28">
        <f>+K721</f>
        <v>42036</v>
      </c>
      <c r="L722" s="26" t="str">
        <f>L721</f>
        <v>10384</v>
      </c>
      <c r="M722" s="26"/>
      <c r="N722" s="26"/>
      <c r="O722" s="26" t="str">
        <f>"""GP Direct"",""Fabrikam, Inc."",""UPR30300"",""PAYRATE"",""0.00000"",""PAYROLCD"",""401K"",""STATECD"","""",""CHEKDATE"",""2/1/2015"",""UPRTRXAM"",""44.46000"""</f>
        <v>"GP Direct","Fabrikam, Inc.","UPR30300","PAYRATE","0.00000","PAYROLCD","401K","STATECD","","CHEKDATE","2/1/2015","UPRTRXAM","44.46000"</v>
      </c>
      <c r="P722" s="29">
        <v>0</v>
      </c>
      <c r="Q722" s="26" t="str">
        <f>"401K"</f>
        <v>401K</v>
      </c>
      <c r="R722" s="26"/>
      <c r="S722" s="28">
        <v>42036</v>
      </c>
      <c r="T722" s="29">
        <v>44.46</v>
      </c>
    </row>
    <row r="723" spans="1:20" s="7" customFormat="1" hidden="1" outlineLevel="3" x14ac:dyDescent="0.2">
      <c r="A723" s="7" t="s">
        <v>92</v>
      </c>
      <c r="C723" s="7" t="str">
        <f t="shared" si="107"/>
        <v>Brenda</v>
      </c>
      <c r="D723" s="7" t="str">
        <f>+D722</f>
        <v>Diaz</v>
      </c>
      <c r="E723" s="8" t="str">
        <f>E722</f>
        <v>INST</v>
      </c>
      <c r="G723" s="8" t="str">
        <f>G722</f>
        <v>DIAZ0001</v>
      </c>
      <c r="H723" s="26"/>
      <c r="I723" s="26"/>
      <c r="J723" s="26"/>
      <c r="K723" s="28">
        <f>+K722</f>
        <v>42036</v>
      </c>
      <c r="L723" s="26" t="str">
        <f>L722</f>
        <v>10384</v>
      </c>
      <c r="M723" s="26"/>
      <c r="N723" s="26"/>
      <c r="O723" s="26" t="str">
        <f>"""GP Direct"",""Fabrikam, Inc."",""UPR30300"",""PAYRATE"",""0.00000"",""PAYROLCD"",""INS"",""STATECD"","""",""CHEKDATE"",""2/1/2015"",""UPRTRXAM"",""49.36000"""</f>
        <v>"GP Direct","Fabrikam, Inc.","UPR30300","PAYRATE","0.00000","PAYROLCD","INS","STATECD","","CHEKDATE","2/1/2015","UPRTRXAM","49.36000"</v>
      </c>
      <c r="P723" s="29">
        <v>0</v>
      </c>
      <c r="Q723" s="26" t="str">
        <f>"INS"</f>
        <v>INS</v>
      </c>
      <c r="R723" s="26"/>
      <c r="S723" s="28">
        <v>42036</v>
      </c>
      <c r="T723" s="29">
        <v>49.36</v>
      </c>
    </row>
    <row r="724" spans="1:20" s="7" customFormat="1" hidden="1" outlineLevel="3" x14ac:dyDescent="0.2">
      <c r="A724" s="7" t="s">
        <v>92</v>
      </c>
      <c r="C724" s="7" t="str">
        <f t="shared" si="107"/>
        <v>Brenda</v>
      </c>
      <c r="D724" s="7" t="str">
        <f>+D723</f>
        <v>Diaz</v>
      </c>
      <c r="E724" s="8" t="str">
        <f>E723</f>
        <v>INST</v>
      </c>
      <c r="G724" s="8" t="str">
        <f>G723</f>
        <v>DIAZ0001</v>
      </c>
      <c r="H724" s="26"/>
      <c r="I724" s="26"/>
      <c r="J724" s="26"/>
      <c r="K724" s="28">
        <f>+K723</f>
        <v>42036</v>
      </c>
      <c r="L724" s="26" t="str">
        <f>L723</f>
        <v>10384</v>
      </c>
      <c r="M724" s="26"/>
      <c r="N724" s="26"/>
      <c r="O724" s="26" t="str">
        <f>"""GP Direct"",""Fabrikam, Inc."",""UPR30300"",""PAYRATE"",""0.00000"",""PAYROLCD"",""MED"",""STATECD"","""",""CHEKDATE"",""2/1/2015"",""UPRTRXAM"",""5.00000"""</f>
        <v>"GP Direct","Fabrikam, Inc.","UPR30300","PAYRATE","0.00000","PAYROLCD","MED","STATECD","","CHEKDATE","2/1/2015","UPRTRXAM","5.00000"</v>
      </c>
      <c r="P724" s="29">
        <v>0</v>
      </c>
      <c r="Q724" s="26" t="str">
        <f>"MED"</f>
        <v>MED</v>
      </c>
      <c r="R724" s="26"/>
      <c r="S724" s="28">
        <v>42036</v>
      </c>
      <c r="T724" s="29">
        <v>5</v>
      </c>
    </row>
    <row r="725" spans="1:20" s="7" customFormat="1" hidden="1" outlineLevel="3" x14ac:dyDescent="0.2">
      <c r="A725" s="7" t="s">
        <v>92</v>
      </c>
      <c r="C725" s="7" t="str">
        <f t="shared" si="107"/>
        <v>Brenda</v>
      </c>
      <c r="D725" s="7" t="str">
        <f>+D724</f>
        <v>Diaz</v>
      </c>
      <c r="E725" s="8" t="str">
        <f>E724</f>
        <v>INST</v>
      </c>
      <c r="G725" s="8" t="str">
        <f>G724</f>
        <v>DIAZ0001</v>
      </c>
      <c r="H725" s="26"/>
      <c r="I725" s="26"/>
      <c r="J725" s="26"/>
      <c r="K725" s="28">
        <f>+K724</f>
        <v>42036</v>
      </c>
      <c r="L725" s="26" t="str">
        <f>L724</f>
        <v>10384</v>
      </c>
      <c r="M725" s="26"/>
      <c r="N725" s="26"/>
      <c r="O725" s="26" t="str">
        <f>"""GP Direct"",""Fabrikam, Inc."",""UPR30300"",""PAYRATE"",""0.00000"",""PAYROLCD"",""MI"",""STATECD"","""",""CHEKDATE"",""2/1/2015"",""UPRTRXAM"",""52.14000"""</f>
        <v>"GP Direct","Fabrikam, Inc.","UPR30300","PAYRATE","0.00000","PAYROLCD","MI","STATECD","","CHEKDATE","2/1/2015","UPRTRXAM","52.14000"</v>
      </c>
      <c r="P725" s="29">
        <v>0</v>
      </c>
      <c r="Q725" s="26" t="str">
        <f>"MI"</f>
        <v>MI</v>
      </c>
      <c r="R725" s="26"/>
      <c r="S725" s="28">
        <v>42036</v>
      </c>
      <c r="T725" s="29">
        <v>52.14</v>
      </c>
    </row>
    <row r="726" spans="1:20" s="7" customFormat="1" hidden="1" outlineLevel="3" x14ac:dyDescent="0.2">
      <c r="A726" s="7" t="s">
        <v>92</v>
      </c>
      <c r="C726" s="7" t="str">
        <f t="shared" si="107"/>
        <v>Brenda</v>
      </c>
      <c r="D726" s="7" t="str">
        <f>+D725</f>
        <v>Diaz</v>
      </c>
      <c r="E726" s="8" t="str">
        <f>E725</f>
        <v>INST</v>
      </c>
      <c r="G726" s="8" t="str">
        <f>G725</f>
        <v>DIAZ0001</v>
      </c>
      <c r="H726" s="26"/>
      <c r="I726" s="26"/>
      <c r="J726" s="26"/>
      <c r="K726" s="28">
        <f>+K725</f>
        <v>42036</v>
      </c>
      <c r="L726" s="26" t="str">
        <f>L725</f>
        <v>10384</v>
      </c>
      <c r="M726" s="26"/>
      <c r="N726" s="26"/>
      <c r="O726" s="26" t="str">
        <f>"""GP Direct"",""Fabrikam, Inc."",""UPR30300"",""PAYRATE"",""17.10000"",""PAYROLCD"",""HOUR"",""STATECD"",""MI"",""CHEKDATE"",""2/1/2015"",""UPRTRXAM"",""1482.06000"""</f>
        <v>"GP Direct","Fabrikam, Inc.","UPR30300","PAYRATE","17.10000","PAYROLCD","HOUR","STATECD","MI","CHEKDATE","2/1/2015","UPRTRXAM","1482.06000"</v>
      </c>
      <c r="P726" s="29">
        <v>17.100000000000001</v>
      </c>
      <c r="Q726" s="26" t="str">
        <f>"HOUR"</f>
        <v>HOUR</v>
      </c>
      <c r="R726" s="26" t="str">
        <f>"MI"</f>
        <v>MI</v>
      </c>
      <c r="S726" s="28">
        <v>42036</v>
      </c>
      <c r="T726" s="29">
        <v>1482.06</v>
      </c>
    </row>
    <row r="727" spans="1:20" s="7" customFormat="1" hidden="1" outlineLevel="3" x14ac:dyDescent="0.2">
      <c r="A727" s="7" t="s">
        <v>92</v>
      </c>
      <c r="C727" s="7" t="str">
        <f>+C721</f>
        <v>Brenda</v>
      </c>
      <c r="D727" s="7" t="str">
        <f>+D721</f>
        <v>Diaz</v>
      </c>
      <c r="E727" s="8" t="str">
        <f>E721</f>
        <v>INST</v>
      </c>
      <c r="G727" s="8" t="str">
        <f>G721</f>
        <v>DIAZ0001</v>
      </c>
      <c r="K727" s="12">
        <f>+K721</f>
        <v>42036</v>
      </c>
      <c r="L727" s="8" t="str">
        <f>L721</f>
        <v>10384</v>
      </c>
      <c r="O727" s="8"/>
      <c r="T727" s="20"/>
    </row>
    <row r="728" spans="1:20" s="7" customFormat="1" hidden="1" outlineLevel="2" collapsed="1" x14ac:dyDescent="0.2">
      <c r="A728" s="7" t="s">
        <v>92</v>
      </c>
      <c r="C728" s="7" t="str">
        <f t="shared" si="106"/>
        <v>Brenda</v>
      </c>
      <c r="D728" s="7" t="str">
        <f>+D727</f>
        <v>Diaz</v>
      </c>
      <c r="E728" s="8" t="str">
        <f>E727</f>
        <v>INST</v>
      </c>
      <c r="G728" s="8" t="str">
        <f>G727</f>
        <v>DIAZ0001</v>
      </c>
      <c r="K728" s="12">
        <f>+K727</f>
        <v>42036</v>
      </c>
      <c r="L728" s="8" t="str">
        <f>L727</f>
        <v>10384</v>
      </c>
      <c r="M728" s="33" t="str">
        <f>"Total for " &amp; $L728</f>
        <v>Total for 10384</v>
      </c>
      <c r="N728" s="34">
        <f>+K728</f>
        <v>42036</v>
      </c>
      <c r="O728" s="35"/>
      <c r="P728" s="33"/>
      <c r="Q728" s="33"/>
      <c r="R728" s="33"/>
      <c r="S728" s="33"/>
      <c r="T728" s="36">
        <f>SUBTOTAL(9,T721:T727)</f>
        <v>1635.24</v>
      </c>
    </row>
    <row r="729" spans="1:20" s="7" customFormat="1" hidden="1" outlineLevel="3" x14ac:dyDescent="0.2">
      <c r="A729" s="7" t="s">
        <v>92</v>
      </c>
      <c r="C729" s="7" t="str">
        <f t="shared" si="106"/>
        <v>Brenda</v>
      </c>
      <c r="D729" s="7" t="str">
        <f>+D728</f>
        <v>Diaz</v>
      </c>
      <c r="E729" s="8" t="str">
        <f>E728</f>
        <v>INST</v>
      </c>
      <c r="G729" s="8" t="str">
        <f>G728</f>
        <v>DIAZ0001</v>
      </c>
      <c r="H729" s="26"/>
      <c r="I729" s="26"/>
      <c r="J729" s="26"/>
      <c r="K729" s="28">
        <f>+N729</f>
        <v>42064</v>
      </c>
      <c r="L729" s="26" t="str">
        <f>M729</f>
        <v>10409</v>
      </c>
      <c r="M729" s="26" t="str">
        <f>"10409"</f>
        <v>10409</v>
      </c>
      <c r="N729" s="28">
        <v>42064</v>
      </c>
      <c r="O729" s="26"/>
      <c r="P729" s="26"/>
      <c r="Q729" s="26"/>
      <c r="R729" s="26"/>
      <c r="S729" s="26"/>
      <c r="T729" s="27"/>
    </row>
    <row r="730" spans="1:20" s="7" customFormat="1" hidden="1" outlineLevel="3" x14ac:dyDescent="0.2">
      <c r="A730" s="7" t="s">
        <v>92</v>
      </c>
      <c r="C730" s="7" t="str">
        <f t="shared" si="106"/>
        <v>Brenda</v>
      </c>
      <c r="D730" s="7" t="str">
        <f>+D729</f>
        <v>Diaz</v>
      </c>
      <c r="E730" s="8" t="str">
        <f>E729</f>
        <v>INST</v>
      </c>
      <c r="G730" s="8" t="str">
        <f>G729</f>
        <v>DIAZ0001</v>
      </c>
      <c r="H730" s="26"/>
      <c r="I730" s="26"/>
      <c r="J730" s="26"/>
      <c r="K730" s="28">
        <f>+K729</f>
        <v>42064</v>
      </c>
      <c r="L730" s="26" t="str">
        <f>L729</f>
        <v>10409</v>
      </c>
      <c r="M730" s="26"/>
      <c r="N730" s="26"/>
      <c r="O730" s="26" t="str">
        <f>"""GP Direct"",""Fabrikam, Inc."",""UPR30300"",""PAYRATE"",""0.00000"",""PAYROLCD"",""401K"",""STATECD"","""",""CHEKDATE"",""3/1/2015"",""UPRTRXAM"",""2.22000"""</f>
        <v>"GP Direct","Fabrikam, Inc.","UPR30300","PAYRATE","0.00000","PAYROLCD","401K","STATECD","","CHEKDATE","3/1/2015","UPRTRXAM","2.22000"</v>
      </c>
      <c r="P730" s="29">
        <v>0</v>
      </c>
      <c r="Q730" s="26" t="str">
        <f>"401K"</f>
        <v>401K</v>
      </c>
      <c r="R730" s="26"/>
      <c r="S730" s="28">
        <v>42064</v>
      </c>
      <c r="T730" s="29">
        <v>2.2200000000000002</v>
      </c>
    </row>
    <row r="731" spans="1:20" s="7" customFormat="1" hidden="1" outlineLevel="3" x14ac:dyDescent="0.2">
      <c r="A731" s="7" t="s">
        <v>92</v>
      </c>
      <c r="C731" s="7" t="str">
        <f t="shared" ref="C731:C735" si="108">+C730</f>
        <v>Brenda</v>
      </c>
      <c r="D731" s="7" t="str">
        <f>+D730</f>
        <v>Diaz</v>
      </c>
      <c r="E731" s="8" t="str">
        <f>E730</f>
        <v>INST</v>
      </c>
      <c r="G731" s="8" t="str">
        <f>G730</f>
        <v>DIAZ0001</v>
      </c>
      <c r="H731" s="26"/>
      <c r="I731" s="26"/>
      <c r="J731" s="26"/>
      <c r="K731" s="28">
        <f>+K730</f>
        <v>42064</v>
      </c>
      <c r="L731" s="26" t="str">
        <f>L730</f>
        <v>10409</v>
      </c>
      <c r="M731" s="26"/>
      <c r="N731" s="26"/>
      <c r="O731" s="26" t="str">
        <f>"""GP Direct"",""Fabrikam, Inc."",""UPR30300"",""PAYRATE"",""0.00000"",""PAYROLCD"",""401K"",""STATECD"","""",""CHEKDATE"",""3/1/2015"",""UPRTRXAM"",""44.46000"""</f>
        <v>"GP Direct","Fabrikam, Inc.","UPR30300","PAYRATE","0.00000","PAYROLCD","401K","STATECD","","CHEKDATE","3/1/2015","UPRTRXAM","44.46000"</v>
      </c>
      <c r="P731" s="29">
        <v>0</v>
      </c>
      <c r="Q731" s="26" t="str">
        <f>"401K"</f>
        <v>401K</v>
      </c>
      <c r="R731" s="26"/>
      <c r="S731" s="28">
        <v>42064</v>
      </c>
      <c r="T731" s="29">
        <v>44.46</v>
      </c>
    </row>
    <row r="732" spans="1:20" s="7" customFormat="1" hidden="1" outlineLevel="3" x14ac:dyDescent="0.2">
      <c r="A732" s="7" t="s">
        <v>92</v>
      </c>
      <c r="C732" s="7" t="str">
        <f t="shared" si="108"/>
        <v>Brenda</v>
      </c>
      <c r="D732" s="7" t="str">
        <f>+D731</f>
        <v>Diaz</v>
      </c>
      <c r="E732" s="8" t="str">
        <f>E731</f>
        <v>INST</v>
      </c>
      <c r="G732" s="8" t="str">
        <f>G731</f>
        <v>DIAZ0001</v>
      </c>
      <c r="H732" s="26"/>
      <c r="I732" s="26"/>
      <c r="J732" s="26"/>
      <c r="K732" s="28">
        <f>+K731</f>
        <v>42064</v>
      </c>
      <c r="L732" s="26" t="str">
        <f>L731</f>
        <v>10409</v>
      </c>
      <c r="M732" s="26"/>
      <c r="N732" s="26"/>
      <c r="O732" s="26" t="str">
        <f>"""GP Direct"",""Fabrikam, Inc."",""UPR30300"",""PAYRATE"",""0.00000"",""PAYROLCD"",""INS"",""STATECD"","""",""CHEKDATE"",""3/1/2015"",""UPRTRXAM"",""49.36000"""</f>
        <v>"GP Direct","Fabrikam, Inc.","UPR30300","PAYRATE","0.00000","PAYROLCD","INS","STATECD","","CHEKDATE","3/1/2015","UPRTRXAM","49.36000"</v>
      </c>
      <c r="P732" s="29">
        <v>0</v>
      </c>
      <c r="Q732" s="26" t="str">
        <f>"INS"</f>
        <v>INS</v>
      </c>
      <c r="R732" s="26"/>
      <c r="S732" s="28">
        <v>42064</v>
      </c>
      <c r="T732" s="29">
        <v>49.36</v>
      </c>
    </row>
    <row r="733" spans="1:20" s="7" customFormat="1" hidden="1" outlineLevel="3" x14ac:dyDescent="0.2">
      <c r="A733" s="7" t="s">
        <v>92</v>
      </c>
      <c r="C733" s="7" t="str">
        <f t="shared" si="108"/>
        <v>Brenda</v>
      </c>
      <c r="D733" s="7" t="str">
        <f>+D732</f>
        <v>Diaz</v>
      </c>
      <c r="E733" s="8" t="str">
        <f>E732</f>
        <v>INST</v>
      </c>
      <c r="G733" s="8" t="str">
        <f>G732</f>
        <v>DIAZ0001</v>
      </c>
      <c r="H733" s="26"/>
      <c r="I733" s="26"/>
      <c r="J733" s="26"/>
      <c r="K733" s="28">
        <f>+K732</f>
        <v>42064</v>
      </c>
      <c r="L733" s="26" t="str">
        <f>L732</f>
        <v>10409</v>
      </c>
      <c r="M733" s="26"/>
      <c r="N733" s="26"/>
      <c r="O733" s="26" t="str">
        <f>"""GP Direct"",""Fabrikam, Inc."",""UPR30300"",""PAYRATE"",""0.00000"",""PAYROLCD"",""MED"",""STATECD"","""",""CHEKDATE"",""3/1/2015"",""UPRTRXAM"",""5.00000"""</f>
        <v>"GP Direct","Fabrikam, Inc.","UPR30300","PAYRATE","0.00000","PAYROLCD","MED","STATECD","","CHEKDATE","3/1/2015","UPRTRXAM","5.00000"</v>
      </c>
      <c r="P733" s="29">
        <v>0</v>
      </c>
      <c r="Q733" s="26" t="str">
        <f>"MED"</f>
        <v>MED</v>
      </c>
      <c r="R733" s="26"/>
      <c r="S733" s="28">
        <v>42064</v>
      </c>
      <c r="T733" s="29">
        <v>5</v>
      </c>
    </row>
    <row r="734" spans="1:20" s="7" customFormat="1" hidden="1" outlineLevel="3" x14ac:dyDescent="0.2">
      <c r="A734" s="7" t="s">
        <v>92</v>
      </c>
      <c r="C734" s="7" t="str">
        <f t="shared" si="108"/>
        <v>Brenda</v>
      </c>
      <c r="D734" s="7" t="str">
        <f>+D733</f>
        <v>Diaz</v>
      </c>
      <c r="E734" s="8" t="str">
        <f>E733</f>
        <v>INST</v>
      </c>
      <c r="G734" s="8" t="str">
        <f>G733</f>
        <v>DIAZ0001</v>
      </c>
      <c r="H734" s="26"/>
      <c r="I734" s="26"/>
      <c r="J734" s="26"/>
      <c r="K734" s="28">
        <f>+K733</f>
        <v>42064</v>
      </c>
      <c r="L734" s="26" t="str">
        <f>L733</f>
        <v>10409</v>
      </c>
      <c r="M734" s="26"/>
      <c r="N734" s="26"/>
      <c r="O734" s="26" t="str">
        <f>"""GP Direct"",""Fabrikam, Inc."",""UPR30300"",""PAYRATE"",""0.00000"",""PAYROLCD"",""MI"",""STATECD"","""",""CHEKDATE"",""3/1/2015"",""UPRTRXAM"",""52.14000"""</f>
        <v>"GP Direct","Fabrikam, Inc.","UPR30300","PAYRATE","0.00000","PAYROLCD","MI","STATECD","","CHEKDATE","3/1/2015","UPRTRXAM","52.14000"</v>
      </c>
      <c r="P734" s="29">
        <v>0</v>
      </c>
      <c r="Q734" s="26" t="str">
        <f>"MI"</f>
        <v>MI</v>
      </c>
      <c r="R734" s="26"/>
      <c r="S734" s="28">
        <v>42064</v>
      </c>
      <c r="T734" s="29">
        <v>52.14</v>
      </c>
    </row>
    <row r="735" spans="1:20" s="7" customFormat="1" hidden="1" outlineLevel="3" x14ac:dyDescent="0.2">
      <c r="A735" s="7" t="s">
        <v>92</v>
      </c>
      <c r="C735" s="7" t="str">
        <f t="shared" si="108"/>
        <v>Brenda</v>
      </c>
      <c r="D735" s="7" t="str">
        <f>+D734</f>
        <v>Diaz</v>
      </c>
      <c r="E735" s="8" t="str">
        <f>E734</f>
        <v>INST</v>
      </c>
      <c r="G735" s="8" t="str">
        <f>G734</f>
        <v>DIAZ0001</v>
      </c>
      <c r="H735" s="26"/>
      <c r="I735" s="26"/>
      <c r="J735" s="26"/>
      <c r="K735" s="28">
        <f>+K734</f>
        <v>42064</v>
      </c>
      <c r="L735" s="26" t="str">
        <f>L734</f>
        <v>10409</v>
      </c>
      <c r="M735" s="26"/>
      <c r="N735" s="26"/>
      <c r="O735" s="26" t="str">
        <f>"""GP Direct"",""Fabrikam, Inc."",""UPR30300"",""PAYRATE"",""17.10000"",""PAYROLCD"",""HOUR"",""STATECD"",""MI"",""CHEKDATE"",""3/1/2015"",""UPRTRXAM"",""1482.06000"""</f>
        <v>"GP Direct","Fabrikam, Inc.","UPR30300","PAYRATE","17.10000","PAYROLCD","HOUR","STATECD","MI","CHEKDATE","3/1/2015","UPRTRXAM","1482.06000"</v>
      </c>
      <c r="P735" s="29">
        <v>17.100000000000001</v>
      </c>
      <c r="Q735" s="26" t="str">
        <f>"HOUR"</f>
        <v>HOUR</v>
      </c>
      <c r="R735" s="26" t="str">
        <f>"MI"</f>
        <v>MI</v>
      </c>
      <c r="S735" s="28">
        <v>42064</v>
      </c>
      <c r="T735" s="29">
        <v>1482.06</v>
      </c>
    </row>
    <row r="736" spans="1:20" s="7" customFormat="1" hidden="1" outlineLevel="3" x14ac:dyDescent="0.2">
      <c r="A736" s="7" t="s">
        <v>92</v>
      </c>
      <c r="C736" s="7" t="str">
        <f>+C730</f>
        <v>Brenda</v>
      </c>
      <c r="D736" s="7" t="str">
        <f>+D730</f>
        <v>Diaz</v>
      </c>
      <c r="E736" s="8" t="str">
        <f>E730</f>
        <v>INST</v>
      </c>
      <c r="G736" s="8" t="str">
        <f>G730</f>
        <v>DIAZ0001</v>
      </c>
      <c r="K736" s="12">
        <f>+K730</f>
        <v>42064</v>
      </c>
      <c r="L736" s="8" t="str">
        <f>L730</f>
        <v>10409</v>
      </c>
      <c r="O736" s="8"/>
      <c r="T736" s="20"/>
    </row>
    <row r="737" spans="1:20" s="7" customFormat="1" hidden="1" outlineLevel="2" collapsed="1" x14ac:dyDescent="0.2">
      <c r="A737" s="7" t="s">
        <v>92</v>
      </c>
      <c r="C737" s="7" t="str">
        <f t="shared" si="106"/>
        <v>Brenda</v>
      </c>
      <c r="D737" s="7" t="str">
        <f>+D736</f>
        <v>Diaz</v>
      </c>
      <c r="E737" s="8" t="str">
        <f>E736</f>
        <v>INST</v>
      </c>
      <c r="G737" s="8" t="str">
        <f>G736</f>
        <v>DIAZ0001</v>
      </c>
      <c r="K737" s="12">
        <f>+K736</f>
        <v>42064</v>
      </c>
      <c r="L737" s="8" t="str">
        <f>L736</f>
        <v>10409</v>
      </c>
      <c r="M737" s="33" t="str">
        <f>"Total for " &amp; $L737</f>
        <v>Total for 10409</v>
      </c>
      <c r="N737" s="34">
        <f>+K737</f>
        <v>42064</v>
      </c>
      <c r="O737" s="35"/>
      <c r="P737" s="33"/>
      <c r="Q737" s="33"/>
      <c r="R737" s="33"/>
      <c r="S737" s="33"/>
      <c r="T737" s="36">
        <f>SUBTOTAL(9,T730:T736)</f>
        <v>1635.24</v>
      </c>
    </row>
    <row r="738" spans="1:20" s="7" customFormat="1" hidden="1" outlineLevel="3" x14ac:dyDescent="0.2">
      <c r="A738" s="7" t="s">
        <v>92</v>
      </c>
      <c r="C738" s="7" t="str">
        <f t="shared" si="106"/>
        <v>Brenda</v>
      </c>
      <c r="D738" s="7" t="str">
        <f>+D737</f>
        <v>Diaz</v>
      </c>
      <c r="E738" s="8" t="str">
        <f>E737</f>
        <v>INST</v>
      </c>
      <c r="G738" s="8" t="str">
        <f>G737</f>
        <v>DIAZ0001</v>
      </c>
      <c r="H738" s="26"/>
      <c r="I738" s="26"/>
      <c r="J738" s="26"/>
      <c r="K738" s="28">
        <f>+N738</f>
        <v>42095</v>
      </c>
      <c r="L738" s="26" t="str">
        <f>M738</f>
        <v>10434</v>
      </c>
      <c r="M738" s="26" t="str">
        <f>"10434"</f>
        <v>10434</v>
      </c>
      <c r="N738" s="28">
        <v>42095</v>
      </c>
      <c r="O738" s="26"/>
      <c r="P738" s="26"/>
      <c r="Q738" s="26"/>
      <c r="R738" s="26"/>
      <c r="S738" s="26"/>
      <c r="T738" s="27"/>
    </row>
    <row r="739" spans="1:20" s="7" customFormat="1" hidden="1" outlineLevel="3" x14ac:dyDescent="0.2">
      <c r="A739" s="7" t="s">
        <v>92</v>
      </c>
      <c r="C739" s="7" t="str">
        <f t="shared" si="106"/>
        <v>Brenda</v>
      </c>
      <c r="D739" s="7" t="str">
        <f>+D738</f>
        <v>Diaz</v>
      </c>
      <c r="E739" s="8" t="str">
        <f>E738</f>
        <v>INST</v>
      </c>
      <c r="G739" s="8" t="str">
        <f>G738</f>
        <v>DIAZ0001</v>
      </c>
      <c r="H739" s="26"/>
      <c r="I739" s="26"/>
      <c r="J739" s="26"/>
      <c r="K739" s="28">
        <f>+K738</f>
        <v>42095</v>
      </c>
      <c r="L739" s="26" t="str">
        <f>L738</f>
        <v>10434</v>
      </c>
      <c r="M739" s="26"/>
      <c r="N739" s="26"/>
      <c r="O739" s="26" t="str">
        <f>"""GP Direct"",""Fabrikam, Inc."",""UPR30300"",""PAYRATE"",""0.00000"",""PAYROLCD"",""401K"",""STATECD"","""",""CHEKDATE"",""4/1/2015"",""UPRTRXAM"",""2.22000"""</f>
        <v>"GP Direct","Fabrikam, Inc.","UPR30300","PAYRATE","0.00000","PAYROLCD","401K","STATECD","","CHEKDATE","4/1/2015","UPRTRXAM","2.22000"</v>
      </c>
      <c r="P739" s="29">
        <v>0</v>
      </c>
      <c r="Q739" s="26" t="str">
        <f>"401K"</f>
        <v>401K</v>
      </c>
      <c r="R739" s="26"/>
      <c r="S739" s="28">
        <v>42095</v>
      </c>
      <c r="T739" s="29">
        <v>2.2200000000000002</v>
      </c>
    </row>
    <row r="740" spans="1:20" s="7" customFormat="1" hidden="1" outlineLevel="3" x14ac:dyDescent="0.2">
      <c r="A740" s="7" t="s">
        <v>92</v>
      </c>
      <c r="C740" s="7" t="str">
        <f t="shared" ref="C740:C744" si="109">+C739</f>
        <v>Brenda</v>
      </c>
      <c r="D740" s="7" t="str">
        <f>+D739</f>
        <v>Diaz</v>
      </c>
      <c r="E740" s="8" t="str">
        <f>E739</f>
        <v>INST</v>
      </c>
      <c r="G740" s="8" t="str">
        <f>G739</f>
        <v>DIAZ0001</v>
      </c>
      <c r="H740" s="26"/>
      <c r="I740" s="26"/>
      <c r="J740" s="26"/>
      <c r="K740" s="28">
        <f>+K739</f>
        <v>42095</v>
      </c>
      <c r="L740" s="26" t="str">
        <f>L739</f>
        <v>10434</v>
      </c>
      <c r="M740" s="26"/>
      <c r="N740" s="26"/>
      <c r="O740" s="26" t="str">
        <f>"""GP Direct"",""Fabrikam, Inc."",""UPR30300"",""PAYRATE"",""0.00000"",""PAYROLCD"",""401K"",""STATECD"","""",""CHEKDATE"",""4/1/2015"",""UPRTRXAM"",""44.46000"""</f>
        <v>"GP Direct","Fabrikam, Inc.","UPR30300","PAYRATE","0.00000","PAYROLCD","401K","STATECD","","CHEKDATE","4/1/2015","UPRTRXAM","44.46000"</v>
      </c>
      <c r="P740" s="29">
        <v>0</v>
      </c>
      <c r="Q740" s="26" t="str">
        <f>"401K"</f>
        <v>401K</v>
      </c>
      <c r="R740" s="26"/>
      <c r="S740" s="28">
        <v>42095</v>
      </c>
      <c r="T740" s="29">
        <v>44.46</v>
      </c>
    </row>
    <row r="741" spans="1:20" s="7" customFormat="1" hidden="1" outlineLevel="3" x14ac:dyDescent="0.2">
      <c r="A741" s="7" t="s">
        <v>92</v>
      </c>
      <c r="C741" s="7" t="str">
        <f t="shared" si="109"/>
        <v>Brenda</v>
      </c>
      <c r="D741" s="7" t="str">
        <f>+D740</f>
        <v>Diaz</v>
      </c>
      <c r="E741" s="8" t="str">
        <f>E740</f>
        <v>INST</v>
      </c>
      <c r="G741" s="8" t="str">
        <f>G740</f>
        <v>DIAZ0001</v>
      </c>
      <c r="H741" s="26"/>
      <c r="I741" s="26"/>
      <c r="J741" s="26"/>
      <c r="K741" s="28">
        <f>+K740</f>
        <v>42095</v>
      </c>
      <c r="L741" s="26" t="str">
        <f>L740</f>
        <v>10434</v>
      </c>
      <c r="M741" s="26"/>
      <c r="N741" s="26"/>
      <c r="O741" s="26" t="str">
        <f>"""GP Direct"",""Fabrikam, Inc."",""UPR30300"",""PAYRATE"",""0.00000"",""PAYROLCD"",""INS"",""STATECD"","""",""CHEKDATE"",""4/1/2015"",""UPRTRXAM"",""49.36000"""</f>
        <v>"GP Direct","Fabrikam, Inc.","UPR30300","PAYRATE","0.00000","PAYROLCD","INS","STATECD","","CHEKDATE","4/1/2015","UPRTRXAM","49.36000"</v>
      </c>
      <c r="P741" s="29">
        <v>0</v>
      </c>
      <c r="Q741" s="26" t="str">
        <f>"INS"</f>
        <v>INS</v>
      </c>
      <c r="R741" s="26"/>
      <c r="S741" s="28">
        <v>42095</v>
      </c>
      <c r="T741" s="29">
        <v>49.36</v>
      </c>
    </row>
    <row r="742" spans="1:20" s="7" customFormat="1" hidden="1" outlineLevel="3" x14ac:dyDescent="0.2">
      <c r="A742" s="7" t="s">
        <v>92</v>
      </c>
      <c r="C742" s="7" t="str">
        <f t="shared" si="109"/>
        <v>Brenda</v>
      </c>
      <c r="D742" s="7" t="str">
        <f>+D741</f>
        <v>Diaz</v>
      </c>
      <c r="E742" s="8" t="str">
        <f>E741</f>
        <v>INST</v>
      </c>
      <c r="G742" s="8" t="str">
        <f>G741</f>
        <v>DIAZ0001</v>
      </c>
      <c r="H742" s="26"/>
      <c r="I742" s="26"/>
      <c r="J742" s="26"/>
      <c r="K742" s="28">
        <f>+K741</f>
        <v>42095</v>
      </c>
      <c r="L742" s="26" t="str">
        <f>L741</f>
        <v>10434</v>
      </c>
      <c r="M742" s="26"/>
      <c r="N742" s="26"/>
      <c r="O742" s="26" t="str">
        <f>"""GP Direct"",""Fabrikam, Inc."",""UPR30300"",""PAYRATE"",""0.00000"",""PAYROLCD"",""MED"",""STATECD"","""",""CHEKDATE"",""4/1/2015"",""UPRTRXAM"",""5.00000"""</f>
        <v>"GP Direct","Fabrikam, Inc.","UPR30300","PAYRATE","0.00000","PAYROLCD","MED","STATECD","","CHEKDATE","4/1/2015","UPRTRXAM","5.00000"</v>
      </c>
      <c r="P742" s="29">
        <v>0</v>
      </c>
      <c r="Q742" s="26" t="str">
        <f>"MED"</f>
        <v>MED</v>
      </c>
      <c r="R742" s="26"/>
      <c r="S742" s="28">
        <v>42095</v>
      </c>
      <c r="T742" s="29">
        <v>5</v>
      </c>
    </row>
    <row r="743" spans="1:20" s="7" customFormat="1" hidden="1" outlineLevel="3" x14ac:dyDescent="0.2">
      <c r="A743" s="7" t="s">
        <v>92</v>
      </c>
      <c r="C743" s="7" t="str">
        <f t="shared" si="109"/>
        <v>Brenda</v>
      </c>
      <c r="D743" s="7" t="str">
        <f>+D742</f>
        <v>Diaz</v>
      </c>
      <c r="E743" s="8" t="str">
        <f>E742</f>
        <v>INST</v>
      </c>
      <c r="G743" s="8" t="str">
        <f>G742</f>
        <v>DIAZ0001</v>
      </c>
      <c r="H743" s="26"/>
      <c r="I743" s="26"/>
      <c r="J743" s="26"/>
      <c r="K743" s="28">
        <f>+K742</f>
        <v>42095</v>
      </c>
      <c r="L743" s="26" t="str">
        <f>L742</f>
        <v>10434</v>
      </c>
      <c r="M743" s="26"/>
      <c r="N743" s="26"/>
      <c r="O743" s="26" t="str">
        <f>"""GP Direct"",""Fabrikam, Inc."",""UPR30300"",""PAYRATE"",""0.00000"",""PAYROLCD"",""MI"",""STATECD"","""",""CHEKDATE"",""4/1/2015"",""UPRTRXAM"",""52.14000"""</f>
        <v>"GP Direct","Fabrikam, Inc.","UPR30300","PAYRATE","0.00000","PAYROLCD","MI","STATECD","","CHEKDATE","4/1/2015","UPRTRXAM","52.14000"</v>
      </c>
      <c r="P743" s="29">
        <v>0</v>
      </c>
      <c r="Q743" s="26" t="str">
        <f>"MI"</f>
        <v>MI</v>
      </c>
      <c r="R743" s="26"/>
      <c r="S743" s="28">
        <v>42095</v>
      </c>
      <c r="T743" s="29">
        <v>52.14</v>
      </c>
    </row>
    <row r="744" spans="1:20" s="7" customFormat="1" hidden="1" outlineLevel="3" x14ac:dyDescent="0.2">
      <c r="A744" s="7" t="s">
        <v>92</v>
      </c>
      <c r="C744" s="7" t="str">
        <f t="shared" si="109"/>
        <v>Brenda</v>
      </c>
      <c r="D744" s="7" t="str">
        <f>+D743</f>
        <v>Diaz</v>
      </c>
      <c r="E744" s="8" t="str">
        <f>E743</f>
        <v>INST</v>
      </c>
      <c r="G744" s="8" t="str">
        <f>G743</f>
        <v>DIAZ0001</v>
      </c>
      <c r="H744" s="26"/>
      <c r="I744" s="26"/>
      <c r="J744" s="26"/>
      <c r="K744" s="28">
        <f>+K743</f>
        <v>42095</v>
      </c>
      <c r="L744" s="26" t="str">
        <f>L743</f>
        <v>10434</v>
      </c>
      <c r="M744" s="26"/>
      <c r="N744" s="26"/>
      <c r="O744" s="26" t="str">
        <f>"""GP Direct"",""Fabrikam, Inc."",""UPR30300"",""PAYRATE"",""17.10000"",""PAYROLCD"",""HOUR"",""STATECD"",""MI"",""CHEKDATE"",""4/1/2015"",""UPRTRXAM"",""1482.06000"""</f>
        <v>"GP Direct","Fabrikam, Inc.","UPR30300","PAYRATE","17.10000","PAYROLCD","HOUR","STATECD","MI","CHEKDATE","4/1/2015","UPRTRXAM","1482.06000"</v>
      </c>
      <c r="P744" s="29">
        <v>17.100000000000001</v>
      </c>
      <c r="Q744" s="26" t="str">
        <f>"HOUR"</f>
        <v>HOUR</v>
      </c>
      <c r="R744" s="26" t="str">
        <f>"MI"</f>
        <v>MI</v>
      </c>
      <c r="S744" s="28">
        <v>42095</v>
      </c>
      <c r="T744" s="29">
        <v>1482.06</v>
      </c>
    </row>
    <row r="745" spans="1:20" s="7" customFormat="1" hidden="1" outlineLevel="3" x14ac:dyDescent="0.2">
      <c r="A745" s="7" t="s">
        <v>92</v>
      </c>
      <c r="C745" s="7" t="str">
        <f>+C739</f>
        <v>Brenda</v>
      </c>
      <c r="D745" s="7" t="str">
        <f>+D739</f>
        <v>Diaz</v>
      </c>
      <c r="E745" s="8" t="str">
        <f>E739</f>
        <v>INST</v>
      </c>
      <c r="G745" s="8" t="str">
        <f>G739</f>
        <v>DIAZ0001</v>
      </c>
      <c r="K745" s="12">
        <f>+K739</f>
        <v>42095</v>
      </c>
      <c r="L745" s="8" t="str">
        <f>L739</f>
        <v>10434</v>
      </c>
      <c r="O745" s="8"/>
      <c r="T745" s="20"/>
    </row>
    <row r="746" spans="1:20" s="7" customFormat="1" hidden="1" outlineLevel="2" collapsed="1" x14ac:dyDescent="0.2">
      <c r="A746" s="7" t="s">
        <v>92</v>
      </c>
      <c r="C746" s="7" t="str">
        <f t="shared" si="106"/>
        <v>Brenda</v>
      </c>
      <c r="D746" s="7" t="str">
        <f>+D745</f>
        <v>Diaz</v>
      </c>
      <c r="E746" s="8" t="str">
        <f>E745</f>
        <v>INST</v>
      </c>
      <c r="G746" s="8" t="str">
        <f>G745</f>
        <v>DIAZ0001</v>
      </c>
      <c r="K746" s="12">
        <f>+K745</f>
        <v>42095</v>
      </c>
      <c r="L746" s="8" t="str">
        <f>L745</f>
        <v>10434</v>
      </c>
      <c r="M746" s="33" t="str">
        <f>"Total for " &amp; $L746</f>
        <v>Total for 10434</v>
      </c>
      <c r="N746" s="34">
        <f>+K746</f>
        <v>42095</v>
      </c>
      <c r="O746" s="35"/>
      <c r="P746" s="33"/>
      <c r="Q746" s="33"/>
      <c r="R746" s="33"/>
      <c r="S746" s="33"/>
      <c r="T746" s="36">
        <f>SUBTOTAL(9,T739:T745)</f>
        <v>1635.24</v>
      </c>
    </row>
    <row r="747" spans="1:20" s="7" customFormat="1" hidden="1" outlineLevel="3" x14ac:dyDescent="0.2">
      <c r="A747" s="7" t="s">
        <v>92</v>
      </c>
      <c r="C747" s="7" t="str">
        <f t="shared" si="106"/>
        <v>Brenda</v>
      </c>
      <c r="D747" s="7" t="str">
        <f>+D746</f>
        <v>Diaz</v>
      </c>
      <c r="E747" s="8" t="str">
        <f>E746</f>
        <v>INST</v>
      </c>
      <c r="G747" s="8" t="str">
        <f>G746</f>
        <v>DIAZ0001</v>
      </c>
      <c r="H747" s="26"/>
      <c r="I747" s="26"/>
      <c r="J747" s="26"/>
      <c r="K747" s="28">
        <f>+N747</f>
        <v>42125</v>
      </c>
      <c r="L747" s="26" t="str">
        <f>M747</f>
        <v>10459</v>
      </c>
      <c r="M747" s="26" t="str">
        <f>"10459"</f>
        <v>10459</v>
      </c>
      <c r="N747" s="28">
        <v>42125</v>
      </c>
      <c r="O747" s="26"/>
      <c r="P747" s="26"/>
      <c r="Q747" s="26"/>
      <c r="R747" s="26"/>
      <c r="S747" s="26"/>
      <c r="T747" s="27"/>
    </row>
    <row r="748" spans="1:20" s="7" customFormat="1" hidden="1" outlineLevel="3" x14ac:dyDescent="0.2">
      <c r="A748" s="7" t="s">
        <v>92</v>
      </c>
      <c r="C748" s="7" t="str">
        <f t="shared" si="106"/>
        <v>Brenda</v>
      </c>
      <c r="D748" s="7" t="str">
        <f>+D747</f>
        <v>Diaz</v>
      </c>
      <c r="E748" s="8" t="str">
        <f>E747</f>
        <v>INST</v>
      </c>
      <c r="G748" s="8" t="str">
        <f>G747</f>
        <v>DIAZ0001</v>
      </c>
      <c r="H748" s="26"/>
      <c r="I748" s="26"/>
      <c r="J748" s="26"/>
      <c r="K748" s="28">
        <f>+K747</f>
        <v>42125</v>
      </c>
      <c r="L748" s="26" t="str">
        <f>L747</f>
        <v>10459</v>
      </c>
      <c r="M748" s="26"/>
      <c r="N748" s="26"/>
      <c r="O748" s="26" t="str">
        <f>"""GP Direct"",""Fabrikam, Inc."",""UPR30300"",""PAYRATE"",""0.00000"",""PAYROLCD"",""401K"",""STATECD"","""",""CHEKDATE"",""5/1/2015"",""UPRTRXAM"",""2.22000"""</f>
        <v>"GP Direct","Fabrikam, Inc.","UPR30300","PAYRATE","0.00000","PAYROLCD","401K","STATECD","","CHEKDATE","5/1/2015","UPRTRXAM","2.22000"</v>
      </c>
      <c r="P748" s="29">
        <v>0</v>
      </c>
      <c r="Q748" s="26" t="str">
        <f>"401K"</f>
        <v>401K</v>
      </c>
      <c r="R748" s="26"/>
      <c r="S748" s="28">
        <v>42125</v>
      </c>
      <c r="T748" s="29">
        <v>2.2200000000000002</v>
      </c>
    </row>
    <row r="749" spans="1:20" s="7" customFormat="1" hidden="1" outlineLevel="3" x14ac:dyDescent="0.2">
      <c r="A749" s="7" t="s">
        <v>92</v>
      </c>
      <c r="C749" s="7" t="str">
        <f t="shared" ref="C749:C754" si="110">+C748</f>
        <v>Brenda</v>
      </c>
      <c r="D749" s="7" t="str">
        <f>+D748</f>
        <v>Diaz</v>
      </c>
      <c r="E749" s="8" t="str">
        <f>E748</f>
        <v>INST</v>
      </c>
      <c r="G749" s="8" t="str">
        <f>G748</f>
        <v>DIAZ0001</v>
      </c>
      <c r="H749" s="26"/>
      <c r="I749" s="26"/>
      <c r="J749" s="26"/>
      <c r="K749" s="28">
        <f>+K748</f>
        <v>42125</v>
      </c>
      <c r="L749" s="26" t="str">
        <f>L748</f>
        <v>10459</v>
      </c>
      <c r="M749" s="26"/>
      <c r="N749" s="26"/>
      <c r="O749" s="26" t="str">
        <f>"""GP Direct"",""Fabrikam, Inc."",""UPR30300"",""PAYRATE"",""0.00000"",""PAYROLCD"",""401K"",""STATECD"","""",""CHEKDATE"",""5/1/2015"",""UPRTRXAM"",""44.46000"""</f>
        <v>"GP Direct","Fabrikam, Inc.","UPR30300","PAYRATE","0.00000","PAYROLCD","401K","STATECD","","CHEKDATE","5/1/2015","UPRTRXAM","44.46000"</v>
      </c>
      <c r="P749" s="29">
        <v>0</v>
      </c>
      <c r="Q749" s="26" t="str">
        <f>"401K"</f>
        <v>401K</v>
      </c>
      <c r="R749" s="26"/>
      <c r="S749" s="28">
        <v>42125</v>
      </c>
      <c r="T749" s="29">
        <v>44.46</v>
      </c>
    </row>
    <row r="750" spans="1:20" s="7" customFormat="1" hidden="1" outlineLevel="3" x14ac:dyDescent="0.2">
      <c r="A750" s="7" t="s">
        <v>92</v>
      </c>
      <c r="C750" s="7" t="str">
        <f t="shared" si="110"/>
        <v>Brenda</v>
      </c>
      <c r="D750" s="7" t="str">
        <f>+D749</f>
        <v>Diaz</v>
      </c>
      <c r="E750" s="8" t="str">
        <f>E749</f>
        <v>INST</v>
      </c>
      <c r="G750" s="8" t="str">
        <f>G749</f>
        <v>DIAZ0001</v>
      </c>
      <c r="H750" s="26"/>
      <c r="I750" s="26"/>
      <c r="J750" s="26"/>
      <c r="K750" s="28">
        <f>+K749</f>
        <v>42125</v>
      </c>
      <c r="L750" s="26" t="str">
        <f>L749</f>
        <v>10459</v>
      </c>
      <c r="M750" s="26"/>
      <c r="N750" s="26"/>
      <c r="O750" s="26" t="str">
        <f>"""GP Direct"",""Fabrikam, Inc."",""UPR30300"",""PAYRATE"",""0.00000"",""PAYROLCD"",""INS"",""STATECD"","""",""CHEKDATE"",""5/1/2015"",""UPRTRXAM"",""49.36000"""</f>
        <v>"GP Direct","Fabrikam, Inc.","UPR30300","PAYRATE","0.00000","PAYROLCD","INS","STATECD","","CHEKDATE","5/1/2015","UPRTRXAM","49.36000"</v>
      </c>
      <c r="P750" s="29">
        <v>0</v>
      </c>
      <c r="Q750" s="26" t="str">
        <f>"INS"</f>
        <v>INS</v>
      </c>
      <c r="R750" s="26"/>
      <c r="S750" s="28">
        <v>42125</v>
      </c>
      <c r="T750" s="29">
        <v>49.36</v>
      </c>
    </row>
    <row r="751" spans="1:20" s="7" customFormat="1" hidden="1" outlineLevel="3" x14ac:dyDescent="0.2">
      <c r="A751" s="7" t="s">
        <v>92</v>
      </c>
      <c r="C751" s="7" t="str">
        <f t="shared" si="110"/>
        <v>Brenda</v>
      </c>
      <c r="D751" s="7" t="str">
        <f>+D750</f>
        <v>Diaz</v>
      </c>
      <c r="E751" s="8" t="str">
        <f>E750</f>
        <v>INST</v>
      </c>
      <c r="G751" s="8" t="str">
        <f>G750</f>
        <v>DIAZ0001</v>
      </c>
      <c r="H751" s="26"/>
      <c r="I751" s="26"/>
      <c r="J751" s="26"/>
      <c r="K751" s="28">
        <f>+K750</f>
        <v>42125</v>
      </c>
      <c r="L751" s="26" t="str">
        <f>L750</f>
        <v>10459</v>
      </c>
      <c r="M751" s="26"/>
      <c r="N751" s="26"/>
      <c r="O751" s="26" t="str">
        <f>"""GP Direct"",""Fabrikam, Inc."",""UPR30300"",""PAYRATE"",""0.00000"",""PAYROLCD"",""MED"",""STATECD"","""",""CHEKDATE"",""5/1/2015"",""UPRTRXAM"",""5.00000"""</f>
        <v>"GP Direct","Fabrikam, Inc.","UPR30300","PAYRATE","0.00000","PAYROLCD","MED","STATECD","","CHEKDATE","5/1/2015","UPRTRXAM","5.00000"</v>
      </c>
      <c r="P751" s="29">
        <v>0</v>
      </c>
      <c r="Q751" s="26" t="str">
        <f>"MED"</f>
        <v>MED</v>
      </c>
      <c r="R751" s="26"/>
      <c r="S751" s="28">
        <v>42125</v>
      </c>
      <c r="T751" s="29">
        <v>5</v>
      </c>
    </row>
    <row r="752" spans="1:20" s="7" customFormat="1" hidden="1" outlineLevel="3" x14ac:dyDescent="0.2">
      <c r="A752" s="7" t="s">
        <v>92</v>
      </c>
      <c r="C752" s="7" t="str">
        <f t="shared" si="110"/>
        <v>Brenda</v>
      </c>
      <c r="D752" s="7" t="str">
        <f>+D751</f>
        <v>Diaz</v>
      </c>
      <c r="E752" s="8" t="str">
        <f>E751</f>
        <v>INST</v>
      </c>
      <c r="G752" s="8" t="str">
        <f>G751</f>
        <v>DIAZ0001</v>
      </c>
      <c r="H752" s="26"/>
      <c r="I752" s="26"/>
      <c r="J752" s="26"/>
      <c r="K752" s="28">
        <f>+K751</f>
        <v>42125</v>
      </c>
      <c r="L752" s="26" t="str">
        <f>L751</f>
        <v>10459</v>
      </c>
      <c r="M752" s="26"/>
      <c r="N752" s="26"/>
      <c r="O752" s="26" t="str">
        <f>"""GP Direct"",""Fabrikam, Inc."",""UPR30300"",""PAYRATE"",""0.00000"",""PAYROLCD"",""MI"",""STATECD"","""",""CHEKDATE"",""5/1/2015"",""UPRTRXAM"",""52.14000"""</f>
        <v>"GP Direct","Fabrikam, Inc.","UPR30300","PAYRATE","0.00000","PAYROLCD","MI","STATECD","","CHEKDATE","5/1/2015","UPRTRXAM","52.14000"</v>
      </c>
      <c r="P752" s="29">
        <v>0</v>
      </c>
      <c r="Q752" s="26" t="str">
        <f>"MI"</f>
        <v>MI</v>
      </c>
      <c r="R752" s="26"/>
      <c r="S752" s="28">
        <v>42125</v>
      </c>
      <c r="T752" s="29">
        <v>52.14</v>
      </c>
    </row>
    <row r="753" spans="1:20" s="7" customFormat="1" hidden="1" outlineLevel="3" x14ac:dyDescent="0.2">
      <c r="A753" s="7" t="s">
        <v>92</v>
      </c>
      <c r="C753" s="7" t="str">
        <f t="shared" si="110"/>
        <v>Brenda</v>
      </c>
      <c r="D753" s="7" t="str">
        <f>+D752</f>
        <v>Diaz</v>
      </c>
      <c r="E753" s="8" t="str">
        <f>E752</f>
        <v>INST</v>
      </c>
      <c r="G753" s="8" t="str">
        <f>G752</f>
        <v>DIAZ0001</v>
      </c>
      <c r="H753" s="26"/>
      <c r="I753" s="26"/>
      <c r="J753" s="26"/>
      <c r="K753" s="28">
        <f>+K752</f>
        <v>42125</v>
      </c>
      <c r="L753" s="26" t="str">
        <f>L752</f>
        <v>10459</v>
      </c>
      <c r="M753" s="26"/>
      <c r="N753" s="26"/>
      <c r="O753" s="26" t="str">
        <f>"""GP Direct"",""Fabrikam, Inc."",""UPR30300"",""PAYRATE"",""17.10000"",""PAYROLCD"",""HOUR"",""STATECD"",""MI"",""CHEKDATE"",""5/1/2015"",""UPRTRXAM"",""1345.26000"""</f>
        <v>"GP Direct","Fabrikam, Inc.","UPR30300","PAYRATE","17.10000","PAYROLCD","HOUR","STATECD","MI","CHEKDATE","5/1/2015","UPRTRXAM","1345.26000"</v>
      </c>
      <c r="P753" s="29">
        <v>17.100000000000001</v>
      </c>
      <c r="Q753" s="26" t="str">
        <f>"HOUR"</f>
        <v>HOUR</v>
      </c>
      <c r="R753" s="26" t="str">
        <f>"MI"</f>
        <v>MI</v>
      </c>
      <c r="S753" s="28">
        <v>42125</v>
      </c>
      <c r="T753" s="29">
        <v>1345.26</v>
      </c>
    </row>
    <row r="754" spans="1:20" s="7" customFormat="1" hidden="1" outlineLevel="3" x14ac:dyDescent="0.2">
      <c r="A754" s="7" t="s">
        <v>92</v>
      </c>
      <c r="C754" s="7" t="str">
        <f t="shared" si="110"/>
        <v>Brenda</v>
      </c>
      <c r="D754" s="7" t="str">
        <f>+D753</f>
        <v>Diaz</v>
      </c>
      <c r="E754" s="8" t="str">
        <f>E753</f>
        <v>INST</v>
      </c>
      <c r="G754" s="8" t="str">
        <f>G753</f>
        <v>DIAZ0001</v>
      </c>
      <c r="H754" s="26"/>
      <c r="I754" s="26"/>
      <c r="J754" s="26"/>
      <c r="K754" s="28">
        <f>+K753</f>
        <v>42125</v>
      </c>
      <c r="L754" s="26" t="str">
        <f>L753</f>
        <v>10459</v>
      </c>
      <c r="M754" s="26"/>
      <c r="N754" s="26"/>
      <c r="O754" s="26" t="str">
        <f>"""GP Direct"",""Fabrikam, Inc."",""UPR30300"",""PAYRATE"",""17.10000"",""PAYROLCD"",""SICK"",""STATECD"",""MI"",""CHEKDATE"",""5/1/2015"",""UPRTRXAM"",""136.80000"""</f>
        <v>"GP Direct","Fabrikam, Inc.","UPR30300","PAYRATE","17.10000","PAYROLCD","SICK","STATECD","MI","CHEKDATE","5/1/2015","UPRTRXAM","136.80000"</v>
      </c>
      <c r="P754" s="29">
        <v>17.100000000000001</v>
      </c>
      <c r="Q754" s="26" t="str">
        <f>"SICK"</f>
        <v>SICK</v>
      </c>
      <c r="R754" s="26" t="str">
        <f>"MI"</f>
        <v>MI</v>
      </c>
      <c r="S754" s="28">
        <v>42125</v>
      </c>
      <c r="T754" s="29">
        <v>136.80000000000001</v>
      </c>
    </row>
    <row r="755" spans="1:20" s="7" customFormat="1" hidden="1" outlineLevel="3" x14ac:dyDescent="0.2">
      <c r="A755" s="7" t="s">
        <v>92</v>
      </c>
      <c r="C755" s="7" t="str">
        <f>+C748</f>
        <v>Brenda</v>
      </c>
      <c r="D755" s="7" t="str">
        <f>+D748</f>
        <v>Diaz</v>
      </c>
      <c r="E755" s="8" t="str">
        <f>E748</f>
        <v>INST</v>
      </c>
      <c r="G755" s="8" t="str">
        <f>G748</f>
        <v>DIAZ0001</v>
      </c>
      <c r="K755" s="12">
        <f>+K748</f>
        <v>42125</v>
      </c>
      <c r="L755" s="8" t="str">
        <f>L748</f>
        <v>10459</v>
      </c>
      <c r="O755" s="8"/>
      <c r="T755" s="20"/>
    </row>
    <row r="756" spans="1:20" s="7" customFormat="1" hidden="1" outlineLevel="2" collapsed="1" x14ac:dyDescent="0.2">
      <c r="A756" s="7" t="s">
        <v>92</v>
      </c>
      <c r="C756" s="7" t="str">
        <f t="shared" si="106"/>
        <v>Brenda</v>
      </c>
      <c r="D756" s="7" t="str">
        <f>+D755</f>
        <v>Diaz</v>
      </c>
      <c r="E756" s="8" t="str">
        <f>E755</f>
        <v>INST</v>
      </c>
      <c r="G756" s="8" t="str">
        <f>G755</f>
        <v>DIAZ0001</v>
      </c>
      <c r="K756" s="12">
        <f>+K755</f>
        <v>42125</v>
      </c>
      <c r="L756" s="8" t="str">
        <f>L755</f>
        <v>10459</v>
      </c>
      <c r="M756" s="33" t="str">
        <f>"Total for " &amp; $L756</f>
        <v>Total for 10459</v>
      </c>
      <c r="N756" s="34">
        <f>+K756</f>
        <v>42125</v>
      </c>
      <c r="O756" s="35"/>
      <c r="P756" s="33"/>
      <c r="Q756" s="33"/>
      <c r="R756" s="33"/>
      <c r="S756" s="33"/>
      <c r="T756" s="36">
        <f>SUBTOTAL(9,T748:T755)</f>
        <v>1635.24</v>
      </c>
    </row>
    <row r="757" spans="1:20" s="7" customFormat="1" hidden="1" outlineLevel="3" x14ac:dyDescent="0.2">
      <c r="A757" s="7" t="s">
        <v>92</v>
      </c>
      <c r="C757" s="7" t="str">
        <f t="shared" si="106"/>
        <v>Brenda</v>
      </c>
      <c r="D757" s="7" t="str">
        <f>+D756</f>
        <v>Diaz</v>
      </c>
      <c r="E757" s="8" t="str">
        <f>E756</f>
        <v>INST</v>
      </c>
      <c r="G757" s="8" t="str">
        <f>G756</f>
        <v>DIAZ0001</v>
      </c>
      <c r="H757" s="26"/>
      <c r="I757" s="26"/>
      <c r="J757" s="26"/>
      <c r="K757" s="28">
        <f>+N757</f>
        <v>42156</v>
      </c>
      <c r="L757" s="26" t="str">
        <f>M757</f>
        <v>10484</v>
      </c>
      <c r="M757" s="26" t="str">
        <f>"10484"</f>
        <v>10484</v>
      </c>
      <c r="N757" s="28">
        <v>42156</v>
      </c>
      <c r="O757" s="26"/>
      <c r="P757" s="26"/>
      <c r="Q757" s="26"/>
      <c r="R757" s="26"/>
      <c r="S757" s="26"/>
      <c r="T757" s="27"/>
    </row>
    <row r="758" spans="1:20" s="7" customFormat="1" hidden="1" outlineLevel="3" x14ac:dyDescent="0.2">
      <c r="A758" s="7" t="s">
        <v>92</v>
      </c>
      <c r="C758" s="7" t="str">
        <f t="shared" si="106"/>
        <v>Brenda</v>
      </c>
      <c r="D758" s="7" t="str">
        <f>+D757</f>
        <v>Diaz</v>
      </c>
      <c r="E758" s="8" t="str">
        <f>E757</f>
        <v>INST</v>
      </c>
      <c r="G758" s="8" t="str">
        <f>G757</f>
        <v>DIAZ0001</v>
      </c>
      <c r="H758" s="26"/>
      <c r="I758" s="26"/>
      <c r="J758" s="26"/>
      <c r="K758" s="28">
        <f>+K757</f>
        <v>42156</v>
      </c>
      <c r="L758" s="26" t="str">
        <f>L757</f>
        <v>10484</v>
      </c>
      <c r="M758" s="26"/>
      <c r="N758" s="26"/>
      <c r="O758" s="26" t="str">
        <f>"""GP Direct"",""Fabrikam, Inc."",""UPR30300"",""PAYRATE"",""0.00000"",""PAYROLCD"",""401K"",""STATECD"","""",""CHEKDATE"",""6/1/2015"",""UPRTRXAM"",""2.22000"""</f>
        <v>"GP Direct","Fabrikam, Inc.","UPR30300","PAYRATE","0.00000","PAYROLCD","401K","STATECD","","CHEKDATE","6/1/2015","UPRTRXAM","2.22000"</v>
      </c>
      <c r="P758" s="29">
        <v>0</v>
      </c>
      <c r="Q758" s="26" t="str">
        <f>"401K"</f>
        <v>401K</v>
      </c>
      <c r="R758" s="26"/>
      <c r="S758" s="28">
        <v>42156</v>
      </c>
      <c r="T758" s="29">
        <v>2.2200000000000002</v>
      </c>
    </row>
    <row r="759" spans="1:20" s="7" customFormat="1" hidden="1" outlineLevel="3" x14ac:dyDescent="0.2">
      <c r="A759" s="7" t="s">
        <v>92</v>
      </c>
      <c r="C759" s="7" t="str">
        <f t="shared" ref="C759:C763" si="111">+C758</f>
        <v>Brenda</v>
      </c>
      <c r="D759" s="7" t="str">
        <f>+D758</f>
        <v>Diaz</v>
      </c>
      <c r="E759" s="8" t="str">
        <f>E758</f>
        <v>INST</v>
      </c>
      <c r="G759" s="8" t="str">
        <f>G758</f>
        <v>DIAZ0001</v>
      </c>
      <c r="H759" s="26"/>
      <c r="I759" s="26"/>
      <c r="J759" s="26"/>
      <c r="K759" s="28">
        <f>+K758</f>
        <v>42156</v>
      </c>
      <c r="L759" s="26" t="str">
        <f>L758</f>
        <v>10484</v>
      </c>
      <c r="M759" s="26"/>
      <c r="N759" s="26"/>
      <c r="O759" s="26" t="str">
        <f>"""GP Direct"",""Fabrikam, Inc."",""UPR30300"",""PAYRATE"",""0.00000"",""PAYROLCD"",""401K"",""STATECD"","""",""CHEKDATE"",""6/1/2015"",""UPRTRXAM"",""44.46000"""</f>
        <v>"GP Direct","Fabrikam, Inc.","UPR30300","PAYRATE","0.00000","PAYROLCD","401K","STATECD","","CHEKDATE","6/1/2015","UPRTRXAM","44.46000"</v>
      </c>
      <c r="P759" s="29">
        <v>0</v>
      </c>
      <c r="Q759" s="26" t="str">
        <f>"401K"</f>
        <v>401K</v>
      </c>
      <c r="R759" s="26"/>
      <c r="S759" s="28">
        <v>42156</v>
      </c>
      <c r="T759" s="29">
        <v>44.46</v>
      </c>
    </row>
    <row r="760" spans="1:20" s="7" customFormat="1" hidden="1" outlineLevel="3" x14ac:dyDescent="0.2">
      <c r="A760" s="7" t="s">
        <v>92</v>
      </c>
      <c r="C760" s="7" t="str">
        <f t="shared" si="111"/>
        <v>Brenda</v>
      </c>
      <c r="D760" s="7" t="str">
        <f>+D759</f>
        <v>Diaz</v>
      </c>
      <c r="E760" s="8" t="str">
        <f>E759</f>
        <v>INST</v>
      </c>
      <c r="G760" s="8" t="str">
        <f>G759</f>
        <v>DIAZ0001</v>
      </c>
      <c r="H760" s="26"/>
      <c r="I760" s="26"/>
      <c r="J760" s="26"/>
      <c r="K760" s="28">
        <f>+K759</f>
        <v>42156</v>
      </c>
      <c r="L760" s="26" t="str">
        <f>L759</f>
        <v>10484</v>
      </c>
      <c r="M760" s="26"/>
      <c r="N760" s="26"/>
      <c r="O760" s="26" t="str">
        <f>"""GP Direct"",""Fabrikam, Inc."",""UPR30300"",""PAYRATE"",""0.00000"",""PAYROLCD"",""INS"",""STATECD"","""",""CHEKDATE"",""6/1/2015"",""UPRTRXAM"",""49.36000"""</f>
        <v>"GP Direct","Fabrikam, Inc.","UPR30300","PAYRATE","0.00000","PAYROLCD","INS","STATECD","","CHEKDATE","6/1/2015","UPRTRXAM","49.36000"</v>
      </c>
      <c r="P760" s="29">
        <v>0</v>
      </c>
      <c r="Q760" s="26" t="str">
        <f>"INS"</f>
        <v>INS</v>
      </c>
      <c r="R760" s="26"/>
      <c r="S760" s="28">
        <v>42156</v>
      </c>
      <c r="T760" s="29">
        <v>49.36</v>
      </c>
    </row>
    <row r="761" spans="1:20" s="7" customFormat="1" hidden="1" outlineLevel="3" x14ac:dyDescent="0.2">
      <c r="A761" s="7" t="s">
        <v>92</v>
      </c>
      <c r="C761" s="7" t="str">
        <f t="shared" si="111"/>
        <v>Brenda</v>
      </c>
      <c r="D761" s="7" t="str">
        <f>+D760</f>
        <v>Diaz</v>
      </c>
      <c r="E761" s="8" t="str">
        <f>E760</f>
        <v>INST</v>
      </c>
      <c r="G761" s="8" t="str">
        <f>G760</f>
        <v>DIAZ0001</v>
      </c>
      <c r="H761" s="26"/>
      <c r="I761" s="26"/>
      <c r="J761" s="26"/>
      <c r="K761" s="28">
        <f>+K760</f>
        <v>42156</v>
      </c>
      <c r="L761" s="26" t="str">
        <f>L760</f>
        <v>10484</v>
      </c>
      <c r="M761" s="26"/>
      <c r="N761" s="26"/>
      <c r="O761" s="26" t="str">
        <f>"""GP Direct"",""Fabrikam, Inc."",""UPR30300"",""PAYRATE"",""0.00000"",""PAYROLCD"",""MED"",""STATECD"","""",""CHEKDATE"",""6/1/2015"",""UPRTRXAM"",""5.00000"""</f>
        <v>"GP Direct","Fabrikam, Inc.","UPR30300","PAYRATE","0.00000","PAYROLCD","MED","STATECD","","CHEKDATE","6/1/2015","UPRTRXAM","5.00000"</v>
      </c>
      <c r="P761" s="29">
        <v>0</v>
      </c>
      <c r="Q761" s="26" t="str">
        <f>"MED"</f>
        <v>MED</v>
      </c>
      <c r="R761" s="26"/>
      <c r="S761" s="28">
        <v>42156</v>
      </c>
      <c r="T761" s="29">
        <v>5</v>
      </c>
    </row>
    <row r="762" spans="1:20" s="7" customFormat="1" hidden="1" outlineLevel="3" x14ac:dyDescent="0.2">
      <c r="A762" s="7" t="s">
        <v>92</v>
      </c>
      <c r="C762" s="7" t="str">
        <f t="shared" si="111"/>
        <v>Brenda</v>
      </c>
      <c r="D762" s="7" t="str">
        <f>+D761</f>
        <v>Diaz</v>
      </c>
      <c r="E762" s="8" t="str">
        <f>E761</f>
        <v>INST</v>
      </c>
      <c r="G762" s="8" t="str">
        <f>G761</f>
        <v>DIAZ0001</v>
      </c>
      <c r="H762" s="26"/>
      <c r="I762" s="26"/>
      <c r="J762" s="26"/>
      <c r="K762" s="28">
        <f>+K761</f>
        <v>42156</v>
      </c>
      <c r="L762" s="26" t="str">
        <f>L761</f>
        <v>10484</v>
      </c>
      <c r="M762" s="26"/>
      <c r="N762" s="26"/>
      <c r="O762" s="26" t="str">
        <f>"""GP Direct"",""Fabrikam, Inc."",""UPR30300"",""PAYRATE"",""0.00000"",""PAYROLCD"",""MI"",""STATECD"","""",""CHEKDATE"",""6/1/2015"",""UPRTRXAM"",""52.14000"""</f>
        <v>"GP Direct","Fabrikam, Inc.","UPR30300","PAYRATE","0.00000","PAYROLCD","MI","STATECD","","CHEKDATE","6/1/2015","UPRTRXAM","52.14000"</v>
      </c>
      <c r="P762" s="29">
        <v>0</v>
      </c>
      <c r="Q762" s="26" t="str">
        <f>"MI"</f>
        <v>MI</v>
      </c>
      <c r="R762" s="26"/>
      <c r="S762" s="28">
        <v>42156</v>
      </c>
      <c r="T762" s="29">
        <v>52.14</v>
      </c>
    </row>
    <row r="763" spans="1:20" s="7" customFormat="1" hidden="1" outlineLevel="3" x14ac:dyDescent="0.2">
      <c r="A763" s="7" t="s">
        <v>92</v>
      </c>
      <c r="C763" s="7" t="str">
        <f t="shared" si="111"/>
        <v>Brenda</v>
      </c>
      <c r="D763" s="7" t="str">
        <f>+D762</f>
        <v>Diaz</v>
      </c>
      <c r="E763" s="8" t="str">
        <f>E762</f>
        <v>INST</v>
      </c>
      <c r="G763" s="8" t="str">
        <f>G762</f>
        <v>DIAZ0001</v>
      </c>
      <c r="H763" s="26"/>
      <c r="I763" s="26"/>
      <c r="J763" s="26"/>
      <c r="K763" s="28">
        <f>+K762</f>
        <v>42156</v>
      </c>
      <c r="L763" s="26" t="str">
        <f>L762</f>
        <v>10484</v>
      </c>
      <c r="M763" s="26"/>
      <c r="N763" s="26"/>
      <c r="O763" s="26" t="str">
        <f>"""GP Direct"",""Fabrikam, Inc."",""UPR30300"",""PAYRATE"",""17.10000"",""PAYROLCD"",""HOUR"",""STATECD"",""MI"",""CHEKDATE"",""6/1/2015"",""UPRTRXAM"",""1482.06000"""</f>
        <v>"GP Direct","Fabrikam, Inc.","UPR30300","PAYRATE","17.10000","PAYROLCD","HOUR","STATECD","MI","CHEKDATE","6/1/2015","UPRTRXAM","1482.06000"</v>
      </c>
      <c r="P763" s="29">
        <v>17.100000000000001</v>
      </c>
      <c r="Q763" s="26" t="str">
        <f>"HOUR"</f>
        <v>HOUR</v>
      </c>
      <c r="R763" s="26" t="str">
        <f>"MI"</f>
        <v>MI</v>
      </c>
      <c r="S763" s="28">
        <v>42156</v>
      </c>
      <c r="T763" s="29">
        <v>1482.06</v>
      </c>
    </row>
    <row r="764" spans="1:20" s="7" customFormat="1" hidden="1" outlineLevel="3" x14ac:dyDescent="0.2">
      <c r="A764" s="7" t="s">
        <v>92</v>
      </c>
      <c r="C764" s="7" t="str">
        <f>+C758</f>
        <v>Brenda</v>
      </c>
      <c r="D764" s="7" t="str">
        <f>+D758</f>
        <v>Diaz</v>
      </c>
      <c r="E764" s="8" t="str">
        <f>E758</f>
        <v>INST</v>
      </c>
      <c r="G764" s="8" t="str">
        <f>G758</f>
        <v>DIAZ0001</v>
      </c>
      <c r="K764" s="12">
        <f>+K758</f>
        <v>42156</v>
      </c>
      <c r="L764" s="8" t="str">
        <f>L758</f>
        <v>10484</v>
      </c>
      <c r="O764" s="8"/>
      <c r="T764" s="20"/>
    </row>
    <row r="765" spans="1:20" s="7" customFormat="1" hidden="1" outlineLevel="2" collapsed="1" x14ac:dyDescent="0.2">
      <c r="A765" s="7" t="s">
        <v>92</v>
      </c>
      <c r="C765" s="7" t="str">
        <f t="shared" si="106"/>
        <v>Brenda</v>
      </c>
      <c r="D765" s="7" t="str">
        <f>+D764</f>
        <v>Diaz</v>
      </c>
      <c r="E765" s="8" t="str">
        <f>E764</f>
        <v>INST</v>
      </c>
      <c r="G765" s="8" t="str">
        <f>G764</f>
        <v>DIAZ0001</v>
      </c>
      <c r="K765" s="12">
        <f>+K764</f>
        <v>42156</v>
      </c>
      <c r="L765" s="8" t="str">
        <f>L764</f>
        <v>10484</v>
      </c>
      <c r="M765" s="33" t="str">
        <f>"Total for " &amp; $L765</f>
        <v>Total for 10484</v>
      </c>
      <c r="N765" s="34">
        <f>+K765</f>
        <v>42156</v>
      </c>
      <c r="O765" s="35"/>
      <c r="P765" s="33"/>
      <c r="Q765" s="33"/>
      <c r="R765" s="33"/>
      <c r="S765" s="33"/>
      <c r="T765" s="36">
        <f>SUBTOTAL(9,T758:T764)</f>
        <v>1635.24</v>
      </c>
    </row>
    <row r="766" spans="1:20" s="7" customFormat="1" hidden="1" outlineLevel="3" x14ac:dyDescent="0.2">
      <c r="A766" s="7" t="s">
        <v>92</v>
      </c>
      <c r="C766" s="7" t="str">
        <f t="shared" si="106"/>
        <v>Brenda</v>
      </c>
      <c r="D766" s="7" t="str">
        <f>+D765</f>
        <v>Diaz</v>
      </c>
      <c r="E766" s="8" t="str">
        <f>E765</f>
        <v>INST</v>
      </c>
      <c r="G766" s="8" t="str">
        <f>G765</f>
        <v>DIAZ0001</v>
      </c>
      <c r="H766" s="26"/>
      <c r="I766" s="26"/>
      <c r="J766" s="26"/>
      <c r="K766" s="28">
        <f>+N766</f>
        <v>42005</v>
      </c>
      <c r="L766" s="26" t="str">
        <f>M766</f>
        <v>11565</v>
      </c>
      <c r="M766" s="26" t="str">
        <f>"11565"</f>
        <v>11565</v>
      </c>
      <c r="N766" s="28">
        <v>42005</v>
      </c>
      <c r="O766" s="26"/>
      <c r="P766" s="26"/>
      <c r="Q766" s="26"/>
      <c r="R766" s="26"/>
      <c r="S766" s="26"/>
      <c r="T766" s="27"/>
    </row>
    <row r="767" spans="1:20" s="7" customFormat="1" hidden="1" outlineLevel="3" x14ac:dyDescent="0.2">
      <c r="A767" s="7" t="s">
        <v>92</v>
      </c>
      <c r="C767" s="7" t="str">
        <f t="shared" si="106"/>
        <v>Brenda</v>
      </c>
      <c r="D767" s="7" t="str">
        <f>+D766</f>
        <v>Diaz</v>
      </c>
      <c r="E767" s="8" t="str">
        <f>E766</f>
        <v>INST</v>
      </c>
      <c r="G767" s="8" t="str">
        <f>G766</f>
        <v>DIAZ0001</v>
      </c>
      <c r="H767" s="26"/>
      <c r="I767" s="26"/>
      <c r="J767" s="26"/>
      <c r="K767" s="28">
        <f>+K766</f>
        <v>42005</v>
      </c>
      <c r="L767" s="26" t="str">
        <f>L766</f>
        <v>11565</v>
      </c>
      <c r="M767" s="26"/>
      <c r="N767" s="26"/>
      <c r="O767" s="26" t="str">
        <f>"""GP Direct"",""Fabrikam, Inc."",""UPR30300"",""PAYRATE"",""0.00000"",""PAYROLCD"",""MI"",""STATECD"","""",""CHEKDATE"",""1/1/2015"",""UPRTRXAM"",""23.52000"""</f>
        <v>"GP Direct","Fabrikam, Inc.","UPR30300","PAYRATE","0.00000","PAYROLCD","MI","STATECD","","CHEKDATE","1/1/2015","UPRTRXAM","23.52000"</v>
      </c>
      <c r="P767" s="29">
        <v>0</v>
      </c>
      <c r="Q767" s="26" t="str">
        <f>"MI"</f>
        <v>MI</v>
      </c>
      <c r="R767" s="26"/>
      <c r="S767" s="28">
        <v>42005</v>
      </c>
      <c r="T767" s="29">
        <v>23.52</v>
      </c>
    </row>
    <row r="768" spans="1:20" s="7" customFormat="1" hidden="1" outlineLevel="3" x14ac:dyDescent="0.2">
      <c r="A768" s="7" t="s">
        <v>92</v>
      </c>
      <c r="C768" s="7" t="str">
        <f t="shared" ref="C768" si="112">+C767</f>
        <v>Brenda</v>
      </c>
      <c r="D768" s="7" t="str">
        <f>+D767</f>
        <v>Diaz</v>
      </c>
      <c r="E768" s="8" t="str">
        <f>E767</f>
        <v>INST</v>
      </c>
      <c r="G768" s="8" t="str">
        <f>G767</f>
        <v>DIAZ0001</v>
      </c>
      <c r="H768" s="26"/>
      <c r="I768" s="26"/>
      <c r="J768" s="26"/>
      <c r="K768" s="28">
        <f>+K767</f>
        <v>42005</v>
      </c>
      <c r="L768" s="26" t="str">
        <f>L767</f>
        <v>11565</v>
      </c>
      <c r="M768" s="26"/>
      <c r="N768" s="26"/>
      <c r="O768" s="26" t="str">
        <f>"""GP Direct"",""Fabrikam, Inc."",""UPR30300"",""PAYRATE"",""600.00000"",""PAYROLCD"",""BONS"",""STATECD"",""MI"",""CHEKDATE"",""1/1/2015"",""UPRTRXAM"",""600.00000"""</f>
        <v>"GP Direct","Fabrikam, Inc.","UPR30300","PAYRATE","600.00000","PAYROLCD","BONS","STATECD","MI","CHEKDATE","1/1/2015","UPRTRXAM","600.00000"</v>
      </c>
      <c r="P768" s="29">
        <v>600</v>
      </c>
      <c r="Q768" s="26" t="str">
        <f>"BONS"</f>
        <v>BONS</v>
      </c>
      <c r="R768" s="26" t="str">
        <f>"MI"</f>
        <v>MI</v>
      </c>
      <c r="S768" s="28">
        <v>42005</v>
      </c>
      <c r="T768" s="29">
        <v>600</v>
      </c>
    </row>
    <row r="769" spans="1:20" s="7" customFormat="1" hidden="1" outlineLevel="3" x14ac:dyDescent="0.2">
      <c r="A769" s="7" t="s">
        <v>92</v>
      </c>
      <c r="C769" s="7" t="str">
        <f>+C767</f>
        <v>Brenda</v>
      </c>
      <c r="D769" s="7" t="str">
        <f>+D767</f>
        <v>Diaz</v>
      </c>
      <c r="E769" s="8" t="str">
        <f>E767</f>
        <v>INST</v>
      </c>
      <c r="G769" s="8" t="str">
        <f>G767</f>
        <v>DIAZ0001</v>
      </c>
      <c r="K769" s="12">
        <f>+K767</f>
        <v>42005</v>
      </c>
      <c r="L769" s="8" t="str">
        <f>L767</f>
        <v>11565</v>
      </c>
      <c r="O769" s="8"/>
      <c r="T769" s="20"/>
    </row>
    <row r="770" spans="1:20" s="7" customFormat="1" hidden="1" outlineLevel="2" collapsed="1" x14ac:dyDescent="0.2">
      <c r="A770" s="7" t="s">
        <v>92</v>
      </c>
      <c r="C770" s="7" t="str">
        <f t="shared" si="106"/>
        <v>Brenda</v>
      </c>
      <c r="D770" s="7" t="str">
        <f>+D769</f>
        <v>Diaz</v>
      </c>
      <c r="E770" s="8" t="str">
        <f>E769</f>
        <v>INST</v>
      </c>
      <c r="G770" s="8" t="str">
        <f>G769</f>
        <v>DIAZ0001</v>
      </c>
      <c r="K770" s="12">
        <f>+K769</f>
        <v>42005</v>
      </c>
      <c r="L770" s="8" t="str">
        <f>L769</f>
        <v>11565</v>
      </c>
      <c r="M770" s="33" t="str">
        <f>"Total for " &amp; $L770</f>
        <v>Total for 11565</v>
      </c>
      <c r="N770" s="34">
        <f>+K770</f>
        <v>42005</v>
      </c>
      <c r="O770" s="35"/>
      <c r="P770" s="33"/>
      <c r="Q770" s="33"/>
      <c r="R770" s="33"/>
      <c r="S770" s="33"/>
      <c r="T770" s="36">
        <f>SUBTOTAL(9,T767:T769)</f>
        <v>623.52</v>
      </c>
    </row>
    <row r="771" spans="1:20" s="7" customFormat="1" hidden="1" outlineLevel="3" x14ac:dyDescent="0.2">
      <c r="A771" s="7" t="s">
        <v>92</v>
      </c>
      <c r="C771" s="7" t="str">
        <f t="shared" si="106"/>
        <v>Brenda</v>
      </c>
      <c r="D771" s="7" t="str">
        <f>+D770</f>
        <v>Diaz</v>
      </c>
      <c r="E771" s="8" t="str">
        <f>E770</f>
        <v>INST</v>
      </c>
      <c r="G771" s="8" t="str">
        <f>G770</f>
        <v>DIAZ0001</v>
      </c>
      <c r="H771" s="26"/>
      <c r="I771" s="26"/>
      <c r="J771" s="26"/>
      <c r="K771" s="28">
        <f>+N771</f>
        <v>42156</v>
      </c>
      <c r="L771" s="26" t="str">
        <f>M771</f>
        <v>11570</v>
      </c>
      <c r="M771" s="26" t="str">
        <f>"11570"</f>
        <v>11570</v>
      </c>
      <c r="N771" s="28">
        <v>42156</v>
      </c>
      <c r="O771" s="26"/>
      <c r="P771" s="26"/>
      <c r="Q771" s="26"/>
      <c r="R771" s="26"/>
      <c r="S771" s="26"/>
      <c r="T771" s="27"/>
    </row>
    <row r="772" spans="1:20" s="7" customFormat="1" hidden="1" outlineLevel="3" x14ac:dyDescent="0.2">
      <c r="A772" s="7" t="s">
        <v>92</v>
      </c>
      <c r="C772" s="7" t="str">
        <f t="shared" si="106"/>
        <v>Brenda</v>
      </c>
      <c r="D772" s="7" t="str">
        <f>+D771</f>
        <v>Diaz</v>
      </c>
      <c r="E772" s="8" t="str">
        <f>E771</f>
        <v>INST</v>
      </c>
      <c r="G772" s="8" t="str">
        <f>G771</f>
        <v>DIAZ0001</v>
      </c>
      <c r="H772" s="26"/>
      <c r="I772" s="26"/>
      <c r="J772" s="26"/>
      <c r="K772" s="28">
        <f>+K771</f>
        <v>42156</v>
      </c>
      <c r="L772" s="26" t="str">
        <f>L771</f>
        <v>11570</v>
      </c>
      <c r="M772" s="26"/>
      <c r="N772" s="26"/>
      <c r="O772" s="26" t="str">
        <f>"""GP Direct"",""Fabrikam, Inc."",""UPR30300"",""PAYRATE"",""0.00000"",""PAYROLCD"",""MI"",""STATECD"","""",""CHEKDATE"",""6/1/2015"",""UPRTRXAM"",""19.52000"""</f>
        <v>"GP Direct","Fabrikam, Inc.","UPR30300","PAYRATE","0.00000","PAYROLCD","MI","STATECD","","CHEKDATE","6/1/2015","UPRTRXAM","19.52000"</v>
      </c>
      <c r="P772" s="29">
        <v>0</v>
      </c>
      <c r="Q772" s="26" t="str">
        <f>"MI"</f>
        <v>MI</v>
      </c>
      <c r="R772" s="26"/>
      <c r="S772" s="28">
        <v>42156</v>
      </c>
      <c r="T772" s="29">
        <v>19.52</v>
      </c>
    </row>
    <row r="773" spans="1:20" s="7" customFormat="1" hidden="1" outlineLevel="3" x14ac:dyDescent="0.2">
      <c r="A773" s="7" t="s">
        <v>92</v>
      </c>
      <c r="C773" s="7" t="str">
        <f t="shared" ref="C773" si="113">+C772</f>
        <v>Brenda</v>
      </c>
      <c r="D773" s="7" t="str">
        <f>+D772</f>
        <v>Diaz</v>
      </c>
      <c r="E773" s="8" t="str">
        <f>E772</f>
        <v>INST</v>
      </c>
      <c r="G773" s="8" t="str">
        <f>G772</f>
        <v>DIAZ0001</v>
      </c>
      <c r="H773" s="26"/>
      <c r="I773" s="26"/>
      <c r="J773" s="26"/>
      <c r="K773" s="28">
        <f>+K772</f>
        <v>42156</v>
      </c>
      <c r="L773" s="26" t="str">
        <f>L772</f>
        <v>11570</v>
      </c>
      <c r="M773" s="26"/>
      <c r="N773" s="26"/>
      <c r="O773" s="26" t="str">
        <f>"""GP Direct"",""Fabrikam, Inc."",""UPR30300"",""PAYRATE"",""500.00000"",""PAYROLCD"",""BONS"",""STATECD"",""MI"",""CHEKDATE"",""6/1/2015"",""UPRTRXAM"",""500.00000"""</f>
        <v>"GP Direct","Fabrikam, Inc.","UPR30300","PAYRATE","500.00000","PAYROLCD","BONS","STATECD","MI","CHEKDATE","6/1/2015","UPRTRXAM","500.00000"</v>
      </c>
      <c r="P773" s="29">
        <v>500</v>
      </c>
      <c r="Q773" s="26" t="str">
        <f>"BONS"</f>
        <v>BONS</v>
      </c>
      <c r="R773" s="26" t="str">
        <f>"MI"</f>
        <v>MI</v>
      </c>
      <c r="S773" s="28">
        <v>42156</v>
      </c>
      <c r="T773" s="29">
        <v>500</v>
      </c>
    </row>
    <row r="774" spans="1:20" s="7" customFormat="1" hidden="1" outlineLevel="3" x14ac:dyDescent="0.2">
      <c r="A774" s="7" t="s">
        <v>92</v>
      </c>
      <c r="C774" s="7" t="str">
        <f>+C772</f>
        <v>Brenda</v>
      </c>
      <c r="D774" s="7" t="str">
        <f>+D772</f>
        <v>Diaz</v>
      </c>
      <c r="E774" s="8" t="str">
        <f>E772</f>
        <v>INST</v>
      </c>
      <c r="G774" s="8" t="str">
        <f>G772</f>
        <v>DIAZ0001</v>
      </c>
      <c r="K774" s="12">
        <f>+K772</f>
        <v>42156</v>
      </c>
      <c r="L774" s="8" t="str">
        <f>L772</f>
        <v>11570</v>
      </c>
      <c r="O774" s="8"/>
      <c r="T774" s="20"/>
    </row>
    <row r="775" spans="1:20" s="7" customFormat="1" hidden="1" outlineLevel="2" collapsed="1" x14ac:dyDescent="0.2">
      <c r="A775" s="7" t="s">
        <v>92</v>
      </c>
      <c r="C775" s="7" t="str">
        <f t="shared" si="106"/>
        <v>Brenda</v>
      </c>
      <c r="D775" s="7" t="str">
        <f>+D774</f>
        <v>Diaz</v>
      </c>
      <c r="E775" s="8" t="str">
        <f>E774</f>
        <v>INST</v>
      </c>
      <c r="G775" s="8" t="str">
        <f>G774</f>
        <v>DIAZ0001</v>
      </c>
      <c r="K775" s="12">
        <f>+K774</f>
        <v>42156</v>
      </c>
      <c r="L775" s="8" t="str">
        <f>L774</f>
        <v>11570</v>
      </c>
      <c r="M775" s="33" t="str">
        <f>"Total for " &amp; $L775</f>
        <v>Total for 11570</v>
      </c>
      <c r="N775" s="34">
        <f>+K775</f>
        <v>42156</v>
      </c>
      <c r="O775" s="35"/>
      <c r="P775" s="33"/>
      <c r="Q775" s="33"/>
      <c r="R775" s="33"/>
      <c r="S775" s="33"/>
      <c r="T775" s="36">
        <f>SUBTOTAL(9,T772:T774)</f>
        <v>519.52</v>
      </c>
    </row>
    <row r="776" spans="1:20" s="7" customFormat="1" hidden="1" outlineLevel="2" x14ac:dyDescent="0.2">
      <c r="A776" s="7" t="s">
        <v>92</v>
      </c>
      <c r="C776" s="7" t="str">
        <f>+C719</f>
        <v>Brenda</v>
      </c>
      <c r="D776" s="7" t="str">
        <f>+D719</f>
        <v>Diaz</v>
      </c>
      <c r="E776" s="8" t="str">
        <f>E719</f>
        <v>INST</v>
      </c>
      <c r="G776" s="8" t="str">
        <f>G719</f>
        <v>DIAZ0001</v>
      </c>
      <c r="L776" s="8"/>
      <c r="O776" s="8"/>
      <c r="T776" s="20"/>
    </row>
    <row r="777" spans="1:20" s="7" customFormat="1" hidden="1" outlineLevel="1" collapsed="1" x14ac:dyDescent="0.2">
      <c r="A777" s="7" t="s">
        <v>92</v>
      </c>
      <c r="C777" s="7" t="str">
        <f t="shared" si="104"/>
        <v>Brenda</v>
      </c>
      <c r="D777" s="7" t="str">
        <f>+D776</f>
        <v>Diaz</v>
      </c>
      <c r="E777" s="8" t="str">
        <f>E776</f>
        <v>INST</v>
      </c>
      <c r="G777" s="8" t="str">
        <f>G776</f>
        <v>DIAZ0001</v>
      </c>
      <c r="H777" s="30" t="str">
        <f>"Total for " &amp; $G777</f>
        <v>Total for DIAZ0001</v>
      </c>
      <c r="I777" s="30" t="str">
        <f>+C777</f>
        <v>Brenda</v>
      </c>
      <c r="J777" s="30" t="str">
        <f>+D777</f>
        <v>Diaz</v>
      </c>
      <c r="K777" s="30"/>
      <c r="L777" s="31"/>
      <c r="M777" s="30"/>
      <c r="N777" s="30"/>
      <c r="O777" s="31"/>
      <c r="P777" s="30"/>
      <c r="Q777" s="30"/>
      <c r="R777" s="30"/>
      <c r="S777" s="30"/>
      <c r="T777" s="32">
        <f>SUBTOTAL(9,T712:T776)</f>
        <v>10954.48</v>
      </c>
    </row>
    <row r="778" spans="1:20" s="7" customFormat="1" hidden="1" outlineLevel="2" x14ac:dyDescent="0.2">
      <c r="A778" s="7" t="s">
        <v>92</v>
      </c>
      <c r="C778" s="7" t="str">
        <f t="shared" ref="C778" si="114">+I778</f>
        <v>Roger</v>
      </c>
      <c r="D778" s="7" t="str">
        <f>+J778</f>
        <v>Harui</v>
      </c>
      <c r="E778" s="8" t="str">
        <f>E777</f>
        <v>INST</v>
      </c>
      <c r="G778" s="8" t="str">
        <f>H778</f>
        <v>HARU0001</v>
      </c>
      <c r="H778" s="24" t="str">
        <f>"HARU0001"</f>
        <v>HARU0001</v>
      </c>
      <c r="I778" s="25" t="str">
        <f>"Roger"</f>
        <v>Roger</v>
      </c>
      <c r="J778" s="25" t="str">
        <f>"Harui"</f>
        <v>Harui</v>
      </c>
      <c r="K778" s="26"/>
      <c r="L778" s="26"/>
      <c r="M778" s="26"/>
      <c r="N778" s="26"/>
      <c r="O778" s="26"/>
      <c r="P778" s="26"/>
      <c r="Q778" s="26"/>
      <c r="R778" s="26"/>
      <c r="S778" s="26"/>
      <c r="T778" s="27"/>
    </row>
    <row r="779" spans="1:20" s="7" customFormat="1" hidden="1" outlineLevel="3" x14ac:dyDescent="0.2">
      <c r="A779" s="7" t="s">
        <v>92</v>
      </c>
      <c r="C779" s="7" t="str">
        <f t="shared" ref="C779:C845" si="115">+C778</f>
        <v>Roger</v>
      </c>
      <c r="D779" s="7" t="str">
        <f>+D778</f>
        <v>Harui</v>
      </c>
      <c r="E779" s="8" t="str">
        <f>E778</f>
        <v>INST</v>
      </c>
      <c r="G779" s="8" t="str">
        <f>G778</f>
        <v>HARU0001</v>
      </c>
      <c r="H779" s="26"/>
      <c r="I779" s="26"/>
      <c r="J779" s="26"/>
      <c r="K779" s="28">
        <f>+N779</f>
        <v>42005</v>
      </c>
      <c r="L779" s="26" t="str">
        <f>M779</f>
        <v>10363</v>
      </c>
      <c r="M779" s="26" t="str">
        <f>"10363"</f>
        <v>10363</v>
      </c>
      <c r="N779" s="28">
        <v>42005</v>
      </c>
      <c r="O779" s="26"/>
      <c r="P779" s="26"/>
      <c r="Q779" s="26"/>
      <c r="R779" s="26"/>
      <c r="S779" s="26"/>
      <c r="T779" s="27"/>
    </row>
    <row r="780" spans="1:20" s="7" customFormat="1" hidden="1" outlineLevel="3" x14ac:dyDescent="0.2">
      <c r="A780" s="7" t="s">
        <v>92</v>
      </c>
      <c r="C780" s="7" t="str">
        <f t="shared" si="115"/>
        <v>Roger</v>
      </c>
      <c r="D780" s="7" t="str">
        <f>+D779</f>
        <v>Harui</v>
      </c>
      <c r="E780" s="8" t="str">
        <f>E779</f>
        <v>INST</v>
      </c>
      <c r="G780" s="8" t="str">
        <f>G779</f>
        <v>HARU0001</v>
      </c>
      <c r="H780" s="26"/>
      <c r="I780" s="26"/>
      <c r="J780" s="26"/>
      <c r="K780" s="28">
        <f>+K779</f>
        <v>42005</v>
      </c>
      <c r="L780" s="26" t="str">
        <f>L779</f>
        <v>10363</v>
      </c>
      <c r="M780" s="26"/>
      <c r="N780" s="26"/>
      <c r="O780" s="26" t="str">
        <f>"""GP Direct"",""Fabrikam, Inc."",""UPR30300"",""PAYRATE"",""0.00000"",""PAYROLCD"",""401K"",""STATECD"","""",""CHEKDATE"",""1/1/2015"",""UPRTRXAM"",""2.04000"""</f>
        <v>"GP Direct","Fabrikam, Inc.","UPR30300","PAYRATE","0.00000","PAYROLCD","401K","STATECD","","CHEKDATE","1/1/2015","UPRTRXAM","2.04000"</v>
      </c>
      <c r="P780" s="29">
        <v>0</v>
      </c>
      <c r="Q780" s="26" t="str">
        <f>"401K"</f>
        <v>401K</v>
      </c>
      <c r="R780" s="26"/>
      <c r="S780" s="28">
        <v>42005</v>
      </c>
      <c r="T780" s="29">
        <v>2.04</v>
      </c>
    </row>
    <row r="781" spans="1:20" s="7" customFormat="1" hidden="1" outlineLevel="3" x14ac:dyDescent="0.2">
      <c r="A781" s="7" t="s">
        <v>92</v>
      </c>
      <c r="C781" s="7" t="str">
        <f t="shared" ref="C781:C785" si="116">+C780</f>
        <v>Roger</v>
      </c>
      <c r="D781" s="7" t="str">
        <f>+D780</f>
        <v>Harui</v>
      </c>
      <c r="E781" s="8" t="str">
        <f>E780</f>
        <v>INST</v>
      </c>
      <c r="G781" s="8" t="str">
        <f>G780</f>
        <v>HARU0001</v>
      </c>
      <c r="H781" s="26"/>
      <c r="I781" s="26"/>
      <c r="J781" s="26"/>
      <c r="K781" s="28">
        <f>+K780</f>
        <v>42005</v>
      </c>
      <c r="L781" s="26" t="str">
        <f>L780</f>
        <v>10363</v>
      </c>
      <c r="M781" s="26"/>
      <c r="N781" s="26"/>
      <c r="O781" s="26" t="str">
        <f>"""GP Direct"",""Fabrikam, Inc."",""UPR30300"",""PAYRATE"",""0.00000"",""PAYROLCD"",""401K"",""STATECD"","""",""CHEKDATE"",""1/1/2015"",""UPRTRXAM"",""40.82000"""</f>
        <v>"GP Direct","Fabrikam, Inc.","UPR30300","PAYRATE","0.00000","PAYROLCD","401K","STATECD","","CHEKDATE","1/1/2015","UPRTRXAM","40.82000"</v>
      </c>
      <c r="P781" s="29">
        <v>0</v>
      </c>
      <c r="Q781" s="26" t="str">
        <f>"401K"</f>
        <v>401K</v>
      </c>
      <c r="R781" s="26"/>
      <c r="S781" s="28">
        <v>42005</v>
      </c>
      <c r="T781" s="29">
        <v>40.82</v>
      </c>
    </row>
    <row r="782" spans="1:20" s="7" customFormat="1" hidden="1" outlineLevel="3" x14ac:dyDescent="0.2">
      <c r="A782" s="7" t="s">
        <v>92</v>
      </c>
      <c r="C782" s="7" t="str">
        <f t="shared" si="116"/>
        <v>Roger</v>
      </c>
      <c r="D782" s="7" t="str">
        <f>+D781</f>
        <v>Harui</v>
      </c>
      <c r="E782" s="8" t="str">
        <f>E781</f>
        <v>INST</v>
      </c>
      <c r="G782" s="8" t="str">
        <f>G781</f>
        <v>HARU0001</v>
      </c>
      <c r="H782" s="26"/>
      <c r="I782" s="26"/>
      <c r="J782" s="26"/>
      <c r="K782" s="28">
        <f>+K781</f>
        <v>42005</v>
      </c>
      <c r="L782" s="26" t="str">
        <f>L781</f>
        <v>10363</v>
      </c>
      <c r="M782" s="26"/>
      <c r="N782" s="26"/>
      <c r="O782" s="26" t="str">
        <f>"""GP Direct"",""Fabrikam, Inc."",""UPR30300"",""PAYRATE"",""0.00000"",""PAYROLCD"",""IA"",""STATECD"","""",""CHEKDATE"",""1/1/2015"",""UPRTRXAM"",""53.00000"""</f>
        <v>"GP Direct","Fabrikam, Inc.","UPR30300","PAYRATE","0.00000","PAYROLCD","IA","STATECD","","CHEKDATE","1/1/2015","UPRTRXAM","53.00000"</v>
      </c>
      <c r="P782" s="29">
        <v>0</v>
      </c>
      <c r="Q782" s="26" t="str">
        <f>"IA"</f>
        <v>IA</v>
      </c>
      <c r="R782" s="26"/>
      <c r="S782" s="28">
        <v>42005</v>
      </c>
      <c r="T782" s="29">
        <v>53</v>
      </c>
    </row>
    <row r="783" spans="1:20" s="7" customFormat="1" hidden="1" outlineLevel="3" x14ac:dyDescent="0.2">
      <c r="A783" s="7" t="s">
        <v>92</v>
      </c>
      <c r="C783" s="7" t="str">
        <f t="shared" si="116"/>
        <v>Roger</v>
      </c>
      <c r="D783" s="7" t="str">
        <f>+D782</f>
        <v>Harui</v>
      </c>
      <c r="E783" s="8" t="str">
        <f>E782</f>
        <v>INST</v>
      </c>
      <c r="G783" s="8" t="str">
        <f>G782</f>
        <v>HARU0001</v>
      </c>
      <c r="H783" s="26"/>
      <c r="I783" s="26"/>
      <c r="J783" s="26"/>
      <c r="K783" s="28">
        <f>+K782</f>
        <v>42005</v>
      </c>
      <c r="L783" s="26" t="str">
        <f>L782</f>
        <v>10363</v>
      </c>
      <c r="M783" s="26"/>
      <c r="N783" s="26"/>
      <c r="O783" s="26" t="str">
        <f>"""GP Direct"",""Fabrikam, Inc."",""UPR30300"",""PAYRATE"",""0.00000"",""PAYROLCD"",""INS"",""STATECD"","""",""CHEKDATE"",""1/1/2015"",""UPRTRXAM"",""49.36000"""</f>
        <v>"GP Direct","Fabrikam, Inc.","UPR30300","PAYRATE","0.00000","PAYROLCD","INS","STATECD","","CHEKDATE","1/1/2015","UPRTRXAM","49.36000"</v>
      </c>
      <c r="P783" s="29">
        <v>0</v>
      </c>
      <c r="Q783" s="26" t="str">
        <f>"INS"</f>
        <v>INS</v>
      </c>
      <c r="R783" s="26"/>
      <c r="S783" s="28">
        <v>42005</v>
      </c>
      <c r="T783" s="29">
        <v>49.36</v>
      </c>
    </row>
    <row r="784" spans="1:20" s="7" customFormat="1" hidden="1" outlineLevel="3" x14ac:dyDescent="0.2">
      <c r="A784" s="7" t="s">
        <v>92</v>
      </c>
      <c r="C784" s="7" t="str">
        <f t="shared" si="116"/>
        <v>Roger</v>
      </c>
      <c r="D784" s="7" t="str">
        <f>+D783</f>
        <v>Harui</v>
      </c>
      <c r="E784" s="8" t="str">
        <f>E783</f>
        <v>INST</v>
      </c>
      <c r="G784" s="8" t="str">
        <f>G783</f>
        <v>HARU0001</v>
      </c>
      <c r="H784" s="26"/>
      <c r="I784" s="26"/>
      <c r="J784" s="26"/>
      <c r="K784" s="28">
        <f>+K783</f>
        <v>42005</v>
      </c>
      <c r="L784" s="26" t="str">
        <f>L783</f>
        <v>10363</v>
      </c>
      <c r="M784" s="26"/>
      <c r="N784" s="26"/>
      <c r="O784" s="26" t="str">
        <f>"""GP Direct"",""Fabrikam, Inc."",""UPR30300"",""PAYRATE"",""0.00000"",""PAYROLCD"",""MED"",""STATECD"","""",""CHEKDATE"",""1/1/2015"",""UPRTRXAM"",""5.00000"""</f>
        <v>"GP Direct","Fabrikam, Inc.","UPR30300","PAYRATE","0.00000","PAYROLCD","MED","STATECD","","CHEKDATE","1/1/2015","UPRTRXAM","5.00000"</v>
      </c>
      <c r="P784" s="29">
        <v>0</v>
      </c>
      <c r="Q784" s="26" t="str">
        <f>"MED"</f>
        <v>MED</v>
      </c>
      <c r="R784" s="26"/>
      <c r="S784" s="28">
        <v>42005</v>
      </c>
      <c r="T784" s="29">
        <v>5</v>
      </c>
    </row>
    <row r="785" spans="1:20" s="7" customFormat="1" hidden="1" outlineLevel="3" x14ac:dyDescent="0.2">
      <c r="A785" s="7" t="s">
        <v>92</v>
      </c>
      <c r="C785" s="7" t="str">
        <f t="shared" si="116"/>
        <v>Roger</v>
      </c>
      <c r="D785" s="7" t="str">
        <f>+D784</f>
        <v>Harui</v>
      </c>
      <c r="E785" s="8" t="str">
        <f>E784</f>
        <v>INST</v>
      </c>
      <c r="G785" s="8" t="str">
        <f>G784</f>
        <v>HARU0001</v>
      </c>
      <c r="H785" s="26"/>
      <c r="I785" s="26"/>
      <c r="J785" s="26"/>
      <c r="K785" s="28">
        <f>+K784</f>
        <v>42005</v>
      </c>
      <c r="L785" s="26" t="str">
        <f>L784</f>
        <v>10363</v>
      </c>
      <c r="M785" s="26"/>
      <c r="N785" s="26"/>
      <c r="O785" s="26" t="str">
        <f>"""GP Direct"",""Fabrikam, Inc."",""UPR30300"",""PAYRATE"",""15.70000"",""PAYROLCD"",""HOUR"",""STATECD"",""IA"",""CHEKDATE"",""1/1/2015"",""UPRTRXAM"",""1360.72000"""</f>
        <v>"GP Direct","Fabrikam, Inc.","UPR30300","PAYRATE","15.70000","PAYROLCD","HOUR","STATECD","IA","CHEKDATE","1/1/2015","UPRTRXAM","1360.72000"</v>
      </c>
      <c r="P785" s="29">
        <v>15.7</v>
      </c>
      <c r="Q785" s="26" t="str">
        <f>"HOUR"</f>
        <v>HOUR</v>
      </c>
      <c r="R785" s="26" t="str">
        <f>"IA"</f>
        <v>IA</v>
      </c>
      <c r="S785" s="28">
        <v>42005</v>
      </c>
      <c r="T785" s="29">
        <v>1360.72</v>
      </c>
    </row>
    <row r="786" spans="1:20" s="7" customFormat="1" hidden="1" outlineLevel="3" x14ac:dyDescent="0.2">
      <c r="A786" s="7" t="s">
        <v>92</v>
      </c>
      <c r="C786" s="7" t="str">
        <f>+C780</f>
        <v>Roger</v>
      </c>
      <c r="D786" s="7" t="str">
        <f>+D780</f>
        <v>Harui</v>
      </c>
      <c r="E786" s="8" t="str">
        <f>E780</f>
        <v>INST</v>
      </c>
      <c r="G786" s="8" t="str">
        <f>G780</f>
        <v>HARU0001</v>
      </c>
      <c r="K786" s="12">
        <f>+K780</f>
        <v>42005</v>
      </c>
      <c r="L786" s="8" t="str">
        <f>L780</f>
        <v>10363</v>
      </c>
      <c r="O786" s="8"/>
      <c r="T786" s="20"/>
    </row>
    <row r="787" spans="1:20" s="7" customFormat="1" hidden="1" outlineLevel="2" collapsed="1" x14ac:dyDescent="0.2">
      <c r="A787" s="7" t="s">
        <v>92</v>
      </c>
      <c r="C787" s="7" t="str">
        <f t="shared" si="115"/>
        <v>Roger</v>
      </c>
      <c r="D787" s="7" t="str">
        <f>+D786</f>
        <v>Harui</v>
      </c>
      <c r="E787" s="8" t="str">
        <f>E786</f>
        <v>INST</v>
      </c>
      <c r="G787" s="8" t="str">
        <f>G786</f>
        <v>HARU0001</v>
      </c>
      <c r="K787" s="12">
        <f>+K786</f>
        <v>42005</v>
      </c>
      <c r="L787" s="8" t="str">
        <f>L786</f>
        <v>10363</v>
      </c>
      <c r="M787" s="33" t="str">
        <f>"Total for " &amp; $L787</f>
        <v>Total for 10363</v>
      </c>
      <c r="N787" s="34">
        <f>+K787</f>
        <v>42005</v>
      </c>
      <c r="O787" s="35"/>
      <c r="P787" s="33"/>
      <c r="Q787" s="33"/>
      <c r="R787" s="33"/>
      <c r="S787" s="33"/>
      <c r="T787" s="36">
        <f>SUBTOTAL(9,T780:T786)</f>
        <v>1510.94</v>
      </c>
    </row>
    <row r="788" spans="1:20" s="7" customFormat="1" hidden="1" outlineLevel="3" x14ac:dyDescent="0.2">
      <c r="A788" s="7" t="s">
        <v>92</v>
      </c>
      <c r="C788" s="7" t="str">
        <f t="shared" ref="C788:C843" si="117">+C787</f>
        <v>Roger</v>
      </c>
      <c r="D788" s="7" t="str">
        <f>+D787</f>
        <v>Harui</v>
      </c>
      <c r="E788" s="8" t="str">
        <f>E787</f>
        <v>INST</v>
      </c>
      <c r="G788" s="8" t="str">
        <f>G787</f>
        <v>HARU0001</v>
      </c>
      <c r="H788" s="26"/>
      <c r="I788" s="26"/>
      <c r="J788" s="26"/>
      <c r="K788" s="28">
        <f>+N788</f>
        <v>42036</v>
      </c>
      <c r="L788" s="26" t="str">
        <f>M788</f>
        <v>10388</v>
      </c>
      <c r="M788" s="26" t="str">
        <f>"10388"</f>
        <v>10388</v>
      </c>
      <c r="N788" s="28">
        <v>42036</v>
      </c>
      <c r="O788" s="26"/>
      <c r="P788" s="26"/>
      <c r="Q788" s="26"/>
      <c r="R788" s="26"/>
      <c r="S788" s="26"/>
      <c r="T788" s="27"/>
    </row>
    <row r="789" spans="1:20" s="7" customFormat="1" hidden="1" outlineLevel="3" x14ac:dyDescent="0.2">
      <c r="A789" s="7" t="s">
        <v>92</v>
      </c>
      <c r="C789" s="7" t="str">
        <f t="shared" si="117"/>
        <v>Roger</v>
      </c>
      <c r="D789" s="7" t="str">
        <f>+D788</f>
        <v>Harui</v>
      </c>
      <c r="E789" s="8" t="str">
        <f>E788</f>
        <v>INST</v>
      </c>
      <c r="G789" s="8" t="str">
        <f>G788</f>
        <v>HARU0001</v>
      </c>
      <c r="H789" s="26"/>
      <c r="I789" s="26"/>
      <c r="J789" s="26"/>
      <c r="K789" s="28">
        <f>+K788</f>
        <v>42036</v>
      </c>
      <c r="L789" s="26" t="str">
        <f>L788</f>
        <v>10388</v>
      </c>
      <c r="M789" s="26"/>
      <c r="N789" s="26"/>
      <c r="O789" s="26" t="str">
        <f>"""GP Direct"",""Fabrikam, Inc."",""UPR30300"",""PAYRATE"",""0.00000"",""PAYROLCD"",""401K"",""STATECD"","""",""CHEKDATE"",""2/1/2015"",""UPRTRXAM"",""2.04000"""</f>
        <v>"GP Direct","Fabrikam, Inc.","UPR30300","PAYRATE","0.00000","PAYROLCD","401K","STATECD","","CHEKDATE","2/1/2015","UPRTRXAM","2.04000"</v>
      </c>
      <c r="P789" s="29">
        <v>0</v>
      </c>
      <c r="Q789" s="26" t="str">
        <f>"401K"</f>
        <v>401K</v>
      </c>
      <c r="R789" s="26"/>
      <c r="S789" s="28">
        <v>42036</v>
      </c>
      <c r="T789" s="29">
        <v>2.04</v>
      </c>
    </row>
    <row r="790" spans="1:20" s="7" customFormat="1" hidden="1" outlineLevel="3" x14ac:dyDescent="0.2">
      <c r="A790" s="7" t="s">
        <v>92</v>
      </c>
      <c r="C790" s="7" t="str">
        <f t="shared" ref="C790:C794" si="118">+C789</f>
        <v>Roger</v>
      </c>
      <c r="D790" s="7" t="str">
        <f>+D789</f>
        <v>Harui</v>
      </c>
      <c r="E790" s="8" t="str">
        <f>E789</f>
        <v>INST</v>
      </c>
      <c r="G790" s="8" t="str">
        <f>G789</f>
        <v>HARU0001</v>
      </c>
      <c r="H790" s="26"/>
      <c r="I790" s="26"/>
      <c r="J790" s="26"/>
      <c r="K790" s="28">
        <f>+K789</f>
        <v>42036</v>
      </c>
      <c r="L790" s="26" t="str">
        <f>L789</f>
        <v>10388</v>
      </c>
      <c r="M790" s="26"/>
      <c r="N790" s="26"/>
      <c r="O790" s="26" t="str">
        <f>"""GP Direct"",""Fabrikam, Inc."",""UPR30300"",""PAYRATE"",""0.00000"",""PAYROLCD"",""401K"",""STATECD"","""",""CHEKDATE"",""2/1/2015"",""UPRTRXAM"",""40.82000"""</f>
        <v>"GP Direct","Fabrikam, Inc.","UPR30300","PAYRATE","0.00000","PAYROLCD","401K","STATECD","","CHEKDATE","2/1/2015","UPRTRXAM","40.82000"</v>
      </c>
      <c r="P790" s="29">
        <v>0</v>
      </c>
      <c r="Q790" s="26" t="str">
        <f>"401K"</f>
        <v>401K</v>
      </c>
      <c r="R790" s="26"/>
      <c r="S790" s="28">
        <v>42036</v>
      </c>
      <c r="T790" s="29">
        <v>40.82</v>
      </c>
    </row>
    <row r="791" spans="1:20" s="7" customFormat="1" hidden="1" outlineLevel="3" x14ac:dyDescent="0.2">
      <c r="A791" s="7" t="s">
        <v>92</v>
      </c>
      <c r="C791" s="7" t="str">
        <f t="shared" si="118"/>
        <v>Roger</v>
      </c>
      <c r="D791" s="7" t="str">
        <f>+D790</f>
        <v>Harui</v>
      </c>
      <c r="E791" s="8" t="str">
        <f>E790</f>
        <v>INST</v>
      </c>
      <c r="G791" s="8" t="str">
        <f>G790</f>
        <v>HARU0001</v>
      </c>
      <c r="H791" s="26"/>
      <c r="I791" s="26"/>
      <c r="J791" s="26"/>
      <c r="K791" s="28">
        <f>+K790</f>
        <v>42036</v>
      </c>
      <c r="L791" s="26" t="str">
        <f>L790</f>
        <v>10388</v>
      </c>
      <c r="M791" s="26"/>
      <c r="N791" s="26"/>
      <c r="O791" s="26" t="str">
        <f>"""GP Direct"",""Fabrikam, Inc."",""UPR30300"",""PAYRATE"",""0.00000"",""PAYROLCD"",""IA"",""STATECD"","""",""CHEKDATE"",""2/1/2015"",""UPRTRXAM"",""53.00000"""</f>
        <v>"GP Direct","Fabrikam, Inc.","UPR30300","PAYRATE","0.00000","PAYROLCD","IA","STATECD","","CHEKDATE","2/1/2015","UPRTRXAM","53.00000"</v>
      </c>
      <c r="P791" s="29">
        <v>0</v>
      </c>
      <c r="Q791" s="26" t="str">
        <f>"IA"</f>
        <v>IA</v>
      </c>
      <c r="R791" s="26"/>
      <c r="S791" s="28">
        <v>42036</v>
      </c>
      <c r="T791" s="29">
        <v>53</v>
      </c>
    </row>
    <row r="792" spans="1:20" s="7" customFormat="1" hidden="1" outlineLevel="3" x14ac:dyDescent="0.2">
      <c r="A792" s="7" t="s">
        <v>92</v>
      </c>
      <c r="C792" s="7" t="str">
        <f t="shared" si="118"/>
        <v>Roger</v>
      </c>
      <c r="D792" s="7" t="str">
        <f>+D791</f>
        <v>Harui</v>
      </c>
      <c r="E792" s="8" t="str">
        <f>E791</f>
        <v>INST</v>
      </c>
      <c r="G792" s="8" t="str">
        <f>G791</f>
        <v>HARU0001</v>
      </c>
      <c r="H792" s="26"/>
      <c r="I792" s="26"/>
      <c r="J792" s="26"/>
      <c r="K792" s="28">
        <f>+K791</f>
        <v>42036</v>
      </c>
      <c r="L792" s="26" t="str">
        <f>L791</f>
        <v>10388</v>
      </c>
      <c r="M792" s="26"/>
      <c r="N792" s="26"/>
      <c r="O792" s="26" t="str">
        <f>"""GP Direct"",""Fabrikam, Inc."",""UPR30300"",""PAYRATE"",""0.00000"",""PAYROLCD"",""INS"",""STATECD"","""",""CHEKDATE"",""2/1/2015"",""UPRTRXAM"",""49.36000"""</f>
        <v>"GP Direct","Fabrikam, Inc.","UPR30300","PAYRATE","0.00000","PAYROLCD","INS","STATECD","","CHEKDATE","2/1/2015","UPRTRXAM","49.36000"</v>
      </c>
      <c r="P792" s="29">
        <v>0</v>
      </c>
      <c r="Q792" s="26" t="str">
        <f>"INS"</f>
        <v>INS</v>
      </c>
      <c r="R792" s="26"/>
      <c r="S792" s="28">
        <v>42036</v>
      </c>
      <c r="T792" s="29">
        <v>49.36</v>
      </c>
    </row>
    <row r="793" spans="1:20" s="7" customFormat="1" hidden="1" outlineLevel="3" x14ac:dyDescent="0.2">
      <c r="A793" s="7" t="s">
        <v>92</v>
      </c>
      <c r="C793" s="7" t="str">
        <f t="shared" si="118"/>
        <v>Roger</v>
      </c>
      <c r="D793" s="7" t="str">
        <f>+D792</f>
        <v>Harui</v>
      </c>
      <c r="E793" s="8" t="str">
        <f>E792</f>
        <v>INST</v>
      </c>
      <c r="G793" s="8" t="str">
        <f>G792</f>
        <v>HARU0001</v>
      </c>
      <c r="H793" s="26"/>
      <c r="I793" s="26"/>
      <c r="J793" s="26"/>
      <c r="K793" s="28">
        <f>+K792</f>
        <v>42036</v>
      </c>
      <c r="L793" s="26" t="str">
        <f>L792</f>
        <v>10388</v>
      </c>
      <c r="M793" s="26"/>
      <c r="N793" s="26"/>
      <c r="O793" s="26" t="str">
        <f>"""GP Direct"",""Fabrikam, Inc."",""UPR30300"",""PAYRATE"",""0.00000"",""PAYROLCD"",""MED"",""STATECD"","""",""CHEKDATE"",""2/1/2015"",""UPRTRXAM"",""5.00000"""</f>
        <v>"GP Direct","Fabrikam, Inc.","UPR30300","PAYRATE","0.00000","PAYROLCD","MED","STATECD","","CHEKDATE","2/1/2015","UPRTRXAM","5.00000"</v>
      </c>
      <c r="P793" s="29">
        <v>0</v>
      </c>
      <c r="Q793" s="26" t="str">
        <f>"MED"</f>
        <v>MED</v>
      </c>
      <c r="R793" s="26"/>
      <c r="S793" s="28">
        <v>42036</v>
      </c>
      <c r="T793" s="29">
        <v>5</v>
      </c>
    </row>
    <row r="794" spans="1:20" s="7" customFormat="1" hidden="1" outlineLevel="3" x14ac:dyDescent="0.2">
      <c r="A794" s="7" t="s">
        <v>92</v>
      </c>
      <c r="C794" s="7" t="str">
        <f t="shared" si="118"/>
        <v>Roger</v>
      </c>
      <c r="D794" s="7" t="str">
        <f>+D793</f>
        <v>Harui</v>
      </c>
      <c r="E794" s="8" t="str">
        <f>E793</f>
        <v>INST</v>
      </c>
      <c r="G794" s="8" t="str">
        <f>G793</f>
        <v>HARU0001</v>
      </c>
      <c r="H794" s="26"/>
      <c r="I794" s="26"/>
      <c r="J794" s="26"/>
      <c r="K794" s="28">
        <f>+K793</f>
        <v>42036</v>
      </c>
      <c r="L794" s="26" t="str">
        <f>L793</f>
        <v>10388</v>
      </c>
      <c r="M794" s="26"/>
      <c r="N794" s="26"/>
      <c r="O794" s="26" t="str">
        <f>"""GP Direct"",""Fabrikam, Inc."",""UPR30300"",""PAYRATE"",""15.70000"",""PAYROLCD"",""HOUR"",""STATECD"",""IA"",""CHEKDATE"",""2/1/2015"",""UPRTRXAM"",""1360.72000"""</f>
        <v>"GP Direct","Fabrikam, Inc.","UPR30300","PAYRATE","15.70000","PAYROLCD","HOUR","STATECD","IA","CHEKDATE","2/1/2015","UPRTRXAM","1360.72000"</v>
      </c>
      <c r="P794" s="29">
        <v>15.7</v>
      </c>
      <c r="Q794" s="26" t="str">
        <f>"HOUR"</f>
        <v>HOUR</v>
      </c>
      <c r="R794" s="26" t="str">
        <f>"IA"</f>
        <v>IA</v>
      </c>
      <c r="S794" s="28">
        <v>42036</v>
      </c>
      <c r="T794" s="29">
        <v>1360.72</v>
      </c>
    </row>
    <row r="795" spans="1:20" s="7" customFormat="1" hidden="1" outlineLevel="3" x14ac:dyDescent="0.2">
      <c r="A795" s="7" t="s">
        <v>92</v>
      </c>
      <c r="C795" s="7" t="str">
        <f>+C789</f>
        <v>Roger</v>
      </c>
      <c r="D795" s="7" t="str">
        <f>+D789</f>
        <v>Harui</v>
      </c>
      <c r="E795" s="8" t="str">
        <f>E789</f>
        <v>INST</v>
      </c>
      <c r="G795" s="8" t="str">
        <f>G789</f>
        <v>HARU0001</v>
      </c>
      <c r="K795" s="12">
        <f>+K789</f>
        <v>42036</v>
      </c>
      <c r="L795" s="8" t="str">
        <f>L789</f>
        <v>10388</v>
      </c>
      <c r="O795" s="8"/>
      <c r="T795" s="20"/>
    </row>
    <row r="796" spans="1:20" s="7" customFormat="1" hidden="1" outlineLevel="2" collapsed="1" x14ac:dyDescent="0.2">
      <c r="A796" s="7" t="s">
        <v>92</v>
      </c>
      <c r="C796" s="7" t="str">
        <f t="shared" si="117"/>
        <v>Roger</v>
      </c>
      <c r="D796" s="7" t="str">
        <f>+D795</f>
        <v>Harui</v>
      </c>
      <c r="E796" s="8" t="str">
        <f>E795</f>
        <v>INST</v>
      </c>
      <c r="G796" s="8" t="str">
        <f>G795</f>
        <v>HARU0001</v>
      </c>
      <c r="K796" s="12">
        <f>+K795</f>
        <v>42036</v>
      </c>
      <c r="L796" s="8" t="str">
        <f>L795</f>
        <v>10388</v>
      </c>
      <c r="M796" s="33" t="str">
        <f>"Total for " &amp; $L796</f>
        <v>Total for 10388</v>
      </c>
      <c r="N796" s="34">
        <f>+K796</f>
        <v>42036</v>
      </c>
      <c r="O796" s="35"/>
      <c r="P796" s="33"/>
      <c r="Q796" s="33"/>
      <c r="R796" s="33"/>
      <c r="S796" s="33"/>
      <c r="T796" s="36">
        <f>SUBTOTAL(9,T789:T795)</f>
        <v>1510.94</v>
      </c>
    </row>
    <row r="797" spans="1:20" s="7" customFormat="1" hidden="1" outlineLevel="3" x14ac:dyDescent="0.2">
      <c r="A797" s="7" t="s">
        <v>92</v>
      </c>
      <c r="C797" s="7" t="str">
        <f t="shared" si="117"/>
        <v>Roger</v>
      </c>
      <c r="D797" s="7" t="str">
        <f>+D796</f>
        <v>Harui</v>
      </c>
      <c r="E797" s="8" t="str">
        <f>E796</f>
        <v>INST</v>
      </c>
      <c r="G797" s="8" t="str">
        <f>G796</f>
        <v>HARU0001</v>
      </c>
      <c r="H797" s="26"/>
      <c r="I797" s="26"/>
      <c r="J797" s="26"/>
      <c r="K797" s="28">
        <f>+N797</f>
        <v>42064</v>
      </c>
      <c r="L797" s="26" t="str">
        <f>M797</f>
        <v>10413</v>
      </c>
      <c r="M797" s="26" t="str">
        <f>"10413"</f>
        <v>10413</v>
      </c>
      <c r="N797" s="28">
        <v>42064</v>
      </c>
      <c r="O797" s="26"/>
      <c r="P797" s="26"/>
      <c r="Q797" s="26"/>
      <c r="R797" s="26"/>
      <c r="S797" s="26"/>
      <c r="T797" s="27"/>
    </row>
    <row r="798" spans="1:20" s="7" customFormat="1" hidden="1" outlineLevel="3" x14ac:dyDescent="0.2">
      <c r="A798" s="7" t="s">
        <v>92</v>
      </c>
      <c r="C798" s="7" t="str">
        <f t="shared" si="117"/>
        <v>Roger</v>
      </c>
      <c r="D798" s="7" t="str">
        <f>+D797</f>
        <v>Harui</v>
      </c>
      <c r="E798" s="8" t="str">
        <f>E797</f>
        <v>INST</v>
      </c>
      <c r="G798" s="8" t="str">
        <f>G797</f>
        <v>HARU0001</v>
      </c>
      <c r="H798" s="26"/>
      <c r="I798" s="26"/>
      <c r="J798" s="26"/>
      <c r="K798" s="28">
        <f>+K797</f>
        <v>42064</v>
      </c>
      <c r="L798" s="26" t="str">
        <f>L797</f>
        <v>10413</v>
      </c>
      <c r="M798" s="26"/>
      <c r="N798" s="26"/>
      <c r="O798" s="26" t="str">
        <f>"""GP Direct"",""Fabrikam, Inc."",""UPR30300"",""PAYRATE"",""0.00000"",""PAYROLCD"",""401K"",""STATECD"","""",""CHEKDATE"",""3/1/2015"",""UPRTRXAM"",""2.04000"""</f>
        <v>"GP Direct","Fabrikam, Inc.","UPR30300","PAYRATE","0.00000","PAYROLCD","401K","STATECD","","CHEKDATE","3/1/2015","UPRTRXAM","2.04000"</v>
      </c>
      <c r="P798" s="29">
        <v>0</v>
      </c>
      <c r="Q798" s="26" t="str">
        <f>"401K"</f>
        <v>401K</v>
      </c>
      <c r="R798" s="26"/>
      <c r="S798" s="28">
        <v>42064</v>
      </c>
      <c r="T798" s="29">
        <v>2.04</v>
      </c>
    </row>
    <row r="799" spans="1:20" s="7" customFormat="1" hidden="1" outlineLevel="3" x14ac:dyDescent="0.2">
      <c r="A799" s="7" t="s">
        <v>92</v>
      </c>
      <c r="C799" s="7" t="str">
        <f t="shared" ref="C799:C803" si="119">+C798</f>
        <v>Roger</v>
      </c>
      <c r="D799" s="7" t="str">
        <f>+D798</f>
        <v>Harui</v>
      </c>
      <c r="E799" s="8" t="str">
        <f>E798</f>
        <v>INST</v>
      </c>
      <c r="G799" s="8" t="str">
        <f>G798</f>
        <v>HARU0001</v>
      </c>
      <c r="H799" s="26"/>
      <c r="I799" s="26"/>
      <c r="J799" s="26"/>
      <c r="K799" s="28">
        <f>+K798</f>
        <v>42064</v>
      </c>
      <c r="L799" s="26" t="str">
        <f>L798</f>
        <v>10413</v>
      </c>
      <c r="M799" s="26"/>
      <c r="N799" s="26"/>
      <c r="O799" s="26" t="str">
        <f>"""GP Direct"",""Fabrikam, Inc."",""UPR30300"",""PAYRATE"",""0.00000"",""PAYROLCD"",""401K"",""STATECD"","""",""CHEKDATE"",""3/1/2015"",""UPRTRXAM"",""40.82000"""</f>
        <v>"GP Direct","Fabrikam, Inc.","UPR30300","PAYRATE","0.00000","PAYROLCD","401K","STATECD","","CHEKDATE","3/1/2015","UPRTRXAM","40.82000"</v>
      </c>
      <c r="P799" s="29">
        <v>0</v>
      </c>
      <c r="Q799" s="26" t="str">
        <f>"401K"</f>
        <v>401K</v>
      </c>
      <c r="R799" s="26"/>
      <c r="S799" s="28">
        <v>42064</v>
      </c>
      <c r="T799" s="29">
        <v>40.82</v>
      </c>
    </row>
    <row r="800" spans="1:20" s="7" customFormat="1" hidden="1" outlineLevel="3" x14ac:dyDescent="0.2">
      <c r="A800" s="7" t="s">
        <v>92</v>
      </c>
      <c r="C800" s="7" t="str">
        <f t="shared" si="119"/>
        <v>Roger</v>
      </c>
      <c r="D800" s="7" t="str">
        <f>+D799</f>
        <v>Harui</v>
      </c>
      <c r="E800" s="8" t="str">
        <f>E799</f>
        <v>INST</v>
      </c>
      <c r="G800" s="8" t="str">
        <f>G799</f>
        <v>HARU0001</v>
      </c>
      <c r="H800" s="26"/>
      <c r="I800" s="26"/>
      <c r="J800" s="26"/>
      <c r="K800" s="28">
        <f>+K799</f>
        <v>42064</v>
      </c>
      <c r="L800" s="26" t="str">
        <f>L799</f>
        <v>10413</v>
      </c>
      <c r="M800" s="26"/>
      <c r="N800" s="26"/>
      <c r="O800" s="26" t="str">
        <f>"""GP Direct"",""Fabrikam, Inc."",""UPR30300"",""PAYRATE"",""0.00000"",""PAYROLCD"",""IA"",""STATECD"","""",""CHEKDATE"",""3/1/2015"",""UPRTRXAM"",""53.00000"""</f>
        <v>"GP Direct","Fabrikam, Inc.","UPR30300","PAYRATE","0.00000","PAYROLCD","IA","STATECD","","CHEKDATE","3/1/2015","UPRTRXAM","53.00000"</v>
      </c>
      <c r="P800" s="29">
        <v>0</v>
      </c>
      <c r="Q800" s="26" t="str">
        <f>"IA"</f>
        <v>IA</v>
      </c>
      <c r="R800" s="26"/>
      <c r="S800" s="28">
        <v>42064</v>
      </c>
      <c r="T800" s="29">
        <v>53</v>
      </c>
    </row>
    <row r="801" spans="1:20" s="7" customFormat="1" hidden="1" outlineLevel="3" x14ac:dyDescent="0.2">
      <c r="A801" s="7" t="s">
        <v>92</v>
      </c>
      <c r="C801" s="7" t="str">
        <f t="shared" si="119"/>
        <v>Roger</v>
      </c>
      <c r="D801" s="7" t="str">
        <f>+D800</f>
        <v>Harui</v>
      </c>
      <c r="E801" s="8" t="str">
        <f>E800</f>
        <v>INST</v>
      </c>
      <c r="G801" s="8" t="str">
        <f>G800</f>
        <v>HARU0001</v>
      </c>
      <c r="H801" s="26"/>
      <c r="I801" s="26"/>
      <c r="J801" s="26"/>
      <c r="K801" s="28">
        <f>+K800</f>
        <v>42064</v>
      </c>
      <c r="L801" s="26" t="str">
        <f>L800</f>
        <v>10413</v>
      </c>
      <c r="M801" s="26"/>
      <c r="N801" s="26"/>
      <c r="O801" s="26" t="str">
        <f>"""GP Direct"",""Fabrikam, Inc."",""UPR30300"",""PAYRATE"",""0.00000"",""PAYROLCD"",""INS"",""STATECD"","""",""CHEKDATE"",""3/1/2015"",""UPRTRXAM"",""49.36000"""</f>
        <v>"GP Direct","Fabrikam, Inc.","UPR30300","PAYRATE","0.00000","PAYROLCD","INS","STATECD","","CHEKDATE","3/1/2015","UPRTRXAM","49.36000"</v>
      </c>
      <c r="P801" s="29">
        <v>0</v>
      </c>
      <c r="Q801" s="26" t="str">
        <f>"INS"</f>
        <v>INS</v>
      </c>
      <c r="R801" s="26"/>
      <c r="S801" s="28">
        <v>42064</v>
      </c>
      <c r="T801" s="29">
        <v>49.36</v>
      </c>
    </row>
    <row r="802" spans="1:20" s="7" customFormat="1" hidden="1" outlineLevel="3" x14ac:dyDescent="0.2">
      <c r="A802" s="7" t="s">
        <v>92</v>
      </c>
      <c r="C802" s="7" t="str">
        <f t="shared" si="119"/>
        <v>Roger</v>
      </c>
      <c r="D802" s="7" t="str">
        <f>+D801</f>
        <v>Harui</v>
      </c>
      <c r="E802" s="8" t="str">
        <f>E801</f>
        <v>INST</v>
      </c>
      <c r="G802" s="8" t="str">
        <f>G801</f>
        <v>HARU0001</v>
      </c>
      <c r="H802" s="26"/>
      <c r="I802" s="26"/>
      <c r="J802" s="26"/>
      <c r="K802" s="28">
        <f>+K801</f>
        <v>42064</v>
      </c>
      <c r="L802" s="26" t="str">
        <f>L801</f>
        <v>10413</v>
      </c>
      <c r="M802" s="26"/>
      <c r="N802" s="26"/>
      <c r="O802" s="26" t="str">
        <f>"""GP Direct"",""Fabrikam, Inc."",""UPR30300"",""PAYRATE"",""0.00000"",""PAYROLCD"",""MED"",""STATECD"","""",""CHEKDATE"",""3/1/2015"",""UPRTRXAM"",""5.00000"""</f>
        <v>"GP Direct","Fabrikam, Inc.","UPR30300","PAYRATE","0.00000","PAYROLCD","MED","STATECD","","CHEKDATE","3/1/2015","UPRTRXAM","5.00000"</v>
      </c>
      <c r="P802" s="29">
        <v>0</v>
      </c>
      <c r="Q802" s="26" t="str">
        <f>"MED"</f>
        <v>MED</v>
      </c>
      <c r="R802" s="26"/>
      <c r="S802" s="28">
        <v>42064</v>
      </c>
      <c r="T802" s="29">
        <v>5</v>
      </c>
    </row>
    <row r="803" spans="1:20" s="7" customFormat="1" hidden="1" outlineLevel="3" x14ac:dyDescent="0.2">
      <c r="A803" s="7" t="s">
        <v>92</v>
      </c>
      <c r="C803" s="7" t="str">
        <f t="shared" si="119"/>
        <v>Roger</v>
      </c>
      <c r="D803" s="7" t="str">
        <f>+D802</f>
        <v>Harui</v>
      </c>
      <c r="E803" s="8" t="str">
        <f>E802</f>
        <v>INST</v>
      </c>
      <c r="G803" s="8" t="str">
        <f>G802</f>
        <v>HARU0001</v>
      </c>
      <c r="H803" s="26"/>
      <c r="I803" s="26"/>
      <c r="J803" s="26"/>
      <c r="K803" s="28">
        <f>+K802</f>
        <v>42064</v>
      </c>
      <c r="L803" s="26" t="str">
        <f>L802</f>
        <v>10413</v>
      </c>
      <c r="M803" s="26"/>
      <c r="N803" s="26"/>
      <c r="O803" s="26" t="str">
        <f>"""GP Direct"",""Fabrikam, Inc."",""UPR30300"",""PAYRATE"",""15.70000"",""PAYROLCD"",""HOUR"",""STATECD"",""IA"",""CHEKDATE"",""3/1/2015"",""UPRTRXAM"",""1360.72000"""</f>
        <v>"GP Direct","Fabrikam, Inc.","UPR30300","PAYRATE","15.70000","PAYROLCD","HOUR","STATECD","IA","CHEKDATE","3/1/2015","UPRTRXAM","1360.72000"</v>
      </c>
      <c r="P803" s="29">
        <v>15.7</v>
      </c>
      <c r="Q803" s="26" t="str">
        <f>"HOUR"</f>
        <v>HOUR</v>
      </c>
      <c r="R803" s="26" t="str">
        <f>"IA"</f>
        <v>IA</v>
      </c>
      <c r="S803" s="28">
        <v>42064</v>
      </c>
      <c r="T803" s="29">
        <v>1360.72</v>
      </c>
    </row>
    <row r="804" spans="1:20" s="7" customFormat="1" hidden="1" outlineLevel="3" x14ac:dyDescent="0.2">
      <c r="A804" s="7" t="s">
        <v>92</v>
      </c>
      <c r="C804" s="7" t="str">
        <f>+C798</f>
        <v>Roger</v>
      </c>
      <c r="D804" s="7" t="str">
        <f>+D798</f>
        <v>Harui</v>
      </c>
      <c r="E804" s="8" t="str">
        <f>E798</f>
        <v>INST</v>
      </c>
      <c r="G804" s="8" t="str">
        <f>G798</f>
        <v>HARU0001</v>
      </c>
      <c r="K804" s="12">
        <f>+K798</f>
        <v>42064</v>
      </c>
      <c r="L804" s="8" t="str">
        <f>L798</f>
        <v>10413</v>
      </c>
      <c r="O804" s="8"/>
      <c r="T804" s="20"/>
    </row>
    <row r="805" spans="1:20" s="7" customFormat="1" hidden="1" outlineLevel="2" collapsed="1" x14ac:dyDescent="0.2">
      <c r="A805" s="7" t="s">
        <v>92</v>
      </c>
      <c r="C805" s="7" t="str">
        <f t="shared" si="117"/>
        <v>Roger</v>
      </c>
      <c r="D805" s="7" t="str">
        <f>+D804</f>
        <v>Harui</v>
      </c>
      <c r="E805" s="8" t="str">
        <f>E804</f>
        <v>INST</v>
      </c>
      <c r="G805" s="8" t="str">
        <f>G804</f>
        <v>HARU0001</v>
      </c>
      <c r="K805" s="12">
        <f>+K804</f>
        <v>42064</v>
      </c>
      <c r="L805" s="8" t="str">
        <f>L804</f>
        <v>10413</v>
      </c>
      <c r="M805" s="33" t="str">
        <f>"Total for " &amp; $L805</f>
        <v>Total for 10413</v>
      </c>
      <c r="N805" s="34">
        <f>+K805</f>
        <v>42064</v>
      </c>
      <c r="O805" s="35"/>
      <c r="P805" s="33"/>
      <c r="Q805" s="33"/>
      <c r="R805" s="33"/>
      <c r="S805" s="33"/>
      <c r="T805" s="36">
        <f>SUBTOTAL(9,T798:T804)</f>
        <v>1510.94</v>
      </c>
    </row>
    <row r="806" spans="1:20" s="7" customFormat="1" hidden="1" outlineLevel="3" x14ac:dyDescent="0.2">
      <c r="A806" s="7" t="s">
        <v>92</v>
      </c>
      <c r="C806" s="7" t="str">
        <f t="shared" si="117"/>
        <v>Roger</v>
      </c>
      <c r="D806" s="7" t="str">
        <f>+D805</f>
        <v>Harui</v>
      </c>
      <c r="E806" s="8" t="str">
        <f>E805</f>
        <v>INST</v>
      </c>
      <c r="G806" s="8" t="str">
        <f>G805</f>
        <v>HARU0001</v>
      </c>
      <c r="H806" s="26"/>
      <c r="I806" s="26"/>
      <c r="J806" s="26"/>
      <c r="K806" s="28">
        <f>+N806</f>
        <v>42095</v>
      </c>
      <c r="L806" s="26" t="str">
        <f>M806</f>
        <v>10438</v>
      </c>
      <c r="M806" s="26" t="str">
        <f>"10438"</f>
        <v>10438</v>
      </c>
      <c r="N806" s="28">
        <v>42095</v>
      </c>
      <c r="O806" s="26"/>
      <c r="P806" s="26"/>
      <c r="Q806" s="26"/>
      <c r="R806" s="26"/>
      <c r="S806" s="26"/>
      <c r="T806" s="27"/>
    </row>
    <row r="807" spans="1:20" s="7" customFormat="1" hidden="1" outlineLevel="3" x14ac:dyDescent="0.2">
      <c r="A807" s="7" t="s">
        <v>92</v>
      </c>
      <c r="C807" s="7" t="str">
        <f t="shared" si="117"/>
        <v>Roger</v>
      </c>
      <c r="D807" s="7" t="str">
        <f>+D806</f>
        <v>Harui</v>
      </c>
      <c r="E807" s="8" t="str">
        <f>E806</f>
        <v>INST</v>
      </c>
      <c r="G807" s="8" t="str">
        <f>G806</f>
        <v>HARU0001</v>
      </c>
      <c r="H807" s="26"/>
      <c r="I807" s="26"/>
      <c r="J807" s="26"/>
      <c r="K807" s="28">
        <f>+K806</f>
        <v>42095</v>
      </c>
      <c r="L807" s="26" t="str">
        <f>L806</f>
        <v>10438</v>
      </c>
      <c r="M807" s="26"/>
      <c r="N807" s="26"/>
      <c r="O807" s="26" t="str">
        <f>"""GP Direct"",""Fabrikam, Inc."",""UPR30300"",""PAYRATE"",""0.00000"",""PAYROLCD"",""401K"",""STATECD"","""",""CHEKDATE"",""4/1/2015"",""UPRTRXAM"",""2.04000"""</f>
        <v>"GP Direct","Fabrikam, Inc.","UPR30300","PAYRATE","0.00000","PAYROLCD","401K","STATECD","","CHEKDATE","4/1/2015","UPRTRXAM","2.04000"</v>
      </c>
      <c r="P807" s="29">
        <v>0</v>
      </c>
      <c r="Q807" s="26" t="str">
        <f>"401K"</f>
        <v>401K</v>
      </c>
      <c r="R807" s="26"/>
      <c r="S807" s="28">
        <v>42095</v>
      </c>
      <c r="T807" s="29">
        <v>2.04</v>
      </c>
    </row>
    <row r="808" spans="1:20" s="7" customFormat="1" hidden="1" outlineLevel="3" x14ac:dyDescent="0.2">
      <c r="A808" s="7" t="s">
        <v>92</v>
      </c>
      <c r="C808" s="7" t="str">
        <f t="shared" ref="C808:C812" si="120">+C807</f>
        <v>Roger</v>
      </c>
      <c r="D808" s="7" t="str">
        <f>+D807</f>
        <v>Harui</v>
      </c>
      <c r="E808" s="8" t="str">
        <f>E807</f>
        <v>INST</v>
      </c>
      <c r="G808" s="8" t="str">
        <f>G807</f>
        <v>HARU0001</v>
      </c>
      <c r="H808" s="26"/>
      <c r="I808" s="26"/>
      <c r="J808" s="26"/>
      <c r="K808" s="28">
        <f>+K807</f>
        <v>42095</v>
      </c>
      <c r="L808" s="26" t="str">
        <f>L807</f>
        <v>10438</v>
      </c>
      <c r="M808" s="26"/>
      <c r="N808" s="26"/>
      <c r="O808" s="26" t="str">
        <f>"""GP Direct"",""Fabrikam, Inc."",""UPR30300"",""PAYRATE"",""0.00000"",""PAYROLCD"",""401K"",""STATECD"","""",""CHEKDATE"",""4/1/2015"",""UPRTRXAM"",""40.82000"""</f>
        <v>"GP Direct","Fabrikam, Inc.","UPR30300","PAYRATE","0.00000","PAYROLCD","401K","STATECD","","CHEKDATE","4/1/2015","UPRTRXAM","40.82000"</v>
      </c>
      <c r="P808" s="29">
        <v>0</v>
      </c>
      <c r="Q808" s="26" t="str">
        <f>"401K"</f>
        <v>401K</v>
      </c>
      <c r="R808" s="26"/>
      <c r="S808" s="28">
        <v>42095</v>
      </c>
      <c r="T808" s="29">
        <v>40.82</v>
      </c>
    </row>
    <row r="809" spans="1:20" s="7" customFormat="1" hidden="1" outlineLevel="3" x14ac:dyDescent="0.2">
      <c r="A809" s="7" t="s">
        <v>92</v>
      </c>
      <c r="C809" s="7" t="str">
        <f t="shared" si="120"/>
        <v>Roger</v>
      </c>
      <c r="D809" s="7" t="str">
        <f>+D808</f>
        <v>Harui</v>
      </c>
      <c r="E809" s="8" t="str">
        <f>E808</f>
        <v>INST</v>
      </c>
      <c r="G809" s="8" t="str">
        <f>G808</f>
        <v>HARU0001</v>
      </c>
      <c r="H809" s="26"/>
      <c r="I809" s="26"/>
      <c r="J809" s="26"/>
      <c r="K809" s="28">
        <f>+K808</f>
        <v>42095</v>
      </c>
      <c r="L809" s="26" t="str">
        <f>L808</f>
        <v>10438</v>
      </c>
      <c r="M809" s="26"/>
      <c r="N809" s="26"/>
      <c r="O809" s="26" t="str">
        <f>"""GP Direct"",""Fabrikam, Inc."",""UPR30300"",""PAYRATE"",""0.00000"",""PAYROLCD"",""IA"",""STATECD"","""",""CHEKDATE"",""4/1/2015"",""UPRTRXAM"",""53.00000"""</f>
        <v>"GP Direct","Fabrikam, Inc.","UPR30300","PAYRATE","0.00000","PAYROLCD","IA","STATECD","","CHEKDATE","4/1/2015","UPRTRXAM","53.00000"</v>
      </c>
      <c r="P809" s="29">
        <v>0</v>
      </c>
      <c r="Q809" s="26" t="str">
        <f>"IA"</f>
        <v>IA</v>
      </c>
      <c r="R809" s="26"/>
      <c r="S809" s="28">
        <v>42095</v>
      </c>
      <c r="T809" s="29">
        <v>53</v>
      </c>
    </row>
    <row r="810" spans="1:20" s="7" customFormat="1" hidden="1" outlineLevel="3" x14ac:dyDescent="0.2">
      <c r="A810" s="7" t="s">
        <v>92</v>
      </c>
      <c r="C810" s="7" t="str">
        <f t="shared" si="120"/>
        <v>Roger</v>
      </c>
      <c r="D810" s="7" t="str">
        <f>+D809</f>
        <v>Harui</v>
      </c>
      <c r="E810" s="8" t="str">
        <f>E809</f>
        <v>INST</v>
      </c>
      <c r="G810" s="8" t="str">
        <f>G809</f>
        <v>HARU0001</v>
      </c>
      <c r="H810" s="26"/>
      <c r="I810" s="26"/>
      <c r="J810" s="26"/>
      <c r="K810" s="28">
        <f>+K809</f>
        <v>42095</v>
      </c>
      <c r="L810" s="26" t="str">
        <f>L809</f>
        <v>10438</v>
      </c>
      <c r="M810" s="26"/>
      <c r="N810" s="26"/>
      <c r="O810" s="26" t="str">
        <f>"""GP Direct"",""Fabrikam, Inc."",""UPR30300"",""PAYRATE"",""0.00000"",""PAYROLCD"",""INS"",""STATECD"","""",""CHEKDATE"",""4/1/2015"",""UPRTRXAM"",""49.36000"""</f>
        <v>"GP Direct","Fabrikam, Inc.","UPR30300","PAYRATE","0.00000","PAYROLCD","INS","STATECD","","CHEKDATE","4/1/2015","UPRTRXAM","49.36000"</v>
      </c>
      <c r="P810" s="29">
        <v>0</v>
      </c>
      <c r="Q810" s="26" t="str">
        <f>"INS"</f>
        <v>INS</v>
      </c>
      <c r="R810" s="26"/>
      <c r="S810" s="28">
        <v>42095</v>
      </c>
      <c r="T810" s="29">
        <v>49.36</v>
      </c>
    </row>
    <row r="811" spans="1:20" s="7" customFormat="1" hidden="1" outlineLevel="3" x14ac:dyDescent="0.2">
      <c r="A811" s="7" t="s">
        <v>92</v>
      </c>
      <c r="C811" s="7" t="str">
        <f t="shared" si="120"/>
        <v>Roger</v>
      </c>
      <c r="D811" s="7" t="str">
        <f>+D810</f>
        <v>Harui</v>
      </c>
      <c r="E811" s="8" t="str">
        <f>E810</f>
        <v>INST</v>
      </c>
      <c r="G811" s="8" t="str">
        <f>G810</f>
        <v>HARU0001</v>
      </c>
      <c r="H811" s="26"/>
      <c r="I811" s="26"/>
      <c r="J811" s="26"/>
      <c r="K811" s="28">
        <f>+K810</f>
        <v>42095</v>
      </c>
      <c r="L811" s="26" t="str">
        <f>L810</f>
        <v>10438</v>
      </c>
      <c r="M811" s="26"/>
      <c r="N811" s="26"/>
      <c r="O811" s="26" t="str">
        <f>"""GP Direct"",""Fabrikam, Inc."",""UPR30300"",""PAYRATE"",""0.00000"",""PAYROLCD"",""MED"",""STATECD"","""",""CHEKDATE"",""4/1/2015"",""UPRTRXAM"",""5.00000"""</f>
        <v>"GP Direct","Fabrikam, Inc.","UPR30300","PAYRATE","0.00000","PAYROLCD","MED","STATECD","","CHEKDATE","4/1/2015","UPRTRXAM","5.00000"</v>
      </c>
      <c r="P811" s="29">
        <v>0</v>
      </c>
      <c r="Q811" s="26" t="str">
        <f>"MED"</f>
        <v>MED</v>
      </c>
      <c r="R811" s="26"/>
      <c r="S811" s="28">
        <v>42095</v>
      </c>
      <c r="T811" s="29">
        <v>5</v>
      </c>
    </row>
    <row r="812" spans="1:20" s="7" customFormat="1" hidden="1" outlineLevel="3" x14ac:dyDescent="0.2">
      <c r="A812" s="7" t="s">
        <v>92</v>
      </c>
      <c r="C812" s="7" t="str">
        <f t="shared" si="120"/>
        <v>Roger</v>
      </c>
      <c r="D812" s="7" t="str">
        <f>+D811</f>
        <v>Harui</v>
      </c>
      <c r="E812" s="8" t="str">
        <f>E811</f>
        <v>INST</v>
      </c>
      <c r="G812" s="8" t="str">
        <f>G811</f>
        <v>HARU0001</v>
      </c>
      <c r="H812" s="26"/>
      <c r="I812" s="26"/>
      <c r="J812" s="26"/>
      <c r="K812" s="28">
        <f>+K811</f>
        <v>42095</v>
      </c>
      <c r="L812" s="26" t="str">
        <f>L811</f>
        <v>10438</v>
      </c>
      <c r="M812" s="26"/>
      <c r="N812" s="26"/>
      <c r="O812" s="26" t="str">
        <f>"""GP Direct"",""Fabrikam, Inc."",""UPR30300"",""PAYRATE"",""15.70000"",""PAYROLCD"",""HOUR"",""STATECD"",""IA"",""CHEKDATE"",""4/1/2015"",""UPRTRXAM"",""1360.72000"""</f>
        <v>"GP Direct","Fabrikam, Inc.","UPR30300","PAYRATE","15.70000","PAYROLCD","HOUR","STATECD","IA","CHEKDATE","4/1/2015","UPRTRXAM","1360.72000"</v>
      </c>
      <c r="P812" s="29">
        <v>15.7</v>
      </c>
      <c r="Q812" s="26" t="str">
        <f>"HOUR"</f>
        <v>HOUR</v>
      </c>
      <c r="R812" s="26" t="str">
        <f>"IA"</f>
        <v>IA</v>
      </c>
      <c r="S812" s="28">
        <v>42095</v>
      </c>
      <c r="T812" s="29">
        <v>1360.72</v>
      </c>
    </row>
    <row r="813" spans="1:20" s="7" customFormat="1" hidden="1" outlineLevel="3" x14ac:dyDescent="0.2">
      <c r="A813" s="7" t="s">
        <v>92</v>
      </c>
      <c r="C813" s="7" t="str">
        <f>+C807</f>
        <v>Roger</v>
      </c>
      <c r="D813" s="7" t="str">
        <f>+D807</f>
        <v>Harui</v>
      </c>
      <c r="E813" s="8" t="str">
        <f>E807</f>
        <v>INST</v>
      </c>
      <c r="G813" s="8" t="str">
        <f>G807</f>
        <v>HARU0001</v>
      </c>
      <c r="K813" s="12">
        <f>+K807</f>
        <v>42095</v>
      </c>
      <c r="L813" s="8" t="str">
        <f>L807</f>
        <v>10438</v>
      </c>
      <c r="O813" s="8"/>
      <c r="T813" s="20"/>
    </row>
    <row r="814" spans="1:20" s="7" customFormat="1" hidden="1" outlineLevel="2" collapsed="1" x14ac:dyDescent="0.2">
      <c r="A814" s="7" t="s">
        <v>92</v>
      </c>
      <c r="C814" s="7" t="str">
        <f t="shared" si="117"/>
        <v>Roger</v>
      </c>
      <c r="D814" s="7" t="str">
        <f>+D813</f>
        <v>Harui</v>
      </c>
      <c r="E814" s="8" t="str">
        <f>E813</f>
        <v>INST</v>
      </c>
      <c r="G814" s="8" t="str">
        <f>G813</f>
        <v>HARU0001</v>
      </c>
      <c r="K814" s="12">
        <f>+K813</f>
        <v>42095</v>
      </c>
      <c r="L814" s="8" t="str">
        <f>L813</f>
        <v>10438</v>
      </c>
      <c r="M814" s="33" t="str">
        <f>"Total for " &amp; $L814</f>
        <v>Total for 10438</v>
      </c>
      <c r="N814" s="34">
        <f>+K814</f>
        <v>42095</v>
      </c>
      <c r="O814" s="35"/>
      <c r="P814" s="33"/>
      <c r="Q814" s="33"/>
      <c r="R814" s="33"/>
      <c r="S814" s="33"/>
      <c r="T814" s="36">
        <f>SUBTOTAL(9,T807:T813)</f>
        <v>1510.94</v>
      </c>
    </row>
    <row r="815" spans="1:20" s="7" customFormat="1" hidden="1" outlineLevel="3" x14ac:dyDescent="0.2">
      <c r="A815" s="7" t="s">
        <v>92</v>
      </c>
      <c r="C815" s="7" t="str">
        <f t="shared" si="117"/>
        <v>Roger</v>
      </c>
      <c r="D815" s="7" t="str">
        <f>+D814</f>
        <v>Harui</v>
      </c>
      <c r="E815" s="8" t="str">
        <f>E814</f>
        <v>INST</v>
      </c>
      <c r="G815" s="8" t="str">
        <f>G814</f>
        <v>HARU0001</v>
      </c>
      <c r="H815" s="26"/>
      <c r="I815" s="26"/>
      <c r="J815" s="26"/>
      <c r="K815" s="28">
        <f>+N815</f>
        <v>42125</v>
      </c>
      <c r="L815" s="26" t="str">
        <f>M815</f>
        <v>10463</v>
      </c>
      <c r="M815" s="26" t="str">
        <f>"10463"</f>
        <v>10463</v>
      </c>
      <c r="N815" s="28">
        <v>42125</v>
      </c>
      <c r="O815" s="26"/>
      <c r="P815" s="26"/>
      <c r="Q815" s="26"/>
      <c r="R815" s="26"/>
      <c r="S815" s="26"/>
      <c r="T815" s="27"/>
    </row>
    <row r="816" spans="1:20" s="7" customFormat="1" hidden="1" outlineLevel="3" x14ac:dyDescent="0.2">
      <c r="A816" s="7" t="s">
        <v>92</v>
      </c>
      <c r="C816" s="7" t="str">
        <f t="shared" si="117"/>
        <v>Roger</v>
      </c>
      <c r="D816" s="7" t="str">
        <f>+D815</f>
        <v>Harui</v>
      </c>
      <c r="E816" s="8" t="str">
        <f>E815</f>
        <v>INST</v>
      </c>
      <c r="G816" s="8" t="str">
        <f>G815</f>
        <v>HARU0001</v>
      </c>
      <c r="H816" s="26"/>
      <c r="I816" s="26"/>
      <c r="J816" s="26"/>
      <c r="K816" s="28">
        <f>+K815</f>
        <v>42125</v>
      </c>
      <c r="L816" s="26" t="str">
        <f>L815</f>
        <v>10463</v>
      </c>
      <c r="M816" s="26"/>
      <c r="N816" s="26"/>
      <c r="O816" s="26" t="str">
        <f>"""GP Direct"",""Fabrikam, Inc."",""UPR30300"",""PAYRATE"",""0.00000"",""PAYROLCD"",""401K"",""STATECD"","""",""CHEKDATE"",""5/1/2015"",""UPRTRXAM"",""2.04000"""</f>
        <v>"GP Direct","Fabrikam, Inc.","UPR30300","PAYRATE","0.00000","PAYROLCD","401K","STATECD","","CHEKDATE","5/1/2015","UPRTRXAM","2.04000"</v>
      </c>
      <c r="P816" s="29">
        <v>0</v>
      </c>
      <c r="Q816" s="26" t="str">
        <f>"401K"</f>
        <v>401K</v>
      </c>
      <c r="R816" s="26"/>
      <c r="S816" s="28">
        <v>42125</v>
      </c>
      <c r="T816" s="29">
        <v>2.04</v>
      </c>
    </row>
    <row r="817" spans="1:20" s="7" customFormat="1" hidden="1" outlineLevel="3" x14ac:dyDescent="0.2">
      <c r="A817" s="7" t="s">
        <v>92</v>
      </c>
      <c r="C817" s="7" t="str">
        <f t="shared" ref="C817:C822" si="121">+C816</f>
        <v>Roger</v>
      </c>
      <c r="D817" s="7" t="str">
        <f>+D816</f>
        <v>Harui</v>
      </c>
      <c r="E817" s="8" t="str">
        <f>E816</f>
        <v>INST</v>
      </c>
      <c r="G817" s="8" t="str">
        <f>G816</f>
        <v>HARU0001</v>
      </c>
      <c r="H817" s="26"/>
      <c r="I817" s="26"/>
      <c r="J817" s="26"/>
      <c r="K817" s="28">
        <f>+K816</f>
        <v>42125</v>
      </c>
      <c r="L817" s="26" t="str">
        <f>L816</f>
        <v>10463</v>
      </c>
      <c r="M817" s="26"/>
      <c r="N817" s="26"/>
      <c r="O817" s="26" t="str">
        <f>"""GP Direct"",""Fabrikam, Inc."",""UPR30300"",""PAYRATE"",""0.00000"",""PAYROLCD"",""401K"",""STATECD"","""",""CHEKDATE"",""5/1/2015"",""UPRTRXAM"",""40.82000"""</f>
        <v>"GP Direct","Fabrikam, Inc.","UPR30300","PAYRATE","0.00000","PAYROLCD","401K","STATECD","","CHEKDATE","5/1/2015","UPRTRXAM","40.82000"</v>
      </c>
      <c r="P817" s="29">
        <v>0</v>
      </c>
      <c r="Q817" s="26" t="str">
        <f>"401K"</f>
        <v>401K</v>
      </c>
      <c r="R817" s="26"/>
      <c r="S817" s="28">
        <v>42125</v>
      </c>
      <c r="T817" s="29">
        <v>40.82</v>
      </c>
    </row>
    <row r="818" spans="1:20" s="7" customFormat="1" hidden="1" outlineLevel="3" x14ac:dyDescent="0.2">
      <c r="A818" s="7" t="s">
        <v>92</v>
      </c>
      <c r="C818" s="7" t="str">
        <f t="shared" si="121"/>
        <v>Roger</v>
      </c>
      <c r="D818" s="7" t="str">
        <f>+D817</f>
        <v>Harui</v>
      </c>
      <c r="E818" s="8" t="str">
        <f>E817</f>
        <v>INST</v>
      </c>
      <c r="G818" s="8" t="str">
        <f>G817</f>
        <v>HARU0001</v>
      </c>
      <c r="H818" s="26"/>
      <c r="I818" s="26"/>
      <c r="J818" s="26"/>
      <c r="K818" s="28">
        <f>+K817</f>
        <v>42125</v>
      </c>
      <c r="L818" s="26" t="str">
        <f>L817</f>
        <v>10463</v>
      </c>
      <c r="M818" s="26"/>
      <c r="N818" s="26"/>
      <c r="O818" s="26" t="str">
        <f>"""GP Direct"",""Fabrikam, Inc."",""UPR30300"",""PAYRATE"",""0.00000"",""PAYROLCD"",""IA"",""STATECD"","""",""CHEKDATE"",""5/1/2015"",""UPRTRXAM"",""53.00000"""</f>
        <v>"GP Direct","Fabrikam, Inc.","UPR30300","PAYRATE","0.00000","PAYROLCD","IA","STATECD","","CHEKDATE","5/1/2015","UPRTRXAM","53.00000"</v>
      </c>
      <c r="P818" s="29">
        <v>0</v>
      </c>
      <c r="Q818" s="26" t="str">
        <f>"IA"</f>
        <v>IA</v>
      </c>
      <c r="R818" s="26"/>
      <c r="S818" s="28">
        <v>42125</v>
      </c>
      <c r="T818" s="29">
        <v>53</v>
      </c>
    </row>
    <row r="819" spans="1:20" s="7" customFormat="1" hidden="1" outlineLevel="3" x14ac:dyDescent="0.2">
      <c r="A819" s="7" t="s">
        <v>92</v>
      </c>
      <c r="C819" s="7" t="str">
        <f t="shared" si="121"/>
        <v>Roger</v>
      </c>
      <c r="D819" s="7" t="str">
        <f>+D818</f>
        <v>Harui</v>
      </c>
      <c r="E819" s="8" t="str">
        <f>E818</f>
        <v>INST</v>
      </c>
      <c r="G819" s="8" t="str">
        <f>G818</f>
        <v>HARU0001</v>
      </c>
      <c r="H819" s="26"/>
      <c r="I819" s="26"/>
      <c r="J819" s="26"/>
      <c r="K819" s="28">
        <f>+K818</f>
        <v>42125</v>
      </c>
      <c r="L819" s="26" t="str">
        <f>L818</f>
        <v>10463</v>
      </c>
      <c r="M819" s="26"/>
      <c r="N819" s="26"/>
      <c r="O819" s="26" t="str">
        <f>"""GP Direct"",""Fabrikam, Inc."",""UPR30300"",""PAYRATE"",""0.00000"",""PAYROLCD"",""INS"",""STATECD"","""",""CHEKDATE"",""5/1/2015"",""UPRTRXAM"",""49.36000"""</f>
        <v>"GP Direct","Fabrikam, Inc.","UPR30300","PAYRATE","0.00000","PAYROLCD","INS","STATECD","","CHEKDATE","5/1/2015","UPRTRXAM","49.36000"</v>
      </c>
      <c r="P819" s="29">
        <v>0</v>
      </c>
      <c r="Q819" s="26" t="str">
        <f>"INS"</f>
        <v>INS</v>
      </c>
      <c r="R819" s="26"/>
      <c r="S819" s="28">
        <v>42125</v>
      </c>
      <c r="T819" s="29">
        <v>49.36</v>
      </c>
    </row>
    <row r="820" spans="1:20" s="7" customFormat="1" hidden="1" outlineLevel="3" x14ac:dyDescent="0.2">
      <c r="A820" s="7" t="s">
        <v>92</v>
      </c>
      <c r="C820" s="7" t="str">
        <f t="shared" si="121"/>
        <v>Roger</v>
      </c>
      <c r="D820" s="7" t="str">
        <f>+D819</f>
        <v>Harui</v>
      </c>
      <c r="E820" s="8" t="str">
        <f>E819</f>
        <v>INST</v>
      </c>
      <c r="G820" s="8" t="str">
        <f>G819</f>
        <v>HARU0001</v>
      </c>
      <c r="H820" s="26"/>
      <c r="I820" s="26"/>
      <c r="J820" s="26"/>
      <c r="K820" s="28">
        <f>+K819</f>
        <v>42125</v>
      </c>
      <c r="L820" s="26" t="str">
        <f>L819</f>
        <v>10463</v>
      </c>
      <c r="M820" s="26"/>
      <c r="N820" s="26"/>
      <c r="O820" s="26" t="str">
        <f>"""GP Direct"",""Fabrikam, Inc."",""UPR30300"",""PAYRATE"",""0.00000"",""PAYROLCD"",""MED"",""STATECD"","""",""CHEKDATE"",""5/1/2015"",""UPRTRXAM"",""5.00000"""</f>
        <v>"GP Direct","Fabrikam, Inc.","UPR30300","PAYRATE","0.00000","PAYROLCD","MED","STATECD","","CHEKDATE","5/1/2015","UPRTRXAM","5.00000"</v>
      </c>
      <c r="P820" s="29">
        <v>0</v>
      </c>
      <c r="Q820" s="26" t="str">
        <f>"MED"</f>
        <v>MED</v>
      </c>
      <c r="R820" s="26"/>
      <c r="S820" s="28">
        <v>42125</v>
      </c>
      <c r="T820" s="29">
        <v>5</v>
      </c>
    </row>
    <row r="821" spans="1:20" s="7" customFormat="1" hidden="1" outlineLevel="3" x14ac:dyDescent="0.2">
      <c r="A821" s="7" t="s">
        <v>92</v>
      </c>
      <c r="C821" s="7" t="str">
        <f t="shared" si="121"/>
        <v>Roger</v>
      </c>
      <c r="D821" s="7" t="str">
        <f>+D820</f>
        <v>Harui</v>
      </c>
      <c r="E821" s="8" t="str">
        <f>E820</f>
        <v>INST</v>
      </c>
      <c r="G821" s="8" t="str">
        <f>G820</f>
        <v>HARU0001</v>
      </c>
      <c r="H821" s="26"/>
      <c r="I821" s="26"/>
      <c r="J821" s="26"/>
      <c r="K821" s="28">
        <f>+K820</f>
        <v>42125</v>
      </c>
      <c r="L821" s="26" t="str">
        <f>L820</f>
        <v>10463</v>
      </c>
      <c r="M821" s="26"/>
      <c r="N821" s="26"/>
      <c r="O821" s="26" t="str">
        <f>"""GP Direct"",""Fabrikam, Inc."",""UPR30300"",""PAYRATE"",""15.70000"",""PAYROLCD"",""HOLI"",""STATECD"",""IA"",""CHEKDATE"",""5/1/2015"",""UPRTRXAM"",""251.20000"""</f>
        <v>"GP Direct","Fabrikam, Inc.","UPR30300","PAYRATE","15.70000","PAYROLCD","HOLI","STATECD","IA","CHEKDATE","5/1/2015","UPRTRXAM","251.20000"</v>
      </c>
      <c r="P821" s="29">
        <v>15.7</v>
      </c>
      <c r="Q821" s="26" t="str">
        <f>"HOLI"</f>
        <v>HOLI</v>
      </c>
      <c r="R821" s="26" t="str">
        <f>"IA"</f>
        <v>IA</v>
      </c>
      <c r="S821" s="28">
        <v>42125</v>
      </c>
      <c r="T821" s="29">
        <v>251.2</v>
      </c>
    </row>
    <row r="822" spans="1:20" s="7" customFormat="1" hidden="1" outlineLevel="3" x14ac:dyDescent="0.2">
      <c r="A822" s="7" t="s">
        <v>92</v>
      </c>
      <c r="C822" s="7" t="str">
        <f t="shared" si="121"/>
        <v>Roger</v>
      </c>
      <c r="D822" s="7" t="str">
        <f>+D821</f>
        <v>Harui</v>
      </c>
      <c r="E822" s="8" t="str">
        <f>E821</f>
        <v>INST</v>
      </c>
      <c r="G822" s="8" t="str">
        <f>G821</f>
        <v>HARU0001</v>
      </c>
      <c r="H822" s="26"/>
      <c r="I822" s="26"/>
      <c r="J822" s="26"/>
      <c r="K822" s="28">
        <f>+K821</f>
        <v>42125</v>
      </c>
      <c r="L822" s="26" t="str">
        <f>L821</f>
        <v>10463</v>
      </c>
      <c r="M822" s="26"/>
      <c r="N822" s="26"/>
      <c r="O822" s="26" t="str">
        <f>"""GP Direct"",""Fabrikam, Inc."",""UPR30300"",""PAYRATE"",""15.70000"",""PAYROLCD"",""HOUR"",""STATECD"",""IA"",""CHEKDATE"",""5/1/2015"",""UPRTRXAM"",""1109.52000"""</f>
        <v>"GP Direct","Fabrikam, Inc.","UPR30300","PAYRATE","15.70000","PAYROLCD","HOUR","STATECD","IA","CHEKDATE","5/1/2015","UPRTRXAM","1109.52000"</v>
      </c>
      <c r="P822" s="29">
        <v>15.7</v>
      </c>
      <c r="Q822" s="26" t="str">
        <f>"HOUR"</f>
        <v>HOUR</v>
      </c>
      <c r="R822" s="26" t="str">
        <f>"IA"</f>
        <v>IA</v>
      </c>
      <c r="S822" s="28">
        <v>42125</v>
      </c>
      <c r="T822" s="29">
        <v>1109.52</v>
      </c>
    </row>
    <row r="823" spans="1:20" s="7" customFormat="1" hidden="1" outlineLevel="3" x14ac:dyDescent="0.2">
      <c r="A823" s="7" t="s">
        <v>92</v>
      </c>
      <c r="C823" s="7" t="str">
        <f>+C816</f>
        <v>Roger</v>
      </c>
      <c r="D823" s="7" t="str">
        <f>+D816</f>
        <v>Harui</v>
      </c>
      <c r="E823" s="8" t="str">
        <f>E816</f>
        <v>INST</v>
      </c>
      <c r="G823" s="8" t="str">
        <f>G816</f>
        <v>HARU0001</v>
      </c>
      <c r="K823" s="12">
        <f>+K816</f>
        <v>42125</v>
      </c>
      <c r="L823" s="8" t="str">
        <f>L816</f>
        <v>10463</v>
      </c>
      <c r="O823" s="8"/>
      <c r="T823" s="20"/>
    </row>
    <row r="824" spans="1:20" s="7" customFormat="1" hidden="1" outlineLevel="2" collapsed="1" x14ac:dyDescent="0.2">
      <c r="A824" s="7" t="s">
        <v>92</v>
      </c>
      <c r="C824" s="7" t="str">
        <f t="shared" si="117"/>
        <v>Roger</v>
      </c>
      <c r="D824" s="7" t="str">
        <f>+D823</f>
        <v>Harui</v>
      </c>
      <c r="E824" s="8" t="str">
        <f>E823</f>
        <v>INST</v>
      </c>
      <c r="G824" s="8" t="str">
        <f>G823</f>
        <v>HARU0001</v>
      </c>
      <c r="K824" s="12">
        <f>+K823</f>
        <v>42125</v>
      </c>
      <c r="L824" s="8" t="str">
        <f>L823</f>
        <v>10463</v>
      </c>
      <c r="M824" s="33" t="str">
        <f>"Total for " &amp; $L824</f>
        <v>Total for 10463</v>
      </c>
      <c r="N824" s="34">
        <f>+K824</f>
        <v>42125</v>
      </c>
      <c r="O824" s="35"/>
      <c r="P824" s="33"/>
      <c r="Q824" s="33"/>
      <c r="R824" s="33"/>
      <c r="S824" s="33"/>
      <c r="T824" s="36">
        <f>SUBTOTAL(9,T816:T823)</f>
        <v>1510.94</v>
      </c>
    </row>
    <row r="825" spans="1:20" s="7" customFormat="1" hidden="1" outlineLevel="3" x14ac:dyDescent="0.2">
      <c r="A825" s="7" t="s">
        <v>92</v>
      </c>
      <c r="C825" s="7" t="str">
        <f t="shared" si="117"/>
        <v>Roger</v>
      </c>
      <c r="D825" s="7" t="str">
        <f>+D824</f>
        <v>Harui</v>
      </c>
      <c r="E825" s="8" t="str">
        <f>E824</f>
        <v>INST</v>
      </c>
      <c r="G825" s="8" t="str">
        <f>G824</f>
        <v>HARU0001</v>
      </c>
      <c r="H825" s="26"/>
      <c r="I825" s="26"/>
      <c r="J825" s="26"/>
      <c r="K825" s="28">
        <f>+N825</f>
        <v>42156</v>
      </c>
      <c r="L825" s="26" t="str">
        <f>M825</f>
        <v>10488</v>
      </c>
      <c r="M825" s="26" t="str">
        <f>"10488"</f>
        <v>10488</v>
      </c>
      <c r="N825" s="28">
        <v>42156</v>
      </c>
      <c r="O825" s="26"/>
      <c r="P825" s="26"/>
      <c r="Q825" s="26"/>
      <c r="R825" s="26"/>
      <c r="S825" s="26"/>
      <c r="T825" s="27"/>
    </row>
    <row r="826" spans="1:20" s="7" customFormat="1" hidden="1" outlineLevel="3" x14ac:dyDescent="0.2">
      <c r="A826" s="7" t="s">
        <v>92</v>
      </c>
      <c r="C826" s="7" t="str">
        <f t="shared" si="117"/>
        <v>Roger</v>
      </c>
      <c r="D826" s="7" t="str">
        <f>+D825</f>
        <v>Harui</v>
      </c>
      <c r="E826" s="8" t="str">
        <f>E825</f>
        <v>INST</v>
      </c>
      <c r="G826" s="8" t="str">
        <f>G825</f>
        <v>HARU0001</v>
      </c>
      <c r="H826" s="26"/>
      <c r="I826" s="26"/>
      <c r="J826" s="26"/>
      <c r="K826" s="28">
        <f>+K825</f>
        <v>42156</v>
      </c>
      <c r="L826" s="26" t="str">
        <f>L825</f>
        <v>10488</v>
      </c>
      <c r="M826" s="26"/>
      <c r="N826" s="26"/>
      <c r="O826" s="26" t="str">
        <f>"""GP Direct"",""Fabrikam, Inc."",""UPR30300"",""PAYRATE"",""0.00000"",""PAYROLCD"",""401K"",""STATECD"","""",""CHEKDATE"",""6/1/2015"",""UPRTRXAM"",""2.04000"""</f>
        <v>"GP Direct","Fabrikam, Inc.","UPR30300","PAYRATE","0.00000","PAYROLCD","401K","STATECD","","CHEKDATE","6/1/2015","UPRTRXAM","2.04000"</v>
      </c>
      <c r="P826" s="29">
        <v>0</v>
      </c>
      <c r="Q826" s="26" t="str">
        <f>"401K"</f>
        <v>401K</v>
      </c>
      <c r="R826" s="26"/>
      <c r="S826" s="28">
        <v>42156</v>
      </c>
      <c r="T826" s="29">
        <v>2.04</v>
      </c>
    </row>
    <row r="827" spans="1:20" s="7" customFormat="1" hidden="1" outlineLevel="3" x14ac:dyDescent="0.2">
      <c r="A827" s="7" t="s">
        <v>92</v>
      </c>
      <c r="C827" s="7" t="str">
        <f t="shared" ref="C827:C831" si="122">+C826</f>
        <v>Roger</v>
      </c>
      <c r="D827" s="7" t="str">
        <f>+D826</f>
        <v>Harui</v>
      </c>
      <c r="E827" s="8" t="str">
        <f>E826</f>
        <v>INST</v>
      </c>
      <c r="G827" s="8" t="str">
        <f>G826</f>
        <v>HARU0001</v>
      </c>
      <c r="H827" s="26"/>
      <c r="I827" s="26"/>
      <c r="J827" s="26"/>
      <c r="K827" s="28">
        <f>+K826</f>
        <v>42156</v>
      </c>
      <c r="L827" s="26" t="str">
        <f>L826</f>
        <v>10488</v>
      </c>
      <c r="M827" s="26"/>
      <c r="N827" s="26"/>
      <c r="O827" s="26" t="str">
        <f>"""GP Direct"",""Fabrikam, Inc."",""UPR30300"",""PAYRATE"",""0.00000"",""PAYROLCD"",""401K"",""STATECD"","""",""CHEKDATE"",""6/1/2015"",""UPRTRXAM"",""40.82000"""</f>
        <v>"GP Direct","Fabrikam, Inc.","UPR30300","PAYRATE","0.00000","PAYROLCD","401K","STATECD","","CHEKDATE","6/1/2015","UPRTRXAM","40.82000"</v>
      </c>
      <c r="P827" s="29">
        <v>0</v>
      </c>
      <c r="Q827" s="26" t="str">
        <f>"401K"</f>
        <v>401K</v>
      </c>
      <c r="R827" s="26"/>
      <c r="S827" s="28">
        <v>42156</v>
      </c>
      <c r="T827" s="29">
        <v>40.82</v>
      </c>
    </row>
    <row r="828" spans="1:20" s="7" customFormat="1" hidden="1" outlineLevel="3" x14ac:dyDescent="0.2">
      <c r="A828" s="7" t="s">
        <v>92</v>
      </c>
      <c r="C828" s="7" t="str">
        <f t="shared" si="122"/>
        <v>Roger</v>
      </c>
      <c r="D828" s="7" t="str">
        <f>+D827</f>
        <v>Harui</v>
      </c>
      <c r="E828" s="8" t="str">
        <f>E827</f>
        <v>INST</v>
      </c>
      <c r="G828" s="8" t="str">
        <f>G827</f>
        <v>HARU0001</v>
      </c>
      <c r="H828" s="26"/>
      <c r="I828" s="26"/>
      <c r="J828" s="26"/>
      <c r="K828" s="28">
        <f>+K827</f>
        <v>42156</v>
      </c>
      <c r="L828" s="26" t="str">
        <f>L827</f>
        <v>10488</v>
      </c>
      <c r="M828" s="26"/>
      <c r="N828" s="26"/>
      <c r="O828" s="26" t="str">
        <f>"""GP Direct"",""Fabrikam, Inc."",""UPR30300"",""PAYRATE"",""0.00000"",""PAYROLCD"",""IA"",""STATECD"","""",""CHEKDATE"",""6/1/2015"",""UPRTRXAM"",""53.00000"""</f>
        <v>"GP Direct","Fabrikam, Inc.","UPR30300","PAYRATE","0.00000","PAYROLCD","IA","STATECD","","CHEKDATE","6/1/2015","UPRTRXAM","53.00000"</v>
      </c>
      <c r="P828" s="29">
        <v>0</v>
      </c>
      <c r="Q828" s="26" t="str">
        <f>"IA"</f>
        <v>IA</v>
      </c>
      <c r="R828" s="26"/>
      <c r="S828" s="28">
        <v>42156</v>
      </c>
      <c r="T828" s="29">
        <v>53</v>
      </c>
    </row>
    <row r="829" spans="1:20" s="7" customFormat="1" hidden="1" outlineLevel="3" x14ac:dyDescent="0.2">
      <c r="A829" s="7" t="s">
        <v>92</v>
      </c>
      <c r="C829" s="7" t="str">
        <f t="shared" si="122"/>
        <v>Roger</v>
      </c>
      <c r="D829" s="7" t="str">
        <f>+D828</f>
        <v>Harui</v>
      </c>
      <c r="E829" s="8" t="str">
        <f>E828</f>
        <v>INST</v>
      </c>
      <c r="G829" s="8" t="str">
        <f>G828</f>
        <v>HARU0001</v>
      </c>
      <c r="H829" s="26"/>
      <c r="I829" s="26"/>
      <c r="J829" s="26"/>
      <c r="K829" s="28">
        <f>+K828</f>
        <v>42156</v>
      </c>
      <c r="L829" s="26" t="str">
        <f>L828</f>
        <v>10488</v>
      </c>
      <c r="M829" s="26"/>
      <c r="N829" s="26"/>
      <c r="O829" s="26" t="str">
        <f>"""GP Direct"",""Fabrikam, Inc."",""UPR30300"",""PAYRATE"",""0.00000"",""PAYROLCD"",""INS"",""STATECD"","""",""CHEKDATE"",""6/1/2015"",""UPRTRXAM"",""49.36000"""</f>
        <v>"GP Direct","Fabrikam, Inc.","UPR30300","PAYRATE","0.00000","PAYROLCD","INS","STATECD","","CHEKDATE","6/1/2015","UPRTRXAM","49.36000"</v>
      </c>
      <c r="P829" s="29">
        <v>0</v>
      </c>
      <c r="Q829" s="26" t="str">
        <f>"INS"</f>
        <v>INS</v>
      </c>
      <c r="R829" s="26"/>
      <c r="S829" s="28">
        <v>42156</v>
      </c>
      <c r="T829" s="29">
        <v>49.36</v>
      </c>
    </row>
    <row r="830" spans="1:20" s="7" customFormat="1" hidden="1" outlineLevel="3" x14ac:dyDescent="0.2">
      <c r="A830" s="7" t="s">
        <v>92</v>
      </c>
      <c r="C830" s="7" t="str">
        <f t="shared" si="122"/>
        <v>Roger</v>
      </c>
      <c r="D830" s="7" t="str">
        <f>+D829</f>
        <v>Harui</v>
      </c>
      <c r="E830" s="8" t="str">
        <f>E829</f>
        <v>INST</v>
      </c>
      <c r="G830" s="8" t="str">
        <f>G829</f>
        <v>HARU0001</v>
      </c>
      <c r="H830" s="26"/>
      <c r="I830" s="26"/>
      <c r="J830" s="26"/>
      <c r="K830" s="28">
        <f>+K829</f>
        <v>42156</v>
      </c>
      <c r="L830" s="26" t="str">
        <f>L829</f>
        <v>10488</v>
      </c>
      <c r="M830" s="26"/>
      <c r="N830" s="26"/>
      <c r="O830" s="26" t="str">
        <f>"""GP Direct"",""Fabrikam, Inc."",""UPR30300"",""PAYRATE"",""0.00000"",""PAYROLCD"",""MED"",""STATECD"","""",""CHEKDATE"",""6/1/2015"",""UPRTRXAM"",""5.00000"""</f>
        <v>"GP Direct","Fabrikam, Inc.","UPR30300","PAYRATE","0.00000","PAYROLCD","MED","STATECD","","CHEKDATE","6/1/2015","UPRTRXAM","5.00000"</v>
      </c>
      <c r="P830" s="29">
        <v>0</v>
      </c>
      <c r="Q830" s="26" t="str">
        <f>"MED"</f>
        <v>MED</v>
      </c>
      <c r="R830" s="26"/>
      <c r="S830" s="28">
        <v>42156</v>
      </c>
      <c r="T830" s="29">
        <v>5</v>
      </c>
    </row>
    <row r="831" spans="1:20" s="7" customFormat="1" hidden="1" outlineLevel="3" x14ac:dyDescent="0.2">
      <c r="A831" s="7" t="s">
        <v>92</v>
      </c>
      <c r="C831" s="7" t="str">
        <f t="shared" si="122"/>
        <v>Roger</v>
      </c>
      <c r="D831" s="7" t="str">
        <f>+D830</f>
        <v>Harui</v>
      </c>
      <c r="E831" s="8" t="str">
        <f>E830</f>
        <v>INST</v>
      </c>
      <c r="G831" s="8" t="str">
        <f>G830</f>
        <v>HARU0001</v>
      </c>
      <c r="H831" s="26"/>
      <c r="I831" s="26"/>
      <c r="J831" s="26"/>
      <c r="K831" s="28">
        <f>+K830</f>
        <v>42156</v>
      </c>
      <c r="L831" s="26" t="str">
        <f>L830</f>
        <v>10488</v>
      </c>
      <c r="M831" s="26"/>
      <c r="N831" s="26"/>
      <c r="O831" s="26" t="str">
        <f>"""GP Direct"",""Fabrikam, Inc."",""UPR30300"",""PAYRATE"",""15.70000"",""PAYROLCD"",""HOUR"",""STATECD"",""IA"",""CHEKDATE"",""6/1/2015"",""UPRTRXAM"",""1360.72000"""</f>
        <v>"GP Direct","Fabrikam, Inc.","UPR30300","PAYRATE","15.70000","PAYROLCD","HOUR","STATECD","IA","CHEKDATE","6/1/2015","UPRTRXAM","1360.72000"</v>
      </c>
      <c r="P831" s="29">
        <v>15.7</v>
      </c>
      <c r="Q831" s="26" t="str">
        <f>"HOUR"</f>
        <v>HOUR</v>
      </c>
      <c r="R831" s="26" t="str">
        <f>"IA"</f>
        <v>IA</v>
      </c>
      <c r="S831" s="28">
        <v>42156</v>
      </c>
      <c r="T831" s="29">
        <v>1360.72</v>
      </c>
    </row>
    <row r="832" spans="1:20" s="7" customFormat="1" hidden="1" outlineLevel="3" x14ac:dyDescent="0.2">
      <c r="A832" s="7" t="s">
        <v>92</v>
      </c>
      <c r="C832" s="7" t="str">
        <f>+C826</f>
        <v>Roger</v>
      </c>
      <c r="D832" s="7" t="str">
        <f>+D826</f>
        <v>Harui</v>
      </c>
      <c r="E832" s="8" t="str">
        <f>E826</f>
        <v>INST</v>
      </c>
      <c r="G832" s="8" t="str">
        <f>G826</f>
        <v>HARU0001</v>
      </c>
      <c r="K832" s="12">
        <f>+K826</f>
        <v>42156</v>
      </c>
      <c r="L832" s="8" t="str">
        <f>L826</f>
        <v>10488</v>
      </c>
      <c r="O832" s="8"/>
      <c r="T832" s="20"/>
    </row>
    <row r="833" spans="1:20" s="7" customFormat="1" hidden="1" outlineLevel="2" collapsed="1" x14ac:dyDescent="0.2">
      <c r="A833" s="7" t="s">
        <v>92</v>
      </c>
      <c r="C833" s="7" t="str">
        <f t="shared" si="117"/>
        <v>Roger</v>
      </c>
      <c r="D833" s="7" t="str">
        <f>+D832</f>
        <v>Harui</v>
      </c>
      <c r="E833" s="8" t="str">
        <f>E832</f>
        <v>INST</v>
      </c>
      <c r="G833" s="8" t="str">
        <f>G832</f>
        <v>HARU0001</v>
      </c>
      <c r="K833" s="12">
        <f>+K832</f>
        <v>42156</v>
      </c>
      <c r="L833" s="8" t="str">
        <f>L832</f>
        <v>10488</v>
      </c>
      <c r="M833" s="33" t="str">
        <f>"Total for " &amp; $L833</f>
        <v>Total for 10488</v>
      </c>
      <c r="N833" s="34">
        <f>+K833</f>
        <v>42156</v>
      </c>
      <c r="O833" s="35"/>
      <c r="P833" s="33"/>
      <c r="Q833" s="33"/>
      <c r="R833" s="33"/>
      <c r="S833" s="33"/>
      <c r="T833" s="36">
        <f>SUBTOTAL(9,T826:T832)</f>
        <v>1510.94</v>
      </c>
    </row>
    <row r="834" spans="1:20" s="7" customFormat="1" hidden="1" outlineLevel="3" x14ac:dyDescent="0.2">
      <c r="A834" s="7" t="s">
        <v>92</v>
      </c>
      <c r="C834" s="7" t="str">
        <f t="shared" si="117"/>
        <v>Roger</v>
      </c>
      <c r="D834" s="7" t="str">
        <f>+D833</f>
        <v>Harui</v>
      </c>
      <c r="E834" s="8" t="str">
        <f>E833</f>
        <v>INST</v>
      </c>
      <c r="G834" s="8" t="str">
        <f>G833</f>
        <v>HARU0001</v>
      </c>
      <c r="H834" s="26"/>
      <c r="I834" s="26"/>
      <c r="J834" s="26"/>
      <c r="K834" s="28">
        <f>+N834</f>
        <v>42005</v>
      </c>
      <c r="L834" s="26" t="str">
        <f>M834</f>
        <v>11566</v>
      </c>
      <c r="M834" s="26" t="str">
        <f>"11566"</f>
        <v>11566</v>
      </c>
      <c r="N834" s="28">
        <v>42005</v>
      </c>
      <c r="O834" s="26"/>
      <c r="P834" s="26"/>
      <c r="Q834" s="26"/>
      <c r="R834" s="26"/>
      <c r="S834" s="26"/>
      <c r="T834" s="27"/>
    </row>
    <row r="835" spans="1:20" s="7" customFormat="1" hidden="1" outlineLevel="3" x14ac:dyDescent="0.2">
      <c r="A835" s="7" t="s">
        <v>92</v>
      </c>
      <c r="C835" s="7" t="str">
        <f t="shared" si="117"/>
        <v>Roger</v>
      </c>
      <c r="D835" s="7" t="str">
        <f>+D834</f>
        <v>Harui</v>
      </c>
      <c r="E835" s="8" t="str">
        <f>E834</f>
        <v>INST</v>
      </c>
      <c r="G835" s="8" t="str">
        <f>G834</f>
        <v>HARU0001</v>
      </c>
      <c r="H835" s="26"/>
      <c r="I835" s="26"/>
      <c r="J835" s="26"/>
      <c r="K835" s="28">
        <f>+K834</f>
        <v>42005</v>
      </c>
      <c r="L835" s="26" t="str">
        <f>L834</f>
        <v>11566</v>
      </c>
      <c r="M835" s="26"/>
      <c r="N835" s="26"/>
      <c r="O835" s="26" t="str">
        <f>"""GP Direct"",""Fabrikam, Inc."",""UPR30300"",""PAYRATE"",""0.00000"",""PAYROLCD"",""IA"",""STATECD"","""",""CHEKDATE"",""1/1/2015"",""UPRTRXAM"",""34.00000"""</f>
        <v>"GP Direct","Fabrikam, Inc.","UPR30300","PAYRATE","0.00000","PAYROLCD","IA","STATECD","","CHEKDATE","1/1/2015","UPRTRXAM","34.00000"</v>
      </c>
      <c r="P835" s="29">
        <v>0</v>
      </c>
      <c r="Q835" s="26" t="str">
        <f>"IA"</f>
        <v>IA</v>
      </c>
      <c r="R835" s="26"/>
      <c r="S835" s="28">
        <v>42005</v>
      </c>
      <c r="T835" s="29">
        <v>34</v>
      </c>
    </row>
    <row r="836" spans="1:20" s="7" customFormat="1" hidden="1" outlineLevel="3" x14ac:dyDescent="0.2">
      <c r="A836" s="7" t="s">
        <v>92</v>
      </c>
      <c r="C836" s="7" t="str">
        <f t="shared" ref="C836" si="123">+C835</f>
        <v>Roger</v>
      </c>
      <c r="D836" s="7" t="str">
        <f>+D835</f>
        <v>Harui</v>
      </c>
      <c r="E836" s="8" t="str">
        <f>E835</f>
        <v>INST</v>
      </c>
      <c r="G836" s="8" t="str">
        <f>G835</f>
        <v>HARU0001</v>
      </c>
      <c r="H836" s="26"/>
      <c r="I836" s="26"/>
      <c r="J836" s="26"/>
      <c r="K836" s="28">
        <f>+K835</f>
        <v>42005</v>
      </c>
      <c r="L836" s="26" t="str">
        <f>L835</f>
        <v>11566</v>
      </c>
      <c r="M836" s="26"/>
      <c r="N836" s="26"/>
      <c r="O836" s="26" t="str">
        <f>"""GP Direct"",""Fabrikam, Inc."",""UPR30300"",""PAYRATE"",""600.00000"",""PAYROLCD"",""BONS"",""STATECD"",""IA"",""CHEKDATE"",""1/1/2015"",""UPRTRXAM"",""600.00000"""</f>
        <v>"GP Direct","Fabrikam, Inc.","UPR30300","PAYRATE","600.00000","PAYROLCD","BONS","STATECD","IA","CHEKDATE","1/1/2015","UPRTRXAM","600.00000"</v>
      </c>
      <c r="P836" s="29">
        <v>600</v>
      </c>
      <c r="Q836" s="26" t="str">
        <f>"BONS"</f>
        <v>BONS</v>
      </c>
      <c r="R836" s="26" t="str">
        <f>"IA"</f>
        <v>IA</v>
      </c>
      <c r="S836" s="28">
        <v>42005</v>
      </c>
      <c r="T836" s="29">
        <v>600</v>
      </c>
    </row>
    <row r="837" spans="1:20" s="7" customFormat="1" hidden="1" outlineLevel="3" x14ac:dyDescent="0.2">
      <c r="A837" s="7" t="s">
        <v>92</v>
      </c>
      <c r="C837" s="7" t="str">
        <f>+C835</f>
        <v>Roger</v>
      </c>
      <c r="D837" s="7" t="str">
        <f>+D835</f>
        <v>Harui</v>
      </c>
      <c r="E837" s="8" t="str">
        <f>E835</f>
        <v>INST</v>
      </c>
      <c r="G837" s="8" t="str">
        <f>G835</f>
        <v>HARU0001</v>
      </c>
      <c r="K837" s="12">
        <f>+K835</f>
        <v>42005</v>
      </c>
      <c r="L837" s="8" t="str">
        <f>L835</f>
        <v>11566</v>
      </c>
      <c r="O837" s="8"/>
      <c r="T837" s="20"/>
    </row>
    <row r="838" spans="1:20" s="7" customFormat="1" hidden="1" outlineLevel="2" collapsed="1" x14ac:dyDescent="0.2">
      <c r="A838" s="7" t="s">
        <v>92</v>
      </c>
      <c r="C838" s="7" t="str">
        <f t="shared" si="117"/>
        <v>Roger</v>
      </c>
      <c r="D838" s="7" t="str">
        <f>+D837</f>
        <v>Harui</v>
      </c>
      <c r="E838" s="8" t="str">
        <f>E837</f>
        <v>INST</v>
      </c>
      <c r="G838" s="8" t="str">
        <f>G837</f>
        <v>HARU0001</v>
      </c>
      <c r="K838" s="12">
        <f>+K837</f>
        <v>42005</v>
      </c>
      <c r="L838" s="8" t="str">
        <f>L837</f>
        <v>11566</v>
      </c>
      <c r="M838" s="33" t="str">
        <f>"Total for " &amp; $L838</f>
        <v>Total for 11566</v>
      </c>
      <c r="N838" s="34">
        <f>+K838</f>
        <v>42005</v>
      </c>
      <c r="O838" s="35"/>
      <c r="P838" s="33"/>
      <c r="Q838" s="33"/>
      <c r="R838" s="33"/>
      <c r="S838" s="33"/>
      <c r="T838" s="36">
        <f>SUBTOTAL(9,T835:T837)</f>
        <v>634</v>
      </c>
    </row>
    <row r="839" spans="1:20" s="7" customFormat="1" hidden="1" outlineLevel="3" x14ac:dyDescent="0.2">
      <c r="A839" s="7" t="s">
        <v>92</v>
      </c>
      <c r="C839" s="7" t="str">
        <f t="shared" si="117"/>
        <v>Roger</v>
      </c>
      <c r="D839" s="7" t="str">
        <f>+D838</f>
        <v>Harui</v>
      </c>
      <c r="E839" s="8" t="str">
        <f>E838</f>
        <v>INST</v>
      </c>
      <c r="G839" s="8" t="str">
        <f>G838</f>
        <v>HARU0001</v>
      </c>
      <c r="H839" s="26"/>
      <c r="I839" s="26"/>
      <c r="J839" s="26"/>
      <c r="K839" s="28">
        <f>+N839</f>
        <v>42156</v>
      </c>
      <c r="L839" s="26" t="str">
        <f>M839</f>
        <v>11571</v>
      </c>
      <c r="M839" s="26" t="str">
        <f>"11571"</f>
        <v>11571</v>
      </c>
      <c r="N839" s="28">
        <v>42156</v>
      </c>
      <c r="O839" s="26"/>
      <c r="P839" s="26"/>
      <c r="Q839" s="26"/>
      <c r="R839" s="26"/>
      <c r="S839" s="26"/>
      <c r="T839" s="27"/>
    </row>
    <row r="840" spans="1:20" s="7" customFormat="1" hidden="1" outlineLevel="3" x14ac:dyDescent="0.2">
      <c r="A840" s="7" t="s">
        <v>92</v>
      </c>
      <c r="C840" s="7" t="str">
        <f t="shared" si="117"/>
        <v>Roger</v>
      </c>
      <c r="D840" s="7" t="str">
        <f>+D839</f>
        <v>Harui</v>
      </c>
      <c r="E840" s="8" t="str">
        <f>E839</f>
        <v>INST</v>
      </c>
      <c r="G840" s="8" t="str">
        <f>G839</f>
        <v>HARU0001</v>
      </c>
      <c r="H840" s="26"/>
      <c r="I840" s="26"/>
      <c r="J840" s="26"/>
      <c r="K840" s="28">
        <f>+K839</f>
        <v>42156</v>
      </c>
      <c r="L840" s="26" t="str">
        <f>L839</f>
        <v>11571</v>
      </c>
      <c r="M840" s="26"/>
      <c r="N840" s="26"/>
      <c r="O840" s="26" t="str">
        <f>"""GP Direct"",""Fabrikam, Inc."",""UPR30300"",""PAYRATE"",""0.00000"",""PAYROLCD"",""IA"",""STATECD"","""",""CHEKDATE"",""6/1/2015"",""UPRTRXAM"",""34.00000"""</f>
        <v>"GP Direct","Fabrikam, Inc.","UPR30300","PAYRATE","0.00000","PAYROLCD","IA","STATECD","","CHEKDATE","6/1/2015","UPRTRXAM","34.00000"</v>
      </c>
      <c r="P840" s="29">
        <v>0</v>
      </c>
      <c r="Q840" s="26" t="str">
        <f>"IA"</f>
        <v>IA</v>
      </c>
      <c r="R840" s="26"/>
      <c r="S840" s="28">
        <v>42156</v>
      </c>
      <c r="T840" s="29">
        <v>34</v>
      </c>
    </row>
    <row r="841" spans="1:20" s="7" customFormat="1" hidden="1" outlineLevel="3" x14ac:dyDescent="0.2">
      <c r="A841" s="7" t="s">
        <v>92</v>
      </c>
      <c r="C841" s="7" t="str">
        <f t="shared" ref="C841" si="124">+C840</f>
        <v>Roger</v>
      </c>
      <c r="D841" s="7" t="str">
        <f>+D840</f>
        <v>Harui</v>
      </c>
      <c r="E841" s="8" t="str">
        <f>E840</f>
        <v>INST</v>
      </c>
      <c r="G841" s="8" t="str">
        <f>G840</f>
        <v>HARU0001</v>
      </c>
      <c r="H841" s="26"/>
      <c r="I841" s="26"/>
      <c r="J841" s="26"/>
      <c r="K841" s="28">
        <f>+K840</f>
        <v>42156</v>
      </c>
      <c r="L841" s="26" t="str">
        <f>L840</f>
        <v>11571</v>
      </c>
      <c r="M841" s="26"/>
      <c r="N841" s="26"/>
      <c r="O841" s="26" t="str">
        <f>"""GP Direct"",""Fabrikam, Inc."",""UPR30300"",""PAYRATE"",""600.00000"",""PAYROLCD"",""BONS"",""STATECD"",""IA"",""CHEKDATE"",""6/1/2015"",""UPRTRXAM"",""600.00000"""</f>
        <v>"GP Direct","Fabrikam, Inc.","UPR30300","PAYRATE","600.00000","PAYROLCD","BONS","STATECD","IA","CHEKDATE","6/1/2015","UPRTRXAM","600.00000"</v>
      </c>
      <c r="P841" s="29">
        <v>600</v>
      </c>
      <c r="Q841" s="26" t="str">
        <f>"BONS"</f>
        <v>BONS</v>
      </c>
      <c r="R841" s="26" t="str">
        <f>"IA"</f>
        <v>IA</v>
      </c>
      <c r="S841" s="28">
        <v>42156</v>
      </c>
      <c r="T841" s="29">
        <v>600</v>
      </c>
    </row>
    <row r="842" spans="1:20" s="7" customFormat="1" hidden="1" outlineLevel="3" x14ac:dyDescent="0.2">
      <c r="A842" s="7" t="s">
        <v>92</v>
      </c>
      <c r="C842" s="7" t="str">
        <f>+C840</f>
        <v>Roger</v>
      </c>
      <c r="D842" s="7" t="str">
        <f>+D840</f>
        <v>Harui</v>
      </c>
      <c r="E842" s="8" t="str">
        <f>E840</f>
        <v>INST</v>
      </c>
      <c r="G842" s="8" t="str">
        <f>G840</f>
        <v>HARU0001</v>
      </c>
      <c r="K842" s="12">
        <f>+K840</f>
        <v>42156</v>
      </c>
      <c r="L842" s="8" t="str">
        <f>L840</f>
        <v>11571</v>
      </c>
      <c r="O842" s="8"/>
      <c r="T842" s="20"/>
    </row>
    <row r="843" spans="1:20" s="7" customFormat="1" hidden="1" outlineLevel="2" collapsed="1" x14ac:dyDescent="0.2">
      <c r="A843" s="7" t="s">
        <v>92</v>
      </c>
      <c r="C843" s="7" t="str">
        <f t="shared" si="117"/>
        <v>Roger</v>
      </c>
      <c r="D843" s="7" t="str">
        <f>+D842</f>
        <v>Harui</v>
      </c>
      <c r="E843" s="8" t="str">
        <f>E842</f>
        <v>INST</v>
      </c>
      <c r="G843" s="8" t="str">
        <f>G842</f>
        <v>HARU0001</v>
      </c>
      <c r="K843" s="12">
        <f>+K842</f>
        <v>42156</v>
      </c>
      <c r="L843" s="8" t="str">
        <f>L842</f>
        <v>11571</v>
      </c>
      <c r="M843" s="33" t="str">
        <f>"Total for " &amp; $L843</f>
        <v>Total for 11571</v>
      </c>
      <c r="N843" s="34">
        <f>+K843</f>
        <v>42156</v>
      </c>
      <c r="O843" s="35"/>
      <c r="P843" s="33"/>
      <c r="Q843" s="33"/>
      <c r="R843" s="33"/>
      <c r="S843" s="33"/>
      <c r="T843" s="36">
        <f>SUBTOTAL(9,T840:T842)</f>
        <v>634</v>
      </c>
    </row>
    <row r="844" spans="1:20" s="7" customFormat="1" hidden="1" outlineLevel="2" x14ac:dyDescent="0.2">
      <c r="A844" s="7" t="s">
        <v>92</v>
      </c>
      <c r="C844" s="7" t="str">
        <f>+C787</f>
        <v>Roger</v>
      </c>
      <c r="D844" s="7" t="str">
        <f>+D787</f>
        <v>Harui</v>
      </c>
      <c r="E844" s="8" t="str">
        <f>E787</f>
        <v>INST</v>
      </c>
      <c r="G844" s="8" t="str">
        <f>G787</f>
        <v>HARU0001</v>
      </c>
      <c r="L844" s="8"/>
      <c r="O844" s="8"/>
      <c r="T844" s="20"/>
    </row>
    <row r="845" spans="1:20" s="7" customFormat="1" hidden="1" outlineLevel="1" collapsed="1" x14ac:dyDescent="0.2">
      <c r="A845" s="7" t="s">
        <v>92</v>
      </c>
      <c r="C845" s="7" t="str">
        <f t="shared" si="115"/>
        <v>Roger</v>
      </c>
      <c r="D845" s="7" t="str">
        <f>+D844</f>
        <v>Harui</v>
      </c>
      <c r="E845" s="8" t="str">
        <f>E844</f>
        <v>INST</v>
      </c>
      <c r="G845" s="8" t="str">
        <f>G844</f>
        <v>HARU0001</v>
      </c>
      <c r="H845" s="30" t="str">
        <f>"Total for " &amp; $G845</f>
        <v>Total for HARU0001</v>
      </c>
      <c r="I845" s="30" t="str">
        <f>+C845</f>
        <v>Roger</v>
      </c>
      <c r="J845" s="30" t="str">
        <f>+D845</f>
        <v>Harui</v>
      </c>
      <c r="K845" s="30"/>
      <c r="L845" s="31"/>
      <c r="M845" s="30"/>
      <c r="N845" s="30"/>
      <c r="O845" s="31"/>
      <c r="P845" s="30"/>
      <c r="Q845" s="30"/>
      <c r="R845" s="30"/>
      <c r="S845" s="30"/>
      <c r="T845" s="32">
        <f>SUBTOTAL(9,T780:T844)</f>
        <v>10333.639999999998</v>
      </c>
    </row>
    <row r="846" spans="1:20" s="7" customFormat="1" hidden="1" outlineLevel="2" x14ac:dyDescent="0.2">
      <c r="A846" s="7" t="s">
        <v>92</v>
      </c>
      <c r="C846" s="7" t="str">
        <f t="shared" ref="C846" si="125">+I846</f>
        <v>Mike</v>
      </c>
      <c r="D846" s="7" t="str">
        <f>+J846</f>
        <v>Tiano</v>
      </c>
      <c r="E846" s="8" t="str">
        <f>E845</f>
        <v>INST</v>
      </c>
      <c r="G846" s="8" t="str">
        <f>H846</f>
        <v>TIAN0001</v>
      </c>
      <c r="H846" s="24" t="str">
        <f>"TIAN0001"</f>
        <v>TIAN0001</v>
      </c>
      <c r="I846" s="25" t="str">
        <f>"Mike"</f>
        <v>Mike</v>
      </c>
      <c r="J846" s="25" t="str">
        <f>"Tiano"</f>
        <v>Tiano</v>
      </c>
      <c r="K846" s="26"/>
      <c r="L846" s="26"/>
      <c r="M846" s="26"/>
      <c r="N846" s="26"/>
      <c r="O846" s="26"/>
      <c r="P846" s="26"/>
      <c r="Q846" s="26"/>
      <c r="R846" s="26"/>
      <c r="S846" s="26"/>
      <c r="T846" s="27"/>
    </row>
    <row r="847" spans="1:20" s="7" customFormat="1" hidden="1" outlineLevel="3" x14ac:dyDescent="0.2">
      <c r="A847" s="7" t="s">
        <v>92</v>
      </c>
      <c r="C847" s="7" t="str">
        <f t="shared" ref="C847:C912" si="126">+C846</f>
        <v>Mike</v>
      </c>
      <c r="D847" s="7" t="str">
        <f>+D846</f>
        <v>Tiano</v>
      </c>
      <c r="E847" s="8" t="str">
        <f>E846</f>
        <v>INST</v>
      </c>
      <c r="G847" s="8" t="str">
        <f>G846</f>
        <v>TIAN0001</v>
      </c>
      <c r="H847" s="26"/>
      <c r="I847" s="26"/>
      <c r="J847" s="26"/>
      <c r="K847" s="28">
        <f>+N847</f>
        <v>42005</v>
      </c>
      <c r="L847" s="26" t="str">
        <f>M847</f>
        <v>10375</v>
      </c>
      <c r="M847" s="26" t="str">
        <f>"10375"</f>
        <v>10375</v>
      </c>
      <c r="N847" s="28">
        <v>42005</v>
      </c>
      <c r="O847" s="26"/>
      <c r="P847" s="26"/>
      <c r="Q847" s="26"/>
      <c r="R847" s="26"/>
      <c r="S847" s="26"/>
      <c r="T847" s="27"/>
    </row>
    <row r="848" spans="1:20" s="7" customFormat="1" hidden="1" outlineLevel="3" x14ac:dyDescent="0.2">
      <c r="A848" s="7" t="s">
        <v>92</v>
      </c>
      <c r="C848" s="7" t="str">
        <f t="shared" si="126"/>
        <v>Mike</v>
      </c>
      <c r="D848" s="7" t="str">
        <f>+D847</f>
        <v>Tiano</v>
      </c>
      <c r="E848" s="8" t="str">
        <f>E847</f>
        <v>INST</v>
      </c>
      <c r="G848" s="8" t="str">
        <f>G847</f>
        <v>TIAN0001</v>
      </c>
      <c r="H848" s="26"/>
      <c r="I848" s="26"/>
      <c r="J848" s="26"/>
      <c r="K848" s="28">
        <f>+K847</f>
        <v>42005</v>
      </c>
      <c r="L848" s="26" t="str">
        <f>L847</f>
        <v>10375</v>
      </c>
      <c r="M848" s="26"/>
      <c r="N848" s="26"/>
      <c r="O848" s="26" t="str">
        <f>"""GP Direct"",""Fabrikam, Inc."",""UPR30300"",""PAYRATE"",""0.00000"",""PAYROLCD"",""401K"",""STATECD"","""",""CHEKDATE"",""1/1/2015"",""UPRTRXAM"",""1.83000"""</f>
        <v>"GP Direct","Fabrikam, Inc.","UPR30300","PAYRATE","0.00000","PAYROLCD","401K","STATECD","","CHEKDATE","1/1/2015","UPRTRXAM","1.83000"</v>
      </c>
      <c r="P848" s="29">
        <v>0</v>
      </c>
      <c r="Q848" s="26" t="str">
        <f>"401K"</f>
        <v>401K</v>
      </c>
      <c r="R848" s="26"/>
      <c r="S848" s="28">
        <v>42005</v>
      </c>
      <c r="T848" s="29">
        <v>1.83</v>
      </c>
    </row>
    <row r="849" spans="1:20" s="7" customFormat="1" hidden="1" outlineLevel="3" x14ac:dyDescent="0.2">
      <c r="A849" s="7" t="s">
        <v>92</v>
      </c>
      <c r="C849" s="7" t="str">
        <f t="shared" ref="C849:C853" si="127">+C848</f>
        <v>Mike</v>
      </c>
      <c r="D849" s="7" t="str">
        <f>+D848</f>
        <v>Tiano</v>
      </c>
      <c r="E849" s="8" t="str">
        <f>E848</f>
        <v>INST</v>
      </c>
      <c r="G849" s="8" t="str">
        <f>G848</f>
        <v>TIAN0001</v>
      </c>
      <c r="H849" s="26"/>
      <c r="I849" s="26"/>
      <c r="J849" s="26"/>
      <c r="K849" s="28">
        <f>+K848</f>
        <v>42005</v>
      </c>
      <c r="L849" s="26" t="str">
        <f>L848</f>
        <v>10375</v>
      </c>
      <c r="M849" s="26"/>
      <c r="N849" s="26"/>
      <c r="O849" s="26" t="str">
        <f>"""GP Direct"",""Fabrikam, Inc."",""UPR30300"",""PAYRATE"",""0.00000"",""PAYROLCD"",""401K"",""STATECD"","""",""CHEKDATE"",""1/1/2015"",""UPRTRXAM"",""36.66000"""</f>
        <v>"GP Direct","Fabrikam, Inc.","UPR30300","PAYRATE","0.00000","PAYROLCD","401K","STATECD","","CHEKDATE","1/1/2015","UPRTRXAM","36.66000"</v>
      </c>
      <c r="P849" s="29">
        <v>0</v>
      </c>
      <c r="Q849" s="26" t="str">
        <f>"401K"</f>
        <v>401K</v>
      </c>
      <c r="R849" s="26"/>
      <c r="S849" s="28">
        <v>42005</v>
      </c>
      <c r="T849" s="29">
        <v>36.659999999999997</v>
      </c>
    </row>
    <row r="850" spans="1:20" s="7" customFormat="1" hidden="1" outlineLevel="3" x14ac:dyDescent="0.2">
      <c r="A850" s="7" t="s">
        <v>92</v>
      </c>
      <c r="C850" s="7" t="str">
        <f t="shared" si="127"/>
        <v>Mike</v>
      </c>
      <c r="D850" s="7" t="str">
        <f>+D849</f>
        <v>Tiano</v>
      </c>
      <c r="E850" s="8" t="str">
        <f>E849</f>
        <v>INST</v>
      </c>
      <c r="G850" s="8" t="str">
        <f>G849</f>
        <v>TIAN0001</v>
      </c>
      <c r="H850" s="26"/>
      <c r="I850" s="26"/>
      <c r="J850" s="26"/>
      <c r="K850" s="28">
        <f>+K849</f>
        <v>42005</v>
      </c>
      <c r="L850" s="26" t="str">
        <f>L849</f>
        <v>10375</v>
      </c>
      <c r="M850" s="26"/>
      <c r="N850" s="26"/>
      <c r="O850" s="26" t="str">
        <f>"""GP Direct"",""Fabrikam, Inc."",""UPR30300"",""PAYRATE"",""0.00000"",""PAYROLCD"",""INS"",""STATECD"","""",""CHEKDATE"",""1/1/2015"",""UPRTRXAM"",""49.36000"""</f>
        <v>"GP Direct","Fabrikam, Inc.","UPR30300","PAYRATE","0.00000","PAYROLCD","INS","STATECD","","CHEKDATE","1/1/2015","UPRTRXAM","49.36000"</v>
      </c>
      <c r="P850" s="29">
        <v>0</v>
      </c>
      <c r="Q850" s="26" t="str">
        <f>"INS"</f>
        <v>INS</v>
      </c>
      <c r="R850" s="26"/>
      <c r="S850" s="28">
        <v>42005</v>
      </c>
      <c r="T850" s="29">
        <v>49.36</v>
      </c>
    </row>
    <row r="851" spans="1:20" s="7" customFormat="1" hidden="1" outlineLevel="3" x14ac:dyDescent="0.2">
      <c r="A851" s="7" t="s">
        <v>92</v>
      </c>
      <c r="C851" s="7" t="str">
        <f t="shared" si="127"/>
        <v>Mike</v>
      </c>
      <c r="D851" s="7" t="str">
        <f>+D850</f>
        <v>Tiano</v>
      </c>
      <c r="E851" s="8" t="str">
        <f>E850</f>
        <v>INST</v>
      </c>
      <c r="G851" s="8" t="str">
        <f>G850</f>
        <v>TIAN0001</v>
      </c>
      <c r="H851" s="26"/>
      <c r="I851" s="26"/>
      <c r="J851" s="26"/>
      <c r="K851" s="28">
        <f>+K850</f>
        <v>42005</v>
      </c>
      <c r="L851" s="26" t="str">
        <f>L850</f>
        <v>10375</v>
      </c>
      <c r="M851" s="26"/>
      <c r="N851" s="26"/>
      <c r="O851" s="26" t="str">
        <f>"""GP Direct"",""Fabrikam, Inc."",""UPR30300"",""PAYRATE"",""0.00000"",""PAYROLCD"",""MED"",""STATECD"","""",""CHEKDATE"",""1/1/2015"",""UPRTRXAM"",""5.00000"""</f>
        <v>"GP Direct","Fabrikam, Inc.","UPR30300","PAYRATE","0.00000","PAYROLCD","MED","STATECD","","CHEKDATE","1/1/2015","UPRTRXAM","5.00000"</v>
      </c>
      <c r="P851" s="29">
        <v>0</v>
      </c>
      <c r="Q851" s="26" t="str">
        <f>"MED"</f>
        <v>MED</v>
      </c>
      <c r="R851" s="26"/>
      <c r="S851" s="28">
        <v>42005</v>
      </c>
      <c r="T851" s="29">
        <v>5</v>
      </c>
    </row>
    <row r="852" spans="1:20" s="7" customFormat="1" hidden="1" outlineLevel="3" x14ac:dyDescent="0.2">
      <c r="A852" s="7" t="s">
        <v>92</v>
      </c>
      <c r="C852" s="7" t="str">
        <f t="shared" si="127"/>
        <v>Mike</v>
      </c>
      <c r="D852" s="7" t="str">
        <f>+D851</f>
        <v>Tiano</v>
      </c>
      <c r="E852" s="8" t="str">
        <f>E851</f>
        <v>INST</v>
      </c>
      <c r="G852" s="8" t="str">
        <f>G851</f>
        <v>TIAN0001</v>
      </c>
      <c r="H852" s="26"/>
      <c r="I852" s="26"/>
      <c r="J852" s="26"/>
      <c r="K852" s="28">
        <f>+K851</f>
        <v>42005</v>
      </c>
      <c r="L852" s="26" t="str">
        <f>L851</f>
        <v>10375</v>
      </c>
      <c r="M852" s="26"/>
      <c r="N852" s="26"/>
      <c r="O852" s="26" t="str">
        <f>"""GP Direct"",""Fabrikam, Inc."",""UPR30300"",""PAYRATE"",""0.00000"",""PAYROLCD"",""MO"",""STATECD"","""",""CHEKDATE"",""1/1/2015"",""UPRTRXAM"",""27.00000"""</f>
        <v>"GP Direct","Fabrikam, Inc.","UPR30300","PAYRATE","0.00000","PAYROLCD","MO","STATECD","","CHEKDATE","1/1/2015","UPRTRXAM","27.00000"</v>
      </c>
      <c r="P852" s="29">
        <v>0</v>
      </c>
      <c r="Q852" s="26" t="str">
        <f>"MO"</f>
        <v>MO</v>
      </c>
      <c r="R852" s="26"/>
      <c r="S852" s="28">
        <v>42005</v>
      </c>
      <c r="T852" s="29">
        <v>27</v>
      </c>
    </row>
    <row r="853" spans="1:20" s="7" customFormat="1" hidden="1" outlineLevel="3" x14ac:dyDescent="0.2">
      <c r="A853" s="7" t="s">
        <v>92</v>
      </c>
      <c r="C853" s="7" t="str">
        <f t="shared" si="127"/>
        <v>Mike</v>
      </c>
      <c r="D853" s="7" t="str">
        <f>+D852</f>
        <v>Tiano</v>
      </c>
      <c r="E853" s="8" t="str">
        <f>E852</f>
        <v>INST</v>
      </c>
      <c r="G853" s="8" t="str">
        <f>G852</f>
        <v>TIAN0001</v>
      </c>
      <c r="H853" s="26"/>
      <c r="I853" s="26"/>
      <c r="J853" s="26"/>
      <c r="K853" s="28">
        <f>+K852</f>
        <v>42005</v>
      </c>
      <c r="L853" s="26" t="str">
        <f>L852</f>
        <v>10375</v>
      </c>
      <c r="M853" s="26"/>
      <c r="N853" s="26"/>
      <c r="O853" s="26" t="str">
        <f>"""GP Direct"",""Fabrikam, Inc."",""UPR30300"",""PAYRATE"",""14.10000"",""PAYROLCD"",""HOUR"",""STATECD"",""MO"",""CHEKDATE"",""1/1/2015"",""UPRTRXAM"",""1222.05000"""</f>
        <v>"GP Direct","Fabrikam, Inc.","UPR30300","PAYRATE","14.10000","PAYROLCD","HOUR","STATECD","MO","CHEKDATE","1/1/2015","UPRTRXAM","1222.05000"</v>
      </c>
      <c r="P853" s="29">
        <v>14.1</v>
      </c>
      <c r="Q853" s="26" t="str">
        <f>"HOUR"</f>
        <v>HOUR</v>
      </c>
      <c r="R853" s="26" t="str">
        <f>"MO"</f>
        <v>MO</v>
      </c>
      <c r="S853" s="28">
        <v>42005</v>
      </c>
      <c r="T853" s="29">
        <v>1222.05</v>
      </c>
    </row>
    <row r="854" spans="1:20" s="7" customFormat="1" hidden="1" outlineLevel="3" x14ac:dyDescent="0.2">
      <c r="A854" s="7" t="s">
        <v>92</v>
      </c>
      <c r="C854" s="7" t="str">
        <f>+C848</f>
        <v>Mike</v>
      </c>
      <c r="D854" s="7" t="str">
        <f>+D848</f>
        <v>Tiano</v>
      </c>
      <c r="E854" s="8" t="str">
        <f>E848</f>
        <v>INST</v>
      </c>
      <c r="G854" s="8" t="str">
        <f>G848</f>
        <v>TIAN0001</v>
      </c>
      <c r="K854" s="12">
        <f>+K848</f>
        <v>42005</v>
      </c>
      <c r="L854" s="8" t="str">
        <f>L848</f>
        <v>10375</v>
      </c>
      <c r="O854" s="8"/>
      <c r="T854" s="20"/>
    </row>
    <row r="855" spans="1:20" s="7" customFormat="1" hidden="1" outlineLevel="2" collapsed="1" x14ac:dyDescent="0.2">
      <c r="A855" s="7" t="s">
        <v>92</v>
      </c>
      <c r="C855" s="7" t="str">
        <f t="shared" si="126"/>
        <v>Mike</v>
      </c>
      <c r="D855" s="7" t="str">
        <f>+D854</f>
        <v>Tiano</v>
      </c>
      <c r="E855" s="8" t="str">
        <f>E854</f>
        <v>INST</v>
      </c>
      <c r="G855" s="8" t="str">
        <f>G854</f>
        <v>TIAN0001</v>
      </c>
      <c r="K855" s="12">
        <f>+K854</f>
        <v>42005</v>
      </c>
      <c r="L855" s="8" t="str">
        <f>L854</f>
        <v>10375</v>
      </c>
      <c r="M855" s="33" t="str">
        <f>"Total for " &amp; $L855</f>
        <v>Total for 10375</v>
      </c>
      <c r="N855" s="34">
        <f>+K855</f>
        <v>42005</v>
      </c>
      <c r="O855" s="35"/>
      <c r="P855" s="33"/>
      <c r="Q855" s="33"/>
      <c r="R855" s="33"/>
      <c r="S855" s="33"/>
      <c r="T855" s="36">
        <f>SUBTOTAL(9,T848:T854)</f>
        <v>1341.8999999999999</v>
      </c>
    </row>
    <row r="856" spans="1:20" s="7" customFormat="1" hidden="1" outlineLevel="3" x14ac:dyDescent="0.2">
      <c r="A856" s="7" t="s">
        <v>92</v>
      </c>
      <c r="C856" s="7" t="str">
        <f t="shared" ref="C856:C910" si="128">+C855</f>
        <v>Mike</v>
      </c>
      <c r="D856" s="7" t="str">
        <f>+D855</f>
        <v>Tiano</v>
      </c>
      <c r="E856" s="8" t="str">
        <f>E855</f>
        <v>INST</v>
      </c>
      <c r="G856" s="8" t="str">
        <f>G855</f>
        <v>TIAN0001</v>
      </c>
      <c r="H856" s="26"/>
      <c r="I856" s="26"/>
      <c r="J856" s="26"/>
      <c r="K856" s="28">
        <f>+N856</f>
        <v>42036</v>
      </c>
      <c r="L856" s="26" t="str">
        <f>M856</f>
        <v>10400</v>
      </c>
      <c r="M856" s="26" t="str">
        <f>"10400"</f>
        <v>10400</v>
      </c>
      <c r="N856" s="28">
        <v>42036</v>
      </c>
      <c r="O856" s="26"/>
      <c r="P856" s="26"/>
      <c r="Q856" s="26"/>
      <c r="R856" s="26"/>
      <c r="S856" s="26"/>
      <c r="T856" s="27"/>
    </row>
    <row r="857" spans="1:20" s="7" customFormat="1" hidden="1" outlineLevel="3" x14ac:dyDescent="0.2">
      <c r="A857" s="7" t="s">
        <v>92</v>
      </c>
      <c r="C857" s="7" t="str">
        <f t="shared" si="128"/>
        <v>Mike</v>
      </c>
      <c r="D857" s="7" t="str">
        <f>+D856</f>
        <v>Tiano</v>
      </c>
      <c r="E857" s="8" t="str">
        <f>E856</f>
        <v>INST</v>
      </c>
      <c r="G857" s="8" t="str">
        <f>G856</f>
        <v>TIAN0001</v>
      </c>
      <c r="H857" s="26"/>
      <c r="I857" s="26"/>
      <c r="J857" s="26"/>
      <c r="K857" s="28">
        <f>+K856</f>
        <v>42036</v>
      </c>
      <c r="L857" s="26" t="str">
        <f>L856</f>
        <v>10400</v>
      </c>
      <c r="M857" s="26"/>
      <c r="N857" s="26"/>
      <c r="O857" s="26" t="str">
        <f>"""GP Direct"",""Fabrikam, Inc."",""UPR30300"",""PAYRATE"",""0.00000"",""PAYROLCD"",""401K"",""STATECD"","""",""CHEKDATE"",""2/1/2015"",""UPRTRXAM"",""1.83000"""</f>
        <v>"GP Direct","Fabrikam, Inc.","UPR30300","PAYRATE","0.00000","PAYROLCD","401K","STATECD","","CHEKDATE","2/1/2015","UPRTRXAM","1.83000"</v>
      </c>
      <c r="P857" s="29">
        <v>0</v>
      </c>
      <c r="Q857" s="26" t="str">
        <f>"401K"</f>
        <v>401K</v>
      </c>
      <c r="R857" s="26"/>
      <c r="S857" s="28">
        <v>42036</v>
      </c>
      <c r="T857" s="29">
        <v>1.83</v>
      </c>
    </row>
    <row r="858" spans="1:20" s="7" customFormat="1" hidden="1" outlineLevel="3" x14ac:dyDescent="0.2">
      <c r="A858" s="7" t="s">
        <v>92</v>
      </c>
      <c r="C858" s="7" t="str">
        <f t="shared" ref="C858:C862" si="129">+C857</f>
        <v>Mike</v>
      </c>
      <c r="D858" s="7" t="str">
        <f>+D857</f>
        <v>Tiano</v>
      </c>
      <c r="E858" s="8" t="str">
        <f>E857</f>
        <v>INST</v>
      </c>
      <c r="G858" s="8" t="str">
        <f>G857</f>
        <v>TIAN0001</v>
      </c>
      <c r="H858" s="26"/>
      <c r="I858" s="26"/>
      <c r="J858" s="26"/>
      <c r="K858" s="28">
        <f>+K857</f>
        <v>42036</v>
      </c>
      <c r="L858" s="26" t="str">
        <f>L857</f>
        <v>10400</v>
      </c>
      <c r="M858" s="26"/>
      <c r="N858" s="26"/>
      <c r="O858" s="26" t="str">
        <f>"""GP Direct"",""Fabrikam, Inc."",""UPR30300"",""PAYRATE"",""0.00000"",""PAYROLCD"",""401K"",""STATECD"","""",""CHEKDATE"",""2/1/2015"",""UPRTRXAM"",""36.66000"""</f>
        <v>"GP Direct","Fabrikam, Inc.","UPR30300","PAYRATE","0.00000","PAYROLCD","401K","STATECD","","CHEKDATE","2/1/2015","UPRTRXAM","36.66000"</v>
      </c>
      <c r="P858" s="29">
        <v>0</v>
      </c>
      <c r="Q858" s="26" t="str">
        <f>"401K"</f>
        <v>401K</v>
      </c>
      <c r="R858" s="26"/>
      <c r="S858" s="28">
        <v>42036</v>
      </c>
      <c r="T858" s="29">
        <v>36.659999999999997</v>
      </c>
    </row>
    <row r="859" spans="1:20" s="7" customFormat="1" hidden="1" outlineLevel="3" x14ac:dyDescent="0.2">
      <c r="A859" s="7" t="s">
        <v>92</v>
      </c>
      <c r="C859" s="7" t="str">
        <f t="shared" si="129"/>
        <v>Mike</v>
      </c>
      <c r="D859" s="7" t="str">
        <f>+D858</f>
        <v>Tiano</v>
      </c>
      <c r="E859" s="8" t="str">
        <f>E858</f>
        <v>INST</v>
      </c>
      <c r="G859" s="8" t="str">
        <f>G858</f>
        <v>TIAN0001</v>
      </c>
      <c r="H859" s="26"/>
      <c r="I859" s="26"/>
      <c r="J859" s="26"/>
      <c r="K859" s="28">
        <f>+K858</f>
        <v>42036</v>
      </c>
      <c r="L859" s="26" t="str">
        <f>L858</f>
        <v>10400</v>
      </c>
      <c r="M859" s="26"/>
      <c r="N859" s="26"/>
      <c r="O859" s="26" t="str">
        <f>"""GP Direct"",""Fabrikam, Inc."",""UPR30300"",""PAYRATE"",""0.00000"",""PAYROLCD"",""INS"",""STATECD"","""",""CHEKDATE"",""2/1/2015"",""UPRTRXAM"",""49.36000"""</f>
        <v>"GP Direct","Fabrikam, Inc.","UPR30300","PAYRATE","0.00000","PAYROLCD","INS","STATECD","","CHEKDATE","2/1/2015","UPRTRXAM","49.36000"</v>
      </c>
      <c r="P859" s="29">
        <v>0</v>
      </c>
      <c r="Q859" s="26" t="str">
        <f>"INS"</f>
        <v>INS</v>
      </c>
      <c r="R859" s="26"/>
      <c r="S859" s="28">
        <v>42036</v>
      </c>
      <c r="T859" s="29">
        <v>49.36</v>
      </c>
    </row>
    <row r="860" spans="1:20" s="7" customFormat="1" hidden="1" outlineLevel="3" x14ac:dyDescent="0.2">
      <c r="A860" s="7" t="s">
        <v>92</v>
      </c>
      <c r="C860" s="7" t="str">
        <f t="shared" si="129"/>
        <v>Mike</v>
      </c>
      <c r="D860" s="7" t="str">
        <f>+D859</f>
        <v>Tiano</v>
      </c>
      <c r="E860" s="8" t="str">
        <f>E859</f>
        <v>INST</v>
      </c>
      <c r="G860" s="8" t="str">
        <f>G859</f>
        <v>TIAN0001</v>
      </c>
      <c r="H860" s="26"/>
      <c r="I860" s="26"/>
      <c r="J860" s="26"/>
      <c r="K860" s="28">
        <f>+K859</f>
        <v>42036</v>
      </c>
      <c r="L860" s="26" t="str">
        <f>L859</f>
        <v>10400</v>
      </c>
      <c r="M860" s="26"/>
      <c r="N860" s="26"/>
      <c r="O860" s="26" t="str">
        <f>"""GP Direct"",""Fabrikam, Inc."",""UPR30300"",""PAYRATE"",""0.00000"",""PAYROLCD"",""MED"",""STATECD"","""",""CHEKDATE"",""2/1/2015"",""UPRTRXAM"",""5.00000"""</f>
        <v>"GP Direct","Fabrikam, Inc.","UPR30300","PAYRATE","0.00000","PAYROLCD","MED","STATECD","","CHEKDATE","2/1/2015","UPRTRXAM","5.00000"</v>
      </c>
      <c r="P860" s="29">
        <v>0</v>
      </c>
      <c r="Q860" s="26" t="str">
        <f>"MED"</f>
        <v>MED</v>
      </c>
      <c r="R860" s="26"/>
      <c r="S860" s="28">
        <v>42036</v>
      </c>
      <c r="T860" s="29">
        <v>5</v>
      </c>
    </row>
    <row r="861" spans="1:20" s="7" customFormat="1" hidden="1" outlineLevel="3" x14ac:dyDescent="0.2">
      <c r="A861" s="7" t="s">
        <v>92</v>
      </c>
      <c r="C861" s="7" t="str">
        <f t="shared" si="129"/>
        <v>Mike</v>
      </c>
      <c r="D861" s="7" t="str">
        <f>+D860</f>
        <v>Tiano</v>
      </c>
      <c r="E861" s="8" t="str">
        <f>E860</f>
        <v>INST</v>
      </c>
      <c r="G861" s="8" t="str">
        <f>G860</f>
        <v>TIAN0001</v>
      </c>
      <c r="H861" s="26"/>
      <c r="I861" s="26"/>
      <c r="J861" s="26"/>
      <c r="K861" s="28">
        <f>+K860</f>
        <v>42036</v>
      </c>
      <c r="L861" s="26" t="str">
        <f>L860</f>
        <v>10400</v>
      </c>
      <c r="M861" s="26"/>
      <c r="N861" s="26"/>
      <c r="O861" s="26" t="str">
        <f>"""GP Direct"",""Fabrikam, Inc."",""UPR30300"",""PAYRATE"",""0.00000"",""PAYROLCD"",""MO"",""STATECD"","""",""CHEKDATE"",""2/1/2015"",""UPRTRXAM"",""27.00000"""</f>
        <v>"GP Direct","Fabrikam, Inc.","UPR30300","PAYRATE","0.00000","PAYROLCD","MO","STATECD","","CHEKDATE","2/1/2015","UPRTRXAM","27.00000"</v>
      </c>
      <c r="P861" s="29">
        <v>0</v>
      </c>
      <c r="Q861" s="26" t="str">
        <f>"MO"</f>
        <v>MO</v>
      </c>
      <c r="R861" s="26"/>
      <c r="S861" s="28">
        <v>42036</v>
      </c>
      <c r="T861" s="29">
        <v>27</v>
      </c>
    </row>
    <row r="862" spans="1:20" s="7" customFormat="1" hidden="1" outlineLevel="3" x14ac:dyDescent="0.2">
      <c r="A862" s="7" t="s">
        <v>92</v>
      </c>
      <c r="C862" s="7" t="str">
        <f t="shared" si="129"/>
        <v>Mike</v>
      </c>
      <c r="D862" s="7" t="str">
        <f>+D861</f>
        <v>Tiano</v>
      </c>
      <c r="E862" s="8" t="str">
        <f>E861</f>
        <v>INST</v>
      </c>
      <c r="G862" s="8" t="str">
        <f>G861</f>
        <v>TIAN0001</v>
      </c>
      <c r="H862" s="26"/>
      <c r="I862" s="26"/>
      <c r="J862" s="26"/>
      <c r="K862" s="28">
        <f>+K861</f>
        <v>42036</v>
      </c>
      <c r="L862" s="26" t="str">
        <f>L861</f>
        <v>10400</v>
      </c>
      <c r="M862" s="26"/>
      <c r="N862" s="26"/>
      <c r="O862" s="26" t="str">
        <f>"""GP Direct"",""Fabrikam, Inc."",""UPR30300"",""PAYRATE"",""14.10000"",""PAYROLCD"",""HOUR"",""STATECD"",""MO"",""CHEKDATE"",""2/1/2015"",""UPRTRXAM"",""1222.05000"""</f>
        <v>"GP Direct","Fabrikam, Inc.","UPR30300","PAYRATE","14.10000","PAYROLCD","HOUR","STATECD","MO","CHEKDATE","2/1/2015","UPRTRXAM","1222.05000"</v>
      </c>
      <c r="P862" s="29">
        <v>14.1</v>
      </c>
      <c r="Q862" s="26" t="str">
        <f>"HOUR"</f>
        <v>HOUR</v>
      </c>
      <c r="R862" s="26" t="str">
        <f>"MO"</f>
        <v>MO</v>
      </c>
      <c r="S862" s="28">
        <v>42036</v>
      </c>
      <c r="T862" s="29">
        <v>1222.05</v>
      </c>
    </row>
    <row r="863" spans="1:20" s="7" customFormat="1" hidden="1" outlineLevel="3" x14ac:dyDescent="0.2">
      <c r="A863" s="7" t="s">
        <v>92</v>
      </c>
      <c r="C863" s="7" t="str">
        <f>+C857</f>
        <v>Mike</v>
      </c>
      <c r="D863" s="7" t="str">
        <f>+D857</f>
        <v>Tiano</v>
      </c>
      <c r="E863" s="8" t="str">
        <f>E857</f>
        <v>INST</v>
      </c>
      <c r="G863" s="8" t="str">
        <f>G857</f>
        <v>TIAN0001</v>
      </c>
      <c r="K863" s="12">
        <f>+K857</f>
        <v>42036</v>
      </c>
      <c r="L863" s="8" t="str">
        <f>L857</f>
        <v>10400</v>
      </c>
      <c r="O863" s="8"/>
      <c r="T863" s="20"/>
    </row>
    <row r="864" spans="1:20" s="7" customFormat="1" hidden="1" outlineLevel="2" collapsed="1" x14ac:dyDescent="0.2">
      <c r="A864" s="7" t="s">
        <v>92</v>
      </c>
      <c r="C864" s="7" t="str">
        <f t="shared" si="128"/>
        <v>Mike</v>
      </c>
      <c r="D864" s="7" t="str">
        <f>+D863</f>
        <v>Tiano</v>
      </c>
      <c r="E864" s="8" t="str">
        <f>E863</f>
        <v>INST</v>
      </c>
      <c r="G864" s="8" t="str">
        <f>G863</f>
        <v>TIAN0001</v>
      </c>
      <c r="K864" s="12">
        <f>+K863</f>
        <v>42036</v>
      </c>
      <c r="L864" s="8" t="str">
        <f>L863</f>
        <v>10400</v>
      </c>
      <c r="M864" s="33" t="str">
        <f>"Total for " &amp; $L864</f>
        <v>Total for 10400</v>
      </c>
      <c r="N864" s="34">
        <f>+K864</f>
        <v>42036</v>
      </c>
      <c r="O864" s="35"/>
      <c r="P864" s="33"/>
      <c r="Q864" s="33"/>
      <c r="R864" s="33"/>
      <c r="S864" s="33"/>
      <c r="T864" s="36">
        <f>SUBTOTAL(9,T857:T863)</f>
        <v>1341.8999999999999</v>
      </c>
    </row>
    <row r="865" spans="1:20" s="7" customFormat="1" hidden="1" outlineLevel="3" x14ac:dyDescent="0.2">
      <c r="A865" s="7" t="s">
        <v>92</v>
      </c>
      <c r="C865" s="7" t="str">
        <f t="shared" si="128"/>
        <v>Mike</v>
      </c>
      <c r="D865" s="7" t="str">
        <f>+D864</f>
        <v>Tiano</v>
      </c>
      <c r="E865" s="8" t="str">
        <f>E864</f>
        <v>INST</v>
      </c>
      <c r="G865" s="8" t="str">
        <f>G864</f>
        <v>TIAN0001</v>
      </c>
      <c r="H865" s="26"/>
      <c r="I865" s="26"/>
      <c r="J865" s="26"/>
      <c r="K865" s="28">
        <f>+N865</f>
        <v>42064</v>
      </c>
      <c r="L865" s="26" t="str">
        <f>M865</f>
        <v>10425</v>
      </c>
      <c r="M865" s="26" t="str">
        <f>"10425"</f>
        <v>10425</v>
      </c>
      <c r="N865" s="28">
        <v>42064</v>
      </c>
      <c r="O865" s="26"/>
      <c r="P865" s="26"/>
      <c r="Q865" s="26"/>
      <c r="R865" s="26"/>
      <c r="S865" s="26"/>
      <c r="T865" s="27"/>
    </row>
    <row r="866" spans="1:20" s="7" customFormat="1" hidden="1" outlineLevel="3" x14ac:dyDescent="0.2">
      <c r="A866" s="7" t="s">
        <v>92</v>
      </c>
      <c r="C866" s="7" t="str">
        <f t="shared" si="128"/>
        <v>Mike</v>
      </c>
      <c r="D866" s="7" t="str">
        <f>+D865</f>
        <v>Tiano</v>
      </c>
      <c r="E866" s="8" t="str">
        <f>E865</f>
        <v>INST</v>
      </c>
      <c r="G866" s="8" t="str">
        <f>G865</f>
        <v>TIAN0001</v>
      </c>
      <c r="H866" s="26"/>
      <c r="I866" s="26"/>
      <c r="J866" s="26"/>
      <c r="K866" s="28">
        <f>+K865</f>
        <v>42064</v>
      </c>
      <c r="L866" s="26" t="str">
        <f>L865</f>
        <v>10425</v>
      </c>
      <c r="M866" s="26"/>
      <c r="N866" s="26"/>
      <c r="O866" s="26" t="str">
        <f>"""GP Direct"",""Fabrikam, Inc."",""UPR30300"",""PAYRATE"",""0.00000"",""PAYROLCD"",""401K"",""STATECD"","""",""CHEKDATE"",""3/1/2015"",""UPRTRXAM"",""1.83000"""</f>
        <v>"GP Direct","Fabrikam, Inc.","UPR30300","PAYRATE","0.00000","PAYROLCD","401K","STATECD","","CHEKDATE","3/1/2015","UPRTRXAM","1.83000"</v>
      </c>
      <c r="P866" s="29">
        <v>0</v>
      </c>
      <c r="Q866" s="26" t="str">
        <f>"401K"</f>
        <v>401K</v>
      </c>
      <c r="R866" s="26"/>
      <c r="S866" s="28">
        <v>42064</v>
      </c>
      <c r="T866" s="29">
        <v>1.83</v>
      </c>
    </row>
    <row r="867" spans="1:20" s="7" customFormat="1" hidden="1" outlineLevel="3" x14ac:dyDescent="0.2">
      <c r="A867" s="7" t="s">
        <v>92</v>
      </c>
      <c r="C867" s="7" t="str">
        <f t="shared" ref="C867:C871" si="130">+C866</f>
        <v>Mike</v>
      </c>
      <c r="D867" s="7" t="str">
        <f>+D866</f>
        <v>Tiano</v>
      </c>
      <c r="E867" s="8" t="str">
        <f>E866</f>
        <v>INST</v>
      </c>
      <c r="G867" s="8" t="str">
        <f>G866</f>
        <v>TIAN0001</v>
      </c>
      <c r="H867" s="26"/>
      <c r="I867" s="26"/>
      <c r="J867" s="26"/>
      <c r="K867" s="28">
        <f>+K866</f>
        <v>42064</v>
      </c>
      <c r="L867" s="26" t="str">
        <f>L866</f>
        <v>10425</v>
      </c>
      <c r="M867" s="26"/>
      <c r="N867" s="26"/>
      <c r="O867" s="26" t="str">
        <f>"""GP Direct"",""Fabrikam, Inc."",""UPR30300"",""PAYRATE"",""0.00000"",""PAYROLCD"",""401K"",""STATECD"","""",""CHEKDATE"",""3/1/2015"",""UPRTRXAM"",""36.66000"""</f>
        <v>"GP Direct","Fabrikam, Inc.","UPR30300","PAYRATE","0.00000","PAYROLCD","401K","STATECD","","CHEKDATE","3/1/2015","UPRTRXAM","36.66000"</v>
      </c>
      <c r="P867" s="29">
        <v>0</v>
      </c>
      <c r="Q867" s="26" t="str">
        <f>"401K"</f>
        <v>401K</v>
      </c>
      <c r="R867" s="26"/>
      <c r="S867" s="28">
        <v>42064</v>
      </c>
      <c r="T867" s="29">
        <v>36.659999999999997</v>
      </c>
    </row>
    <row r="868" spans="1:20" s="7" customFormat="1" hidden="1" outlineLevel="3" x14ac:dyDescent="0.2">
      <c r="A868" s="7" t="s">
        <v>92</v>
      </c>
      <c r="C868" s="7" t="str">
        <f t="shared" si="130"/>
        <v>Mike</v>
      </c>
      <c r="D868" s="7" t="str">
        <f>+D867</f>
        <v>Tiano</v>
      </c>
      <c r="E868" s="8" t="str">
        <f>E867</f>
        <v>INST</v>
      </c>
      <c r="G868" s="8" t="str">
        <f>G867</f>
        <v>TIAN0001</v>
      </c>
      <c r="H868" s="26"/>
      <c r="I868" s="26"/>
      <c r="J868" s="26"/>
      <c r="K868" s="28">
        <f>+K867</f>
        <v>42064</v>
      </c>
      <c r="L868" s="26" t="str">
        <f>L867</f>
        <v>10425</v>
      </c>
      <c r="M868" s="26"/>
      <c r="N868" s="26"/>
      <c r="O868" s="26" t="str">
        <f>"""GP Direct"",""Fabrikam, Inc."",""UPR30300"",""PAYRATE"",""0.00000"",""PAYROLCD"",""INS"",""STATECD"","""",""CHEKDATE"",""3/1/2015"",""UPRTRXAM"",""49.36000"""</f>
        <v>"GP Direct","Fabrikam, Inc.","UPR30300","PAYRATE","0.00000","PAYROLCD","INS","STATECD","","CHEKDATE","3/1/2015","UPRTRXAM","49.36000"</v>
      </c>
      <c r="P868" s="29">
        <v>0</v>
      </c>
      <c r="Q868" s="26" t="str">
        <f>"INS"</f>
        <v>INS</v>
      </c>
      <c r="R868" s="26"/>
      <c r="S868" s="28">
        <v>42064</v>
      </c>
      <c r="T868" s="29">
        <v>49.36</v>
      </c>
    </row>
    <row r="869" spans="1:20" s="7" customFormat="1" hidden="1" outlineLevel="3" x14ac:dyDescent="0.2">
      <c r="A869" s="7" t="s">
        <v>92</v>
      </c>
      <c r="C869" s="7" t="str">
        <f t="shared" si="130"/>
        <v>Mike</v>
      </c>
      <c r="D869" s="7" t="str">
        <f>+D868</f>
        <v>Tiano</v>
      </c>
      <c r="E869" s="8" t="str">
        <f>E868</f>
        <v>INST</v>
      </c>
      <c r="G869" s="8" t="str">
        <f>G868</f>
        <v>TIAN0001</v>
      </c>
      <c r="H869" s="26"/>
      <c r="I869" s="26"/>
      <c r="J869" s="26"/>
      <c r="K869" s="28">
        <f>+K868</f>
        <v>42064</v>
      </c>
      <c r="L869" s="26" t="str">
        <f>L868</f>
        <v>10425</v>
      </c>
      <c r="M869" s="26"/>
      <c r="N869" s="26"/>
      <c r="O869" s="26" t="str">
        <f>"""GP Direct"",""Fabrikam, Inc."",""UPR30300"",""PAYRATE"",""0.00000"",""PAYROLCD"",""MED"",""STATECD"","""",""CHEKDATE"",""3/1/2015"",""UPRTRXAM"",""5.00000"""</f>
        <v>"GP Direct","Fabrikam, Inc.","UPR30300","PAYRATE","0.00000","PAYROLCD","MED","STATECD","","CHEKDATE","3/1/2015","UPRTRXAM","5.00000"</v>
      </c>
      <c r="P869" s="29">
        <v>0</v>
      </c>
      <c r="Q869" s="26" t="str">
        <f>"MED"</f>
        <v>MED</v>
      </c>
      <c r="R869" s="26"/>
      <c r="S869" s="28">
        <v>42064</v>
      </c>
      <c r="T869" s="29">
        <v>5</v>
      </c>
    </row>
    <row r="870" spans="1:20" s="7" customFormat="1" hidden="1" outlineLevel="3" x14ac:dyDescent="0.2">
      <c r="A870" s="7" t="s">
        <v>92</v>
      </c>
      <c r="C870" s="7" t="str">
        <f t="shared" si="130"/>
        <v>Mike</v>
      </c>
      <c r="D870" s="7" t="str">
        <f>+D869</f>
        <v>Tiano</v>
      </c>
      <c r="E870" s="8" t="str">
        <f>E869</f>
        <v>INST</v>
      </c>
      <c r="G870" s="8" t="str">
        <f>G869</f>
        <v>TIAN0001</v>
      </c>
      <c r="H870" s="26"/>
      <c r="I870" s="26"/>
      <c r="J870" s="26"/>
      <c r="K870" s="28">
        <f>+K869</f>
        <v>42064</v>
      </c>
      <c r="L870" s="26" t="str">
        <f>L869</f>
        <v>10425</v>
      </c>
      <c r="M870" s="26"/>
      <c r="N870" s="26"/>
      <c r="O870" s="26" t="str">
        <f>"""GP Direct"",""Fabrikam, Inc."",""UPR30300"",""PAYRATE"",""0.00000"",""PAYROLCD"",""MO"",""STATECD"","""",""CHEKDATE"",""3/1/2015"",""UPRTRXAM"",""27.00000"""</f>
        <v>"GP Direct","Fabrikam, Inc.","UPR30300","PAYRATE","0.00000","PAYROLCD","MO","STATECD","","CHEKDATE","3/1/2015","UPRTRXAM","27.00000"</v>
      </c>
      <c r="P870" s="29">
        <v>0</v>
      </c>
      <c r="Q870" s="26" t="str">
        <f>"MO"</f>
        <v>MO</v>
      </c>
      <c r="R870" s="26"/>
      <c r="S870" s="28">
        <v>42064</v>
      </c>
      <c r="T870" s="29">
        <v>27</v>
      </c>
    </row>
    <row r="871" spans="1:20" s="7" customFormat="1" hidden="1" outlineLevel="3" x14ac:dyDescent="0.2">
      <c r="A871" s="7" t="s">
        <v>92</v>
      </c>
      <c r="C871" s="7" t="str">
        <f t="shared" si="130"/>
        <v>Mike</v>
      </c>
      <c r="D871" s="7" t="str">
        <f>+D870</f>
        <v>Tiano</v>
      </c>
      <c r="E871" s="8" t="str">
        <f>E870</f>
        <v>INST</v>
      </c>
      <c r="G871" s="8" t="str">
        <f>G870</f>
        <v>TIAN0001</v>
      </c>
      <c r="H871" s="26"/>
      <c r="I871" s="26"/>
      <c r="J871" s="26"/>
      <c r="K871" s="28">
        <f>+K870</f>
        <v>42064</v>
      </c>
      <c r="L871" s="26" t="str">
        <f>L870</f>
        <v>10425</v>
      </c>
      <c r="M871" s="26"/>
      <c r="N871" s="26"/>
      <c r="O871" s="26" t="str">
        <f>"""GP Direct"",""Fabrikam, Inc."",""UPR30300"",""PAYRATE"",""14.10000"",""PAYROLCD"",""HOUR"",""STATECD"",""MO"",""CHEKDATE"",""3/1/2015"",""UPRTRXAM"",""1222.05000"""</f>
        <v>"GP Direct","Fabrikam, Inc.","UPR30300","PAYRATE","14.10000","PAYROLCD","HOUR","STATECD","MO","CHEKDATE","3/1/2015","UPRTRXAM","1222.05000"</v>
      </c>
      <c r="P871" s="29">
        <v>14.1</v>
      </c>
      <c r="Q871" s="26" t="str">
        <f>"HOUR"</f>
        <v>HOUR</v>
      </c>
      <c r="R871" s="26" t="str">
        <f>"MO"</f>
        <v>MO</v>
      </c>
      <c r="S871" s="28">
        <v>42064</v>
      </c>
      <c r="T871" s="29">
        <v>1222.05</v>
      </c>
    </row>
    <row r="872" spans="1:20" s="7" customFormat="1" hidden="1" outlineLevel="3" x14ac:dyDescent="0.2">
      <c r="A872" s="7" t="s">
        <v>92</v>
      </c>
      <c r="C872" s="7" t="str">
        <f>+C866</f>
        <v>Mike</v>
      </c>
      <c r="D872" s="7" t="str">
        <f>+D866</f>
        <v>Tiano</v>
      </c>
      <c r="E872" s="8" t="str">
        <f>E866</f>
        <v>INST</v>
      </c>
      <c r="G872" s="8" t="str">
        <f>G866</f>
        <v>TIAN0001</v>
      </c>
      <c r="K872" s="12">
        <f>+K866</f>
        <v>42064</v>
      </c>
      <c r="L872" s="8" t="str">
        <f>L866</f>
        <v>10425</v>
      </c>
      <c r="O872" s="8"/>
      <c r="T872" s="20"/>
    </row>
    <row r="873" spans="1:20" s="7" customFormat="1" hidden="1" outlineLevel="2" collapsed="1" x14ac:dyDescent="0.2">
      <c r="A873" s="7" t="s">
        <v>92</v>
      </c>
      <c r="C873" s="7" t="str">
        <f t="shared" si="128"/>
        <v>Mike</v>
      </c>
      <c r="D873" s="7" t="str">
        <f>+D872</f>
        <v>Tiano</v>
      </c>
      <c r="E873" s="8" t="str">
        <f>E872</f>
        <v>INST</v>
      </c>
      <c r="G873" s="8" t="str">
        <f>G872</f>
        <v>TIAN0001</v>
      </c>
      <c r="K873" s="12">
        <f>+K872</f>
        <v>42064</v>
      </c>
      <c r="L873" s="8" t="str">
        <f>L872</f>
        <v>10425</v>
      </c>
      <c r="M873" s="33" t="str">
        <f>"Total for " &amp; $L873</f>
        <v>Total for 10425</v>
      </c>
      <c r="N873" s="34">
        <f>+K873</f>
        <v>42064</v>
      </c>
      <c r="O873" s="35"/>
      <c r="P873" s="33"/>
      <c r="Q873" s="33"/>
      <c r="R873" s="33"/>
      <c r="S873" s="33"/>
      <c r="T873" s="36">
        <f>SUBTOTAL(9,T866:T872)</f>
        <v>1341.8999999999999</v>
      </c>
    </row>
    <row r="874" spans="1:20" s="7" customFormat="1" hidden="1" outlineLevel="3" x14ac:dyDescent="0.2">
      <c r="A874" s="7" t="s">
        <v>92</v>
      </c>
      <c r="C874" s="7" t="str">
        <f t="shared" si="128"/>
        <v>Mike</v>
      </c>
      <c r="D874" s="7" t="str">
        <f>+D873</f>
        <v>Tiano</v>
      </c>
      <c r="E874" s="8" t="str">
        <f>E873</f>
        <v>INST</v>
      </c>
      <c r="G874" s="8" t="str">
        <f>G873</f>
        <v>TIAN0001</v>
      </c>
      <c r="H874" s="26"/>
      <c r="I874" s="26"/>
      <c r="J874" s="26"/>
      <c r="K874" s="28">
        <f>+N874</f>
        <v>42095</v>
      </c>
      <c r="L874" s="26" t="str">
        <f>M874</f>
        <v>10450</v>
      </c>
      <c r="M874" s="26" t="str">
        <f>"10450"</f>
        <v>10450</v>
      </c>
      <c r="N874" s="28">
        <v>42095</v>
      </c>
      <c r="O874" s="26"/>
      <c r="P874" s="26"/>
      <c r="Q874" s="26"/>
      <c r="R874" s="26"/>
      <c r="S874" s="26"/>
      <c r="T874" s="27"/>
    </row>
    <row r="875" spans="1:20" s="7" customFormat="1" hidden="1" outlineLevel="3" x14ac:dyDescent="0.2">
      <c r="A875" s="7" t="s">
        <v>92</v>
      </c>
      <c r="C875" s="7" t="str">
        <f t="shared" si="128"/>
        <v>Mike</v>
      </c>
      <c r="D875" s="7" t="str">
        <f>+D874</f>
        <v>Tiano</v>
      </c>
      <c r="E875" s="8" t="str">
        <f>E874</f>
        <v>INST</v>
      </c>
      <c r="G875" s="8" t="str">
        <f>G874</f>
        <v>TIAN0001</v>
      </c>
      <c r="H875" s="26"/>
      <c r="I875" s="26"/>
      <c r="J875" s="26"/>
      <c r="K875" s="28">
        <f>+K874</f>
        <v>42095</v>
      </c>
      <c r="L875" s="26" t="str">
        <f>L874</f>
        <v>10450</v>
      </c>
      <c r="M875" s="26"/>
      <c r="N875" s="26"/>
      <c r="O875" s="26" t="str">
        <f>"""GP Direct"",""Fabrikam, Inc."",""UPR30300"",""PAYRATE"",""0.00000"",""PAYROLCD"",""401K"",""STATECD"","""",""CHEKDATE"",""4/1/2015"",""UPRTRXAM"",""1.83000"""</f>
        <v>"GP Direct","Fabrikam, Inc.","UPR30300","PAYRATE","0.00000","PAYROLCD","401K","STATECD","","CHEKDATE","4/1/2015","UPRTRXAM","1.83000"</v>
      </c>
      <c r="P875" s="29">
        <v>0</v>
      </c>
      <c r="Q875" s="26" t="str">
        <f>"401K"</f>
        <v>401K</v>
      </c>
      <c r="R875" s="26"/>
      <c r="S875" s="28">
        <v>42095</v>
      </c>
      <c r="T875" s="29">
        <v>1.83</v>
      </c>
    </row>
    <row r="876" spans="1:20" s="7" customFormat="1" hidden="1" outlineLevel="3" x14ac:dyDescent="0.2">
      <c r="A876" s="7" t="s">
        <v>92</v>
      </c>
      <c r="C876" s="7" t="str">
        <f t="shared" ref="C876:C880" si="131">+C875</f>
        <v>Mike</v>
      </c>
      <c r="D876" s="7" t="str">
        <f>+D875</f>
        <v>Tiano</v>
      </c>
      <c r="E876" s="8" t="str">
        <f>E875</f>
        <v>INST</v>
      </c>
      <c r="G876" s="8" t="str">
        <f>G875</f>
        <v>TIAN0001</v>
      </c>
      <c r="H876" s="26"/>
      <c r="I876" s="26"/>
      <c r="J876" s="26"/>
      <c r="K876" s="28">
        <f>+K875</f>
        <v>42095</v>
      </c>
      <c r="L876" s="26" t="str">
        <f>L875</f>
        <v>10450</v>
      </c>
      <c r="M876" s="26"/>
      <c r="N876" s="26"/>
      <c r="O876" s="26" t="str">
        <f>"""GP Direct"",""Fabrikam, Inc."",""UPR30300"",""PAYRATE"",""0.00000"",""PAYROLCD"",""401K"",""STATECD"","""",""CHEKDATE"",""4/1/2015"",""UPRTRXAM"",""36.66000"""</f>
        <v>"GP Direct","Fabrikam, Inc.","UPR30300","PAYRATE","0.00000","PAYROLCD","401K","STATECD","","CHEKDATE","4/1/2015","UPRTRXAM","36.66000"</v>
      </c>
      <c r="P876" s="29">
        <v>0</v>
      </c>
      <c r="Q876" s="26" t="str">
        <f>"401K"</f>
        <v>401K</v>
      </c>
      <c r="R876" s="26"/>
      <c r="S876" s="28">
        <v>42095</v>
      </c>
      <c r="T876" s="29">
        <v>36.659999999999997</v>
      </c>
    </row>
    <row r="877" spans="1:20" s="7" customFormat="1" hidden="1" outlineLevel="3" x14ac:dyDescent="0.2">
      <c r="A877" s="7" t="s">
        <v>92</v>
      </c>
      <c r="C877" s="7" t="str">
        <f t="shared" si="131"/>
        <v>Mike</v>
      </c>
      <c r="D877" s="7" t="str">
        <f>+D876</f>
        <v>Tiano</v>
      </c>
      <c r="E877" s="8" t="str">
        <f>E876</f>
        <v>INST</v>
      </c>
      <c r="G877" s="8" t="str">
        <f>G876</f>
        <v>TIAN0001</v>
      </c>
      <c r="H877" s="26"/>
      <c r="I877" s="26"/>
      <c r="J877" s="26"/>
      <c r="K877" s="28">
        <f>+K876</f>
        <v>42095</v>
      </c>
      <c r="L877" s="26" t="str">
        <f>L876</f>
        <v>10450</v>
      </c>
      <c r="M877" s="26"/>
      <c r="N877" s="26"/>
      <c r="O877" s="26" t="str">
        <f>"""GP Direct"",""Fabrikam, Inc."",""UPR30300"",""PAYRATE"",""0.00000"",""PAYROLCD"",""INS"",""STATECD"","""",""CHEKDATE"",""4/1/2015"",""UPRTRXAM"",""49.36000"""</f>
        <v>"GP Direct","Fabrikam, Inc.","UPR30300","PAYRATE","0.00000","PAYROLCD","INS","STATECD","","CHEKDATE","4/1/2015","UPRTRXAM","49.36000"</v>
      </c>
      <c r="P877" s="29">
        <v>0</v>
      </c>
      <c r="Q877" s="26" t="str">
        <f>"INS"</f>
        <v>INS</v>
      </c>
      <c r="R877" s="26"/>
      <c r="S877" s="28">
        <v>42095</v>
      </c>
      <c r="T877" s="29">
        <v>49.36</v>
      </c>
    </row>
    <row r="878" spans="1:20" s="7" customFormat="1" hidden="1" outlineLevel="3" x14ac:dyDescent="0.2">
      <c r="A878" s="7" t="s">
        <v>92</v>
      </c>
      <c r="C878" s="7" t="str">
        <f t="shared" si="131"/>
        <v>Mike</v>
      </c>
      <c r="D878" s="7" t="str">
        <f>+D877</f>
        <v>Tiano</v>
      </c>
      <c r="E878" s="8" t="str">
        <f>E877</f>
        <v>INST</v>
      </c>
      <c r="G878" s="8" t="str">
        <f>G877</f>
        <v>TIAN0001</v>
      </c>
      <c r="H878" s="26"/>
      <c r="I878" s="26"/>
      <c r="J878" s="26"/>
      <c r="K878" s="28">
        <f>+K877</f>
        <v>42095</v>
      </c>
      <c r="L878" s="26" t="str">
        <f>L877</f>
        <v>10450</v>
      </c>
      <c r="M878" s="26"/>
      <c r="N878" s="26"/>
      <c r="O878" s="26" t="str">
        <f>"""GP Direct"",""Fabrikam, Inc."",""UPR30300"",""PAYRATE"",""0.00000"",""PAYROLCD"",""MED"",""STATECD"","""",""CHEKDATE"",""4/1/2015"",""UPRTRXAM"",""5.00000"""</f>
        <v>"GP Direct","Fabrikam, Inc.","UPR30300","PAYRATE","0.00000","PAYROLCD","MED","STATECD","","CHEKDATE","4/1/2015","UPRTRXAM","5.00000"</v>
      </c>
      <c r="P878" s="29">
        <v>0</v>
      </c>
      <c r="Q878" s="26" t="str">
        <f>"MED"</f>
        <v>MED</v>
      </c>
      <c r="R878" s="26"/>
      <c r="S878" s="28">
        <v>42095</v>
      </c>
      <c r="T878" s="29">
        <v>5</v>
      </c>
    </row>
    <row r="879" spans="1:20" s="7" customFormat="1" hidden="1" outlineLevel="3" x14ac:dyDescent="0.2">
      <c r="A879" s="7" t="s">
        <v>92</v>
      </c>
      <c r="C879" s="7" t="str">
        <f t="shared" si="131"/>
        <v>Mike</v>
      </c>
      <c r="D879" s="7" t="str">
        <f>+D878</f>
        <v>Tiano</v>
      </c>
      <c r="E879" s="8" t="str">
        <f>E878</f>
        <v>INST</v>
      </c>
      <c r="G879" s="8" t="str">
        <f>G878</f>
        <v>TIAN0001</v>
      </c>
      <c r="H879" s="26"/>
      <c r="I879" s="26"/>
      <c r="J879" s="26"/>
      <c r="K879" s="28">
        <f>+K878</f>
        <v>42095</v>
      </c>
      <c r="L879" s="26" t="str">
        <f>L878</f>
        <v>10450</v>
      </c>
      <c r="M879" s="26"/>
      <c r="N879" s="26"/>
      <c r="O879" s="26" t="str">
        <f>"""GP Direct"",""Fabrikam, Inc."",""UPR30300"",""PAYRATE"",""0.00000"",""PAYROLCD"",""MO"",""STATECD"","""",""CHEKDATE"",""4/1/2015"",""UPRTRXAM"",""27.00000"""</f>
        <v>"GP Direct","Fabrikam, Inc.","UPR30300","PAYRATE","0.00000","PAYROLCD","MO","STATECD","","CHEKDATE","4/1/2015","UPRTRXAM","27.00000"</v>
      </c>
      <c r="P879" s="29">
        <v>0</v>
      </c>
      <c r="Q879" s="26" t="str">
        <f>"MO"</f>
        <v>MO</v>
      </c>
      <c r="R879" s="26"/>
      <c r="S879" s="28">
        <v>42095</v>
      </c>
      <c r="T879" s="29">
        <v>27</v>
      </c>
    </row>
    <row r="880" spans="1:20" s="7" customFormat="1" hidden="1" outlineLevel="3" x14ac:dyDescent="0.2">
      <c r="A880" s="7" t="s">
        <v>92</v>
      </c>
      <c r="C880" s="7" t="str">
        <f t="shared" si="131"/>
        <v>Mike</v>
      </c>
      <c r="D880" s="7" t="str">
        <f>+D879</f>
        <v>Tiano</v>
      </c>
      <c r="E880" s="8" t="str">
        <f>E879</f>
        <v>INST</v>
      </c>
      <c r="G880" s="8" t="str">
        <f>G879</f>
        <v>TIAN0001</v>
      </c>
      <c r="H880" s="26"/>
      <c r="I880" s="26"/>
      <c r="J880" s="26"/>
      <c r="K880" s="28">
        <f>+K879</f>
        <v>42095</v>
      </c>
      <c r="L880" s="26" t="str">
        <f>L879</f>
        <v>10450</v>
      </c>
      <c r="M880" s="26"/>
      <c r="N880" s="26"/>
      <c r="O880" s="26" t="str">
        <f>"""GP Direct"",""Fabrikam, Inc."",""UPR30300"",""PAYRATE"",""14.10000"",""PAYROLCD"",""HOUR"",""STATECD"",""MO"",""CHEKDATE"",""4/1/2015"",""UPRTRXAM"",""1222.05000"""</f>
        <v>"GP Direct","Fabrikam, Inc.","UPR30300","PAYRATE","14.10000","PAYROLCD","HOUR","STATECD","MO","CHEKDATE","4/1/2015","UPRTRXAM","1222.05000"</v>
      </c>
      <c r="P880" s="29">
        <v>14.1</v>
      </c>
      <c r="Q880" s="26" t="str">
        <f>"HOUR"</f>
        <v>HOUR</v>
      </c>
      <c r="R880" s="26" t="str">
        <f>"MO"</f>
        <v>MO</v>
      </c>
      <c r="S880" s="28">
        <v>42095</v>
      </c>
      <c r="T880" s="29">
        <v>1222.05</v>
      </c>
    </row>
    <row r="881" spans="1:20" s="7" customFormat="1" hidden="1" outlineLevel="3" x14ac:dyDescent="0.2">
      <c r="A881" s="7" t="s">
        <v>92</v>
      </c>
      <c r="C881" s="7" t="str">
        <f>+C875</f>
        <v>Mike</v>
      </c>
      <c r="D881" s="7" t="str">
        <f>+D875</f>
        <v>Tiano</v>
      </c>
      <c r="E881" s="8" t="str">
        <f>E875</f>
        <v>INST</v>
      </c>
      <c r="G881" s="8" t="str">
        <f>G875</f>
        <v>TIAN0001</v>
      </c>
      <c r="K881" s="12">
        <f>+K875</f>
        <v>42095</v>
      </c>
      <c r="L881" s="8" t="str">
        <f>L875</f>
        <v>10450</v>
      </c>
      <c r="O881" s="8"/>
      <c r="T881" s="20"/>
    </row>
    <row r="882" spans="1:20" s="7" customFormat="1" hidden="1" outlineLevel="2" collapsed="1" x14ac:dyDescent="0.2">
      <c r="A882" s="7" t="s">
        <v>92</v>
      </c>
      <c r="C882" s="7" t="str">
        <f t="shared" si="128"/>
        <v>Mike</v>
      </c>
      <c r="D882" s="7" t="str">
        <f>+D881</f>
        <v>Tiano</v>
      </c>
      <c r="E882" s="8" t="str">
        <f>E881</f>
        <v>INST</v>
      </c>
      <c r="G882" s="8" t="str">
        <f>G881</f>
        <v>TIAN0001</v>
      </c>
      <c r="K882" s="12">
        <f>+K881</f>
        <v>42095</v>
      </c>
      <c r="L882" s="8" t="str">
        <f>L881</f>
        <v>10450</v>
      </c>
      <c r="M882" s="33" t="str">
        <f>"Total for " &amp; $L882</f>
        <v>Total for 10450</v>
      </c>
      <c r="N882" s="34">
        <f>+K882</f>
        <v>42095</v>
      </c>
      <c r="O882" s="35"/>
      <c r="P882" s="33"/>
      <c r="Q882" s="33"/>
      <c r="R882" s="33"/>
      <c r="S882" s="33"/>
      <c r="T882" s="36">
        <f>SUBTOTAL(9,T875:T881)</f>
        <v>1341.8999999999999</v>
      </c>
    </row>
    <row r="883" spans="1:20" s="7" customFormat="1" hidden="1" outlineLevel="3" x14ac:dyDescent="0.2">
      <c r="A883" s="7" t="s">
        <v>92</v>
      </c>
      <c r="C883" s="7" t="str">
        <f t="shared" si="128"/>
        <v>Mike</v>
      </c>
      <c r="D883" s="7" t="str">
        <f>+D882</f>
        <v>Tiano</v>
      </c>
      <c r="E883" s="8" t="str">
        <f>E882</f>
        <v>INST</v>
      </c>
      <c r="G883" s="8" t="str">
        <f>G882</f>
        <v>TIAN0001</v>
      </c>
      <c r="H883" s="26"/>
      <c r="I883" s="26"/>
      <c r="J883" s="26"/>
      <c r="K883" s="28">
        <f>+N883</f>
        <v>42125</v>
      </c>
      <c r="L883" s="26" t="str">
        <f>M883</f>
        <v>10475</v>
      </c>
      <c r="M883" s="26" t="str">
        <f>"10475"</f>
        <v>10475</v>
      </c>
      <c r="N883" s="28">
        <v>42125</v>
      </c>
      <c r="O883" s="26"/>
      <c r="P883" s="26"/>
      <c r="Q883" s="26"/>
      <c r="R883" s="26"/>
      <c r="S883" s="26"/>
      <c r="T883" s="27"/>
    </row>
    <row r="884" spans="1:20" s="7" customFormat="1" hidden="1" outlineLevel="3" x14ac:dyDescent="0.2">
      <c r="A884" s="7" t="s">
        <v>92</v>
      </c>
      <c r="C884" s="7" t="str">
        <f t="shared" si="128"/>
        <v>Mike</v>
      </c>
      <c r="D884" s="7" t="str">
        <f>+D883</f>
        <v>Tiano</v>
      </c>
      <c r="E884" s="8" t="str">
        <f>E883</f>
        <v>INST</v>
      </c>
      <c r="G884" s="8" t="str">
        <f>G883</f>
        <v>TIAN0001</v>
      </c>
      <c r="H884" s="26"/>
      <c r="I884" s="26"/>
      <c r="J884" s="26"/>
      <c r="K884" s="28">
        <f>+K883</f>
        <v>42125</v>
      </c>
      <c r="L884" s="26" t="str">
        <f>L883</f>
        <v>10475</v>
      </c>
      <c r="M884" s="26"/>
      <c r="N884" s="26"/>
      <c r="O884" s="26" t="str">
        <f>"""GP Direct"",""Fabrikam, Inc."",""UPR30300"",""PAYRATE"",""0.00000"",""PAYROLCD"",""401K"",""STATECD"","""",""CHEKDATE"",""5/1/2015"",""UPRTRXAM"",""1.83000"""</f>
        <v>"GP Direct","Fabrikam, Inc.","UPR30300","PAYRATE","0.00000","PAYROLCD","401K","STATECD","","CHEKDATE","5/1/2015","UPRTRXAM","1.83000"</v>
      </c>
      <c r="P884" s="29">
        <v>0</v>
      </c>
      <c r="Q884" s="26" t="str">
        <f>"401K"</f>
        <v>401K</v>
      </c>
      <c r="R884" s="26"/>
      <c r="S884" s="28">
        <v>42125</v>
      </c>
      <c r="T884" s="29">
        <v>1.83</v>
      </c>
    </row>
    <row r="885" spans="1:20" s="7" customFormat="1" hidden="1" outlineLevel="3" x14ac:dyDescent="0.2">
      <c r="A885" s="7" t="s">
        <v>92</v>
      </c>
      <c r="C885" s="7" t="str">
        <f t="shared" ref="C885:C889" si="132">+C884</f>
        <v>Mike</v>
      </c>
      <c r="D885" s="7" t="str">
        <f>+D884</f>
        <v>Tiano</v>
      </c>
      <c r="E885" s="8" t="str">
        <f>E884</f>
        <v>INST</v>
      </c>
      <c r="G885" s="8" t="str">
        <f>G884</f>
        <v>TIAN0001</v>
      </c>
      <c r="H885" s="26"/>
      <c r="I885" s="26"/>
      <c r="J885" s="26"/>
      <c r="K885" s="28">
        <f>+K884</f>
        <v>42125</v>
      </c>
      <c r="L885" s="26" t="str">
        <f>L884</f>
        <v>10475</v>
      </c>
      <c r="M885" s="26"/>
      <c r="N885" s="26"/>
      <c r="O885" s="26" t="str">
        <f>"""GP Direct"",""Fabrikam, Inc."",""UPR30300"",""PAYRATE"",""0.00000"",""PAYROLCD"",""401K"",""STATECD"","""",""CHEKDATE"",""5/1/2015"",""UPRTRXAM"",""36.66000"""</f>
        <v>"GP Direct","Fabrikam, Inc.","UPR30300","PAYRATE","0.00000","PAYROLCD","401K","STATECD","","CHEKDATE","5/1/2015","UPRTRXAM","36.66000"</v>
      </c>
      <c r="P885" s="29">
        <v>0</v>
      </c>
      <c r="Q885" s="26" t="str">
        <f>"401K"</f>
        <v>401K</v>
      </c>
      <c r="R885" s="26"/>
      <c r="S885" s="28">
        <v>42125</v>
      </c>
      <c r="T885" s="29">
        <v>36.659999999999997</v>
      </c>
    </row>
    <row r="886" spans="1:20" s="7" customFormat="1" hidden="1" outlineLevel="3" x14ac:dyDescent="0.2">
      <c r="A886" s="7" t="s">
        <v>92</v>
      </c>
      <c r="C886" s="7" t="str">
        <f t="shared" si="132"/>
        <v>Mike</v>
      </c>
      <c r="D886" s="7" t="str">
        <f>+D885</f>
        <v>Tiano</v>
      </c>
      <c r="E886" s="8" t="str">
        <f>E885</f>
        <v>INST</v>
      </c>
      <c r="G886" s="8" t="str">
        <f>G885</f>
        <v>TIAN0001</v>
      </c>
      <c r="H886" s="26"/>
      <c r="I886" s="26"/>
      <c r="J886" s="26"/>
      <c r="K886" s="28">
        <f>+K885</f>
        <v>42125</v>
      </c>
      <c r="L886" s="26" t="str">
        <f>L885</f>
        <v>10475</v>
      </c>
      <c r="M886" s="26"/>
      <c r="N886" s="26"/>
      <c r="O886" s="26" t="str">
        <f>"""GP Direct"",""Fabrikam, Inc."",""UPR30300"",""PAYRATE"",""0.00000"",""PAYROLCD"",""INS"",""STATECD"","""",""CHEKDATE"",""5/1/2015"",""UPRTRXAM"",""49.36000"""</f>
        <v>"GP Direct","Fabrikam, Inc.","UPR30300","PAYRATE","0.00000","PAYROLCD","INS","STATECD","","CHEKDATE","5/1/2015","UPRTRXAM","49.36000"</v>
      </c>
      <c r="P886" s="29">
        <v>0</v>
      </c>
      <c r="Q886" s="26" t="str">
        <f>"INS"</f>
        <v>INS</v>
      </c>
      <c r="R886" s="26"/>
      <c r="S886" s="28">
        <v>42125</v>
      </c>
      <c r="T886" s="29">
        <v>49.36</v>
      </c>
    </row>
    <row r="887" spans="1:20" s="7" customFormat="1" hidden="1" outlineLevel="3" x14ac:dyDescent="0.2">
      <c r="A887" s="7" t="s">
        <v>92</v>
      </c>
      <c r="C887" s="7" t="str">
        <f t="shared" si="132"/>
        <v>Mike</v>
      </c>
      <c r="D887" s="7" t="str">
        <f>+D886</f>
        <v>Tiano</v>
      </c>
      <c r="E887" s="8" t="str">
        <f>E886</f>
        <v>INST</v>
      </c>
      <c r="G887" s="8" t="str">
        <f>G886</f>
        <v>TIAN0001</v>
      </c>
      <c r="H887" s="26"/>
      <c r="I887" s="26"/>
      <c r="J887" s="26"/>
      <c r="K887" s="28">
        <f>+K886</f>
        <v>42125</v>
      </c>
      <c r="L887" s="26" t="str">
        <f>L886</f>
        <v>10475</v>
      </c>
      <c r="M887" s="26"/>
      <c r="N887" s="26"/>
      <c r="O887" s="26" t="str">
        <f>"""GP Direct"",""Fabrikam, Inc."",""UPR30300"",""PAYRATE"",""0.00000"",""PAYROLCD"",""MED"",""STATECD"","""",""CHEKDATE"",""5/1/2015"",""UPRTRXAM"",""5.00000"""</f>
        <v>"GP Direct","Fabrikam, Inc.","UPR30300","PAYRATE","0.00000","PAYROLCD","MED","STATECD","","CHEKDATE","5/1/2015","UPRTRXAM","5.00000"</v>
      </c>
      <c r="P887" s="29">
        <v>0</v>
      </c>
      <c r="Q887" s="26" t="str">
        <f>"MED"</f>
        <v>MED</v>
      </c>
      <c r="R887" s="26"/>
      <c r="S887" s="28">
        <v>42125</v>
      </c>
      <c r="T887" s="29">
        <v>5</v>
      </c>
    </row>
    <row r="888" spans="1:20" s="7" customFormat="1" hidden="1" outlineLevel="3" x14ac:dyDescent="0.2">
      <c r="A888" s="7" t="s">
        <v>92</v>
      </c>
      <c r="C888" s="7" t="str">
        <f t="shared" si="132"/>
        <v>Mike</v>
      </c>
      <c r="D888" s="7" t="str">
        <f>+D887</f>
        <v>Tiano</v>
      </c>
      <c r="E888" s="8" t="str">
        <f>E887</f>
        <v>INST</v>
      </c>
      <c r="G888" s="8" t="str">
        <f>G887</f>
        <v>TIAN0001</v>
      </c>
      <c r="H888" s="26"/>
      <c r="I888" s="26"/>
      <c r="J888" s="26"/>
      <c r="K888" s="28">
        <f>+K887</f>
        <v>42125</v>
      </c>
      <c r="L888" s="26" t="str">
        <f>L887</f>
        <v>10475</v>
      </c>
      <c r="M888" s="26"/>
      <c r="N888" s="26"/>
      <c r="O888" s="26" t="str">
        <f>"""GP Direct"",""Fabrikam, Inc."",""UPR30300"",""PAYRATE"",""0.00000"",""PAYROLCD"",""MO"",""STATECD"","""",""CHEKDATE"",""5/1/2015"",""UPRTRXAM"",""27.00000"""</f>
        <v>"GP Direct","Fabrikam, Inc.","UPR30300","PAYRATE","0.00000","PAYROLCD","MO","STATECD","","CHEKDATE","5/1/2015","UPRTRXAM","27.00000"</v>
      </c>
      <c r="P888" s="29">
        <v>0</v>
      </c>
      <c r="Q888" s="26" t="str">
        <f>"MO"</f>
        <v>MO</v>
      </c>
      <c r="R888" s="26"/>
      <c r="S888" s="28">
        <v>42125</v>
      </c>
      <c r="T888" s="29">
        <v>27</v>
      </c>
    </row>
    <row r="889" spans="1:20" s="7" customFormat="1" hidden="1" outlineLevel="3" x14ac:dyDescent="0.2">
      <c r="A889" s="7" t="s">
        <v>92</v>
      </c>
      <c r="C889" s="7" t="str">
        <f t="shared" si="132"/>
        <v>Mike</v>
      </c>
      <c r="D889" s="7" t="str">
        <f>+D888</f>
        <v>Tiano</v>
      </c>
      <c r="E889" s="8" t="str">
        <f>E888</f>
        <v>INST</v>
      </c>
      <c r="G889" s="8" t="str">
        <f>G888</f>
        <v>TIAN0001</v>
      </c>
      <c r="H889" s="26"/>
      <c r="I889" s="26"/>
      <c r="J889" s="26"/>
      <c r="K889" s="28">
        <f>+K888</f>
        <v>42125</v>
      </c>
      <c r="L889" s="26" t="str">
        <f>L888</f>
        <v>10475</v>
      </c>
      <c r="M889" s="26"/>
      <c r="N889" s="26"/>
      <c r="O889" s="26" t="str">
        <f>"""GP Direct"",""Fabrikam, Inc."",""UPR30300"",""PAYRATE"",""14.10000"",""PAYROLCD"",""HOUR"",""STATECD"",""MO"",""CHEKDATE"",""5/1/2015"",""UPRTRXAM"",""1222.05000"""</f>
        <v>"GP Direct","Fabrikam, Inc.","UPR30300","PAYRATE","14.10000","PAYROLCD","HOUR","STATECD","MO","CHEKDATE","5/1/2015","UPRTRXAM","1222.05000"</v>
      </c>
      <c r="P889" s="29">
        <v>14.1</v>
      </c>
      <c r="Q889" s="26" t="str">
        <f>"HOUR"</f>
        <v>HOUR</v>
      </c>
      <c r="R889" s="26" t="str">
        <f>"MO"</f>
        <v>MO</v>
      </c>
      <c r="S889" s="28">
        <v>42125</v>
      </c>
      <c r="T889" s="29">
        <v>1222.05</v>
      </c>
    </row>
    <row r="890" spans="1:20" s="7" customFormat="1" hidden="1" outlineLevel="3" x14ac:dyDescent="0.2">
      <c r="A890" s="7" t="s">
        <v>92</v>
      </c>
      <c r="C890" s="7" t="str">
        <f>+C884</f>
        <v>Mike</v>
      </c>
      <c r="D890" s="7" t="str">
        <f>+D884</f>
        <v>Tiano</v>
      </c>
      <c r="E890" s="8" t="str">
        <f>E884</f>
        <v>INST</v>
      </c>
      <c r="G890" s="8" t="str">
        <f>G884</f>
        <v>TIAN0001</v>
      </c>
      <c r="K890" s="12">
        <f>+K884</f>
        <v>42125</v>
      </c>
      <c r="L890" s="8" t="str">
        <f>L884</f>
        <v>10475</v>
      </c>
      <c r="O890" s="8"/>
      <c r="T890" s="20"/>
    </row>
    <row r="891" spans="1:20" s="7" customFormat="1" hidden="1" outlineLevel="2" collapsed="1" x14ac:dyDescent="0.2">
      <c r="A891" s="7" t="s">
        <v>92</v>
      </c>
      <c r="C891" s="7" t="str">
        <f t="shared" si="128"/>
        <v>Mike</v>
      </c>
      <c r="D891" s="7" t="str">
        <f>+D890</f>
        <v>Tiano</v>
      </c>
      <c r="E891" s="8" t="str">
        <f>E890</f>
        <v>INST</v>
      </c>
      <c r="G891" s="8" t="str">
        <f>G890</f>
        <v>TIAN0001</v>
      </c>
      <c r="K891" s="12">
        <f>+K890</f>
        <v>42125</v>
      </c>
      <c r="L891" s="8" t="str">
        <f>L890</f>
        <v>10475</v>
      </c>
      <c r="M891" s="33" t="str">
        <f>"Total for " &amp; $L891</f>
        <v>Total for 10475</v>
      </c>
      <c r="N891" s="34">
        <f>+K891</f>
        <v>42125</v>
      </c>
      <c r="O891" s="35"/>
      <c r="P891" s="33"/>
      <c r="Q891" s="33"/>
      <c r="R891" s="33"/>
      <c r="S891" s="33"/>
      <c r="T891" s="36">
        <f>SUBTOTAL(9,T884:T890)</f>
        <v>1341.8999999999999</v>
      </c>
    </row>
    <row r="892" spans="1:20" s="7" customFormat="1" hidden="1" outlineLevel="3" x14ac:dyDescent="0.2">
      <c r="A892" s="7" t="s">
        <v>92</v>
      </c>
      <c r="C892" s="7" t="str">
        <f t="shared" si="128"/>
        <v>Mike</v>
      </c>
      <c r="D892" s="7" t="str">
        <f>+D891</f>
        <v>Tiano</v>
      </c>
      <c r="E892" s="8" t="str">
        <f>E891</f>
        <v>INST</v>
      </c>
      <c r="G892" s="8" t="str">
        <f>G891</f>
        <v>TIAN0001</v>
      </c>
      <c r="H892" s="26"/>
      <c r="I892" s="26"/>
      <c r="J892" s="26"/>
      <c r="K892" s="28">
        <f>+N892</f>
        <v>42156</v>
      </c>
      <c r="L892" s="26" t="str">
        <f>M892</f>
        <v>10500</v>
      </c>
      <c r="M892" s="26" t="str">
        <f>"10500"</f>
        <v>10500</v>
      </c>
      <c r="N892" s="28">
        <v>42156</v>
      </c>
      <c r="O892" s="26"/>
      <c r="P892" s="26"/>
      <c r="Q892" s="26"/>
      <c r="R892" s="26"/>
      <c r="S892" s="26"/>
      <c r="T892" s="27"/>
    </row>
    <row r="893" spans="1:20" s="7" customFormat="1" hidden="1" outlineLevel="3" x14ac:dyDescent="0.2">
      <c r="A893" s="7" t="s">
        <v>92</v>
      </c>
      <c r="C893" s="7" t="str">
        <f t="shared" si="128"/>
        <v>Mike</v>
      </c>
      <c r="D893" s="7" t="str">
        <f>+D892</f>
        <v>Tiano</v>
      </c>
      <c r="E893" s="8" t="str">
        <f>E892</f>
        <v>INST</v>
      </c>
      <c r="G893" s="8" t="str">
        <f>G892</f>
        <v>TIAN0001</v>
      </c>
      <c r="H893" s="26"/>
      <c r="I893" s="26"/>
      <c r="J893" s="26"/>
      <c r="K893" s="28">
        <f>+K892</f>
        <v>42156</v>
      </c>
      <c r="L893" s="26" t="str">
        <f>L892</f>
        <v>10500</v>
      </c>
      <c r="M893" s="26"/>
      <c r="N893" s="26"/>
      <c r="O893" s="26" t="str">
        <f>"""GP Direct"",""Fabrikam, Inc."",""UPR30300"",""PAYRATE"",""0.00000"",""PAYROLCD"",""401K"",""STATECD"","""",""CHEKDATE"",""6/1/2015"",""UPRTRXAM"",""1.83000"""</f>
        <v>"GP Direct","Fabrikam, Inc.","UPR30300","PAYRATE","0.00000","PAYROLCD","401K","STATECD","","CHEKDATE","6/1/2015","UPRTRXAM","1.83000"</v>
      </c>
      <c r="P893" s="29">
        <v>0</v>
      </c>
      <c r="Q893" s="26" t="str">
        <f>"401K"</f>
        <v>401K</v>
      </c>
      <c r="R893" s="26"/>
      <c r="S893" s="28">
        <v>42156</v>
      </c>
      <c r="T893" s="29">
        <v>1.83</v>
      </c>
    </row>
    <row r="894" spans="1:20" s="7" customFormat="1" hidden="1" outlineLevel="3" x14ac:dyDescent="0.2">
      <c r="A894" s="7" t="s">
        <v>92</v>
      </c>
      <c r="C894" s="7" t="str">
        <f t="shared" ref="C894:C898" si="133">+C893</f>
        <v>Mike</v>
      </c>
      <c r="D894" s="7" t="str">
        <f>+D893</f>
        <v>Tiano</v>
      </c>
      <c r="E894" s="8" t="str">
        <f>E893</f>
        <v>INST</v>
      </c>
      <c r="G894" s="8" t="str">
        <f>G893</f>
        <v>TIAN0001</v>
      </c>
      <c r="H894" s="26"/>
      <c r="I894" s="26"/>
      <c r="J894" s="26"/>
      <c r="K894" s="28">
        <f>+K893</f>
        <v>42156</v>
      </c>
      <c r="L894" s="26" t="str">
        <f>L893</f>
        <v>10500</v>
      </c>
      <c r="M894" s="26"/>
      <c r="N894" s="26"/>
      <c r="O894" s="26" t="str">
        <f>"""GP Direct"",""Fabrikam, Inc."",""UPR30300"",""PAYRATE"",""0.00000"",""PAYROLCD"",""401K"",""STATECD"","""",""CHEKDATE"",""6/1/2015"",""UPRTRXAM"",""36.66000"""</f>
        <v>"GP Direct","Fabrikam, Inc.","UPR30300","PAYRATE","0.00000","PAYROLCD","401K","STATECD","","CHEKDATE","6/1/2015","UPRTRXAM","36.66000"</v>
      </c>
      <c r="P894" s="29">
        <v>0</v>
      </c>
      <c r="Q894" s="26" t="str">
        <f>"401K"</f>
        <v>401K</v>
      </c>
      <c r="R894" s="26"/>
      <c r="S894" s="28">
        <v>42156</v>
      </c>
      <c r="T894" s="29">
        <v>36.659999999999997</v>
      </c>
    </row>
    <row r="895" spans="1:20" s="7" customFormat="1" hidden="1" outlineLevel="3" x14ac:dyDescent="0.2">
      <c r="A895" s="7" t="s">
        <v>92</v>
      </c>
      <c r="C895" s="7" t="str">
        <f t="shared" si="133"/>
        <v>Mike</v>
      </c>
      <c r="D895" s="7" t="str">
        <f>+D894</f>
        <v>Tiano</v>
      </c>
      <c r="E895" s="8" t="str">
        <f>E894</f>
        <v>INST</v>
      </c>
      <c r="G895" s="8" t="str">
        <f>G894</f>
        <v>TIAN0001</v>
      </c>
      <c r="H895" s="26"/>
      <c r="I895" s="26"/>
      <c r="J895" s="26"/>
      <c r="K895" s="28">
        <f>+K894</f>
        <v>42156</v>
      </c>
      <c r="L895" s="26" t="str">
        <f>L894</f>
        <v>10500</v>
      </c>
      <c r="M895" s="26"/>
      <c r="N895" s="26"/>
      <c r="O895" s="26" t="str">
        <f>"""GP Direct"",""Fabrikam, Inc."",""UPR30300"",""PAYRATE"",""0.00000"",""PAYROLCD"",""INS"",""STATECD"","""",""CHEKDATE"",""6/1/2015"",""UPRTRXAM"",""49.36000"""</f>
        <v>"GP Direct","Fabrikam, Inc.","UPR30300","PAYRATE","0.00000","PAYROLCD","INS","STATECD","","CHEKDATE","6/1/2015","UPRTRXAM","49.36000"</v>
      </c>
      <c r="P895" s="29">
        <v>0</v>
      </c>
      <c r="Q895" s="26" t="str">
        <f>"INS"</f>
        <v>INS</v>
      </c>
      <c r="R895" s="26"/>
      <c r="S895" s="28">
        <v>42156</v>
      </c>
      <c r="T895" s="29">
        <v>49.36</v>
      </c>
    </row>
    <row r="896" spans="1:20" s="7" customFormat="1" hidden="1" outlineLevel="3" x14ac:dyDescent="0.2">
      <c r="A896" s="7" t="s">
        <v>92</v>
      </c>
      <c r="C896" s="7" t="str">
        <f t="shared" si="133"/>
        <v>Mike</v>
      </c>
      <c r="D896" s="7" t="str">
        <f>+D895</f>
        <v>Tiano</v>
      </c>
      <c r="E896" s="8" t="str">
        <f>E895</f>
        <v>INST</v>
      </c>
      <c r="G896" s="8" t="str">
        <f>G895</f>
        <v>TIAN0001</v>
      </c>
      <c r="H896" s="26"/>
      <c r="I896" s="26"/>
      <c r="J896" s="26"/>
      <c r="K896" s="28">
        <f>+K895</f>
        <v>42156</v>
      </c>
      <c r="L896" s="26" t="str">
        <f>L895</f>
        <v>10500</v>
      </c>
      <c r="M896" s="26"/>
      <c r="N896" s="26"/>
      <c r="O896" s="26" t="str">
        <f>"""GP Direct"",""Fabrikam, Inc."",""UPR30300"",""PAYRATE"",""0.00000"",""PAYROLCD"",""MED"",""STATECD"","""",""CHEKDATE"",""6/1/2015"",""UPRTRXAM"",""5.00000"""</f>
        <v>"GP Direct","Fabrikam, Inc.","UPR30300","PAYRATE","0.00000","PAYROLCD","MED","STATECD","","CHEKDATE","6/1/2015","UPRTRXAM","5.00000"</v>
      </c>
      <c r="P896" s="29">
        <v>0</v>
      </c>
      <c r="Q896" s="26" t="str">
        <f>"MED"</f>
        <v>MED</v>
      </c>
      <c r="R896" s="26"/>
      <c r="S896" s="28">
        <v>42156</v>
      </c>
      <c r="T896" s="29">
        <v>5</v>
      </c>
    </row>
    <row r="897" spans="1:20" s="7" customFormat="1" hidden="1" outlineLevel="3" x14ac:dyDescent="0.2">
      <c r="A897" s="7" t="s">
        <v>92</v>
      </c>
      <c r="C897" s="7" t="str">
        <f t="shared" si="133"/>
        <v>Mike</v>
      </c>
      <c r="D897" s="7" t="str">
        <f>+D896</f>
        <v>Tiano</v>
      </c>
      <c r="E897" s="8" t="str">
        <f>E896</f>
        <v>INST</v>
      </c>
      <c r="G897" s="8" t="str">
        <f>G896</f>
        <v>TIAN0001</v>
      </c>
      <c r="H897" s="26"/>
      <c r="I897" s="26"/>
      <c r="J897" s="26"/>
      <c r="K897" s="28">
        <f>+K896</f>
        <v>42156</v>
      </c>
      <c r="L897" s="26" t="str">
        <f>L896</f>
        <v>10500</v>
      </c>
      <c r="M897" s="26"/>
      <c r="N897" s="26"/>
      <c r="O897" s="26" t="str">
        <f>"""GP Direct"",""Fabrikam, Inc."",""UPR30300"",""PAYRATE"",""0.00000"",""PAYROLCD"",""MO"",""STATECD"","""",""CHEKDATE"",""6/1/2015"",""UPRTRXAM"",""27.00000"""</f>
        <v>"GP Direct","Fabrikam, Inc.","UPR30300","PAYRATE","0.00000","PAYROLCD","MO","STATECD","","CHEKDATE","6/1/2015","UPRTRXAM","27.00000"</v>
      </c>
      <c r="P897" s="29">
        <v>0</v>
      </c>
      <c r="Q897" s="26" t="str">
        <f>"MO"</f>
        <v>MO</v>
      </c>
      <c r="R897" s="26"/>
      <c r="S897" s="28">
        <v>42156</v>
      </c>
      <c r="T897" s="29">
        <v>27</v>
      </c>
    </row>
    <row r="898" spans="1:20" s="7" customFormat="1" hidden="1" outlineLevel="3" x14ac:dyDescent="0.2">
      <c r="A898" s="7" t="s">
        <v>92</v>
      </c>
      <c r="C898" s="7" t="str">
        <f t="shared" si="133"/>
        <v>Mike</v>
      </c>
      <c r="D898" s="7" t="str">
        <f>+D897</f>
        <v>Tiano</v>
      </c>
      <c r="E898" s="8" t="str">
        <f>E897</f>
        <v>INST</v>
      </c>
      <c r="G898" s="8" t="str">
        <f>G897</f>
        <v>TIAN0001</v>
      </c>
      <c r="H898" s="26"/>
      <c r="I898" s="26"/>
      <c r="J898" s="26"/>
      <c r="K898" s="28">
        <f>+K897</f>
        <v>42156</v>
      </c>
      <c r="L898" s="26" t="str">
        <f>L897</f>
        <v>10500</v>
      </c>
      <c r="M898" s="26"/>
      <c r="N898" s="26"/>
      <c r="O898" s="26" t="str">
        <f>"""GP Direct"",""Fabrikam, Inc."",""UPR30300"",""PAYRATE"",""14.10000"",""PAYROLCD"",""HOUR"",""STATECD"",""MO"",""CHEKDATE"",""6/1/2015"",""UPRTRXAM"",""1222.05000"""</f>
        <v>"GP Direct","Fabrikam, Inc.","UPR30300","PAYRATE","14.10000","PAYROLCD","HOUR","STATECD","MO","CHEKDATE","6/1/2015","UPRTRXAM","1222.05000"</v>
      </c>
      <c r="P898" s="29">
        <v>14.1</v>
      </c>
      <c r="Q898" s="26" t="str">
        <f>"HOUR"</f>
        <v>HOUR</v>
      </c>
      <c r="R898" s="26" t="str">
        <f>"MO"</f>
        <v>MO</v>
      </c>
      <c r="S898" s="28">
        <v>42156</v>
      </c>
      <c r="T898" s="29">
        <v>1222.05</v>
      </c>
    </row>
    <row r="899" spans="1:20" s="7" customFormat="1" hidden="1" outlineLevel="3" x14ac:dyDescent="0.2">
      <c r="A899" s="7" t="s">
        <v>92</v>
      </c>
      <c r="C899" s="7" t="str">
        <f>+C893</f>
        <v>Mike</v>
      </c>
      <c r="D899" s="7" t="str">
        <f>+D893</f>
        <v>Tiano</v>
      </c>
      <c r="E899" s="8" t="str">
        <f>E893</f>
        <v>INST</v>
      </c>
      <c r="G899" s="8" t="str">
        <f>G893</f>
        <v>TIAN0001</v>
      </c>
      <c r="K899" s="12">
        <f>+K893</f>
        <v>42156</v>
      </c>
      <c r="L899" s="8" t="str">
        <f>L893</f>
        <v>10500</v>
      </c>
      <c r="O899" s="8"/>
      <c r="T899" s="20"/>
    </row>
    <row r="900" spans="1:20" s="7" customFormat="1" hidden="1" outlineLevel="2" collapsed="1" x14ac:dyDescent="0.2">
      <c r="A900" s="7" t="s">
        <v>92</v>
      </c>
      <c r="C900" s="7" t="str">
        <f t="shared" si="128"/>
        <v>Mike</v>
      </c>
      <c r="D900" s="7" t="str">
        <f>+D899</f>
        <v>Tiano</v>
      </c>
      <c r="E900" s="8" t="str">
        <f>E899</f>
        <v>INST</v>
      </c>
      <c r="G900" s="8" t="str">
        <f>G899</f>
        <v>TIAN0001</v>
      </c>
      <c r="K900" s="12">
        <f>+K899</f>
        <v>42156</v>
      </c>
      <c r="L900" s="8" t="str">
        <f>L899</f>
        <v>10500</v>
      </c>
      <c r="M900" s="33" t="str">
        <f>"Total for " &amp; $L900</f>
        <v>Total for 10500</v>
      </c>
      <c r="N900" s="34">
        <f>+K900</f>
        <v>42156</v>
      </c>
      <c r="O900" s="35"/>
      <c r="P900" s="33"/>
      <c r="Q900" s="33"/>
      <c r="R900" s="33"/>
      <c r="S900" s="33"/>
      <c r="T900" s="36">
        <f>SUBTOTAL(9,T893:T899)</f>
        <v>1341.8999999999999</v>
      </c>
    </row>
    <row r="901" spans="1:20" s="7" customFormat="1" hidden="1" outlineLevel="3" x14ac:dyDescent="0.2">
      <c r="A901" s="7" t="s">
        <v>92</v>
      </c>
      <c r="C901" s="7" t="str">
        <f t="shared" si="128"/>
        <v>Mike</v>
      </c>
      <c r="D901" s="7" t="str">
        <f>+D900</f>
        <v>Tiano</v>
      </c>
      <c r="E901" s="8" t="str">
        <f>E900</f>
        <v>INST</v>
      </c>
      <c r="G901" s="8" t="str">
        <f>G900</f>
        <v>TIAN0001</v>
      </c>
      <c r="H901" s="26"/>
      <c r="I901" s="26"/>
      <c r="J901" s="26"/>
      <c r="K901" s="28">
        <f>+N901</f>
        <v>42005</v>
      </c>
      <c r="L901" s="26" t="str">
        <f>M901</f>
        <v>11568</v>
      </c>
      <c r="M901" s="26" t="str">
        <f>"11568"</f>
        <v>11568</v>
      </c>
      <c r="N901" s="28">
        <v>42005</v>
      </c>
      <c r="O901" s="26"/>
      <c r="P901" s="26"/>
      <c r="Q901" s="26"/>
      <c r="R901" s="26"/>
      <c r="S901" s="26"/>
      <c r="T901" s="27"/>
    </row>
    <row r="902" spans="1:20" s="7" customFormat="1" hidden="1" outlineLevel="3" x14ac:dyDescent="0.2">
      <c r="A902" s="7" t="s">
        <v>92</v>
      </c>
      <c r="C902" s="7" t="str">
        <f t="shared" si="128"/>
        <v>Mike</v>
      </c>
      <c r="D902" s="7" t="str">
        <f>+D901</f>
        <v>Tiano</v>
      </c>
      <c r="E902" s="8" t="str">
        <f>E901</f>
        <v>INST</v>
      </c>
      <c r="G902" s="8" t="str">
        <f>G901</f>
        <v>TIAN0001</v>
      </c>
      <c r="H902" s="26"/>
      <c r="I902" s="26"/>
      <c r="J902" s="26"/>
      <c r="K902" s="28">
        <f>+K901</f>
        <v>42005</v>
      </c>
      <c r="L902" s="26" t="str">
        <f>L901</f>
        <v>11568</v>
      </c>
      <c r="M902" s="26"/>
      <c r="N902" s="26"/>
      <c r="O902" s="26" t="str">
        <f>"""GP Direct"",""Fabrikam, Inc."",""UPR30300"",""PAYRATE"",""0.00000"",""PAYROLCD"",""MO"",""STATECD"","""",""CHEKDATE"",""1/1/2015"",""UPRTRXAM"",""50.00000"""</f>
        <v>"GP Direct","Fabrikam, Inc.","UPR30300","PAYRATE","0.00000","PAYROLCD","MO","STATECD","","CHEKDATE","1/1/2015","UPRTRXAM","50.00000"</v>
      </c>
      <c r="P902" s="29">
        <v>0</v>
      </c>
      <c r="Q902" s="26" t="str">
        <f>"MO"</f>
        <v>MO</v>
      </c>
      <c r="R902" s="26"/>
      <c r="S902" s="28">
        <v>42005</v>
      </c>
      <c r="T902" s="29">
        <v>50</v>
      </c>
    </row>
    <row r="903" spans="1:20" s="7" customFormat="1" hidden="1" outlineLevel="3" x14ac:dyDescent="0.2">
      <c r="A903" s="7" t="s">
        <v>92</v>
      </c>
      <c r="C903" s="7" t="str">
        <f t="shared" ref="C903" si="134">+C902</f>
        <v>Mike</v>
      </c>
      <c r="D903" s="7" t="str">
        <f>+D902</f>
        <v>Tiano</v>
      </c>
      <c r="E903" s="8" t="str">
        <f>E902</f>
        <v>INST</v>
      </c>
      <c r="G903" s="8" t="str">
        <f>G902</f>
        <v>TIAN0001</v>
      </c>
      <c r="H903" s="26"/>
      <c r="I903" s="26"/>
      <c r="J903" s="26"/>
      <c r="K903" s="28">
        <f>+K902</f>
        <v>42005</v>
      </c>
      <c r="L903" s="26" t="str">
        <f>L902</f>
        <v>11568</v>
      </c>
      <c r="M903" s="26"/>
      <c r="N903" s="26"/>
      <c r="O903" s="26" t="str">
        <f>"""GP Direct"",""Fabrikam, Inc."",""UPR30300"",""PAYRATE"",""900.00000"",""PAYROLCD"",""BONS"",""STATECD"",""MO"",""CHEKDATE"",""1/1/2015"",""UPRTRXAM"",""900.00000"""</f>
        <v>"GP Direct","Fabrikam, Inc.","UPR30300","PAYRATE","900.00000","PAYROLCD","BONS","STATECD","MO","CHEKDATE","1/1/2015","UPRTRXAM","900.00000"</v>
      </c>
      <c r="P903" s="29">
        <v>900</v>
      </c>
      <c r="Q903" s="26" t="str">
        <f>"BONS"</f>
        <v>BONS</v>
      </c>
      <c r="R903" s="26" t="str">
        <f>"MO"</f>
        <v>MO</v>
      </c>
      <c r="S903" s="28">
        <v>42005</v>
      </c>
      <c r="T903" s="29">
        <v>900</v>
      </c>
    </row>
    <row r="904" spans="1:20" s="7" customFormat="1" hidden="1" outlineLevel="3" x14ac:dyDescent="0.2">
      <c r="A904" s="7" t="s">
        <v>92</v>
      </c>
      <c r="C904" s="7" t="str">
        <f>+C902</f>
        <v>Mike</v>
      </c>
      <c r="D904" s="7" t="str">
        <f>+D902</f>
        <v>Tiano</v>
      </c>
      <c r="E904" s="8" t="str">
        <f>E902</f>
        <v>INST</v>
      </c>
      <c r="G904" s="8" t="str">
        <f>G902</f>
        <v>TIAN0001</v>
      </c>
      <c r="K904" s="12">
        <f>+K902</f>
        <v>42005</v>
      </c>
      <c r="L904" s="8" t="str">
        <f>L902</f>
        <v>11568</v>
      </c>
      <c r="O904" s="8"/>
      <c r="T904" s="20"/>
    </row>
    <row r="905" spans="1:20" s="7" customFormat="1" hidden="1" outlineLevel="2" collapsed="1" x14ac:dyDescent="0.2">
      <c r="A905" s="7" t="s">
        <v>92</v>
      </c>
      <c r="C905" s="7" t="str">
        <f t="shared" si="128"/>
        <v>Mike</v>
      </c>
      <c r="D905" s="7" t="str">
        <f>+D904</f>
        <v>Tiano</v>
      </c>
      <c r="E905" s="8" t="str">
        <f>E904</f>
        <v>INST</v>
      </c>
      <c r="G905" s="8" t="str">
        <f>G904</f>
        <v>TIAN0001</v>
      </c>
      <c r="K905" s="12">
        <f>+K904</f>
        <v>42005</v>
      </c>
      <c r="L905" s="8" t="str">
        <f>L904</f>
        <v>11568</v>
      </c>
      <c r="M905" s="33" t="str">
        <f>"Total for " &amp; $L905</f>
        <v>Total for 11568</v>
      </c>
      <c r="N905" s="34">
        <f>+K905</f>
        <v>42005</v>
      </c>
      <c r="O905" s="35"/>
      <c r="P905" s="33"/>
      <c r="Q905" s="33"/>
      <c r="R905" s="33"/>
      <c r="S905" s="33"/>
      <c r="T905" s="36">
        <f>SUBTOTAL(9,T902:T904)</f>
        <v>950</v>
      </c>
    </row>
    <row r="906" spans="1:20" s="7" customFormat="1" hidden="1" outlineLevel="3" x14ac:dyDescent="0.2">
      <c r="A906" s="7" t="s">
        <v>92</v>
      </c>
      <c r="C906" s="7" t="str">
        <f t="shared" si="128"/>
        <v>Mike</v>
      </c>
      <c r="D906" s="7" t="str">
        <f>+D905</f>
        <v>Tiano</v>
      </c>
      <c r="E906" s="8" t="str">
        <f>E905</f>
        <v>INST</v>
      </c>
      <c r="G906" s="8" t="str">
        <f>G905</f>
        <v>TIAN0001</v>
      </c>
      <c r="H906" s="26"/>
      <c r="I906" s="26"/>
      <c r="J906" s="26"/>
      <c r="K906" s="28">
        <f>+N906</f>
        <v>42156</v>
      </c>
      <c r="L906" s="26" t="str">
        <f>M906</f>
        <v>11573</v>
      </c>
      <c r="M906" s="26" t="str">
        <f>"11573"</f>
        <v>11573</v>
      </c>
      <c r="N906" s="28">
        <v>42156</v>
      </c>
      <c r="O906" s="26"/>
      <c r="P906" s="26"/>
      <c r="Q906" s="26"/>
      <c r="R906" s="26"/>
      <c r="S906" s="26"/>
      <c r="T906" s="27"/>
    </row>
    <row r="907" spans="1:20" s="7" customFormat="1" hidden="1" outlineLevel="3" x14ac:dyDescent="0.2">
      <c r="A907" s="7" t="s">
        <v>92</v>
      </c>
      <c r="C907" s="7" t="str">
        <f t="shared" si="128"/>
        <v>Mike</v>
      </c>
      <c r="D907" s="7" t="str">
        <f>+D906</f>
        <v>Tiano</v>
      </c>
      <c r="E907" s="8" t="str">
        <f>E906</f>
        <v>INST</v>
      </c>
      <c r="G907" s="8" t="str">
        <f>G906</f>
        <v>TIAN0001</v>
      </c>
      <c r="H907" s="26"/>
      <c r="I907" s="26"/>
      <c r="J907" s="26"/>
      <c r="K907" s="28">
        <f>+K906</f>
        <v>42156</v>
      </c>
      <c r="L907" s="26" t="str">
        <f>L906</f>
        <v>11573</v>
      </c>
      <c r="M907" s="26"/>
      <c r="N907" s="26"/>
      <c r="O907" s="26" t="str">
        <f>"""GP Direct"",""Fabrikam, Inc."",""UPR30300"",""PAYRATE"",""0.00000"",""PAYROLCD"",""MO"",""STATECD"","""",""CHEKDATE"",""6/1/2015"",""UPRTRXAM"",""32.00000"""</f>
        <v>"GP Direct","Fabrikam, Inc.","UPR30300","PAYRATE","0.00000","PAYROLCD","MO","STATECD","","CHEKDATE","6/1/2015","UPRTRXAM","32.00000"</v>
      </c>
      <c r="P907" s="29">
        <v>0</v>
      </c>
      <c r="Q907" s="26" t="str">
        <f>"MO"</f>
        <v>MO</v>
      </c>
      <c r="R907" s="26"/>
      <c r="S907" s="28">
        <v>42156</v>
      </c>
      <c r="T907" s="29">
        <v>32</v>
      </c>
    </row>
    <row r="908" spans="1:20" s="7" customFormat="1" hidden="1" outlineLevel="3" x14ac:dyDescent="0.2">
      <c r="A908" s="7" t="s">
        <v>92</v>
      </c>
      <c r="C908" s="7" t="str">
        <f t="shared" ref="C908" si="135">+C907</f>
        <v>Mike</v>
      </c>
      <c r="D908" s="7" t="str">
        <f>+D907</f>
        <v>Tiano</v>
      </c>
      <c r="E908" s="8" t="str">
        <f>E907</f>
        <v>INST</v>
      </c>
      <c r="G908" s="8" t="str">
        <f>G907</f>
        <v>TIAN0001</v>
      </c>
      <c r="H908" s="26"/>
      <c r="I908" s="26"/>
      <c r="J908" s="26"/>
      <c r="K908" s="28">
        <f>+K907</f>
        <v>42156</v>
      </c>
      <c r="L908" s="26" t="str">
        <f>L907</f>
        <v>11573</v>
      </c>
      <c r="M908" s="26"/>
      <c r="N908" s="26"/>
      <c r="O908" s="26" t="str">
        <f>"""GP Direct"",""Fabrikam, Inc."",""UPR30300"",""PAYRATE"",""600.00000"",""PAYROLCD"",""BONS"",""STATECD"",""MO"",""CHEKDATE"",""6/1/2015"",""UPRTRXAM"",""600.00000"""</f>
        <v>"GP Direct","Fabrikam, Inc.","UPR30300","PAYRATE","600.00000","PAYROLCD","BONS","STATECD","MO","CHEKDATE","6/1/2015","UPRTRXAM","600.00000"</v>
      </c>
      <c r="P908" s="29">
        <v>600</v>
      </c>
      <c r="Q908" s="26" t="str">
        <f>"BONS"</f>
        <v>BONS</v>
      </c>
      <c r="R908" s="26" t="str">
        <f>"MO"</f>
        <v>MO</v>
      </c>
      <c r="S908" s="28">
        <v>42156</v>
      </c>
      <c r="T908" s="29">
        <v>600</v>
      </c>
    </row>
    <row r="909" spans="1:20" s="7" customFormat="1" hidden="1" outlineLevel="3" x14ac:dyDescent="0.2">
      <c r="A909" s="7" t="s">
        <v>92</v>
      </c>
      <c r="C909" s="7" t="str">
        <f>+C907</f>
        <v>Mike</v>
      </c>
      <c r="D909" s="7" t="str">
        <f>+D907</f>
        <v>Tiano</v>
      </c>
      <c r="E909" s="8" t="str">
        <f>E907</f>
        <v>INST</v>
      </c>
      <c r="G909" s="8" t="str">
        <f>G907</f>
        <v>TIAN0001</v>
      </c>
      <c r="K909" s="12">
        <f>+K907</f>
        <v>42156</v>
      </c>
      <c r="L909" s="8" t="str">
        <f>L907</f>
        <v>11573</v>
      </c>
      <c r="O909" s="8"/>
      <c r="T909" s="20"/>
    </row>
    <row r="910" spans="1:20" s="7" customFormat="1" hidden="1" outlineLevel="2" collapsed="1" x14ac:dyDescent="0.2">
      <c r="A910" s="7" t="s">
        <v>92</v>
      </c>
      <c r="C910" s="7" t="str">
        <f t="shared" si="128"/>
        <v>Mike</v>
      </c>
      <c r="D910" s="7" t="str">
        <f>+D909</f>
        <v>Tiano</v>
      </c>
      <c r="E910" s="8" t="str">
        <f>E909</f>
        <v>INST</v>
      </c>
      <c r="G910" s="8" t="str">
        <f>G909</f>
        <v>TIAN0001</v>
      </c>
      <c r="K910" s="12">
        <f>+K909</f>
        <v>42156</v>
      </c>
      <c r="L910" s="8" t="str">
        <f>L909</f>
        <v>11573</v>
      </c>
      <c r="M910" s="33" t="str">
        <f>"Total for " &amp; $L910</f>
        <v>Total for 11573</v>
      </c>
      <c r="N910" s="34">
        <f>+K910</f>
        <v>42156</v>
      </c>
      <c r="O910" s="35"/>
      <c r="P910" s="33"/>
      <c r="Q910" s="33"/>
      <c r="R910" s="33"/>
      <c r="S910" s="33"/>
      <c r="T910" s="36">
        <f>SUBTOTAL(9,T907:T909)</f>
        <v>632</v>
      </c>
    </row>
    <row r="911" spans="1:20" s="7" customFormat="1" hidden="1" outlineLevel="2" x14ac:dyDescent="0.2">
      <c r="A911" s="7" t="s">
        <v>92</v>
      </c>
      <c r="C911" s="7" t="str">
        <f>+C855</f>
        <v>Mike</v>
      </c>
      <c r="D911" s="7" t="str">
        <f>+D855</f>
        <v>Tiano</v>
      </c>
      <c r="E911" s="8" t="str">
        <f>E855</f>
        <v>INST</v>
      </c>
      <c r="G911" s="8" t="str">
        <f>G855</f>
        <v>TIAN0001</v>
      </c>
      <c r="L911" s="8"/>
      <c r="O911" s="8"/>
      <c r="T911" s="20"/>
    </row>
    <row r="912" spans="1:20" s="7" customFormat="1" hidden="1" outlineLevel="1" collapsed="1" x14ac:dyDescent="0.2">
      <c r="A912" s="7" t="s">
        <v>92</v>
      </c>
      <c r="C912" s="7" t="str">
        <f t="shared" si="126"/>
        <v>Mike</v>
      </c>
      <c r="D912" s="7" t="str">
        <f>+D911</f>
        <v>Tiano</v>
      </c>
      <c r="E912" s="8" t="str">
        <f>E911</f>
        <v>INST</v>
      </c>
      <c r="G912" s="8" t="str">
        <f>G911</f>
        <v>TIAN0001</v>
      </c>
      <c r="H912" s="30" t="str">
        <f>"Total for " &amp; $G912</f>
        <v>Total for TIAN0001</v>
      </c>
      <c r="I912" s="30" t="str">
        <f>+C912</f>
        <v>Mike</v>
      </c>
      <c r="J912" s="30" t="str">
        <f>+D912</f>
        <v>Tiano</v>
      </c>
      <c r="K912" s="30"/>
      <c r="L912" s="31"/>
      <c r="M912" s="30"/>
      <c r="N912" s="30"/>
      <c r="O912" s="31"/>
      <c r="P912" s="30"/>
      <c r="Q912" s="30"/>
      <c r="R912" s="30"/>
      <c r="S912" s="30"/>
      <c r="T912" s="32">
        <f>SUBTOTAL(9,T848:T911)</f>
        <v>9633.3999999999978</v>
      </c>
    </row>
    <row r="913" spans="1:20" s="7" customFormat="1" hidden="1" outlineLevel="1" x14ac:dyDescent="0.2">
      <c r="A913" s="7" t="s">
        <v>92</v>
      </c>
      <c r="E913" s="8" t="str">
        <f>E578</f>
        <v>INST</v>
      </c>
      <c r="G913" s="8"/>
      <c r="L913" s="8"/>
      <c r="O913" s="8"/>
      <c r="T913" s="20"/>
    </row>
    <row r="914" spans="1:20" s="7" customFormat="1" collapsed="1" x14ac:dyDescent="0.2">
      <c r="A914" s="7" t="s">
        <v>92</v>
      </c>
      <c r="E914" s="8" t="str">
        <f>E913</f>
        <v>INST</v>
      </c>
      <c r="F914" s="13" t="str">
        <f>"Total for " &amp; F510</f>
        <v>Total for Installation</v>
      </c>
      <c r="G914" s="13"/>
      <c r="H914" s="13"/>
      <c r="I914" s="13"/>
      <c r="J914" s="13"/>
      <c r="K914" s="13"/>
      <c r="L914" s="13"/>
      <c r="M914" s="13"/>
      <c r="N914" s="13"/>
      <c r="O914" s="13"/>
      <c r="P914" s="13"/>
      <c r="Q914" s="13"/>
      <c r="R914" s="13"/>
      <c r="S914" s="13"/>
      <c r="T914" s="21">
        <f>SUBTOTAL(9,T513:T913)</f>
        <v>60255.900000000081</v>
      </c>
    </row>
    <row r="915" spans="1:20" s="7" customFormat="1" hidden="1" outlineLevel="1" x14ac:dyDescent="0.2">
      <c r="A915" s="7" t="s">
        <v>92</v>
      </c>
      <c r="D915" s="9" t="str">
        <f>"SALES"</f>
        <v>SALES</v>
      </c>
      <c r="E915" s="8" t="str">
        <f>D915</f>
        <v>SALES</v>
      </c>
      <c r="F915" s="11" t="str">
        <f>"Sales"</f>
        <v>Sales</v>
      </c>
      <c r="G915" s="8"/>
      <c r="L915" s="8"/>
      <c r="O915" s="8"/>
      <c r="T915" s="10"/>
    </row>
    <row r="916" spans="1:20" s="7" customFormat="1" hidden="1" outlineLevel="2" x14ac:dyDescent="0.2">
      <c r="A916" s="7" t="s">
        <v>92</v>
      </c>
      <c r="C916" s="7" t="str">
        <f t="shared" ref="C916" si="136">+I916</f>
        <v>Luis</v>
      </c>
      <c r="D916" s="7" t="str">
        <f>+J916</f>
        <v>Bonifaz</v>
      </c>
      <c r="E916" s="8" t="str">
        <f>E915</f>
        <v>SALES</v>
      </c>
      <c r="G916" s="8" t="str">
        <f>H916</f>
        <v>BONI0001</v>
      </c>
      <c r="H916" s="24" t="str">
        <f>"BONI0001"</f>
        <v>BONI0001</v>
      </c>
      <c r="I916" s="25" t="str">
        <f>"Luis"</f>
        <v>Luis</v>
      </c>
      <c r="J916" s="25" t="str">
        <f>"Bonifaz"</f>
        <v>Bonifaz</v>
      </c>
      <c r="K916" s="26"/>
      <c r="L916" s="26"/>
      <c r="M916" s="26"/>
      <c r="N916" s="26"/>
      <c r="O916" s="26"/>
      <c r="P916" s="26"/>
      <c r="Q916" s="26"/>
      <c r="R916" s="26"/>
      <c r="S916" s="26"/>
      <c r="T916" s="27"/>
    </row>
    <row r="917" spans="1:20" s="7" customFormat="1" hidden="1" outlineLevel="3" x14ac:dyDescent="0.2">
      <c r="A917" s="7" t="s">
        <v>92</v>
      </c>
      <c r="C917" s="7" t="str">
        <f t="shared" ref="C917:C974" si="137">+C916</f>
        <v>Luis</v>
      </c>
      <c r="D917" s="7" t="str">
        <f>+D916</f>
        <v>Bonifaz</v>
      </c>
      <c r="E917" s="8" t="str">
        <f>E916</f>
        <v>SALES</v>
      </c>
      <c r="G917" s="8" t="str">
        <f>G916</f>
        <v>BONI0001</v>
      </c>
      <c r="H917" s="26"/>
      <c r="I917" s="26"/>
      <c r="J917" s="26"/>
      <c r="K917" s="28">
        <f>+N917</f>
        <v>42005</v>
      </c>
      <c r="L917" s="26" t="str">
        <f>M917</f>
        <v>DD000000000000000039</v>
      </c>
      <c r="M917" s="26" t="str">
        <f>"DD000000000000000039"</f>
        <v>DD000000000000000039</v>
      </c>
      <c r="N917" s="28">
        <v>42005</v>
      </c>
      <c r="O917" s="26"/>
      <c r="P917" s="26"/>
      <c r="Q917" s="26"/>
      <c r="R917" s="26"/>
      <c r="S917" s="26"/>
      <c r="T917" s="27"/>
    </row>
    <row r="918" spans="1:20" s="7" customFormat="1" hidden="1" outlineLevel="3" x14ac:dyDescent="0.2">
      <c r="A918" s="7" t="s">
        <v>92</v>
      </c>
      <c r="C918" s="7" t="str">
        <f t="shared" si="137"/>
        <v>Luis</v>
      </c>
      <c r="D918" s="7" t="str">
        <f>+D917</f>
        <v>Bonifaz</v>
      </c>
      <c r="E918" s="8" t="str">
        <f>E917</f>
        <v>SALES</v>
      </c>
      <c r="G918" s="8" t="str">
        <f>G917</f>
        <v>BONI0001</v>
      </c>
      <c r="H918" s="26"/>
      <c r="I918" s="26"/>
      <c r="J918" s="26"/>
      <c r="K918" s="28">
        <f>+K917</f>
        <v>42005</v>
      </c>
      <c r="L918" s="26" t="str">
        <f>L917</f>
        <v>DD000000000000000039</v>
      </c>
      <c r="M918" s="26"/>
      <c r="N918" s="26"/>
      <c r="O918" s="26" t="str">
        <f>"""GP Direct"",""Fabrikam, Inc."",""UPR30300"",""PAYRATE"",""0.00000"",""PAYROLCD"",""401K"",""STATECD"","""",""CHEKDATE"",""1/1/2015"",""UPRTRXAM"",""1.97000"""</f>
        <v>"GP Direct","Fabrikam, Inc.","UPR30300","PAYRATE","0.00000","PAYROLCD","401K","STATECD","","CHEKDATE","1/1/2015","UPRTRXAM","1.97000"</v>
      </c>
      <c r="P918" s="29">
        <v>0</v>
      </c>
      <c r="Q918" s="26" t="str">
        <f>"401K"</f>
        <v>401K</v>
      </c>
      <c r="R918" s="26"/>
      <c r="S918" s="28">
        <v>42005</v>
      </c>
      <c r="T918" s="29">
        <v>1.97</v>
      </c>
    </row>
    <row r="919" spans="1:20" s="7" customFormat="1" hidden="1" outlineLevel="3" x14ac:dyDescent="0.2">
      <c r="A919" s="7" t="s">
        <v>92</v>
      </c>
      <c r="C919" s="7" t="str">
        <f t="shared" ref="C919:C923" si="138">+C918</f>
        <v>Luis</v>
      </c>
      <c r="D919" s="7" t="str">
        <f>+D918</f>
        <v>Bonifaz</v>
      </c>
      <c r="E919" s="8" t="str">
        <f>E918</f>
        <v>SALES</v>
      </c>
      <c r="G919" s="8" t="str">
        <f>G918</f>
        <v>BONI0001</v>
      </c>
      <c r="H919" s="26"/>
      <c r="I919" s="26"/>
      <c r="J919" s="26"/>
      <c r="K919" s="28">
        <f>+K918</f>
        <v>42005</v>
      </c>
      <c r="L919" s="26" t="str">
        <f>L918</f>
        <v>DD000000000000000039</v>
      </c>
      <c r="M919" s="26"/>
      <c r="N919" s="26"/>
      <c r="O919" s="26" t="str">
        <f>"""GP Direct"",""Fabrikam, Inc."",""UPR30300"",""PAYRATE"",""0.00000"",""PAYROLCD"",""401K"",""STATECD"","""",""CHEKDATE"",""1/1/2015"",""UPRTRXAM"",""39.38000"""</f>
        <v>"GP Direct","Fabrikam, Inc.","UPR30300","PAYRATE","0.00000","PAYROLCD","401K","STATECD","","CHEKDATE","1/1/2015","UPRTRXAM","39.38000"</v>
      </c>
      <c r="P919" s="29">
        <v>0</v>
      </c>
      <c r="Q919" s="26" t="str">
        <f>"401K"</f>
        <v>401K</v>
      </c>
      <c r="R919" s="26"/>
      <c r="S919" s="28">
        <v>42005</v>
      </c>
      <c r="T919" s="29">
        <v>39.380000000000003</v>
      </c>
    </row>
    <row r="920" spans="1:20" s="7" customFormat="1" hidden="1" outlineLevel="3" x14ac:dyDescent="0.2">
      <c r="A920" s="7" t="s">
        <v>92</v>
      </c>
      <c r="C920" s="7" t="str">
        <f t="shared" si="138"/>
        <v>Luis</v>
      </c>
      <c r="D920" s="7" t="str">
        <f>+D919</f>
        <v>Bonifaz</v>
      </c>
      <c r="E920" s="8" t="str">
        <f>E919</f>
        <v>SALES</v>
      </c>
      <c r="G920" s="8" t="str">
        <f>G919</f>
        <v>BONI0001</v>
      </c>
      <c r="H920" s="26"/>
      <c r="I920" s="26"/>
      <c r="J920" s="26"/>
      <c r="K920" s="28">
        <f>+K919</f>
        <v>42005</v>
      </c>
      <c r="L920" s="26" t="str">
        <f>L919</f>
        <v>DD000000000000000039</v>
      </c>
      <c r="M920" s="26"/>
      <c r="N920" s="26"/>
      <c r="O920" s="26" t="str">
        <f>"""GP Direct"",""Fabrikam, Inc."",""UPR30300"",""PAYRATE"",""0.00000"",""PAYROLCD"",""IL"",""STATECD"","""",""CHEKDATE"",""1/1/2015"",""UPRTRXAM"",""36.79000"""</f>
        <v>"GP Direct","Fabrikam, Inc.","UPR30300","PAYRATE","0.00000","PAYROLCD","IL","STATECD","","CHEKDATE","1/1/2015","UPRTRXAM","36.79000"</v>
      </c>
      <c r="P920" s="29">
        <v>0</v>
      </c>
      <c r="Q920" s="26" t="str">
        <f>"IL"</f>
        <v>IL</v>
      </c>
      <c r="R920" s="26"/>
      <c r="S920" s="28">
        <v>42005</v>
      </c>
      <c r="T920" s="29">
        <v>36.79</v>
      </c>
    </row>
    <row r="921" spans="1:20" s="7" customFormat="1" hidden="1" outlineLevel="3" x14ac:dyDescent="0.2">
      <c r="A921" s="7" t="s">
        <v>92</v>
      </c>
      <c r="C921" s="7" t="str">
        <f t="shared" si="138"/>
        <v>Luis</v>
      </c>
      <c r="D921" s="7" t="str">
        <f>+D920</f>
        <v>Bonifaz</v>
      </c>
      <c r="E921" s="8" t="str">
        <f>E920</f>
        <v>SALES</v>
      </c>
      <c r="G921" s="8" t="str">
        <f>G920</f>
        <v>BONI0001</v>
      </c>
      <c r="H921" s="26"/>
      <c r="I921" s="26"/>
      <c r="J921" s="26"/>
      <c r="K921" s="28">
        <f>+K920</f>
        <v>42005</v>
      </c>
      <c r="L921" s="26" t="str">
        <f>L920</f>
        <v>DD000000000000000039</v>
      </c>
      <c r="M921" s="26"/>
      <c r="N921" s="26"/>
      <c r="O921" s="26" t="str">
        <f>"""GP Direct"",""Fabrikam, Inc."",""UPR30300"",""PAYRATE"",""0.00000"",""PAYROLCD"",""INS"",""STATECD"","""",""CHEKDATE"",""1/1/2015"",""UPRTRXAM"",""49.36000"""</f>
        <v>"GP Direct","Fabrikam, Inc.","UPR30300","PAYRATE","0.00000","PAYROLCD","INS","STATECD","","CHEKDATE","1/1/2015","UPRTRXAM","49.36000"</v>
      </c>
      <c r="P921" s="29">
        <v>0</v>
      </c>
      <c r="Q921" s="26" t="str">
        <f>"INS"</f>
        <v>INS</v>
      </c>
      <c r="R921" s="26"/>
      <c r="S921" s="28">
        <v>42005</v>
      </c>
      <c r="T921" s="29">
        <v>49.36</v>
      </c>
    </row>
    <row r="922" spans="1:20" s="7" customFormat="1" hidden="1" outlineLevel="3" x14ac:dyDescent="0.2">
      <c r="A922" s="7" t="s">
        <v>92</v>
      </c>
      <c r="C922" s="7" t="str">
        <f t="shared" si="138"/>
        <v>Luis</v>
      </c>
      <c r="D922" s="7" t="str">
        <f>+D921</f>
        <v>Bonifaz</v>
      </c>
      <c r="E922" s="8" t="str">
        <f>E921</f>
        <v>SALES</v>
      </c>
      <c r="G922" s="8" t="str">
        <f>G921</f>
        <v>BONI0001</v>
      </c>
      <c r="H922" s="26"/>
      <c r="I922" s="26"/>
      <c r="J922" s="26"/>
      <c r="K922" s="28">
        <f>+K921</f>
        <v>42005</v>
      </c>
      <c r="L922" s="26" t="str">
        <f>L921</f>
        <v>DD000000000000000039</v>
      </c>
      <c r="M922" s="26"/>
      <c r="N922" s="26"/>
      <c r="O922" s="26" t="str">
        <f>"""GP Direct"",""Fabrikam, Inc."",""UPR30300"",""PAYRATE"",""0.00000"",""PAYROLCD"",""MED"",""STATECD"","""",""CHEKDATE"",""1/1/2015"",""UPRTRXAM"",""5.00000"""</f>
        <v>"GP Direct","Fabrikam, Inc.","UPR30300","PAYRATE","0.00000","PAYROLCD","MED","STATECD","","CHEKDATE","1/1/2015","UPRTRXAM","5.00000"</v>
      </c>
      <c r="P922" s="29">
        <v>0</v>
      </c>
      <c r="Q922" s="26" t="str">
        <f>"MED"</f>
        <v>MED</v>
      </c>
      <c r="R922" s="26"/>
      <c r="S922" s="28">
        <v>42005</v>
      </c>
      <c r="T922" s="29">
        <v>5</v>
      </c>
    </row>
    <row r="923" spans="1:20" s="7" customFormat="1" hidden="1" outlineLevel="3" x14ac:dyDescent="0.2">
      <c r="A923" s="7" t="s">
        <v>92</v>
      </c>
      <c r="C923" s="7" t="str">
        <f t="shared" si="138"/>
        <v>Luis</v>
      </c>
      <c r="D923" s="7" t="str">
        <f>+D922</f>
        <v>Bonifaz</v>
      </c>
      <c r="E923" s="8" t="str">
        <f>E922</f>
        <v>SALES</v>
      </c>
      <c r="G923" s="8" t="str">
        <f>G922</f>
        <v>BONI0001</v>
      </c>
      <c r="H923" s="26"/>
      <c r="I923" s="26"/>
      <c r="J923" s="26"/>
      <c r="K923" s="28">
        <f>+K922</f>
        <v>42005</v>
      </c>
      <c r="L923" s="26" t="str">
        <f>L922</f>
        <v>DD000000000000000039</v>
      </c>
      <c r="M923" s="26"/>
      <c r="N923" s="26"/>
      <c r="O923" s="26" t="str">
        <f>"""GP Direct"",""Fabrikam, Inc."",""UPR30300"",""PAYRATE"",""31500.00000"",""PAYROLCD"",""SALY"",""STATECD"",""IL"",""CHEKDATE"",""1/1/2015"",""UPRTRXAM"",""1312.50000"""</f>
        <v>"GP Direct","Fabrikam, Inc.","UPR30300","PAYRATE","31500.00000","PAYROLCD","SALY","STATECD","IL","CHEKDATE","1/1/2015","UPRTRXAM","1312.50000"</v>
      </c>
      <c r="P923" s="29">
        <v>31500</v>
      </c>
      <c r="Q923" s="26" t="str">
        <f>"SALY"</f>
        <v>SALY</v>
      </c>
      <c r="R923" s="26" t="str">
        <f>"IL"</f>
        <v>IL</v>
      </c>
      <c r="S923" s="28">
        <v>42005</v>
      </c>
      <c r="T923" s="29">
        <v>1312.5</v>
      </c>
    </row>
    <row r="924" spans="1:20" s="7" customFormat="1" hidden="1" outlineLevel="3" x14ac:dyDescent="0.2">
      <c r="A924" s="7" t="s">
        <v>92</v>
      </c>
      <c r="C924" s="7" t="str">
        <f>+C918</f>
        <v>Luis</v>
      </c>
      <c r="D924" s="7" t="str">
        <f>+D918</f>
        <v>Bonifaz</v>
      </c>
      <c r="E924" s="8" t="str">
        <f>E918</f>
        <v>SALES</v>
      </c>
      <c r="G924" s="8" t="str">
        <f>G918</f>
        <v>BONI0001</v>
      </c>
      <c r="K924" s="12">
        <f>+K918</f>
        <v>42005</v>
      </c>
      <c r="L924" s="8" t="str">
        <f>L918</f>
        <v>DD000000000000000039</v>
      </c>
      <c r="O924" s="8"/>
      <c r="T924" s="20"/>
    </row>
    <row r="925" spans="1:20" s="7" customFormat="1" hidden="1" outlineLevel="2" collapsed="1" x14ac:dyDescent="0.2">
      <c r="A925" s="7" t="s">
        <v>92</v>
      </c>
      <c r="C925" s="7" t="str">
        <f t="shared" si="137"/>
        <v>Luis</v>
      </c>
      <c r="D925" s="7" t="str">
        <f>+D924</f>
        <v>Bonifaz</v>
      </c>
      <c r="E925" s="8" t="str">
        <f>E924</f>
        <v>SALES</v>
      </c>
      <c r="G925" s="8" t="str">
        <f>G924</f>
        <v>BONI0001</v>
      </c>
      <c r="K925" s="12">
        <f>+K924</f>
        <v>42005</v>
      </c>
      <c r="L925" s="8" t="str">
        <f>L924</f>
        <v>DD000000000000000039</v>
      </c>
      <c r="M925" s="33" t="str">
        <f>"Total for " &amp; $L925</f>
        <v>Total for DD000000000000000039</v>
      </c>
      <c r="N925" s="34">
        <f>+K925</f>
        <v>42005</v>
      </c>
      <c r="O925" s="35"/>
      <c r="P925" s="33"/>
      <c r="Q925" s="33"/>
      <c r="R925" s="33"/>
      <c r="S925" s="33"/>
      <c r="T925" s="36">
        <f>SUBTOTAL(9,T918:T924)</f>
        <v>1445</v>
      </c>
    </row>
    <row r="926" spans="1:20" s="7" customFormat="1" hidden="1" outlineLevel="3" x14ac:dyDescent="0.2">
      <c r="A926" s="7" t="s">
        <v>92</v>
      </c>
      <c r="C926" s="7" t="str">
        <f t="shared" ref="C926:C972" si="139">+C925</f>
        <v>Luis</v>
      </c>
      <c r="D926" s="7" t="str">
        <f>+D925</f>
        <v>Bonifaz</v>
      </c>
      <c r="E926" s="8" t="str">
        <f>E925</f>
        <v>SALES</v>
      </c>
      <c r="G926" s="8" t="str">
        <f>G925</f>
        <v>BONI0001</v>
      </c>
      <c r="H926" s="26"/>
      <c r="I926" s="26"/>
      <c r="J926" s="26"/>
      <c r="K926" s="28">
        <f>+N926</f>
        <v>42036</v>
      </c>
      <c r="L926" s="26" t="str">
        <f>M926</f>
        <v>DD000000000000000042</v>
      </c>
      <c r="M926" s="26" t="str">
        <f>"DD000000000000000042"</f>
        <v>DD000000000000000042</v>
      </c>
      <c r="N926" s="28">
        <v>42036</v>
      </c>
      <c r="O926" s="26"/>
      <c r="P926" s="26"/>
      <c r="Q926" s="26"/>
      <c r="R926" s="26"/>
      <c r="S926" s="26"/>
      <c r="T926" s="27"/>
    </row>
    <row r="927" spans="1:20" s="7" customFormat="1" hidden="1" outlineLevel="3" x14ac:dyDescent="0.2">
      <c r="A927" s="7" t="s">
        <v>92</v>
      </c>
      <c r="C927" s="7" t="str">
        <f t="shared" si="139"/>
        <v>Luis</v>
      </c>
      <c r="D927" s="7" t="str">
        <f>+D926</f>
        <v>Bonifaz</v>
      </c>
      <c r="E927" s="8" t="str">
        <f>E926</f>
        <v>SALES</v>
      </c>
      <c r="G927" s="8" t="str">
        <f>G926</f>
        <v>BONI0001</v>
      </c>
      <c r="H927" s="26"/>
      <c r="I927" s="26"/>
      <c r="J927" s="26"/>
      <c r="K927" s="28">
        <f>+K926</f>
        <v>42036</v>
      </c>
      <c r="L927" s="26" t="str">
        <f>L926</f>
        <v>DD000000000000000042</v>
      </c>
      <c r="M927" s="26"/>
      <c r="N927" s="26"/>
      <c r="O927" s="26" t="str">
        <f>"""GP Direct"",""Fabrikam, Inc."",""UPR30300"",""PAYRATE"",""0.00000"",""PAYROLCD"",""401K"",""STATECD"","""",""CHEKDATE"",""2/1/2015"",""UPRTRXAM"",""1.97000"""</f>
        <v>"GP Direct","Fabrikam, Inc.","UPR30300","PAYRATE","0.00000","PAYROLCD","401K","STATECD","","CHEKDATE","2/1/2015","UPRTRXAM","1.97000"</v>
      </c>
      <c r="P927" s="29">
        <v>0</v>
      </c>
      <c r="Q927" s="26" t="str">
        <f>"401K"</f>
        <v>401K</v>
      </c>
      <c r="R927" s="26"/>
      <c r="S927" s="28">
        <v>42036</v>
      </c>
      <c r="T927" s="29">
        <v>1.97</v>
      </c>
    </row>
    <row r="928" spans="1:20" s="7" customFormat="1" hidden="1" outlineLevel="3" x14ac:dyDescent="0.2">
      <c r="A928" s="7" t="s">
        <v>92</v>
      </c>
      <c r="C928" s="7" t="str">
        <f t="shared" ref="C928:C932" si="140">+C927</f>
        <v>Luis</v>
      </c>
      <c r="D928" s="7" t="str">
        <f>+D927</f>
        <v>Bonifaz</v>
      </c>
      <c r="E928" s="8" t="str">
        <f>E927</f>
        <v>SALES</v>
      </c>
      <c r="G928" s="8" t="str">
        <f>G927</f>
        <v>BONI0001</v>
      </c>
      <c r="H928" s="26"/>
      <c r="I928" s="26"/>
      <c r="J928" s="26"/>
      <c r="K928" s="28">
        <f>+K927</f>
        <v>42036</v>
      </c>
      <c r="L928" s="26" t="str">
        <f>L927</f>
        <v>DD000000000000000042</v>
      </c>
      <c r="M928" s="26"/>
      <c r="N928" s="26"/>
      <c r="O928" s="26" t="str">
        <f>"""GP Direct"",""Fabrikam, Inc."",""UPR30300"",""PAYRATE"",""0.00000"",""PAYROLCD"",""401K"",""STATECD"","""",""CHEKDATE"",""2/1/2015"",""UPRTRXAM"",""39.38000"""</f>
        <v>"GP Direct","Fabrikam, Inc.","UPR30300","PAYRATE","0.00000","PAYROLCD","401K","STATECD","","CHEKDATE","2/1/2015","UPRTRXAM","39.38000"</v>
      </c>
      <c r="P928" s="29">
        <v>0</v>
      </c>
      <c r="Q928" s="26" t="str">
        <f>"401K"</f>
        <v>401K</v>
      </c>
      <c r="R928" s="26"/>
      <c r="S928" s="28">
        <v>42036</v>
      </c>
      <c r="T928" s="29">
        <v>39.380000000000003</v>
      </c>
    </row>
    <row r="929" spans="1:20" s="7" customFormat="1" hidden="1" outlineLevel="3" x14ac:dyDescent="0.2">
      <c r="A929" s="7" t="s">
        <v>92</v>
      </c>
      <c r="C929" s="7" t="str">
        <f t="shared" si="140"/>
        <v>Luis</v>
      </c>
      <c r="D929" s="7" t="str">
        <f>+D928</f>
        <v>Bonifaz</v>
      </c>
      <c r="E929" s="8" t="str">
        <f>E928</f>
        <v>SALES</v>
      </c>
      <c r="G929" s="8" t="str">
        <f>G928</f>
        <v>BONI0001</v>
      </c>
      <c r="H929" s="26"/>
      <c r="I929" s="26"/>
      <c r="J929" s="26"/>
      <c r="K929" s="28">
        <f>+K928</f>
        <v>42036</v>
      </c>
      <c r="L929" s="26" t="str">
        <f>L928</f>
        <v>DD000000000000000042</v>
      </c>
      <c r="M929" s="26"/>
      <c r="N929" s="26"/>
      <c r="O929" s="26" t="str">
        <f>"""GP Direct"",""Fabrikam, Inc."",""UPR30300"",""PAYRATE"",""0.00000"",""PAYROLCD"",""IL"",""STATECD"","""",""CHEKDATE"",""2/1/2015"",""UPRTRXAM"",""36.79000"""</f>
        <v>"GP Direct","Fabrikam, Inc.","UPR30300","PAYRATE","0.00000","PAYROLCD","IL","STATECD","","CHEKDATE","2/1/2015","UPRTRXAM","36.79000"</v>
      </c>
      <c r="P929" s="29">
        <v>0</v>
      </c>
      <c r="Q929" s="26" t="str">
        <f>"IL"</f>
        <v>IL</v>
      </c>
      <c r="R929" s="26"/>
      <c r="S929" s="28">
        <v>42036</v>
      </c>
      <c r="T929" s="29">
        <v>36.79</v>
      </c>
    </row>
    <row r="930" spans="1:20" s="7" customFormat="1" hidden="1" outlineLevel="3" x14ac:dyDescent="0.2">
      <c r="A930" s="7" t="s">
        <v>92</v>
      </c>
      <c r="C930" s="7" t="str">
        <f t="shared" si="140"/>
        <v>Luis</v>
      </c>
      <c r="D930" s="7" t="str">
        <f>+D929</f>
        <v>Bonifaz</v>
      </c>
      <c r="E930" s="8" t="str">
        <f>E929</f>
        <v>SALES</v>
      </c>
      <c r="G930" s="8" t="str">
        <f>G929</f>
        <v>BONI0001</v>
      </c>
      <c r="H930" s="26"/>
      <c r="I930" s="26"/>
      <c r="J930" s="26"/>
      <c r="K930" s="28">
        <f>+K929</f>
        <v>42036</v>
      </c>
      <c r="L930" s="26" t="str">
        <f>L929</f>
        <v>DD000000000000000042</v>
      </c>
      <c r="M930" s="26"/>
      <c r="N930" s="26"/>
      <c r="O930" s="26" t="str">
        <f>"""GP Direct"",""Fabrikam, Inc."",""UPR30300"",""PAYRATE"",""0.00000"",""PAYROLCD"",""INS"",""STATECD"","""",""CHEKDATE"",""2/1/2015"",""UPRTRXAM"",""49.36000"""</f>
        <v>"GP Direct","Fabrikam, Inc.","UPR30300","PAYRATE","0.00000","PAYROLCD","INS","STATECD","","CHEKDATE","2/1/2015","UPRTRXAM","49.36000"</v>
      </c>
      <c r="P930" s="29">
        <v>0</v>
      </c>
      <c r="Q930" s="26" t="str">
        <f>"INS"</f>
        <v>INS</v>
      </c>
      <c r="R930" s="26"/>
      <c r="S930" s="28">
        <v>42036</v>
      </c>
      <c r="T930" s="29">
        <v>49.36</v>
      </c>
    </row>
    <row r="931" spans="1:20" s="7" customFormat="1" hidden="1" outlineLevel="3" x14ac:dyDescent="0.2">
      <c r="A931" s="7" t="s">
        <v>92</v>
      </c>
      <c r="C931" s="7" t="str">
        <f t="shared" si="140"/>
        <v>Luis</v>
      </c>
      <c r="D931" s="7" t="str">
        <f>+D930</f>
        <v>Bonifaz</v>
      </c>
      <c r="E931" s="8" t="str">
        <f>E930</f>
        <v>SALES</v>
      </c>
      <c r="G931" s="8" t="str">
        <f>G930</f>
        <v>BONI0001</v>
      </c>
      <c r="H931" s="26"/>
      <c r="I931" s="26"/>
      <c r="J931" s="26"/>
      <c r="K931" s="28">
        <f>+K930</f>
        <v>42036</v>
      </c>
      <c r="L931" s="26" t="str">
        <f>L930</f>
        <v>DD000000000000000042</v>
      </c>
      <c r="M931" s="26"/>
      <c r="N931" s="26"/>
      <c r="O931" s="26" t="str">
        <f>"""GP Direct"",""Fabrikam, Inc."",""UPR30300"",""PAYRATE"",""0.00000"",""PAYROLCD"",""MED"",""STATECD"","""",""CHEKDATE"",""2/1/2015"",""UPRTRXAM"",""5.00000"""</f>
        <v>"GP Direct","Fabrikam, Inc.","UPR30300","PAYRATE","0.00000","PAYROLCD","MED","STATECD","","CHEKDATE","2/1/2015","UPRTRXAM","5.00000"</v>
      </c>
      <c r="P931" s="29">
        <v>0</v>
      </c>
      <c r="Q931" s="26" t="str">
        <f>"MED"</f>
        <v>MED</v>
      </c>
      <c r="R931" s="26"/>
      <c r="S931" s="28">
        <v>42036</v>
      </c>
      <c r="T931" s="29">
        <v>5</v>
      </c>
    </row>
    <row r="932" spans="1:20" s="7" customFormat="1" hidden="1" outlineLevel="3" x14ac:dyDescent="0.2">
      <c r="A932" s="7" t="s">
        <v>92</v>
      </c>
      <c r="C932" s="7" t="str">
        <f t="shared" si="140"/>
        <v>Luis</v>
      </c>
      <c r="D932" s="7" t="str">
        <f>+D931</f>
        <v>Bonifaz</v>
      </c>
      <c r="E932" s="8" t="str">
        <f>E931</f>
        <v>SALES</v>
      </c>
      <c r="G932" s="8" t="str">
        <f>G931</f>
        <v>BONI0001</v>
      </c>
      <c r="H932" s="26"/>
      <c r="I932" s="26"/>
      <c r="J932" s="26"/>
      <c r="K932" s="28">
        <f>+K931</f>
        <v>42036</v>
      </c>
      <c r="L932" s="26" t="str">
        <f>L931</f>
        <v>DD000000000000000042</v>
      </c>
      <c r="M932" s="26"/>
      <c r="N932" s="26"/>
      <c r="O932" s="26" t="str">
        <f>"""GP Direct"",""Fabrikam, Inc."",""UPR30300"",""PAYRATE"",""31500.00000"",""PAYROLCD"",""SALY"",""STATECD"",""IL"",""CHEKDATE"",""2/1/2015"",""UPRTRXAM"",""1312.50000"""</f>
        <v>"GP Direct","Fabrikam, Inc.","UPR30300","PAYRATE","31500.00000","PAYROLCD","SALY","STATECD","IL","CHEKDATE","2/1/2015","UPRTRXAM","1312.50000"</v>
      </c>
      <c r="P932" s="29">
        <v>31500</v>
      </c>
      <c r="Q932" s="26" t="str">
        <f>"SALY"</f>
        <v>SALY</v>
      </c>
      <c r="R932" s="26" t="str">
        <f>"IL"</f>
        <v>IL</v>
      </c>
      <c r="S932" s="28">
        <v>42036</v>
      </c>
      <c r="T932" s="29">
        <v>1312.5</v>
      </c>
    </row>
    <row r="933" spans="1:20" s="7" customFormat="1" hidden="1" outlineLevel="3" x14ac:dyDescent="0.2">
      <c r="A933" s="7" t="s">
        <v>92</v>
      </c>
      <c r="C933" s="7" t="str">
        <f>+C927</f>
        <v>Luis</v>
      </c>
      <c r="D933" s="7" t="str">
        <f>+D927</f>
        <v>Bonifaz</v>
      </c>
      <c r="E933" s="8" t="str">
        <f>E927</f>
        <v>SALES</v>
      </c>
      <c r="G933" s="8" t="str">
        <f>G927</f>
        <v>BONI0001</v>
      </c>
      <c r="K933" s="12">
        <f>+K927</f>
        <v>42036</v>
      </c>
      <c r="L933" s="8" t="str">
        <f>L927</f>
        <v>DD000000000000000042</v>
      </c>
      <c r="O933" s="8"/>
      <c r="T933" s="20"/>
    </row>
    <row r="934" spans="1:20" s="7" customFormat="1" hidden="1" outlineLevel="2" collapsed="1" x14ac:dyDescent="0.2">
      <c r="A934" s="7" t="s">
        <v>92</v>
      </c>
      <c r="C934" s="7" t="str">
        <f t="shared" si="139"/>
        <v>Luis</v>
      </c>
      <c r="D934" s="7" t="str">
        <f>+D933</f>
        <v>Bonifaz</v>
      </c>
      <c r="E934" s="8" t="str">
        <f>E933</f>
        <v>SALES</v>
      </c>
      <c r="G934" s="8" t="str">
        <f>G933</f>
        <v>BONI0001</v>
      </c>
      <c r="K934" s="12">
        <f>+K933</f>
        <v>42036</v>
      </c>
      <c r="L934" s="8" t="str">
        <f>L933</f>
        <v>DD000000000000000042</v>
      </c>
      <c r="M934" s="33" t="str">
        <f>"Total for " &amp; $L934</f>
        <v>Total for DD000000000000000042</v>
      </c>
      <c r="N934" s="34">
        <f>+K934</f>
        <v>42036</v>
      </c>
      <c r="O934" s="35"/>
      <c r="P934" s="33"/>
      <c r="Q934" s="33"/>
      <c r="R934" s="33"/>
      <c r="S934" s="33"/>
      <c r="T934" s="36">
        <f>SUBTOTAL(9,T927:T933)</f>
        <v>1445</v>
      </c>
    </row>
    <row r="935" spans="1:20" s="7" customFormat="1" hidden="1" outlineLevel="3" x14ac:dyDescent="0.2">
      <c r="A935" s="7" t="s">
        <v>92</v>
      </c>
      <c r="C935" s="7" t="str">
        <f t="shared" si="139"/>
        <v>Luis</v>
      </c>
      <c r="D935" s="7" t="str">
        <f>+D934</f>
        <v>Bonifaz</v>
      </c>
      <c r="E935" s="8" t="str">
        <f>E934</f>
        <v>SALES</v>
      </c>
      <c r="G935" s="8" t="str">
        <f>G934</f>
        <v>BONI0001</v>
      </c>
      <c r="H935" s="26"/>
      <c r="I935" s="26"/>
      <c r="J935" s="26"/>
      <c r="K935" s="28">
        <f>+N935</f>
        <v>42064</v>
      </c>
      <c r="L935" s="26" t="str">
        <f>M935</f>
        <v>DD000000000000000045</v>
      </c>
      <c r="M935" s="26" t="str">
        <f>"DD000000000000000045"</f>
        <v>DD000000000000000045</v>
      </c>
      <c r="N935" s="28">
        <v>42064</v>
      </c>
      <c r="O935" s="26"/>
      <c r="P935" s="26"/>
      <c r="Q935" s="26"/>
      <c r="R935" s="26"/>
      <c r="S935" s="26"/>
      <c r="T935" s="27"/>
    </row>
    <row r="936" spans="1:20" s="7" customFormat="1" hidden="1" outlineLevel="3" x14ac:dyDescent="0.2">
      <c r="A936" s="7" t="s">
        <v>92</v>
      </c>
      <c r="C936" s="7" t="str">
        <f t="shared" si="139"/>
        <v>Luis</v>
      </c>
      <c r="D936" s="7" t="str">
        <f>+D935</f>
        <v>Bonifaz</v>
      </c>
      <c r="E936" s="8" t="str">
        <f>E935</f>
        <v>SALES</v>
      </c>
      <c r="G936" s="8" t="str">
        <f>G935</f>
        <v>BONI0001</v>
      </c>
      <c r="H936" s="26"/>
      <c r="I936" s="26"/>
      <c r="J936" s="26"/>
      <c r="K936" s="28">
        <f>+K935</f>
        <v>42064</v>
      </c>
      <c r="L936" s="26" t="str">
        <f>L935</f>
        <v>DD000000000000000045</v>
      </c>
      <c r="M936" s="26"/>
      <c r="N936" s="26"/>
      <c r="O936" s="26" t="str">
        <f>"""GP Direct"",""Fabrikam, Inc."",""UPR30300"",""PAYRATE"",""0.00000"",""PAYROLCD"",""401K"",""STATECD"","""",""CHEKDATE"",""3/1/2015"",""UPRTRXAM"",""1.97000"""</f>
        <v>"GP Direct","Fabrikam, Inc.","UPR30300","PAYRATE","0.00000","PAYROLCD","401K","STATECD","","CHEKDATE","3/1/2015","UPRTRXAM","1.97000"</v>
      </c>
      <c r="P936" s="29">
        <v>0</v>
      </c>
      <c r="Q936" s="26" t="str">
        <f>"401K"</f>
        <v>401K</v>
      </c>
      <c r="R936" s="26"/>
      <c r="S936" s="28">
        <v>42064</v>
      </c>
      <c r="T936" s="29">
        <v>1.97</v>
      </c>
    </row>
    <row r="937" spans="1:20" s="7" customFormat="1" hidden="1" outlineLevel="3" x14ac:dyDescent="0.2">
      <c r="A937" s="7" t="s">
        <v>92</v>
      </c>
      <c r="C937" s="7" t="str">
        <f t="shared" ref="C937:C941" si="141">+C936</f>
        <v>Luis</v>
      </c>
      <c r="D937" s="7" t="str">
        <f>+D936</f>
        <v>Bonifaz</v>
      </c>
      <c r="E937" s="8" t="str">
        <f>E936</f>
        <v>SALES</v>
      </c>
      <c r="G937" s="8" t="str">
        <f>G936</f>
        <v>BONI0001</v>
      </c>
      <c r="H937" s="26"/>
      <c r="I937" s="26"/>
      <c r="J937" s="26"/>
      <c r="K937" s="28">
        <f>+K936</f>
        <v>42064</v>
      </c>
      <c r="L937" s="26" t="str">
        <f>L936</f>
        <v>DD000000000000000045</v>
      </c>
      <c r="M937" s="26"/>
      <c r="N937" s="26"/>
      <c r="O937" s="26" t="str">
        <f>"""GP Direct"",""Fabrikam, Inc."",""UPR30300"",""PAYRATE"",""0.00000"",""PAYROLCD"",""401K"",""STATECD"","""",""CHEKDATE"",""3/1/2015"",""UPRTRXAM"",""39.38000"""</f>
        <v>"GP Direct","Fabrikam, Inc.","UPR30300","PAYRATE","0.00000","PAYROLCD","401K","STATECD","","CHEKDATE","3/1/2015","UPRTRXAM","39.38000"</v>
      </c>
      <c r="P937" s="29">
        <v>0</v>
      </c>
      <c r="Q937" s="26" t="str">
        <f>"401K"</f>
        <v>401K</v>
      </c>
      <c r="R937" s="26"/>
      <c r="S937" s="28">
        <v>42064</v>
      </c>
      <c r="T937" s="29">
        <v>39.380000000000003</v>
      </c>
    </row>
    <row r="938" spans="1:20" s="7" customFormat="1" hidden="1" outlineLevel="3" x14ac:dyDescent="0.2">
      <c r="A938" s="7" t="s">
        <v>92</v>
      </c>
      <c r="C938" s="7" t="str">
        <f t="shared" si="141"/>
        <v>Luis</v>
      </c>
      <c r="D938" s="7" t="str">
        <f>+D937</f>
        <v>Bonifaz</v>
      </c>
      <c r="E938" s="8" t="str">
        <f>E937</f>
        <v>SALES</v>
      </c>
      <c r="G938" s="8" t="str">
        <f>G937</f>
        <v>BONI0001</v>
      </c>
      <c r="H938" s="26"/>
      <c r="I938" s="26"/>
      <c r="J938" s="26"/>
      <c r="K938" s="28">
        <f>+K937</f>
        <v>42064</v>
      </c>
      <c r="L938" s="26" t="str">
        <f>L937</f>
        <v>DD000000000000000045</v>
      </c>
      <c r="M938" s="26"/>
      <c r="N938" s="26"/>
      <c r="O938" s="26" t="str">
        <f>"""GP Direct"",""Fabrikam, Inc."",""UPR30300"",""PAYRATE"",""0.00000"",""PAYROLCD"",""IL"",""STATECD"","""",""CHEKDATE"",""3/1/2015"",""UPRTRXAM"",""36.79000"""</f>
        <v>"GP Direct","Fabrikam, Inc.","UPR30300","PAYRATE","0.00000","PAYROLCD","IL","STATECD","","CHEKDATE","3/1/2015","UPRTRXAM","36.79000"</v>
      </c>
      <c r="P938" s="29">
        <v>0</v>
      </c>
      <c r="Q938" s="26" t="str">
        <f>"IL"</f>
        <v>IL</v>
      </c>
      <c r="R938" s="26"/>
      <c r="S938" s="28">
        <v>42064</v>
      </c>
      <c r="T938" s="29">
        <v>36.79</v>
      </c>
    </row>
    <row r="939" spans="1:20" s="7" customFormat="1" hidden="1" outlineLevel="3" x14ac:dyDescent="0.2">
      <c r="A939" s="7" t="s">
        <v>92</v>
      </c>
      <c r="C939" s="7" t="str">
        <f t="shared" si="141"/>
        <v>Luis</v>
      </c>
      <c r="D939" s="7" t="str">
        <f>+D938</f>
        <v>Bonifaz</v>
      </c>
      <c r="E939" s="8" t="str">
        <f>E938</f>
        <v>SALES</v>
      </c>
      <c r="G939" s="8" t="str">
        <f>G938</f>
        <v>BONI0001</v>
      </c>
      <c r="H939" s="26"/>
      <c r="I939" s="26"/>
      <c r="J939" s="26"/>
      <c r="K939" s="28">
        <f>+K938</f>
        <v>42064</v>
      </c>
      <c r="L939" s="26" t="str">
        <f>L938</f>
        <v>DD000000000000000045</v>
      </c>
      <c r="M939" s="26"/>
      <c r="N939" s="26"/>
      <c r="O939" s="26" t="str">
        <f>"""GP Direct"",""Fabrikam, Inc."",""UPR30300"",""PAYRATE"",""0.00000"",""PAYROLCD"",""INS"",""STATECD"","""",""CHEKDATE"",""3/1/2015"",""UPRTRXAM"",""49.36000"""</f>
        <v>"GP Direct","Fabrikam, Inc.","UPR30300","PAYRATE","0.00000","PAYROLCD","INS","STATECD","","CHEKDATE","3/1/2015","UPRTRXAM","49.36000"</v>
      </c>
      <c r="P939" s="29">
        <v>0</v>
      </c>
      <c r="Q939" s="26" t="str">
        <f>"INS"</f>
        <v>INS</v>
      </c>
      <c r="R939" s="26"/>
      <c r="S939" s="28">
        <v>42064</v>
      </c>
      <c r="T939" s="29">
        <v>49.36</v>
      </c>
    </row>
    <row r="940" spans="1:20" s="7" customFormat="1" hidden="1" outlineLevel="3" x14ac:dyDescent="0.2">
      <c r="A940" s="7" t="s">
        <v>92</v>
      </c>
      <c r="C940" s="7" t="str">
        <f t="shared" si="141"/>
        <v>Luis</v>
      </c>
      <c r="D940" s="7" t="str">
        <f>+D939</f>
        <v>Bonifaz</v>
      </c>
      <c r="E940" s="8" t="str">
        <f>E939</f>
        <v>SALES</v>
      </c>
      <c r="G940" s="8" t="str">
        <f>G939</f>
        <v>BONI0001</v>
      </c>
      <c r="H940" s="26"/>
      <c r="I940" s="26"/>
      <c r="J940" s="26"/>
      <c r="K940" s="28">
        <f>+K939</f>
        <v>42064</v>
      </c>
      <c r="L940" s="26" t="str">
        <f>L939</f>
        <v>DD000000000000000045</v>
      </c>
      <c r="M940" s="26"/>
      <c r="N940" s="26"/>
      <c r="O940" s="26" t="str">
        <f>"""GP Direct"",""Fabrikam, Inc."",""UPR30300"",""PAYRATE"",""0.00000"",""PAYROLCD"",""MED"",""STATECD"","""",""CHEKDATE"",""3/1/2015"",""UPRTRXAM"",""5.00000"""</f>
        <v>"GP Direct","Fabrikam, Inc.","UPR30300","PAYRATE","0.00000","PAYROLCD","MED","STATECD","","CHEKDATE","3/1/2015","UPRTRXAM","5.00000"</v>
      </c>
      <c r="P940" s="29">
        <v>0</v>
      </c>
      <c r="Q940" s="26" t="str">
        <f>"MED"</f>
        <v>MED</v>
      </c>
      <c r="R940" s="26"/>
      <c r="S940" s="28">
        <v>42064</v>
      </c>
      <c r="T940" s="29">
        <v>5</v>
      </c>
    </row>
    <row r="941" spans="1:20" s="7" customFormat="1" hidden="1" outlineLevel="3" x14ac:dyDescent="0.2">
      <c r="A941" s="7" t="s">
        <v>92</v>
      </c>
      <c r="C941" s="7" t="str">
        <f t="shared" si="141"/>
        <v>Luis</v>
      </c>
      <c r="D941" s="7" t="str">
        <f>+D940</f>
        <v>Bonifaz</v>
      </c>
      <c r="E941" s="8" t="str">
        <f>E940</f>
        <v>SALES</v>
      </c>
      <c r="G941" s="8" t="str">
        <f>G940</f>
        <v>BONI0001</v>
      </c>
      <c r="H941" s="26"/>
      <c r="I941" s="26"/>
      <c r="J941" s="26"/>
      <c r="K941" s="28">
        <f>+K940</f>
        <v>42064</v>
      </c>
      <c r="L941" s="26" t="str">
        <f>L940</f>
        <v>DD000000000000000045</v>
      </c>
      <c r="M941" s="26"/>
      <c r="N941" s="26"/>
      <c r="O941" s="26" t="str">
        <f>"""GP Direct"",""Fabrikam, Inc."",""UPR30300"",""PAYRATE"",""31500.00000"",""PAYROLCD"",""SALY"",""STATECD"",""IL"",""CHEKDATE"",""3/1/2015"",""UPRTRXAM"",""1312.50000"""</f>
        <v>"GP Direct","Fabrikam, Inc.","UPR30300","PAYRATE","31500.00000","PAYROLCD","SALY","STATECD","IL","CHEKDATE","3/1/2015","UPRTRXAM","1312.50000"</v>
      </c>
      <c r="P941" s="29">
        <v>31500</v>
      </c>
      <c r="Q941" s="26" t="str">
        <f>"SALY"</f>
        <v>SALY</v>
      </c>
      <c r="R941" s="26" t="str">
        <f>"IL"</f>
        <v>IL</v>
      </c>
      <c r="S941" s="28">
        <v>42064</v>
      </c>
      <c r="T941" s="29">
        <v>1312.5</v>
      </c>
    </row>
    <row r="942" spans="1:20" s="7" customFormat="1" hidden="1" outlineLevel="3" x14ac:dyDescent="0.2">
      <c r="A942" s="7" t="s">
        <v>92</v>
      </c>
      <c r="C942" s="7" t="str">
        <f>+C936</f>
        <v>Luis</v>
      </c>
      <c r="D942" s="7" t="str">
        <f>+D936</f>
        <v>Bonifaz</v>
      </c>
      <c r="E942" s="8" t="str">
        <f>E936</f>
        <v>SALES</v>
      </c>
      <c r="G942" s="8" t="str">
        <f>G936</f>
        <v>BONI0001</v>
      </c>
      <c r="K942" s="12">
        <f>+K936</f>
        <v>42064</v>
      </c>
      <c r="L942" s="8" t="str">
        <f>L936</f>
        <v>DD000000000000000045</v>
      </c>
      <c r="O942" s="8"/>
      <c r="T942" s="20"/>
    </row>
    <row r="943" spans="1:20" s="7" customFormat="1" hidden="1" outlineLevel="2" collapsed="1" x14ac:dyDescent="0.2">
      <c r="A943" s="7" t="s">
        <v>92</v>
      </c>
      <c r="C943" s="7" t="str">
        <f t="shared" si="139"/>
        <v>Luis</v>
      </c>
      <c r="D943" s="7" t="str">
        <f>+D942</f>
        <v>Bonifaz</v>
      </c>
      <c r="E943" s="8" t="str">
        <f>E942</f>
        <v>SALES</v>
      </c>
      <c r="G943" s="8" t="str">
        <f>G942</f>
        <v>BONI0001</v>
      </c>
      <c r="K943" s="12">
        <f>+K942</f>
        <v>42064</v>
      </c>
      <c r="L943" s="8" t="str">
        <f>L942</f>
        <v>DD000000000000000045</v>
      </c>
      <c r="M943" s="33" t="str">
        <f>"Total for " &amp; $L943</f>
        <v>Total for DD000000000000000045</v>
      </c>
      <c r="N943" s="34">
        <f>+K943</f>
        <v>42064</v>
      </c>
      <c r="O943" s="35"/>
      <c r="P943" s="33"/>
      <c r="Q943" s="33"/>
      <c r="R943" s="33"/>
      <c r="S943" s="33"/>
      <c r="T943" s="36">
        <f>SUBTOTAL(9,T936:T942)</f>
        <v>1445</v>
      </c>
    </row>
    <row r="944" spans="1:20" s="7" customFormat="1" hidden="1" outlineLevel="3" x14ac:dyDescent="0.2">
      <c r="A944" s="7" t="s">
        <v>92</v>
      </c>
      <c r="C944" s="7" t="str">
        <f t="shared" si="139"/>
        <v>Luis</v>
      </c>
      <c r="D944" s="7" t="str">
        <f>+D943</f>
        <v>Bonifaz</v>
      </c>
      <c r="E944" s="8" t="str">
        <f>E943</f>
        <v>SALES</v>
      </c>
      <c r="G944" s="8" t="str">
        <f>G943</f>
        <v>BONI0001</v>
      </c>
      <c r="H944" s="26"/>
      <c r="I944" s="26"/>
      <c r="J944" s="26"/>
      <c r="K944" s="28">
        <f>+N944</f>
        <v>42095</v>
      </c>
      <c r="L944" s="26" t="str">
        <f>M944</f>
        <v>DD000000000000000048</v>
      </c>
      <c r="M944" s="26" t="str">
        <f>"DD000000000000000048"</f>
        <v>DD000000000000000048</v>
      </c>
      <c r="N944" s="28">
        <v>42095</v>
      </c>
      <c r="O944" s="26"/>
      <c r="P944" s="26"/>
      <c r="Q944" s="26"/>
      <c r="R944" s="26"/>
      <c r="S944" s="26"/>
      <c r="T944" s="27"/>
    </row>
    <row r="945" spans="1:20" s="7" customFormat="1" hidden="1" outlineLevel="3" x14ac:dyDescent="0.2">
      <c r="A945" s="7" t="s">
        <v>92</v>
      </c>
      <c r="C945" s="7" t="str">
        <f t="shared" si="139"/>
        <v>Luis</v>
      </c>
      <c r="D945" s="7" t="str">
        <f>+D944</f>
        <v>Bonifaz</v>
      </c>
      <c r="E945" s="8" t="str">
        <f>E944</f>
        <v>SALES</v>
      </c>
      <c r="G945" s="8" t="str">
        <f>G944</f>
        <v>BONI0001</v>
      </c>
      <c r="H945" s="26"/>
      <c r="I945" s="26"/>
      <c r="J945" s="26"/>
      <c r="K945" s="28">
        <f>+K944</f>
        <v>42095</v>
      </c>
      <c r="L945" s="26" t="str">
        <f>L944</f>
        <v>DD000000000000000048</v>
      </c>
      <c r="M945" s="26"/>
      <c r="N945" s="26"/>
      <c r="O945" s="26" t="str">
        <f>"""GP Direct"",""Fabrikam, Inc."",""UPR30300"",""PAYRATE"",""0.00000"",""PAYROLCD"",""401K"",""STATECD"","""",""CHEKDATE"",""4/1/2015"",""UPRTRXAM"",""1.79000"""</f>
        <v>"GP Direct","Fabrikam, Inc.","UPR30300","PAYRATE","0.00000","PAYROLCD","401K","STATECD","","CHEKDATE","4/1/2015","UPRTRXAM","1.79000"</v>
      </c>
      <c r="P945" s="29">
        <v>0</v>
      </c>
      <c r="Q945" s="26" t="str">
        <f>"401K"</f>
        <v>401K</v>
      </c>
      <c r="R945" s="26"/>
      <c r="S945" s="28">
        <v>42095</v>
      </c>
      <c r="T945" s="29">
        <v>1.79</v>
      </c>
    </row>
    <row r="946" spans="1:20" s="7" customFormat="1" hidden="1" outlineLevel="3" x14ac:dyDescent="0.2">
      <c r="A946" s="7" t="s">
        <v>92</v>
      </c>
      <c r="C946" s="7" t="str">
        <f t="shared" ref="C946:C951" si="142">+C945</f>
        <v>Luis</v>
      </c>
      <c r="D946" s="7" t="str">
        <f>+D945</f>
        <v>Bonifaz</v>
      </c>
      <c r="E946" s="8" t="str">
        <f>E945</f>
        <v>SALES</v>
      </c>
      <c r="G946" s="8" t="str">
        <f>G945</f>
        <v>BONI0001</v>
      </c>
      <c r="H946" s="26"/>
      <c r="I946" s="26"/>
      <c r="J946" s="26"/>
      <c r="K946" s="28">
        <f>+K945</f>
        <v>42095</v>
      </c>
      <c r="L946" s="26" t="str">
        <f>L945</f>
        <v>DD000000000000000048</v>
      </c>
      <c r="M946" s="26"/>
      <c r="N946" s="26"/>
      <c r="O946" s="26" t="str">
        <f>"""GP Direct"",""Fabrikam, Inc."",""UPR30300"",""PAYRATE"",""0.00000"",""PAYROLCD"",""401K"",""STATECD"","""",""CHEKDATE"",""4/1/2015"",""UPRTRXAM"",""35.74000"""</f>
        <v>"GP Direct","Fabrikam, Inc.","UPR30300","PAYRATE","0.00000","PAYROLCD","401K","STATECD","","CHEKDATE","4/1/2015","UPRTRXAM","35.74000"</v>
      </c>
      <c r="P946" s="29">
        <v>0</v>
      </c>
      <c r="Q946" s="26" t="str">
        <f>"401K"</f>
        <v>401K</v>
      </c>
      <c r="R946" s="26"/>
      <c r="S946" s="28">
        <v>42095</v>
      </c>
      <c r="T946" s="29">
        <v>35.74</v>
      </c>
    </row>
    <row r="947" spans="1:20" s="7" customFormat="1" hidden="1" outlineLevel="3" x14ac:dyDescent="0.2">
      <c r="A947" s="7" t="s">
        <v>92</v>
      </c>
      <c r="C947" s="7" t="str">
        <f t="shared" si="142"/>
        <v>Luis</v>
      </c>
      <c r="D947" s="7" t="str">
        <f>+D946</f>
        <v>Bonifaz</v>
      </c>
      <c r="E947" s="8" t="str">
        <f>E946</f>
        <v>SALES</v>
      </c>
      <c r="G947" s="8" t="str">
        <f>G946</f>
        <v>BONI0001</v>
      </c>
      <c r="H947" s="26"/>
      <c r="I947" s="26"/>
      <c r="J947" s="26"/>
      <c r="K947" s="28">
        <f>+K946</f>
        <v>42095</v>
      </c>
      <c r="L947" s="26" t="str">
        <f>L946</f>
        <v>DD000000000000000048</v>
      </c>
      <c r="M947" s="26"/>
      <c r="N947" s="26"/>
      <c r="O947" s="26" t="str">
        <f>"""GP Direct"",""Fabrikam, Inc."",""UPR30300"",""PAYRATE"",""0.00000"",""PAYROLCD"",""HOLI"",""STATECD"",""IL"",""CHEKDATE"",""4/1/2015"",""UPRTRXAM"",""0.00000"""</f>
        <v>"GP Direct","Fabrikam, Inc.","UPR30300","PAYRATE","0.00000","PAYROLCD","HOLI","STATECD","IL","CHEKDATE","4/1/2015","UPRTRXAM","0.00000"</v>
      </c>
      <c r="P947" s="29">
        <v>0</v>
      </c>
      <c r="Q947" s="26" t="str">
        <f>"HOLI"</f>
        <v>HOLI</v>
      </c>
      <c r="R947" s="26" t="str">
        <f>"IL"</f>
        <v>IL</v>
      </c>
      <c r="S947" s="28">
        <v>42095</v>
      </c>
      <c r="T947" s="29">
        <v>0</v>
      </c>
    </row>
    <row r="948" spans="1:20" s="7" customFormat="1" hidden="1" outlineLevel="3" x14ac:dyDescent="0.2">
      <c r="A948" s="7" t="s">
        <v>92</v>
      </c>
      <c r="C948" s="7" t="str">
        <f t="shared" si="142"/>
        <v>Luis</v>
      </c>
      <c r="D948" s="7" t="str">
        <f>+D947</f>
        <v>Bonifaz</v>
      </c>
      <c r="E948" s="8" t="str">
        <f>E947</f>
        <v>SALES</v>
      </c>
      <c r="G948" s="8" t="str">
        <f>G947</f>
        <v>BONI0001</v>
      </c>
      <c r="H948" s="26"/>
      <c r="I948" s="26"/>
      <c r="J948" s="26"/>
      <c r="K948" s="28">
        <f>+K947</f>
        <v>42095</v>
      </c>
      <c r="L948" s="26" t="str">
        <f>L947</f>
        <v>DD000000000000000048</v>
      </c>
      <c r="M948" s="26"/>
      <c r="N948" s="26"/>
      <c r="O948" s="26" t="str">
        <f>"""GP Direct"",""Fabrikam, Inc."",""UPR30300"",""PAYRATE"",""0.00000"",""PAYROLCD"",""IL"",""STATECD"","""",""CHEKDATE"",""4/1/2015"",""UPRTRXAM"",""33.27000"""</f>
        <v>"GP Direct","Fabrikam, Inc.","UPR30300","PAYRATE","0.00000","PAYROLCD","IL","STATECD","","CHEKDATE","4/1/2015","UPRTRXAM","33.27000"</v>
      </c>
      <c r="P948" s="29">
        <v>0</v>
      </c>
      <c r="Q948" s="26" t="str">
        <f>"IL"</f>
        <v>IL</v>
      </c>
      <c r="R948" s="26"/>
      <c r="S948" s="28">
        <v>42095</v>
      </c>
      <c r="T948" s="29">
        <v>33.270000000000003</v>
      </c>
    </row>
    <row r="949" spans="1:20" s="7" customFormat="1" hidden="1" outlineLevel="3" x14ac:dyDescent="0.2">
      <c r="A949" s="7" t="s">
        <v>92</v>
      </c>
      <c r="C949" s="7" t="str">
        <f t="shared" si="142"/>
        <v>Luis</v>
      </c>
      <c r="D949" s="7" t="str">
        <f>+D948</f>
        <v>Bonifaz</v>
      </c>
      <c r="E949" s="8" t="str">
        <f>E948</f>
        <v>SALES</v>
      </c>
      <c r="G949" s="8" t="str">
        <f>G948</f>
        <v>BONI0001</v>
      </c>
      <c r="H949" s="26"/>
      <c r="I949" s="26"/>
      <c r="J949" s="26"/>
      <c r="K949" s="28">
        <f>+K948</f>
        <v>42095</v>
      </c>
      <c r="L949" s="26" t="str">
        <f>L948</f>
        <v>DD000000000000000048</v>
      </c>
      <c r="M949" s="26"/>
      <c r="N949" s="26"/>
      <c r="O949" s="26" t="str">
        <f>"""GP Direct"",""Fabrikam, Inc."",""UPR30300"",""PAYRATE"",""0.00000"",""PAYROLCD"",""INS"",""STATECD"","""",""CHEKDATE"",""4/1/2015"",""UPRTRXAM"",""49.36000"""</f>
        <v>"GP Direct","Fabrikam, Inc.","UPR30300","PAYRATE","0.00000","PAYROLCD","INS","STATECD","","CHEKDATE","4/1/2015","UPRTRXAM","49.36000"</v>
      </c>
      <c r="P949" s="29">
        <v>0</v>
      </c>
      <c r="Q949" s="26" t="str">
        <f>"INS"</f>
        <v>INS</v>
      </c>
      <c r="R949" s="26"/>
      <c r="S949" s="28">
        <v>42095</v>
      </c>
      <c r="T949" s="29">
        <v>49.36</v>
      </c>
    </row>
    <row r="950" spans="1:20" s="7" customFormat="1" hidden="1" outlineLevel="3" x14ac:dyDescent="0.2">
      <c r="A950" s="7" t="s">
        <v>92</v>
      </c>
      <c r="C950" s="7" t="str">
        <f t="shared" si="142"/>
        <v>Luis</v>
      </c>
      <c r="D950" s="7" t="str">
        <f>+D949</f>
        <v>Bonifaz</v>
      </c>
      <c r="E950" s="8" t="str">
        <f>E949</f>
        <v>SALES</v>
      </c>
      <c r="G950" s="8" t="str">
        <f>G949</f>
        <v>BONI0001</v>
      </c>
      <c r="H950" s="26"/>
      <c r="I950" s="26"/>
      <c r="J950" s="26"/>
      <c r="K950" s="28">
        <f>+K949</f>
        <v>42095</v>
      </c>
      <c r="L950" s="26" t="str">
        <f>L949</f>
        <v>DD000000000000000048</v>
      </c>
      <c r="M950" s="26"/>
      <c r="N950" s="26"/>
      <c r="O950" s="26" t="str">
        <f>"""GP Direct"",""Fabrikam, Inc."",""UPR30300"",""PAYRATE"",""0.00000"",""PAYROLCD"",""MED"",""STATECD"","""",""CHEKDATE"",""4/1/2015"",""UPRTRXAM"",""5.00000"""</f>
        <v>"GP Direct","Fabrikam, Inc.","UPR30300","PAYRATE","0.00000","PAYROLCD","MED","STATECD","","CHEKDATE","4/1/2015","UPRTRXAM","5.00000"</v>
      </c>
      <c r="P950" s="29">
        <v>0</v>
      </c>
      <c r="Q950" s="26" t="str">
        <f>"MED"</f>
        <v>MED</v>
      </c>
      <c r="R950" s="26"/>
      <c r="S950" s="28">
        <v>42095</v>
      </c>
      <c r="T950" s="29">
        <v>5</v>
      </c>
    </row>
    <row r="951" spans="1:20" s="7" customFormat="1" hidden="1" outlineLevel="3" x14ac:dyDescent="0.2">
      <c r="A951" s="7" t="s">
        <v>92</v>
      </c>
      <c r="C951" s="7" t="str">
        <f t="shared" si="142"/>
        <v>Luis</v>
      </c>
      <c r="D951" s="7" t="str">
        <f>+D950</f>
        <v>Bonifaz</v>
      </c>
      <c r="E951" s="8" t="str">
        <f>E950</f>
        <v>SALES</v>
      </c>
      <c r="G951" s="8" t="str">
        <f>G950</f>
        <v>BONI0001</v>
      </c>
      <c r="H951" s="26"/>
      <c r="I951" s="26"/>
      <c r="J951" s="26"/>
      <c r="K951" s="28">
        <f>+K950</f>
        <v>42095</v>
      </c>
      <c r="L951" s="26" t="str">
        <f>L950</f>
        <v>DD000000000000000048</v>
      </c>
      <c r="M951" s="26"/>
      <c r="N951" s="26"/>
      <c r="O951" s="26" t="str">
        <f>"""GP Direct"",""Fabrikam, Inc."",""UPR30300"",""PAYRATE"",""15.14423"",""PAYROLCD"",""SALY"",""STATECD"",""IL"",""CHEKDATE"",""4/1/2015"",""UPRTRXAM"",""1191.35000"""</f>
        <v>"GP Direct","Fabrikam, Inc.","UPR30300","PAYRATE","15.14423","PAYROLCD","SALY","STATECD","IL","CHEKDATE","4/1/2015","UPRTRXAM","1191.35000"</v>
      </c>
      <c r="P951" s="29">
        <v>15.1442</v>
      </c>
      <c r="Q951" s="26" t="str">
        <f>"SALY"</f>
        <v>SALY</v>
      </c>
      <c r="R951" s="26" t="str">
        <f>"IL"</f>
        <v>IL</v>
      </c>
      <c r="S951" s="28">
        <v>42095</v>
      </c>
      <c r="T951" s="29">
        <v>1191.3499999999999</v>
      </c>
    </row>
    <row r="952" spans="1:20" s="7" customFormat="1" hidden="1" outlineLevel="3" x14ac:dyDescent="0.2">
      <c r="A952" s="7" t="s">
        <v>92</v>
      </c>
      <c r="C952" s="7" t="str">
        <f>+C945</f>
        <v>Luis</v>
      </c>
      <c r="D952" s="7" t="str">
        <f>+D945</f>
        <v>Bonifaz</v>
      </c>
      <c r="E952" s="8" t="str">
        <f>E945</f>
        <v>SALES</v>
      </c>
      <c r="G952" s="8" t="str">
        <f>G945</f>
        <v>BONI0001</v>
      </c>
      <c r="K952" s="12">
        <f>+K945</f>
        <v>42095</v>
      </c>
      <c r="L952" s="8" t="str">
        <f>L945</f>
        <v>DD000000000000000048</v>
      </c>
      <c r="O952" s="8"/>
      <c r="T952" s="20"/>
    </row>
    <row r="953" spans="1:20" s="7" customFormat="1" hidden="1" outlineLevel="2" collapsed="1" x14ac:dyDescent="0.2">
      <c r="A953" s="7" t="s">
        <v>92</v>
      </c>
      <c r="C953" s="7" t="str">
        <f t="shared" si="139"/>
        <v>Luis</v>
      </c>
      <c r="D953" s="7" t="str">
        <f>+D952</f>
        <v>Bonifaz</v>
      </c>
      <c r="E953" s="8" t="str">
        <f>E952</f>
        <v>SALES</v>
      </c>
      <c r="G953" s="8" t="str">
        <f>G952</f>
        <v>BONI0001</v>
      </c>
      <c r="K953" s="12">
        <f>+K952</f>
        <v>42095</v>
      </c>
      <c r="L953" s="8" t="str">
        <f>L952</f>
        <v>DD000000000000000048</v>
      </c>
      <c r="M953" s="33" t="str">
        <f>"Total for " &amp; $L953</f>
        <v>Total for DD000000000000000048</v>
      </c>
      <c r="N953" s="34">
        <f>+K953</f>
        <v>42095</v>
      </c>
      <c r="O953" s="35"/>
      <c r="P953" s="33"/>
      <c r="Q953" s="33"/>
      <c r="R953" s="33"/>
      <c r="S953" s="33"/>
      <c r="T953" s="36">
        <f>SUBTOTAL(9,T945:T952)</f>
        <v>1316.51</v>
      </c>
    </row>
    <row r="954" spans="1:20" s="7" customFormat="1" hidden="1" outlineLevel="3" x14ac:dyDescent="0.2">
      <c r="A954" s="7" t="s">
        <v>92</v>
      </c>
      <c r="C954" s="7" t="str">
        <f t="shared" si="139"/>
        <v>Luis</v>
      </c>
      <c r="D954" s="7" t="str">
        <f>+D953</f>
        <v>Bonifaz</v>
      </c>
      <c r="E954" s="8" t="str">
        <f>E953</f>
        <v>SALES</v>
      </c>
      <c r="G954" s="8" t="str">
        <f>G953</f>
        <v>BONI0001</v>
      </c>
      <c r="H954" s="26"/>
      <c r="I954" s="26"/>
      <c r="J954" s="26"/>
      <c r="K954" s="28">
        <f>+N954</f>
        <v>42125</v>
      </c>
      <c r="L954" s="26" t="str">
        <f>M954</f>
        <v>DD000000000000000051</v>
      </c>
      <c r="M954" s="26" t="str">
        <f>"DD000000000000000051"</f>
        <v>DD000000000000000051</v>
      </c>
      <c r="N954" s="28">
        <v>42125</v>
      </c>
      <c r="O954" s="26"/>
      <c r="P954" s="26"/>
      <c r="Q954" s="26"/>
      <c r="R954" s="26"/>
      <c r="S954" s="26"/>
      <c r="T954" s="27"/>
    </row>
    <row r="955" spans="1:20" s="7" customFormat="1" hidden="1" outlineLevel="3" x14ac:dyDescent="0.2">
      <c r="A955" s="7" t="s">
        <v>92</v>
      </c>
      <c r="C955" s="7" t="str">
        <f t="shared" si="139"/>
        <v>Luis</v>
      </c>
      <c r="D955" s="7" t="str">
        <f>+D954</f>
        <v>Bonifaz</v>
      </c>
      <c r="E955" s="8" t="str">
        <f>E954</f>
        <v>SALES</v>
      </c>
      <c r="G955" s="8" t="str">
        <f>G954</f>
        <v>BONI0001</v>
      </c>
      <c r="H955" s="26"/>
      <c r="I955" s="26"/>
      <c r="J955" s="26"/>
      <c r="K955" s="28">
        <f>+K954</f>
        <v>42125</v>
      </c>
      <c r="L955" s="26" t="str">
        <f>L954</f>
        <v>DD000000000000000051</v>
      </c>
      <c r="M955" s="26"/>
      <c r="N955" s="26"/>
      <c r="O955" s="26" t="str">
        <f>"""GP Direct"",""Fabrikam, Inc."",""UPR30300"",""PAYRATE"",""0.00000"",""PAYROLCD"",""401K"",""STATECD"","""",""CHEKDATE"",""5/1/2015"",""UPRTRXAM"",""1.79000"""</f>
        <v>"GP Direct","Fabrikam, Inc.","UPR30300","PAYRATE","0.00000","PAYROLCD","401K","STATECD","","CHEKDATE","5/1/2015","UPRTRXAM","1.79000"</v>
      </c>
      <c r="P955" s="29">
        <v>0</v>
      </c>
      <c r="Q955" s="26" t="str">
        <f>"401K"</f>
        <v>401K</v>
      </c>
      <c r="R955" s="26"/>
      <c r="S955" s="28">
        <v>42125</v>
      </c>
      <c r="T955" s="29">
        <v>1.79</v>
      </c>
    </row>
    <row r="956" spans="1:20" s="7" customFormat="1" hidden="1" outlineLevel="3" x14ac:dyDescent="0.2">
      <c r="A956" s="7" t="s">
        <v>92</v>
      </c>
      <c r="C956" s="7" t="str">
        <f t="shared" ref="C956:C961" si="143">+C955</f>
        <v>Luis</v>
      </c>
      <c r="D956" s="7" t="str">
        <f>+D955</f>
        <v>Bonifaz</v>
      </c>
      <c r="E956" s="8" t="str">
        <f>E955</f>
        <v>SALES</v>
      </c>
      <c r="G956" s="8" t="str">
        <f>G955</f>
        <v>BONI0001</v>
      </c>
      <c r="H956" s="26"/>
      <c r="I956" s="26"/>
      <c r="J956" s="26"/>
      <c r="K956" s="28">
        <f>+K955</f>
        <v>42125</v>
      </c>
      <c r="L956" s="26" t="str">
        <f>L955</f>
        <v>DD000000000000000051</v>
      </c>
      <c r="M956" s="26"/>
      <c r="N956" s="26"/>
      <c r="O956" s="26" t="str">
        <f>"""GP Direct"",""Fabrikam, Inc."",""UPR30300"",""PAYRATE"",""0.00000"",""PAYROLCD"",""401K"",""STATECD"","""",""CHEKDATE"",""5/1/2015"",""UPRTRXAM"",""35.74000"""</f>
        <v>"GP Direct","Fabrikam, Inc.","UPR30300","PAYRATE","0.00000","PAYROLCD","401K","STATECD","","CHEKDATE","5/1/2015","UPRTRXAM","35.74000"</v>
      </c>
      <c r="P956" s="29">
        <v>0</v>
      </c>
      <c r="Q956" s="26" t="str">
        <f>"401K"</f>
        <v>401K</v>
      </c>
      <c r="R956" s="26"/>
      <c r="S956" s="28">
        <v>42125</v>
      </c>
      <c r="T956" s="29">
        <v>35.74</v>
      </c>
    </row>
    <row r="957" spans="1:20" s="7" customFormat="1" hidden="1" outlineLevel="3" x14ac:dyDescent="0.2">
      <c r="A957" s="7" t="s">
        <v>92</v>
      </c>
      <c r="C957" s="7" t="str">
        <f t="shared" si="143"/>
        <v>Luis</v>
      </c>
      <c r="D957" s="7" t="str">
        <f>+D956</f>
        <v>Bonifaz</v>
      </c>
      <c r="E957" s="8" t="str">
        <f>E956</f>
        <v>SALES</v>
      </c>
      <c r="G957" s="8" t="str">
        <f>G956</f>
        <v>BONI0001</v>
      </c>
      <c r="H957" s="26"/>
      <c r="I957" s="26"/>
      <c r="J957" s="26"/>
      <c r="K957" s="28">
        <f>+K956</f>
        <v>42125</v>
      </c>
      <c r="L957" s="26" t="str">
        <f>L956</f>
        <v>DD000000000000000051</v>
      </c>
      <c r="M957" s="26"/>
      <c r="N957" s="26"/>
      <c r="O957" s="26" t="str">
        <f>"""GP Direct"",""Fabrikam, Inc."",""UPR30300"",""PAYRATE"",""0.00000"",""PAYROLCD"",""IL"",""STATECD"","""",""CHEKDATE"",""5/1/2015"",""UPRTRXAM"",""33.27000"""</f>
        <v>"GP Direct","Fabrikam, Inc.","UPR30300","PAYRATE","0.00000","PAYROLCD","IL","STATECD","","CHEKDATE","5/1/2015","UPRTRXAM","33.27000"</v>
      </c>
      <c r="P957" s="29">
        <v>0</v>
      </c>
      <c r="Q957" s="26" t="str">
        <f>"IL"</f>
        <v>IL</v>
      </c>
      <c r="R957" s="26"/>
      <c r="S957" s="28">
        <v>42125</v>
      </c>
      <c r="T957" s="29">
        <v>33.270000000000003</v>
      </c>
    </row>
    <row r="958" spans="1:20" s="7" customFormat="1" hidden="1" outlineLevel="3" x14ac:dyDescent="0.2">
      <c r="A958" s="7" t="s">
        <v>92</v>
      </c>
      <c r="C958" s="7" t="str">
        <f t="shared" si="143"/>
        <v>Luis</v>
      </c>
      <c r="D958" s="7" t="str">
        <f>+D957</f>
        <v>Bonifaz</v>
      </c>
      <c r="E958" s="8" t="str">
        <f>E957</f>
        <v>SALES</v>
      </c>
      <c r="G958" s="8" t="str">
        <f>G957</f>
        <v>BONI0001</v>
      </c>
      <c r="H958" s="26"/>
      <c r="I958" s="26"/>
      <c r="J958" s="26"/>
      <c r="K958" s="28">
        <f>+K957</f>
        <v>42125</v>
      </c>
      <c r="L958" s="26" t="str">
        <f>L957</f>
        <v>DD000000000000000051</v>
      </c>
      <c r="M958" s="26"/>
      <c r="N958" s="26"/>
      <c r="O958" s="26" t="str">
        <f>"""GP Direct"",""Fabrikam, Inc."",""UPR30300"",""PAYRATE"",""0.00000"",""PAYROLCD"",""INS"",""STATECD"","""",""CHEKDATE"",""5/1/2015"",""UPRTRXAM"",""49.36000"""</f>
        <v>"GP Direct","Fabrikam, Inc.","UPR30300","PAYRATE","0.00000","PAYROLCD","INS","STATECD","","CHEKDATE","5/1/2015","UPRTRXAM","49.36000"</v>
      </c>
      <c r="P958" s="29">
        <v>0</v>
      </c>
      <c r="Q958" s="26" t="str">
        <f>"INS"</f>
        <v>INS</v>
      </c>
      <c r="R958" s="26"/>
      <c r="S958" s="28">
        <v>42125</v>
      </c>
      <c r="T958" s="29">
        <v>49.36</v>
      </c>
    </row>
    <row r="959" spans="1:20" s="7" customFormat="1" hidden="1" outlineLevel="3" x14ac:dyDescent="0.2">
      <c r="A959" s="7" t="s">
        <v>92</v>
      </c>
      <c r="C959" s="7" t="str">
        <f t="shared" si="143"/>
        <v>Luis</v>
      </c>
      <c r="D959" s="7" t="str">
        <f>+D958</f>
        <v>Bonifaz</v>
      </c>
      <c r="E959" s="8" t="str">
        <f>E958</f>
        <v>SALES</v>
      </c>
      <c r="G959" s="8" t="str">
        <f>G958</f>
        <v>BONI0001</v>
      </c>
      <c r="H959" s="26"/>
      <c r="I959" s="26"/>
      <c r="J959" s="26"/>
      <c r="K959" s="28">
        <f>+K958</f>
        <v>42125</v>
      </c>
      <c r="L959" s="26" t="str">
        <f>L958</f>
        <v>DD000000000000000051</v>
      </c>
      <c r="M959" s="26"/>
      <c r="N959" s="26"/>
      <c r="O959" s="26" t="str">
        <f>"""GP Direct"",""Fabrikam, Inc."",""UPR30300"",""PAYRATE"",""0.00000"",""PAYROLCD"",""MED"",""STATECD"","""",""CHEKDATE"",""5/1/2015"",""UPRTRXAM"",""5.00000"""</f>
        <v>"GP Direct","Fabrikam, Inc.","UPR30300","PAYRATE","0.00000","PAYROLCD","MED","STATECD","","CHEKDATE","5/1/2015","UPRTRXAM","5.00000"</v>
      </c>
      <c r="P959" s="29">
        <v>0</v>
      </c>
      <c r="Q959" s="26" t="str">
        <f>"MED"</f>
        <v>MED</v>
      </c>
      <c r="R959" s="26"/>
      <c r="S959" s="28">
        <v>42125</v>
      </c>
      <c r="T959" s="29">
        <v>5</v>
      </c>
    </row>
    <row r="960" spans="1:20" s="7" customFormat="1" hidden="1" outlineLevel="3" x14ac:dyDescent="0.2">
      <c r="A960" s="7" t="s">
        <v>92</v>
      </c>
      <c r="C960" s="7" t="str">
        <f t="shared" si="143"/>
        <v>Luis</v>
      </c>
      <c r="D960" s="7" t="str">
        <f>+D959</f>
        <v>Bonifaz</v>
      </c>
      <c r="E960" s="8" t="str">
        <f>E959</f>
        <v>SALES</v>
      </c>
      <c r="G960" s="8" t="str">
        <f>G959</f>
        <v>BONI0001</v>
      </c>
      <c r="H960" s="26"/>
      <c r="I960" s="26"/>
      <c r="J960" s="26"/>
      <c r="K960" s="28">
        <f>+K959</f>
        <v>42125</v>
      </c>
      <c r="L960" s="26" t="str">
        <f>L959</f>
        <v>DD000000000000000051</v>
      </c>
      <c r="M960" s="26"/>
      <c r="N960" s="26"/>
      <c r="O960" s="26" t="str">
        <f>"""GP Direct"",""Fabrikam, Inc."",""UPR30300"",""PAYRATE"",""0.00000"",""PAYROLCD"",""VACN"",""STATECD"",""IL"",""CHEKDATE"",""5/1/2015"",""UPRTRXAM"",""0.00000"""</f>
        <v>"GP Direct","Fabrikam, Inc.","UPR30300","PAYRATE","0.00000","PAYROLCD","VACN","STATECD","IL","CHEKDATE","5/1/2015","UPRTRXAM","0.00000"</v>
      </c>
      <c r="P960" s="29">
        <v>0</v>
      </c>
      <c r="Q960" s="26" t="str">
        <f>"VACN"</f>
        <v>VACN</v>
      </c>
      <c r="R960" s="26" t="str">
        <f>"IL"</f>
        <v>IL</v>
      </c>
      <c r="S960" s="28">
        <v>42125</v>
      </c>
      <c r="T960" s="29">
        <v>0</v>
      </c>
    </row>
    <row r="961" spans="1:20" s="7" customFormat="1" hidden="1" outlineLevel="3" x14ac:dyDescent="0.2">
      <c r="A961" s="7" t="s">
        <v>92</v>
      </c>
      <c r="C961" s="7" t="str">
        <f t="shared" si="143"/>
        <v>Luis</v>
      </c>
      <c r="D961" s="7" t="str">
        <f>+D960</f>
        <v>Bonifaz</v>
      </c>
      <c r="E961" s="8" t="str">
        <f>E960</f>
        <v>SALES</v>
      </c>
      <c r="G961" s="8" t="str">
        <f>G960</f>
        <v>BONI0001</v>
      </c>
      <c r="H961" s="26"/>
      <c r="I961" s="26"/>
      <c r="J961" s="26"/>
      <c r="K961" s="28">
        <f>+K960</f>
        <v>42125</v>
      </c>
      <c r="L961" s="26" t="str">
        <f>L960</f>
        <v>DD000000000000000051</v>
      </c>
      <c r="M961" s="26"/>
      <c r="N961" s="26"/>
      <c r="O961" s="26" t="str">
        <f>"""GP Direct"",""Fabrikam, Inc."",""UPR30300"",""PAYRATE"",""15.14423"",""PAYROLCD"",""SALY"",""STATECD"",""IL"",""CHEKDATE"",""5/1/2015"",""UPRTRXAM"",""1191.35000"""</f>
        <v>"GP Direct","Fabrikam, Inc.","UPR30300","PAYRATE","15.14423","PAYROLCD","SALY","STATECD","IL","CHEKDATE","5/1/2015","UPRTRXAM","1191.35000"</v>
      </c>
      <c r="P961" s="29">
        <v>15.1442</v>
      </c>
      <c r="Q961" s="26" t="str">
        <f>"SALY"</f>
        <v>SALY</v>
      </c>
      <c r="R961" s="26" t="str">
        <f>"IL"</f>
        <v>IL</v>
      </c>
      <c r="S961" s="28">
        <v>42125</v>
      </c>
      <c r="T961" s="29">
        <v>1191.3499999999999</v>
      </c>
    </row>
    <row r="962" spans="1:20" s="7" customFormat="1" hidden="1" outlineLevel="3" x14ac:dyDescent="0.2">
      <c r="A962" s="7" t="s">
        <v>92</v>
      </c>
      <c r="C962" s="7" t="str">
        <f>+C955</f>
        <v>Luis</v>
      </c>
      <c r="D962" s="7" t="str">
        <f>+D955</f>
        <v>Bonifaz</v>
      </c>
      <c r="E962" s="8" t="str">
        <f>E955</f>
        <v>SALES</v>
      </c>
      <c r="G962" s="8" t="str">
        <f>G955</f>
        <v>BONI0001</v>
      </c>
      <c r="K962" s="12">
        <f>+K955</f>
        <v>42125</v>
      </c>
      <c r="L962" s="8" t="str">
        <f>L955</f>
        <v>DD000000000000000051</v>
      </c>
      <c r="O962" s="8"/>
      <c r="T962" s="20"/>
    </row>
    <row r="963" spans="1:20" s="7" customFormat="1" hidden="1" outlineLevel="2" collapsed="1" x14ac:dyDescent="0.2">
      <c r="A963" s="7" t="s">
        <v>92</v>
      </c>
      <c r="C963" s="7" t="str">
        <f t="shared" si="139"/>
        <v>Luis</v>
      </c>
      <c r="D963" s="7" t="str">
        <f>+D962</f>
        <v>Bonifaz</v>
      </c>
      <c r="E963" s="8" t="str">
        <f>E962</f>
        <v>SALES</v>
      </c>
      <c r="G963" s="8" t="str">
        <f>G962</f>
        <v>BONI0001</v>
      </c>
      <c r="K963" s="12">
        <f>+K962</f>
        <v>42125</v>
      </c>
      <c r="L963" s="8" t="str">
        <f>L962</f>
        <v>DD000000000000000051</v>
      </c>
      <c r="M963" s="33" t="str">
        <f>"Total for " &amp; $L963</f>
        <v>Total for DD000000000000000051</v>
      </c>
      <c r="N963" s="34">
        <f>+K963</f>
        <v>42125</v>
      </c>
      <c r="O963" s="35"/>
      <c r="P963" s="33"/>
      <c r="Q963" s="33"/>
      <c r="R963" s="33"/>
      <c r="S963" s="33"/>
      <c r="T963" s="36">
        <f>SUBTOTAL(9,T955:T962)</f>
        <v>1316.51</v>
      </c>
    </row>
    <row r="964" spans="1:20" s="7" customFormat="1" hidden="1" outlineLevel="3" x14ac:dyDescent="0.2">
      <c r="A964" s="7" t="s">
        <v>92</v>
      </c>
      <c r="C964" s="7" t="str">
        <f t="shared" si="139"/>
        <v>Luis</v>
      </c>
      <c r="D964" s="7" t="str">
        <f>+D963</f>
        <v>Bonifaz</v>
      </c>
      <c r="E964" s="8" t="str">
        <f>E963</f>
        <v>SALES</v>
      </c>
      <c r="G964" s="8" t="str">
        <f>G963</f>
        <v>BONI0001</v>
      </c>
      <c r="H964" s="26"/>
      <c r="I964" s="26"/>
      <c r="J964" s="26"/>
      <c r="K964" s="28">
        <f>+N964</f>
        <v>42156</v>
      </c>
      <c r="L964" s="26" t="str">
        <f>M964</f>
        <v>DD000000000000000054</v>
      </c>
      <c r="M964" s="26" t="str">
        <f>"DD000000000000000054"</f>
        <v>DD000000000000000054</v>
      </c>
      <c r="N964" s="28">
        <v>42156</v>
      </c>
      <c r="O964" s="26"/>
      <c r="P964" s="26"/>
      <c r="Q964" s="26"/>
      <c r="R964" s="26"/>
      <c r="S964" s="26"/>
      <c r="T964" s="27"/>
    </row>
    <row r="965" spans="1:20" s="7" customFormat="1" hidden="1" outlineLevel="3" x14ac:dyDescent="0.2">
      <c r="A965" s="7" t="s">
        <v>92</v>
      </c>
      <c r="C965" s="7" t="str">
        <f t="shared" si="139"/>
        <v>Luis</v>
      </c>
      <c r="D965" s="7" t="str">
        <f>+D964</f>
        <v>Bonifaz</v>
      </c>
      <c r="E965" s="8" t="str">
        <f>E964</f>
        <v>SALES</v>
      </c>
      <c r="G965" s="8" t="str">
        <f>G964</f>
        <v>BONI0001</v>
      </c>
      <c r="H965" s="26"/>
      <c r="I965" s="26"/>
      <c r="J965" s="26"/>
      <c r="K965" s="28">
        <f>+K964</f>
        <v>42156</v>
      </c>
      <c r="L965" s="26" t="str">
        <f>L964</f>
        <v>DD000000000000000054</v>
      </c>
      <c r="M965" s="26"/>
      <c r="N965" s="26"/>
      <c r="O965" s="26" t="str">
        <f>"""GP Direct"",""Fabrikam, Inc."",""UPR30300"",""PAYRATE"",""0.00000"",""PAYROLCD"",""401K"",""STATECD"","""",""CHEKDATE"",""6/1/2015"",""UPRTRXAM"",""1.97000"""</f>
        <v>"GP Direct","Fabrikam, Inc.","UPR30300","PAYRATE","0.00000","PAYROLCD","401K","STATECD","","CHEKDATE","6/1/2015","UPRTRXAM","1.97000"</v>
      </c>
      <c r="P965" s="29">
        <v>0</v>
      </c>
      <c r="Q965" s="26" t="str">
        <f>"401K"</f>
        <v>401K</v>
      </c>
      <c r="R965" s="26"/>
      <c r="S965" s="28">
        <v>42156</v>
      </c>
      <c r="T965" s="29">
        <v>1.97</v>
      </c>
    </row>
    <row r="966" spans="1:20" s="7" customFormat="1" hidden="1" outlineLevel="3" x14ac:dyDescent="0.2">
      <c r="A966" s="7" t="s">
        <v>92</v>
      </c>
      <c r="C966" s="7" t="str">
        <f t="shared" ref="C966:C970" si="144">+C965</f>
        <v>Luis</v>
      </c>
      <c r="D966" s="7" t="str">
        <f>+D965</f>
        <v>Bonifaz</v>
      </c>
      <c r="E966" s="8" t="str">
        <f>E965</f>
        <v>SALES</v>
      </c>
      <c r="G966" s="8" t="str">
        <f>G965</f>
        <v>BONI0001</v>
      </c>
      <c r="H966" s="26"/>
      <c r="I966" s="26"/>
      <c r="J966" s="26"/>
      <c r="K966" s="28">
        <f>+K965</f>
        <v>42156</v>
      </c>
      <c r="L966" s="26" t="str">
        <f>L965</f>
        <v>DD000000000000000054</v>
      </c>
      <c r="M966" s="26"/>
      <c r="N966" s="26"/>
      <c r="O966" s="26" t="str">
        <f>"""GP Direct"",""Fabrikam, Inc."",""UPR30300"",""PAYRATE"",""0.00000"",""PAYROLCD"",""401K"",""STATECD"","""",""CHEKDATE"",""6/1/2015"",""UPRTRXAM"",""39.38000"""</f>
        <v>"GP Direct","Fabrikam, Inc.","UPR30300","PAYRATE","0.00000","PAYROLCD","401K","STATECD","","CHEKDATE","6/1/2015","UPRTRXAM","39.38000"</v>
      </c>
      <c r="P966" s="29">
        <v>0</v>
      </c>
      <c r="Q966" s="26" t="str">
        <f>"401K"</f>
        <v>401K</v>
      </c>
      <c r="R966" s="26"/>
      <c r="S966" s="28">
        <v>42156</v>
      </c>
      <c r="T966" s="29">
        <v>39.380000000000003</v>
      </c>
    </row>
    <row r="967" spans="1:20" s="7" customFormat="1" hidden="1" outlineLevel="3" x14ac:dyDescent="0.2">
      <c r="A967" s="7" t="s">
        <v>92</v>
      </c>
      <c r="C967" s="7" t="str">
        <f t="shared" si="144"/>
        <v>Luis</v>
      </c>
      <c r="D967" s="7" t="str">
        <f>+D966</f>
        <v>Bonifaz</v>
      </c>
      <c r="E967" s="8" t="str">
        <f>E966</f>
        <v>SALES</v>
      </c>
      <c r="G967" s="8" t="str">
        <f>G966</f>
        <v>BONI0001</v>
      </c>
      <c r="H967" s="26"/>
      <c r="I967" s="26"/>
      <c r="J967" s="26"/>
      <c r="K967" s="28">
        <f>+K966</f>
        <v>42156</v>
      </c>
      <c r="L967" s="26" t="str">
        <f>L966</f>
        <v>DD000000000000000054</v>
      </c>
      <c r="M967" s="26"/>
      <c r="N967" s="26"/>
      <c r="O967" s="26" t="str">
        <f>"""GP Direct"",""Fabrikam, Inc."",""UPR30300"",""PAYRATE"",""0.00000"",""PAYROLCD"",""IL"",""STATECD"","""",""CHEKDATE"",""6/1/2015"",""UPRTRXAM"",""36.79000"""</f>
        <v>"GP Direct","Fabrikam, Inc.","UPR30300","PAYRATE","0.00000","PAYROLCD","IL","STATECD","","CHEKDATE","6/1/2015","UPRTRXAM","36.79000"</v>
      </c>
      <c r="P967" s="29">
        <v>0</v>
      </c>
      <c r="Q967" s="26" t="str">
        <f>"IL"</f>
        <v>IL</v>
      </c>
      <c r="R967" s="26"/>
      <c r="S967" s="28">
        <v>42156</v>
      </c>
      <c r="T967" s="29">
        <v>36.79</v>
      </c>
    </row>
    <row r="968" spans="1:20" s="7" customFormat="1" hidden="1" outlineLevel="3" x14ac:dyDescent="0.2">
      <c r="A968" s="7" t="s">
        <v>92</v>
      </c>
      <c r="C968" s="7" t="str">
        <f t="shared" si="144"/>
        <v>Luis</v>
      </c>
      <c r="D968" s="7" t="str">
        <f>+D967</f>
        <v>Bonifaz</v>
      </c>
      <c r="E968" s="8" t="str">
        <f>E967</f>
        <v>SALES</v>
      </c>
      <c r="G968" s="8" t="str">
        <f>G967</f>
        <v>BONI0001</v>
      </c>
      <c r="H968" s="26"/>
      <c r="I968" s="26"/>
      <c r="J968" s="26"/>
      <c r="K968" s="28">
        <f>+K967</f>
        <v>42156</v>
      </c>
      <c r="L968" s="26" t="str">
        <f>L967</f>
        <v>DD000000000000000054</v>
      </c>
      <c r="M968" s="26"/>
      <c r="N968" s="26"/>
      <c r="O968" s="26" t="str">
        <f>"""GP Direct"",""Fabrikam, Inc."",""UPR30300"",""PAYRATE"",""0.00000"",""PAYROLCD"",""INS"",""STATECD"","""",""CHEKDATE"",""6/1/2015"",""UPRTRXAM"",""49.36000"""</f>
        <v>"GP Direct","Fabrikam, Inc.","UPR30300","PAYRATE","0.00000","PAYROLCD","INS","STATECD","","CHEKDATE","6/1/2015","UPRTRXAM","49.36000"</v>
      </c>
      <c r="P968" s="29">
        <v>0</v>
      </c>
      <c r="Q968" s="26" t="str">
        <f>"INS"</f>
        <v>INS</v>
      </c>
      <c r="R968" s="26"/>
      <c r="S968" s="28">
        <v>42156</v>
      </c>
      <c r="T968" s="29">
        <v>49.36</v>
      </c>
    </row>
    <row r="969" spans="1:20" s="7" customFormat="1" hidden="1" outlineLevel="3" x14ac:dyDescent="0.2">
      <c r="A969" s="7" t="s">
        <v>92</v>
      </c>
      <c r="C969" s="7" t="str">
        <f t="shared" si="144"/>
        <v>Luis</v>
      </c>
      <c r="D969" s="7" t="str">
        <f>+D968</f>
        <v>Bonifaz</v>
      </c>
      <c r="E969" s="8" t="str">
        <f>E968</f>
        <v>SALES</v>
      </c>
      <c r="G969" s="8" t="str">
        <f>G968</f>
        <v>BONI0001</v>
      </c>
      <c r="H969" s="26"/>
      <c r="I969" s="26"/>
      <c r="J969" s="26"/>
      <c r="K969" s="28">
        <f>+K968</f>
        <v>42156</v>
      </c>
      <c r="L969" s="26" t="str">
        <f>L968</f>
        <v>DD000000000000000054</v>
      </c>
      <c r="M969" s="26"/>
      <c r="N969" s="26"/>
      <c r="O969" s="26" t="str">
        <f>"""GP Direct"",""Fabrikam, Inc."",""UPR30300"",""PAYRATE"",""0.00000"",""PAYROLCD"",""MED"",""STATECD"","""",""CHEKDATE"",""6/1/2015"",""UPRTRXAM"",""5.00000"""</f>
        <v>"GP Direct","Fabrikam, Inc.","UPR30300","PAYRATE","0.00000","PAYROLCD","MED","STATECD","","CHEKDATE","6/1/2015","UPRTRXAM","5.00000"</v>
      </c>
      <c r="P969" s="29">
        <v>0</v>
      </c>
      <c r="Q969" s="26" t="str">
        <f>"MED"</f>
        <v>MED</v>
      </c>
      <c r="R969" s="26"/>
      <c r="S969" s="28">
        <v>42156</v>
      </c>
      <c r="T969" s="29">
        <v>5</v>
      </c>
    </row>
    <row r="970" spans="1:20" s="7" customFormat="1" hidden="1" outlineLevel="3" x14ac:dyDescent="0.2">
      <c r="A970" s="7" t="s">
        <v>92</v>
      </c>
      <c r="C970" s="7" t="str">
        <f t="shared" si="144"/>
        <v>Luis</v>
      </c>
      <c r="D970" s="7" t="str">
        <f>+D969</f>
        <v>Bonifaz</v>
      </c>
      <c r="E970" s="8" t="str">
        <f>E969</f>
        <v>SALES</v>
      </c>
      <c r="G970" s="8" t="str">
        <f>G969</f>
        <v>BONI0001</v>
      </c>
      <c r="H970" s="26"/>
      <c r="I970" s="26"/>
      <c r="J970" s="26"/>
      <c r="K970" s="28">
        <f>+K969</f>
        <v>42156</v>
      </c>
      <c r="L970" s="26" t="str">
        <f>L969</f>
        <v>DD000000000000000054</v>
      </c>
      <c r="M970" s="26"/>
      <c r="N970" s="26"/>
      <c r="O970" s="26" t="str">
        <f>"""GP Direct"",""Fabrikam, Inc."",""UPR30300"",""PAYRATE"",""31500.00000"",""PAYROLCD"",""SALY"",""STATECD"",""IL"",""CHEKDATE"",""6/1/2015"",""UPRTRXAM"",""1312.50000"""</f>
        <v>"GP Direct","Fabrikam, Inc.","UPR30300","PAYRATE","31500.00000","PAYROLCD","SALY","STATECD","IL","CHEKDATE","6/1/2015","UPRTRXAM","1312.50000"</v>
      </c>
      <c r="P970" s="29">
        <v>31500</v>
      </c>
      <c r="Q970" s="26" t="str">
        <f>"SALY"</f>
        <v>SALY</v>
      </c>
      <c r="R970" s="26" t="str">
        <f>"IL"</f>
        <v>IL</v>
      </c>
      <c r="S970" s="28">
        <v>42156</v>
      </c>
      <c r="T970" s="29">
        <v>1312.5</v>
      </c>
    </row>
    <row r="971" spans="1:20" s="7" customFormat="1" hidden="1" outlineLevel="3" x14ac:dyDescent="0.2">
      <c r="A971" s="7" t="s">
        <v>92</v>
      </c>
      <c r="C971" s="7" t="str">
        <f>+C965</f>
        <v>Luis</v>
      </c>
      <c r="D971" s="7" t="str">
        <f>+D965</f>
        <v>Bonifaz</v>
      </c>
      <c r="E971" s="8" t="str">
        <f>E965</f>
        <v>SALES</v>
      </c>
      <c r="G971" s="8" t="str">
        <f>G965</f>
        <v>BONI0001</v>
      </c>
      <c r="K971" s="12">
        <f>+K965</f>
        <v>42156</v>
      </c>
      <c r="L971" s="8" t="str">
        <f>L965</f>
        <v>DD000000000000000054</v>
      </c>
      <c r="O971" s="8"/>
      <c r="T971" s="20"/>
    </row>
    <row r="972" spans="1:20" s="7" customFormat="1" hidden="1" outlineLevel="2" collapsed="1" x14ac:dyDescent="0.2">
      <c r="A972" s="7" t="s">
        <v>92</v>
      </c>
      <c r="C972" s="7" t="str">
        <f t="shared" si="139"/>
        <v>Luis</v>
      </c>
      <c r="D972" s="7" t="str">
        <f>+D971</f>
        <v>Bonifaz</v>
      </c>
      <c r="E972" s="8" t="str">
        <f>E971</f>
        <v>SALES</v>
      </c>
      <c r="G972" s="8" t="str">
        <f>G971</f>
        <v>BONI0001</v>
      </c>
      <c r="K972" s="12">
        <f>+K971</f>
        <v>42156</v>
      </c>
      <c r="L972" s="8" t="str">
        <f>L971</f>
        <v>DD000000000000000054</v>
      </c>
      <c r="M972" s="33" t="str">
        <f>"Total for " &amp; $L972</f>
        <v>Total for DD000000000000000054</v>
      </c>
      <c r="N972" s="34">
        <f>+K972</f>
        <v>42156</v>
      </c>
      <c r="O972" s="35"/>
      <c r="P972" s="33"/>
      <c r="Q972" s="33"/>
      <c r="R972" s="33"/>
      <c r="S972" s="33"/>
      <c r="T972" s="36">
        <f>SUBTOTAL(9,T965:T971)</f>
        <v>1445</v>
      </c>
    </row>
    <row r="973" spans="1:20" s="7" customFormat="1" hidden="1" outlineLevel="2" x14ac:dyDescent="0.2">
      <c r="A973" s="7" t="s">
        <v>92</v>
      </c>
      <c r="C973" s="7" t="str">
        <f>+C925</f>
        <v>Luis</v>
      </c>
      <c r="D973" s="7" t="str">
        <f>+D925</f>
        <v>Bonifaz</v>
      </c>
      <c r="E973" s="8" t="str">
        <f>E925</f>
        <v>SALES</v>
      </c>
      <c r="G973" s="8" t="str">
        <f>G925</f>
        <v>BONI0001</v>
      </c>
      <c r="L973" s="8"/>
      <c r="O973" s="8"/>
      <c r="T973" s="20"/>
    </row>
    <row r="974" spans="1:20" s="7" customFormat="1" hidden="1" outlineLevel="1" collapsed="1" x14ac:dyDescent="0.2">
      <c r="A974" s="7" t="s">
        <v>92</v>
      </c>
      <c r="C974" s="7" t="str">
        <f t="shared" si="137"/>
        <v>Luis</v>
      </c>
      <c r="D974" s="7" t="str">
        <f>+D973</f>
        <v>Bonifaz</v>
      </c>
      <c r="E974" s="8" t="str">
        <f>E973</f>
        <v>SALES</v>
      </c>
      <c r="G974" s="8" t="str">
        <f>G973</f>
        <v>BONI0001</v>
      </c>
      <c r="H974" s="30" t="str">
        <f>"Total for " &amp; $G974</f>
        <v>Total for BONI0001</v>
      </c>
      <c r="I974" s="30" t="str">
        <f>+C974</f>
        <v>Luis</v>
      </c>
      <c r="J974" s="30" t="str">
        <f>+D974</f>
        <v>Bonifaz</v>
      </c>
      <c r="K974" s="30"/>
      <c r="L974" s="31"/>
      <c r="M974" s="30"/>
      <c r="N974" s="30"/>
      <c r="O974" s="31"/>
      <c r="P974" s="30"/>
      <c r="Q974" s="30"/>
      <c r="R974" s="30"/>
      <c r="S974" s="30"/>
      <c r="T974" s="32">
        <f>SUBTOTAL(9,T918:T973)</f>
        <v>8413.02</v>
      </c>
    </row>
    <row r="975" spans="1:20" s="7" customFormat="1" hidden="1" outlineLevel="2" x14ac:dyDescent="0.2">
      <c r="A975" s="7" t="s">
        <v>92</v>
      </c>
      <c r="C975" s="7" t="str">
        <f t="shared" ref="C975" si="145">+I975</f>
        <v>Nancy</v>
      </c>
      <c r="D975" s="7" t="str">
        <f>+J975</f>
        <v>Buchanan</v>
      </c>
      <c r="E975" s="8" t="str">
        <f>E974</f>
        <v>SALES</v>
      </c>
      <c r="G975" s="8" t="str">
        <f>H975</f>
        <v>BUCH0001</v>
      </c>
      <c r="H975" s="24" t="str">
        <f>"BUCH0001"</f>
        <v>BUCH0001</v>
      </c>
      <c r="I975" s="25" t="str">
        <f>"Nancy"</f>
        <v>Nancy</v>
      </c>
      <c r="J975" s="25" t="str">
        <f>"Buchanan"</f>
        <v>Buchanan</v>
      </c>
      <c r="K975" s="26"/>
      <c r="L975" s="26"/>
      <c r="M975" s="26"/>
      <c r="N975" s="26"/>
      <c r="O975" s="26"/>
      <c r="P975" s="26"/>
      <c r="Q975" s="26"/>
      <c r="R975" s="26"/>
      <c r="S975" s="26"/>
      <c r="T975" s="27"/>
    </row>
    <row r="976" spans="1:20" s="7" customFormat="1" hidden="1" outlineLevel="3" x14ac:dyDescent="0.2">
      <c r="A976" s="7" t="s">
        <v>92</v>
      </c>
      <c r="C976" s="7" t="str">
        <f t="shared" ref="C976:C1041" si="146">+C975</f>
        <v>Nancy</v>
      </c>
      <c r="D976" s="7" t="str">
        <f>+D975</f>
        <v>Buchanan</v>
      </c>
      <c r="E976" s="8" t="str">
        <f>E975</f>
        <v>SALES</v>
      </c>
      <c r="G976" s="8" t="str">
        <f>G975</f>
        <v>BUCH0001</v>
      </c>
      <c r="H976" s="26"/>
      <c r="I976" s="26"/>
      <c r="J976" s="26"/>
      <c r="K976" s="28">
        <f>+N976</f>
        <v>42005</v>
      </c>
      <c r="L976" s="26" t="str">
        <f>M976</f>
        <v>10355</v>
      </c>
      <c r="M976" s="26" t="str">
        <f>"10355"</f>
        <v>10355</v>
      </c>
      <c r="N976" s="28">
        <v>42005</v>
      </c>
      <c r="O976" s="26"/>
      <c r="P976" s="26"/>
      <c r="Q976" s="26"/>
      <c r="R976" s="26"/>
      <c r="S976" s="26"/>
      <c r="T976" s="27"/>
    </row>
    <row r="977" spans="1:20" s="7" customFormat="1" hidden="1" outlineLevel="3" x14ac:dyDescent="0.2">
      <c r="A977" s="7" t="s">
        <v>92</v>
      </c>
      <c r="C977" s="7" t="str">
        <f t="shared" si="146"/>
        <v>Nancy</v>
      </c>
      <c r="D977" s="7" t="str">
        <f>+D976</f>
        <v>Buchanan</v>
      </c>
      <c r="E977" s="8" t="str">
        <f>E976</f>
        <v>SALES</v>
      </c>
      <c r="G977" s="8" t="str">
        <f>G976</f>
        <v>BUCH0001</v>
      </c>
      <c r="H977" s="26"/>
      <c r="I977" s="26"/>
      <c r="J977" s="26"/>
      <c r="K977" s="28">
        <f>+K976</f>
        <v>42005</v>
      </c>
      <c r="L977" s="26" t="str">
        <f>L976</f>
        <v>10355</v>
      </c>
      <c r="M977" s="26"/>
      <c r="N977" s="26"/>
      <c r="O977" s="26" t="str">
        <f>"""GP Direct"",""Fabrikam, Inc."",""UPR30300"",""PAYRATE"",""0.00000"",""PAYROLCD"",""401K"",""STATECD"","""",""CHEKDATE"",""1/1/2015"",""UPRTRXAM"",""1.25000"""</f>
        <v>"GP Direct","Fabrikam, Inc.","UPR30300","PAYRATE","0.00000","PAYROLCD","401K","STATECD","","CHEKDATE","1/1/2015","UPRTRXAM","1.25000"</v>
      </c>
      <c r="P977" s="29">
        <v>0</v>
      </c>
      <c r="Q977" s="26" t="str">
        <f>"401K"</f>
        <v>401K</v>
      </c>
      <c r="R977" s="26"/>
      <c r="S977" s="28">
        <v>42005</v>
      </c>
      <c r="T977" s="29">
        <v>1.25</v>
      </c>
    </row>
    <row r="978" spans="1:20" s="7" customFormat="1" hidden="1" outlineLevel="3" x14ac:dyDescent="0.2">
      <c r="A978" s="7" t="s">
        <v>92</v>
      </c>
      <c r="C978" s="7" t="str">
        <f t="shared" ref="C978:C982" si="147">+C977</f>
        <v>Nancy</v>
      </c>
      <c r="D978" s="7" t="str">
        <f>+D977</f>
        <v>Buchanan</v>
      </c>
      <c r="E978" s="8" t="str">
        <f>E977</f>
        <v>SALES</v>
      </c>
      <c r="G978" s="8" t="str">
        <f>G977</f>
        <v>BUCH0001</v>
      </c>
      <c r="H978" s="26"/>
      <c r="I978" s="26"/>
      <c r="J978" s="26"/>
      <c r="K978" s="28">
        <f>+K977</f>
        <v>42005</v>
      </c>
      <c r="L978" s="26" t="str">
        <f>L977</f>
        <v>10355</v>
      </c>
      <c r="M978" s="26"/>
      <c r="N978" s="26"/>
      <c r="O978" s="26" t="str">
        <f>"""GP Direct"",""Fabrikam, Inc."",""UPR30300"",""PAYRATE"",""0.00000"",""PAYROLCD"",""401K"",""STATECD"","""",""CHEKDATE"",""1/1/2015"",""UPRTRXAM"",""25.00000"""</f>
        <v>"GP Direct","Fabrikam, Inc.","UPR30300","PAYRATE","0.00000","PAYROLCD","401K","STATECD","","CHEKDATE","1/1/2015","UPRTRXAM","25.00000"</v>
      </c>
      <c r="P978" s="29">
        <v>0</v>
      </c>
      <c r="Q978" s="26" t="str">
        <f>"401K"</f>
        <v>401K</v>
      </c>
      <c r="R978" s="26"/>
      <c r="S978" s="28">
        <v>42005</v>
      </c>
      <c r="T978" s="29">
        <v>25</v>
      </c>
    </row>
    <row r="979" spans="1:20" s="7" customFormat="1" hidden="1" outlineLevel="3" x14ac:dyDescent="0.2">
      <c r="A979" s="7" t="s">
        <v>92</v>
      </c>
      <c r="C979" s="7" t="str">
        <f t="shared" si="147"/>
        <v>Nancy</v>
      </c>
      <c r="D979" s="7" t="str">
        <f>+D978</f>
        <v>Buchanan</v>
      </c>
      <c r="E979" s="8" t="str">
        <f>E978</f>
        <v>SALES</v>
      </c>
      <c r="G979" s="8" t="str">
        <f>G978</f>
        <v>BUCH0001</v>
      </c>
      <c r="H979" s="26"/>
      <c r="I979" s="26"/>
      <c r="J979" s="26"/>
      <c r="K979" s="28">
        <f>+K978</f>
        <v>42005</v>
      </c>
      <c r="L979" s="26" t="str">
        <f>L978</f>
        <v>10355</v>
      </c>
      <c r="M979" s="26"/>
      <c r="N979" s="26"/>
      <c r="O979" s="26" t="str">
        <f>"""GP Direct"",""Fabrikam, Inc."",""UPR30300"",""PAYRATE"",""0.00000"",""PAYROLCD"",""INS"",""STATECD"","""",""CHEKDATE"",""1/1/2015"",""UPRTRXAM"",""49.36000"""</f>
        <v>"GP Direct","Fabrikam, Inc.","UPR30300","PAYRATE","0.00000","PAYROLCD","INS","STATECD","","CHEKDATE","1/1/2015","UPRTRXAM","49.36000"</v>
      </c>
      <c r="P979" s="29">
        <v>0</v>
      </c>
      <c r="Q979" s="26" t="str">
        <f>"INS"</f>
        <v>INS</v>
      </c>
      <c r="R979" s="26"/>
      <c r="S979" s="28">
        <v>42005</v>
      </c>
      <c r="T979" s="29">
        <v>49.36</v>
      </c>
    </row>
    <row r="980" spans="1:20" s="7" customFormat="1" hidden="1" outlineLevel="3" x14ac:dyDescent="0.2">
      <c r="A980" s="7" t="s">
        <v>92</v>
      </c>
      <c r="C980" s="7" t="str">
        <f t="shared" si="147"/>
        <v>Nancy</v>
      </c>
      <c r="D980" s="7" t="str">
        <f>+D979</f>
        <v>Buchanan</v>
      </c>
      <c r="E980" s="8" t="str">
        <f>E979</f>
        <v>SALES</v>
      </c>
      <c r="G980" s="8" t="str">
        <f>G979</f>
        <v>BUCH0001</v>
      </c>
      <c r="H980" s="26"/>
      <c r="I980" s="26"/>
      <c r="J980" s="26"/>
      <c r="K980" s="28">
        <f>+K979</f>
        <v>42005</v>
      </c>
      <c r="L980" s="26" t="str">
        <f>L979</f>
        <v>10355</v>
      </c>
      <c r="M980" s="26"/>
      <c r="N980" s="26"/>
      <c r="O980" s="26" t="str">
        <f>"""GP Direct"",""Fabrikam, Inc."",""UPR30300"",""PAYRATE"",""0.00000"",""PAYROLCD"",""MED"",""STATECD"","""",""CHEKDATE"",""1/1/2015"",""UPRTRXAM"",""5.00000"""</f>
        <v>"GP Direct","Fabrikam, Inc.","UPR30300","PAYRATE","0.00000","PAYROLCD","MED","STATECD","","CHEKDATE","1/1/2015","UPRTRXAM","5.00000"</v>
      </c>
      <c r="P980" s="29">
        <v>0</v>
      </c>
      <c r="Q980" s="26" t="str">
        <f>"MED"</f>
        <v>MED</v>
      </c>
      <c r="R980" s="26"/>
      <c r="S980" s="28">
        <v>42005</v>
      </c>
      <c r="T980" s="29">
        <v>5</v>
      </c>
    </row>
    <row r="981" spans="1:20" s="7" customFormat="1" hidden="1" outlineLevel="3" x14ac:dyDescent="0.2">
      <c r="A981" s="7" t="s">
        <v>92</v>
      </c>
      <c r="C981" s="7" t="str">
        <f t="shared" si="147"/>
        <v>Nancy</v>
      </c>
      <c r="D981" s="7" t="str">
        <f>+D980</f>
        <v>Buchanan</v>
      </c>
      <c r="E981" s="8" t="str">
        <f>E980</f>
        <v>SALES</v>
      </c>
      <c r="G981" s="8" t="str">
        <f>G980</f>
        <v>BUCH0001</v>
      </c>
      <c r="H981" s="26"/>
      <c r="I981" s="26"/>
      <c r="J981" s="26"/>
      <c r="K981" s="28">
        <f>+K980</f>
        <v>42005</v>
      </c>
      <c r="L981" s="26" t="str">
        <f>L980</f>
        <v>10355</v>
      </c>
      <c r="M981" s="26"/>
      <c r="N981" s="26"/>
      <c r="O981" s="26" t="str">
        <f>"""GP Direct"",""Fabrikam, Inc."",""UPR30300"",""PAYRATE"",""0.00000"",""PAYROLCD"",""NE"",""STATECD"","""",""CHEKDATE"",""1/1/2015"",""UPRTRXAM"",""16.91000"""</f>
        <v>"GP Direct","Fabrikam, Inc.","UPR30300","PAYRATE","0.00000","PAYROLCD","NE","STATECD","","CHEKDATE","1/1/2015","UPRTRXAM","16.91000"</v>
      </c>
      <c r="P981" s="29">
        <v>0</v>
      </c>
      <c r="Q981" s="26" t="str">
        <f>"NE"</f>
        <v>NE</v>
      </c>
      <c r="R981" s="26"/>
      <c r="S981" s="28">
        <v>42005</v>
      </c>
      <c r="T981" s="29">
        <v>16.91</v>
      </c>
    </row>
    <row r="982" spans="1:20" s="7" customFormat="1" hidden="1" outlineLevel="3" x14ac:dyDescent="0.2">
      <c r="A982" s="7" t="s">
        <v>92</v>
      </c>
      <c r="C982" s="7" t="str">
        <f t="shared" si="147"/>
        <v>Nancy</v>
      </c>
      <c r="D982" s="7" t="str">
        <f>+D981</f>
        <v>Buchanan</v>
      </c>
      <c r="E982" s="8" t="str">
        <f>E981</f>
        <v>SALES</v>
      </c>
      <c r="G982" s="8" t="str">
        <f>G981</f>
        <v>BUCH0001</v>
      </c>
      <c r="H982" s="26"/>
      <c r="I982" s="26"/>
      <c r="J982" s="26"/>
      <c r="K982" s="28">
        <f>+K981</f>
        <v>42005</v>
      </c>
      <c r="L982" s="26" t="str">
        <f>L981</f>
        <v>10355</v>
      </c>
      <c r="M982" s="26"/>
      <c r="N982" s="26"/>
      <c r="O982" s="26" t="str">
        <f>"""GP Direct"",""Fabrikam, Inc."",""UPR30300"",""PAYRATE"",""20000.00000"",""PAYROLCD"",""SALY"",""STATECD"",""NE"",""CHEKDATE"",""1/1/2015"",""UPRTRXAM"",""833.33000"""</f>
        <v>"GP Direct","Fabrikam, Inc.","UPR30300","PAYRATE","20000.00000","PAYROLCD","SALY","STATECD","NE","CHEKDATE","1/1/2015","UPRTRXAM","833.33000"</v>
      </c>
      <c r="P982" s="29">
        <v>20000</v>
      </c>
      <c r="Q982" s="26" t="str">
        <f>"SALY"</f>
        <v>SALY</v>
      </c>
      <c r="R982" s="26" t="str">
        <f>"NE"</f>
        <v>NE</v>
      </c>
      <c r="S982" s="28">
        <v>42005</v>
      </c>
      <c r="T982" s="29">
        <v>833.33</v>
      </c>
    </row>
    <row r="983" spans="1:20" s="7" customFormat="1" hidden="1" outlineLevel="3" x14ac:dyDescent="0.2">
      <c r="A983" s="7" t="s">
        <v>92</v>
      </c>
      <c r="C983" s="7" t="str">
        <f>+C977</f>
        <v>Nancy</v>
      </c>
      <c r="D983" s="7" t="str">
        <f>+D977</f>
        <v>Buchanan</v>
      </c>
      <c r="E983" s="8" t="str">
        <f>E977</f>
        <v>SALES</v>
      </c>
      <c r="G983" s="8" t="str">
        <f>G977</f>
        <v>BUCH0001</v>
      </c>
      <c r="K983" s="12">
        <f>+K977</f>
        <v>42005</v>
      </c>
      <c r="L983" s="8" t="str">
        <f>L977</f>
        <v>10355</v>
      </c>
      <c r="O983" s="8"/>
      <c r="T983" s="20"/>
    </row>
    <row r="984" spans="1:20" s="7" customFormat="1" hidden="1" outlineLevel="2" collapsed="1" x14ac:dyDescent="0.2">
      <c r="A984" s="7" t="s">
        <v>92</v>
      </c>
      <c r="C984" s="7" t="str">
        <f t="shared" si="146"/>
        <v>Nancy</v>
      </c>
      <c r="D984" s="7" t="str">
        <f>+D983</f>
        <v>Buchanan</v>
      </c>
      <c r="E984" s="8" t="str">
        <f>E983</f>
        <v>SALES</v>
      </c>
      <c r="G984" s="8" t="str">
        <f>G983</f>
        <v>BUCH0001</v>
      </c>
      <c r="K984" s="12">
        <f>+K983</f>
        <v>42005</v>
      </c>
      <c r="L984" s="8" t="str">
        <f>L983</f>
        <v>10355</v>
      </c>
      <c r="M984" s="33" t="str">
        <f>"Total for " &amp; $L984</f>
        <v>Total for 10355</v>
      </c>
      <c r="N984" s="34">
        <f>+K984</f>
        <v>42005</v>
      </c>
      <c r="O984" s="35"/>
      <c r="P984" s="33"/>
      <c r="Q984" s="33"/>
      <c r="R984" s="33"/>
      <c r="S984" s="33"/>
      <c r="T984" s="36">
        <f>SUBTOTAL(9,T977:T983)</f>
        <v>930.85</v>
      </c>
    </row>
    <row r="985" spans="1:20" s="7" customFormat="1" hidden="1" outlineLevel="3" x14ac:dyDescent="0.2">
      <c r="A985" s="7" t="s">
        <v>92</v>
      </c>
      <c r="C985" s="7" t="str">
        <f t="shared" ref="C985:C1039" si="148">+C984</f>
        <v>Nancy</v>
      </c>
      <c r="D985" s="7" t="str">
        <f>+D984</f>
        <v>Buchanan</v>
      </c>
      <c r="E985" s="8" t="str">
        <f>E984</f>
        <v>SALES</v>
      </c>
      <c r="G985" s="8" t="str">
        <f>G984</f>
        <v>BUCH0001</v>
      </c>
      <c r="H985" s="26"/>
      <c r="I985" s="26"/>
      <c r="J985" s="26"/>
      <c r="K985" s="28">
        <f>+N985</f>
        <v>42036</v>
      </c>
      <c r="L985" s="26" t="str">
        <f>M985</f>
        <v>10380</v>
      </c>
      <c r="M985" s="26" t="str">
        <f>"10380"</f>
        <v>10380</v>
      </c>
      <c r="N985" s="28">
        <v>42036</v>
      </c>
      <c r="O985" s="26"/>
      <c r="P985" s="26"/>
      <c r="Q985" s="26"/>
      <c r="R985" s="26"/>
      <c r="S985" s="26"/>
      <c r="T985" s="27"/>
    </row>
    <row r="986" spans="1:20" s="7" customFormat="1" hidden="1" outlineLevel="3" x14ac:dyDescent="0.2">
      <c r="A986" s="7" t="s">
        <v>92</v>
      </c>
      <c r="C986" s="7" t="str">
        <f t="shared" si="148"/>
        <v>Nancy</v>
      </c>
      <c r="D986" s="7" t="str">
        <f>+D985</f>
        <v>Buchanan</v>
      </c>
      <c r="E986" s="8" t="str">
        <f>E985</f>
        <v>SALES</v>
      </c>
      <c r="G986" s="8" t="str">
        <f>G985</f>
        <v>BUCH0001</v>
      </c>
      <c r="H986" s="26"/>
      <c r="I986" s="26"/>
      <c r="J986" s="26"/>
      <c r="K986" s="28">
        <f>+K985</f>
        <v>42036</v>
      </c>
      <c r="L986" s="26" t="str">
        <f>L985</f>
        <v>10380</v>
      </c>
      <c r="M986" s="26"/>
      <c r="N986" s="26"/>
      <c r="O986" s="26" t="str">
        <f>"""GP Direct"",""Fabrikam, Inc."",""UPR30300"",""PAYRATE"",""0.00000"",""PAYROLCD"",""401K"",""STATECD"","""",""CHEKDATE"",""2/1/2015"",""UPRTRXAM"",""1.25000"""</f>
        <v>"GP Direct","Fabrikam, Inc.","UPR30300","PAYRATE","0.00000","PAYROLCD","401K","STATECD","","CHEKDATE","2/1/2015","UPRTRXAM","1.25000"</v>
      </c>
      <c r="P986" s="29">
        <v>0</v>
      </c>
      <c r="Q986" s="26" t="str">
        <f>"401K"</f>
        <v>401K</v>
      </c>
      <c r="R986" s="26"/>
      <c r="S986" s="28">
        <v>42036</v>
      </c>
      <c r="T986" s="29">
        <v>1.25</v>
      </c>
    </row>
    <row r="987" spans="1:20" s="7" customFormat="1" hidden="1" outlineLevel="3" x14ac:dyDescent="0.2">
      <c r="A987" s="7" t="s">
        <v>92</v>
      </c>
      <c r="C987" s="7" t="str">
        <f t="shared" ref="C987:C991" si="149">+C986</f>
        <v>Nancy</v>
      </c>
      <c r="D987" s="7" t="str">
        <f>+D986</f>
        <v>Buchanan</v>
      </c>
      <c r="E987" s="8" t="str">
        <f>E986</f>
        <v>SALES</v>
      </c>
      <c r="G987" s="8" t="str">
        <f>G986</f>
        <v>BUCH0001</v>
      </c>
      <c r="H987" s="26"/>
      <c r="I987" s="26"/>
      <c r="J987" s="26"/>
      <c r="K987" s="28">
        <f>+K986</f>
        <v>42036</v>
      </c>
      <c r="L987" s="26" t="str">
        <f>L986</f>
        <v>10380</v>
      </c>
      <c r="M987" s="26"/>
      <c r="N987" s="26"/>
      <c r="O987" s="26" t="str">
        <f>"""GP Direct"",""Fabrikam, Inc."",""UPR30300"",""PAYRATE"",""0.00000"",""PAYROLCD"",""401K"",""STATECD"","""",""CHEKDATE"",""2/1/2015"",""UPRTRXAM"",""25.00000"""</f>
        <v>"GP Direct","Fabrikam, Inc.","UPR30300","PAYRATE","0.00000","PAYROLCD","401K","STATECD","","CHEKDATE","2/1/2015","UPRTRXAM","25.00000"</v>
      </c>
      <c r="P987" s="29">
        <v>0</v>
      </c>
      <c r="Q987" s="26" t="str">
        <f>"401K"</f>
        <v>401K</v>
      </c>
      <c r="R987" s="26"/>
      <c r="S987" s="28">
        <v>42036</v>
      </c>
      <c r="T987" s="29">
        <v>25</v>
      </c>
    </row>
    <row r="988" spans="1:20" s="7" customFormat="1" hidden="1" outlineLevel="3" x14ac:dyDescent="0.2">
      <c r="A988" s="7" t="s">
        <v>92</v>
      </c>
      <c r="C988" s="7" t="str">
        <f t="shared" si="149"/>
        <v>Nancy</v>
      </c>
      <c r="D988" s="7" t="str">
        <f>+D987</f>
        <v>Buchanan</v>
      </c>
      <c r="E988" s="8" t="str">
        <f>E987</f>
        <v>SALES</v>
      </c>
      <c r="G988" s="8" t="str">
        <f>G987</f>
        <v>BUCH0001</v>
      </c>
      <c r="H988" s="26"/>
      <c r="I988" s="26"/>
      <c r="J988" s="26"/>
      <c r="K988" s="28">
        <f>+K987</f>
        <v>42036</v>
      </c>
      <c r="L988" s="26" t="str">
        <f>L987</f>
        <v>10380</v>
      </c>
      <c r="M988" s="26"/>
      <c r="N988" s="26"/>
      <c r="O988" s="26" t="str">
        <f>"""GP Direct"",""Fabrikam, Inc."",""UPR30300"",""PAYRATE"",""0.00000"",""PAYROLCD"",""INS"",""STATECD"","""",""CHEKDATE"",""2/1/2015"",""UPRTRXAM"",""49.36000"""</f>
        <v>"GP Direct","Fabrikam, Inc.","UPR30300","PAYRATE","0.00000","PAYROLCD","INS","STATECD","","CHEKDATE","2/1/2015","UPRTRXAM","49.36000"</v>
      </c>
      <c r="P988" s="29">
        <v>0</v>
      </c>
      <c r="Q988" s="26" t="str">
        <f>"INS"</f>
        <v>INS</v>
      </c>
      <c r="R988" s="26"/>
      <c r="S988" s="28">
        <v>42036</v>
      </c>
      <c r="T988" s="29">
        <v>49.36</v>
      </c>
    </row>
    <row r="989" spans="1:20" s="7" customFormat="1" hidden="1" outlineLevel="3" x14ac:dyDescent="0.2">
      <c r="A989" s="7" t="s">
        <v>92</v>
      </c>
      <c r="C989" s="7" t="str">
        <f t="shared" si="149"/>
        <v>Nancy</v>
      </c>
      <c r="D989" s="7" t="str">
        <f>+D988</f>
        <v>Buchanan</v>
      </c>
      <c r="E989" s="8" t="str">
        <f>E988</f>
        <v>SALES</v>
      </c>
      <c r="G989" s="8" t="str">
        <f>G988</f>
        <v>BUCH0001</v>
      </c>
      <c r="H989" s="26"/>
      <c r="I989" s="26"/>
      <c r="J989" s="26"/>
      <c r="K989" s="28">
        <f>+K988</f>
        <v>42036</v>
      </c>
      <c r="L989" s="26" t="str">
        <f>L988</f>
        <v>10380</v>
      </c>
      <c r="M989" s="26"/>
      <c r="N989" s="26"/>
      <c r="O989" s="26" t="str">
        <f>"""GP Direct"",""Fabrikam, Inc."",""UPR30300"",""PAYRATE"",""0.00000"",""PAYROLCD"",""MED"",""STATECD"","""",""CHEKDATE"",""2/1/2015"",""UPRTRXAM"",""5.00000"""</f>
        <v>"GP Direct","Fabrikam, Inc.","UPR30300","PAYRATE","0.00000","PAYROLCD","MED","STATECD","","CHEKDATE","2/1/2015","UPRTRXAM","5.00000"</v>
      </c>
      <c r="P989" s="29">
        <v>0</v>
      </c>
      <c r="Q989" s="26" t="str">
        <f>"MED"</f>
        <v>MED</v>
      </c>
      <c r="R989" s="26"/>
      <c r="S989" s="28">
        <v>42036</v>
      </c>
      <c r="T989" s="29">
        <v>5</v>
      </c>
    </row>
    <row r="990" spans="1:20" s="7" customFormat="1" hidden="1" outlineLevel="3" x14ac:dyDescent="0.2">
      <c r="A990" s="7" t="s">
        <v>92</v>
      </c>
      <c r="C990" s="7" t="str">
        <f t="shared" si="149"/>
        <v>Nancy</v>
      </c>
      <c r="D990" s="7" t="str">
        <f>+D989</f>
        <v>Buchanan</v>
      </c>
      <c r="E990" s="8" t="str">
        <f>E989</f>
        <v>SALES</v>
      </c>
      <c r="G990" s="8" t="str">
        <f>G989</f>
        <v>BUCH0001</v>
      </c>
      <c r="H990" s="26"/>
      <c r="I990" s="26"/>
      <c r="J990" s="26"/>
      <c r="K990" s="28">
        <f>+K989</f>
        <v>42036</v>
      </c>
      <c r="L990" s="26" t="str">
        <f>L989</f>
        <v>10380</v>
      </c>
      <c r="M990" s="26"/>
      <c r="N990" s="26"/>
      <c r="O990" s="26" t="str">
        <f>"""GP Direct"",""Fabrikam, Inc."",""UPR30300"",""PAYRATE"",""0.00000"",""PAYROLCD"",""NE"",""STATECD"","""",""CHEKDATE"",""2/1/2015"",""UPRTRXAM"",""16.91000"""</f>
        <v>"GP Direct","Fabrikam, Inc.","UPR30300","PAYRATE","0.00000","PAYROLCD","NE","STATECD","","CHEKDATE","2/1/2015","UPRTRXAM","16.91000"</v>
      </c>
      <c r="P990" s="29">
        <v>0</v>
      </c>
      <c r="Q990" s="26" t="str">
        <f>"NE"</f>
        <v>NE</v>
      </c>
      <c r="R990" s="26"/>
      <c r="S990" s="28">
        <v>42036</v>
      </c>
      <c r="T990" s="29">
        <v>16.91</v>
      </c>
    </row>
    <row r="991" spans="1:20" s="7" customFormat="1" hidden="1" outlineLevel="3" x14ac:dyDescent="0.2">
      <c r="A991" s="7" t="s">
        <v>92</v>
      </c>
      <c r="C991" s="7" t="str">
        <f t="shared" si="149"/>
        <v>Nancy</v>
      </c>
      <c r="D991" s="7" t="str">
        <f>+D990</f>
        <v>Buchanan</v>
      </c>
      <c r="E991" s="8" t="str">
        <f>E990</f>
        <v>SALES</v>
      </c>
      <c r="G991" s="8" t="str">
        <f>G990</f>
        <v>BUCH0001</v>
      </c>
      <c r="H991" s="26"/>
      <c r="I991" s="26"/>
      <c r="J991" s="26"/>
      <c r="K991" s="28">
        <f>+K990</f>
        <v>42036</v>
      </c>
      <c r="L991" s="26" t="str">
        <f>L990</f>
        <v>10380</v>
      </c>
      <c r="M991" s="26"/>
      <c r="N991" s="26"/>
      <c r="O991" s="26" t="str">
        <f>"""GP Direct"",""Fabrikam, Inc."",""UPR30300"",""PAYRATE"",""20000.00000"",""PAYROLCD"",""SALY"",""STATECD"",""NE"",""CHEKDATE"",""2/1/2015"",""UPRTRXAM"",""833.33000"""</f>
        <v>"GP Direct","Fabrikam, Inc.","UPR30300","PAYRATE","20000.00000","PAYROLCD","SALY","STATECD","NE","CHEKDATE","2/1/2015","UPRTRXAM","833.33000"</v>
      </c>
      <c r="P991" s="29">
        <v>20000</v>
      </c>
      <c r="Q991" s="26" t="str">
        <f>"SALY"</f>
        <v>SALY</v>
      </c>
      <c r="R991" s="26" t="str">
        <f>"NE"</f>
        <v>NE</v>
      </c>
      <c r="S991" s="28">
        <v>42036</v>
      </c>
      <c r="T991" s="29">
        <v>833.33</v>
      </c>
    </row>
    <row r="992" spans="1:20" s="7" customFormat="1" hidden="1" outlineLevel="3" x14ac:dyDescent="0.2">
      <c r="A992" s="7" t="s">
        <v>92</v>
      </c>
      <c r="C992" s="7" t="str">
        <f>+C986</f>
        <v>Nancy</v>
      </c>
      <c r="D992" s="7" t="str">
        <f>+D986</f>
        <v>Buchanan</v>
      </c>
      <c r="E992" s="8" t="str">
        <f>E986</f>
        <v>SALES</v>
      </c>
      <c r="G992" s="8" t="str">
        <f>G986</f>
        <v>BUCH0001</v>
      </c>
      <c r="K992" s="12">
        <f>+K986</f>
        <v>42036</v>
      </c>
      <c r="L992" s="8" t="str">
        <f>L986</f>
        <v>10380</v>
      </c>
      <c r="O992" s="8"/>
      <c r="T992" s="20"/>
    </row>
    <row r="993" spans="1:20" s="7" customFormat="1" hidden="1" outlineLevel="2" collapsed="1" x14ac:dyDescent="0.2">
      <c r="A993" s="7" t="s">
        <v>92</v>
      </c>
      <c r="C993" s="7" t="str">
        <f t="shared" si="148"/>
        <v>Nancy</v>
      </c>
      <c r="D993" s="7" t="str">
        <f>+D992</f>
        <v>Buchanan</v>
      </c>
      <c r="E993" s="8" t="str">
        <f>E992</f>
        <v>SALES</v>
      </c>
      <c r="G993" s="8" t="str">
        <f>G992</f>
        <v>BUCH0001</v>
      </c>
      <c r="K993" s="12">
        <f>+K992</f>
        <v>42036</v>
      </c>
      <c r="L993" s="8" t="str">
        <f>L992</f>
        <v>10380</v>
      </c>
      <c r="M993" s="33" t="str">
        <f>"Total for " &amp; $L993</f>
        <v>Total for 10380</v>
      </c>
      <c r="N993" s="34">
        <f>+K993</f>
        <v>42036</v>
      </c>
      <c r="O993" s="35"/>
      <c r="P993" s="33"/>
      <c r="Q993" s="33"/>
      <c r="R993" s="33"/>
      <c r="S993" s="33"/>
      <c r="T993" s="36">
        <f>SUBTOTAL(9,T986:T992)</f>
        <v>930.85</v>
      </c>
    </row>
    <row r="994" spans="1:20" s="7" customFormat="1" hidden="1" outlineLevel="3" x14ac:dyDescent="0.2">
      <c r="A994" s="7" t="s">
        <v>92</v>
      </c>
      <c r="C994" s="7" t="str">
        <f t="shared" si="148"/>
        <v>Nancy</v>
      </c>
      <c r="D994" s="7" t="str">
        <f>+D993</f>
        <v>Buchanan</v>
      </c>
      <c r="E994" s="8" t="str">
        <f>E993</f>
        <v>SALES</v>
      </c>
      <c r="G994" s="8" t="str">
        <f>G993</f>
        <v>BUCH0001</v>
      </c>
      <c r="H994" s="26"/>
      <c r="I994" s="26"/>
      <c r="J994" s="26"/>
      <c r="K994" s="28">
        <f>+N994</f>
        <v>42064</v>
      </c>
      <c r="L994" s="26" t="str">
        <f>M994</f>
        <v>10405</v>
      </c>
      <c r="M994" s="26" t="str">
        <f>"10405"</f>
        <v>10405</v>
      </c>
      <c r="N994" s="28">
        <v>42064</v>
      </c>
      <c r="O994" s="26"/>
      <c r="P994" s="26"/>
      <c r="Q994" s="26"/>
      <c r="R994" s="26"/>
      <c r="S994" s="26"/>
      <c r="T994" s="27"/>
    </row>
    <row r="995" spans="1:20" s="7" customFormat="1" hidden="1" outlineLevel="3" x14ac:dyDescent="0.2">
      <c r="A995" s="7" t="s">
        <v>92</v>
      </c>
      <c r="C995" s="7" t="str">
        <f t="shared" si="148"/>
        <v>Nancy</v>
      </c>
      <c r="D995" s="7" t="str">
        <f>+D994</f>
        <v>Buchanan</v>
      </c>
      <c r="E995" s="8" t="str">
        <f>E994</f>
        <v>SALES</v>
      </c>
      <c r="G995" s="8" t="str">
        <f>G994</f>
        <v>BUCH0001</v>
      </c>
      <c r="H995" s="26"/>
      <c r="I995" s="26"/>
      <c r="J995" s="26"/>
      <c r="K995" s="28">
        <f>+K994</f>
        <v>42064</v>
      </c>
      <c r="L995" s="26" t="str">
        <f>L994</f>
        <v>10405</v>
      </c>
      <c r="M995" s="26"/>
      <c r="N995" s="26"/>
      <c r="O995" s="26" t="str">
        <f>"""GP Direct"",""Fabrikam, Inc."",""UPR30300"",""PAYRATE"",""0.00000"",""PAYROLCD"",""401K"",""STATECD"","""",""CHEKDATE"",""3/1/2015"",""UPRTRXAM"",""1.25000"""</f>
        <v>"GP Direct","Fabrikam, Inc.","UPR30300","PAYRATE","0.00000","PAYROLCD","401K","STATECD","","CHEKDATE","3/1/2015","UPRTRXAM","1.25000"</v>
      </c>
      <c r="P995" s="29">
        <v>0</v>
      </c>
      <c r="Q995" s="26" t="str">
        <f>"401K"</f>
        <v>401K</v>
      </c>
      <c r="R995" s="26"/>
      <c r="S995" s="28">
        <v>42064</v>
      </c>
      <c r="T995" s="29">
        <v>1.25</v>
      </c>
    </row>
    <row r="996" spans="1:20" s="7" customFormat="1" hidden="1" outlineLevel="3" x14ac:dyDescent="0.2">
      <c r="A996" s="7" t="s">
        <v>92</v>
      </c>
      <c r="C996" s="7" t="str">
        <f t="shared" ref="C996:C1000" si="150">+C995</f>
        <v>Nancy</v>
      </c>
      <c r="D996" s="7" t="str">
        <f>+D995</f>
        <v>Buchanan</v>
      </c>
      <c r="E996" s="8" t="str">
        <f>E995</f>
        <v>SALES</v>
      </c>
      <c r="G996" s="8" t="str">
        <f>G995</f>
        <v>BUCH0001</v>
      </c>
      <c r="H996" s="26"/>
      <c r="I996" s="26"/>
      <c r="J996" s="26"/>
      <c r="K996" s="28">
        <f>+K995</f>
        <v>42064</v>
      </c>
      <c r="L996" s="26" t="str">
        <f>L995</f>
        <v>10405</v>
      </c>
      <c r="M996" s="26"/>
      <c r="N996" s="26"/>
      <c r="O996" s="26" t="str">
        <f>"""GP Direct"",""Fabrikam, Inc."",""UPR30300"",""PAYRATE"",""0.00000"",""PAYROLCD"",""401K"",""STATECD"","""",""CHEKDATE"",""3/1/2015"",""UPRTRXAM"",""25.00000"""</f>
        <v>"GP Direct","Fabrikam, Inc.","UPR30300","PAYRATE","0.00000","PAYROLCD","401K","STATECD","","CHEKDATE","3/1/2015","UPRTRXAM","25.00000"</v>
      </c>
      <c r="P996" s="29">
        <v>0</v>
      </c>
      <c r="Q996" s="26" t="str">
        <f>"401K"</f>
        <v>401K</v>
      </c>
      <c r="R996" s="26"/>
      <c r="S996" s="28">
        <v>42064</v>
      </c>
      <c r="T996" s="29">
        <v>25</v>
      </c>
    </row>
    <row r="997" spans="1:20" s="7" customFormat="1" hidden="1" outlineLevel="3" x14ac:dyDescent="0.2">
      <c r="A997" s="7" t="s">
        <v>92</v>
      </c>
      <c r="C997" s="7" t="str">
        <f t="shared" si="150"/>
        <v>Nancy</v>
      </c>
      <c r="D997" s="7" t="str">
        <f>+D996</f>
        <v>Buchanan</v>
      </c>
      <c r="E997" s="8" t="str">
        <f>E996</f>
        <v>SALES</v>
      </c>
      <c r="G997" s="8" t="str">
        <f>G996</f>
        <v>BUCH0001</v>
      </c>
      <c r="H997" s="26"/>
      <c r="I997" s="26"/>
      <c r="J997" s="26"/>
      <c r="K997" s="28">
        <f>+K996</f>
        <v>42064</v>
      </c>
      <c r="L997" s="26" t="str">
        <f>L996</f>
        <v>10405</v>
      </c>
      <c r="M997" s="26"/>
      <c r="N997" s="26"/>
      <c r="O997" s="26" t="str">
        <f>"""GP Direct"",""Fabrikam, Inc."",""UPR30300"",""PAYRATE"",""0.00000"",""PAYROLCD"",""INS"",""STATECD"","""",""CHEKDATE"",""3/1/2015"",""UPRTRXAM"",""49.36000"""</f>
        <v>"GP Direct","Fabrikam, Inc.","UPR30300","PAYRATE","0.00000","PAYROLCD","INS","STATECD","","CHEKDATE","3/1/2015","UPRTRXAM","49.36000"</v>
      </c>
      <c r="P997" s="29">
        <v>0</v>
      </c>
      <c r="Q997" s="26" t="str">
        <f>"INS"</f>
        <v>INS</v>
      </c>
      <c r="R997" s="26"/>
      <c r="S997" s="28">
        <v>42064</v>
      </c>
      <c r="T997" s="29">
        <v>49.36</v>
      </c>
    </row>
    <row r="998" spans="1:20" s="7" customFormat="1" hidden="1" outlineLevel="3" x14ac:dyDescent="0.2">
      <c r="A998" s="7" t="s">
        <v>92</v>
      </c>
      <c r="C998" s="7" t="str">
        <f t="shared" si="150"/>
        <v>Nancy</v>
      </c>
      <c r="D998" s="7" t="str">
        <f>+D997</f>
        <v>Buchanan</v>
      </c>
      <c r="E998" s="8" t="str">
        <f>E997</f>
        <v>SALES</v>
      </c>
      <c r="G998" s="8" t="str">
        <f>G997</f>
        <v>BUCH0001</v>
      </c>
      <c r="H998" s="26"/>
      <c r="I998" s="26"/>
      <c r="J998" s="26"/>
      <c r="K998" s="28">
        <f>+K997</f>
        <v>42064</v>
      </c>
      <c r="L998" s="26" t="str">
        <f>L997</f>
        <v>10405</v>
      </c>
      <c r="M998" s="26"/>
      <c r="N998" s="26"/>
      <c r="O998" s="26" t="str">
        <f>"""GP Direct"",""Fabrikam, Inc."",""UPR30300"",""PAYRATE"",""0.00000"",""PAYROLCD"",""MED"",""STATECD"","""",""CHEKDATE"",""3/1/2015"",""UPRTRXAM"",""5.00000"""</f>
        <v>"GP Direct","Fabrikam, Inc.","UPR30300","PAYRATE","0.00000","PAYROLCD","MED","STATECD","","CHEKDATE","3/1/2015","UPRTRXAM","5.00000"</v>
      </c>
      <c r="P998" s="29">
        <v>0</v>
      </c>
      <c r="Q998" s="26" t="str">
        <f>"MED"</f>
        <v>MED</v>
      </c>
      <c r="R998" s="26"/>
      <c r="S998" s="28">
        <v>42064</v>
      </c>
      <c r="T998" s="29">
        <v>5</v>
      </c>
    </row>
    <row r="999" spans="1:20" s="7" customFormat="1" hidden="1" outlineLevel="3" x14ac:dyDescent="0.2">
      <c r="A999" s="7" t="s">
        <v>92</v>
      </c>
      <c r="C999" s="7" t="str">
        <f t="shared" si="150"/>
        <v>Nancy</v>
      </c>
      <c r="D999" s="7" t="str">
        <f>+D998</f>
        <v>Buchanan</v>
      </c>
      <c r="E999" s="8" t="str">
        <f>E998</f>
        <v>SALES</v>
      </c>
      <c r="G999" s="8" t="str">
        <f>G998</f>
        <v>BUCH0001</v>
      </c>
      <c r="H999" s="26"/>
      <c r="I999" s="26"/>
      <c r="J999" s="26"/>
      <c r="K999" s="28">
        <f>+K998</f>
        <v>42064</v>
      </c>
      <c r="L999" s="26" t="str">
        <f>L998</f>
        <v>10405</v>
      </c>
      <c r="M999" s="26"/>
      <c r="N999" s="26"/>
      <c r="O999" s="26" t="str">
        <f>"""GP Direct"",""Fabrikam, Inc."",""UPR30300"",""PAYRATE"",""0.00000"",""PAYROLCD"",""NE"",""STATECD"","""",""CHEKDATE"",""3/1/2015"",""UPRTRXAM"",""16.91000"""</f>
        <v>"GP Direct","Fabrikam, Inc.","UPR30300","PAYRATE","0.00000","PAYROLCD","NE","STATECD","","CHEKDATE","3/1/2015","UPRTRXAM","16.91000"</v>
      </c>
      <c r="P999" s="29">
        <v>0</v>
      </c>
      <c r="Q999" s="26" t="str">
        <f>"NE"</f>
        <v>NE</v>
      </c>
      <c r="R999" s="26"/>
      <c r="S999" s="28">
        <v>42064</v>
      </c>
      <c r="T999" s="29">
        <v>16.91</v>
      </c>
    </row>
    <row r="1000" spans="1:20" s="7" customFormat="1" hidden="1" outlineLevel="3" x14ac:dyDescent="0.2">
      <c r="A1000" s="7" t="s">
        <v>92</v>
      </c>
      <c r="C1000" s="7" t="str">
        <f t="shared" si="150"/>
        <v>Nancy</v>
      </c>
      <c r="D1000" s="7" t="str">
        <f>+D999</f>
        <v>Buchanan</v>
      </c>
      <c r="E1000" s="8" t="str">
        <f>E999</f>
        <v>SALES</v>
      </c>
      <c r="G1000" s="8" t="str">
        <f>G999</f>
        <v>BUCH0001</v>
      </c>
      <c r="H1000" s="26"/>
      <c r="I1000" s="26"/>
      <c r="J1000" s="26"/>
      <c r="K1000" s="28">
        <f>+K999</f>
        <v>42064</v>
      </c>
      <c r="L1000" s="26" t="str">
        <f>L999</f>
        <v>10405</v>
      </c>
      <c r="M1000" s="26"/>
      <c r="N1000" s="26"/>
      <c r="O1000" s="26" t="str">
        <f>"""GP Direct"",""Fabrikam, Inc."",""UPR30300"",""PAYRATE"",""20000.00000"",""PAYROLCD"",""SALY"",""STATECD"",""NE"",""CHEKDATE"",""3/1/2015"",""UPRTRXAM"",""833.33000"""</f>
        <v>"GP Direct","Fabrikam, Inc.","UPR30300","PAYRATE","20000.00000","PAYROLCD","SALY","STATECD","NE","CHEKDATE","3/1/2015","UPRTRXAM","833.33000"</v>
      </c>
      <c r="P1000" s="29">
        <v>20000</v>
      </c>
      <c r="Q1000" s="26" t="str">
        <f>"SALY"</f>
        <v>SALY</v>
      </c>
      <c r="R1000" s="26" t="str">
        <f>"NE"</f>
        <v>NE</v>
      </c>
      <c r="S1000" s="28">
        <v>42064</v>
      </c>
      <c r="T1000" s="29">
        <v>833.33</v>
      </c>
    </row>
    <row r="1001" spans="1:20" s="7" customFormat="1" hidden="1" outlineLevel="3" x14ac:dyDescent="0.2">
      <c r="A1001" s="7" t="s">
        <v>92</v>
      </c>
      <c r="C1001" s="7" t="str">
        <f>+C995</f>
        <v>Nancy</v>
      </c>
      <c r="D1001" s="7" t="str">
        <f>+D995</f>
        <v>Buchanan</v>
      </c>
      <c r="E1001" s="8" t="str">
        <f>E995</f>
        <v>SALES</v>
      </c>
      <c r="G1001" s="8" t="str">
        <f>G995</f>
        <v>BUCH0001</v>
      </c>
      <c r="K1001" s="12">
        <f>+K995</f>
        <v>42064</v>
      </c>
      <c r="L1001" s="8" t="str">
        <f>L995</f>
        <v>10405</v>
      </c>
      <c r="O1001" s="8"/>
      <c r="T1001" s="20"/>
    </row>
    <row r="1002" spans="1:20" s="7" customFormat="1" hidden="1" outlineLevel="2" collapsed="1" x14ac:dyDescent="0.2">
      <c r="A1002" s="7" t="s">
        <v>92</v>
      </c>
      <c r="C1002" s="7" t="str">
        <f t="shared" si="148"/>
        <v>Nancy</v>
      </c>
      <c r="D1002" s="7" t="str">
        <f>+D1001</f>
        <v>Buchanan</v>
      </c>
      <c r="E1002" s="8" t="str">
        <f>E1001</f>
        <v>SALES</v>
      </c>
      <c r="G1002" s="8" t="str">
        <f>G1001</f>
        <v>BUCH0001</v>
      </c>
      <c r="K1002" s="12">
        <f>+K1001</f>
        <v>42064</v>
      </c>
      <c r="L1002" s="8" t="str">
        <f>L1001</f>
        <v>10405</v>
      </c>
      <c r="M1002" s="33" t="str">
        <f>"Total for " &amp; $L1002</f>
        <v>Total for 10405</v>
      </c>
      <c r="N1002" s="34">
        <f>+K1002</f>
        <v>42064</v>
      </c>
      <c r="O1002" s="35"/>
      <c r="P1002" s="33"/>
      <c r="Q1002" s="33"/>
      <c r="R1002" s="33"/>
      <c r="S1002" s="33"/>
      <c r="T1002" s="36">
        <f>SUBTOTAL(9,T995:T1001)</f>
        <v>930.85</v>
      </c>
    </row>
    <row r="1003" spans="1:20" s="7" customFormat="1" hidden="1" outlineLevel="3" x14ac:dyDescent="0.2">
      <c r="A1003" s="7" t="s">
        <v>92</v>
      </c>
      <c r="C1003" s="7" t="str">
        <f t="shared" si="148"/>
        <v>Nancy</v>
      </c>
      <c r="D1003" s="7" t="str">
        <f>+D1002</f>
        <v>Buchanan</v>
      </c>
      <c r="E1003" s="8" t="str">
        <f>E1002</f>
        <v>SALES</v>
      </c>
      <c r="G1003" s="8" t="str">
        <f>G1002</f>
        <v>BUCH0001</v>
      </c>
      <c r="H1003" s="26"/>
      <c r="I1003" s="26"/>
      <c r="J1003" s="26"/>
      <c r="K1003" s="28">
        <f>+N1003</f>
        <v>42095</v>
      </c>
      <c r="L1003" s="26" t="str">
        <f>M1003</f>
        <v>10430</v>
      </c>
      <c r="M1003" s="26" t="str">
        <f>"10430"</f>
        <v>10430</v>
      </c>
      <c r="N1003" s="28">
        <v>42095</v>
      </c>
      <c r="O1003" s="26"/>
      <c r="P1003" s="26"/>
      <c r="Q1003" s="26"/>
      <c r="R1003" s="26"/>
      <c r="S1003" s="26"/>
      <c r="T1003" s="27"/>
    </row>
    <row r="1004" spans="1:20" s="7" customFormat="1" hidden="1" outlineLevel="3" x14ac:dyDescent="0.2">
      <c r="A1004" s="7" t="s">
        <v>92</v>
      </c>
      <c r="C1004" s="7" t="str">
        <f t="shared" si="148"/>
        <v>Nancy</v>
      </c>
      <c r="D1004" s="7" t="str">
        <f>+D1003</f>
        <v>Buchanan</v>
      </c>
      <c r="E1004" s="8" t="str">
        <f>E1003</f>
        <v>SALES</v>
      </c>
      <c r="G1004" s="8" t="str">
        <f>G1003</f>
        <v>BUCH0001</v>
      </c>
      <c r="H1004" s="26"/>
      <c r="I1004" s="26"/>
      <c r="J1004" s="26"/>
      <c r="K1004" s="28">
        <f>+K1003</f>
        <v>42095</v>
      </c>
      <c r="L1004" s="26" t="str">
        <f>L1003</f>
        <v>10430</v>
      </c>
      <c r="M1004" s="26"/>
      <c r="N1004" s="26"/>
      <c r="O1004" s="26" t="str">
        <f>"""GP Direct"",""Fabrikam, Inc."",""UPR30300"",""PAYRATE"",""0.00000"",""PAYROLCD"",""401K"",""STATECD"","""",""CHEKDATE"",""4/1/2015"",""UPRTRXAM"",""1.25000"""</f>
        <v>"GP Direct","Fabrikam, Inc.","UPR30300","PAYRATE","0.00000","PAYROLCD","401K","STATECD","","CHEKDATE","4/1/2015","UPRTRXAM","1.25000"</v>
      </c>
      <c r="P1004" s="29">
        <v>0</v>
      </c>
      <c r="Q1004" s="26" t="str">
        <f>"401K"</f>
        <v>401K</v>
      </c>
      <c r="R1004" s="26"/>
      <c r="S1004" s="28">
        <v>42095</v>
      </c>
      <c r="T1004" s="29">
        <v>1.25</v>
      </c>
    </row>
    <row r="1005" spans="1:20" s="7" customFormat="1" hidden="1" outlineLevel="3" x14ac:dyDescent="0.2">
      <c r="A1005" s="7" t="s">
        <v>92</v>
      </c>
      <c r="C1005" s="7" t="str">
        <f t="shared" ref="C1005:C1009" si="151">+C1004</f>
        <v>Nancy</v>
      </c>
      <c r="D1005" s="7" t="str">
        <f>+D1004</f>
        <v>Buchanan</v>
      </c>
      <c r="E1005" s="8" t="str">
        <f>E1004</f>
        <v>SALES</v>
      </c>
      <c r="G1005" s="8" t="str">
        <f>G1004</f>
        <v>BUCH0001</v>
      </c>
      <c r="H1005" s="26"/>
      <c r="I1005" s="26"/>
      <c r="J1005" s="26"/>
      <c r="K1005" s="28">
        <f>+K1004</f>
        <v>42095</v>
      </c>
      <c r="L1005" s="26" t="str">
        <f>L1004</f>
        <v>10430</v>
      </c>
      <c r="M1005" s="26"/>
      <c r="N1005" s="26"/>
      <c r="O1005" s="26" t="str">
        <f>"""GP Direct"",""Fabrikam, Inc."",""UPR30300"",""PAYRATE"",""0.00000"",""PAYROLCD"",""401K"",""STATECD"","""",""CHEKDATE"",""4/1/2015"",""UPRTRXAM"",""25.00000"""</f>
        <v>"GP Direct","Fabrikam, Inc.","UPR30300","PAYRATE","0.00000","PAYROLCD","401K","STATECD","","CHEKDATE","4/1/2015","UPRTRXAM","25.00000"</v>
      </c>
      <c r="P1005" s="29">
        <v>0</v>
      </c>
      <c r="Q1005" s="26" t="str">
        <f>"401K"</f>
        <v>401K</v>
      </c>
      <c r="R1005" s="26"/>
      <c r="S1005" s="28">
        <v>42095</v>
      </c>
      <c r="T1005" s="29">
        <v>25</v>
      </c>
    </row>
    <row r="1006" spans="1:20" s="7" customFormat="1" hidden="1" outlineLevel="3" x14ac:dyDescent="0.2">
      <c r="A1006" s="7" t="s">
        <v>92</v>
      </c>
      <c r="C1006" s="7" t="str">
        <f t="shared" si="151"/>
        <v>Nancy</v>
      </c>
      <c r="D1006" s="7" t="str">
        <f>+D1005</f>
        <v>Buchanan</v>
      </c>
      <c r="E1006" s="8" t="str">
        <f>E1005</f>
        <v>SALES</v>
      </c>
      <c r="G1006" s="8" t="str">
        <f>G1005</f>
        <v>BUCH0001</v>
      </c>
      <c r="H1006" s="26"/>
      <c r="I1006" s="26"/>
      <c r="J1006" s="26"/>
      <c r="K1006" s="28">
        <f>+K1005</f>
        <v>42095</v>
      </c>
      <c r="L1006" s="26" t="str">
        <f>L1005</f>
        <v>10430</v>
      </c>
      <c r="M1006" s="26"/>
      <c r="N1006" s="26"/>
      <c r="O1006" s="26" t="str">
        <f>"""GP Direct"",""Fabrikam, Inc."",""UPR30300"",""PAYRATE"",""0.00000"",""PAYROLCD"",""INS"",""STATECD"","""",""CHEKDATE"",""4/1/2015"",""UPRTRXAM"",""49.36000"""</f>
        <v>"GP Direct","Fabrikam, Inc.","UPR30300","PAYRATE","0.00000","PAYROLCD","INS","STATECD","","CHEKDATE","4/1/2015","UPRTRXAM","49.36000"</v>
      </c>
      <c r="P1006" s="29">
        <v>0</v>
      </c>
      <c r="Q1006" s="26" t="str">
        <f>"INS"</f>
        <v>INS</v>
      </c>
      <c r="R1006" s="26"/>
      <c r="S1006" s="28">
        <v>42095</v>
      </c>
      <c r="T1006" s="29">
        <v>49.36</v>
      </c>
    </row>
    <row r="1007" spans="1:20" s="7" customFormat="1" hidden="1" outlineLevel="3" x14ac:dyDescent="0.2">
      <c r="A1007" s="7" t="s">
        <v>92</v>
      </c>
      <c r="C1007" s="7" t="str">
        <f t="shared" si="151"/>
        <v>Nancy</v>
      </c>
      <c r="D1007" s="7" t="str">
        <f>+D1006</f>
        <v>Buchanan</v>
      </c>
      <c r="E1007" s="8" t="str">
        <f>E1006</f>
        <v>SALES</v>
      </c>
      <c r="G1007" s="8" t="str">
        <f>G1006</f>
        <v>BUCH0001</v>
      </c>
      <c r="H1007" s="26"/>
      <c r="I1007" s="26"/>
      <c r="J1007" s="26"/>
      <c r="K1007" s="28">
        <f>+K1006</f>
        <v>42095</v>
      </c>
      <c r="L1007" s="26" t="str">
        <f>L1006</f>
        <v>10430</v>
      </c>
      <c r="M1007" s="26"/>
      <c r="N1007" s="26"/>
      <c r="O1007" s="26" t="str">
        <f>"""GP Direct"",""Fabrikam, Inc."",""UPR30300"",""PAYRATE"",""0.00000"",""PAYROLCD"",""MED"",""STATECD"","""",""CHEKDATE"",""4/1/2015"",""UPRTRXAM"",""5.00000"""</f>
        <v>"GP Direct","Fabrikam, Inc.","UPR30300","PAYRATE","0.00000","PAYROLCD","MED","STATECD","","CHEKDATE","4/1/2015","UPRTRXAM","5.00000"</v>
      </c>
      <c r="P1007" s="29">
        <v>0</v>
      </c>
      <c r="Q1007" s="26" t="str">
        <f>"MED"</f>
        <v>MED</v>
      </c>
      <c r="R1007" s="26"/>
      <c r="S1007" s="28">
        <v>42095</v>
      </c>
      <c r="T1007" s="29">
        <v>5</v>
      </c>
    </row>
    <row r="1008" spans="1:20" s="7" customFormat="1" hidden="1" outlineLevel="3" x14ac:dyDescent="0.2">
      <c r="A1008" s="7" t="s">
        <v>92</v>
      </c>
      <c r="C1008" s="7" t="str">
        <f t="shared" si="151"/>
        <v>Nancy</v>
      </c>
      <c r="D1008" s="7" t="str">
        <f>+D1007</f>
        <v>Buchanan</v>
      </c>
      <c r="E1008" s="8" t="str">
        <f>E1007</f>
        <v>SALES</v>
      </c>
      <c r="G1008" s="8" t="str">
        <f>G1007</f>
        <v>BUCH0001</v>
      </c>
      <c r="H1008" s="26"/>
      <c r="I1008" s="26"/>
      <c r="J1008" s="26"/>
      <c r="K1008" s="28">
        <f>+K1007</f>
        <v>42095</v>
      </c>
      <c r="L1008" s="26" t="str">
        <f>L1007</f>
        <v>10430</v>
      </c>
      <c r="M1008" s="26"/>
      <c r="N1008" s="26"/>
      <c r="O1008" s="26" t="str">
        <f>"""GP Direct"",""Fabrikam, Inc."",""UPR30300"",""PAYRATE"",""0.00000"",""PAYROLCD"",""NE"",""STATECD"","""",""CHEKDATE"",""4/1/2015"",""UPRTRXAM"",""16.91000"""</f>
        <v>"GP Direct","Fabrikam, Inc.","UPR30300","PAYRATE","0.00000","PAYROLCD","NE","STATECD","","CHEKDATE","4/1/2015","UPRTRXAM","16.91000"</v>
      </c>
      <c r="P1008" s="29">
        <v>0</v>
      </c>
      <c r="Q1008" s="26" t="str">
        <f>"NE"</f>
        <v>NE</v>
      </c>
      <c r="R1008" s="26"/>
      <c r="S1008" s="28">
        <v>42095</v>
      </c>
      <c r="T1008" s="29">
        <v>16.91</v>
      </c>
    </row>
    <row r="1009" spans="1:20" s="7" customFormat="1" hidden="1" outlineLevel="3" x14ac:dyDescent="0.2">
      <c r="A1009" s="7" t="s">
        <v>92</v>
      </c>
      <c r="C1009" s="7" t="str">
        <f t="shared" si="151"/>
        <v>Nancy</v>
      </c>
      <c r="D1009" s="7" t="str">
        <f>+D1008</f>
        <v>Buchanan</v>
      </c>
      <c r="E1009" s="8" t="str">
        <f>E1008</f>
        <v>SALES</v>
      </c>
      <c r="G1009" s="8" t="str">
        <f>G1008</f>
        <v>BUCH0001</v>
      </c>
      <c r="H1009" s="26"/>
      <c r="I1009" s="26"/>
      <c r="J1009" s="26"/>
      <c r="K1009" s="28">
        <f>+K1008</f>
        <v>42095</v>
      </c>
      <c r="L1009" s="26" t="str">
        <f>L1008</f>
        <v>10430</v>
      </c>
      <c r="M1009" s="26"/>
      <c r="N1009" s="26"/>
      <c r="O1009" s="26" t="str">
        <f>"""GP Direct"",""Fabrikam, Inc."",""UPR30300"",""PAYRATE"",""20000.00000"",""PAYROLCD"",""SALY"",""STATECD"",""NE"",""CHEKDATE"",""4/1/2015"",""UPRTRXAM"",""833.33000"""</f>
        <v>"GP Direct","Fabrikam, Inc.","UPR30300","PAYRATE","20000.00000","PAYROLCD","SALY","STATECD","NE","CHEKDATE","4/1/2015","UPRTRXAM","833.33000"</v>
      </c>
      <c r="P1009" s="29">
        <v>20000</v>
      </c>
      <c r="Q1009" s="26" t="str">
        <f>"SALY"</f>
        <v>SALY</v>
      </c>
      <c r="R1009" s="26" t="str">
        <f>"NE"</f>
        <v>NE</v>
      </c>
      <c r="S1009" s="28">
        <v>42095</v>
      </c>
      <c r="T1009" s="29">
        <v>833.33</v>
      </c>
    </row>
    <row r="1010" spans="1:20" s="7" customFormat="1" hidden="1" outlineLevel="3" x14ac:dyDescent="0.2">
      <c r="A1010" s="7" t="s">
        <v>92</v>
      </c>
      <c r="C1010" s="7" t="str">
        <f>+C1004</f>
        <v>Nancy</v>
      </c>
      <c r="D1010" s="7" t="str">
        <f>+D1004</f>
        <v>Buchanan</v>
      </c>
      <c r="E1010" s="8" t="str">
        <f>E1004</f>
        <v>SALES</v>
      </c>
      <c r="G1010" s="8" t="str">
        <f>G1004</f>
        <v>BUCH0001</v>
      </c>
      <c r="K1010" s="12">
        <f>+K1004</f>
        <v>42095</v>
      </c>
      <c r="L1010" s="8" t="str">
        <f>L1004</f>
        <v>10430</v>
      </c>
      <c r="O1010" s="8"/>
      <c r="T1010" s="20"/>
    </row>
    <row r="1011" spans="1:20" s="7" customFormat="1" hidden="1" outlineLevel="2" collapsed="1" x14ac:dyDescent="0.2">
      <c r="A1011" s="7" t="s">
        <v>92</v>
      </c>
      <c r="C1011" s="7" t="str">
        <f t="shared" si="148"/>
        <v>Nancy</v>
      </c>
      <c r="D1011" s="7" t="str">
        <f>+D1010</f>
        <v>Buchanan</v>
      </c>
      <c r="E1011" s="8" t="str">
        <f>E1010</f>
        <v>SALES</v>
      </c>
      <c r="G1011" s="8" t="str">
        <f>G1010</f>
        <v>BUCH0001</v>
      </c>
      <c r="K1011" s="12">
        <f>+K1010</f>
        <v>42095</v>
      </c>
      <c r="L1011" s="8" t="str">
        <f>L1010</f>
        <v>10430</v>
      </c>
      <c r="M1011" s="33" t="str">
        <f>"Total for " &amp; $L1011</f>
        <v>Total for 10430</v>
      </c>
      <c r="N1011" s="34">
        <f>+K1011</f>
        <v>42095</v>
      </c>
      <c r="O1011" s="35"/>
      <c r="P1011" s="33"/>
      <c r="Q1011" s="33"/>
      <c r="R1011" s="33"/>
      <c r="S1011" s="33"/>
      <c r="T1011" s="36">
        <f>SUBTOTAL(9,T1004:T1010)</f>
        <v>930.85</v>
      </c>
    </row>
    <row r="1012" spans="1:20" s="7" customFormat="1" hidden="1" outlineLevel="3" x14ac:dyDescent="0.2">
      <c r="A1012" s="7" t="s">
        <v>92</v>
      </c>
      <c r="C1012" s="7" t="str">
        <f t="shared" si="148"/>
        <v>Nancy</v>
      </c>
      <c r="D1012" s="7" t="str">
        <f>+D1011</f>
        <v>Buchanan</v>
      </c>
      <c r="E1012" s="8" t="str">
        <f>E1011</f>
        <v>SALES</v>
      </c>
      <c r="G1012" s="8" t="str">
        <f>G1011</f>
        <v>BUCH0001</v>
      </c>
      <c r="H1012" s="26"/>
      <c r="I1012" s="26"/>
      <c r="J1012" s="26"/>
      <c r="K1012" s="28">
        <f>+N1012</f>
        <v>42125</v>
      </c>
      <c r="L1012" s="26" t="str">
        <f>M1012</f>
        <v>10455</v>
      </c>
      <c r="M1012" s="26" t="str">
        <f>"10455"</f>
        <v>10455</v>
      </c>
      <c r="N1012" s="28">
        <v>42125</v>
      </c>
      <c r="O1012" s="26"/>
      <c r="P1012" s="26"/>
      <c r="Q1012" s="26"/>
      <c r="R1012" s="26"/>
      <c r="S1012" s="26"/>
      <c r="T1012" s="27"/>
    </row>
    <row r="1013" spans="1:20" s="7" customFormat="1" hidden="1" outlineLevel="3" x14ac:dyDescent="0.2">
      <c r="A1013" s="7" t="s">
        <v>92</v>
      </c>
      <c r="C1013" s="7" t="str">
        <f t="shared" si="148"/>
        <v>Nancy</v>
      </c>
      <c r="D1013" s="7" t="str">
        <f>+D1012</f>
        <v>Buchanan</v>
      </c>
      <c r="E1013" s="8" t="str">
        <f>E1012</f>
        <v>SALES</v>
      </c>
      <c r="G1013" s="8" t="str">
        <f>G1012</f>
        <v>BUCH0001</v>
      </c>
      <c r="H1013" s="26"/>
      <c r="I1013" s="26"/>
      <c r="J1013" s="26"/>
      <c r="K1013" s="28">
        <f>+K1012</f>
        <v>42125</v>
      </c>
      <c r="L1013" s="26" t="str">
        <f>L1012</f>
        <v>10455</v>
      </c>
      <c r="M1013" s="26"/>
      <c r="N1013" s="26"/>
      <c r="O1013" s="26" t="str">
        <f>"""GP Direct"",""Fabrikam, Inc."",""UPR30300"",""PAYRATE"",""0.00000"",""PAYROLCD"",""401K"",""STATECD"","""",""CHEKDATE"",""5/1/2015"",""UPRTRXAM"",""1.25000"""</f>
        <v>"GP Direct","Fabrikam, Inc.","UPR30300","PAYRATE","0.00000","PAYROLCD","401K","STATECD","","CHEKDATE","5/1/2015","UPRTRXAM","1.25000"</v>
      </c>
      <c r="P1013" s="29">
        <v>0</v>
      </c>
      <c r="Q1013" s="26" t="str">
        <f>"401K"</f>
        <v>401K</v>
      </c>
      <c r="R1013" s="26"/>
      <c r="S1013" s="28">
        <v>42125</v>
      </c>
      <c r="T1013" s="29">
        <v>1.25</v>
      </c>
    </row>
    <row r="1014" spans="1:20" s="7" customFormat="1" hidden="1" outlineLevel="3" x14ac:dyDescent="0.2">
      <c r="A1014" s="7" t="s">
        <v>92</v>
      </c>
      <c r="C1014" s="7" t="str">
        <f t="shared" ref="C1014:C1018" si="152">+C1013</f>
        <v>Nancy</v>
      </c>
      <c r="D1014" s="7" t="str">
        <f>+D1013</f>
        <v>Buchanan</v>
      </c>
      <c r="E1014" s="8" t="str">
        <f>E1013</f>
        <v>SALES</v>
      </c>
      <c r="G1014" s="8" t="str">
        <f>G1013</f>
        <v>BUCH0001</v>
      </c>
      <c r="H1014" s="26"/>
      <c r="I1014" s="26"/>
      <c r="J1014" s="26"/>
      <c r="K1014" s="28">
        <f>+K1013</f>
        <v>42125</v>
      </c>
      <c r="L1014" s="26" t="str">
        <f>L1013</f>
        <v>10455</v>
      </c>
      <c r="M1014" s="26"/>
      <c r="N1014" s="26"/>
      <c r="O1014" s="26" t="str">
        <f>"""GP Direct"",""Fabrikam, Inc."",""UPR30300"",""PAYRATE"",""0.00000"",""PAYROLCD"",""401K"",""STATECD"","""",""CHEKDATE"",""5/1/2015"",""UPRTRXAM"",""25.00000"""</f>
        <v>"GP Direct","Fabrikam, Inc.","UPR30300","PAYRATE","0.00000","PAYROLCD","401K","STATECD","","CHEKDATE","5/1/2015","UPRTRXAM","25.00000"</v>
      </c>
      <c r="P1014" s="29">
        <v>0</v>
      </c>
      <c r="Q1014" s="26" t="str">
        <f>"401K"</f>
        <v>401K</v>
      </c>
      <c r="R1014" s="26"/>
      <c r="S1014" s="28">
        <v>42125</v>
      </c>
      <c r="T1014" s="29">
        <v>25</v>
      </c>
    </row>
    <row r="1015" spans="1:20" s="7" customFormat="1" hidden="1" outlineLevel="3" x14ac:dyDescent="0.2">
      <c r="A1015" s="7" t="s">
        <v>92</v>
      </c>
      <c r="C1015" s="7" t="str">
        <f t="shared" si="152"/>
        <v>Nancy</v>
      </c>
      <c r="D1015" s="7" t="str">
        <f>+D1014</f>
        <v>Buchanan</v>
      </c>
      <c r="E1015" s="8" t="str">
        <f>E1014</f>
        <v>SALES</v>
      </c>
      <c r="G1015" s="8" t="str">
        <f>G1014</f>
        <v>BUCH0001</v>
      </c>
      <c r="H1015" s="26"/>
      <c r="I1015" s="26"/>
      <c r="J1015" s="26"/>
      <c r="K1015" s="28">
        <f>+K1014</f>
        <v>42125</v>
      </c>
      <c r="L1015" s="26" t="str">
        <f>L1014</f>
        <v>10455</v>
      </c>
      <c r="M1015" s="26"/>
      <c r="N1015" s="26"/>
      <c r="O1015" s="26" t="str">
        <f>"""GP Direct"",""Fabrikam, Inc."",""UPR30300"",""PAYRATE"",""0.00000"",""PAYROLCD"",""INS"",""STATECD"","""",""CHEKDATE"",""5/1/2015"",""UPRTRXAM"",""49.36000"""</f>
        <v>"GP Direct","Fabrikam, Inc.","UPR30300","PAYRATE","0.00000","PAYROLCD","INS","STATECD","","CHEKDATE","5/1/2015","UPRTRXAM","49.36000"</v>
      </c>
      <c r="P1015" s="29">
        <v>0</v>
      </c>
      <c r="Q1015" s="26" t="str">
        <f>"INS"</f>
        <v>INS</v>
      </c>
      <c r="R1015" s="26"/>
      <c r="S1015" s="28">
        <v>42125</v>
      </c>
      <c r="T1015" s="29">
        <v>49.36</v>
      </c>
    </row>
    <row r="1016" spans="1:20" s="7" customFormat="1" hidden="1" outlineLevel="3" x14ac:dyDescent="0.2">
      <c r="A1016" s="7" t="s">
        <v>92</v>
      </c>
      <c r="C1016" s="7" t="str">
        <f t="shared" si="152"/>
        <v>Nancy</v>
      </c>
      <c r="D1016" s="7" t="str">
        <f>+D1015</f>
        <v>Buchanan</v>
      </c>
      <c r="E1016" s="8" t="str">
        <f>E1015</f>
        <v>SALES</v>
      </c>
      <c r="G1016" s="8" t="str">
        <f>G1015</f>
        <v>BUCH0001</v>
      </c>
      <c r="H1016" s="26"/>
      <c r="I1016" s="26"/>
      <c r="J1016" s="26"/>
      <c r="K1016" s="28">
        <f>+K1015</f>
        <v>42125</v>
      </c>
      <c r="L1016" s="26" t="str">
        <f>L1015</f>
        <v>10455</v>
      </c>
      <c r="M1016" s="26"/>
      <c r="N1016" s="26"/>
      <c r="O1016" s="26" t="str">
        <f>"""GP Direct"",""Fabrikam, Inc."",""UPR30300"",""PAYRATE"",""0.00000"",""PAYROLCD"",""MED"",""STATECD"","""",""CHEKDATE"",""5/1/2015"",""UPRTRXAM"",""5.00000"""</f>
        <v>"GP Direct","Fabrikam, Inc.","UPR30300","PAYRATE","0.00000","PAYROLCD","MED","STATECD","","CHEKDATE","5/1/2015","UPRTRXAM","5.00000"</v>
      </c>
      <c r="P1016" s="29">
        <v>0</v>
      </c>
      <c r="Q1016" s="26" t="str">
        <f>"MED"</f>
        <v>MED</v>
      </c>
      <c r="R1016" s="26"/>
      <c r="S1016" s="28">
        <v>42125</v>
      </c>
      <c r="T1016" s="29">
        <v>5</v>
      </c>
    </row>
    <row r="1017" spans="1:20" s="7" customFormat="1" hidden="1" outlineLevel="3" x14ac:dyDescent="0.2">
      <c r="A1017" s="7" t="s">
        <v>92</v>
      </c>
      <c r="C1017" s="7" t="str">
        <f t="shared" si="152"/>
        <v>Nancy</v>
      </c>
      <c r="D1017" s="7" t="str">
        <f>+D1016</f>
        <v>Buchanan</v>
      </c>
      <c r="E1017" s="8" t="str">
        <f>E1016</f>
        <v>SALES</v>
      </c>
      <c r="G1017" s="8" t="str">
        <f>G1016</f>
        <v>BUCH0001</v>
      </c>
      <c r="H1017" s="26"/>
      <c r="I1017" s="26"/>
      <c r="J1017" s="26"/>
      <c r="K1017" s="28">
        <f>+K1016</f>
        <v>42125</v>
      </c>
      <c r="L1017" s="26" t="str">
        <f>L1016</f>
        <v>10455</v>
      </c>
      <c r="M1017" s="26"/>
      <c r="N1017" s="26"/>
      <c r="O1017" s="26" t="str">
        <f>"""GP Direct"",""Fabrikam, Inc."",""UPR30300"",""PAYRATE"",""0.00000"",""PAYROLCD"",""NE"",""STATECD"","""",""CHEKDATE"",""5/1/2015"",""UPRTRXAM"",""16.91000"""</f>
        <v>"GP Direct","Fabrikam, Inc.","UPR30300","PAYRATE","0.00000","PAYROLCD","NE","STATECD","","CHEKDATE","5/1/2015","UPRTRXAM","16.91000"</v>
      </c>
      <c r="P1017" s="29">
        <v>0</v>
      </c>
      <c r="Q1017" s="26" t="str">
        <f>"NE"</f>
        <v>NE</v>
      </c>
      <c r="R1017" s="26"/>
      <c r="S1017" s="28">
        <v>42125</v>
      </c>
      <c r="T1017" s="29">
        <v>16.91</v>
      </c>
    </row>
    <row r="1018" spans="1:20" s="7" customFormat="1" hidden="1" outlineLevel="3" x14ac:dyDescent="0.2">
      <c r="A1018" s="7" t="s">
        <v>92</v>
      </c>
      <c r="C1018" s="7" t="str">
        <f t="shared" si="152"/>
        <v>Nancy</v>
      </c>
      <c r="D1018" s="7" t="str">
        <f>+D1017</f>
        <v>Buchanan</v>
      </c>
      <c r="E1018" s="8" t="str">
        <f>E1017</f>
        <v>SALES</v>
      </c>
      <c r="G1018" s="8" t="str">
        <f>G1017</f>
        <v>BUCH0001</v>
      </c>
      <c r="H1018" s="26"/>
      <c r="I1018" s="26"/>
      <c r="J1018" s="26"/>
      <c r="K1018" s="28">
        <f>+K1017</f>
        <v>42125</v>
      </c>
      <c r="L1018" s="26" t="str">
        <f>L1017</f>
        <v>10455</v>
      </c>
      <c r="M1018" s="26"/>
      <c r="N1018" s="26"/>
      <c r="O1018" s="26" t="str">
        <f>"""GP Direct"",""Fabrikam, Inc."",""UPR30300"",""PAYRATE"",""20000.00000"",""PAYROLCD"",""SALY"",""STATECD"",""NE"",""CHEKDATE"",""5/1/2015"",""UPRTRXAM"",""833.33000"""</f>
        <v>"GP Direct","Fabrikam, Inc.","UPR30300","PAYRATE","20000.00000","PAYROLCD","SALY","STATECD","NE","CHEKDATE","5/1/2015","UPRTRXAM","833.33000"</v>
      </c>
      <c r="P1018" s="29">
        <v>20000</v>
      </c>
      <c r="Q1018" s="26" t="str">
        <f>"SALY"</f>
        <v>SALY</v>
      </c>
      <c r="R1018" s="26" t="str">
        <f>"NE"</f>
        <v>NE</v>
      </c>
      <c r="S1018" s="28">
        <v>42125</v>
      </c>
      <c r="T1018" s="29">
        <v>833.33</v>
      </c>
    </row>
    <row r="1019" spans="1:20" s="7" customFormat="1" hidden="1" outlineLevel="3" x14ac:dyDescent="0.2">
      <c r="A1019" s="7" t="s">
        <v>92</v>
      </c>
      <c r="C1019" s="7" t="str">
        <f>+C1013</f>
        <v>Nancy</v>
      </c>
      <c r="D1019" s="7" t="str">
        <f>+D1013</f>
        <v>Buchanan</v>
      </c>
      <c r="E1019" s="8" t="str">
        <f>E1013</f>
        <v>SALES</v>
      </c>
      <c r="G1019" s="8" t="str">
        <f>G1013</f>
        <v>BUCH0001</v>
      </c>
      <c r="K1019" s="12">
        <f>+K1013</f>
        <v>42125</v>
      </c>
      <c r="L1019" s="8" t="str">
        <f>L1013</f>
        <v>10455</v>
      </c>
      <c r="O1019" s="8"/>
      <c r="T1019" s="20"/>
    </row>
    <row r="1020" spans="1:20" s="7" customFormat="1" hidden="1" outlineLevel="2" collapsed="1" x14ac:dyDescent="0.2">
      <c r="A1020" s="7" t="s">
        <v>92</v>
      </c>
      <c r="C1020" s="7" t="str">
        <f t="shared" si="148"/>
        <v>Nancy</v>
      </c>
      <c r="D1020" s="7" t="str">
        <f>+D1019</f>
        <v>Buchanan</v>
      </c>
      <c r="E1020" s="8" t="str">
        <f>E1019</f>
        <v>SALES</v>
      </c>
      <c r="G1020" s="8" t="str">
        <f>G1019</f>
        <v>BUCH0001</v>
      </c>
      <c r="K1020" s="12">
        <f>+K1019</f>
        <v>42125</v>
      </c>
      <c r="L1020" s="8" t="str">
        <f>L1019</f>
        <v>10455</v>
      </c>
      <c r="M1020" s="33" t="str">
        <f>"Total for " &amp; $L1020</f>
        <v>Total for 10455</v>
      </c>
      <c r="N1020" s="34">
        <f>+K1020</f>
        <v>42125</v>
      </c>
      <c r="O1020" s="35"/>
      <c r="P1020" s="33"/>
      <c r="Q1020" s="33"/>
      <c r="R1020" s="33"/>
      <c r="S1020" s="33"/>
      <c r="T1020" s="36">
        <f>SUBTOTAL(9,T1013:T1019)</f>
        <v>930.85</v>
      </c>
    </row>
    <row r="1021" spans="1:20" s="7" customFormat="1" hidden="1" outlineLevel="3" x14ac:dyDescent="0.2">
      <c r="A1021" s="7" t="s">
        <v>92</v>
      </c>
      <c r="C1021" s="7" t="str">
        <f t="shared" si="148"/>
        <v>Nancy</v>
      </c>
      <c r="D1021" s="7" t="str">
        <f>+D1020</f>
        <v>Buchanan</v>
      </c>
      <c r="E1021" s="8" t="str">
        <f>E1020</f>
        <v>SALES</v>
      </c>
      <c r="G1021" s="8" t="str">
        <f>G1020</f>
        <v>BUCH0001</v>
      </c>
      <c r="H1021" s="26"/>
      <c r="I1021" s="26"/>
      <c r="J1021" s="26"/>
      <c r="K1021" s="28">
        <f>+N1021</f>
        <v>42156</v>
      </c>
      <c r="L1021" s="26" t="str">
        <f>M1021</f>
        <v>10480</v>
      </c>
      <c r="M1021" s="26" t="str">
        <f>"10480"</f>
        <v>10480</v>
      </c>
      <c r="N1021" s="28">
        <v>42156</v>
      </c>
      <c r="O1021" s="26"/>
      <c r="P1021" s="26"/>
      <c r="Q1021" s="26"/>
      <c r="R1021" s="26"/>
      <c r="S1021" s="26"/>
      <c r="T1021" s="27"/>
    </row>
    <row r="1022" spans="1:20" s="7" customFormat="1" hidden="1" outlineLevel="3" x14ac:dyDescent="0.2">
      <c r="A1022" s="7" t="s">
        <v>92</v>
      </c>
      <c r="C1022" s="7" t="str">
        <f t="shared" si="148"/>
        <v>Nancy</v>
      </c>
      <c r="D1022" s="7" t="str">
        <f>+D1021</f>
        <v>Buchanan</v>
      </c>
      <c r="E1022" s="8" t="str">
        <f>E1021</f>
        <v>SALES</v>
      </c>
      <c r="G1022" s="8" t="str">
        <f>G1021</f>
        <v>BUCH0001</v>
      </c>
      <c r="H1022" s="26"/>
      <c r="I1022" s="26"/>
      <c r="J1022" s="26"/>
      <c r="K1022" s="28">
        <f>+K1021</f>
        <v>42156</v>
      </c>
      <c r="L1022" s="26" t="str">
        <f>L1021</f>
        <v>10480</v>
      </c>
      <c r="M1022" s="26"/>
      <c r="N1022" s="26"/>
      <c r="O1022" s="26" t="str">
        <f>"""GP Direct"",""Fabrikam, Inc."",""UPR30300"",""PAYRATE"",""0.00000"",""PAYROLCD"",""401K"",""STATECD"","""",""CHEKDATE"",""6/1/2015"",""UPRTRXAM"",""1.25000"""</f>
        <v>"GP Direct","Fabrikam, Inc.","UPR30300","PAYRATE","0.00000","PAYROLCD","401K","STATECD","","CHEKDATE","6/1/2015","UPRTRXAM","1.25000"</v>
      </c>
      <c r="P1022" s="29">
        <v>0</v>
      </c>
      <c r="Q1022" s="26" t="str">
        <f>"401K"</f>
        <v>401K</v>
      </c>
      <c r="R1022" s="26"/>
      <c r="S1022" s="28">
        <v>42156</v>
      </c>
      <c r="T1022" s="29">
        <v>1.25</v>
      </c>
    </row>
    <row r="1023" spans="1:20" s="7" customFormat="1" hidden="1" outlineLevel="3" x14ac:dyDescent="0.2">
      <c r="A1023" s="7" t="s">
        <v>92</v>
      </c>
      <c r="C1023" s="7" t="str">
        <f t="shared" ref="C1023:C1027" si="153">+C1022</f>
        <v>Nancy</v>
      </c>
      <c r="D1023" s="7" t="str">
        <f>+D1022</f>
        <v>Buchanan</v>
      </c>
      <c r="E1023" s="8" t="str">
        <f>E1022</f>
        <v>SALES</v>
      </c>
      <c r="G1023" s="8" t="str">
        <f>G1022</f>
        <v>BUCH0001</v>
      </c>
      <c r="H1023" s="26"/>
      <c r="I1023" s="26"/>
      <c r="J1023" s="26"/>
      <c r="K1023" s="28">
        <f>+K1022</f>
        <v>42156</v>
      </c>
      <c r="L1023" s="26" t="str">
        <f>L1022</f>
        <v>10480</v>
      </c>
      <c r="M1023" s="26"/>
      <c r="N1023" s="26"/>
      <c r="O1023" s="26" t="str">
        <f>"""GP Direct"",""Fabrikam, Inc."",""UPR30300"",""PAYRATE"",""0.00000"",""PAYROLCD"",""401K"",""STATECD"","""",""CHEKDATE"",""6/1/2015"",""UPRTRXAM"",""25.00000"""</f>
        <v>"GP Direct","Fabrikam, Inc.","UPR30300","PAYRATE","0.00000","PAYROLCD","401K","STATECD","","CHEKDATE","6/1/2015","UPRTRXAM","25.00000"</v>
      </c>
      <c r="P1023" s="29">
        <v>0</v>
      </c>
      <c r="Q1023" s="26" t="str">
        <f>"401K"</f>
        <v>401K</v>
      </c>
      <c r="R1023" s="26"/>
      <c r="S1023" s="28">
        <v>42156</v>
      </c>
      <c r="T1023" s="29">
        <v>25</v>
      </c>
    </row>
    <row r="1024" spans="1:20" s="7" customFormat="1" hidden="1" outlineLevel="3" x14ac:dyDescent="0.2">
      <c r="A1024" s="7" t="s">
        <v>92</v>
      </c>
      <c r="C1024" s="7" t="str">
        <f t="shared" si="153"/>
        <v>Nancy</v>
      </c>
      <c r="D1024" s="7" t="str">
        <f>+D1023</f>
        <v>Buchanan</v>
      </c>
      <c r="E1024" s="8" t="str">
        <f>E1023</f>
        <v>SALES</v>
      </c>
      <c r="G1024" s="8" t="str">
        <f>G1023</f>
        <v>BUCH0001</v>
      </c>
      <c r="H1024" s="26"/>
      <c r="I1024" s="26"/>
      <c r="J1024" s="26"/>
      <c r="K1024" s="28">
        <f>+K1023</f>
        <v>42156</v>
      </c>
      <c r="L1024" s="26" t="str">
        <f>L1023</f>
        <v>10480</v>
      </c>
      <c r="M1024" s="26"/>
      <c r="N1024" s="26"/>
      <c r="O1024" s="26" t="str">
        <f>"""GP Direct"",""Fabrikam, Inc."",""UPR30300"",""PAYRATE"",""0.00000"",""PAYROLCD"",""INS"",""STATECD"","""",""CHEKDATE"",""6/1/2015"",""UPRTRXAM"",""49.36000"""</f>
        <v>"GP Direct","Fabrikam, Inc.","UPR30300","PAYRATE","0.00000","PAYROLCD","INS","STATECD","","CHEKDATE","6/1/2015","UPRTRXAM","49.36000"</v>
      </c>
      <c r="P1024" s="29">
        <v>0</v>
      </c>
      <c r="Q1024" s="26" t="str">
        <f>"INS"</f>
        <v>INS</v>
      </c>
      <c r="R1024" s="26"/>
      <c r="S1024" s="28">
        <v>42156</v>
      </c>
      <c r="T1024" s="29">
        <v>49.36</v>
      </c>
    </row>
    <row r="1025" spans="1:20" s="7" customFormat="1" hidden="1" outlineLevel="3" x14ac:dyDescent="0.2">
      <c r="A1025" s="7" t="s">
        <v>92</v>
      </c>
      <c r="C1025" s="7" t="str">
        <f t="shared" si="153"/>
        <v>Nancy</v>
      </c>
      <c r="D1025" s="7" t="str">
        <f>+D1024</f>
        <v>Buchanan</v>
      </c>
      <c r="E1025" s="8" t="str">
        <f>E1024</f>
        <v>SALES</v>
      </c>
      <c r="G1025" s="8" t="str">
        <f>G1024</f>
        <v>BUCH0001</v>
      </c>
      <c r="H1025" s="26"/>
      <c r="I1025" s="26"/>
      <c r="J1025" s="26"/>
      <c r="K1025" s="28">
        <f>+K1024</f>
        <v>42156</v>
      </c>
      <c r="L1025" s="26" t="str">
        <f>L1024</f>
        <v>10480</v>
      </c>
      <c r="M1025" s="26"/>
      <c r="N1025" s="26"/>
      <c r="O1025" s="26" t="str">
        <f>"""GP Direct"",""Fabrikam, Inc."",""UPR30300"",""PAYRATE"",""0.00000"",""PAYROLCD"",""MED"",""STATECD"","""",""CHEKDATE"",""6/1/2015"",""UPRTRXAM"",""5.00000"""</f>
        <v>"GP Direct","Fabrikam, Inc.","UPR30300","PAYRATE","0.00000","PAYROLCD","MED","STATECD","","CHEKDATE","6/1/2015","UPRTRXAM","5.00000"</v>
      </c>
      <c r="P1025" s="29">
        <v>0</v>
      </c>
      <c r="Q1025" s="26" t="str">
        <f>"MED"</f>
        <v>MED</v>
      </c>
      <c r="R1025" s="26"/>
      <c r="S1025" s="28">
        <v>42156</v>
      </c>
      <c r="T1025" s="29">
        <v>5</v>
      </c>
    </row>
    <row r="1026" spans="1:20" s="7" customFormat="1" hidden="1" outlineLevel="3" x14ac:dyDescent="0.2">
      <c r="A1026" s="7" t="s">
        <v>92</v>
      </c>
      <c r="C1026" s="7" t="str">
        <f t="shared" si="153"/>
        <v>Nancy</v>
      </c>
      <c r="D1026" s="7" t="str">
        <f>+D1025</f>
        <v>Buchanan</v>
      </c>
      <c r="E1026" s="8" t="str">
        <f>E1025</f>
        <v>SALES</v>
      </c>
      <c r="G1026" s="8" t="str">
        <f>G1025</f>
        <v>BUCH0001</v>
      </c>
      <c r="H1026" s="26"/>
      <c r="I1026" s="26"/>
      <c r="J1026" s="26"/>
      <c r="K1026" s="28">
        <f>+K1025</f>
        <v>42156</v>
      </c>
      <c r="L1026" s="26" t="str">
        <f>L1025</f>
        <v>10480</v>
      </c>
      <c r="M1026" s="26"/>
      <c r="N1026" s="26"/>
      <c r="O1026" s="26" t="str">
        <f>"""GP Direct"",""Fabrikam, Inc."",""UPR30300"",""PAYRATE"",""0.00000"",""PAYROLCD"",""NE"",""STATECD"","""",""CHEKDATE"",""6/1/2015"",""UPRTRXAM"",""16.91000"""</f>
        <v>"GP Direct","Fabrikam, Inc.","UPR30300","PAYRATE","0.00000","PAYROLCD","NE","STATECD","","CHEKDATE","6/1/2015","UPRTRXAM","16.91000"</v>
      </c>
      <c r="P1026" s="29">
        <v>0</v>
      </c>
      <c r="Q1026" s="26" t="str">
        <f>"NE"</f>
        <v>NE</v>
      </c>
      <c r="R1026" s="26"/>
      <c r="S1026" s="28">
        <v>42156</v>
      </c>
      <c r="T1026" s="29">
        <v>16.91</v>
      </c>
    </row>
    <row r="1027" spans="1:20" s="7" customFormat="1" hidden="1" outlineLevel="3" x14ac:dyDescent="0.2">
      <c r="A1027" s="7" t="s">
        <v>92</v>
      </c>
      <c r="C1027" s="7" t="str">
        <f t="shared" si="153"/>
        <v>Nancy</v>
      </c>
      <c r="D1027" s="7" t="str">
        <f>+D1026</f>
        <v>Buchanan</v>
      </c>
      <c r="E1027" s="8" t="str">
        <f>E1026</f>
        <v>SALES</v>
      </c>
      <c r="G1027" s="8" t="str">
        <f>G1026</f>
        <v>BUCH0001</v>
      </c>
      <c r="H1027" s="26"/>
      <c r="I1027" s="26"/>
      <c r="J1027" s="26"/>
      <c r="K1027" s="28">
        <f>+K1026</f>
        <v>42156</v>
      </c>
      <c r="L1027" s="26" t="str">
        <f>L1026</f>
        <v>10480</v>
      </c>
      <c r="M1027" s="26"/>
      <c r="N1027" s="26"/>
      <c r="O1027" s="26" t="str">
        <f>"""GP Direct"",""Fabrikam, Inc."",""UPR30300"",""PAYRATE"",""20000.00000"",""PAYROLCD"",""SALY"",""STATECD"",""NE"",""CHEKDATE"",""6/1/2015"",""UPRTRXAM"",""833.33000"""</f>
        <v>"GP Direct","Fabrikam, Inc.","UPR30300","PAYRATE","20000.00000","PAYROLCD","SALY","STATECD","NE","CHEKDATE","6/1/2015","UPRTRXAM","833.33000"</v>
      </c>
      <c r="P1027" s="29">
        <v>20000</v>
      </c>
      <c r="Q1027" s="26" t="str">
        <f>"SALY"</f>
        <v>SALY</v>
      </c>
      <c r="R1027" s="26" t="str">
        <f>"NE"</f>
        <v>NE</v>
      </c>
      <c r="S1027" s="28">
        <v>42156</v>
      </c>
      <c r="T1027" s="29">
        <v>833.33</v>
      </c>
    </row>
    <row r="1028" spans="1:20" s="7" customFormat="1" hidden="1" outlineLevel="3" x14ac:dyDescent="0.2">
      <c r="A1028" s="7" t="s">
        <v>92</v>
      </c>
      <c r="C1028" s="7" t="str">
        <f>+C1022</f>
        <v>Nancy</v>
      </c>
      <c r="D1028" s="7" t="str">
        <f>+D1022</f>
        <v>Buchanan</v>
      </c>
      <c r="E1028" s="8" t="str">
        <f>E1022</f>
        <v>SALES</v>
      </c>
      <c r="G1028" s="8" t="str">
        <f>G1022</f>
        <v>BUCH0001</v>
      </c>
      <c r="K1028" s="12">
        <f>+K1022</f>
        <v>42156</v>
      </c>
      <c r="L1028" s="8" t="str">
        <f>L1022</f>
        <v>10480</v>
      </c>
      <c r="O1028" s="8"/>
      <c r="T1028" s="20"/>
    </row>
    <row r="1029" spans="1:20" s="7" customFormat="1" hidden="1" outlineLevel="2" collapsed="1" x14ac:dyDescent="0.2">
      <c r="A1029" s="7" t="s">
        <v>92</v>
      </c>
      <c r="C1029" s="7" t="str">
        <f t="shared" si="148"/>
        <v>Nancy</v>
      </c>
      <c r="D1029" s="7" t="str">
        <f>+D1028</f>
        <v>Buchanan</v>
      </c>
      <c r="E1029" s="8" t="str">
        <f>E1028</f>
        <v>SALES</v>
      </c>
      <c r="G1029" s="8" t="str">
        <f>G1028</f>
        <v>BUCH0001</v>
      </c>
      <c r="K1029" s="12">
        <f>+K1028</f>
        <v>42156</v>
      </c>
      <c r="L1029" s="8" t="str">
        <f>L1028</f>
        <v>10480</v>
      </c>
      <c r="M1029" s="33" t="str">
        <f>"Total for " &amp; $L1029</f>
        <v>Total for 10480</v>
      </c>
      <c r="N1029" s="34">
        <f>+K1029</f>
        <v>42156</v>
      </c>
      <c r="O1029" s="35"/>
      <c r="P1029" s="33"/>
      <c r="Q1029" s="33"/>
      <c r="R1029" s="33"/>
      <c r="S1029" s="33"/>
      <c r="T1029" s="36">
        <f>SUBTOTAL(9,T1022:T1028)</f>
        <v>930.85</v>
      </c>
    </row>
    <row r="1030" spans="1:20" s="7" customFormat="1" hidden="1" outlineLevel="3" x14ac:dyDescent="0.2">
      <c r="A1030" s="7" t="s">
        <v>92</v>
      </c>
      <c r="C1030" s="7" t="str">
        <f t="shared" si="148"/>
        <v>Nancy</v>
      </c>
      <c r="D1030" s="7" t="str">
        <f>+D1029</f>
        <v>Buchanan</v>
      </c>
      <c r="E1030" s="8" t="str">
        <f>E1029</f>
        <v>SALES</v>
      </c>
      <c r="G1030" s="8" t="str">
        <f>G1029</f>
        <v>BUCH0001</v>
      </c>
      <c r="H1030" s="26"/>
      <c r="I1030" s="26"/>
      <c r="J1030" s="26"/>
      <c r="K1030" s="28">
        <f>+N1030</f>
        <v>42005</v>
      </c>
      <c r="L1030" s="26" t="str">
        <f>M1030</f>
        <v>11607</v>
      </c>
      <c r="M1030" s="26" t="str">
        <f>"11607"</f>
        <v>11607</v>
      </c>
      <c r="N1030" s="28">
        <v>42005</v>
      </c>
      <c r="O1030" s="26"/>
      <c r="P1030" s="26"/>
      <c r="Q1030" s="26"/>
      <c r="R1030" s="26"/>
      <c r="S1030" s="26"/>
      <c r="T1030" s="27"/>
    </row>
    <row r="1031" spans="1:20" s="7" customFormat="1" hidden="1" outlineLevel="3" x14ac:dyDescent="0.2">
      <c r="A1031" s="7" t="s">
        <v>92</v>
      </c>
      <c r="C1031" s="7" t="str">
        <f t="shared" si="148"/>
        <v>Nancy</v>
      </c>
      <c r="D1031" s="7" t="str">
        <f>+D1030</f>
        <v>Buchanan</v>
      </c>
      <c r="E1031" s="8" t="str">
        <f>E1030</f>
        <v>SALES</v>
      </c>
      <c r="G1031" s="8" t="str">
        <f>G1030</f>
        <v>BUCH0001</v>
      </c>
      <c r="H1031" s="26"/>
      <c r="I1031" s="26"/>
      <c r="J1031" s="26"/>
      <c r="K1031" s="28">
        <f>+K1030</f>
        <v>42005</v>
      </c>
      <c r="L1031" s="26" t="str">
        <f>L1030</f>
        <v>11607</v>
      </c>
      <c r="M1031" s="26"/>
      <c r="N1031" s="26"/>
      <c r="O1031" s="26" t="str">
        <f>"""GP Direct"",""Fabrikam, Inc."",""UPR30300"",""PAYRATE"",""0.00000"",""PAYROLCD"",""NE"",""STATECD"","""",""CHEKDATE"",""1/1/2015"",""UPRTRXAM"",""577.36000"""</f>
        <v>"GP Direct","Fabrikam, Inc.","UPR30300","PAYRATE","0.00000","PAYROLCD","NE","STATECD","","CHEKDATE","1/1/2015","UPRTRXAM","577.36000"</v>
      </c>
      <c r="P1031" s="29">
        <v>0</v>
      </c>
      <c r="Q1031" s="26" t="str">
        <f>"NE"</f>
        <v>NE</v>
      </c>
      <c r="R1031" s="26"/>
      <c r="S1031" s="28">
        <v>42005</v>
      </c>
      <c r="T1031" s="29">
        <v>577.36</v>
      </c>
    </row>
    <row r="1032" spans="1:20" s="7" customFormat="1" hidden="1" outlineLevel="3" x14ac:dyDescent="0.2">
      <c r="A1032" s="7" t="s">
        <v>92</v>
      </c>
      <c r="C1032" s="7" t="str">
        <f t="shared" ref="C1032" si="154">+C1031</f>
        <v>Nancy</v>
      </c>
      <c r="D1032" s="7" t="str">
        <f>+D1031</f>
        <v>Buchanan</v>
      </c>
      <c r="E1032" s="8" t="str">
        <f>E1031</f>
        <v>SALES</v>
      </c>
      <c r="G1032" s="8" t="str">
        <f>G1031</f>
        <v>BUCH0001</v>
      </c>
      <c r="H1032" s="26"/>
      <c r="I1032" s="26"/>
      <c r="J1032" s="26"/>
      <c r="K1032" s="28">
        <f>+K1031</f>
        <v>42005</v>
      </c>
      <c r="L1032" s="26" t="str">
        <f>L1031</f>
        <v>11607</v>
      </c>
      <c r="M1032" s="26"/>
      <c r="N1032" s="26"/>
      <c r="O1032" s="26" t="str">
        <f>"""GP Direct"",""Fabrikam, Inc."",""UPR30300"",""PAYRATE"",""8750.00000"",""PAYROLCD"",""COMM"",""STATECD"",""NE"",""CHEKDATE"",""1/1/2015"",""UPRTRXAM"",""8750.00000"""</f>
        <v>"GP Direct","Fabrikam, Inc.","UPR30300","PAYRATE","8750.00000","PAYROLCD","COMM","STATECD","NE","CHEKDATE","1/1/2015","UPRTRXAM","8750.00000"</v>
      </c>
      <c r="P1032" s="29">
        <v>8750</v>
      </c>
      <c r="Q1032" s="26" t="str">
        <f>"COMM"</f>
        <v>COMM</v>
      </c>
      <c r="R1032" s="26" t="str">
        <f>"NE"</f>
        <v>NE</v>
      </c>
      <c r="S1032" s="28">
        <v>42005</v>
      </c>
      <c r="T1032" s="29">
        <v>8750</v>
      </c>
    </row>
    <row r="1033" spans="1:20" s="7" customFormat="1" hidden="1" outlineLevel="3" x14ac:dyDescent="0.2">
      <c r="A1033" s="7" t="s">
        <v>92</v>
      </c>
      <c r="C1033" s="7" t="str">
        <f>+C1031</f>
        <v>Nancy</v>
      </c>
      <c r="D1033" s="7" t="str">
        <f>+D1031</f>
        <v>Buchanan</v>
      </c>
      <c r="E1033" s="8" t="str">
        <f>E1031</f>
        <v>SALES</v>
      </c>
      <c r="G1033" s="8" t="str">
        <f>G1031</f>
        <v>BUCH0001</v>
      </c>
      <c r="K1033" s="12">
        <f>+K1031</f>
        <v>42005</v>
      </c>
      <c r="L1033" s="8" t="str">
        <f>L1031</f>
        <v>11607</v>
      </c>
      <c r="O1033" s="8"/>
      <c r="T1033" s="20"/>
    </row>
    <row r="1034" spans="1:20" s="7" customFormat="1" hidden="1" outlineLevel="2" collapsed="1" x14ac:dyDescent="0.2">
      <c r="A1034" s="7" t="s">
        <v>92</v>
      </c>
      <c r="C1034" s="7" t="str">
        <f t="shared" si="148"/>
        <v>Nancy</v>
      </c>
      <c r="D1034" s="7" t="str">
        <f>+D1033</f>
        <v>Buchanan</v>
      </c>
      <c r="E1034" s="8" t="str">
        <f>E1033</f>
        <v>SALES</v>
      </c>
      <c r="G1034" s="8" t="str">
        <f>G1033</f>
        <v>BUCH0001</v>
      </c>
      <c r="K1034" s="12">
        <f>+K1033</f>
        <v>42005</v>
      </c>
      <c r="L1034" s="8" t="str">
        <f>L1033</f>
        <v>11607</v>
      </c>
      <c r="M1034" s="33" t="str">
        <f>"Total for " &amp; $L1034</f>
        <v>Total for 11607</v>
      </c>
      <c r="N1034" s="34">
        <f>+K1034</f>
        <v>42005</v>
      </c>
      <c r="O1034" s="35"/>
      <c r="P1034" s="33"/>
      <c r="Q1034" s="33"/>
      <c r="R1034" s="33"/>
      <c r="S1034" s="33"/>
      <c r="T1034" s="36">
        <f>SUBTOTAL(9,T1031:T1033)</f>
        <v>9327.36</v>
      </c>
    </row>
    <row r="1035" spans="1:20" s="7" customFormat="1" hidden="1" outlineLevel="3" x14ac:dyDescent="0.2">
      <c r="A1035" s="7" t="s">
        <v>92</v>
      </c>
      <c r="C1035" s="7" t="str">
        <f t="shared" si="148"/>
        <v>Nancy</v>
      </c>
      <c r="D1035" s="7" t="str">
        <f>+D1034</f>
        <v>Buchanan</v>
      </c>
      <c r="E1035" s="8" t="str">
        <f>E1034</f>
        <v>SALES</v>
      </c>
      <c r="G1035" s="8" t="str">
        <f>G1034</f>
        <v>BUCH0001</v>
      </c>
      <c r="H1035" s="26"/>
      <c r="I1035" s="26"/>
      <c r="J1035" s="26"/>
      <c r="K1035" s="28">
        <f>+N1035</f>
        <v>42156</v>
      </c>
      <c r="L1035" s="26" t="str">
        <f>M1035</f>
        <v>11611</v>
      </c>
      <c r="M1035" s="26" t="str">
        <f>"11611"</f>
        <v>11611</v>
      </c>
      <c r="N1035" s="28">
        <v>42156</v>
      </c>
      <c r="O1035" s="26"/>
      <c r="P1035" s="26"/>
      <c r="Q1035" s="26"/>
      <c r="R1035" s="26"/>
      <c r="S1035" s="26"/>
      <c r="T1035" s="27"/>
    </row>
    <row r="1036" spans="1:20" s="7" customFormat="1" hidden="1" outlineLevel="3" x14ac:dyDescent="0.2">
      <c r="A1036" s="7" t="s">
        <v>92</v>
      </c>
      <c r="C1036" s="7" t="str">
        <f t="shared" si="148"/>
        <v>Nancy</v>
      </c>
      <c r="D1036" s="7" t="str">
        <f>+D1035</f>
        <v>Buchanan</v>
      </c>
      <c r="E1036" s="8" t="str">
        <f>E1035</f>
        <v>SALES</v>
      </c>
      <c r="G1036" s="8" t="str">
        <f>G1035</f>
        <v>BUCH0001</v>
      </c>
      <c r="H1036" s="26"/>
      <c r="I1036" s="26"/>
      <c r="J1036" s="26"/>
      <c r="K1036" s="28">
        <f>+K1035</f>
        <v>42156</v>
      </c>
      <c r="L1036" s="26" t="str">
        <f>L1035</f>
        <v>11611</v>
      </c>
      <c r="M1036" s="26"/>
      <c r="N1036" s="26"/>
      <c r="O1036" s="26" t="str">
        <f>"""GP Direct"",""Fabrikam, Inc."",""UPR30300"",""PAYRATE"",""0.00000"",""PAYROLCD"",""NE"",""STATECD"","""",""CHEKDATE"",""6/1/2015"",""UPRTRXAM"",""577.36000"""</f>
        <v>"GP Direct","Fabrikam, Inc.","UPR30300","PAYRATE","0.00000","PAYROLCD","NE","STATECD","","CHEKDATE","6/1/2015","UPRTRXAM","577.36000"</v>
      </c>
      <c r="P1036" s="29">
        <v>0</v>
      </c>
      <c r="Q1036" s="26" t="str">
        <f>"NE"</f>
        <v>NE</v>
      </c>
      <c r="R1036" s="26"/>
      <c r="S1036" s="28">
        <v>42156</v>
      </c>
      <c r="T1036" s="29">
        <v>577.36</v>
      </c>
    </row>
    <row r="1037" spans="1:20" s="7" customFormat="1" hidden="1" outlineLevel="3" x14ac:dyDescent="0.2">
      <c r="A1037" s="7" t="s">
        <v>92</v>
      </c>
      <c r="C1037" s="7" t="str">
        <f t="shared" ref="C1037" si="155">+C1036</f>
        <v>Nancy</v>
      </c>
      <c r="D1037" s="7" t="str">
        <f>+D1036</f>
        <v>Buchanan</v>
      </c>
      <c r="E1037" s="8" t="str">
        <f>E1036</f>
        <v>SALES</v>
      </c>
      <c r="G1037" s="8" t="str">
        <f>G1036</f>
        <v>BUCH0001</v>
      </c>
      <c r="H1037" s="26"/>
      <c r="I1037" s="26"/>
      <c r="J1037" s="26"/>
      <c r="K1037" s="28">
        <f>+K1036</f>
        <v>42156</v>
      </c>
      <c r="L1037" s="26" t="str">
        <f>L1036</f>
        <v>11611</v>
      </c>
      <c r="M1037" s="26"/>
      <c r="N1037" s="26"/>
      <c r="O1037" s="26" t="str">
        <f>"""GP Direct"",""Fabrikam, Inc."",""UPR30300"",""PAYRATE"",""8750.00000"",""PAYROLCD"",""COMM"",""STATECD"",""NE"",""CHEKDATE"",""6/1/2015"",""UPRTRXAM"",""8750.00000"""</f>
        <v>"GP Direct","Fabrikam, Inc.","UPR30300","PAYRATE","8750.00000","PAYROLCD","COMM","STATECD","NE","CHEKDATE","6/1/2015","UPRTRXAM","8750.00000"</v>
      </c>
      <c r="P1037" s="29">
        <v>8750</v>
      </c>
      <c r="Q1037" s="26" t="str">
        <f>"COMM"</f>
        <v>COMM</v>
      </c>
      <c r="R1037" s="26" t="str">
        <f>"NE"</f>
        <v>NE</v>
      </c>
      <c r="S1037" s="28">
        <v>42156</v>
      </c>
      <c r="T1037" s="29">
        <v>8750</v>
      </c>
    </row>
    <row r="1038" spans="1:20" s="7" customFormat="1" hidden="1" outlineLevel="3" x14ac:dyDescent="0.2">
      <c r="A1038" s="7" t="s">
        <v>92</v>
      </c>
      <c r="C1038" s="7" t="str">
        <f>+C1036</f>
        <v>Nancy</v>
      </c>
      <c r="D1038" s="7" t="str">
        <f>+D1036</f>
        <v>Buchanan</v>
      </c>
      <c r="E1038" s="8" t="str">
        <f>E1036</f>
        <v>SALES</v>
      </c>
      <c r="G1038" s="8" t="str">
        <f>G1036</f>
        <v>BUCH0001</v>
      </c>
      <c r="K1038" s="12">
        <f>+K1036</f>
        <v>42156</v>
      </c>
      <c r="L1038" s="8" t="str">
        <f>L1036</f>
        <v>11611</v>
      </c>
      <c r="O1038" s="8"/>
      <c r="T1038" s="20"/>
    </row>
    <row r="1039" spans="1:20" s="7" customFormat="1" hidden="1" outlineLevel="2" collapsed="1" x14ac:dyDescent="0.2">
      <c r="A1039" s="7" t="s">
        <v>92</v>
      </c>
      <c r="C1039" s="7" t="str">
        <f t="shared" si="148"/>
        <v>Nancy</v>
      </c>
      <c r="D1039" s="7" t="str">
        <f>+D1038</f>
        <v>Buchanan</v>
      </c>
      <c r="E1039" s="8" t="str">
        <f>E1038</f>
        <v>SALES</v>
      </c>
      <c r="G1039" s="8" t="str">
        <f>G1038</f>
        <v>BUCH0001</v>
      </c>
      <c r="K1039" s="12">
        <f>+K1038</f>
        <v>42156</v>
      </c>
      <c r="L1039" s="8" t="str">
        <f>L1038</f>
        <v>11611</v>
      </c>
      <c r="M1039" s="33" t="str">
        <f>"Total for " &amp; $L1039</f>
        <v>Total for 11611</v>
      </c>
      <c r="N1039" s="34">
        <f>+K1039</f>
        <v>42156</v>
      </c>
      <c r="O1039" s="35"/>
      <c r="P1039" s="33"/>
      <c r="Q1039" s="33"/>
      <c r="R1039" s="33"/>
      <c r="S1039" s="33"/>
      <c r="T1039" s="36">
        <f>SUBTOTAL(9,T1036:T1038)</f>
        <v>9327.36</v>
      </c>
    </row>
    <row r="1040" spans="1:20" s="7" customFormat="1" hidden="1" outlineLevel="2" x14ac:dyDescent="0.2">
      <c r="A1040" s="7" t="s">
        <v>92</v>
      </c>
      <c r="C1040" s="7" t="str">
        <f>+C984</f>
        <v>Nancy</v>
      </c>
      <c r="D1040" s="7" t="str">
        <f>+D984</f>
        <v>Buchanan</v>
      </c>
      <c r="E1040" s="8" t="str">
        <f>E984</f>
        <v>SALES</v>
      </c>
      <c r="G1040" s="8" t="str">
        <f>G984</f>
        <v>BUCH0001</v>
      </c>
      <c r="L1040" s="8"/>
      <c r="O1040" s="8"/>
      <c r="T1040" s="20"/>
    </row>
    <row r="1041" spans="1:20" s="7" customFormat="1" hidden="1" outlineLevel="1" collapsed="1" x14ac:dyDescent="0.2">
      <c r="A1041" s="7" t="s">
        <v>92</v>
      </c>
      <c r="C1041" s="7" t="str">
        <f t="shared" si="146"/>
        <v>Nancy</v>
      </c>
      <c r="D1041" s="7" t="str">
        <f>+D1040</f>
        <v>Buchanan</v>
      </c>
      <c r="E1041" s="8" t="str">
        <f>E1040</f>
        <v>SALES</v>
      </c>
      <c r="G1041" s="8" t="str">
        <f>G1040</f>
        <v>BUCH0001</v>
      </c>
      <c r="H1041" s="30" t="str">
        <f>"Total for " &amp; $G1041</f>
        <v>Total for BUCH0001</v>
      </c>
      <c r="I1041" s="30" t="str">
        <f>+C1041</f>
        <v>Nancy</v>
      </c>
      <c r="J1041" s="30" t="str">
        <f>+D1041</f>
        <v>Buchanan</v>
      </c>
      <c r="K1041" s="30"/>
      <c r="L1041" s="31"/>
      <c r="M1041" s="30"/>
      <c r="N1041" s="30"/>
      <c r="O1041" s="31"/>
      <c r="P1041" s="30"/>
      <c r="Q1041" s="30"/>
      <c r="R1041" s="30"/>
      <c r="S1041" s="30"/>
      <c r="T1041" s="32">
        <f>SUBTOTAL(9,T977:T1040)</f>
        <v>24239.82</v>
      </c>
    </row>
    <row r="1042" spans="1:20" s="7" customFormat="1" hidden="1" outlineLevel="2" x14ac:dyDescent="0.2">
      <c r="A1042" s="7" t="s">
        <v>92</v>
      </c>
      <c r="C1042" s="7" t="str">
        <f t="shared" ref="C1042" si="156">+I1042</f>
        <v>John</v>
      </c>
      <c r="D1042" s="7" t="str">
        <f>+J1042</f>
        <v>Chen</v>
      </c>
      <c r="E1042" s="8" t="str">
        <f>E1041</f>
        <v>SALES</v>
      </c>
      <c r="G1042" s="8" t="str">
        <f>H1042</f>
        <v>CHEN0001</v>
      </c>
      <c r="H1042" s="24" t="str">
        <f>"CHEN0001"</f>
        <v>CHEN0001</v>
      </c>
      <c r="I1042" s="25" t="str">
        <f>"John"</f>
        <v>John</v>
      </c>
      <c r="J1042" s="25" t="str">
        <f>"Chen"</f>
        <v>Chen</v>
      </c>
      <c r="K1042" s="26"/>
      <c r="L1042" s="26"/>
      <c r="M1042" s="26"/>
      <c r="N1042" s="26"/>
      <c r="O1042" s="26"/>
      <c r="P1042" s="26"/>
      <c r="Q1042" s="26"/>
      <c r="R1042" s="26"/>
      <c r="S1042" s="26"/>
      <c r="T1042" s="27"/>
    </row>
    <row r="1043" spans="1:20" s="7" customFormat="1" hidden="1" outlineLevel="3" x14ac:dyDescent="0.2">
      <c r="A1043" s="7" t="s">
        <v>92</v>
      </c>
      <c r="C1043" s="7" t="str">
        <f t="shared" ref="C1043:C1099" si="157">+C1042</f>
        <v>John</v>
      </c>
      <c r="D1043" s="7" t="str">
        <f>+D1042</f>
        <v>Chen</v>
      </c>
      <c r="E1043" s="8" t="str">
        <f>E1042</f>
        <v>SALES</v>
      </c>
      <c r="G1043" s="8" t="str">
        <f>G1042</f>
        <v>CHEN0001</v>
      </c>
      <c r="H1043" s="26"/>
      <c r="I1043" s="26"/>
      <c r="J1043" s="26"/>
      <c r="K1043" s="28">
        <f>+N1043</f>
        <v>42005</v>
      </c>
      <c r="L1043" s="26" t="str">
        <f>M1043</f>
        <v>10356</v>
      </c>
      <c r="M1043" s="26" t="str">
        <f>"10356"</f>
        <v>10356</v>
      </c>
      <c r="N1043" s="28">
        <v>42005</v>
      </c>
      <c r="O1043" s="26"/>
      <c r="P1043" s="26"/>
      <c r="Q1043" s="26"/>
      <c r="R1043" s="26"/>
      <c r="S1043" s="26"/>
      <c r="T1043" s="27"/>
    </row>
    <row r="1044" spans="1:20" s="7" customFormat="1" hidden="1" outlineLevel="3" x14ac:dyDescent="0.2">
      <c r="A1044" s="7" t="s">
        <v>92</v>
      </c>
      <c r="C1044" s="7" t="str">
        <f t="shared" si="157"/>
        <v>John</v>
      </c>
      <c r="D1044" s="7" t="str">
        <f>+D1043</f>
        <v>Chen</v>
      </c>
      <c r="E1044" s="8" t="str">
        <f>E1043</f>
        <v>SALES</v>
      </c>
      <c r="G1044" s="8" t="str">
        <f>G1043</f>
        <v>CHEN0001</v>
      </c>
      <c r="H1044" s="26"/>
      <c r="I1044" s="26"/>
      <c r="J1044" s="26"/>
      <c r="K1044" s="28">
        <f>+K1043</f>
        <v>42005</v>
      </c>
      <c r="L1044" s="26" t="str">
        <f>L1043</f>
        <v>10356</v>
      </c>
      <c r="M1044" s="26"/>
      <c r="N1044" s="26"/>
      <c r="O1044" s="26" t="str">
        <f>"""GP Direct"",""Fabrikam, Inc."",""UPR30300"",""PAYRATE"",""0.00000"",""PAYROLCD"",""401K"",""STATECD"","""",""CHEKDATE"",""1/1/2015"",""UPRTRXAM"",""1.04000"""</f>
        <v>"GP Direct","Fabrikam, Inc.","UPR30300","PAYRATE","0.00000","PAYROLCD","401K","STATECD","","CHEKDATE","1/1/2015","UPRTRXAM","1.04000"</v>
      </c>
      <c r="P1044" s="29">
        <v>0</v>
      </c>
      <c r="Q1044" s="26" t="str">
        <f>"401K"</f>
        <v>401K</v>
      </c>
      <c r="R1044" s="26"/>
      <c r="S1044" s="28">
        <v>42005</v>
      </c>
      <c r="T1044" s="29">
        <v>1.04</v>
      </c>
    </row>
    <row r="1045" spans="1:20" s="7" customFormat="1" hidden="1" outlineLevel="3" x14ac:dyDescent="0.2">
      <c r="A1045" s="7" t="s">
        <v>92</v>
      </c>
      <c r="C1045" s="7" t="str">
        <f t="shared" ref="C1045:C1049" si="158">+C1044</f>
        <v>John</v>
      </c>
      <c r="D1045" s="7" t="str">
        <f>+D1044</f>
        <v>Chen</v>
      </c>
      <c r="E1045" s="8" t="str">
        <f>E1044</f>
        <v>SALES</v>
      </c>
      <c r="G1045" s="8" t="str">
        <f>G1044</f>
        <v>CHEN0001</v>
      </c>
      <c r="H1045" s="26"/>
      <c r="I1045" s="26"/>
      <c r="J1045" s="26"/>
      <c r="K1045" s="28">
        <f>+K1044</f>
        <v>42005</v>
      </c>
      <c r="L1045" s="26" t="str">
        <f>L1044</f>
        <v>10356</v>
      </c>
      <c r="M1045" s="26"/>
      <c r="N1045" s="26"/>
      <c r="O1045" s="26" t="str">
        <f>"""GP Direct"",""Fabrikam, Inc."",""UPR30300"",""PAYRATE"",""0.00000"",""PAYROLCD"",""401K"",""STATECD"","""",""CHEKDATE"",""1/1/2015"",""UPRTRXAM"",""20.75000"""</f>
        <v>"GP Direct","Fabrikam, Inc.","UPR30300","PAYRATE","0.00000","PAYROLCD","401K","STATECD","","CHEKDATE","1/1/2015","UPRTRXAM","20.75000"</v>
      </c>
      <c r="P1045" s="29">
        <v>0</v>
      </c>
      <c r="Q1045" s="26" t="str">
        <f>"401K"</f>
        <v>401K</v>
      </c>
      <c r="R1045" s="26"/>
      <c r="S1045" s="28">
        <v>42005</v>
      </c>
      <c r="T1045" s="29">
        <v>20.75</v>
      </c>
    </row>
    <row r="1046" spans="1:20" s="7" customFormat="1" hidden="1" outlineLevel="3" x14ac:dyDescent="0.2">
      <c r="A1046" s="7" t="s">
        <v>92</v>
      </c>
      <c r="C1046" s="7" t="str">
        <f t="shared" si="158"/>
        <v>John</v>
      </c>
      <c r="D1046" s="7" t="str">
        <f>+D1045</f>
        <v>Chen</v>
      </c>
      <c r="E1046" s="8" t="str">
        <f>E1045</f>
        <v>SALES</v>
      </c>
      <c r="G1046" s="8" t="str">
        <f>G1045</f>
        <v>CHEN0001</v>
      </c>
      <c r="H1046" s="26"/>
      <c r="I1046" s="26"/>
      <c r="J1046" s="26"/>
      <c r="K1046" s="28">
        <f>+K1045</f>
        <v>42005</v>
      </c>
      <c r="L1046" s="26" t="str">
        <f>L1045</f>
        <v>10356</v>
      </c>
      <c r="M1046" s="26"/>
      <c r="N1046" s="26"/>
      <c r="O1046" s="26" t="str">
        <f>"""GP Direct"",""Fabrikam, Inc."",""UPR30300"",""PAYRATE"",""0.00000"",""PAYROLCD"",""IL"",""STATECD"","""",""CHEKDATE"",""1/1/2015"",""UPRTRXAM"",""18.72000"""</f>
        <v>"GP Direct","Fabrikam, Inc.","UPR30300","PAYRATE","0.00000","PAYROLCD","IL","STATECD","","CHEKDATE","1/1/2015","UPRTRXAM","18.72000"</v>
      </c>
      <c r="P1046" s="29">
        <v>0</v>
      </c>
      <c r="Q1046" s="26" t="str">
        <f>"IL"</f>
        <v>IL</v>
      </c>
      <c r="R1046" s="26"/>
      <c r="S1046" s="28">
        <v>42005</v>
      </c>
      <c r="T1046" s="29">
        <v>18.72</v>
      </c>
    </row>
    <row r="1047" spans="1:20" s="7" customFormat="1" hidden="1" outlineLevel="3" x14ac:dyDescent="0.2">
      <c r="A1047" s="7" t="s">
        <v>92</v>
      </c>
      <c r="C1047" s="7" t="str">
        <f t="shared" si="158"/>
        <v>John</v>
      </c>
      <c r="D1047" s="7" t="str">
        <f>+D1046</f>
        <v>Chen</v>
      </c>
      <c r="E1047" s="8" t="str">
        <f>E1046</f>
        <v>SALES</v>
      </c>
      <c r="G1047" s="8" t="str">
        <f>G1046</f>
        <v>CHEN0001</v>
      </c>
      <c r="H1047" s="26"/>
      <c r="I1047" s="26"/>
      <c r="J1047" s="26"/>
      <c r="K1047" s="28">
        <f>+K1046</f>
        <v>42005</v>
      </c>
      <c r="L1047" s="26" t="str">
        <f>L1046</f>
        <v>10356</v>
      </c>
      <c r="M1047" s="26"/>
      <c r="N1047" s="26"/>
      <c r="O1047" s="26" t="str">
        <f>"""GP Direct"",""Fabrikam, Inc."",""UPR30300"",""PAYRATE"",""0.00000"",""PAYROLCD"",""INS"",""STATECD"","""",""CHEKDATE"",""1/1/2015"",""UPRTRXAM"",""49.36000"""</f>
        <v>"GP Direct","Fabrikam, Inc.","UPR30300","PAYRATE","0.00000","PAYROLCD","INS","STATECD","","CHEKDATE","1/1/2015","UPRTRXAM","49.36000"</v>
      </c>
      <c r="P1047" s="29">
        <v>0</v>
      </c>
      <c r="Q1047" s="26" t="str">
        <f>"INS"</f>
        <v>INS</v>
      </c>
      <c r="R1047" s="26"/>
      <c r="S1047" s="28">
        <v>42005</v>
      </c>
      <c r="T1047" s="29">
        <v>49.36</v>
      </c>
    </row>
    <row r="1048" spans="1:20" s="7" customFormat="1" hidden="1" outlineLevel="3" x14ac:dyDescent="0.2">
      <c r="A1048" s="7" t="s">
        <v>92</v>
      </c>
      <c r="C1048" s="7" t="str">
        <f t="shared" si="158"/>
        <v>John</v>
      </c>
      <c r="D1048" s="7" t="str">
        <f>+D1047</f>
        <v>Chen</v>
      </c>
      <c r="E1048" s="8" t="str">
        <f>E1047</f>
        <v>SALES</v>
      </c>
      <c r="G1048" s="8" t="str">
        <f>G1047</f>
        <v>CHEN0001</v>
      </c>
      <c r="H1048" s="26"/>
      <c r="I1048" s="26"/>
      <c r="J1048" s="26"/>
      <c r="K1048" s="28">
        <f>+K1047</f>
        <v>42005</v>
      </c>
      <c r="L1048" s="26" t="str">
        <f>L1047</f>
        <v>10356</v>
      </c>
      <c r="M1048" s="26"/>
      <c r="N1048" s="26"/>
      <c r="O1048" s="26" t="str">
        <f>"""GP Direct"",""Fabrikam, Inc."",""UPR30300"",""PAYRATE"",""0.00000"",""PAYROLCD"",""MED"",""STATECD"","""",""CHEKDATE"",""1/1/2015"",""UPRTRXAM"",""5.00000"""</f>
        <v>"GP Direct","Fabrikam, Inc.","UPR30300","PAYRATE","0.00000","PAYROLCD","MED","STATECD","","CHEKDATE","1/1/2015","UPRTRXAM","5.00000"</v>
      </c>
      <c r="P1048" s="29">
        <v>0</v>
      </c>
      <c r="Q1048" s="26" t="str">
        <f>"MED"</f>
        <v>MED</v>
      </c>
      <c r="R1048" s="26"/>
      <c r="S1048" s="28">
        <v>42005</v>
      </c>
      <c r="T1048" s="29">
        <v>5</v>
      </c>
    </row>
    <row r="1049" spans="1:20" s="7" customFormat="1" hidden="1" outlineLevel="3" x14ac:dyDescent="0.2">
      <c r="A1049" s="7" t="s">
        <v>92</v>
      </c>
      <c r="C1049" s="7" t="str">
        <f t="shared" si="158"/>
        <v>John</v>
      </c>
      <c r="D1049" s="7" t="str">
        <f>+D1048</f>
        <v>Chen</v>
      </c>
      <c r="E1049" s="8" t="str">
        <f>E1048</f>
        <v>SALES</v>
      </c>
      <c r="G1049" s="8" t="str">
        <f>G1048</f>
        <v>CHEN0001</v>
      </c>
      <c r="H1049" s="26"/>
      <c r="I1049" s="26"/>
      <c r="J1049" s="26"/>
      <c r="K1049" s="28">
        <f>+K1048</f>
        <v>42005</v>
      </c>
      <c r="L1049" s="26" t="str">
        <f>L1048</f>
        <v>10356</v>
      </c>
      <c r="M1049" s="26"/>
      <c r="N1049" s="26"/>
      <c r="O1049" s="26" t="str">
        <f>"""GP Direct"",""Fabrikam, Inc."",""UPR30300"",""PAYRATE"",""16596.00000"",""PAYROLCD"",""SALY"",""STATECD"",""IL"",""CHEKDATE"",""1/1/2015"",""UPRTRXAM"",""691.50000"""</f>
        <v>"GP Direct","Fabrikam, Inc.","UPR30300","PAYRATE","16596.00000","PAYROLCD","SALY","STATECD","IL","CHEKDATE","1/1/2015","UPRTRXAM","691.50000"</v>
      </c>
      <c r="P1049" s="29">
        <v>16596</v>
      </c>
      <c r="Q1049" s="26" t="str">
        <f>"SALY"</f>
        <v>SALY</v>
      </c>
      <c r="R1049" s="26" t="str">
        <f>"IL"</f>
        <v>IL</v>
      </c>
      <c r="S1049" s="28">
        <v>42005</v>
      </c>
      <c r="T1049" s="29">
        <v>691.5</v>
      </c>
    </row>
    <row r="1050" spans="1:20" s="7" customFormat="1" hidden="1" outlineLevel="3" x14ac:dyDescent="0.2">
      <c r="A1050" s="7" t="s">
        <v>92</v>
      </c>
      <c r="C1050" s="7" t="str">
        <f>+C1044</f>
        <v>John</v>
      </c>
      <c r="D1050" s="7" t="str">
        <f>+D1044</f>
        <v>Chen</v>
      </c>
      <c r="E1050" s="8" t="str">
        <f>E1044</f>
        <v>SALES</v>
      </c>
      <c r="G1050" s="8" t="str">
        <f>G1044</f>
        <v>CHEN0001</v>
      </c>
      <c r="K1050" s="12">
        <f>+K1044</f>
        <v>42005</v>
      </c>
      <c r="L1050" s="8" t="str">
        <f>L1044</f>
        <v>10356</v>
      </c>
      <c r="O1050" s="8"/>
      <c r="T1050" s="20"/>
    </row>
    <row r="1051" spans="1:20" s="7" customFormat="1" hidden="1" outlineLevel="2" collapsed="1" x14ac:dyDescent="0.2">
      <c r="A1051" s="7" t="s">
        <v>92</v>
      </c>
      <c r="C1051" s="7" t="str">
        <f t="shared" si="157"/>
        <v>John</v>
      </c>
      <c r="D1051" s="7" t="str">
        <f>+D1050</f>
        <v>Chen</v>
      </c>
      <c r="E1051" s="8" t="str">
        <f>E1050</f>
        <v>SALES</v>
      </c>
      <c r="G1051" s="8" t="str">
        <f>G1050</f>
        <v>CHEN0001</v>
      </c>
      <c r="K1051" s="12">
        <f>+K1050</f>
        <v>42005</v>
      </c>
      <c r="L1051" s="8" t="str">
        <f>L1050</f>
        <v>10356</v>
      </c>
      <c r="M1051" s="33" t="str">
        <f>"Total for " &amp; $L1051</f>
        <v>Total for 10356</v>
      </c>
      <c r="N1051" s="34">
        <f>+K1051</f>
        <v>42005</v>
      </c>
      <c r="O1051" s="35"/>
      <c r="P1051" s="33"/>
      <c r="Q1051" s="33"/>
      <c r="R1051" s="33"/>
      <c r="S1051" s="33"/>
      <c r="T1051" s="36">
        <f>SUBTOTAL(9,T1044:T1050)</f>
        <v>786.37</v>
      </c>
    </row>
    <row r="1052" spans="1:20" s="7" customFormat="1" hidden="1" outlineLevel="3" x14ac:dyDescent="0.2">
      <c r="A1052" s="7" t="s">
        <v>92</v>
      </c>
      <c r="C1052" s="7" t="str">
        <f t="shared" ref="C1052:C1097" si="159">+C1051</f>
        <v>John</v>
      </c>
      <c r="D1052" s="7" t="str">
        <f>+D1051</f>
        <v>Chen</v>
      </c>
      <c r="E1052" s="8" t="str">
        <f>E1051</f>
        <v>SALES</v>
      </c>
      <c r="G1052" s="8" t="str">
        <f>G1051</f>
        <v>CHEN0001</v>
      </c>
      <c r="H1052" s="26"/>
      <c r="I1052" s="26"/>
      <c r="J1052" s="26"/>
      <c r="K1052" s="28">
        <f>+N1052</f>
        <v>42036</v>
      </c>
      <c r="L1052" s="26" t="str">
        <f>M1052</f>
        <v>10381</v>
      </c>
      <c r="M1052" s="26" t="str">
        <f>"10381"</f>
        <v>10381</v>
      </c>
      <c r="N1052" s="28">
        <v>42036</v>
      </c>
      <c r="O1052" s="26"/>
      <c r="P1052" s="26"/>
      <c r="Q1052" s="26"/>
      <c r="R1052" s="26"/>
      <c r="S1052" s="26"/>
      <c r="T1052" s="27"/>
    </row>
    <row r="1053" spans="1:20" s="7" customFormat="1" hidden="1" outlineLevel="3" x14ac:dyDescent="0.2">
      <c r="A1053" s="7" t="s">
        <v>92</v>
      </c>
      <c r="C1053" s="7" t="str">
        <f t="shared" si="159"/>
        <v>John</v>
      </c>
      <c r="D1053" s="7" t="str">
        <f>+D1052</f>
        <v>Chen</v>
      </c>
      <c r="E1053" s="8" t="str">
        <f>E1052</f>
        <v>SALES</v>
      </c>
      <c r="G1053" s="8" t="str">
        <f>G1052</f>
        <v>CHEN0001</v>
      </c>
      <c r="H1053" s="26"/>
      <c r="I1053" s="26"/>
      <c r="J1053" s="26"/>
      <c r="K1053" s="28">
        <f>+K1052</f>
        <v>42036</v>
      </c>
      <c r="L1053" s="26" t="str">
        <f>L1052</f>
        <v>10381</v>
      </c>
      <c r="M1053" s="26"/>
      <c r="N1053" s="26"/>
      <c r="O1053" s="26" t="str">
        <f>"""GP Direct"",""Fabrikam, Inc."",""UPR30300"",""PAYRATE"",""0.00000"",""PAYROLCD"",""401K"",""STATECD"","""",""CHEKDATE"",""2/1/2015"",""UPRTRXAM"",""1.04000"""</f>
        <v>"GP Direct","Fabrikam, Inc.","UPR30300","PAYRATE","0.00000","PAYROLCD","401K","STATECD","","CHEKDATE","2/1/2015","UPRTRXAM","1.04000"</v>
      </c>
      <c r="P1053" s="29">
        <v>0</v>
      </c>
      <c r="Q1053" s="26" t="str">
        <f>"401K"</f>
        <v>401K</v>
      </c>
      <c r="R1053" s="26"/>
      <c r="S1053" s="28">
        <v>42036</v>
      </c>
      <c r="T1053" s="29">
        <v>1.04</v>
      </c>
    </row>
    <row r="1054" spans="1:20" s="7" customFormat="1" hidden="1" outlineLevel="3" x14ac:dyDescent="0.2">
      <c r="A1054" s="7" t="s">
        <v>92</v>
      </c>
      <c r="C1054" s="7" t="str">
        <f t="shared" ref="C1054:C1058" si="160">+C1053</f>
        <v>John</v>
      </c>
      <c r="D1054" s="7" t="str">
        <f>+D1053</f>
        <v>Chen</v>
      </c>
      <c r="E1054" s="8" t="str">
        <f>E1053</f>
        <v>SALES</v>
      </c>
      <c r="G1054" s="8" t="str">
        <f>G1053</f>
        <v>CHEN0001</v>
      </c>
      <c r="H1054" s="26"/>
      <c r="I1054" s="26"/>
      <c r="J1054" s="26"/>
      <c r="K1054" s="28">
        <f>+K1053</f>
        <v>42036</v>
      </c>
      <c r="L1054" s="26" t="str">
        <f>L1053</f>
        <v>10381</v>
      </c>
      <c r="M1054" s="26"/>
      <c r="N1054" s="26"/>
      <c r="O1054" s="26" t="str">
        <f>"""GP Direct"",""Fabrikam, Inc."",""UPR30300"",""PAYRATE"",""0.00000"",""PAYROLCD"",""401K"",""STATECD"","""",""CHEKDATE"",""2/1/2015"",""UPRTRXAM"",""20.75000"""</f>
        <v>"GP Direct","Fabrikam, Inc.","UPR30300","PAYRATE","0.00000","PAYROLCD","401K","STATECD","","CHEKDATE","2/1/2015","UPRTRXAM","20.75000"</v>
      </c>
      <c r="P1054" s="29">
        <v>0</v>
      </c>
      <c r="Q1054" s="26" t="str">
        <f>"401K"</f>
        <v>401K</v>
      </c>
      <c r="R1054" s="26"/>
      <c r="S1054" s="28">
        <v>42036</v>
      </c>
      <c r="T1054" s="29">
        <v>20.75</v>
      </c>
    </row>
    <row r="1055" spans="1:20" s="7" customFormat="1" hidden="1" outlineLevel="3" x14ac:dyDescent="0.2">
      <c r="A1055" s="7" t="s">
        <v>92</v>
      </c>
      <c r="C1055" s="7" t="str">
        <f t="shared" si="160"/>
        <v>John</v>
      </c>
      <c r="D1055" s="7" t="str">
        <f>+D1054</f>
        <v>Chen</v>
      </c>
      <c r="E1055" s="8" t="str">
        <f>E1054</f>
        <v>SALES</v>
      </c>
      <c r="G1055" s="8" t="str">
        <f>G1054</f>
        <v>CHEN0001</v>
      </c>
      <c r="H1055" s="26"/>
      <c r="I1055" s="26"/>
      <c r="J1055" s="26"/>
      <c r="K1055" s="28">
        <f>+K1054</f>
        <v>42036</v>
      </c>
      <c r="L1055" s="26" t="str">
        <f>L1054</f>
        <v>10381</v>
      </c>
      <c r="M1055" s="26"/>
      <c r="N1055" s="26"/>
      <c r="O1055" s="26" t="str">
        <f>"""GP Direct"",""Fabrikam, Inc."",""UPR30300"",""PAYRATE"",""0.00000"",""PAYROLCD"",""IL"",""STATECD"","""",""CHEKDATE"",""2/1/2015"",""UPRTRXAM"",""18.72000"""</f>
        <v>"GP Direct","Fabrikam, Inc.","UPR30300","PAYRATE","0.00000","PAYROLCD","IL","STATECD","","CHEKDATE","2/1/2015","UPRTRXAM","18.72000"</v>
      </c>
      <c r="P1055" s="29">
        <v>0</v>
      </c>
      <c r="Q1055" s="26" t="str">
        <f>"IL"</f>
        <v>IL</v>
      </c>
      <c r="R1055" s="26"/>
      <c r="S1055" s="28">
        <v>42036</v>
      </c>
      <c r="T1055" s="29">
        <v>18.72</v>
      </c>
    </row>
    <row r="1056" spans="1:20" s="7" customFormat="1" hidden="1" outlineLevel="3" x14ac:dyDescent="0.2">
      <c r="A1056" s="7" t="s">
        <v>92</v>
      </c>
      <c r="C1056" s="7" t="str">
        <f t="shared" si="160"/>
        <v>John</v>
      </c>
      <c r="D1056" s="7" t="str">
        <f>+D1055</f>
        <v>Chen</v>
      </c>
      <c r="E1056" s="8" t="str">
        <f>E1055</f>
        <v>SALES</v>
      </c>
      <c r="G1056" s="8" t="str">
        <f>G1055</f>
        <v>CHEN0001</v>
      </c>
      <c r="H1056" s="26"/>
      <c r="I1056" s="26"/>
      <c r="J1056" s="26"/>
      <c r="K1056" s="28">
        <f>+K1055</f>
        <v>42036</v>
      </c>
      <c r="L1056" s="26" t="str">
        <f>L1055</f>
        <v>10381</v>
      </c>
      <c r="M1056" s="26"/>
      <c r="N1056" s="26"/>
      <c r="O1056" s="26" t="str">
        <f>"""GP Direct"",""Fabrikam, Inc."",""UPR30300"",""PAYRATE"",""0.00000"",""PAYROLCD"",""INS"",""STATECD"","""",""CHEKDATE"",""2/1/2015"",""UPRTRXAM"",""49.36000"""</f>
        <v>"GP Direct","Fabrikam, Inc.","UPR30300","PAYRATE","0.00000","PAYROLCD","INS","STATECD","","CHEKDATE","2/1/2015","UPRTRXAM","49.36000"</v>
      </c>
      <c r="P1056" s="29">
        <v>0</v>
      </c>
      <c r="Q1056" s="26" t="str">
        <f>"INS"</f>
        <v>INS</v>
      </c>
      <c r="R1056" s="26"/>
      <c r="S1056" s="28">
        <v>42036</v>
      </c>
      <c r="T1056" s="29">
        <v>49.36</v>
      </c>
    </row>
    <row r="1057" spans="1:20" s="7" customFormat="1" hidden="1" outlineLevel="3" x14ac:dyDescent="0.2">
      <c r="A1057" s="7" t="s">
        <v>92</v>
      </c>
      <c r="C1057" s="7" t="str">
        <f t="shared" si="160"/>
        <v>John</v>
      </c>
      <c r="D1057" s="7" t="str">
        <f>+D1056</f>
        <v>Chen</v>
      </c>
      <c r="E1057" s="8" t="str">
        <f>E1056</f>
        <v>SALES</v>
      </c>
      <c r="G1057" s="8" t="str">
        <f>G1056</f>
        <v>CHEN0001</v>
      </c>
      <c r="H1057" s="26"/>
      <c r="I1057" s="26"/>
      <c r="J1057" s="26"/>
      <c r="K1057" s="28">
        <f>+K1056</f>
        <v>42036</v>
      </c>
      <c r="L1057" s="26" t="str">
        <f>L1056</f>
        <v>10381</v>
      </c>
      <c r="M1057" s="26"/>
      <c r="N1057" s="26"/>
      <c r="O1057" s="26" t="str">
        <f>"""GP Direct"",""Fabrikam, Inc."",""UPR30300"",""PAYRATE"",""0.00000"",""PAYROLCD"",""MED"",""STATECD"","""",""CHEKDATE"",""2/1/2015"",""UPRTRXAM"",""5.00000"""</f>
        <v>"GP Direct","Fabrikam, Inc.","UPR30300","PAYRATE","0.00000","PAYROLCD","MED","STATECD","","CHEKDATE","2/1/2015","UPRTRXAM","5.00000"</v>
      </c>
      <c r="P1057" s="29">
        <v>0</v>
      </c>
      <c r="Q1057" s="26" t="str">
        <f>"MED"</f>
        <v>MED</v>
      </c>
      <c r="R1057" s="26"/>
      <c r="S1057" s="28">
        <v>42036</v>
      </c>
      <c r="T1057" s="29">
        <v>5</v>
      </c>
    </row>
    <row r="1058" spans="1:20" s="7" customFormat="1" hidden="1" outlineLevel="3" x14ac:dyDescent="0.2">
      <c r="A1058" s="7" t="s">
        <v>92</v>
      </c>
      <c r="C1058" s="7" t="str">
        <f t="shared" si="160"/>
        <v>John</v>
      </c>
      <c r="D1058" s="7" t="str">
        <f>+D1057</f>
        <v>Chen</v>
      </c>
      <c r="E1058" s="8" t="str">
        <f>E1057</f>
        <v>SALES</v>
      </c>
      <c r="G1058" s="8" t="str">
        <f>G1057</f>
        <v>CHEN0001</v>
      </c>
      <c r="H1058" s="26"/>
      <c r="I1058" s="26"/>
      <c r="J1058" s="26"/>
      <c r="K1058" s="28">
        <f>+K1057</f>
        <v>42036</v>
      </c>
      <c r="L1058" s="26" t="str">
        <f>L1057</f>
        <v>10381</v>
      </c>
      <c r="M1058" s="26"/>
      <c r="N1058" s="26"/>
      <c r="O1058" s="26" t="str">
        <f>"""GP Direct"",""Fabrikam, Inc."",""UPR30300"",""PAYRATE"",""16596.00000"",""PAYROLCD"",""SALY"",""STATECD"",""IL"",""CHEKDATE"",""2/1/2015"",""UPRTRXAM"",""691.50000"""</f>
        <v>"GP Direct","Fabrikam, Inc.","UPR30300","PAYRATE","16596.00000","PAYROLCD","SALY","STATECD","IL","CHEKDATE","2/1/2015","UPRTRXAM","691.50000"</v>
      </c>
      <c r="P1058" s="29">
        <v>16596</v>
      </c>
      <c r="Q1058" s="26" t="str">
        <f>"SALY"</f>
        <v>SALY</v>
      </c>
      <c r="R1058" s="26" t="str">
        <f>"IL"</f>
        <v>IL</v>
      </c>
      <c r="S1058" s="28">
        <v>42036</v>
      </c>
      <c r="T1058" s="29">
        <v>691.5</v>
      </c>
    </row>
    <row r="1059" spans="1:20" s="7" customFormat="1" hidden="1" outlineLevel="3" x14ac:dyDescent="0.2">
      <c r="A1059" s="7" t="s">
        <v>92</v>
      </c>
      <c r="C1059" s="7" t="str">
        <f>+C1053</f>
        <v>John</v>
      </c>
      <c r="D1059" s="7" t="str">
        <f>+D1053</f>
        <v>Chen</v>
      </c>
      <c r="E1059" s="8" t="str">
        <f>E1053</f>
        <v>SALES</v>
      </c>
      <c r="G1059" s="8" t="str">
        <f>G1053</f>
        <v>CHEN0001</v>
      </c>
      <c r="K1059" s="12">
        <f>+K1053</f>
        <v>42036</v>
      </c>
      <c r="L1059" s="8" t="str">
        <f>L1053</f>
        <v>10381</v>
      </c>
      <c r="O1059" s="8"/>
      <c r="T1059" s="20"/>
    </row>
    <row r="1060" spans="1:20" s="7" customFormat="1" hidden="1" outlineLevel="2" collapsed="1" x14ac:dyDescent="0.2">
      <c r="A1060" s="7" t="s">
        <v>92</v>
      </c>
      <c r="C1060" s="7" t="str">
        <f t="shared" si="159"/>
        <v>John</v>
      </c>
      <c r="D1060" s="7" t="str">
        <f>+D1059</f>
        <v>Chen</v>
      </c>
      <c r="E1060" s="8" t="str">
        <f>E1059</f>
        <v>SALES</v>
      </c>
      <c r="G1060" s="8" t="str">
        <f>G1059</f>
        <v>CHEN0001</v>
      </c>
      <c r="K1060" s="12">
        <f>+K1059</f>
        <v>42036</v>
      </c>
      <c r="L1060" s="8" t="str">
        <f>L1059</f>
        <v>10381</v>
      </c>
      <c r="M1060" s="33" t="str">
        <f>"Total for " &amp; $L1060</f>
        <v>Total for 10381</v>
      </c>
      <c r="N1060" s="34">
        <f>+K1060</f>
        <v>42036</v>
      </c>
      <c r="O1060" s="35"/>
      <c r="P1060" s="33"/>
      <c r="Q1060" s="33"/>
      <c r="R1060" s="33"/>
      <c r="S1060" s="33"/>
      <c r="T1060" s="36">
        <f>SUBTOTAL(9,T1053:T1059)</f>
        <v>786.37</v>
      </c>
    </row>
    <row r="1061" spans="1:20" s="7" customFormat="1" hidden="1" outlineLevel="3" x14ac:dyDescent="0.2">
      <c r="A1061" s="7" t="s">
        <v>92</v>
      </c>
      <c r="C1061" s="7" t="str">
        <f t="shared" si="159"/>
        <v>John</v>
      </c>
      <c r="D1061" s="7" t="str">
        <f>+D1060</f>
        <v>Chen</v>
      </c>
      <c r="E1061" s="8" t="str">
        <f>E1060</f>
        <v>SALES</v>
      </c>
      <c r="G1061" s="8" t="str">
        <f>G1060</f>
        <v>CHEN0001</v>
      </c>
      <c r="H1061" s="26"/>
      <c r="I1061" s="26"/>
      <c r="J1061" s="26"/>
      <c r="K1061" s="28">
        <f>+N1061</f>
        <v>42064</v>
      </c>
      <c r="L1061" s="26" t="str">
        <f>M1061</f>
        <v>10406</v>
      </c>
      <c r="M1061" s="26" t="str">
        <f>"10406"</f>
        <v>10406</v>
      </c>
      <c r="N1061" s="28">
        <v>42064</v>
      </c>
      <c r="O1061" s="26"/>
      <c r="P1061" s="26"/>
      <c r="Q1061" s="26"/>
      <c r="R1061" s="26"/>
      <c r="S1061" s="26"/>
      <c r="T1061" s="27"/>
    </row>
    <row r="1062" spans="1:20" s="7" customFormat="1" hidden="1" outlineLevel="3" x14ac:dyDescent="0.2">
      <c r="A1062" s="7" t="s">
        <v>92</v>
      </c>
      <c r="C1062" s="7" t="str">
        <f t="shared" si="159"/>
        <v>John</v>
      </c>
      <c r="D1062" s="7" t="str">
        <f>+D1061</f>
        <v>Chen</v>
      </c>
      <c r="E1062" s="8" t="str">
        <f>E1061</f>
        <v>SALES</v>
      </c>
      <c r="G1062" s="8" t="str">
        <f>G1061</f>
        <v>CHEN0001</v>
      </c>
      <c r="H1062" s="26"/>
      <c r="I1062" s="26"/>
      <c r="J1062" s="26"/>
      <c r="K1062" s="28">
        <f>+K1061</f>
        <v>42064</v>
      </c>
      <c r="L1062" s="26" t="str">
        <f>L1061</f>
        <v>10406</v>
      </c>
      <c r="M1062" s="26"/>
      <c r="N1062" s="26"/>
      <c r="O1062" s="26" t="str">
        <f>"""GP Direct"",""Fabrikam, Inc."",""UPR30300"",""PAYRATE"",""0.00000"",""PAYROLCD"",""401K"",""STATECD"","""",""CHEKDATE"",""3/1/2015"",""UPRTRXAM"",""1.04000"""</f>
        <v>"GP Direct","Fabrikam, Inc.","UPR30300","PAYRATE","0.00000","PAYROLCD","401K","STATECD","","CHEKDATE","3/1/2015","UPRTRXAM","1.04000"</v>
      </c>
      <c r="P1062" s="29">
        <v>0</v>
      </c>
      <c r="Q1062" s="26" t="str">
        <f>"401K"</f>
        <v>401K</v>
      </c>
      <c r="R1062" s="26"/>
      <c r="S1062" s="28">
        <v>42064</v>
      </c>
      <c r="T1062" s="29">
        <v>1.04</v>
      </c>
    </row>
    <row r="1063" spans="1:20" s="7" customFormat="1" hidden="1" outlineLevel="3" x14ac:dyDescent="0.2">
      <c r="A1063" s="7" t="s">
        <v>92</v>
      </c>
      <c r="C1063" s="7" t="str">
        <f t="shared" ref="C1063:C1067" si="161">+C1062</f>
        <v>John</v>
      </c>
      <c r="D1063" s="7" t="str">
        <f>+D1062</f>
        <v>Chen</v>
      </c>
      <c r="E1063" s="8" t="str">
        <f>E1062</f>
        <v>SALES</v>
      </c>
      <c r="G1063" s="8" t="str">
        <f>G1062</f>
        <v>CHEN0001</v>
      </c>
      <c r="H1063" s="26"/>
      <c r="I1063" s="26"/>
      <c r="J1063" s="26"/>
      <c r="K1063" s="28">
        <f>+K1062</f>
        <v>42064</v>
      </c>
      <c r="L1063" s="26" t="str">
        <f>L1062</f>
        <v>10406</v>
      </c>
      <c r="M1063" s="26"/>
      <c r="N1063" s="26"/>
      <c r="O1063" s="26" t="str">
        <f>"""GP Direct"",""Fabrikam, Inc."",""UPR30300"",""PAYRATE"",""0.00000"",""PAYROLCD"",""401K"",""STATECD"","""",""CHEKDATE"",""3/1/2015"",""UPRTRXAM"",""20.75000"""</f>
        <v>"GP Direct","Fabrikam, Inc.","UPR30300","PAYRATE","0.00000","PAYROLCD","401K","STATECD","","CHEKDATE","3/1/2015","UPRTRXAM","20.75000"</v>
      </c>
      <c r="P1063" s="29">
        <v>0</v>
      </c>
      <c r="Q1063" s="26" t="str">
        <f>"401K"</f>
        <v>401K</v>
      </c>
      <c r="R1063" s="26"/>
      <c r="S1063" s="28">
        <v>42064</v>
      </c>
      <c r="T1063" s="29">
        <v>20.75</v>
      </c>
    </row>
    <row r="1064" spans="1:20" s="7" customFormat="1" hidden="1" outlineLevel="3" x14ac:dyDescent="0.2">
      <c r="A1064" s="7" t="s">
        <v>92</v>
      </c>
      <c r="C1064" s="7" t="str">
        <f t="shared" si="161"/>
        <v>John</v>
      </c>
      <c r="D1064" s="7" t="str">
        <f>+D1063</f>
        <v>Chen</v>
      </c>
      <c r="E1064" s="8" t="str">
        <f>E1063</f>
        <v>SALES</v>
      </c>
      <c r="G1064" s="8" t="str">
        <f>G1063</f>
        <v>CHEN0001</v>
      </c>
      <c r="H1064" s="26"/>
      <c r="I1064" s="26"/>
      <c r="J1064" s="26"/>
      <c r="K1064" s="28">
        <f>+K1063</f>
        <v>42064</v>
      </c>
      <c r="L1064" s="26" t="str">
        <f>L1063</f>
        <v>10406</v>
      </c>
      <c r="M1064" s="26"/>
      <c r="N1064" s="26"/>
      <c r="O1064" s="26" t="str">
        <f>"""GP Direct"",""Fabrikam, Inc."",""UPR30300"",""PAYRATE"",""0.00000"",""PAYROLCD"",""IL"",""STATECD"","""",""CHEKDATE"",""3/1/2015"",""UPRTRXAM"",""18.72000"""</f>
        <v>"GP Direct","Fabrikam, Inc.","UPR30300","PAYRATE","0.00000","PAYROLCD","IL","STATECD","","CHEKDATE","3/1/2015","UPRTRXAM","18.72000"</v>
      </c>
      <c r="P1064" s="29">
        <v>0</v>
      </c>
      <c r="Q1064" s="26" t="str">
        <f>"IL"</f>
        <v>IL</v>
      </c>
      <c r="R1064" s="26"/>
      <c r="S1064" s="28">
        <v>42064</v>
      </c>
      <c r="T1064" s="29">
        <v>18.72</v>
      </c>
    </row>
    <row r="1065" spans="1:20" s="7" customFormat="1" hidden="1" outlineLevel="3" x14ac:dyDescent="0.2">
      <c r="A1065" s="7" t="s">
        <v>92</v>
      </c>
      <c r="C1065" s="7" t="str">
        <f t="shared" si="161"/>
        <v>John</v>
      </c>
      <c r="D1065" s="7" t="str">
        <f>+D1064</f>
        <v>Chen</v>
      </c>
      <c r="E1065" s="8" t="str">
        <f>E1064</f>
        <v>SALES</v>
      </c>
      <c r="G1065" s="8" t="str">
        <f>G1064</f>
        <v>CHEN0001</v>
      </c>
      <c r="H1065" s="26"/>
      <c r="I1065" s="26"/>
      <c r="J1065" s="26"/>
      <c r="K1065" s="28">
        <f>+K1064</f>
        <v>42064</v>
      </c>
      <c r="L1065" s="26" t="str">
        <f>L1064</f>
        <v>10406</v>
      </c>
      <c r="M1065" s="26"/>
      <c r="N1065" s="26"/>
      <c r="O1065" s="26" t="str">
        <f>"""GP Direct"",""Fabrikam, Inc."",""UPR30300"",""PAYRATE"",""0.00000"",""PAYROLCD"",""INS"",""STATECD"","""",""CHEKDATE"",""3/1/2015"",""UPRTRXAM"",""49.36000"""</f>
        <v>"GP Direct","Fabrikam, Inc.","UPR30300","PAYRATE","0.00000","PAYROLCD","INS","STATECD","","CHEKDATE","3/1/2015","UPRTRXAM","49.36000"</v>
      </c>
      <c r="P1065" s="29">
        <v>0</v>
      </c>
      <c r="Q1065" s="26" t="str">
        <f>"INS"</f>
        <v>INS</v>
      </c>
      <c r="R1065" s="26"/>
      <c r="S1065" s="28">
        <v>42064</v>
      </c>
      <c r="T1065" s="29">
        <v>49.36</v>
      </c>
    </row>
    <row r="1066" spans="1:20" s="7" customFormat="1" hidden="1" outlineLevel="3" x14ac:dyDescent="0.2">
      <c r="A1066" s="7" t="s">
        <v>92</v>
      </c>
      <c r="C1066" s="7" t="str">
        <f t="shared" si="161"/>
        <v>John</v>
      </c>
      <c r="D1066" s="7" t="str">
        <f>+D1065</f>
        <v>Chen</v>
      </c>
      <c r="E1066" s="8" t="str">
        <f>E1065</f>
        <v>SALES</v>
      </c>
      <c r="G1066" s="8" t="str">
        <f>G1065</f>
        <v>CHEN0001</v>
      </c>
      <c r="H1066" s="26"/>
      <c r="I1066" s="26"/>
      <c r="J1066" s="26"/>
      <c r="K1066" s="28">
        <f>+K1065</f>
        <v>42064</v>
      </c>
      <c r="L1066" s="26" t="str">
        <f>L1065</f>
        <v>10406</v>
      </c>
      <c r="M1066" s="26"/>
      <c r="N1066" s="26"/>
      <c r="O1066" s="26" t="str">
        <f>"""GP Direct"",""Fabrikam, Inc."",""UPR30300"",""PAYRATE"",""0.00000"",""PAYROLCD"",""MED"",""STATECD"","""",""CHEKDATE"",""3/1/2015"",""UPRTRXAM"",""5.00000"""</f>
        <v>"GP Direct","Fabrikam, Inc.","UPR30300","PAYRATE","0.00000","PAYROLCD","MED","STATECD","","CHEKDATE","3/1/2015","UPRTRXAM","5.00000"</v>
      </c>
      <c r="P1066" s="29">
        <v>0</v>
      </c>
      <c r="Q1066" s="26" t="str">
        <f>"MED"</f>
        <v>MED</v>
      </c>
      <c r="R1066" s="26"/>
      <c r="S1066" s="28">
        <v>42064</v>
      </c>
      <c r="T1066" s="29">
        <v>5</v>
      </c>
    </row>
    <row r="1067" spans="1:20" s="7" customFormat="1" hidden="1" outlineLevel="3" x14ac:dyDescent="0.2">
      <c r="A1067" s="7" t="s">
        <v>92</v>
      </c>
      <c r="C1067" s="7" t="str">
        <f t="shared" si="161"/>
        <v>John</v>
      </c>
      <c r="D1067" s="7" t="str">
        <f>+D1066</f>
        <v>Chen</v>
      </c>
      <c r="E1067" s="8" t="str">
        <f>E1066</f>
        <v>SALES</v>
      </c>
      <c r="G1067" s="8" t="str">
        <f>G1066</f>
        <v>CHEN0001</v>
      </c>
      <c r="H1067" s="26"/>
      <c r="I1067" s="26"/>
      <c r="J1067" s="26"/>
      <c r="K1067" s="28">
        <f>+K1066</f>
        <v>42064</v>
      </c>
      <c r="L1067" s="26" t="str">
        <f>L1066</f>
        <v>10406</v>
      </c>
      <c r="M1067" s="26"/>
      <c r="N1067" s="26"/>
      <c r="O1067" s="26" t="str">
        <f>"""GP Direct"",""Fabrikam, Inc."",""UPR30300"",""PAYRATE"",""16596.00000"",""PAYROLCD"",""SALY"",""STATECD"",""IL"",""CHEKDATE"",""3/1/2015"",""UPRTRXAM"",""691.50000"""</f>
        <v>"GP Direct","Fabrikam, Inc.","UPR30300","PAYRATE","16596.00000","PAYROLCD","SALY","STATECD","IL","CHEKDATE","3/1/2015","UPRTRXAM","691.50000"</v>
      </c>
      <c r="P1067" s="29">
        <v>16596</v>
      </c>
      <c r="Q1067" s="26" t="str">
        <f>"SALY"</f>
        <v>SALY</v>
      </c>
      <c r="R1067" s="26" t="str">
        <f>"IL"</f>
        <v>IL</v>
      </c>
      <c r="S1067" s="28">
        <v>42064</v>
      </c>
      <c r="T1067" s="29">
        <v>691.5</v>
      </c>
    </row>
    <row r="1068" spans="1:20" s="7" customFormat="1" hidden="1" outlineLevel="3" x14ac:dyDescent="0.2">
      <c r="A1068" s="7" t="s">
        <v>92</v>
      </c>
      <c r="C1068" s="7" t="str">
        <f>+C1062</f>
        <v>John</v>
      </c>
      <c r="D1068" s="7" t="str">
        <f>+D1062</f>
        <v>Chen</v>
      </c>
      <c r="E1068" s="8" t="str">
        <f>E1062</f>
        <v>SALES</v>
      </c>
      <c r="G1068" s="8" t="str">
        <f>G1062</f>
        <v>CHEN0001</v>
      </c>
      <c r="K1068" s="12">
        <f>+K1062</f>
        <v>42064</v>
      </c>
      <c r="L1068" s="8" t="str">
        <f>L1062</f>
        <v>10406</v>
      </c>
      <c r="O1068" s="8"/>
      <c r="T1068" s="20"/>
    </row>
    <row r="1069" spans="1:20" s="7" customFormat="1" hidden="1" outlineLevel="2" collapsed="1" x14ac:dyDescent="0.2">
      <c r="A1069" s="7" t="s">
        <v>92</v>
      </c>
      <c r="C1069" s="7" t="str">
        <f t="shared" si="159"/>
        <v>John</v>
      </c>
      <c r="D1069" s="7" t="str">
        <f>+D1068</f>
        <v>Chen</v>
      </c>
      <c r="E1069" s="8" t="str">
        <f>E1068</f>
        <v>SALES</v>
      </c>
      <c r="G1069" s="8" t="str">
        <f>G1068</f>
        <v>CHEN0001</v>
      </c>
      <c r="K1069" s="12">
        <f>+K1068</f>
        <v>42064</v>
      </c>
      <c r="L1069" s="8" t="str">
        <f>L1068</f>
        <v>10406</v>
      </c>
      <c r="M1069" s="33" t="str">
        <f>"Total for " &amp; $L1069</f>
        <v>Total for 10406</v>
      </c>
      <c r="N1069" s="34">
        <f>+K1069</f>
        <v>42064</v>
      </c>
      <c r="O1069" s="35"/>
      <c r="P1069" s="33"/>
      <c r="Q1069" s="33"/>
      <c r="R1069" s="33"/>
      <c r="S1069" s="33"/>
      <c r="T1069" s="36">
        <f>SUBTOTAL(9,T1062:T1068)</f>
        <v>786.37</v>
      </c>
    </row>
    <row r="1070" spans="1:20" s="7" customFormat="1" hidden="1" outlineLevel="3" x14ac:dyDescent="0.2">
      <c r="A1070" s="7" t="s">
        <v>92</v>
      </c>
      <c r="C1070" s="7" t="str">
        <f t="shared" si="159"/>
        <v>John</v>
      </c>
      <c r="D1070" s="7" t="str">
        <f>+D1069</f>
        <v>Chen</v>
      </c>
      <c r="E1070" s="8" t="str">
        <f>E1069</f>
        <v>SALES</v>
      </c>
      <c r="G1070" s="8" t="str">
        <f>G1069</f>
        <v>CHEN0001</v>
      </c>
      <c r="H1070" s="26"/>
      <c r="I1070" s="26"/>
      <c r="J1070" s="26"/>
      <c r="K1070" s="28">
        <f>+N1070</f>
        <v>42095</v>
      </c>
      <c r="L1070" s="26" t="str">
        <f>M1070</f>
        <v>10431</v>
      </c>
      <c r="M1070" s="26" t="str">
        <f>"10431"</f>
        <v>10431</v>
      </c>
      <c r="N1070" s="28">
        <v>42095</v>
      </c>
      <c r="O1070" s="26"/>
      <c r="P1070" s="26"/>
      <c r="Q1070" s="26"/>
      <c r="R1070" s="26"/>
      <c r="S1070" s="26"/>
      <c r="T1070" s="27"/>
    </row>
    <row r="1071" spans="1:20" s="7" customFormat="1" hidden="1" outlineLevel="3" x14ac:dyDescent="0.2">
      <c r="A1071" s="7" t="s">
        <v>92</v>
      </c>
      <c r="C1071" s="7" t="str">
        <f t="shared" si="159"/>
        <v>John</v>
      </c>
      <c r="D1071" s="7" t="str">
        <f>+D1070</f>
        <v>Chen</v>
      </c>
      <c r="E1071" s="8" t="str">
        <f>E1070</f>
        <v>SALES</v>
      </c>
      <c r="G1071" s="8" t="str">
        <f>G1070</f>
        <v>CHEN0001</v>
      </c>
      <c r="H1071" s="26"/>
      <c r="I1071" s="26"/>
      <c r="J1071" s="26"/>
      <c r="K1071" s="28">
        <f>+K1070</f>
        <v>42095</v>
      </c>
      <c r="L1071" s="26" t="str">
        <f>L1070</f>
        <v>10431</v>
      </c>
      <c r="M1071" s="26"/>
      <c r="N1071" s="26"/>
      <c r="O1071" s="26" t="str">
        <f>"""GP Direct"",""Fabrikam, Inc."",""UPR30300"",""PAYRATE"",""0.00000"",""PAYROLCD"",""401K"",""STATECD"","""",""CHEKDATE"",""4/1/2015"",""UPRTRXAM"",""0.85000"""</f>
        <v>"GP Direct","Fabrikam, Inc.","UPR30300","PAYRATE","0.00000","PAYROLCD","401K","STATECD","","CHEKDATE","4/1/2015","UPRTRXAM","0.85000"</v>
      </c>
      <c r="P1071" s="29">
        <v>0</v>
      </c>
      <c r="Q1071" s="26" t="str">
        <f>"401K"</f>
        <v>401K</v>
      </c>
      <c r="R1071" s="26"/>
      <c r="S1071" s="28">
        <v>42095</v>
      </c>
      <c r="T1071" s="29">
        <v>0.85</v>
      </c>
    </row>
    <row r="1072" spans="1:20" s="7" customFormat="1" hidden="1" outlineLevel="3" x14ac:dyDescent="0.2">
      <c r="A1072" s="7" t="s">
        <v>92</v>
      </c>
      <c r="C1072" s="7" t="str">
        <f t="shared" ref="C1072:C1077" si="162">+C1071</f>
        <v>John</v>
      </c>
      <c r="D1072" s="7" t="str">
        <f>+D1071</f>
        <v>Chen</v>
      </c>
      <c r="E1072" s="8" t="str">
        <f>E1071</f>
        <v>SALES</v>
      </c>
      <c r="G1072" s="8" t="str">
        <f>G1071</f>
        <v>CHEN0001</v>
      </c>
      <c r="H1072" s="26"/>
      <c r="I1072" s="26"/>
      <c r="J1072" s="26"/>
      <c r="K1072" s="28">
        <f>+K1071</f>
        <v>42095</v>
      </c>
      <c r="L1072" s="26" t="str">
        <f>L1071</f>
        <v>10431</v>
      </c>
      <c r="M1072" s="26"/>
      <c r="N1072" s="26"/>
      <c r="O1072" s="26" t="str">
        <f>"""GP Direct"",""Fabrikam, Inc."",""UPR30300"",""PAYRATE"",""0.00000"",""PAYROLCD"",""401K"",""STATECD"","""",""CHEKDATE"",""4/1/2015"",""UPRTRXAM"",""16.92000"""</f>
        <v>"GP Direct","Fabrikam, Inc.","UPR30300","PAYRATE","0.00000","PAYROLCD","401K","STATECD","","CHEKDATE","4/1/2015","UPRTRXAM","16.92000"</v>
      </c>
      <c r="P1072" s="29">
        <v>0</v>
      </c>
      <c r="Q1072" s="26" t="str">
        <f>"401K"</f>
        <v>401K</v>
      </c>
      <c r="R1072" s="26"/>
      <c r="S1072" s="28">
        <v>42095</v>
      </c>
      <c r="T1072" s="29">
        <v>16.920000000000002</v>
      </c>
    </row>
    <row r="1073" spans="1:20" s="7" customFormat="1" hidden="1" outlineLevel="3" x14ac:dyDescent="0.2">
      <c r="A1073" s="7" t="s">
        <v>92</v>
      </c>
      <c r="C1073" s="7" t="str">
        <f t="shared" si="162"/>
        <v>John</v>
      </c>
      <c r="D1073" s="7" t="str">
        <f>+D1072</f>
        <v>Chen</v>
      </c>
      <c r="E1073" s="8" t="str">
        <f>E1072</f>
        <v>SALES</v>
      </c>
      <c r="G1073" s="8" t="str">
        <f>G1072</f>
        <v>CHEN0001</v>
      </c>
      <c r="H1073" s="26"/>
      <c r="I1073" s="26"/>
      <c r="J1073" s="26"/>
      <c r="K1073" s="28">
        <f>+K1072</f>
        <v>42095</v>
      </c>
      <c r="L1073" s="26" t="str">
        <f>L1072</f>
        <v>10431</v>
      </c>
      <c r="M1073" s="26"/>
      <c r="N1073" s="26"/>
      <c r="O1073" s="26" t="str">
        <f>"""GP Direct"",""Fabrikam, Inc."",""UPR30300"",""PAYRATE"",""0.00000"",""PAYROLCD"",""HOLI"",""STATECD"",""IL"",""CHEKDATE"",""4/1/2015"",""UPRTRXAM"",""0.00000"""</f>
        <v>"GP Direct","Fabrikam, Inc.","UPR30300","PAYRATE","0.00000","PAYROLCD","HOLI","STATECD","IL","CHEKDATE","4/1/2015","UPRTRXAM","0.00000"</v>
      </c>
      <c r="P1073" s="29">
        <v>0</v>
      </c>
      <c r="Q1073" s="26" t="str">
        <f>"HOLI"</f>
        <v>HOLI</v>
      </c>
      <c r="R1073" s="26" t="str">
        <f>"IL"</f>
        <v>IL</v>
      </c>
      <c r="S1073" s="28">
        <v>42095</v>
      </c>
      <c r="T1073" s="29">
        <v>0</v>
      </c>
    </row>
    <row r="1074" spans="1:20" s="7" customFormat="1" hidden="1" outlineLevel="3" x14ac:dyDescent="0.2">
      <c r="A1074" s="7" t="s">
        <v>92</v>
      </c>
      <c r="C1074" s="7" t="str">
        <f t="shared" si="162"/>
        <v>John</v>
      </c>
      <c r="D1074" s="7" t="str">
        <f>+D1073</f>
        <v>Chen</v>
      </c>
      <c r="E1074" s="8" t="str">
        <f>E1073</f>
        <v>SALES</v>
      </c>
      <c r="G1074" s="8" t="str">
        <f>G1073</f>
        <v>CHEN0001</v>
      </c>
      <c r="H1074" s="26"/>
      <c r="I1074" s="26"/>
      <c r="J1074" s="26"/>
      <c r="K1074" s="28">
        <f>+K1073</f>
        <v>42095</v>
      </c>
      <c r="L1074" s="26" t="str">
        <f>L1073</f>
        <v>10431</v>
      </c>
      <c r="M1074" s="26"/>
      <c r="N1074" s="26"/>
      <c r="O1074" s="26" t="str">
        <f>"""GP Direct"",""Fabrikam, Inc."",""UPR30300"",""PAYRATE"",""0.00000"",""PAYROLCD"",""IL"",""STATECD"","""",""CHEKDATE"",""4/1/2015"",""UPRTRXAM"",""15.01000"""</f>
        <v>"GP Direct","Fabrikam, Inc.","UPR30300","PAYRATE","0.00000","PAYROLCD","IL","STATECD","","CHEKDATE","4/1/2015","UPRTRXAM","15.01000"</v>
      </c>
      <c r="P1074" s="29">
        <v>0</v>
      </c>
      <c r="Q1074" s="26" t="str">
        <f>"IL"</f>
        <v>IL</v>
      </c>
      <c r="R1074" s="26"/>
      <c r="S1074" s="28">
        <v>42095</v>
      </c>
      <c r="T1074" s="29">
        <v>15.01</v>
      </c>
    </row>
    <row r="1075" spans="1:20" s="7" customFormat="1" hidden="1" outlineLevel="3" x14ac:dyDescent="0.2">
      <c r="A1075" s="7" t="s">
        <v>92</v>
      </c>
      <c r="C1075" s="7" t="str">
        <f t="shared" si="162"/>
        <v>John</v>
      </c>
      <c r="D1075" s="7" t="str">
        <f>+D1074</f>
        <v>Chen</v>
      </c>
      <c r="E1075" s="8" t="str">
        <f>E1074</f>
        <v>SALES</v>
      </c>
      <c r="G1075" s="8" t="str">
        <f>G1074</f>
        <v>CHEN0001</v>
      </c>
      <c r="H1075" s="26"/>
      <c r="I1075" s="26"/>
      <c r="J1075" s="26"/>
      <c r="K1075" s="28">
        <f>+K1074</f>
        <v>42095</v>
      </c>
      <c r="L1075" s="26" t="str">
        <f>L1074</f>
        <v>10431</v>
      </c>
      <c r="M1075" s="26"/>
      <c r="N1075" s="26"/>
      <c r="O1075" s="26" t="str">
        <f>"""GP Direct"",""Fabrikam, Inc."",""UPR30300"",""PAYRATE"",""0.00000"",""PAYROLCD"",""INS"",""STATECD"","""",""CHEKDATE"",""4/1/2015"",""UPRTRXAM"",""49.36000"""</f>
        <v>"GP Direct","Fabrikam, Inc.","UPR30300","PAYRATE","0.00000","PAYROLCD","INS","STATECD","","CHEKDATE","4/1/2015","UPRTRXAM","49.36000"</v>
      </c>
      <c r="P1075" s="29">
        <v>0</v>
      </c>
      <c r="Q1075" s="26" t="str">
        <f>"INS"</f>
        <v>INS</v>
      </c>
      <c r="R1075" s="26"/>
      <c r="S1075" s="28">
        <v>42095</v>
      </c>
      <c r="T1075" s="29">
        <v>49.36</v>
      </c>
    </row>
    <row r="1076" spans="1:20" s="7" customFormat="1" hidden="1" outlineLevel="3" x14ac:dyDescent="0.2">
      <c r="A1076" s="7" t="s">
        <v>92</v>
      </c>
      <c r="C1076" s="7" t="str">
        <f t="shared" si="162"/>
        <v>John</v>
      </c>
      <c r="D1076" s="7" t="str">
        <f>+D1075</f>
        <v>Chen</v>
      </c>
      <c r="E1076" s="8" t="str">
        <f>E1075</f>
        <v>SALES</v>
      </c>
      <c r="G1076" s="8" t="str">
        <f>G1075</f>
        <v>CHEN0001</v>
      </c>
      <c r="H1076" s="26"/>
      <c r="I1076" s="26"/>
      <c r="J1076" s="26"/>
      <c r="K1076" s="28">
        <f>+K1075</f>
        <v>42095</v>
      </c>
      <c r="L1076" s="26" t="str">
        <f>L1075</f>
        <v>10431</v>
      </c>
      <c r="M1076" s="26"/>
      <c r="N1076" s="26"/>
      <c r="O1076" s="26" t="str">
        <f>"""GP Direct"",""Fabrikam, Inc."",""UPR30300"",""PAYRATE"",""0.00000"",""PAYROLCD"",""MED"",""STATECD"","""",""CHEKDATE"",""4/1/2015"",""UPRTRXAM"",""5.00000"""</f>
        <v>"GP Direct","Fabrikam, Inc.","UPR30300","PAYRATE","0.00000","PAYROLCD","MED","STATECD","","CHEKDATE","4/1/2015","UPRTRXAM","5.00000"</v>
      </c>
      <c r="P1076" s="29">
        <v>0</v>
      </c>
      <c r="Q1076" s="26" t="str">
        <f>"MED"</f>
        <v>MED</v>
      </c>
      <c r="R1076" s="26"/>
      <c r="S1076" s="28">
        <v>42095</v>
      </c>
      <c r="T1076" s="29">
        <v>5</v>
      </c>
    </row>
    <row r="1077" spans="1:20" s="7" customFormat="1" hidden="1" outlineLevel="3" x14ac:dyDescent="0.2">
      <c r="A1077" s="7" t="s">
        <v>92</v>
      </c>
      <c r="C1077" s="7" t="str">
        <f t="shared" si="162"/>
        <v>John</v>
      </c>
      <c r="D1077" s="7" t="str">
        <f>+D1076</f>
        <v>Chen</v>
      </c>
      <c r="E1077" s="8" t="str">
        <f>E1076</f>
        <v>SALES</v>
      </c>
      <c r="G1077" s="8" t="str">
        <f>G1076</f>
        <v>CHEN0001</v>
      </c>
      <c r="H1077" s="26"/>
      <c r="I1077" s="26"/>
      <c r="J1077" s="26"/>
      <c r="K1077" s="28">
        <f>+K1076</f>
        <v>42095</v>
      </c>
      <c r="L1077" s="26" t="str">
        <f>L1076</f>
        <v>10431</v>
      </c>
      <c r="M1077" s="26"/>
      <c r="N1077" s="26"/>
      <c r="O1077" s="26" t="str">
        <f>"""GP Direct"",""Fabrikam, Inc."",""UPR30300"",""PAYRATE"",""7.97885"",""PAYROLCD"",""SALY"",""STATECD"",""IL"",""CHEKDATE"",""4/1/2015"",""UPRTRXAM"",""563.84000"""</f>
        <v>"GP Direct","Fabrikam, Inc.","UPR30300","PAYRATE","7.97885","PAYROLCD","SALY","STATECD","IL","CHEKDATE","4/1/2015","UPRTRXAM","563.84000"</v>
      </c>
      <c r="P1077" s="29">
        <v>7.9789000000000003</v>
      </c>
      <c r="Q1077" s="26" t="str">
        <f>"SALY"</f>
        <v>SALY</v>
      </c>
      <c r="R1077" s="26" t="str">
        <f>"IL"</f>
        <v>IL</v>
      </c>
      <c r="S1077" s="28">
        <v>42095</v>
      </c>
      <c r="T1077" s="29">
        <v>563.84</v>
      </c>
    </row>
    <row r="1078" spans="1:20" s="7" customFormat="1" hidden="1" outlineLevel="3" x14ac:dyDescent="0.2">
      <c r="A1078" s="7" t="s">
        <v>92</v>
      </c>
      <c r="C1078" s="7" t="str">
        <f>+C1071</f>
        <v>John</v>
      </c>
      <c r="D1078" s="7" t="str">
        <f>+D1071</f>
        <v>Chen</v>
      </c>
      <c r="E1078" s="8" t="str">
        <f>E1071</f>
        <v>SALES</v>
      </c>
      <c r="G1078" s="8" t="str">
        <f>G1071</f>
        <v>CHEN0001</v>
      </c>
      <c r="K1078" s="12">
        <f>+K1071</f>
        <v>42095</v>
      </c>
      <c r="L1078" s="8" t="str">
        <f>L1071</f>
        <v>10431</v>
      </c>
      <c r="O1078" s="8"/>
      <c r="T1078" s="20"/>
    </row>
    <row r="1079" spans="1:20" s="7" customFormat="1" hidden="1" outlineLevel="2" collapsed="1" x14ac:dyDescent="0.2">
      <c r="A1079" s="7" t="s">
        <v>92</v>
      </c>
      <c r="C1079" s="7" t="str">
        <f t="shared" si="159"/>
        <v>John</v>
      </c>
      <c r="D1079" s="7" t="str">
        <f>+D1078</f>
        <v>Chen</v>
      </c>
      <c r="E1079" s="8" t="str">
        <f>E1078</f>
        <v>SALES</v>
      </c>
      <c r="G1079" s="8" t="str">
        <f>G1078</f>
        <v>CHEN0001</v>
      </c>
      <c r="K1079" s="12">
        <f>+K1078</f>
        <v>42095</v>
      </c>
      <c r="L1079" s="8" t="str">
        <f>L1078</f>
        <v>10431</v>
      </c>
      <c r="M1079" s="33" t="str">
        <f>"Total for " &amp; $L1079</f>
        <v>Total for 10431</v>
      </c>
      <c r="N1079" s="34">
        <f>+K1079</f>
        <v>42095</v>
      </c>
      <c r="O1079" s="35"/>
      <c r="P1079" s="33"/>
      <c r="Q1079" s="33"/>
      <c r="R1079" s="33"/>
      <c r="S1079" s="33"/>
      <c r="T1079" s="36">
        <f>SUBTOTAL(9,T1071:T1078)</f>
        <v>650.98</v>
      </c>
    </row>
    <row r="1080" spans="1:20" s="7" customFormat="1" hidden="1" outlineLevel="3" x14ac:dyDescent="0.2">
      <c r="A1080" s="7" t="s">
        <v>92</v>
      </c>
      <c r="C1080" s="7" t="str">
        <f t="shared" si="159"/>
        <v>John</v>
      </c>
      <c r="D1080" s="7" t="str">
        <f>+D1079</f>
        <v>Chen</v>
      </c>
      <c r="E1080" s="8" t="str">
        <f>E1079</f>
        <v>SALES</v>
      </c>
      <c r="G1080" s="8" t="str">
        <f>G1079</f>
        <v>CHEN0001</v>
      </c>
      <c r="H1080" s="26"/>
      <c r="I1080" s="26"/>
      <c r="J1080" s="26"/>
      <c r="K1080" s="28">
        <f>+N1080</f>
        <v>42125</v>
      </c>
      <c r="L1080" s="26" t="str">
        <f>M1080</f>
        <v>10456</v>
      </c>
      <c r="M1080" s="26" t="str">
        <f>"10456"</f>
        <v>10456</v>
      </c>
      <c r="N1080" s="28">
        <v>42125</v>
      </c>
      <c r="O1080" s="26"/>
      <c r="P1080" s="26"/>
      <c r="Q1080" s="26"/>
      <c r="R1080" s="26"/>
      <c r="S1080" s="26"/>
      <c r="T1080" s="27"/>
    </row>
    <row r="1081" spans="1:20" s="7" customFormat="1" hidden="1" outlineLevel="3" x14ac:dyDescent="0.2">
      <c r="A1081" s="7" t="s">
        <v>92</v>
      </c>
      <c r="C1081" s="7" t="str">
        <f t="shared" si="159"/>
        <v>John</v>
      </c>
      <c r="D1081" s="7" t="str">
        <f>+D1080</f>
        <v>Chen</v>
      </c>
      <c r="E1081" s="8" t="str">
        <f>E1080</f>
        <v>SALES</v>
      </c>
      <c r="G1081" s="8" t="str">
        <f>G1080</f>
        <v>CHEN0001</v>
      </c>
      <c r="H1081" s="26"/>
      <c r="I1081" s="26"/>
      <c r="J1081" s="26"/>
      <c r="K1081" s="28">
        <f>+K1080</f>
        <v>42125</v>
      </c>
      <c r="L1081" s="26" t="str">
        <f>L1080</f>
        <v>10456</v>
      </c>
      <c r="M1081" s="26"/>
      <c r="N1081" s="26"/>
      <c r="O1081" s="26" t="str">
        <f>"""GP Direct"",""Fabrikam, Inc."",""UPR30300"",""PAYRATE"",""0.00000"",""PAYROLCD"",""401K"",""STATECD"","""",""CHEKDATE"",""5/1/2015"",""UPRTRXAM"",""1.04000"""</f>
        <v>"GP Direct","Fabrikam, Inc.","UPR30300","PAYRATE","0.00000","PAYROLCD","401K","STATECD","","CHEKDATE","5/1/2015","UPRTRXAM","1.04000"</v>
      </c>
      <c r="P1081" s="29">
        <v>0</v>
      </c>
      <c r="Q1081" s="26" t="str">
        <f>"401K"</f>
        <v>401K</v>
      </c>
      <c r="R1081" s="26"/>
      <c r="S1081" s="28">
        <v>42125</v>
      </c>
      <c r="T1081" s="29">
        <v>1.04</v>
      </c>
    </row>
    <row r="1082" spans="1:20" s="7" customFormat="1" hidden="1" outlineLevel="3" x14ac:dyDescent="0.2">
      <c r="A1082" s="7" t="s">
        <v>92</v>
      </c>
      <c r="C1082" s="7" t="str">
        <f t="shared" ref="C1082:C1086" si="163">+C1081</f>
        <v>John</v>
      </c>
      <c r="D1082" s="7" t="str">
        <f>+D1081</f>
        <v>Chen</v>
      </c>
      <c r="E1082" s="8" t="str">
        <f>E1081</f>
        <v>SALES</v>
      </c>
      <c r="G1082" s="8" t="str">
        <f>G1081</f>
        <v>CHEN0001</v>
      </c>
      <c r="H1082" s="26"/>
      <c r="I1082" s="26"/>
      <c r="J1082" s="26"/>
      <c r="K1082" s="28">
        <f>+K1081</f>
        <v>42125</v>
      </c>
      <c r="L1082" s="26" t="str">
        <f>L1081</f>
        <v>10456</v>
      </c>
      <c r="M1082" s="26"/>
      <c r="N1082" s="26"/>
      <c r="O1082" s="26" t="str">
        <f>"""GP Direct"",""Fabrikam, Inc."",""UPR30300"",""PAYRATE"",""0.00000"",""PAYROLCD"",""401K"",""STATECD"","""",""CHEKDATE"",""5/1/2015"",""UPRTRXAM"",""20.75000"""</f>
        <v>"GP Direct","Fabrikam, Inc.","UPR30300","PAYRATE","0.00000","PAYROLCD","401K","STATECD","","CHEKDATE","5/1/2015","UPRTRXAM","20.75000"</v>
      </c>
      <c r="P1082" s="29">
        <v>0</v>
      </c>
      <c r="Q1082" s="26" t="str">
        <f>"401K"</f>
        <v>401K</v>
      </c>
      <c r="R1082" s="26"/>
      <c r="S1082" s="28">
        <v>42125</v>
      </c>
      <c r="T1082" s="29">
        <v>20.75</v>
      </c>
    </row>
    <row r="1083" spans="1:20" s="7" customFormat="1" hidden="1" outlineLevel="3" x14ac:dyDescent="0.2">
      <c r="A1083" s="7" t="s">
        <v>92</v>
      </c>
      <c r="C1083" s="7" t="str">
        <f t="shared" si="163"/>
        <v>John</v>
      </c>
      <c r="D1083" s="7" t="str">
        <f>+D1082</f>
        <v>Chen</v>
      </c>
      <c r="E1083" s="8" t="str">
        <f>E1082</f>
        <v>SALES</v>
      </c>
      <c r="G1083" s="8" t="str">
        <f>G1082</f>
        <v>CHEN0001</v>
      </c>
      <c r="H1083" s="26"/>
      <c r="I1083" s="26"/>
      <c r="J1083" s="26"/>
      <c r="K1083" s="28">
        <f>+K1082</f>
        <v>42125</v>
      </c>
      <c r="L1083" s="26" t="str">
        <f>L1082</f>
        <v>10456</v>
      </c>
      <c r="M1083" s="26"/>
      <c r="N1083" s="26"/>
      <c r="O1083" s="26" t="str">
        <f>"""GP Direct"",""Fabrikam, Inc."",""UPR30300"",""PAYRATE"",""0.00000"",""PAYROLCD"",""IL"",""STATECD"","""",""CHEKDATE"",""5/1/2015"",""UPRTRXAM"",""18.72000"""</f>
        <v>"GP Direct","Fabrikam, Inc.","UPR30300","PAYRATE","0.00000","PAYROLCD","IL","STATECD","","CHEKDATE","5/1/2015","UPRTRXAM","18.72000"</v>
      </c>
      <c r="P1083" s="29">
        <v>0</v>
      </c>
      <c r="Q1083" s="26" t="str">
        <f>"IL"</f>
        <v>IL</v>
      </c>
      <c r="R1083" s="26"/>
      <c r="S1083" s="28">
        <v>42125</v>
      </c>
      <c r="T1083" s="29">
        <v>18.72</v>
      </c>
    </row>
    <row r="1084" spans="1:20" s="7" customFormat="1" hidden="1" outlineLevel="3" x14ac:dyDescent="0.2">
      <c r="A1084" s="7" t="s">
        <v>92</v>
      </c>
      <c r="C1084" s="7" t="str">
        <f t="shared" si="163"/>
        <v>John</v>
      </c>
      <c r="D1084" s="7" t="str">
        <f>+D1083</f>
        <v>Chen</v>
      </c>
      <c r="E1084" s="8" t="str">
        <f>E1083</f>
        <v>SALES</v>
      </c>
      <c r="G1084" s="8" t="str">
        <f>G1083</f>
        <v>CHEN0001</v>
      </c>
      <c r="H1084" s="26"/>
      <c r="I1084" s="26"/>
      <c r="J1084" s="26"/>
      <c r="K1084" s="28">
        <f>+K1083</f>
        <v>42125</v>
      </c>
      <c r="L1084" s="26" t="str">
        <f>L1083</f>
        <v>10456</v>
      </c>
      <c r="M1084" s="26"/>
      <c r="N1084" s="26"/>
      <c r="O1084" s="26" t="str">
        <f>"""GP Direct"",""Fabrikam, Inc."",""UPR30300"",""PAYRATE"",""0.00000"",""PAYROLCD"",""INS"",""STATECD"","""",""CHEKDATE"",""5/1/2015"",""UPRTRXAM"",""49.36000"""</f>
        <v>"GP Direct","Fabrikam, Inc.","UPR30300","PAYRATE","0.00000","PAYROLCD","INS","STATECD","","CHEKDATE","5/1/2015","UPRTRXAM","49.36000"</v>
      </c>
      <c r="P1084" s="29">
        <v>0</v>
      </c>
      <c r="Q1084" s="26" t="str">
        <f>"INS"</f>
        <v>INS</v>
      </c>
      <c r="R1084" s="26"/>
      <c r="S1084" s="28">
        <v>42125</v>
      </c>
      <c r="T1084" s="29">
        <v>49.36</v>
      </c>
    </row>
    <row r="1085" spans="1:20" s="7" customFormat="1" hidden="1" outlineLevel="3" x14ac:dyDescent="0.2">
      <c r="A1085" s="7" t="s">
        <v>92</v>
      </c>
      <c r="C1085" s="7" t="str">
        <f t="shared" si="163"/>
        <v>John</v>
      </c>
      <c r="D1085" s="7" t="str">
        <f>+D1084</f>
        <v>Chen</v>
      </c>
      <c r="E1085" s="8" t="str">
        <f>E1084</f>
        <v>SALES</v>
      </c>
      <c r="G1085" s="8" t="str">
        <f>G1084</f>
        <v>CHEN0001</v>
      </c>
      <c r="H1085" s="26"/>
      <c r="I1085" s="26"/>
      <c r="J1085" s="26"/>
      <c r="K1085" s="28">
        <f>+K1084</f>
        <v>42125</v>
      </c>
      <c r="L1085" s="26" t="str">
        <f>L1084</f>
        <v>10456</v>
      </c>
      <c r="M1085" s="26"/>
      <c r="N1085" s="26"/>
      <c r="O1085" s="26" t="str">
        <f>"""GP Direct"",""Fabrikam, Inc."",""UPR30300"",""PAYRATE"",""0.00000"",""PAYROLCD"",""MED"",""STATECD"","""",""CHEKDATE"",""5/1/2015"",""UPRTRXAM"",""5.00000"""</f>
        <v>"GP Direct","Fabrikam, Inc.","UPR30300","PAYRATE","0.00000","PAYROLCD","MED","STATECD","","CHEKDATE","5/1/2015","UPRTRXAM","5.00000"</v>
      </c>
      <c r="P1085" s="29">
        <v>0</v>
      </c>
      <c r="Q1085" s="26" t="str">
        <f>"MED"</f>
        <v>MED</v>
      </c>
      <c r="R1085" s="26"/>
      <c r="S1085" s="28">
        <v>42125</v>
      </c>
      <c r="T1085" s="29">
        <v>5</v>
      </c>
    </row>
    <row r="1086" spans="1:20" s="7" customFormat="1" hidden="1" outlineLevel="3" x14ac:dyDescent="0.2">
      <c r="A1086" s="7" t="s">
        <v>92</v>
      </c>
      <c r="C1086" s="7" t="str">
        <f t="shared" si="163"/>
        <v>John</v>
      </c>
      <c r="D1086" s="7" t="str">
        <f>+D1085</f>
        <v>Chen</v>
      </c>
      <c r="E1086" s="8" t="str">
        <f>E1085</f>
        <v>SALES</v>
      </c>
      <c r="G1086" s="8" t="str">
        <f>G1085</f>
        <v>CHEN0001</v>
      </c>
      <c r="H1086" s="26"/>
      <c r="I1086" s="26"/>
      <c r="J1086" s="26"/>
      <c r="K1086" s="28">
        <f>+K1085</f>
        <v>42125</v>
      </c>
      <c r="L1086" s="26" t="str">
        <f>L1085</f>
        <v>10456</v>
      </c>
      <c r="M1086" s="26"/>
      <c r="N1086" s="26"/>
      <c r="O1086" s="26" t="str">
        <f>"""GP Direct"",""Fabrikam, Inc."",""UPR30300"",""PAYRATE"",""16596.00000"",""PAYROLCD"",""SALY"",""STATECD"",""IL"",""CHEKDATE"",""5/1/2015"",""UPRTRXAM"",""691.50000"""</f>
        <v>"GP Direct","Fabrikam, Inc.","UPR30300","PAYRATE","16596.00000","PAYROLCD","SALY","STATECD","IL","CHEKDATE","5/1/2015","UPRTRXAM","691.50000"</v>
      </c>
      <c r="P1086" s="29">
        <v>16596</v>
      </c>
      <c r="Q1086" s="26" t="str">
        <f>"SALY"</f>
        <v>SALY</v>
      </c>
      <c r="R1086" s="26" t="str">
        <f>"IL"</f>
        <v>IL</v>
      </c>
      <c r="S1086" s="28">
        <v>42125</v>
      </c>
      <c r="T1086" s="29">
        <v>691.5</v>
      </c>
    </row>
    <row r="1087" spans="1:20" s="7" customFormat="1" hidden="1" outlineLevel="3" x14ac:dyDescent="0.2">
      <c r="A1087" s="7" t="s">
        <v>92</v>
      </c>
      <c r="C1087" s="7" t="str">
        <f>+C1081</f>
        <v>John</v>
      </c>
      <c r="D1087" s="7" t="str">
        <f>+D1081</f>
        <v>Chen</v>
      </c>
      <c r="E1087" s="8" t="str">
        <f>E1081</f>
        <v>SALES</v>
      </c>
      <c r="G1087" s="8" t="str">
        <f>G1081</f>
        <v>CHEN0001</v>
      </c>
      <c r="K1087" s="12">
        <f>+K1081</f>
        <v>42125</v>
      </c>
      <c r="L1087" s="8" t="str">
        <f>L1081</f>
        <v>10456</v>
      </c>
      <c r="O1087" s="8"/>
      <c r="T1087" s="20"/>
    </row>
    <row r="1088" spans="1:20" s="7" customFormat="1" hidden="1" outlineLevel="2" collapsed="1" x14ac:dyDescent="0.2">
      <c r="A1088" s="7" t="s">
        <v>92</v>
      </c>
      <c r="C1088" s="7" t="str">
        <f t="shared" si="159"/>
        <v>John</v>
      </c>
      <c r="D1088" s="7" t="str">
        <f>+D1087</f>
        <v>Chen</v>
      </c>
      <c r="E1088" s="8" t="str">
        <f>E1087</f>
        <v>SALES</v>
      </c>
      <c r="G1088" s="8" t="str">
        <f>G1087</f>
        <v>CHEN0001</v>
      </c>
      <c r="K1088" s="12">
        <f>+K1087</f>
        <v>42125</v>
      </c>
      <c r="L1088" s="8" t="str">
        <f>L1087</f>
        <v>10456</v>
      </c>
      <c r="M1088" s="33" t="str">
        <f>"Total for " &amp; $L1088</f>
        <v>Total for 10456</v>
      </c>
      <c r="N1088" s="34">
        <f>+K1088</f>
        <v>42125</v>
      </c>
      <c r="O1088" s="35"/>
      <c r="P1088" s="33"/>
      <c r="Q1088" s="33"/>
      <c r="R1088" s="33"/>
      <c r="S1088" s="33"/>
      <c r="T1088" s="36">
        <f>SUBTOTAL(9,T1081:T1087)</f>
        <v>786.37</v>
      </c>
    </row>
    <row r="1089" spans="1:20" s="7" customFormat="1" hidden="1" outlineLevel="3" x14ac:dyDescent="0.2">
      <c r="A1089" s="7" t="s">
        <v>92</v>
      </c>
      <c r="C1089" s="7" t="str">
        <f t="shared" si="159"/>
        <v>John</v>
      </c>
      <c r="D1089" s="7" t="str">
        <f>+D1088</f>
        <v>Chen</v>
      </c>
      <c r="E1089" s="8" t="str">
        <f>E1088</f>
        <v>SALES</v>
      </c>
      <c r="G1089" s="8" t="str">
        <f>G1088</f>
        <v>CHEN0001</v>
      </c>
      <c r="H1089" s="26"/>
      <c r="I1089" s="26"/>
      <c r="J1089" s="26"/>
      <c r="K1089" s="28">
        <f>+N1089</f>
        <v>42156</v>
      </c>
      <c r="L1089" s="26" t="str">
        <f>M1089</f>
        <v>10481</v>
      </c>
      <c r="M1089" s="26" t="str">
        <f>"10481"</f>
        <v>10481</v>
      </c>
      <c r="N1089" s="28">
        <v>42156</v>
      </c>
      <c r="O1089" s="26"/>
      <c r="P1089" s="26"/>
      <c r="Q1089" s="26"/>
      <c r="R1089" s="26"/>
      <c r="S1089" s="26"/>
      <c r="T1089" s="27"/>
    </row>
    <row r="1090" spans="1:20" s="7" customFormat="1" hidden="1" outlineLevel="3" x14ac:dyDescent="0.2">
      <c r="A1090" s="7" t="s">
        <v>92</v>
      </c>
      <c r="C1090" s="7" t="str">
        <f t="shared" si="159"/>
        <v>John</v>
      </c>
      <c r="D1090" s="7" t="str">
        <f>+D1089</f>
        <v>Chen</v>
      </c>
      <c r="E1090" s="8" t="str">
        <f>E1089</f>
        <v>SALES</v>
      </c>
      <c r="G1090" s="8" t="str">
        <f>G1089</f>
        <v>CHEN0001</v>
      </c>
      <c r="H1090" s="26"/>
      <c r="I1090" s="26"/>
      <c r="J1090" s="26"/>
      <c r="K1090" s="28">
        <f>+K1089</f>
        <v>42156</v>
      </c>
      <c r="L1090" s="26" t="str">
        <f>L1089</f>
        <v>10481</v>
      </c>
      <c r="M1090" s="26"/>
      <c r="N1090" s="26"/>
      <c r="O1090" s="26" t="str">
        <f>"""GP Direct"",""Fabrikam, Inc."",""UPR30300"",""PAYRATE"",""0.00000"",""PAYROLCD"",""401K"",""STATECD"","""",""CHEKDATE"",""6/1/2015"",""UPRTRXAM"",""1.04000"""</f>
        <v>"GP Direct","Fabrikam, Inc.","UPR30300","PAYRATE","0.00000","PAYROLCD","401K","STATECD","","CHEKDATE","6/1/2015","UPRTRXAM","1.04000"</v>
      </c>
      <c r="P1090" s="29">
        <v>0</v>
      </c>
      <c r="Q1090" s="26" t="str">
        <f>"401K"</f>
        <v>401K</v>
      </c>
      <c r="R1090" s="26"/>
      <c r="S1090" s="28">
        <v>42156</v>
      </c>
      <c r="T1090" s="29">
        <v>1.04</v>
      </c>
    </row>
    <row r="1091" spans="1:20" s="7" customFormat="1" hidden="1" outlineLevel="3" x14ac:dyDescent="0.2">
      <c r="A1091" s="7" t="s">
        <v>92</v>
      </c>
      <c r="C1091" s="7" t="str">
        <f t="shared" ref="C1091:C1095" si="164">+C1090</f>
        <v>John</v>
      </c>
      <c r="D1091" s="7" t="str">
        <f>+D1090</f>
        <v>Chen</v>
      </c>
      <c r="E1091" s="8" t="str">
        <f>E1090</f>
        <v>SALES</v>
      </c>
      <c r="G1091" s="8" t="str">
        <f>G1090</f>
        <v>CHEN0001</v>
      </c>
      <c r="H1091" s="26"/>
      <c r="I1091" s="26"/>
      <c r="J1091" s="26"/>
      <c r="K1091" s="28">
        <f>+K1090</f>
        <v>42156</v>
      </c>
      <c r="L1091" s="26" t="str">
        <f>L1090</f>
        <v>10481</v>
      </c>
      <c r="M1091" s="26"/>
      <c r="N1091" s="26"/>
      <c r="O1091" s="26" t="str">
        <f>"""GP Direct"",""Fabrikam, Inc."",""UPR30300"",""PAYRATE"",""0.00000"",""PAYROLCD"",""401K"",""STATECD"","""",""CHEKDATE"",""6/1/2015"",""UPRTRXAM"",""20.75000"""</f>
        <v>"GP Direct","Fabrikam, Inc.","UPR30300","PAYRATE","0.00000","PAYROLCD","401K","STATECD","","CHEKDATE","6/1/2015","UPRTRXAM","20.75000"</v>
      </c>
      <c r="P1091" s="29">
        <v>0</v>
      </c>
      <c r="Q1091" s="26" t="str">
        <f>"401K"</f>
        <v>401K</v>
      </c>
      <c r="R1091" s="26"/>
      <c r="S1091" s="28">
        <v>42156</v>
      </c>
      <c r="T1091" s="29">
        <v>20.75</v>
      </c>
    </row>
    <row r="1092" spans="1:20" s="7" customFormat="1" hidden="1" outlineLevel="3" x14ac:dyDescent="0.2">
      <c r="A1092" s="7" t="s">
        <v>92</v>
      </c>
      <c r="C1092" s="7" t="str">
        <f t="shared" si="164"/>
        <v>John</v>
      </c>
      <c r="D1092" s="7" t="str">
        <f>+D1091</f>
        <v>Chen</v>
      </c>
      <c r="E1092" s="8" t="str">
        <f>E1091</f>
        <v>SALES</v>
      </c>
      <c r="G1092" s="8" t="str">
        <f>G1091</f>
        <v>CHEN0001</v>
      </c>
      <c r="H1092" s="26"/>
      <c r="I1092" s="26"/>
      <c r="J1092" s="26"/>
      <c r="K1092" s="28">
        <f>+K1091</f>
        <v>42156</v>
      </c>
      <c r="L1092" s="26" t="str">
        <f>L1091</f>
        <v>10481</v>
      </c>
      <c r="M1092" s="26"/>
      <c r="N1092" s="26"/>
      <c r="O1092" s="26" t="str">
        <f>"""GP Direct"",""Fabrikam, Inc."",""UPR30300"",""PAYRATE"",""0.00000"",""PAYROLCD"",""IL"",""STATECD"","""",""CHEKDATE"",""6/1/2015"",""UPRTRXAM"",""18.72000"""</f>
        <v>"GP Direct","Fabrikam, Inc.","UPR30300","PAYRATE","0.00000","PAYROLCD","IL","STATECD","","CHEKDATE","6/1/2015","UPRTRXAM","18.72000"</v>
      </c>
      <c r="P1092" s="29">
        <v>0</v>
      </c>
      <c r="Q1092" s="26" t="str">
        <f>"IL"</f>
        <v>IL</v>
      </c>
      <c r="R1092" s="26"/>
      <c r="S1092" s="28">
        <v>42156</v>
      </c>
      <c r="T1092" s="29">
        <v>18.72</v>
      </c>
    </row>
    <row r="1093" spans="1:20" s="7" customFormat="1" hidden="1" outlineLevel="3" x14ac:dyDescent="0.2">
      <c r="A1093" s="7" t="s">
        <v>92</v>
      </c>
      <c r="C1093" s="7" t="str">
        <f t="shared" si="164"/>
        <v>John</v>
      </c>
      <c r="D1093" s="7" t="str">
        <f>+D1092</f>
        <v>Chen</v>
      </c>
      <c r="E1093" s="8" t="str">
        <f>E1092</f>
        <v>SALES</v>
      </c>
      <c r="G1093" s="8" t="str">
        <f>G1092</f>
        <v>CHEN0001</v>
      </c>
      <c r="H1093" s="26"/>
      <c r="I1093" s="26"/>
      <c r="J1093" s="26"/>
      <c r="K1093" s="28">
        <f>+K1092</f>
        <v>42156</v>
      </c>
      <c r="L1093" s="26" t="str">
        <f>L1092</f>
        <v>10481</v>
      </c>
      <c r="M1093" s="26"/>
      <c r="N1093" s="26"/>
      <c r="O1093" s="26" t="str">
        <f>"""GP Direct"",""Fabrikam, Inc."",""UPR30300"",""PAYRATE"",""0.00000"",""PAYROLCD"",""INS"",""STATECD"","""",""CHEKDATE"",""6/1/2015"",""UPRTRXAM"",""49.36000"""</f>
        <v>"GP Direct","Fabrikam, Inc.","UPR30300","PAYRATE","0.00000","PAYROLCD","INS","STATECD","","CHEKDATE","6/1/2015","UPRTRXAM","49.36000"</v>
      </c>
      <c r="P1093" s="29">
        <v>0</v>
      </c>
      <c r="Q1093" s="26" t="str">
        <f>"INS"</f>
        <v>INS</v>
      </c>
      <c r="R1093" s="26"/>
      <c r="S1093" s="28">
        <v>42156</v>
      </c>
      <c r="T1093" s="29">
        <v>49.36</v>
      </c>
    </row>
    <row r="1094" spans="1:20" s="7" customFormat="1" hidden="1" outlineLevel="3" x14ac:dyDescent="0.2">
      <c r="A1094" s="7" t="s">
        <v>92</v>
      </c>
      <c r="C1094" s="7" t="str">
        <f t="shared" si="164"/>
        <v>John</v>
      </c>
      <c r="D1094" s="7" t="str">
        <f>+D1093</f>
        <v>Chen</v>
      </c>
      <c r="E1094" s="8" t="str">
        <f>E1093</f>
        <v>SALES</v>
      </c>
      <c r="G1094" s="8" t="str">
        <f>G1093</f>
        <v>CHEN0001</v>
      </c>
      <c r="H1094" s="26"/>
      <c r="I1094" s="26"/>
      <c r="J1094" s="26"/>
      <c r="K1094" s="28">
        <f>+K1093</f>
        <v>42156</v>
      </c>
      <c r="L1094" s="26" t="str">
        <f>L1093</f>
        <v>10481</v>
      </c>
      <c r="M1094" s="26"/>
      <c r="N1094" s="26"/>
      <c r="O1094" s="26" t="str">
        <f>"""GP Direct"",""Fabrikam, Inc."",""UPR30300"",""PAYRATE"",""0.00000"",""PAYROLCD"",""MED"",""STATECD"","""",""CHEKDATE"",""6/1/2015"",""UPRTRXAM"",""5.00000"""</f>
        <v>"GP Direct","Fabrikam, Inc.","UPR30300","PAYRATE","0.00000","PAYROLCD","MED","STATECD","","CHEKDATE","6/1/2015","UPRTRXAM","5.00000"</v>
      </c>
      <c r="P1094" s="29">
        <v>0</v>
      </c>
      <c r="Q1094" s="26" t="str">
        <f>"MED"</f>
        <v>MED</v>
      </c>
      <c r="R1094" s="26"/>
      <c r="S1094" s="28">
        <v>42156</v>
      </c>
      <c r="T1094" s="29">
        <v>5</v>
      </c>
    </row>
    <row r="1095" spans="1:20" s="7" customFormat="1" hidden="1" outlineLevel="3" x14ac:dyDescent="0.2">
      <c r="A1095" s="7" t="s">
        <v>92</v>
      </c>
      <c r="C1095" s="7" t="str">
        <f t="shared" si="164"/>
        <v>John</v>
      </c>
      <c r="D1095" s="7" t="str">
        <f>+D1094</f>
        <v>Chen</v>
      </c>
      <c r="E1095" s="8" t="str">
        <f>E1094</f>
        <v>SALES</v>
      </c>
      <c r="G1095" s="8" t="str">
        <f>G1094</f>
        <v>CHEN0001</v>
      </c>
      <c r="H1095" s="26"/>
      <c r="I1095" s="26"/>
      <c r="J1095" s="26"/>
      <c r="K1095" s="28">
        <f>+K1094</f>
        <v>42156</v>
      </c>
      <c r="L1095" s="26" t="str">
        <f>L1094</f>
        <v>10481</v>
      </c>
      <c r="M1095" s="26"/>
      <c r="N1095" s="26"/>
      <c r="O1095" s="26" t="str">
        <f>"""GP Direct"",""Fabrikam, Inc."",""UPR30300"",""PAYRATE"",""16596.00000"",""PAYROLCD"",""SALY"",""STATECD"",""IL"",""CHEKDATE"",""6/1/2015"",""UPRTRXAM"",""691.50000"""</f>
        <v>"GP Direct","Fabrikam, Inc.","UPR30300","PAYRATE","16596.00000","PAYROLCD","SALY","STATECD","IL","CHEKDATE","6/1/2015","UPRTRXAM","691.50000"</v>
      </c>
      <c r="P1095" s="29">
        <v>16596</v>
      </c>
      <c r="Q1095" s="26" t="str">
        <f>"SALY"</f>
        <v>SALY</v>
      </c>
      <c r="R1095" s="26" t="str">
        <f>"IL"</f>
        <v>IL</v>
      </c>
      <c r="S1095" s="28">
        <v>42156</v>
      </c>
      <c r="T1095" s="29">
        <v>691.5</v>
      </c>
    </row>
    <row r="1096" spans="1:20" s="7" customFormat="1" hidden="1" outlineLevel="3" x14ac:dyDescent="0.2">
      <c r="A1096" s="7" t="s">
        <v>92</v>
      </c>
      <c r="C1096" s="7" t="str">
        <f>+C1090</f>
        <v>John</v>
      </c>
      <c r="D1096" s="7" t="str">
        <f>+D1090</f>
        <v>Chen</v>
      </c>
      <c r="E1096" s="8" t="str">
        <f>E1090</f>
        <v>SALES</v>
      </c>
      <c r="G1096" s="8" t="str">
        <f>G1090</f>
        <v>CHEN0001</v>
      </c>
      <c r="K1096" s="12">
        <f>+K1090</f>
        <v>42156</v>
      </c>
      <c r="L1096" s="8" t="str">
        <f>L1090</f>
        <v>10481</v>
      </c>
      <c r="O1096" s="8"/>
      <c r="T1096" s="20"/>
    </row>
    <row r="1097" spans="1:20" s="7" customFormat="1" hidden="1" outlineLevel="2" collapsed="1" x14ac:dyDescent="0.2">
      <c r="A1097" s="7" t="s">
        <v>92</v>
      </c>
      <c r="C1097" s="7" t="str">
        <f t="shared" si="159"/>
        <v>John</v>
      </c>
      <c r="D1097" s="7" t="str">
        <f>+D1096</f>
        <v>Chen</v>
      </c>
      <c r="E1097" s="8" t="str">
        <f>E1096</f>
        <v>SALES</v>
      </c>
      <c r="G1097" s="8" t="str">
        <f>G1096</f>
        <v>CHEN0001</v>
      </c>
      <c r="K1097" s="12">
        <f>+K1096</f>
        <v>42156</v>
      </c>
      <c r="L1097" s="8" t="str">
        <f>L1096</f>
        <v>10481</v>
      </c>
      <c r="M1097" s="33" t="str">
        <f>"Total for " &amp; $L1097</f>
        <v>Total for 10481</v>
      </c>
      <c r="N1097" s="34">
        <f>+K1097</f>
        <v>42156</v>
      </c>
      <c r="O1097" s="35"/>
      <c r="P1097" s="33"/>
      <c r="Q1097" s="33"/>
      <c r="R1097" s="33"/>
      <c r="S1097" s="33"/>
      <c r="T1097" s="36">
        <f>SUBTOTAL(9,T1090:T1096)</f>
        <v>786.37</v>
      </c>
    </row>
    <row r="1098" spans="1:20" s="7" customFormat="1" hidden="1" outlineLevel="2" x14ac:dyDescent="0.2">
      <c r="A1098" s="7" t="s">
        <v>92</v>
      </c>
      <c r="C1098" s="7" t="str">
        <f>+C1051</f>
        <v>John</v>
      </c>
      <c r="D1098" s="7" t="str">
        <f>+D1051</f>
        <v>Chen</v>
      </c>
      <c r="E1098" s="8" t="str">
        <f>E1051</f>
        <v>SALES</v>
      </c>
      <c r="G1098" s="8" t="str">
        <f>G1051</f>
        <v>CHEN0001</v>
      </c>
      <c r="L1098" s="8"/>
      <c r="O1098" s="8"/>
      <c r="T1098" s="20"/>
    </row>
    <row r="1099" spans="1:20" s="7" customFormat="1" hidden="1" outlineLevel="1" collapsed="1" x14ac:dyDescent="0.2">
      <c r="A1099" s="7" t="s">
        <v>92</v>
      </c>
      <c r="C1099" s="7" t="str">
        <f t="shared" si="157"/>
        <v>John</v>
      </c>
      <c r="D1099" s="7" t="str">
        <f>+D1098</f>
        <v>Chen</v>
      </c>
      <c r="E1099" s="8" t="str">
        <f>E1098</f>
        <v>SALES</v>
      </c>
      <c r="G1099" s="8" t="str">
        <f>G1098</f>
        <v>CHEN0001</v>
      </c>
      <c r="H1099" s="30" t="str">
        <f>"Total for " &amp; $G1099</f>
        <v>Total for CHEN0001</v>
      </c>
      <c r="I1099" s="30" t="str">
        <f>+C1099</f>
        <v>John</v>
      </c>
      <c r="J1099" s="30" t="str">
        <f>+D1099</f>
        <v>Chen</v>
      </c>
      <c r="K1099" s="30"/>
      <c r="L1099" s="31"/>
      <c r="M1099" s="30"/>
      <c r="N1099" s="30"/>
      <c r="O1099" s="31"/>
      <c r="P1099" s="30"/>
      <c r="Q1099" s="30"/>
      <c r="R1099" s="30"/>
      <c r="S1099" s="30"/>
      <c r="T1099" s="32">
        <f>SUBTOTAL(9,T1044:T1098)</f>
        <v>4582.83</v>
      </c>
    </row>
    <row r="1100" spans="1:20" s="7" customFormat="1" hidden="1" outlineLevel="2" x14ac:dyDescent="0.2">
      <c r="A1100" s="7" t="s">
        <v>92</v>
      </c>
      <c r="C1100" s="7" t="str">
        <f t="shared" ref="C1100" si="165">+I1100</f>
        <v>Gregory</v>
      </c>
      <c r="D1100" s="7" t="str">
        <f>+J1100</f>
        <v>Erickson</v>
      </c>
      <c r="E1100" s="8" t="str">
        <f>E1099</f>
        <v>SALES</v>
      </c>
      <c r="G1100" s="8" t="str">
        <f>H1100</f>
        <v>ERIC0001</v>
      </c>
      <c r="H1100" s="24" t="str">
        <f>"ERIC0001"</f>
        <v>ERIC0001</v>
      </c>
      <c r="I1100" s="25" t="str">
        <f>"Gregory"</f>
        <v>Gregory</v>
      </c>
      <c r="J1100" s="25" t="str">
        <f>"Erickson"</f>
        <v>Erickson</v>
      </c>
      <c r="K1100" s="26"/>
      <c r="L1100" s="26"/>
      <c r="M1100" s="26"/>
      <c r="N1100" s="26"/>
      <c r="O1100" s="26"/>
      <c r="P1100" s="26"/>
      <c r="Q1100" s="26"/>
      <c r="R1100" s="26"/>
      <c r="S1100" s="26"/>
      <c r="T1100" s="27"/>
    </row>
    <row r="1101" spans="1:20" s="7" customFormat="1" hidden="1" outlineLevel="3" x14ac:dyDescent="0.2">
      <c r="A1101" s="7" t="s">
        <v>92</v>
      </c>
      <c r="C1101" s="7" t="str">
        <f t="shared" ref="C1101:C1166" si="166">+C1100</f>
        <v>Gregory</v>
      </c>
      <c r="D1101" s="7" t="str">
        <f>+D1100</f>
        <v>Erickson</v>
      </c>
      <c r="E1101" s="8" t="str">
        <f>E1100</f>
        <v>SALES</v>
      </c>
      <c r="G1101" s="8" t="str">
        <f>G1100</f>
        <v>ERIC0001</v>
      </c>
      <c r="H1101" s="26"/>
      <c r="I1101" s="26"/>
      <c r="J1101" s="26"/>
      <c r="K1101" s="28">
        <f>+N1101</f>
        <v>42005</v>
      </c>
      <c r="L1101" s="26" t="str">
        <f>M1101</f>
        <v>10361</v>
      </c>
      <c r="M1101" s="26" t="str">
        <f>"10361"</f>
        <v>10361</v>
      </c>
      <c r="N1101" s="28">
        <v>42005</v>
      </c>
      <c r="O1101" s="26"/>
      <c r="P1101" s="26"/>
      <c r="Q1101" s="26"/>
      <c r="R1101" s="26"/>
      <c r="S1101" s="26"/>
      <c r="T1101" s="27"/>
    </row>
    <row r="1102" spans="1:20" s="7" customFormat="1" hidden="1" outlineLevel="3" x14ac:dyDescent="0.2">
      <c r="A1102" s="7" t="s">
        <v>92</v>
      </c>
      <c r="C1102" s="7" t="str">
        <f t="shared" si="166"/>
        <v>Gregory</v>
      </c>
      <c r="D1102" s="7" t="str">
        <f>+D1101</f>
        <v>Erickson</v>
      </c>
      <c r="E1102" s="8" t="str">
        <f>E1101</f>
        <v>SALES</v>
      </c>
      <c r="G1102" s="8" t="str">
        <f>G1101</f>
        <v>ERIC0001</v>
      </c>
      <c r="H1102" s="26"/>
      <c r="I1102" s="26"/>
      <c r="J1102" s="26"/>
      <c r="K1102" s="28">
        <f>+K1101</f>
        <v>42005</v>
      </c>
      <c r="L1102" s="26" t="str">
        <f>L1101</f>
        <v>10361</v>
      </c>
      <c r="M1102" s="26"/>
      <c r="N1102" s="26"/>
      <c r="O1102" s="26" t="str">
        <f>"""GP Direct"",""Fabrikam, Inc."",""UPR30300"",""PAYRATE"",""0.00000"",""PAYROLCD"",""401K"",""STATECD"","""",""CHEKDATE"",""1/1/2015"",""UPRTRXAM"",""1.50000"""</f>
        <v>"GP Direct","Fabrikam, Inc.","UPR30300","PAYRATE","0.00000","PAYROLCD","401K","STATECD","","CHEKDATE","1/1/2015","UPRTRXAM","1.50000"</v>
      </c>
      <c r="P1102" s="29">
        <v>0</v>
      </c>
      <c r="Q1102" s="26" t="str">
        <f>"401K"</f>
        <v>401K</v>
      </c>
      <c r="R1102" s="26"/>
      <c r="S1102" s="28">
        <v>42005</v>
      </c>
      <c r="T1102" s="29">
        <v>1.5</v>
      </c>
    </row>
    <row r="1103" spans="1:20" s="7" customFormat="1" hidden="1" outlineLevel="3" x14ac:dyDescent="0.2">
      <c r="A1103" s="7" t="s">
        <v>92</v>
      </c>
      <c r="C1103" s="7" t="str">
        <f t="shared" ref="C1103:C1107" si="167">+C1102</f>
        <v>Gregory</v>
      </c>
      <c r="D1103" s="7" t="str">
        <f>+D1102</f>
        <v>Erickson</v>
      </c>
      <c r="E1103" s="8" t="str">
        <f>E1102</f>
        <v>SALES</v>
      </c>
      <c r="G1103" s="8" t="str">
        <f>G1102</f>
        <v>ERIC0001</v>
      </c>
      <c r="H1103" s="26"/>
      <c r="I1103" s="26"/>
      <c r="J1103" s="26"/>
      <c r="K1103" s="28">
        <f>+K1102</f>
        <v>42005</v>
      </c>
      <c r="L1103" s="26" t="str">
        <f>L1102</f>
        <v>10361</v>
      </c>
      <c r="M1103" s="26"/>
      <c r="N1103" s="26"/>
      <c r="O1103" s="26" t="str">
        <f>"""GP Direct"",""Fabrikam, Inc."",""UPR30300"",""PAYRATE"",""0.00000"",""PAYROLCD"",""401K"",""STATECD"","""",""CHEKDATE"",""1/1/2015"",""UPRTRXAM"",""30.00000"""</f>
        <v>"GP Direct","Fabrikam, Inc.","UPR30300","PAYRATE","0.00000","PAYROLCD","401K","STATECD","","CHEKDATE","1/1/2015","UPRTRXAM","30.00000"</v>
      </c>
      <c r="P1103" s="29">
        <v>0</v>
      </c>
      <c r="Q1103" s="26" t="str">
        <f>"401K"</f>
        <v>401K</v>
      </c>
      <c r="R1103" s="26"/>
      <c r="S1103" s="28">
        <v>42005</v>
      </c>
      <c r="T1103" s="29">
        <v>30</v>
      </c>
    </row>
    <row r="1104" spans="1:20" s="7" customFormat="1" hidden="1" outlineLevel="3" x14ac:dyDescent="0.2">
      <c r="A1104" s="7" t="s">
        <v>92</v>
      </c>
      <c r="C1104" s="7" t="str">
        <f t="shared" si="167"/>
        <v>Gregory</v>
      </c>
      <c r="D1104" s="7" t="str">
        <f>+D1103</f>
        <v>Erickson</v>
      </c>
      <c r="E1104" s="8" t="str">
        <f>E1103</f>
        <v>SALES</v>
      </c>
      <c r="G1104" s="8" t="str">
        <f>G1103</f>
        <v>ERIC0001</v>
      </c>
      <c r="H1104" s="26"/>
      <c r="I1104" s="26"/>
      <c r="J1104" s="26"/>
      <c r="K1104" s="28">
        <f>+K1103</f>
        <v>42005</v>
      </c>
      <c r="L1104" s="26" t="str">
        <f>L1103</f>
        <v>10361</v>
      </c>
      <c r="M1104" s="26"/>
      <c r="N1104" s="26"/>
      <c r="O1104" s="26" t="str">
        <f>"""GP Direct"",""Fabrikam, Inc."",""UPR30300"",""PAYRATE"",""0.00000"",""PAYROLCD"",""IN"",""STATECD"","""",""CHEKDATE"",""1/1/2015"",""UPRTRXAM"",""31.39000"""</f>
        <v>"GP Direct","Fabrikam, Inc.","UPR30300","PAYRATE","0.00000","PAYROLCD","IN","STATECD","","CHEKDATE","1/1/2015","UPRTRXAM","31.39000"</v>
      </c>
      <c r="P1104" s="29">
        <v>0</v>
      </c>
      <c r="Q1104" s="26" t="str">
        <f>"IN"</f>
        <v>IN</v>
      </c>
      <c r="R1104" s="26"/>
      <c r="S1104" s="28">
        <v>42005</v>
      </c>
      <c r="T1104" s="29">
        <v>31.39</v>
      </c>
    </row>
    <row r="1105" spans="1:20" s="7" customFormat="1" hidden="1" outlineLevel="3" x14ac:dyDescent="0.2">
      <c r="A1105" s="7" t="s">
        <v>92</v>
      </c>
      <c r="C1105" s="7" t="str">
        <f t="shared" si="167"/>
        <v>Gregory</v>
      </c>
      <c r="D1105" s="7" t="str">
        <f>+D1104</f>
        <v>Erickson</v>
      </c>
      <c r="E1105" s="8" t="str">
        <f>E1104</f>
        <v>SALES</v>
      </c>
      <c r="G1105" s="8" t="str">
        <f>G1104</f>
        <v>ERIC0001</v>
      </c>
      <c r="H1105" s="26"/>
      <c r="I1105" s="26"/>
      <c r="J1105" s="26"/>
      <c r="K1105" s="28">
        <f>+K1104</f>
        <v>42005</v>
      </c>
      <c r="L1105" s="26" t="str">
        <f>L1104</f>
        <v>10361</v>
      </c>
      <c r="M1105" s="26"/>
      <c r="N1105" s="26"/>
      <c r="O1105" s="26" t="str">
        <f>"""GP Direct"",""Fabrikam, Inc."",""UPR30300"",""PAYRATE"",""0.00000"",""PAYROLCD"",""INS"",""STATECD"","""",""CHEKDATE"",""1/1/2015"",""UPRTRXAM"",""49.36000"""</f>
        <v>"GP Direct","Fabrikam, Inc.","UPR30300","PAYRATE","0.00000","PAYROLCD","INS","STATECD","","CHEKDATE","1/1/2015","UPRTRXAM","49.36000"</v>
      </c>
      <c r="P1105" s="29">
        <v>0</v>
      </c>
      <c r="Q1105" s="26" t="str">
        <f>"INS"</f>
        <v>INS</v>
      </c>
      <c r="R1105" s="26"/>
      <c r="S1105" s="28">
        <v>42005</v>
      </c>
      <c r="T1105" s="29">
        <v>49.36</v>
      </c>
    </row>
    <row r="1106" spans="1:20" s="7" customFormat="1" hidden="1" outlineLevel="3" x14ac:dyDescent="0.2">
      <c r="A1106" s="7" t="s">
        <v>92</v>
      </c>
      <c r="C1106" s="7" t="str">
        <f t="shared" si="167"/>
        <v>Gregory</v>
      </c>
      <c r="D1106" s="7" t="str">
        <f>+D1105</f>
        <v>Erickson</v>
      </c>
      <c r="E1106" s="8" t="str">
        <f>E1105</f>
        <v>SALES</v>
      </c>
      <c r="G1106" s="8" t="str">
        <f>G1105</f>
        <v>ERIC0001</v>
      </c>
      <c r="H1106" s="26"/>
      <c r="I1106" s="26"/>
      <c r="J1106" s="26"/>
      <c r="K1106" s="28">
        <f>+K1105</f>
        <v>42005</v>
      </c>
      <c r="L1106" s="26" t="str">
        <f>L1105</f>
        <v>10361</v>
      </c>
      <c r="M1106" s="26"/>
      <c r="N1106" s="26"/>
      <c r="O1106" s="26" t="str">
        <f>"""GP Direct"",""Fabrikam, Inc."",""UPR30300"",""PAYRATE"",""0.00000"",""PAYROLCD"",""MED"",""STATECD"","""",""CHEKDATE"",""1/1/2015"",""UPRTRXAM"",""5.00000"""</f>
        <v>"GP Direct","Fabrikam, Inc.","UPR30300","PAYRATE","0.00000","PAYROLCD","MED","STATECD","","CHEKDATE","1/1/2015","UPRTRXAM","5.00000"</v>
      </c>
      <c r="P1106" s="29">
        <v>0</v>
      </c>
      <c r="Q1106" s="26" t="str">
        <f>"MED"</f>
        <v>MED</v>
      </c>
      <c r="R1106" s="26"/>
      <c r="S1106" s="28">
        <v>42005</v>
      </c>
      <c r="T1106" s="29">
        <v>5</v>
      </c>
    </row>
    <row r="1107" spans="1:20" s="7" customFormat="1" hidden="1" outlineLevel="3" x14ac:dyDescent="0.2">
      <c r="A1107" s="7" t="s">
        <v>92</v>
      </c>
      <c r="C1107" s="7" t="str">
        <f t="shared" si="167"/>
        <v>Gregory</v>
      </c>
      <c r="D1107" s="7" t="str">
        <f>+D1106</f>
        <v>Erickson</v>
      </c>
      <c r="E1107" s="8" t="str">
        <f>E1106</f>
        <v>SALES</v>
      </c>
      <c r="G1107" s="8" t="str">
        <f>G1106</f>
        <v>ERIC0001</v>
      </c>
      <c r="H1107" s="26"/>
      <c r="I1107" s="26"/>
      <c r="J1107" s="26"/>
      <c r="K1107" s="28">
        <f>+K1106</f>
        <v>42005</v>
      </c>
      <c r="L1107" s="26" t="str">
        <f>L1106</f>
        <v>10361</v>
      </c>
      <c r="M1107" s="26"/>
      <c r="N1107" s="26"/>
      <c r="O1107" s="26" t="str">
        <f>"""GP Direct"",""Fabrikam, Inc."",""UPR30300"",""PAYRATE"",""24000.00000"",""PAYROLCD"",""SALY"",""STATECD"",""IN"",""CHEKDATE"",""1/1/2015"",""UPRTRXAM"",""1000.00000"""</f>
        <v>"GP Direct","Fabrikam, Inc.","UPR30300","PAYRATE","24000.00000","PAYROLCD","SALY","STATECD","IN","CHEKDATE","1/1/2015","UPRTRXAM","1000.00000"</v>
      </c>
      <c r="P1107" s="29">
        <v>24000</v>
      </c>
      <c r="Q1107" s="26" t="str">
        <f>"SALY"</f>
        <v>SALY</v>
      </c>
      <c r="R1107" s="26" t="str">
        <f>"IN"</f>
        <v>IN</v>
      </c>
      <c r="S1107" s="28">
        <v>42005</v>
      </c>
      <c r="T1107" s="29">
        <v>1000</v>
      </c>
    </row>
    <row r="1108" spans="1:20" s="7" customFormat="1" hidden="1" outlineLevel="3" x14ac:dyDescent="0.2">
      <c r="A1108" s="7" t="s">
        <v>92</v>
      </c>
      <c r="C1108" s="7" t="str">
        <f>+C1102</f>
        <v>Gregory</v>
      </c>
      <c r="D1108" s="7" t="str">
        <f>+D1102</f>
        <v>Erickson</v>
      </c>
      <c r="E1108" s="8" t="str">
        <f>E1102</f>
        <v>SALES</v>
      </c>
      <c r="G1108" s="8" t="str">
        <f>G1102</f>
        <v>ERIC0001</v>
      </c>
      <c r="K1108" s="12">
        <f>+K1102</f>
        <v>42005</v>
      </c>
      <c r="L1108" s="8" t="str">
        <f>L1102</f>
        <v>10361</v>
      </c>
      <c r="O1108" s="8"/>
      <c r="T1108" s="20"/>
    </row>
    <row r="1109" spans="1:20" s="7" customFormat="1" hidden="1" outlineLevel="2" collapsed="1" x14ac:dyDescent="0.2">
      <c r="A1109" s="7" t="s">
        <v>92</v>
      </c>
      <c r="C1109" s="7" t="str">
        <f t="shared" si="166"/>
        <v>Gregory</v>
      </c>
      <c r="D1109" s="7" t="str">
        <f>+D1108</f>
        <v>Erickson</v>
      </c>
      <c r="E1109" s="8" t="str">
        <f>E1108</f>
        <v>SALES</v>
      </c>
      <c r="G1109" s="8" t="str">
        <f>G1108</f>
        <v>ERIC0001</v>
      </c>
      <c r="K1109" s="12">
        <f>+K1108</f>
        <v>42005</v>
      </c>
      <c r="L1109" s="8" t="str">
        <f>L1108</f>
        <v>10361</v>
      </c>
      <c r="M1109" s="33" t="str">
        <f>"Total for " &amp; $L1109</f>
        <v>Total for 10361</v>
      </c>
      <c r="N1109" s="34">
        <f>+K1109</f>
        <v>42005</v>
      </c>
      <c r="O1109" s="35"/>
      <c r="P1109" s="33"/>
      <c r="Q1109" s="33"/>
      <c r="R1109" s="33"/>
      <c r="S1109" s="33"/>
      <c r="T1109" s="36">
        <f>SUBTOTAL(9,T1102:T1108)</f>
        <v>1117.25</v>
      </c>
    </row>
    <row r="1110" spans="1:20" s="7" customFormat="1" hidden="1" outlineLevel="3" x14ac:dyDescent="0.2">
      <c r="A1110" s="7" t="s">
        <v>92</v>
      </c>
      <c r="C1110" s="7" t="str">
        <f t="shared" ref="C1110:C1164" si="168">+C1109</f>
        <v>Gregory</v>
      </c>
      <c r="D1110" s="7" t="str">
        <f>+D1109</f>
        <v>Erickson</v>
      </c>
      <c r="E1110" s="8" t="str">
        <f>E1109</f>
        <v>SALES</v>
      </c>
      <c r="G1110" s="8" t="str">
        <f>G1109</f>
        <v>ERIC0001</v>
      </c>
      <c r="H1110" s="26"/>
      <c r="I1110" s="26"/>
      <c r="J1110" s="26"/>
      <c r="K1110" s="28">
        <f>+N1110</f>
        <v>42036</v>
      </c>
      <c r="L1110" s="26" t="str">
        <f>M1110</f>
        <v>10386</v>
      </c>
      <c r="M1110" s="26" t="str">
        <f>"10386"</f>
        <v>10386</v>
      </c>
      <c r="N1110" s="28">
        <v>42036</v>
      </c>
      <c r="O1110" s="26"/>
      <c r="P1110" s="26"/>
      <c r="Q1110" s="26"/>
      <c r="R1110" s="26"/>
      <c r="S1110" s="26"/>
      <c r="T1110" s="27"/>
    </row>
    <row r="1111" spans="1:20" s="7" customFormat="1" hidden="1" outlineLevel="3" x14ac:dyDescent="0.2">
      <c r="A1111" s="7" t="s">
        <v>92</v>
      </c>
      <c r="C1111" s="7" t="str">
        <f t="shared" si="168"/>
        <v>Gregory</v>
      </c>
      <c r="D1111" s="7" t="str">
        <f>+D1110</f>
        <v>Erickson</v>
      </c>
      <c r="E1111" s="8" t="str">
        <f>E1110</f>
        <v>SALES</v>
      </c>
      <c r="G1111" s="8" t="str">
        <f>G1110</f>
        <v>ERIC0001</v>
      </c>
      <c r="H1111" s="26"/>
      <c r="I1111" s="26"/>
      <c r="J1111" s="26"/>
      <c r="K1111" s="28">
        <f>+K1110</f>
        <v>42036</v>
      </c>
      <c r="L1111" s="26" t="str">
        <f>L1110</f>
        <v>10386</v>
      </c>
      <c r="M1111" s="26"/>
      <c r="N1111" s="26"/>
      <c r="O1111" s="26" t="str">
        <f>"""GP Direct"",""Fabrikam, Inc."",""UPR30300"",""PAYRATE"",""0.00000"",""PAYROLCD"",""401K"",""STATECD"","""",""CHEKDATE"",""2/1/2015"",""UPRTRXAM"",""1.50000"""</f>
        <v>"GP Direct","Fabrikam, Inc.","UPR30300","PAYRATE","0.00000","PAYROLCD","401K","STATECD","","CHEKDATE","2/1/2015","UPRTRXAM","1.50000"</v>
      </c>
      <c r="P1111" s="29">
        <v>0</v>
      </c>
      <c r="Q1111" s="26" t="str">
        <f>"401K"</f>
        <v>401K</v>
      </c>
      <c r="R1111" s="26"/>
      <c r="S1111" s="28">
        <v>42036</v>
      </c>
      <c r="T1111" s="29">
        <v>1.5</v>
      </c>
    </row>
    <row r="1112" spans="1:20" s="7" customFormat="1" hidden="1" outlineLevel="3" x14ac:dyDescent="0.2">
      <c r="A1112" s="7" t="s">
        <v>92</v>
      </c>
      <c r="C1112" s="7" t="str">
        <f t="shared" ref="C1112:C1116" si="169">+C1111</f>
        <v>Gregory</v>
      </c>
      <c r="D1112" s="7" t="str">
        <f>+D1111</f>
        <v>Erickson</v>
      </c>
      <c r="E1112" s="8" t="str">
        <f>E1111</f>
        <v>SALES</v>
      </c>
      <c r="G1112" s="8" t="str">
        <f>G1111</f>
        <v>ERIC0001</v>
      </c>
      <c r="H1112" s="26"/>
      <c r="I1112" s="26"/>
      <c r="J1112" s="26"/>
      <c r="K1112" s="28">
        <f>+K1111</f>
        <v>42036</v>
      </c>
      <c r="L1112" s="26" t="str">
        <f>L1111</f>
        <v>10386</v>
      </c>
      <c r="M1112" s="26"/>
      <c r="N1112" s="26"/>
      <c r="O1112" s="26" t="str">
        <f>"""GP Direct"",""Fabrikam, Inc."",""UPR30300"",""PAYRATE"",""0.00000"",""PAYROLCD"",""401K"",""STATECD"","""",""CHEKDATE"",""2/1/2015"",""UPRTRXAM"",""30.00000"""</f>
        <v>"GP Direct","Fabrikam, Inc.","UPR30300","PAYRATE","0.00000","PAYROLCD","401K","STATECD","","CHEKDATE","2/1/2015","UPRTRXAM","30.00000"</v>
      </c>
      <c r="P1112" s="29">
        <v>0</v>
      </c>
      <c r="Q1112" s="26" t="str">
        <f>"401K"</f>
        <v>401K</v>
      </c>
      <c r="R1112" s="26"/>
      <c r="S1112" s="28">
        <v>42036</v>
      </c>
      <c r="T1112" s="29">
        <v>30</v>
      </c>
    </row>
    <row r="1113" spans="1:20" s="7" customFormat="1" hidden="1" outlineLevel="3" x14ac:dyDescent="0.2">
      <c r="A1113" s="7" t="s">
        <v>92</v>
      </c>
      <c r="C1113" s="7" t="str">
        <f t="shared" si="169"/>
        <v>Gregory</v>
      </c>
      <c r="D1113" s="7" t="str">
        <f>+D1112</f>
        <v>Erickson</v>
      </c>
      <c r="E1113" s="8" t="str">
        <f>E1112</f>
        <v>SALES</v>
      </c>
      <c r="G1113" s="8" t="str">
        <f>G1112</f>
        <v>ERIC0001</v>
      </c>
      <c r="H1113" s="26"/>
      <c r="I1113" s="26"/>
      <c r="J1113" s="26"/>
      <c r="K1113" s="28">
        <f>+K1112</f>
        <v>42036</v>
      </c>
      <c r="L1113" s="26" t="str">
        <f>L1112</f>
        <v>10386</v>
      </c>
      <c r="M1113" s="26"/>
      <c r="N1113" s="26"/>
      <c r="O1113" s="26" t="str">
        <f>"""GP Direct"",""Fabrikam, Inc."",""UPR30300"",""PAYRATE"",""0.00000"",""PAYROLCD"",""IN"",""STATECD"","""",""CHEKDATE"",""2/1/2015"",""UPRTRXAM"",""31.39000"""</f>
        <v>"GP Direct","Fabrikam, Inc.","UPR30300","PAYRATE","0.00000","PAYROLCD","IN","STATECD","","CHEKDATE","2/1/2015","UPRTRXAM","31.39000"</v>
      </c>
      <c r="P1113" s="29">
        <v>0</v>
      </c>
      <c r="Q1113" s="26" t="str">
        <f>"IN"</f>
        <v>IN</v>
      </c>
      <c r="R1113" s="26"/>
      <c r="S1113" s="28">
        <v>42036</v>
      </c>
      <c r="T1113" s="29">
        <v>31.39</v>
      </c>
    </row>
    <row r="1114" spans="1:20" s="7" customFormat="1" hidden="1" outlineLevel="3" x14ac:dyDescent="0.2">
      <c r="A1114" s="7" t="s">
        <v>92</v>
      </c>
      <c r="C1114" s="7" t="str">
        <f t="shared" si="169"/>
        <v>Gregory</v>
      </c>
      <c r="D1114" s="7" t="str">
        <f>+D1113</f>
        <v>Erickson</v>
      </c>
      <c r="E1114" s="8" t="str">
        <f>E1113</f>
        <v>SALES</v>
      </c>
      <c r="G1114" s="8" t="str">
        <f>G1113</f>
        <v>ERIC0001</v>
      </c>
      <c r="H1114" s="26"/>
      <c r="I1114" s="26"/>
      <c r="J1114" s="26"/>
      <c r="K1114" s="28">
        <f>+K1113</f>
        <v>42036</v>
      </c>
      <c r="L1114" s="26" t="str">
        <f>L1113</f>
        <v>10386</v>
      </c>
      <c r="M1114" s="26"/>
      <c r="N1114" s="26"/>
      <c r="O1114" s="26" t="str">
        <f>"""GP Direct"",""Fabrikam, Inc."",""UPR30300"",""PAYRATE"",""0.00000"",""PAYROLCD"",""INS"",""STATECD"","""",""CHEKDATE"",""2/1/2015"",""UPRTRXAM"",""49.36000"""</f>
        <v>"GP Direct","Fabrikam, Inc.","UPR30300","PAYRATE","0.00000","PAYROLCD","INS","STATECD","","CHEKDATE","2/1/2015","UPRTRXAM","49.36000"</v>
      </c>
      <c r="P1114" s="29">
        <v>0</v>
      </c>
      <c r="Q1114" s="26" t="str">
        <f>"INS"</f>
        <v>INS</v>
      </c>
      <c r="R1114" s="26"/>
      <c r="S1114" s="28">
        <v>42036</v>
      </c>
      <c r="T1114" s="29">
        <v>49.36</v>
      </c>
    </row>
    <row r="1115" spans="1:20" s="7" customFormat="1" hidden="1" outlineLevel="3" x14ac:dyDescent="0.2">
      <c r="A1115" s="7" t="s">
        <v>92</v>
      </c>
      <c r="C1115" s="7" t="str">
        <f t="shared" si="169"/>
        <v>Gregory</v>
      </c>
      <c r="D1115" s="7" t="str">
        <f>+D1114</f>
        <v>Erickson</v>
      </c>
      <c r="E1115" s="8" t="str">
        <f>E1114</f>
        <v>SALES</v>
      </c>
      <c r="G1115" s="8" t="str">
        <f>G1114</f>
        <v>ERIC0001</v>
      </c>
      <c r="H1115" s="26"/>
      <c r="I1115" s="26"/>
      <c r="J1115" s="26"/>
      <c r="K1115" s="28">
        <f>+K1114</f>
        <v>42036</v>
      </c>
      <c r="L1115" s="26" t="str">
        <f>L1114</f>
        <v>10386</v>
      </c>
      <c r="M1115" s="26"/>
      <c r="N1115" s="26"/>
      <c r="O1115" s="26" t="str">
        <f>"""GP Direct"",""Fabrikam, Inc."",""UPR30300"",""PAYRATE"",""0.00000"",""PAYROLCD"",""MED"",""STATECD"","""",""CHEKDATE"",""2/1/2015"",""UPRTRXAM"",""5.00000"""</f>
        <v>"GP Direct","Fabrikam, Inc.","UPR30300","PAYRATE","0.00000","PAYROLCD","MED","STATECD","","CHEKDATE","2/1/2015","UPRTRXAM","5.00000"</v>
      </c>
      <c r="P1115" s="29">
        <v>0</v>
      </c>
      <c r="Q1115" s="26" t="str">
        <f>"MED"</f>
        <v>MED</v>
      </c>
      <c r="R1115" s="26"/>
      <c r="S1115" s="28">
        <v>42036</v>
      </c>
      <c r="T1115" s="29">
        <v>5</v>
      </c>
    </row>
    <row r="1116" spans="1:20" s="7" customFormat="1" hidden="1" outlineLevel="3" x14ac:dyDescent="0.2">
      <c r="A1116" s="7" t="s">
        <v>92</v>
      </c>
      <c r="C1116" s="7" t="str">
        <f t="shared" si="169"/>
        <v>Gregory</v>
      </c>
      <c r="D1116" s="7" t="str">
        <f>+D1115</f>
        <v>Erickson</v>
      </c>
      <c r="E1116" s="8" t="str">
        <f>E1115</f>
        <v>SALES</v>
      </c>
      <c r="G1116" s="8" t="str">
        <f>G1115</f>
        <v>ERIC0001</v>
      </c>
      <c r="H1116" s="26"/>
      <c r="I1116" s="26"/>
      <c r="J1116" s="26"/>
      <c r="K1116" s="28">
        <f>+K1115</f>
        <v>42036</v>
      </c>
      <c r="L1116" s="26" t="str">
        <f>L1115</f>
        <v>10386</v>
      </c>
      <c r="M1116" s="26"/>
      <c r="N1116" s="26"/>
      <c r="O1116" s="26" t="str">
        <f>"""GP Direct"",""Fabrikam, Inc."",""UPR30300"",""PAYRATE"",""24000.00000"",""PAYROLCD"",""SALY"",""STATECD"",""IN"",""CHEKDATE"",""2/1/2015"",""UPRTRXAM"",""1000.00000"""</f>
        <v>"GP Direct","Fabrikam, Inc.","UPR30300","PAYRATE","24000.00000","PAYROLCD","SALY","STATECD","IN","CHEKDATE","2/1/2015","UPRTRXAM","1000.00000"</v>
      </c>
      <c r="P1116" s="29">
        <v>24000</v>
      </c>
      <c r="Q1116" s="26" t="str">
        <f>"SALY"</f>
        <v>SALY</v>
      </c>
      <c r="R1116" s="26" t="str">
        <f>"IN"</f>
        <v>IN</v>
      </c>
      <c r="S1116" s="28">
        <v>42036</v>
      </c>
      <c r="T1116" s="29">
        <v>1000</v>
      </c>
    </row>
    <row r="1117" spans="1:20" s="7" customFormat="1" hidden="1" outlineLevel="3" x14ac:dyDescent="0.2">
      <c r="A1117" s="7" t="s">
        <v>92</v>
      </c>
      <c r="C1117" s="7" t="str">
        <f>+C1111</f>
        <v>Gregory</v>
      </c>
      <c r="D1117" s="7" t="str">
        <f>+D1111</f>
        <v>Erickson</v>
      </c>
      <c r="E1117" s="8" t="str">
        <f>E1111</f>
        <v>SALES</v>
      </c>
      <c r="G1117" s="8" t="str">
        <f>G1111</f>
        <v>ERIC0001</v>
      </c>
      <c r="K1117" s="12">
        <f>+K1111</f>
        <v>42036</v>
      </c>
      <c r="L1117" s="8" t="str">
        <f>L1111</f>
        <v>10386</v>
      </c>
      <c r="O1117" s="8"/>
      <c r="T1117" s="20"/>
    </row>
    <row r="1118" spans="1:20" s="7" customFormat="1" hidden="1" outlineLevel="2" collapsed="1" x14ac:dyDescent="0.2">
      <c r="A1118" s="7" t="s">
        <v>92</v>
      </c>
      <c r="C1118" s="7" t="str">
        <f t="shared" si="168"/>
        <v>Gregory</v>
      </c>
      <c r="D1118" s="7" t="str">
        <f>+D1117</f>
        <v>Erickson</v>
      </c>
      <c r="E1118" s="8" t="str">
        <f>E1117</f>
        <v>SALES</v>
      </c>
      <c r="G1118" s="8" t="str">
        <f>G1117</f>
        <v>ERIC0001</v>
      </c>
      <c r="K1118" s="12">
        <f>+K1117</f>
        <v>42036</v>
      </c>
      <c r="L1118" s="8" t="str">
        <f>L1117</f>
        <v>10386</v>
      </c>
      <c r="M1118" s="33" t="str">
        <f>"Total for " &amp; $L1118</f>
        <v>Total for 10386</v>
      </c>
      <c r="N1118" s="34">
        <f>+K1118</f>
        <v>42036</v>
      </c>
      <c r="O1118" s="35"/>
      <c r="P1118" s="33"/>
      <c r="Q1118" s="33"/>
      <c r="R1118" s="33"/>
      <c r="S1118" s="33"/>
      <c r="T1118" s="36">
        <f>SUBTOTAL(9,T1111:T1117)</f>
        <v>1117.25</v>
      </c>
    </row>
    <row r="1119" spans="1:20" s="7" customFormat="1" hidden="1" outlineLevel="3" x14ac:dyDescent="0.2">
      <c r="A1119" s="7" t="s">
        <v>92</v>
      </c>
      <c r="C1119" s="7" t="str">
        <f t="shared" si="168"/>
        <v>Gregory</v>
      </c>
      <c r="D1119" s="7" t="str">
        <f>+D1118</f>
        <v>Erickson</v>
      </c>
      <c r="E1119" s="8" t="str">
        <f>E1118</f>
        <v>SALES</v>
      </c>
      <c r="G1119" s="8" t="str">
        <f>G1118</f>
        <v>ERIC0001</v>
      </c>
      <c r="H1119" s="26"/>
      <c r="I1119" s="26"/>
      <c r="J1119" s="26"/>
      <c r="K1119" s="28">
        <f>+N1119</f>
        <v>42064</v>
      </c>
      <c r="L1119" s="26" t="str">
        <f>M1119</f>
        <v>10411</v>
      </c>
      <c r="M1119" s="26" t="str">
        <f>"10411"</f>
        <v>10411</v>
      </c>
      <c r="N1119" s="28">
        <v>42064</v>
      </c>
      <c r="O1119" s="26"/>
      <c r="P1119" s="26"/>
      <c r="Q1119" s="26"/>
      <c r="R1119" s="26"/>
      <c r="S1119" s="26"/>
      <c r="T1119" s="27"/>
    </row>
    <row r="1120" spans="1:20" s="7" customFormat="1" hidden="1" outlineLevel="3" x14ac:dyDescent="0.2">
      <c r="A1120" s="7" t="s">
        <v>92</v>
      </c>
      <c r="C1120" s="7" t="str">
        <f t="shared" si="168"/>
        <v>Gregory</v>
      </c>
      <c r="D1120" s="7" t="str">
        <f>+D1119</f>
        <v>Erickson</v>
      </c>
      <c r="E1120" s="8" t="str">
        <f>E1119</f>
        <v>SALES</v>
      </c>
      <c r="G1120" s="8" t="str">
        <f>G1119</f>
        <v>ERIC0001</v>
      </c>
      <c r="H1120" s="26"/>
      <c r="I1120" s="26"/>
      <c r="J1120" s="26"/>
      <c r="K1120" s="28">
        <f>+K1119</f>
        <v>42064</v>
      </c>
      <c r="L1120" s="26" t="str">
        <f>L1119</f>
        <v>10411</v>
      </c>
      <c r="M1120" s="26"/>
      <c r="N1120" s="26"/>
      <c r="O1120" s="26" t="str">
        <f>"""GP Direct"",""Fabrikam, Inc."",""UPR30300"",""PAYRATE"",""0.00000"",""PAYROLCD"",""401K"",""STATECD"","""",""CHEKDATE"",""3/1/2015"",""UPRTRXAM"",""1.50000"""</f>
        <v>"GP Direct","Fabrikam, Inc.","UPR30300","PAYRATE","0.00000","PAYROLCD","401K","STATECD","","CHEKDATE","3/1/2015","UPRTRXAM","1.50000"</v>
      </c>
      <c r="P1120" s="29">
        <v>0</v>
      </c>
      <c r="Q1120" s="26" t="str">
        <f>"401K"</f>
        <v>401K</v>
      </c>
      <c r="R1120" s="26"/>
      <c r="S1120" s="28">
        <v>42064</v>
      </c>
      <c r="T1120" s="29">
        <v>1.5</v>
      </c>
    </row>
    <row r="1121" spans="1:20" s="7" customFormat="1" hidden="1" outlineLevel="3" x14ac:dyDescent="0.2">
      <c r="A1121" s="7" t="s">
        <v>92</v>
      </c>
      <c r="C1121" s="7" t="str">
        <f t="shared" ref="C1121:C1125" si="170">+C1120</f>
        <v>Gregory</v>
      </c>
      <c r="D1121" s="7" t="str">
        <f>+D1120</f>
        <v>Erickson</v>
      </c>
      <c r="E1121" s="8" t="str">
        <f>E1120</f>
        <v>SALES</v>
      </c>
      <c r="G1121" s="8" t="str">
        <f>G1120</f>
        <v>ERIC0001</v>
      </c>
      <c r="H1121" s="26"/>
      <c r="I1121" s="26"/>
      <c r="J1121" s="26"/>
      <c r="K1121" s="28">
        <f>+K1120</f>
        <v>42064</v>
      </c>
      <c r="L1121" s="26" t="str">
        <f>L1120</f>
        <v>10411</v>
      </c>
      <c r="M1121" s="26"/>
      <c r="N1121" s="26"/>
      <c r="O1121" s="26" t="str">
        <f>"""GP Direct"",""Fabrikam, Inc."",""UPR30300"",""PAYRATE"",""0.00000"",""PAYROLCD"",""401K"",""STATECD"","""",""CHEKDATE"",""3/1/2015"",""UPRTRXAM"",""30.00000"""</f>
        <v>"GP Direct","Fabrikam, Inc.","UPR30300","PAYRATE","0.00000","PAYROLCD","401K","STATECD","","CHEKDATE","3/1/2015","UPRTRXAM","30.00000"</v>
      </c>
      <c r="P1121" s="29">
        <v>0</v>
      </c>
      <c r="Q1121" s="26" t="str">
        <f>"401K"</f>
        <v>401K</v>
      </c>
      <c r="R1121" s="26"/>
      <c r="S1121" s="28">
        <v>42064</v>
      </c>
      <c r="T1121" s="29">
        <v>30</v>
      </c>
    </row>
    <row r="1122" spans="1:20" s="7" customFormat="1" hidden="1" outlineLevel="3" x14ac:dyDescent="0.2">
      <c r="A1122" s="7" t="s">
        <v>92</v>
      </c>
      <c r="C1122" s="7" t="str">
        <f t="shared" si="170"/>
        <v>Gregory</v>
      </c>
      <c r="D1122" s="7" t="str">
        <f>+D1121</f>
        <v>Erickson</v>
      </c>
      <c r="E1122" s="8" t="str">
        <f>E1121</f>
        <v>SALES</v>
      </c>
      <c r="G1122" s="8" t="str">
        <f>G1121</f>
        <v>ERIC0001</v>
      </c>
      <c r="H1122" s="26"/>
      <c r="I1122" s="26"/>
      <c r="J1122" s="26"/>
      <c r="K1122" s="28">
        <f>+K1121</f>
        <v>42064</v>
      </c>
      <c r="L1122" s="26" t="str">
        <f>L1121</f>
        <v>10411</v>
      </c>
      <c r="M1122" s="26"/>
      <c r="N1122" s="26"/>
      <c r="O1122" s="26" t="str">
        <f>"""GP Direct"",""Fabrikam, Inc."",""UPR30300"",""PAYRATE"",""0.00000"",""PAYROLCD"",""IN"",""STATECD"","""",""CHEKDATE"",""3/1/2015"",""UPRTRXAM"",""31.39000"""</f>
        <v>"GP Direct","Fabrikam, Inc.","UPR30300","PAYRATE","0.00000","PAYROLCD","IN","STATECD","","CHEKDATE","3/1/2015","UPRTRXAM","31.39000"</v>
      </c>
      <c r="P1122" s="29">
        <v>0</v>
      </c>
      <c r="Q1122" s="26" t="str">
        <f>"IN"</f>
        <v>IN</v>
      </c>
      <c r="R1122" s="26"/>
      <c r="S1122" s="28">
        <v>42064</v>
      </c>
      <c r="T1122" s="29">
        <v>31.39</v>
      </c>
    </row>
    <row r="1123" spans="1:20" s="7" customFormat="1" hidden="1" outlineLevel="3" x14ac:dyDescent="0.2">
      <c r="A1123" s="7" t="s">
        <v>92</v>
      </c>
      <c r="C1123" s="7" t="str">
        <f t="shared" si="170"/>
        <v>Gregory</v>
      </c>
      <c r="D1123" s="7" t="str">
        <f>+D1122</f>
        <v>Erickson</v>
      </c>
      <c r="E1123" s="8" t="str">
        <f>E1122</f>
        <v>SALES</v>
      </c>
      <c r="G1123" s="8" t="str">
        <f>G1122</f>
        <v>ERIC0001</v>
      </c>
      <c r="H1123" s="26"/>
      <c r="I1123" s="26"/>
      <c r="J1123" s="26"/>
      <c r="K1123" s="28">
        <f>+K1122</f>
        <v>42064</v>
      </c>
      <c r="L1123" s="26" t="str">
        <f>L1122</f>
        <v>10411</v>
      </c>
      <c r="M1123" s="26"/>
      <c r="N1123" s="26"/>
      <c r="O1123" s="26" t="str">
        <f>"""GP Direct"",""Fabrikam, Inc."",""UPR30300"",""PAYRATE"",""0.00000"",""PAYROLCD"",""INS"",""STATECD"","""",""CHEKDATE"",""3/1/2015"",""UPRTRXAM"",""49.36000"""</f>
        <v>"GP Direct","Fabrikam, Inc.","UPR30300","PAYRATE","0.00000","PAYROLCD","INS","STATECD","","CHEKDATE","3/1/2015","UPRTRXAM","49.36000"</v>
      </c>
      <c r="P1123" s="29">
        <v>0</v>
      </c>
      <c r="Q1123" s="26" t="str">
        <f>"INS"</f>
        <v>INS</v>
      </c>
      <c r="R1123" s="26"/>
      <c r="S1123" s="28">
        <v>42064</v>
      </c>
      <c r="T1123" s="29">
        <v>49.36</v>
      </c>
    </row>
    <row r="1124" spans="1:20" s="7" customFormat="1" hidden="1" outlineLevel="3" x14ac:dyDescent="0.2">
      <c r="A1124" s="7" t="s">
        <v>92</v>
      </c>
      <c r="C1124" s="7" t="str">
        <f t="shared" si="170"/>
        <v>Gregory</v>
      </c>
      <c r="D1124" s="7" t="str">
        <f>+D1123</f>
        <v>Erickson</v>
      </c>
      <c r="E1124" s="8" t="str">
        <f>E1123</f>
        <v>SALES</v>
      </c>
      <c r="G1124" s="8" t="str">
        <f>G1123</f>
        <v>ERIC0001</v>
      </c>
      <c r="H1124" s="26"/>
      <c r="I1124" s="26"/>
      <c r="J1124" s="26"/>
      <c r="K1124" s="28">
        <f>+K1123</f>
        <v>42064</v>
      </c>
      <c r="L1124" s="26" t="str">
        <f>L1123</f>
        <v>10411</v>
      </c>
      <c r="M1124" s="26"/>
      <c r="N1124" s="26"/>
      <c r="O1124" s="26" t="str">
        <f>"""GP Direct"",""Fabrikam, Inc."",""UPR30300"",""PAYRATE"",""0.00000"",""PAYROLCD"",""MED"",""STATECD"","""",""CHEKDATE"",""3/1/2015"",""UPRTRXAM"",""5.00000"""</f>
        <v>"GP Direct","Fabrikam, Inc.","UPR30300","PAYRATE","0.00000","PAYROLCD","MED","STATECD","","CHEKDATE","3/1/2015","UPRTRXAM","5.00000"</v>
      </c>
      <c r="P1124" s="29">
        <v>0</v>
      </c>
      <c r="Q1124" s="26" t="str">
        <f>"MED"</f>
        <v>MED</v>
      </c>
      <c r="R1124" s="26"/>
      <c r="S1124" s="28">
        <v>42064</v>
      </c>
      <c r="T1124" s="29">
        <v>5</v>
      </c>
    </row>
    <row r="1125" spans="1:20" s="7" customFormat="1" hidden="1" outlineLevel="3" x14ac:dyDescent="0.2">
      <c r="A1125" s="7" t="s">
        <v>92</v>
      </c>
      <c r="C1125" s="7" t="str">
        <f t="shared" si="170"/>
        <v>Gregory</v>
      </c>
      <c r="D1125" s="7" t="str">
        <f>+D1124</f>
        <v>Erickson</v>
      </c>
      <c r="E1125" s="8" t="str">
        <f>E1124</f>
        <v>SALES</v>
      </c>
      <c r="G1125" s="8" t="str">
        <f>G1124</f>
        <v>ERIC0001</v>
      </c>
      <c r="H1125" s="26"/>
      <c r="I1125" s="26"/>
      <c r="J1125" s="26"/>
      <c r="K1125" s="28">
        <f>+K1124</f>
        <v>42064</v>
      </c>
      <c r="L1125" s="26" t="str">
        <f>L1124</f>
        <v>10411</v>
      </c>
      <c r="M1125" s="26"/>
      <c r="N1125" s="26"/>
      <c r="O1125" s="26" t="str">
        <f>"""GP Direct"",""Fabrikam, Inc."",""UPR30300"",""PAYRATE"",""24000.00000"",""PAYROLCD"",""SALY"",""STATECD"",""IN"",""CHEKDATE"",""3/1/2015"",""UPRTRXAM"",""1000.00000"""</f>
        <v>"GP Direct","Fabrikam, Inc.","UPR30300","PAYRATE","24000.00000","PAYROLCD","SALY","STATECD","IN","CHEKDATE","3/1/2015","UPRTRXAM","1000.00000"</v>
      </c>
      <c r="P1125" s="29">
        <v>24000</v>
      </c>
      <c r="Q1125" s="26" t="str">
        <f>"SALY"</f>
        <v>SALY</v>
      </c>
      <c r="R1125" s="26" t="str">
        <f>"IN"</f>
        <v>IN</v>
      </c>
      <c r="S1125" s="28">
        <v>42064</v>
      </c>
      <c r="T1125" s="29">
        <v>1000</v>
      </c>
    </row>
    <row r="1126" spans="1:20" s="7" customFormat="1" hidden="1" outlineLevel="3" x14ac:dyDescent="0.2">
      <c r="A1126" s="7" t="s">
        <v>92</v>
      </c>
      <c r="C1126" s="7" t="str">
        <f>+C1120</f>
        <v>Gregory</v>
      </c>
      <c r="D1126" s="7" t="str">
        <f>+D1120</f>
        <v>Erickson</v>
      </c>
      <c r="E1126" s="8" t="str">
        <f>E1120</f>
        <v>SALES</v>
      </c>
      <c r="G1126" s="8" t="str">
        <f>G1120</f>
        <v>ERIC0001</v>
      </c>
      <c r="K1126" s="12">
        <f>+K1120</f>
        <v>42064</v>
      </c>
      <c r="L1126" s="8" t="str">
        <f>L1120</f>
        <v>10411</v>
      </c>
      <c r="O1126" s="8"/>
      <c r="T1126" s="20"/>
    </row>
    <row r="1127" spans="1:20" s="7" customFormat="1" hidden="1" outlineLevel="2" collapsed="1" x14ac:dyDescent="0.2">
      <c r="A1127" s="7" t="s">
        <v>92</v>
      </c>
      <c r="C1127" s="7" t="str">
        <f t="shared" si="168"/>
        <v>Gregory</v>
      </c>
      <c r="D1127" s="7" t="str">
        <f>+D1126</f>
        <v>Erickson</v>
      </c>
      <c r="E1127" s="8" t="str">
        <f>E1126</f>
        <v>SALES</v>
      </c>
      <c r="G1127" s="8" t="str">
        <f>G1126</f>
        <v>ERIC0001</v>
      </c>
      <c r="K1127" s="12">
        <f>+K1126</f>
        <v>42064</v>
      </c>
      <c r="L1127" s="8" t="str">
        <f>L1126</f>
        <v>10411</v>
      </c>
      <c r="M1127" s="33" t="str">
        <f>"Total for " &amp; $L1127</f>
        <v>Total for 10411</v>
      </c>
      <c r="N1127" s="34">
        <f>+K1127</f>
        <v>42064</v>
      </c>
      <c r="O1127" s="35"/>
      <c r="P1127" s="33"/>
      <c r="Q1127" s="33"/>
      <c r="R1127" s="33"/>
      <c r="S1127" s="33"/>
      <c r="T1127" s="36">
        <f>SUBTOTAL(9,T1120:T1126)</f>
        <v>1117.25</v>
      </c>
    </row>
    <row r="1128" spans="1:20" s="7" customFormat="1" hidden="1" outlineLevel="3" x14ac:dyDescent="0.2">
      <c r="A1128" s="7" t="s">
        <v>92</v>
      </c>
      <c r="C1128" s="7" t="str">
        <f t="shared" si="168"/>
        <v>Gregory</v>
      </c>
      <c r="D1128" s="7" t="str">
        <f>+D1127</f>
        <v>Erickson</v>
      </c>
      <c r="E1128" s="8" t="str">
        <f>E1127</f>
        <v>SALES</v>
      </c>
      <c r="G1128" s="8" t="str">
        <f>G1127</f>
        <v>ERIC0001</v>
      </c>
      <c r="H1128" s="26"/>
      <c r="I1128" s="26"/>
      <c r="J1128" s="26"/>
      <c r="K1128" s="28">
        <f>+N1128</f>
        <v>42095</v>
      </c>
      <c r="L1128" s="26" t="str">
        <f>M1128</f>
        <v>10436</v>
      </c>
      <c r="M1128" s="26" t="str">
        <f>"10436"</f>
        <v>10436</v>
      </c>
      <c r="N1128" s="28">
        <v>42095</v>
      </c>
      <c r="O1128" s="26"/>
      <c r="P1128" s="26"/>
      <c r="Q1128" s="26"/>
      <c r="R1128" s="26"/>
      <c r="S1128" s="26"/>
      <c r="T1128" s="27"/>
    </row>
    <row r="1129" spans="1:20" s="7" customFormat="1" hidden="1" outlineLevel="3" x14ac:dyDescent="0.2">
      <c r="A1129" s="7" t="s">
        <v>92</v>
      </c>
      <c r="C1129" s="7" t="str">
        <f t="shared" si="168"/>
        <v>Gregory</v>
      </c>
      <c r="D1129" s="7" t="str">
        <f>+D1128</f>
        <v>Erickson</v>
      </c>
      <c r="E1129" s="8" t="str">
        <f>E1128</f>
        <v>SALES</v>
      </c>
      <c r="G1129" s="8" t="str">
        <f>G1128</f>
        <v>ERIC0001</v>
      </c>
      <c r="H1129" s="26"/>
      <c r="I1129" s="26"/>
      <c r="J1129" s="26"/>
      <c r="K1129" s="28">
        <f>+K1128</f>
        <v>42095</v>
      </c>
      <c r="L1129" s="26" t="str">
        <f>L1128</f>
        <v>10436</v>
      </c>
      <c r="M1129" s="26"/>
      <c r="N1129" s="26"/>
      <c r="O1129" s="26" t="str">
        <f>"""GP Direct"",""Fabrikam, Inc."",""UPR30300"",""PAYRATE"",""0.00000"",""PAYROLCD"",""401K"",""STATECD"","""",""CHEKDATE"",""4/1/2015"",""UPRTRXAM"",""1.50000"""</f>
        <v>"GP Direct","Fabrikam, Inc.","UPR30300","PAYRATE","0.00000","PAYROLCD","401K","STATECD","","CHEKDATE","4/1/2015","UPRTRXAM","1.50000"</v>
      </c>
      <c r="P1129" s="29">
        <v>0</v>
      </c>
      <c r="Q1129" s="26" t="str">
        <f>"401K"</f>
        <v>401K</v>
      </c>
      <c r="R1129" s="26"/>
      <c r="S1129" s="28">
        <v>42095</v>
      </c>
      <c r="T1129" s="29">
        <v>1.5</v>
      </c>
    </row>
    <row r="1130" spans="1:20" s="7" customFormat="1" hidden="1" outlineLevel="3" x14ac:dyDescent="0.2">
      <c r="A1130" s="7" t="s">
        <v>92</v>
      </c>
      <c r="C1130" s="7" t="str">
        <f t="shared" ref="C1130:C1134" si="171">+C1129</f>
        <v>Gregory</v>
      </c>
      <c r="D1130" s="7" t="str">
        <f>+D1129</f>
        <v>Erickson</v>
      </c>
      <c r="E1130" s="8" t="str">
        <f>E1129</f>
        <v>SALES</v>
      </c>
      <c r="G1130" s="8" t="str">
        <f>G1129</f>
        <v>ERIC0001</v>
      </c>
      <c r="H1130" s="26"/>
      <c r="I1130" s="26"/>
      <c r="J1130" s="26"/>
      <c r="K1130" s="28">
        <f>+K1129</f>
        <v>42095</v>
      </c>
      <c r="L1130" s="26" t="str">
        <f>L1129</f>
        <v>10436</v>
      </c>
      <c r="M1130" s="26"/>
      <c r="N1130" s="26"/>
      <c r="O1130" s="26" t="str">
        <f>"""GP Direct"",""Fabrikam, Inc."",""UPR30300"",""PAYRATE"",""0.00000"",""PAYROLCD"",""401K"",""STATECD"","""",""CHEKDATE"",""4/1/2015"",""UPRTRXAM"",""30.00000"""</f>
        <v>"GP Direct","Fabrikam, Inc.","UPR30300","PAYRATE","0.00000","PAYROLCD","401K","STATECD","","CHEKDATE","4/1/2015","UPRTRXAM","30.00000"</v>
      </c>
      <c r="P1130" s="29">
        <v>0</v>
      </c>
      <c r="Q1130" s="26" t="str">
        <f>"401K"</f>
        <v>401K</v>
      </c>
      <c r="R1130" s="26"/>
      <c r="S1130" s="28">
        <v>42095</v>
      </c>
      <c r="T1130" s="29">
        <v>30</v>
      </c>
    </row>
    <row r="1131" spans="1:20" s="7" customFormat="1" hidden="1" outlineLevel="3" x14ac:dyDescent="0.2">
      <c r="A1131" s="7" t="s">
        <v>92</v>
      </c>
      <c r="C1131" s="7" t="str">
        <f t="shared" si="171"/>
        <v>Gregory</v>
      </c>
      <c r="D1131" s="7" t="str">
        <f>+D1130</f>
        <v>Erickson</v>
      </c>
      <c r="E1131" s="8" t="str">
        <f>E1130</f>
        <v>SALES</v>
      </c>
      <c r="G1131" s="8" t="str">
        <f>G1130</f>
        <v>ERIC0001</v>
      </c>
      <c r="H1131" s="26"/>
      <c r="I1131" s="26"/>
      <c r="J1131" s="26"/>
      <c r="K1131" s="28">
        <f>+K1130</f>
        <v>42095</v>
      </c>
      <c r="L1131" s="26" t="str">
        <f>L1130</f>
        <v>10436</v>
      </c>
      <c r="M1131" s="26"/>
      <c r="N1131" s="26"/>
      <c r="O1131" s="26" t="str">
        <f>"""GP Direct"",""Fabrikam, Inc."",""UPR30300"",""PAYRATE"",""0.00000"",""PAYROLCD"",""IN"",""STATECD"","""",""CHEKDATE"",""4/1/2015"",""UPRTRXAM"",""31.39000"""</f>
        <v>"GP Direct","Fabrikam, Inc.","UPR30300","PAYRATE","0.00000","PAYROLCD","IN","STATECD","","CHEKDATE","4/1/2015","UPRTRXAM","31.39000"</v>
      </c>
      <c r="P1131" s="29">
        <v>0</v>
      </c>
      <c r="Q1131" s="26" t="str">
        <f>"IN"</f>
        <v>IN</v>
      </c>
      <c r="R1131" s="26"/>
      <c r="S1131" s="28">
        <v>42095</v>
      </c>
      <c r="T1131" s="29">
        <v>31.39</v>
      </c>
    </row>
    <row r="1132" spans="1:20" s="7" customFormat="1" hidden="1" outlineLevel="3" x14ac:dyDescent="0.2">
      <c r="A1132" s="7" t="s">
        <v>92</v>
      </c>
      <c r="C1132" s="7" t="str">
        <f t="shared" si="171"/>
        <v>Gregory</v>
      </c>
      <c r="D1132" s="7" t="str">
        <f>+D1131</f>
        <v>Erickson</v>
      </c>
      <c r="E1132" s="8" t="str">
        <f>E1131</f>
        <v>SALES</v>
      </c>
      <c r="G1132" s="8" t="str">
        <f>G1131</f>
        <v>ERIC0001</v>
      </c>
      <c r="H1132" s="26"/>
      <c r="I1132" s="26"/>
      <c r="J1132" s="26"/>
      <c r="K1132" s="28">
        <f>+K1131</f>
        <v>42095</v>
      </c>
      <c r="L1132" s="26" t="str">
        <f>L1131</f>
        <v>10436</v>
      </c>
      <c r="M1132" s="26"/>
      <c r="N1132" s="26"/>
      <c r="O1132" s="26" t="str">
        <f>"""GP Direct"",""Fabrikam, Inc."",""UPR30300"",""PAYRATE"",""0.00000"",""PAYROLCD"",""INS"",""STATECD"","""",""CHEKDATE"",""4/1/2015"",""UPRTRXAM"",""49.36000"""</f>
        <v>"GP Direct","Fabrikam, Inc.","UPR30300","PAYRATE","0.00000","PAYROLCD","INS","STATECD","","CHEKDATE","4/1/2015","UPRTRXAM","49.36000"</v>
      </c>
      <c r="P1132" s="29">
        <v>0</v>
      </c>
      <c r="Q1132" s="26" t="str">
        <f>"INS"</f>
        <v>INS</v>
      </c>
      <c r="R1132" s="26"/>
      <c r="S1132" s="28">
        <v>42095</v>
      </c>
      <c r="T1132" s="29">
        <v>49.36</v>
      </c>
    </row>
    <row r="1133" spans="1:20" s="7" customFormat="1" hidden="1" outlineLevel="3" x14ac:dyDescent="0.2">
      <c r="A1133" s="7" t="s">
        <v>92</v>
      </c>
      <c r="C1133" s="7" t="str">
        <f t="shared" si="171"/>
        <v>Gregory</v>
      </c>
      <c r="D1133" s="7" t="str">
        <f>+D1132</f>
        <v>Erickson</v>
      </c>
      <c r="E1133" s="8" t="str">
        <f>E1132</f>
        <v>SALES</v>
      </c>
      <c r="G1133" s="8" t="str">
        <f>G1132</f>
        <v>ERIC0001</v>
      </c>
      <c r="H1133" s="26"/>
      <c r="I1133" s="26"/>
      <c r="J1133" s="26"/>
      <c r="K1133" s="28">
        <f>+K1132</f>
        <v>42095</v>
      </c>
      <c r="L1133" s="26" t="str">
        <f>L1132</f>
        <v>10436</v>
      </c>
      <c r="M1133" s="26"/>
      <c r="N1133" s="26"/>
      <c r="O1133" s="26" t="str">
        <f>"""GP Direct"",""Fabrikam, Inc."",""UPR30300"",""PAYRATE"",""0.00000"",""PAYROLCD"",""MED"",""STATECD"","""",""CHEKDATE"",""4/1/2015"",""UPRTRXAM"",""5.00000"""</f>
        <v>"GP Direct","Fabrikam, Inc.","UPR30300","PAYRATE","0.00000","PAYROLCD","MED","STATECD","","CHEKDATE","4/1/2015","UPRTRXAM","5.00000"</v>
      </c>
      <c r="P1133" s="29">
        <v>0</v>
      </c>
      <c r="Q1133" s="26" t="str">
        <f>"MED"</f>
        <v>MED</v>
      </c>
      <c r="R1133" s="26"/>
      <c r="S1133" s="28">
        <v>42095</v>
      </c>
      <c r="T1133" s="29">
        <v>5</v>
      </c>
    </row>
    <row r="1134" spans="1:20" s="7" customFormat="1" hidden="1" outlineLevel="3" x14ac:dyDescent="0.2">
      <c r="A1134" s="7" t="s">
        <v>92</v>
      </c>
      <c r="C1134" s="7" t="str">
        <f t="shared" si="171"/>
        <v>Gregory</v>
      </c>
      <c r="D1134" s="7" t="str">
        <f>+D1133</f>
        <v>Erickson</v>
      </c>
      <c r="E1134" s="8" t="str">
        <f>E1133</f>
        <v>SALES</v>
      </c>
      <c r="G1134" s="8" t="str">
        <f>G1133</f>
        <v>ERIC0001</v>
      </c>
      <c r="H1134" s="26"/>
      <c r="I1134" s="26"/>
      <c r="J1134" s="26"/>
      <c r="K1134" s="28">
        <f>+K1133</f>
        <v>42095</v>
      </c>
      <c r="L1134" s="26" t="str">
        <f>L1133</f>
        <v>10436</v>
      </c>
      <c r="M1134" s="26"/>
      <c r="N1134" s="26"/>
      <c r="O1134" s="26" t="str">
        <f>"""GP Direct"",""Fabrikam, Inc."",""UPR30300"",""PAYRATE"",""24000.00000"",""PAYROLCD"",""SALY"",""STATECD"",""IN"",""CHEKDATE"",""4/1/2015"",""UPRTRXAM"",""1000.00000"""</f>
        <v>"GP Direct","Fabrikam, Inc.","UPR30300","PAYRATE","24000.00000","PAYROLCD","SALY","STATECD","IN","CHEKDATE","4/1/2015","UPRTRXAM","1000.00000"</v>
      </c>
      <c r="P1134" s="29">
        <v>24000</v>
      </c>
      <c r="Q1134" s="26" t="str">
        <f>"SALY"</f>
        <v>SALY</v>
      </c>
      <c r="R1134" s="26" t="str">
        <f>"IN"</f>
        <v>IN</v>
      </c>
      <c r="S1134" s="28">
        <v>42095</v>
      </c>
      <c r="T1134" s="29">
        <v>1000</v>
      </c>
    </row>
    <row r="1135" spans="1:20" s="7" customFormat="1" hidden="1" outlineLevel="3" x14ac:dyDescent="0.2">
      <c r="A1135" s="7" t="s">
        <v>92</v>
      </c>
      <c r="C1135" s="7" t="str">
        <f>+C1129</f>
        <v>Gregory</v>
      </c>
      <c r="D1135" s="7" t="str">
        <f>+D1129</f>
        <v>Erickson</v>
      </c>
      <c r="E1135" s="8" t="str">
        <f>E1129</f>
        <v>SALES</v>
      </c>
      <c r="G1135" s="8" t="str">
        <f>G1129</f>
        <v>ERIC0001</v>
      </c>
      <c r="K1135" s="12">
        <f>+K1129</f>
        <v>42095</v>
      </c>
      <c r="L1135" s="8" t="str">
        <f>L1129</f>
        <v>10436</v>
      </c>
      <c r="O1135" s="8"/>
      <c r="T1135" s="20"/>
    </row>
    <row r="1136" spans="1:20" s="7" customFormat="1" hidden="1" outlineLevel="2" collapsed="1" x14ac:dyDescent="0.2">
      <c r="A1136" s="7" t="s">
        <v>92</v>
      </c>
      <c r="C1136" s="7" t="str">
        <f t="shared" si="168"/>
        <v>Gregory</v>
      </c>
      <c r="D1136" s="7" t="str">
        <f>+D1135</f>
        <v>Erickson</v>
      </c>
      <c r="E1136" s="8" t="str">
        <f>E1135</f>
        <v>SALES</v>
      </c>
      <c r="G1136" s="8" t="str">
        <f>G1135</f>
        <v>ERIC0001</v>
      </c>
      <c r="K1136" s="12">
        <f>+K1135</f>
        <v>42095</v>
      </c>
      <c r="L1136" s="8" t="str">
        <f>L1135</f>
        <v>10436</v>
      </c>
      <c r="M1136" s="33" t="str">
        <f>"Total for " &amp; $L1136</f>
        <v>Total for 10436</v>
      </c>
      <c r="N1136" s="34">
        <f>+K1136</f>
        <v>42095</v>
      </c>
      <c r="O1136" s="35"/>
      <c r="P1136" s="33"/>
      <c r="Q1136" s="33"/>
      <c r="R1136" s="33"/>
      <c r="S1136" s="33"/>
      <c r="T1136" s="36">
        <f>SUBTOTAL(9,T1129:T1135)</f>
        <v>1117.25</v>
      </c>
    </row>
    <row r="1137" spans="1:20" s="7" customFormat="1" hidden="1" outlineLevel="3" x14ac:dyDescent="0.2">
      <c r="A1137" s="7" t="s">
        <v>92</v>
      </c>
      <c r="C1137" s="7" t="str">
        <f t="shared" si="168"/>
        <v>Gregory</v>
      </c>
      <c r="D1137" s="7" t="str">
        <f>+D1136</f>
        <v>Erickson</v>
      </c>
      <c r="E1137" s="8" t="str">
        <f>E1136</f>
        <v>SALES</v>
      </c>
      <c r="G1137" s="8" t="str">
        <f>G1136</f>
        <v>ERIC0001</v>
      </c>
      <c r="H1137" s="26"/>
      <c r="I1137" s="26"/>
      <c r="J1137" s="26"/>
      <c r="K1137" s="28">
        <f>+N1137</f>
        <v>42125</v>
      </c>
      <c r="L1137" s="26" t="str">
        <f>M1137</f>
        <v>10461</v>
      </c>
      <c r="M1137" s="26" t="str">
        <f>"10461"</f>
        <v>10461</v>
      </c>
      <c r="N1137" s="28">
        <v>42125</v>
      </c>
      <c r="O1137" s="26"/>
      <c r="P1137" s="26"/>
      <c r="Q1137" s="26"/>
      <c r="R1137" s="26"/>
      <c r="S1137" s="26"/>
      <c r="T1137" s="27"/>
    </row>
    <row r="1138" spans="1:20" s="7" customFormat="1" hidden="1" outlineLevel="3" x14ac:dyDescent="0.2">
      <c r="A1138" s="7" t="s">
        <v>92</v>
      </c>
      <c r="C1138" s="7" t="str">
        <f t="shared" si="168"/>
        <v>Gregory</v>
      </c>
      <c r="D1138" s="7" t="str">
        <f>+D1137</f>
        <v>Erickson</v>
      </c>
      <c r="E1138" s="8" t="str">
        <f>E1137</f>
        <v>SALES</v>
      </c>
      <c r="G1138" s="8" t="str">
        <f>G1137</f>
        <v>ERIC0001</v>
      </c>
      <c r="H1138" s="26"/>
      <c r="I1138" s="26"/>
      <c r="J1138" s="26"/>
      <c r="K1138" s="28">
        <f>+K1137</f>
        <v>42125</v>
      </c>
      <c r="L1138" s="26" t="str">
        <f>L1137</f>
        <v>10461</v>
      </c>
      <c r="M1138" s="26"/>
      <c r="N1138" s="26"/>
      <c r="O1138" s="26" t="str">
        <f>"""GP Direct"",""Fabrikam, Inc."",""UPR30300"",""PAYRATE"",""0.00000"",""PAYROLCD"",""401K"",""STATECD"","""",""CHEKDATE"",""5/1/2015"",""UPRTRXAM"",""1.50000"""</f>
        <v>"GP Direct","Fabrikam, Inc.","UPR30300","PAYRATE","0.00000","PAYROLCD","401K","STATECD","","CHEKDATE","5/1/2015","UPRTRXAM","1.50000"</v>
      </c>
      <c r="P1138" s="29">
        <v>0</v>
      </c>
      <c r="Q1138" s="26" t="str">
        <f>"401K"</f>
        <v>401K</v>
      </c>
      <c r="R1138" s="26"/>
      <c r="S1138" s="28">
        <v>42125</v>
      </c>
      <c r="T1138" s="29">
        <v>1.5</v>
      </c>
    </row>
    <row r="1139" spans="1:20" s="7" customFormat="1" hidden="1" outlineLevel="3" x14ac:dyDescent="0.2">
      <c r="A1139" s="7" t="s">
        <v>92</v>
      </c>
      <c r="C1139" s="7" t="str">
        <f t="shared" ref="C1139:C1143" si="172">+C1138</f>
        <v>Gregory</v>
      </c>
      <c r="D1139" s="7" t="str">
        <f>+D1138</f>
        <v>Erickson</v>
      </c>
      <c r="E1139" s="8" t="str">
        <f>E1138</f>
        <v>SALES</v>
      </c>
      <c r="G1139" s="8" t="str">
        <f>G1138</f>
        <v>ERIC0001</v>
      </c>
      <c r="H1139" s="26"/>
      <c r="I1139" s="26"/>
      <c r="J1139" s="26"/>
      <c r="K1139" s="28">
        <f>+K1138</f>
        <v>42125</v>
      </c>
      <c r="L1139" s="26" t="str">
        <f>L1138</f>
        <v>10461</v>
      </c>
      <c r="M1139" s="26"/>
      <c r="N1139" s="26"/>
      <c r="O1139" s="26" t="str">
        <f>"""GP Direct"",""Fabrikam, Inc."",""UPR30300"",""PAYRATE"",""0.00000"",""PAYROLCD"",""401K"",""STATECD"","""",""CHEKDATE"",""5/1/2015"",""UPRTRXAM"",""30.00000"""</f>
        <v>"GP Direct","Fabrikam, Inc.","UPR30300","PAYRATE","0.00000","PAYROLCD","401K","STATECD","","CHEKDATE","5/1/2015","UPRTRXAM","30.00000"</v>
      </c>
      <c r="P1139" s="29">
        <v>0</v>
      </c>
      <c r="Q1139" s="26" t="str">
        <f>"401K"</f>
        <v>401K</v>
      </c>
      <c r="R1139" s="26"/>
      <c r="S1139" s="28">
        <v>42125</v>
      </c>
      <c r="T1139" s="29">
        <v>30</v>
      </c>
    </row>
    <row r="1140" spans="1:20" s="7" customFormat="1" hidden="1" outlineLevel="3" x14ac:dyDescent="0.2">
      <c r="A1140" s="7" t="s">
        <v>92</v>
      </c>
      <c r="C1140" s="7" t="str">
        <f t="shared" si="172"/>
        <v>Gregory</v>
      </c>
      <c r="D1140" s="7" t="str">
        <f>+D1139</f>
        <v>Erickson</v>
      </c>
      <c r="E1140" s="8" t="str">
        <f>E1139</f>
        <v>SALES</v>
      </c>
      <c r="G1140" s="8" t="str">
        <f>G1139</f>
        <v>ERIC0001</v>
      </c>
      <c r="H1140" s="26"/>
      <c r="I1140" s="26"/>
      <c r="J1140" s="26"/>
      <c r="K1140" s="28">
        <f>+K1139</f>
        <v>42125</v>
      </c>
      <c r="L1140" s="26" t="str">
        <f>L1139</f>
        <v>10461</v>
      </c>
      <c r="M1140" s="26"/>
      <c r="N1140" s="26"/>
      <c r="O1140" s="26" t="str">
        <f>"""GP Direct"",""Fabrikam, Inc."",""UPR30300"",""PAYRATE"",""0.00000"",""PAYROLCD"",""IN"",""STATECD"","""",""CHEKDATE"",""5/1/2015"",""UPRTRXAM"",""31.39000"""</f>
        <v>"GP Direct","Fabrikam, Inc.","UPR30300","PAYRATE","0.00000","PAYROLCD","IN","STATECD","","CHEKDATE","5/1/2015","UPRTRXAM","31.39000"</v>
      </c>
      <c r="P1140" s="29">
        <v>0</v>
      </c>
      <c r="Q1140" s="26" t="str">
        <f>"IN"</f>
        <v>IN</v>
      </c>
      <c r="R1140" s="26"/>
      <c r="S1140" s="28">
        <v>42125</v>
      </c>
      <c r="T1140" s="29">
        <v>31.39</v>
      </c>
    </row>
    <row r="1141" spans="1:20" s="7" customFormat="1" hidden="1" outlineLevel="3" x14ac:dyDescent="0.2">
      <c r="A1141" s="7" t="s">
        <v>92</v>
      </c>
      <c r="C1141" s="7" t="str">
        <f t="shared" si="172"/>
        <v>Gregory</v>
      </c>
      <c r="D1141" s="7" t="str">
        <f>+D1140</f>
        <v>Erickson</v>
      </c>
      <c r="E1141" s="8" t="str">
        <f>E1140</f>
        <v>SALES</v>
      </c>
      <c r="G1141" s="8" t="str">
        <f>G1140</f>
        <v>ERIC0001</v>
      </c>
      <c r="H1141" s="26"/>
      <c r="I1141" s="26"/>
      <c r="J1141" s="26"/>
      <c r="K1141" s="28">
        <f>+K1140</f>
        <v>42125</v>
      </c>
      <c r="L1141" s="26" t="str">
        <f>L1140</f>
        <v>10461</v>
      </c>
      <c r="M1141" s="26"/>
      <c r="N1141" s="26"/>
      <c r="O1141" s="26" t="str">
        <f>"""GP Direct"",""Fabrikam, Inc."",""UPR30300"",""PAYRATE"",""0.00000"",""PAYROLCD"",""INS"",""STATECD"","""",""CHEKDATE"",""5/1/2015"",""UPRTRXAM"",""49.36000"""</f>
        <v>"GP Direct","Fabrikam, Inc.","UPR30300","PAYRATE","0.00000","PAYROLCD","INS","STATECD","","CHEKDATE","5/1/2015","UPRTRXAM","49.36000"</v>
      </c>
      <c r="P1141" s="29">
        <v>0</v>
      </c>
      <c r="Q1141" s="26" t="str">
        <f>"INS"</f>
        <v>INS</v>
      </c>
      <c r="R1141" s="26"/>
      <c r="S1141" s="28">
        <v>42125</v>
      </c>
      <c r="T1141" s="29">
        <v>49.36</v>
      </c>
    </row>
    <row r="1142" spans="1:20" s="7" customFormat="1" hidden="1" outlineLevel="3" x14ac:dyDescent="0.2">
      <c r="A1142" s="7" t="s">
        <v>92</v>
      </c>
      <c r="C1142" s="7" t="str">
        <f t="shared" si="172"/>
        <v>Gregory</v>
      </c>
      <c r="D1142" s="7" t="str">
        <f>+D1141</f>
        <v>Erickson</v>
      </c>
      <c r="E1142" s="8" t="str">
        <f>E1141</f>
        <v>SALES</v>
      </c>
      <c r="G1142" s="8" t="str">
        <f>G1141</f>
        <v>ERIC0001</v>
      </c>
      <c r="H1142" s="26"/>
      <c r="I1142" s="26"/>
      <c r="J1142" s="26"/>
      <c r="K1142" s="28">
        <f>+K1141</f>
        <v>42125</v>
      </c>
      <c r="L1142" s="26" t="str">
        <f>L1141</f>
        <v>10461</v>
      </c>
      <c r="M1142" s="26"/>
      <c r="N1142" s="26"/>
      <c r="O1142" s="26" t="str">
        <f>"""GP Direct"",""Fabrikam, Inc."",""UPR30300"",""PAYRATE"",""0.00000"",""PAYROLCD"",""MED"",""STATECD"","""",""CHEKDATE"",""5/1/2015"",""UPRTRXAM"",""5.00000"""</f>
        <v>"GP Direct","Fabrikam, Inc.","UPR30300","PAYRATE","0.00000","PAYROLCD","MED","STATECD","","CHEKDATE","5/1/2015","UPRTRXAM","5.00000"</v>
      </c>
      <c r="P1142" s="29">
        <v>0</v>
      </c>
      <c r="Q1142" s="26" t="str">
        <f>"MED"</f>
        <v>MED</v>
      </c>
      <c r="R1142" s="26"/>
      <c r="S1142" s="28">
        <v>42125</v>
      </c>
      <c r="T1142" s="29">
        <v>5</v>
      </c>
    </row>
    <row r="1143" spans="1:20" s="7" customFormat="1" hidden="1" outlineLevel="3" x14ac:dyDescent="0.2">
      <c r="A1143" s="7" t="s">
        <v>92</v>
      </c>
      <c r="C1143" s="7" t="str">
        <f t="shared" si="172"/>
        <v>Gregory</v>
      </c>
      <c r="D1143" s="7" t="str">
        <f>+D1142</f>
        <v>Erickson</v>
      </c>
      <c r="E1143" s="8" t="str">
        <f>E1142</f>
        <v>SALES</v>
      </c>
      <c r="G1143" s="8" t="str">
        <f>G1142</f>
        <v>ERIC0001</v>
      </c>
      <c r="H1143" s="26"/>
      <c r="I1143" s="26"/>
      <c r="J1143" s="26"/>
      <c r="K1143" s="28">
        <f>+K1142</f>
        <v>42125</v>
      </c>
      <c r="L1143" s="26" t="str">
        <f>L1142</f>
        <v>10461</v>
      </c>
      <c r="M1143" s="26"/>
      <c r="N1143" s="26"/>
      <c r="O1143" s="26" t="str">
        <f>"""GP Direct"",""Fabrikam, Inc."",""UPR30300"",""PAYRATE"",""24000.00000"",""PAYROLCD"",""SALY"",""STATECD"",""IN"",""CHEKDATE"",""5/1/2015"",""UPRTRXAM"",""1000.00000"""</f>
        <v>"GP Direct","Fabrikam, Inc.","UPR30300","PAYRATE","24000.00000","PAYROLCD","SALY","STATECD","IN","CHEKDATE","5/1/2015","UPRTRXAM","1000.00000"</v>
      </c>
      <c r="P1143" s="29">
        <v>24000</v>
      </c>
      <c r="Q1143" s="26" t="str">
        <f>"SALY"</f>
        <v>SALY</v>
      </c>
      <c r="R1143" s="26" t="str">
        <f>"IN"</f>
        <v>IN</v>
      </c>
      <c r="S1143" s="28">
        <v>42125</v>
      </c>
      <c r="T1143" s="29">
        <v>1000</v>
      </c>
    </row>
    <row r="1144" spans="1:20" s="7" customFormat="1" hidden="1" outlineLevel="3" x14ac:dyDescent="0.2">
      <c r="A1144" s="7" t="s">
        <v>92</v>
      </c>
      <c r="C1144" s="7" t="str">
        <f>+C1138</f>
        <v>Gregory</v>
      </c>
      <c r="D1144" s="7" t="str">
        <f>+D1138</f>
        <v>Erickson</v>
      </c>
      <c r="E1144" s="8" t="str">
        <f>E1138</f>
        <v>SALES</v>
      </c>
      <c r="G1144" s="8" t="str">
        <f>G1138</f>
        <v>ERIC0001</v>
      </c>
      <c r="K1144" s="12">
        <f>+K1138</f>
        <v>42125</v>
      </c>
      <c r="L1144" s="8" t="str">
        <f>L1138</f>
        <v>10461</v>
      </c>
      <c r="O1144" s="8"/>
      <c r="T1144" s="20"/>
    </row>
    <row r="1145" spans="1:20" s="7" customFormat="1" hidden="1" outlineLevel="2" collapsed="1" x14ac:dyDescent="0.2">
      <c r="A1145" s="7" t="s">
        <v>92</v>
      </c>
      <c r="C1145" s="7" t="str">
        <f t="shared" si="168"/>
        <v>Gregory</v>
      </c>
      <c r="D1145" s="7" t="str">
        <f>+D1144</f>
        <v>Erickson</v>
      </c>
      <c r="E1145" s="8" t="str">
        <f>E1144</f>
        <v>SALES</v>
      </c>
      <c r="G1145" s="8" t="str">
        <f>G1144</f>
        <v>ERIC0001</v>
      </c>
      <c r="K1145" s="12">
        <f>+K1144</f>
        <v>42125</v>
      </c>
      <c r="L1145" s="8" t="str">
        <f>L1144</f>
        <v>10461</v>
      </c>
      <c r="M1145" s="33" t="str">
        <f>"Total for " &amp; $L1145</f>
        <v>Total for 10461</v>
      </c>
      <c r="N1145" s="34">
        <f>+K1145</f>
        <v>42125</v>
      </c>
      <c r="O1145" s="35"/>
      <c r="P1145" s="33"/>
      <c r="Q1145" s="33"/>
      <c r="R1145" s="33"/>
      <c r="S1145" s="33"/>
      <c r="T1145" s="36">
        <f>SUBTOTAL(9,T1138:T1144)</f>
        <v>1117.25</v>
      </c>
    </row>
    <row r="1146" spans="1:20" s="7" customFormat="1" hidden="1" outlineLevel="3" x14ac:dyDescent="0.2">
      <c r="A1146" s="7" t="s">
        <v>92</v>
      </c>
      <c r="C1146" s="7" t="str">
        <f t="shared" si="168"/>
        <v>Gregory</v>
      </c>
      <c r="D1146" s="7" t="str">
        <f>+D1145</f>
        <v>Erickson</v>
      </c>
      <c r="E1146" s="8" t="str">
        <f>E1145</f>
        <v>SALES</v>
      </c>
      <c r="G1146" s="8" t="str">
        <f>G1145</f>
        <v>ERIC0001</v>
      </c>
      <c r="H1146" s="26"/>
      <c r="I1146" s="26"/>
      <c r="J1146" s="26"/>
      <c r="K1146" s="28">
        <f>+N1146</f>
        <v>42156</v>
      </c>
      <c r="L1146" s="26" t="str">
        <f>M1146</f>
        <v>10486</v>
      </c>
      <c r="M1146" s="26" t="str">
        <f>"10486"</f>
        <v>10486</v>
      </c>
      <c r="N1146" s="28">
        <v>42156</v>
      </c>
      <c r="O1146" s="26"/>
      <c r="P1146" s="26"/>
      <c r="Q1146" s="26"/>
      <c r="R1146" s="26"/>
      <c r="S1146" s="26"/>
      <c r="T1146" s="27"/>
    </row>
    <row r="1147" spans="1:20" s="7" customFormat="1" hidden="1" outlineLevel="3" x14ac:dyDescent="0.2">
      <c r="A1147" s="7" t="s">
        <v>92</v>
      </c>
      <c r="C1147" s="7" t="str">
        <f t="shared" si="168"/>
        <v>Gregory</v>
      </c>
      <c r="D1147" s="7" t="str">
        <f>+D1146</f>
        <v>Erickson</v>
      </c>
      <c r="E1147" s="8" t="str">
        <f>E1146</f>
        <v>SALES</v>
      </c>
      <c r="G1147" s="8" t="str">
        <f>G1146</f>
        <v>ERIC0001</v>
      </c>
      <c r="H1147" s="26"/>
      <c r="I1147" s="26"/>
      <c r="J1147" s="26"/>
      <c r="K1147" s="28">
        <f>+K1146</f>
        <v>42156</v>
      </c>
      <c r="L1147" s="26" t="str">
        <f>L1146</f>
        <v>10486</v>
      </c>
      <c r="M1147" s="26"/>
      <c r="N1147" s="26"/>
      <c r="O1147" s="26" t="str">
        <f>"""GP Direct"",""Fabrikam, Inc."",""UPR30300"",""PAYRATE"",""0.00000"",""PAYROLCD"",""401K"",""STATECD"","""",""CHEKDATE"",""6/1/2015"",""UPRTRXAM"",""1.50000"""</f>
        <v>"GP Direct","Fabrikam, Inc.","UPR30300","PAYRATE","0.00000","PAYROLCD","401K","STATECD","","CHEKDATE","6/1/2015","UPRTRXAM","1.50000"</v>
      </c>
      <c r="P1147" s="29">
        <v>0</v>
      </c>
      <c r="Q1147" s="26" t="str">
        <f>"401K"</f>
        <v>401K</v>
      </c>
      <c r="R1147" s="26"/>
      <c r="S1147" s="28">
        <v>42156</v>
      </c>
      <c r="T1147" s="29">
        <v>1.5</v>
      </c>
    </row>
    <row r="1148" spans="1:20" s="7" customFormat="1" hidden="1" outlineLevel="3" x14ac:dyDescent="0.2">
      <c r="A1148" s="7" t="s">
        <v>92</v>
      </c>
      <c r="C1148" s="7" t="str">
        <f t="shared" ref="C1148:C1152" si="173">+C1147</f>
        <v>Gregory</v>
      </c>
      <c r="D1148" s="7" t="str">
        <f>+D1147</f>
        <v>Erickson</v>
      </c>
      <c r="E1148" s="8" t="str">
        <f>E1147</f>
        <v>SALES</v>
      </c>
      <c r="G1148" s="8" t="str">
        <f>G1147</f>
        <v>ERIC0001</v>
      </c>
      <c r="H1148" s="26"/>
      <c r="I1148" s="26"/>
      <c r="J1148" s="26"/>
      <c r="K1148" s="28">
        <f>+K1147</f>
        <v>42156</v>
      </c>
      <c r="L1148" s="26" t="str">
        <f>L1147</f>
        <v>10486</v>
      </c>
      <c r="M1148" s="26"/>
      <c r="N1148" s="26"/>
      <c r="O1148" s="26" t="str">
        <f>"""GP Direct"",""Fabrikam, Inc."",""UPR30300"",""PAYRATE"",""0.00000"",""PAYROLCD"",""401K"",""STATECD"","""",""CHEKDATE"",""6/1/2015"",""UPRTRXAM"",""30.00000"""</f>
        <v>"GP Direct","Fabrikam, Inc.","UPR30300","PAYRATE","0.00000","PAYROLCD","401K","STATECD","","CHEKDATE","6/1/2015","UPRTRXAM","30.00000"</v>
      </c>
      <c r="P1148" s="29">
        <v>0</v>
      </c>
      <c r="Q1148" s="26" t="str">
        <f>"401K"</f>
        <v>401K</v>
      </c>
      <c r="R1148" s="26"/>
      <c r="S1148" s="28">
        <v>42156</v>
      </c>
      <c r="T1148" s="29">
        <v>30</v>
      </c>
    </row>
    <row r="1149" spans="1:20" s="7" customFormat="1" hidden="1" outlineLevel="3" x14ac:dyDescent="0.2">
      <c r="A1149" s="7" t="s">
        <v>92</v>
      </c>
      <c r="C1149" s="7" t="str">
        <f t="shared" si="173"/>
        <v>Gregory</v>
      </c>
      <c r="D1149" s="7" t="str">
        <f>+D1148</f>
        <v>Erickson</v>
      </c>
      <c r="E1149" s="8" t="str">
        <f>E1148</f>
        <v>SALES</v>
      </c>
      <c r="G1149" s="8" t="str">
        <f>G1148</f>
        <v>ERIC0001</v>
      </c>
      <c r="H1149" s="26"/>
      <c r="I1149" s="26"/>
      <c r="J1149" s="26"/>
      <c r="K1149" s="28">
        <f>+K1148</f>
        <v>42156</v>
      </c>
      <c r="L1149" s="26" t="str">
        <f>L1148</f>
        <v>10486</v>
      </c>
      <c r="M1149" s="26"/>
      <c r="N1149" s="26"/>
      <c r="O1149" s="26" t="str">
        <f>"""GP Direct"",""Fabrikam, Inc."",""UPR30300"",""PAYRATE"",""0.00000"",""PAYROLCD"",""IN"",""STATECD"","""",""CHEKDATE"",""6/1/2015"",""UPRTRXAM"",""31.39000"""</f>
        <v>"GP Direct","Fabrikam, Inc.","UPR30300","PAYRATE","0.00000","PAYROLCD","IN","STATECD","","CHEKDATE","6/1/2015","UPRTRXAM","31.39000"</v>
      </c>
      <c r="P1149" s="29">
        <v>0</v>
      </c>
      <c r="Q1149" s="26" t="str">
        <f>"IN"</f>
        <v>IN</v>
      </c>
      <c r="R1149" s="26"/>
      <c r="S1149" s="28">
        <v>42156</v>
      </c>
      <c r="T1149" s="29">
        <v>31.39</v>
      </c>
    </row>
    <row r="1150" spans="1:20" s="7" customFormat="1" hidden="1" outlineLevel="3" x14ac:dyDescent="0.2">
      <c r="A1150" s="7" t="s">
        <v>92</v>
      </c>
      <c r="C1150" s="7" t="str">
        <f t="shared" si="173"/>
        <v>Gregory</v>
      </c>
      <c r="D1150" s="7" t="str">
        <f>+D1149</f>
        <v>Erickson</v>
      </c>
      <c r="E1150" s="8" t="str">
        <f>E1149</f>
        <v>SALES</v>
      </c>
      <c r="G1150" s="8" t="str">
        <f>G1149</f>
        <v>ERIC0001</v>
      </c>
      <c r="H1150" s="26"/>
      <c r="I1150" s="26"/>
      <c r="J1150" s="26"/>
      <c r="K1150" s="28">
        <f>+K1149</f>
        <v>42156</v>
      </c>
      <c r="L1150" s="26" t="str">
        <f>L1149</f>
        <v>10486</v>
      </c>
      <c r="M1150" s="26"/>
      <c r="N1150" s="26"/>
      <c r="O1150" s="26" t="str">
        <f>"""GP Direct"",""Fabrikam, Inc."",""UPR30300"",""PAYRATE"",""0.00000"",""PAYROLCD"",""INS"",""STATECD"","""",""CHEKDATE"",""6/1/2015"",""UPRTRXAM"",""49.36000"""</f>
        <v>"GP Direct","Fabrikam, Inc.","UPR30300","PAYRATE","0.00000","PAYROLCD","INS","STATECD","","CHEKDATE","6/1/2015","UPRTRXAM","49.36000"</v>
      </c>
      <c r="P1150" s="29">
        <v>0</v>
      </c>
      <c r="Q1150" s="26" t="str">
        <f>"INS"</f>
        <v>INS</v>
      </c>
      <c r="R1150" s="26"/>
      <c r="S1150" s="28">
        <v>42156</v>
      </c>
      <c r="T1150" s="29">
        <v>49.36</v>
      </c>
    </row>
    <row r="1151" spans="1:20" s="7" customFormat="1" hidden="1" outlineLevel="3" x14ac:dyDescent="0.2">
      <c r="A1151" s="7" t="s">
        <v>92</v>
      </c>
      <c r="C1151" s="7" t="str">
        <f t="shared" si="173"/>
        <v>Gregory</v>
      </c>
      <c r="D1151" s="7" t="str">
        <f>+D1150</f>
        <v>Erickson</v>
      </c>
      <c r="E1151" s="8" t="str">
        <f>E1150</f>
        <v>SALES</v>
      </c>
      <c r="G1151" s="8" t="str">
        <f>G1150</f>
        <v>ERIC0001</v>
      </c>
      <c r="H1151" s="26"/>
      <c r="I1151" s="26"/>
      <c r="J1151" s="26"/>
      <c r="K1151" s="28">
        <f>+K1150</f>
        <v>42156</v>
      </c>
      <c r="L1151" s="26" t="str">
        <f>L1150</f>
        <v>10486</v>
      </c>
      <c r="M1151" s="26"/>
      <c r="N1151" s="26"/>
      <c r="O1151" s="26" t="str">
        <f>"""GP Direct"",""Fabrikam, Inc."",""UPR30300"",""PAYRATE"",""0.00000"",""PAYROLCD"",""MED"",""STATECD"","""",""CHEKDATE"",""6/1/2015"",""UPRTRXAM"",""5.00000"""</f>
        <v>"GP Direct","Fabrikam, Inc.","UPR30300","PAYRATE","0.00000","PAYROLCD","MED","STATECD","","CHEKDATE","6/1/2015","UPRTRXAM","5.00000"</v>
      </c>
      <c r="P1151" s="29">
        <v>0</v>
      </c>
      <c r="Q1151" s="26" t="str">
        <f>"MED"</f>
        <v>MED</v>
      </c>
      <c r="R1151" s="26"/>
      <c r="S1151" s="28">
        <v>42156</v>
      </c>
      <c r="T1151" s="29">
        <v>5</v>
      </c>
    </row>
    <row r="1152" spans="1:20" s="7" customFormat="1" hidden="1" outlineLevel="3" x14ac:dyDescent="0.2">
      <c r="A1152" s="7" t="s">
        <v>92</v>
      </c>
      <c r="C1152" s="7" t="str">
        <f t="shared" si="173"/>
        <v>Gregory</v>
      </c>
      <c r="D1152" s="7" t="str">
        <f>+D1151</f>
        <v>Erickson</v>
      </c>
      <c r="E1152" s="8" t="str">
        <f>E1151</f>
        <v>SALES</v>
      </c>
      <c r="G1152" s="8" t="str">
        <f>G1151</f>
        <v>ERIC0001</v>
      </c>
      <c r="H1152" s="26"/>
      <c r="I1152" s="26"/>
      <c r="J1152" s="26"/>
      <c r="K1152" s="28">
        <f>+K1151</f>
        <v>42156</v>
      </c>
      <c r="L1152" s="26" t="str">
        <f>L1151</f>
        <v>10486</v>
      </c>
      <c r="M1152" s="26"/>
      <c r="N1152" s="26"/>
      <c r="O1152" s="26" t="str">
        <f>"""GP Direct"",""Fabrikam, Inc."",""UPR30300"",""PAYRATE"",""24000.00000"",""PAYROLCD"",""SALY"",""STATECD"",""IN"",""CHEKDATE"",""6/1/2015"",""UPRTRXAM"",""1000.00000"""</f>
        <v>"GP Direct","Fabrikam, Inc.","UPR30300","PAYRATE","24000.00000","PAYROLCD","SALY","STATECD","IN","CHEKDATE","6/1/2015","UPRTRXAM","1000.00000"</v>
      </c>
      <c r="P1152" s="29">
        <v>24000</v>
      </c>
      <c r="Q1152" s="26" t="str">
        <f>"SALY"</f>
        <v>SALY</v>
      </c>
      <c r="R1152" s="26" t="str">
        <f>"IN"</f>
        <v>IN</v>
      </c>
      <c r="S1152" s="28">
        <v>42156</v>
      </c>
      <c r="T1152" s="29">
        <v>1000</v>
      </c>
    </row>
    <row r="1153" spans="1:20" s="7" customFormat="1" hidden="1" outlineLevel="3" x14ac:dyDescent="0.2">
      <c r="A1153" s="7" t="s">
        <v>92</v>
      </c>
      <c r="C1153" s="7" t="str">
        <f>+C1147</f>
        <v>Gregory</v>
      </c>
      <c r="D1153" s="7" t="str">
        <f>+D1147</f>
        <v>Erickson</v>
      </c>
      <c r="E1153" s="8" t="str">
        <f>E1147</f>
        <v>SALES</v>
      </c>
      <c r="G1153" s="8" t="str">
        <f>G1147</f>
        <v>ERIC0001</v>
      </c>
      <c r="K1153" s="12">
        <f>+K1147</f>
        <v>42156</v>
      </c>
      <c r="L1153" s="8" t="str">
        <f>L1147</f>
        <v>10486</v>
      </c>
      <c r="O1153" s="8"/>
      <c r="T1153" s="20"/>
    </row>
    <row r="1154" spans="1:20" s="7" customFormat="1" hidden="1" outlineLevel="2" collapsed="1" x14ac:dyDescent="0.2">
      <c r="A1154" s="7" t="s">
        <v>92</v>
      </c>
      <c r="C1154" s="7" t="str">
        <f t="shared" si="168"/>
        <v>Gregory</v>
      </c>
      <c r="D1154" s="7" t="str">
        <f>+D1153</f>
        <v>Erickson</v>
      </c>
      <c r="E1154" s="8" t="str">
        <f>E1153</f>
        <v>SALES</v>
      </c>
      <c r="G1154" s="8" t="str">
        <f>G1153</f>
        <v>ERIC0001</v>
      </c>
      <c r="K1154" s="12">
        <f>+K1153</f>
        <v>42156</v>
      </c>
      <c r="L1154" s="8" t="str">
        <f>L1153</f>
        <v>10486</v>
      </c>
      <c r="M1154" s="33" t="str">
        <f>"Total for " &amp; $L1154</f>
        <v>Total for 10486</v>
      </c>
      <c r="N1154" s="34">
        <f>+K1154</f>
        <v>42156</v>
      </c>
      <c r="O1154" s="35"/>
      <c r="P1154" s="33"/>
      <c r="Q1154" s="33"/>
      <c r="R1154" s="33"/>
      <c r="S1154" s="33"/>
      <c r="T1154" s="36">
        <f>SUBTOTAL(9,T1147:T1153)</f>
        <v>1117.25</v>
      </c>
    </row>
    <row r="1155" spans="1:20" s="7" customFormat="1" hidden="1" outlineLevel="3" x14ac:dyDescent="0.2">
      <c r="A1155" s="7" t="s">
        <v>92</v>
      </c>
      <c r="C1155" s="7" t="str">
        <f t="shared" si="168"/>
        <v>Gregory</v>
      </c>
      <c r="D1155" s="7" t="str">
        <f>+D1154</f>
        <v>Erickson</v>
      </c>
      <c r="E1155" s="8" t="str">
        <f>E1154</f>
        <v>SALES</v>
      </c>
      <c r="G1155" s="8" t="str">
        <f>G1154</f>
        <v>ERIC0001</v>
      </c>
      <c r="H1155" s="26"/>
      <c r="I1155" s="26"/>
      <c r="J1155" s="26"/>
      <c r="K1155" s="28">
        <f>+N1155</f>
        <v>42005</v>
      </c>
      <c r="L1155" s="26" t="str">
        <f>M1155</f>
        <v>11608</v>
      </c>
      <c r="M1155" s="26" t="str">
        <f>"11608"</f>
        <v>11608</v>
      </c>
      <c r="N1155" s="28">
        <v>42005</v>
      </c>
      <c r="O1155" s="26"/>
      <c r="P1155" s="26"/>
      <c r="Q1155" s="26"/>
      <c r="R1155" s="26"/>
      <c r="S1155" s="26"/>
      <c r="T1155" s="27"/>
    </row>
    <row r="1156" spans="1:20" s="7" customFormat="1" hidden="1" outlineLevel="3" x14ac:dyDescent="0.2">
      <c r="A1156" s="7" t="s">
        <v>92</v>
      </c>
      <c r="C1156" s="7" t="str">
        <f t="shared" si="168"/>
        <v>Gregory</v>
      </c>
      <c r="D1156" s="7" t="str">
        <f>+D1155</f>
        <v>Erickson</v>
      </c>
      <c r="E1156" s="8" t="str">
        <f>E1155</f>
        <v>SALES</v>
      </c>
      <c r="G1156" s="8" t="str">
        <f>G1155</f>
        <v>ERIC0001</v>
      </c>
      <c r="H1156" s="26"/>
      <c r="I1156" s="26"/>
      <c r="J1156" s="26"/>
      <c r="K1156" s="28">
        <f>+K1155</f>
        <v>42005</v>
      </c>
      <c r="L1156" s="26" t="str">
        <f>L1155</f>
        <v>11608</v>
      </c>
      <c r="M1156" s="26"/>
      <c r="N1156" s="26"/>
      <c r="O1156" s="26" t="str">
        <f>"""GP Direct"",""Fabrikam, Inc."",""UPR30300"",""PAYRATE"",""0.00000"",""PAYROLCD"",""IN"",""STATECD"","""",""CHEKDATE"",""1/1/2015"",""UPRTRXAM"",""187.28000"""</f>
        <v>"GP Direct","Fabrikam, Inc.","UPR30300","PAYRATE","0.00000","PAYROLCD","IN","STATECD","","CHEKDATE","1/1/2015","UPRTRXAM","187.28000"</v>
      </c>
      <c r="P1156" s="29">
        <v>0</v>
      </c>
      <c r="Q1156" s="26" t="str">
        <f>"IN"</f>
        <v>IN</v>
      </c>
      <c r="R1156" s="26"/>
      <c r="S1156" s="28">
        <v>42005</v>
      </c>
      <c r="T1156" s="29">
        <v>187.28</v>
      </c>
    </row>
    <row r="1157" spans="1:20" s="7" customFormat="1" hidden="1" outlineLevel="3" x14ac:dyDescent="0.2">
      <c r="A1157" s="7" t="s">
        <v>92</v>
      </c>
      <c r="C1157" s="7" t="str">
        <f t="shared" ref="C1157" si="174">+C1156</f>
        <v>Gregory</v>
      </c>
      <c r="D1157" s="7" t="str">
        <f>+D1156</f>
        <v>Erickson</v>
      </c>
      <c r="E1157" s="8" t="str">
        <f>E1156</f>
        <v>SALES</v>
      </c>
      <c r="G1157" s="8" t="str">
        <f>G1156</f>
        <v>ERIC0001</v>
      </c>
      <c r="H1157" s="26"/>
      <c r="I1157" s="26"/>
      <c r="J1157" s="26"/>
      <c r="K1157" s="28">
        <f>+K1156</f>
        <v>42005</v>
      </c>
      <c r="L1157" s="26" t="str">
        <f>L1156</f>
        <v>11608</v>
      </c>
      <c r="M1157" s="26"/>
      <c r="N1157" s="26"/>
      <c r="O1157" s="26" t="str">
        <f>"""GP Direct"",""Fabrikam, Inc."",""UPR30300"",""PAYRATE"",""5550.00000"",""PAYROLCD"",""COMM"",""STATECD"",""IN"",""CHEKDATE"",""1/1/2015"",""UPRTRXAM"",""5550.00000"""</f>
        <v>"GP Direct","Fabrikam, Inc.","UPR30300","PAYRATE","5550.00000","PAYROLCD","COMM","STATECD","IN","CHEKDATE","1/1/2015","UPRTRXAM","5550.00000"</v>
      </c>
      <c r="P1157" s="29">
        <v>5550</v>
      </c>
      <c r="Q1157" s="26" t="str">
        <f>"COMM"</f>
        <v>COMM</v>
      </c>
      <c r="R1157" s="26" t="str">
        <f>"IN"</f>
        <v>IN</v>
      </c>
      <c r="S1157" s="28">
        <v>42005</v>
      </c>
      <c r="T1157" s="29">
        <v>5550</v>
      </c>
    </row>
    <row r="1158" spans="1:20" s="7" customFormat="1" hidden="1" outlineLevel="3" x14ac:dyDescent="0.2">
      <c r="A1158" s="7" t="s">
        <v>92</v>
      </c>
      <c r="C1158" s="7" t="str">
        <f>+C1156</f>
        <v>Gregory</v>
      </c>
      <c r="D1158" s="7" t="str">
        <f>+D1156</f>
        <v>Erickson</v>
      </c>
      <c r="E1158" s="8" t="str">
        <f>E1156</f>
        <v>SALES</v>
      </c>
      <c r="G1158" s="8" t="str">
        <f>G1156</f>
        <v>ERIC0001</v>
      </c>
      <c r="K1158" s="12">
        <f>+K1156</f>
        <v>42005</v>
      </c>
      <c r="L1158" s="8" t="str">
        <f>L1156</f>
        <v>11608</v>
      </c>
      <c r="O1158" s="8"/>
      <c r="T1158" s="20"/>
    </row>
    <row r="1159" spans="1:20" s="7" customFormat="1" hidden="1" outlineLevel="2" collapsed="1" x14ac:dyDescent="0.2">
      <c r="A1159" s="7" t="s">
        <v>92</v>
      </c>
      <c r="C1159" s="7" t="str">
        <f t="shared" si="168"/>
        <v>Gregory</v>
      </c>
      <c r="D1159" s="7" t="str">
        <f>+D1158</f>
        <v>Erickson</v>
      </c>
      <c r="E1159" s="8" t="str">
        <f>E1158</f>
        <v>SALES</v>
      </c>
      <c r="G1159" s="8" t="str">
        <f>G1158</f>
        <v>ERIC0001</v>
      </c>
      <c r="K1159" s="12">
        <f>+K1158</f>
        <v>42005</v>
      </c>
      <c r="L1159" s="8" t="str">
        <f>L1158</f>
        <v>11608</v>
      </c>
      <c r="M1159" s="33" t="str">
        <f>"Total for " &amp; $L1159</f>
        <v>Total for 11608</v>
      </c>
      <c r="N1159" s="34">
        <f>+K1159</f>
        <v>42005</v>
      </c>
      <c r="O1159" s="35"/>
      <c r="P1159" s="33"/>
      <c r="Q1159" s="33"/>
      <c r="R1159" s="33"/>
      <c r="S1159" s="33"/>
      <c r="T1159" s="36">
        <f>SUBTOTAL(9,T1156:T1158)</f>
        <v>5737.28</v>
      </c>
    </row>
    <row r="1160" spans="1:20" s="7" customFormat="1" hidden="1" outlineLevel="3" x14ac:dyDescent="0.2">
      <c r="A1160" s="7" t="s">
        <v>92</v>
      </c>
      <c r="C1160" s="7" t="str">
        <f t="shared" si="168"/>
        <v>Gregory</v>
      </c>
      <c r="D1160" s="7" t="str">
        <f>+D1159</f>
        <v>Erickson</v>
      </c>
      <c r="E1160" s="8" t="str">
        <f>E1159</f>
        <v>SALES</v>
      </c>
      <c r="G1160" s="8" t="str">
        <f>G1159</f>
        <v>ERIC0001</v>
      </c>
      <c r="H1160" s="26"/>
      <c r="I1160" s="26"/>
      <c r="J1160" s="26"/>
      <c r="K1160" s="28">
        <f>+N1160</f>
        <v>42156</v>
      </c>
      <c r="L1160" s="26" t="str">
        <f>M1160</f>
        <v>11612</v>
      </c>
      <c r="M1160" s="26" t="str">
        <f>"11612"</f>
        <v>11612</v>
      </c>
      <c r="N1160" s="28">
        <v>42156</v>
      </c>
      <c r="O1160" s="26"/>
      <c r="P1160" s="26"/>
      <c r="Q1160" s="26"/>
      <c r="R1160" s="26"/>
      <c r="S1160" s="26"/>
      <c r="T1160" s="27"/>
    </row>
    <row r="1161" spans="1:20" s="7" customFormat="1" hidden="1" outlineLevel="3" x14ac:dyDescent="0.2">
      <c r="A1161" s="7" t="s">
        <v>92</v>
      </c>
      <c r="C1161" s="7" t="str">
        <f t="shared" si="168"/>
        <v>Gregory</v>
      </c>
      <c r="D1161" s="7" t="str">
        <f>+D1160</f>
        <v>Erickson</v>
      </c>
      <c r="E1161" s="8" t="str">
        <f>E1160</f>
        <v>SALES</v>
      </c>
      <c r="G1161" s="8" t="str">
        <f>G1160</f>
        <v>ERIC0001</v>
      </c>
      <c r="H1161" s="26"/>
      <c r="I1161" s="26"/>
      <c r="J1161" s="26"/>
      <c r="K1161" s="28">
        <f>+K1160</f>
        <v>42156</v>
      </c>
      <c r="L1161" s="26" t="str">
        <f>L1160</f>
        <v>11612</v>
      </c>
      <c r="M1161" s="26"/>
      <c r="N1161" s="26"/>
      <c r="O1161" s="26" t="str">
        <f>"""GP Direct"",""Fabrikam, Inc."",""UPR30300"",""PAYRATE"",""0.00000"",""PAYROLCD"",""IN"",""STATECD"","""",""CHEKDATE"",""6/1/2015"",""UPRTRXAM"",""187.28000"""</f>
        <v>"GP Direct","Fabrikam, Inc.","UPR30300","PAYRATE","0.00000","PAYROLCD","IN","STATECD","","CHEKDATE","6/1/2015","UPRTRXAM","187.28000"</v>
      </c>
      <c r="P1161" s="29">
        <v>0</v>
      </c>
      <c r="Q1161" s="26" t="str">
        <f>"IN"</f>
        <v>IN</v>
      </c>
      <c r="R1161" s="26"/>
      <c r="S1161" s="28">
        <v>42156</v>
      </c>
      <c r="T1161" s="29">
        <v>187.28</v>
      </c>
    </row>
    <row r="1162" spans="1:20" s="7" customFormat="1" hidden="1" outlineLevel="3" x14ac:dyDescent="0.2">
      <c r="A1162" s="7" t="s">
        <v>92</v>
      </c>
      <c r="C1162" s="7" t="str">
        <f t="shared" ref="C1162" si="175">+C1161</f>
        <v>Gregory</v>
      </c>
      <c r="D1162" s="7" t="str">
        <f>+D1161</f>
        <v>Erickson</v>
      </c>
      <c r="E1162" s="8" t="str">
        <f>E1161</f>
        <v>SALES</v>
      </c>
      <c r="G1162" s="8" t="str">
        <f>G1161</f>
        <v>ERIC0001</v>
      </c>
      <c r="H1162" s="26"/>
      <c r="I1162" s="26"/>
      <c r="J1162" s="26"/>
      <c r="K1162" s="28">
        <f>+K1161</f>
        <v>42156</v>
      </c>
      <c r="L1162" s="26" t="str">
        <f>L1161</f>
        <v>11612</v>
      </c>
      <c r="M1162" s="26"/>
      <c r="N1162" s="26"/>
      <c r="O1162" s="26" t="str">
        <f>"""GP Direct"",""Fabrikam, Inc."",""UPR30300"",""PAYRATE"",""5550.00000"",""PAYROLCD"",""COMM"",""STATECD"",""IN"",""CHEKDATE"",""6/1/2015"",""UPRTRXAM"",""5550.00000"""</f>
        <v>"GP Direct","Fabrikam, Inc.","UPR30300","PAYRATE","5550.00000","PAYROLCD","COMM","STATECD","IN","CHEKDATE","6/1/2015","UPRTRXAM","5550.00000"</v>
      </c>
      <c r="P1162" s="29">
        <v>5550</v>
      </c>
      <c r="Q1162" s="26" t="str">
        <f>"COMM"</f>
        <v>COMM</v>
      </c>
      <c r="R1162" s="26" t="str">
        <f>"IN"</f>
        <v>IN</v>
      </c>
      <c r="S1162" s="28">
        <v>42156</v>
      </c>
      <c r="T1162" s="29">
        <v>5550</v>
      </c>
    </row>
    <row r="1163" spans="1:20" s="7" customFormat="1" hidden="1" outlineLevel="3" x14ac:dyDescent="0.2">
      <c r="A1163" s="7" t="s">
        <v>92</v>
      </c>
      <c r="C1163" s="7" t="str">
        <f>+C1161</f>
        <v>Gregory</v>
      </c>
      <c r="D1163" s="7" t="str">
        <f>+D1161</f>
        <v>Erickson</v>
      </c>
      <c r="E1163" s="8" t="str">
        <f>E1161</f>
        <v>SALES</v>
      </c>
      <c r="G1163" s="8" t="str">
        <f>G1161</f>
        <v>ERIC0001</v>
      </c>
      <c r="K1163" s="12">
        <f>+K1161</f>
        <v>42156</v>
      </c>
      <c r="L1163" s="8" t="str">
        <f>L1161</f>
        <v>11612</v>
      </c>
      <c r="O1163" s="8"/>
      <c r="T1163" s="20"/>
    </row>
    <row r="1164" spans="1:20" s="7" customFormat="1" hidden="1" outlineLevel="2" collapsed="1" x14ac:dyDescent="0.2">
      <c r="A1164" s="7" t="s">
        <v>92</v>
      </c>
      <c r="C1164" s="7" t="str">
        <f t="shared" si="168"/>
        <v>Gregory</v>
      </c>
      <c r="D1164" s="7" t="str">
        <f>+D1163</f>
        <v>Erickson</v>
      </c>
      <c r="E1164" s="8" t="str">
        <f>E1163</f>
        <v>SALES</v>
      </c>
      <c r="G1164" s="8" t="str">
        <f>G1163</f>
        <v>ERIC0001</v>
      </c>
      <c r="K1164" s="12">
        <f>+K1163</f>
        <v>42156</v>
      </c>
      <c r="L1164" s="8" t="str">
        <f>L1163</f>
        <v>11612</v>
      </c>
      <c r="M1164" s="33" t="str">
        <f>"Total for " &amp; $L1164</f>
        <v>Total for 11612</v>
      </c>
      <c r="N1164" s="34">
        <f>+K1164</f>
        <v>42156</v>
      </c>
      <c r="O1164" s="35"/>
      <c r="P1164" s="33"/>
      <c r="Q1164" s="33"/>
      <c r="R1164" s="33"/>
      <c r="S1164" s="33"/>
      <c r="T1164" s="36">
        <f>SUBTOTAL(9,T1161:T1163)</f>
        <v>5737.28</v>
      </c>
    </row>
    <row r="1165" spans="1:20" s="7" customFormat="1" hidden="1" outlineLevel="2" x14ac:dyDescent="0.2">
      <c r="A1165" s="7" t="s">
        <v>92</v>
      </c>
      <c r="C1165" s="7" t="str">
        <f>+C1109</f>
        <v>Gregory</v>
      </c>
      <c r="D1165" s="7" t="str">
        <f>+D1109</f>
        <v>Erickson</v>
      </c>
      <c r="E1165" s="8" t="str">
        <f>E1109</f>
        <v>SALES</v>
      </c>
      <c r="G1165" s="8" t="str">
        <f>G1109</f>
        <v>ERIC0001</v>
      </c>
      <c r="L1165" s="8"/>
      <c r="O1165" s="8"/>
      <c r="T1165" s="20"/>
    </row>
    <row r="1166" spans="1:20" s="7" customFormat="1" hidden="1" outlineLevel="1" collapsed="1" x14ac:dyDescent="0.2">
      <c r="A1166" s="7" t="s">
        <v>92</v>
      </c>
      <c r="C1166" s="7" t="str">
        <f t="shared" si="166"/>
        <v>Gregory</v>
      </c>
      <c r="D1166" s="7" t="str">
        <f>+D1165</f>
        <v>Erickson</v>
      </c>
      <c r="E1166" s="8" t="str">
        <f>E1165</f>
        <v>SALES</v>
      </c>
      <c r="G1166" s="8" t="str">
        <f>G1165</f>
        <v>ERIC0001</v>
      </c>
      <c r="H1166" s="30" t="str">
        <f>"Total for " &amp; $G1166</f>
        <v>Total for ERIC0001</v>
      </c>
      <c r="I1166" s="30" t="str">
        <f>+C1166</f>
        <v>Gregory</v>
      </c>
      <c r="J1166" s="30" t="str">
        <f>+D1166</f>
        <v>Erickson</v>
      </c>
      <c r="K1166" s="30"/>
      <c r="L1166" s="31"/>
      <c r="M1166" s="30"/>
      <c r="N1166" s="30"/>
      <c r="O1166" s="31"/>
      <c r="P1166" s="30"/>
      <c r="Q1166" s="30"/>
      <c r="R1166" s="30"/>
      <c r="S1166" s="30"/>
      <c r="T1166" s="32">
        <f>SUBTOTAL(9,T1102:T1165)</f>
        <v>18178.059999999998</v>
      </c>
    </row>
    <row r="1167" spans="1:20" s="7" customFormat="1" hidden="1" outlineLevel="2" x14ac:dyDescent="0.2">
      <c r="A1167" s="7" t="s">
        <v>92</v>
      </c>
      <c r="C1167" s="7" t="str">
        <f t="shared" ref="C1167" si="176">+I1167</f>
        <v>Kevin</v>
      </c>
      <c r="D1167" s="7" t="str">
        <f>+J1167</f>
        <v>Kennedy</v>
      </c>
      <c r="E1167" s="8" t="str">
        <f>E1166</f>
        <v>SALES</v>
      </c>
      <c r="G1167" s="8" t="str">
        <f>H1167</f>
        <v>KENN0001</v>
      </c>
      <c r="H1167" s="24" t="str">
        <f>"KENN0001"</f>
        <v>KENN0001</v>
      </c>
      <c r="I1167" s="25" t="str">
        <f>"Kevin"</f>
        <v>Kevin</v>
      </c>
      <c r="J1167" s="25" t="str">
        <f>"Kennedy"</f>
        <v>Kennedy</v>
      </c>
      <c r="K1167" s="26"/>
      <c r="L1167" s="26"/>
      <c r="M1167" s="26"/>
      <c r="N1167" s="26"/>
      <c r="O1167" s="26"/>
      <c r="P1167" s="26"/>
      <c r="Q1167" s="26"/>
      <c r="R1167" s="26"/>
      <c r="S1167" s="26"/>
      <c r="T1167" s="27"/>
    </row>
    <row r="1168" spans="1:20" s="7" customFormat="1" hidden="1" outlineLevel="3" x14ac:dyDescent="0.2">
      <c r="A1168" s="7" t="s">
        <v>92</v>
      </c>
      <c r="C1168" s="7" t="str">
        <f t="shared" ref="C1168:C1230" si="177">+C1167</f>
        <v>Kevin</v>
      </c>
      <c r="D1168" s="7" t="str">
        <f>+D1167</f>
        <v>Kennedy</v>
      </c>
      <c r="E1168" s="8" t="str">
        <f>E1167</f>
        <v>SALES</v>
      </c>
      <c r="G1168" s="8" t="str">
        <f>G1167</f>
        <v>KENN0001</v>
      </c>
      <c r="H1168" s="26"/>
      <c r="I1168" s="26"/>
      <c r="J1168" s="26"/>
      <c r="K1168" s="28">
        <f>+N1168</f>
        <v>42005</v>
      </c>
      <c r="L1168" s="26" t="str">
        <f>M1168</f>
        <v>10366</v>
      </c>
      <c r="M1168" s="26" t="str">
        <f>"10366"</f>
        <v>10366</v>
      </c>
      <c r="N1168" s="28">
        <v>42005</v>
      </c>
      <c r="O1168" s="26"/>
      <c r="P1168" s="26"/>
      <c r="Q1168" s="26"/>
      <c r="R1168" s="26"/>
      <c r="S1168" s="26"/>
      <c r="T1168" s="27"/>
    </row>
    <row r="1169" spans="1:20" s="7" customFormat="1" hidden="1" outlineLevel="3" x14ac:dyDescent="0.2">
      <c r="A1169" s="7" t="s">
        <v>92</v>
      </c>
      <c r="C1169" s="7" t="str">
        <f t="shared" si="177"/>
        <v>Kevin</v>
      </c>
      <c r="D1169" s="7" t="str">
        <f>+D1168</f>
        <v>Kennedy</v>
      </c>
      <c r="E1169" s="8" t="str">
        <f>E1168</f>
        <v>SALES</v>
      </c>
      <c r="G1169" s="8" t="str">
        <f>G1168</f>
        <v>KENN0001</v>
      </c>
      <c r="H1169" s="26"/>
      <c r="I1169" s="26"/>
      <c r="J1169" s="26"/>
      <c r="K1169" s="28">
        <f>+K1168</f>
        <v>42005</v>
      </c>
      <c r="L1169" s="26" t="str">
        <f>L1168</f>
        <v>10366</v>
      </c>
      <c r="M1169" s="26"/>
      <c r="N1169" s="26"/>
      <c r="O1169" s="26" t="str">
        <f>"""GP Direct"",""Fabrikam, Inc."",""UPR30300"",""PAYRATE"",""0.00000"",""PAYROLCD"",""401K"",""STATECD"","""",""CHEKDATE"",""1/1/2015"",""UPRTRXAM"",""2.52000"""</f>
        <v>"GP Direct","Fabrikam, Inc.","UPR30300","PAYRATE","0.00000","PAYROLCD","401K","STATECD","","CHEKDATE","1/1/2015","UPRTRXAM","2.52000"</v>
      </c>
      <c r="P1169" s="29">
        <v>0</v>
      </c>
      <c r="Q1169" s="26" t="str">
        <f>"401K"</f>
        <v>401K</v>
      </c>
      <c r="R1169" s="26"/>
      <c r="S1169" s="28">
        <v>42005</v>
      </c>
      <c r="T1169" s="29">
        <v>2.52</v>
      </c>
    </row>
    <row r="1170" spans="1:20" s="7" customFormat="1" hidden="1" outlineLevel="3" x14ac:dyDescent="0.2">
      <c r="A1170" s="7" t="s">
        <v>92</v>
      </c>
      <c r="C1170" s="7" t="str">
        <f t="shared" ref="C1170:C1175" si="178">+C1169</f>
        <v>Kevin</v>
      </c>
      <c r="D1170" s="7" t="str">
        <f>+D1169</f>
        <v>Kennedy</v>
      </c>
      <c r="E1170" s="8" t="str">
        <f>E1169</f>
        <v>SALES</v>
      </c>
      <c r="G1170" s="8" t="str">
        <f>G1169</f>
        <v>KENN0001</v>
      </c>
      <c r="H1170" s="26"/>
      <c r="I1170" s="26"/>
      <c r="J1170" s="26"/>
      <c r="K1170" s="28">
        <f>+K1169</f>
        <v>42005</v>
      </c>
      <c r="L1170" s="26" t="str">
        <f>L1169</f>
        <v>10366</v>
      </c>
      <c r="M1170" s="26"/>
      <c r="N1170" s="26"/>
      <c r="O1170" s="26" t="str">
        <f>"""GP Direct"",""Fabrikam, Inc."",""UPR30300"",""PAYRATE"",""0.00000"",""PAYROLCD"",""401K"",""STATECD"","""",""CHEKDATE"",""1/1/2015"",""UPRTRXAM"",""50.37000"""</f>
        <v>"GP Direct","Fabrikam, Inc.","UPR30300","PAYRATE","0.00000","PAYROLCD","401K","STATECD","","CHEKDATE","1/1/2015","UPRTRXAM","50.37000"</v>
      </c>
      <c r="P1170" s="29">
        <v>0</v>
      </c>
      <c r="Q1170" s="26" t="str">
        <f>"401K"</f>
        <v>401K</v>
      </c>
      <c r="R1170" s="26"/>
      <c r="S1170" s="28">
        <v>42005</v>
      </c>
      <c r="T1170" s="29">
        <v>50.37</v>
      </c>
    </row>
    <row r="1171" spans="1:20" s="7" customFormat="1" hidden="1" outlineLevel="3" x14ac:dyDescent="0.2">
      <c r="A1171" s="7" t="s">
        <v>92</v>
      </c>
      <c r="C1171" s="7" t="str">
        <f t="shared" si="178"/>
        <v>Kevin</v>
      </c>
      <c r="D1171" s="7" t="str">
        <f>+D1170</f>
        <v>Kennedy</v>
      </c>
      <c r="E1171" s="8" t="str">
        <f>E1170</f>
        <v>SALES</v>
      </c>
      <c r="G1171" s="8" t="str">
        <f>G1170</f>
        <v>KENN0001</v>
      </c>
      <c r="H1171" s="26"/>
      <c r="I1171" s="26"/>
      <c r="J1171" s="26"/>
      <c r="K1171" s="28">
        <f>+K1170</f>
        <v>42005</v>
      </c>
      <c r="L1171" s="26" t="str">
        <f>L1170</f>
        <v>10366</v>
      </c>
      <c r="M1171" s="26"/>
      <c r="N1171" s="26"/>
      <c r="O1171" s="26" t="str">
        <f>"""GP Direct"",""Fabrikam, Inc."",""UPR30300"",""PAYRATE"",""0.00000"",""PAYROLCD"",""IL"",""STATECD"","""",""CHEKDATE"",""1/1/2015"",""UPRTRXAM"",""22.12000"""</f>
        <v>"GP Direct","Fabrikam, Inc.","UPR30300","PAYRATE","0.00000","PAYROLCD","IL","STATECD","","CHEKDATE","1/1/2015","UPRTRXAM","22.12000"</v>
      </c>
      <c r="P1171" s="29">
        <v>0</v>
      </c>
      <c r="Q1171" s="26" t="str">
        <f>"IL"</f>
        <v>IL</v>
      </c>
      <c r="R1171" s="26"/>
      <c r="S1171" s="28">
        <v>42005</v>
      </c>
      <c r="T1171" s="29">
        <v>22.12</v>
      </c>
    </row>
    <row r="1172" spans="1:20" s="7" customFormat="1" hidden="1" outlineLevel="3" x14ac:dyDescent="0.2">
      <c r="A1172" s="7" t="s">
        <v>92</v>
      </c>
      <c r="C1172" s="7" t="str">
        <f t="shared" si="178"/>
        <v>Kevin</v>
      </c>
      <c r="D1172" s="7" t="str">
        <f>+D1171</f>
        <v>Kennedy</v>
      </c>
      <c r="E1172" s="8" t="str">
        <f>E1171</f>
        <v>SALES</v>
      </c>
      <c r="G1172" s="8" t="str">
        <f>G1171</f>
        <v>KENN0001</v>
      </c>
      <c r="H1172" s="26"/>
      <c r="I1172" s="26"/>
      <c r="J1172" s="26"/>
      <c r="K1172" s="28">
        <f>+K1171</f>
        <v>42005</v>
      </c>
      <c r="L1172" s="26" t="str">
        <f>L1171</f>
        <v>10366</v>
      </c>
      <c r="M1172" s="26"/>
      <c r="N1172" s="26"/>
      <c r="O1172" s="26" t="str">
        <f>"""GP Direct"",""Fabrikam, Inc."",""UPR30300"",""PAYRATE"",""0.00000"",""PAYROLCD"",""INS"",""STATECD"","""",""CHEKDATE"",""1/1/2015"",""UPRTRXAM"",""49.36000"""</f>
        <v>"GP Direct","Fabrikam, Inc.","UPR30300","PAYRATE","0.00000","PAYROLCD","INS","STATECD","","CHEKDATE","1/1/2015","UPRTRXAM","49.36000"</v>
      </c>
      <c r="P1172" s="29">
        <v>0</v>
      </c>
      <c r="Q1172" s="26" t="str">
        <f>"INS"</f>
        <v>INS</v>
      </c>
      <c r="R1172" s="26"/>
      <c r="S1172" s="28">
        <v>42005</v>
      </c>
      <c r="T1172" s="29">
        <v>49.36</v>
      </c>
    </row>
    <row r="1173" spans="1:20" s="7" customFormat="1" hidden="1" outlineLevel="3" x14ac:dyDescent="0.2">
      <c r="A1173" s="7" t="s">
        <v>92</v>
      </c>
      <c r="C1173" s="7" t="str">
        <f t="shared" si="178"/>
        <v>Kevin</v>
      </c>
      <c r="D1173" s="7" t="str">
        <f>+D1172</f>
        <v>Kennedy</v>
      </c>
      <c r="E1173" s="8" t="str">
        <f>E1172</f>
        <v>SALES</v>
      </c>
      <c r="G1173" s="8" t="str">
        <f>G1172</f>
        <v>KENN0001</v>
      </c>
      <c r="H1173" s="26"/>
      <c r="I1173" s="26"/>
      <c r="J1173" s="26"/>
      <c r="K1173" s="28">
        <f>+K1172</f>
        <v>42005</v>
      </c>
      <c r="L1173" s="26" t="str">
        <f>L1172</f>
        <v>10366</v>
      </c>
      <c r="M1173" s="26"/>
      <c r="N1173" s="26"/>
      <c r="O1173" s="26" t="str">
        <f>"""GP Direct"",""Fabrikam, Inc."",""UPR30300"",""PAYRATE"",""0.00000"",""PAYROLCD"",""INS1"",""STATECD"","""",""CHEKDATE"",""1/1/2015"",""UPRTRXAM"",""47.95000"""</f>
        <v>"GP Direct","Fabrikam, Inc.","UPR30300","PAYRATE","0.00000","PAYROLCD","INS1","STATECD","","CHEKDATE","1/1/2015","UPRTRXAM","47.95000"</v>
      </c>
      <c r="P1173" s="29">
        <v>0</v>
      </c>
      <c r="Q1173" s="26" t="str">
        <f>"INS1"</f>
        <v>INS1</v>
      </c>
      <c r="R1173" s="26"/>
      <c r="S1173" s="28">
        <v>42005</v>
      </c>
      <c r="T1173" s="29">
        <v>47.95</v>
      </c>
    </row>
    <row r="1174" spans="1:20" s="7" customFormat="1" hidden="1" outlineLevel="3" x14ac:dyDescent="0.2">
      <c r="A1174" s="7" t="s">
        <v>92</v>
      </c>
      <c r="C1174" s="7" t="str">
        <f t="shared" si="178"/>
        <v>Kevin</v>
      </c>
      <c r="D1174" s="7" t="str">
        <f>+D1173</f>
        <v>Kennedy</v>
      </c>
      <c r="E1174" s="8" t="str">
        <f>E1173</f>
        <v>SALES</v>
      </c>
      <c r="G1174" s="8" t="str">
        <f>G1173</f>
        <v>KENN0001</v>
      </c>
      <c r="H1174" s="26"/>
      <c r="I1174" s="26"/>
      <c r="J1174" s="26"/>
      <c r="K1174" s="28">
        <f>+K1173</f>
        <v>42005</v>
      </c>
      <c r="L1174" s="26" t="str">
        <f>L1173</f>
        <v>10366</v>
      </c>
      <c r="M1174" s="26"/>
      <c r="N1174" s="26"/>
      <c r="O1174" s="26" t="str">
        <f>"""GP Direct"",""Fabrikam, Inc."",""UPR30300"",""PAYRATE"",""0.00000"",""PAYROLCD"",""MED"",""STATECD"","""",""CHEKDATE"",""1/1/2015"",""UPRTRXAM"",""5.00000"""</f>
        <v>"GP Direct","Fabrikam, Inc.","UPR30300","PAYRATE","0.00000","PAYROLCD","MED","STATECD","","CHEKDATE","1/1/2015","UPRTRXAM","5.00000"</v>
      </c>
      <c r="P1174" s="29">
        <v>0</v>
      </c>
      <c r="Q1174" s="26" t="str">
        <f>"MED"</f>
        <v>MED</v>
      </c>
      <c r="R1174" s="26"/>
      <c r="S1174" s="28">
        <v>42005</v>
      </c>
      <c r="T1174" s="29">
        <v>5</v>
      </c>
    </row>
    <row r="1175" spans="1:20" s="7" customFormat="1" hidden="1" outlineLevel="3" x14ac:dyDescent="0.2">
      <c r="A1175" s="7" t="s">
        <v>92</v>
      </c>
      <c r="C1175" s="7" t="str">
        <f t="shared" si="178"/>
        <v>Kevin</v>
      </c>
      <c r="D1175" s="7" t="str">
        <f>+D1174</f>
        <v>Kennedy</v>
      </c>
      <c r="E1175" s="8" t="str">
        <f>E1174</f>
        <v>SALES</v>
      </c>
      <c r="G1175" s="8" t="str">
        <f>G1174</f>
        <v>KENN0001</v>
      </c>
      <c r="H1175" s="26"/>
      <c r="I1175" s="26"/>
      <c r="J1175" s="26"/>
      <c r="K1175" s="28">
        <f>+K1174</f>
        <v>42005</v>
      </c>
      <c r="L1175" s="26" t="str">
        <f>L1174</f>
        <v>10366</v>
      </c>
      <c r="M1175" s="26"/>
      <c r="N1175" s="26"/>
      <c r="O1175" s="26" t="str">
        <f>"""GP Direct"",""Fabrikam, Inc."",""UPR30300"",""PAYRATE"",""24178.00000"",""PAYROLCD"",""SALY"",""STATECD"",""IL"",""CHEKDATE"",""1/1/2015"",""UPRTRXAM"",""1007.42000"""</f>
        <v>"GP Direct","Fabrikam, Inc.","UPR30300","PAYRATE","24178.00000","PAYROLCD","SALY","STATECD","IL","CHEKDATE","1/1/2015","UPRTRXAM","1007.42000"</v>
      </c>
      <c r="P1175" s="29">
        <v>24178</v>
      </c>
      <c r="Q1175" s="26" t="str">
        <f>"SALY"</f>
        <v>SALY</v>
      </c>
      <c r="R1175" s="26" t="str">
        <f>"IL"</f>
        <v>IL</v>
      </c>
      <c r="S1175" s="28">
        <v>42005</v>
      </c>
      <c r="T1175" s="29">
        <v>1007.42</v>
      </c>
    </row>
    <row r="1176" spans="1:20" s="7" customFormat="1" hidden="1" outlineLevel="3" x14ac:dyDescent="0.2">
      <c r="A1176" s="7" t="s">
        <v>92</v>
      </c>
      <c r="C1176" s="7" t="str">
        <f>+C1169</f>
        <v>Kevin</v>
      </c>
      <c r="D1176" s="7" t="str">
        <f>+D1169</f>
        <v>Kennedy</v>
      </c>
      <c r="E1176" s="8" t="str">
        <f>E1169</f>
        <v>SALES</v>
      </c>
      <c r="G1176" s="8" t="str">
        <f>G1169</f>
        <v>KENN0001</v>
      </c>
      <c r="K1176" s="12">
        <f>+K1169</f>
        <v>42005</v>
      </c>
      <c r="L1176" s="8" t="str">
        <f>L1169</f>
        <v>10366</v>
      </c>
      <c r="O1176" s="8"/>
      <c r="T1176" s="20"/>
    </row>
    <row r="1177" spans="1:20" s="7" customFormat="1" hidden="1" outlineLevel="2" collapsed="1" x14ac:dyDescent="0.2">
      <c r="A1177" s="7" t="s">
        <v>92</v>
      </c>
      <c r="C1177" s="7" t="str">
        <f t="shared" si="177"/>
        <v>Kevin</v>
      </c>
      <c r="D1177" s="7" t="str">
        <f>+D1176</f>
        <v>Kennedy</v>
      </c>
      <c r="E1177" s="8" t="str">
        <f>E1176</f>
        <v>SALES</v>
      </c>
      <c r="G1177" s="8" t="str">
        <f>G1176</f>
        <v>KENN0001</v>
      </c>
      <c r="K1177" s="12">
        <f>+K1176</f>
        <v>42005</v>
      </c>
      <c r="L1177" s="8" t="str">
        <f>L1176</f>
        <v>10366</v>
      </c>
      <c r="M1177" s="33" t="str">
        <f>"Total for " &amp; $L1177</f>
        <v>Total for 10366</v>
      </c>
      <c r="N1177" s="34">
        <f>+K1177</f>
        <v>42005</v>
      </c>
      <c r="O1177" s="35"/>
      <c r="P1177" s="33"/>
      <c r="Q1177" s="33"/>
      <c r="R1177" s="33"/>
      <c r="S1177" s="33"/>
      <c r="T1177" s="36">
        <f>SUBTOTAL(9,T1169:T1176)</f>
        <v>1184.74</v>
      </c>
    </row>
    <row r="1178" spans="1:20" s="7" customFormat="1" hidden="1" outlineLevel="3" x14ac:dyDescent="0.2">
      <c r="A1178" s="7" t="s">
        <v>92</v>
      </c>
      <c r="C1178" s="7" t="str">
        <f t="shared" ref="C1178:C1228" si="179">+C1177</f>
        <v>Kevin</v>
      </c>
      <c r="D1178" s="7" t="str">
        <f>+D1177</f>
        <v>Kennedy</v>
      </c>
      <c r="E1178" s="8" t="str">
        <f>E1177</f>
        <v>SALES</v>
      </c>
      <c r="G1178" s="8" t="str">
        <f>G1177</f>
        <v>KENN0001</v>
      </c>
      <c r="H1178" s="26"/>
      <c r="I1178" s="26"/>
      <c r="J1178" s="26"/>
      <c r="K1178" s="28">
        <f>+N1178</f>
        <v>42036</v>
      </c>
      <c r="L1178" s="26" t="str">
        <f>M1178</f>
        <v>10391</v>
      </c>
      <c r="M1178" s="26" t="str">
        <f>"10391"</f>
        <v>10391</v>
      </c>
      <c r="N1178" s="28">
        <v>42036</v>
      </c>
      <c r="O1178" s="26"/>
      <c r="P1178" s="26"/>
      <c r="Q1178" s="26"/>
      <c r="R1178" s="26"/>
      <c r="S1178" s="26"/>
      <c r="T1178" s="27"/>
    </row>
    <row r="1179" spans="1:20" s="7" customFormat="1" hidden="1" outlineLevel="3" x14ac:dyDescent="0.2">
      <c r="A1179" s="7" t="s">
        <v>92</v>
      </c>
      <c r="C1179" s="7" t="str">
        <f t="shared" si="179"/>
        <v>Kevin</v>
      </c>
      <c r="D1179" s="7" t="str">
        <f>+D1178</f>
        <v>Kennedy</v>
      </c>
      <c r="E1179" s="8" t="str">
        <f>E1178</f>
        <v>SALES</v>
      </c>
      <c r="G1179" s="8" t="str">
        <f>G1178</f>
        <v>KENN0001</v>
      </c>
      <c r="H1179" s="26"/>
      <c r="I1179" s="26"/>
      <c r="J1179" s="26"/>
      <c r="K1179" s="28">
        <f>+K1178</f>
        <v>42036</v>
      </c>
      <c r="L1179" s="26" t="str">
        <f>L1178</f>
        <v>10391</v>
      </c>
      <c r="M1179" s="26"/>
      <c r="N1179" s="26"/>
      <c r="O1179" s="26" t="str">
        <f>"""GP Direct"",""Fabrikam, Inc."",""UPR30300"",""PAYRATE"",""0.00000"",""PAYROLCD"",""401K"",""STATECD"","""",""CHEKDATE"",""2/1/2015"",""UPRTRXAM"",""2.52000"""</f>
        <v>"GP Direct","Fabrikam, Inc.","UPR30300","PAYRATE","0.00000","PAYROLCD","401K","STATECD","","CHEKDATE","2/1/2015","UPRTRXAM","2.52000"</v>
      </c>
      <c r="P1179" s="29">
        <v>0</v>
      </c>
      <c r="Q1179" s="26" t="str">
        <f>"401K"</f>
        <v>401K</v>
      </c>
      <c r="R1179" s="26"/>
      <c r="S1179" s="28">
        <v>42036</v>
      </c>
      <c r="T1179" s="29">
        <v>2.52</v>
      </c>
    </row>
    <row r="1180" spans="1:20" s="7" customFormat="1" hidden="1" outlineLevel="3" x14ac:dyDescent="0.2">
      <c r="A1180" s="7" t="s">
        <v>92</v>
      </c>
      <c r="C1180" s="7" t="str">
        <f t="shared" ref="C1180:C1185" si="180">+C1179</f>
        <v>Kevin</v>
      </c>
      <c r="D1180" s="7" t="str">
        <f>+D1179</f>
        <v>Kennedy</v>
      </c>
      <c r="E1180" s="8" t="str">
        <f>E1179</f>
        <v>SALES</v>
      </c>
      <c r="G1180" s="8" t="str">
        <f>G1179</f>
        <v>KENN0001</v>
      </c>
      <c r="H1180" s="26"/>
      <c r="I1180" s="26"/>
      <c r="J1180" s="26"/>
      <c r="K1180" s="28">
        <f>+K1179</f>
        <v>42036</v>
      </c>
      <c r="L1180" s="26" t="str">
        <f>L1179</f>
        <v>10391</v>
      </c>
      <c r="M1180" s="26"/>
      <c r="N1180" s="26"/>
      <c r="O1180" s="26" t="str">
        <f>"""GP Direct"",""Fabrikam, Inc."",""UPR30300"",""PAYRATE"",""0.00000"",""PAYROLCD"",""401K"",""STATECD"","""",""CHEKDATE"",""2/1/2015"",""UPRTRXAM"",""50.37000"""</f>
        <v>"GP Direct","Fabrikam, Inc.","UPR30300","PAYRATE","0.00000","PAYROLCD","401K","STATECD","","CHEKDATE","2/1/2015","UPRTRXAM","50.37000"</v>
      </c>
      <c r="P1180" s="29">
        <v>0</v>
      </c>
      <c r="Q1180" s="26" t="str">
        <f>"401K"</f>
        <v>401K</v>
      </c>
      <c r="R1180" s="26"/>
      <c r="S1180" s="28">
        <v>42036</v>
      </c>
      <c r="T1180" s="29">
        <v>50.37</v>
      </c>
    </row>
    <row r="1181" spans="1:20" s="7" customFormat="1" hidden="1" outlineLevel="3" x14ac:dyDescent="0.2">
      <c r="A1181" s="7" t="s">
        <v>92</v>
      </c>
      <c r="C1181" s="7" t="str">
        <f t="shared" si="180"/>
        <v>Kevin</v>
      </c>
      <c r="D1181" s="7" t="str">
        <f>+D1180</f>
        <v>Kennedy</v>
      </c>
      <c r="E1181" s="8" t="str">
        <f>E1180</f>
        <v>SALES</v>
      </c>
      <c r="G1181" s="8" t="str">
        <f>G1180</f>
        <v>KENN0001</v>
      </c>
      <c r="H1181" s="26"/>
      <c r="I1181" s="26"/>
      <c r="J1181" s="26"/>
      <c r="K1181" s="28">
        <f>+K1180</f>
        <v>42036</v>
      </c>
      <c r="L1181" s="26" t="str">
        <f>L1180</f>
        <v>10391</v>
      </c>
      <c r="M1181" s="26"/>
      <c r="N1181" s="26"/>
      <c r="O1181" s="26" t="str">
        <f>"""GP Direct"",""Fabrikam, Inc."",""UPR30300"",""PAYRATE"",""0.00000"",""PAYROLCD"",""IL"",""STATECD"","""",""CHEKDATE"",""2/1/2015"",""UPRTRXAM"",""22.12000"""</f>
        <v>"GP Direct","Fabrikam, Inc.","UPR30300","PAYRATE","0.00000","PAYROLCD","IL","STATECD","","CHEKDATE","2/1/2015","UPRTRXAM","22.12000"</v>
      </c>
      <c r="P1181" s="29">
        <v>0</v>
      </c>
      <c r="Q1181" s="26" t="str">
        <f>"IL"</f>
        <v>IL</v>
      </c>
      <c r="R1181" s="26"/>
      <c r="S1181" s="28">
        <v>42036</v>
      </c>
      <c r="T1181" s="29">
        <v>22.12</v>
      </c>
    </row>
    <row r="1182" spans="1:20" s="7" customFormat="1" hidden="1" outlineLevel="3" x14ac:dyDescent="0.2">
      <c r="A1182" s="7" t="s">
        <v>92</v>
      </c>
      <c r="C1182" s="7" t="str">
        <f t="shared" si="180"/>
        <v>Kevin</v>
      </c>
      <c r="D1182" s="7" t="str">
        <f>+D1181</f>
        <v>Kennedy</v>
      </c>
      <c r="E1182" s="8" t="str">
        <f>E1181</f>
        <v>SALES</v>
      </c>
      <c r="G1182" s="8" t="str">
        <f>G1181</f>
        <v>KENN0001</v>
      </c>
      <c r="H1182" s="26"/>
      <c r="I1182" s="26"/>
      <c r="J1182" s="26"/>
      <c r="K1182" s="28">
        <f>+K1181</f>
        <v>42036</v>
      </c>
      <c r="L1182" s="26" t="str">
        <f>L1181</f>
        <v>10391</v>
      </c>
      <c r="M1182" s="26"/>
      <c r="N1182" s="26"/>
      <c r="O1182" s="26" t="str">
        <f>"""GP Direct"",""Fabrikam, Inc."",""UPR30300"",""PAYRATE"",""0.00000"",""PAYROLCD"",""INS"",""STATECD"","""",""CHEKDATE"",""2/1/2015"",""UPRTRXAM"",""49.36000"""</f>
        <v>"GP Direct","Fabrikam, Inc.","UPR30300","PAYRATE","0.00000","PAYROLCD","INS","STATECD","","CHEKDATE","2/1/2015","UPRTRXAM","49.36000"</v>
      </c>
      <c r="P1182" s="29">
        <v>0</v>
      </c>
      <c r="Q1182" s="26" t="str">
        <f>"INS"</f>
        <v>INS</v>
      </c>
      <c r="R1182" s="26"/>
      <c r="S1182" s="28">
        <v>42036</v>
      </c>
      <c r="T1182" s="29">
        <v>49.36</v>
      </c>
    </row>
    <row r="1183" spans="1:20" s="7" customFormat="1" hidden="1" outlineLevel="3" x14ac:dyDescent="0.2">
      <c r="A1183" s="7" t="s">
        <v>92</v>
      </c>
      <c r="C1183" s="7" t="str">
        <f t="shared" si="180"/>
        <v>Kevin</v>
      </c>
      <c r="D1183" s="7" t="str">
        <f>+D1182</f>
        <v>Kennedy</v>
      </c>
      <c r="E1183" s="8" t="str">
        <f>E1182</f>
        <v>SALES</v>
      </c>
      <c r="G1183" s="8" t="str">
        <f>G1182</f>
        <v>KENN0001</v>
      </c>
      <c r="H1183" s="26"/>
      <c r="I1183" s="26"/>
      <c r="J1183" s="26"/>
      <c r="K1183" s="28">
        <f>+K1182</f>
        <v>42036</v>
      </c>
      <c r="L1183" s="26" t="str">
        <f>L1182</f>
        <v>10391</v>
      </c>
      <c r="M1183" s="26"/>
      <c r="N1183" s="26"/>
      <c r="O1183" s="26" t="str">
        <f>"""GP Direct"",""Fabrikam, Inc."",""UPR30300"",""PAYRATE"",""0.00000"",""PAYROLCD"",""INS1"",""STATECD"","""",""CHEKDATE"",""2/1/2015"",""UPRTRXAM"",""47.95000"""</f>
        <v>"GP Direct","Fabrikam, Inc.","UPR30300","PAYRATE","0.00000","PAYROLCD","INS1","STATECD","","CHEKDATE","2/1/2015","UPRTRXAM","47.95000"</v>
      </c>
      <c r="P1183" s="29">
        <v>0</v>
      </c>
      <c r="Q1183" s="26" t="str">
        <f>"INS1"</f>
        <v>INS1</v>
      </c>
      <c r="R1183" s="26"/>
      <c r="S1183" s="28">
        <v>42036</v>
      </c>
      <c r="T1183" s="29">
        <v>47.95</v>
      </c>
    </row>
    <row r="1184" spans="1:20" s="7" customFormat="1" hidden="1" outlineLevel="3" x14ac:dyDescent="0.2">
      <c r="A1184" s="7" t="s">
        <v>92</v>
      </c>
      <c r="C1184" s="7" t="str">
        <f t="shared" si="180"/>
        <v>Kevin</v>
      </c>
      <c r="D1184" s="7" t="str">
        <f>+D1183</f>
        <v>Kennedy</v>
      </c>
      <c r="E1184" s="8" t="str">
        <f>E1183</f>
        <v>SALES</v>
      </c>
      <c r="G1184" s="8" t="str">
        <f>G1183</f>
        <v>KENN0001</v>
      </c>
      <c r="H1184" s="26"/>
      <c r="I1184" s="26"/>
      <c r="J1184" s="26"/>
      <c r="K1184" s="28">
        <f>+K1183</f>
        <v>42036</v>
      </c>
      <c r="L1184" s="26" t="str">
        <f>L1183</f>
        <v>10391</v>
      </c>
      <c r="M1184" s="26"/>
      <c r="N1184" s="26"/>
      <c r="O1184" s="26" t="str">
        <f>"""GP Direct"",""Fabrikam, Inc."",""UPR30300"",""PAYRATE"",""0.00000"",""PAYROLCD"",""MED"",""STATECD"","""",""CHEKDATE"",""2/1/2015"",""UPRTRXAM"",""5.00000"""</f>
        <v>"GP Direct","Fabrikam, Inc.","UPR30300","PAYRATE","0.00000","PAYROLCD","MED","STATECD","","CHEKDATE","2/1/2015","UPRTRXAM","5.00000"</v>
      </c>
      <c r="P1184" s="29">
        <v>0</v>
      </c>
      <c r="Q1184" s="26" t="str">
        <f>"MED"</f>
        <v>MED</v>
      </c>
      <c r="R1184" s="26"/>
      <c r="S1184" s="28">
        <v>42036</v>
      </c>
      <c r="T1184" s="29">
        <v>5</v>
      </c>
    </row>
    <row r="1185" spans="1:20" s="7" customFormat="1" hidden="1" outlineLevel="3" x14ac:dyDescent="0.2">
      <c r="A1185" s="7" t="s">
        <v>92</v>
      </c>
      <c r="C1185" s="7" t="str">
        <f t="shared" si="180"/>
        <v>Kevin</v>
      </c>
      <c r="D1185" s="7" t="str">
        <f>+D1184</f>
        <v>Kennedy</v>
      </c>
      <c r="E1185" s="8" t="str">
        <f>E1184</f>
        <v>SALES</v>
      </c>
      <c r="G1185" s="8" t="str">
        <f>G1184</f>
        <v>KENN0001</v>
      </c>
      <c r="H1185" s="26"/>
      <c r="I1185" s="26"/>
      <c r="J1185" s="26"/>
      <c r="K1185" s="28">
        <f>+K1184</f>
        <v>42036</v>
      </c>
      <c r="L1185" s="26" t="str">
        <f>L1184</f>
        <v>10391</v>
      </c>
      <c r="M1185" s="26"/>
      <c r="N1185" s="26"/>
      <c r="O1185" s="26" t="str">
        <f>"""GP Direct"",""Fabrikam, Inc."",""UPR30300"",""PAYRATE"",""24178.00000"",""PAYROLCD"",""SALY"",""STATECD"",""IL"",""CHEKDATE"",""2/1/2015"",""UPRTRXAM"",""1007.42000"""</f>
        <v>"GP Direct","Fabrikam, Inc.","UPR30300","PAYRATE","24178.00000","PAYROLCD","SALY","STATECD","IL","CHEKDATE","2/1/2015","UPRTRXAM","1007.42000"</v>
      </c>
      <c r="P1185" s="29">
        <v>24178</v>
      </c>
      <c r="Q1185" s="26" t="str">
        <f>"SALY"</f>
        <v>SALY</v>
      </c>
      <c r="R1185" s="26" t="str">
        <f>"IL"</f>
        <v>IL</v>
      </c>
      <c r="S1185" s="28">
        <v>42036</v>
      </c>
      <c r="T1185" s="29">
        <v>1007.42</v>
      </c>
    </row>
    <row r="1186" spans="1:20" s="7" customFormat="1" hidden="1" outlineLevel="3" x14ac:dyDescent="0.2">
      <c r="A1186" s="7" t="s">
        <v>92</v>
      </c>
      <c r="C1186" s="7" t="str">
        <f>+C1179</f>
        <v>Kevin</v>
      </c>
      <c r="D1186" s="7" t="str">
        <f>+D1179</f>
        <v>Kennedy</v>
      </c>
      <c r="E1186" s="8" t="str">
        <f>E1179</f>
        <v>SALES</v>
      </c>
      <c r="G1186" s="8" t="str">
        <f>G1179</f>
        <v>KENN0001</v>
      </c>
      <c r="K1186" s="12">
        <f>+K1179</f>
        <v>42036</v>
      </c>
      <c r="L1186" s="8" t="str">
        <f>L1179</f>
        <v>10391</v>
      </c>
      <c r="O1186" s="8"/>
      <c r="T1186" s="20"/>
    </row>
    <row r="1187" spans="1:20" s="7" customFormat="1" hidden="1" outlineLevel="2" collapsed="1" x14ac:dyDescent="0.2">
      <c r="A1187" s="7" t="s">
        <v>92</v>
      </c>
      <c r="C1187" s="7" t="str">
        <f t="shared" si="179"/>
        <v>Kevin</v>
      </c>
      <c r="D1187" s="7" t="str">
        <f>+D1186</f>
        <v>Kennedy</v>
      </c>
      <c r="E1187" s="8" t="str">
        <f>E1186</f>
        <v>SALES</v>
      </c>
      <c r="G1187" s="8" t="str">
        <f>G1186</f>
        <v>KENN0001</v>
      </c>
      <c r="K1187" s="12">
        <f>+K1186</f>
        <v>42036</v>
      </c>
      <c r="L1187" s="8" t="str">
        <f>L1186</f>
        <v>10391</v>
      </c>
      <c r="M1187" s="33" t="str">
        <f>"Total for " &amp; $L1187</f>
        <v>Total for 10391</v>
      </c>
      <c r="N1187" s="34">
        <f>+K1187</f>
        <v>42036</v>
      </c>
      <c r="O1187" s="35"/>
      <c r="P1187" s="33"/>
      <c r="Q1187" s="33"/>
      <c r="R1187" s="33"/>
      <c r="S1187" s="33"/>
      <c r="T1187" s="36">
        <f>SUBTOTAL(9,T1179:T1186)</f>
        <v>1184.74</v>
      </c>
    </row>
    <row r="1188" spans="1:20" s="7" customFormat="1" hidden="1" outlineLevel="3" x14ac:dyDescent="0.2">
      <c r="A1188" s="7" t="s">
        <v>92</v>
      </c>
      <c r="C1188" s="7" t="str">
        <f t="shared" si="179"/>
        <v>Kevin</v>
      </c>
      <c r="D1188" s="7" t="str">
        <f>+D1187</f>
        <v>Kennedy</v>
      </c>
      <c r="E1188" s="8" t="str">
        <f>E1187</f>
        <v>SALES</v>
      </c>
      <c r="G1188" s="8" t="str">
        <f>G1187</f>
        <v>KENN0001</v>
      </c>
      <c r="H1188" s="26"/>
      <c r="I1188" s="26"/>
      <c r="J1188" s="26"/>
      <c r="K1188" s="28">
        <f>+N1188</f>
        <v>42064</v>
      </c>
      <c r="L1188" s="26" t="str">
        <f>M1188</f>
        <v>10416</v>
      </c>
      <c r="M1188" s="26" t="str">
        <f>"10416"</f>
        <v>10416</v>
      </c>
      <c r="N1188" s="28">
        <v>42064</v>
      </c>
      <c r="O1188" s="26"/>
      <c r="P1188" s="26"/>
      <c r="Q1188" s="26"/>
      <c r="R1188" s="26"/>
      <c r="S1188" s="26"/>
      <c r="T1188" s="27"/>
    </row>
    <row r="1189" spans="1:20" s="7" customFormat="1" hidden="1" outlineLevel="3" x14ac:dyDescent="0.2">
      <c r="A1189" s="7" t="s">
        <v>92</v>
      </c>
      <c r="C1189" s="7" t="str">
        <f t="shared" si="179"/>
        <v>Kevin</v>
      </c>
      <c r="D1189" s="7" t="str">
        <f>+D1188</f>
        <v>Kennedy</v>
      </c>
      <c r="E1189" s="8" t="str">
        <f>E1188</f>
        <v>SALES</v>
      </c>
      <c r="G1189" s="8" t="str">
        <f>G1188</f>
        <v>KENN0001</v>
      </c>
      <c r="H1189" s="26"/>
      <c r="I1189" s="26"/>
      <c r="J1189" s="26"/>
      <c r="K1189" s="28">
        <f>+K1188</f>
        <v>42064</v>
      </c>
      <c r="L1189" s="26" t="str">
        <f>L1188</f>
        <v>10416</v>
      </c>
      <c r="M1189" s="26"/>
      <c r="N1189" s="26"/>
      <c r="O1189" s="26" t="str">
        <f>"""GP Direct"",""Fabrikam, Inc."",""UPR30300"",""PAYRATE"",""0.00000"",""PAYROLCD"",""401K"",""STATECD"","""",""CHEKDATE"",""3/1/2015"",""UPRTRXAM"",""2.29000"""</f>
        <v>"GP Direct","Fabrikam, Inc.","UPR30300","PAYRATE","0.00000","PAYROLCD","401K","STATECD","","CHEKDATE","3/1/2015","UPRTRXAM","2.29000"</v>
      </c>
      <c r="P1189" s="29">
        <v>0</v>
      </c>
      <c r="Q1189" s="26" t="str">
        <f>"401K"</f>
        <v>401K</v>
      </c>
      <c r="R1189" s="26"/>
      <c r="S1189" s="28">
        <v>42064</v>
      </c>
      <c r="T1189" s="29">
        <v>2.29</v>
      </c>
    </row>
    <row r="1190" spans="1:20" s="7" customFormat="1" hidden="1" outlineLevel="3" x14ac:dyDescent="0.2">
      <c r="A1190" s="7" t="s">
        <v>92</v>
      </c>
      <c r="C1190" s="7" t="str">
        <f t="shared" ref="C1190:C1196" si="181">+C1189</f>
        <v>Kevin</v>
      </c>
      <c r="D1190" s="7" t="str">
        <f>+D1189</f>
        <v>Kennedy</v>
      </c>
      <c r="E1190" s="8" t="str">
        <f>E1189</f>
        <v>SALES</v>
      </c>
      <c r="G1190" s="8" t="str">
        <f>G1189</f>
        <v>KENN0001</v>
      </c>
      <c r="H1190" s="26"/>
      <c r="I1190" s="26"/>
      <c r="J1190" s="26"/>
      <c r="K1190" s="28">
        <f>+K1189</f>
        <v>42064</v>
      </c>
      <c r="L1190" s="26" t="str">
        <f>L1189</f>
        <v>10416</v>
      </c>
      <c r="M1190" s="26"/>
      <c r="N1190" s="26"/>
      <c r="O1190" s="26" t="str">
        <f>"""GP Direct"",""Fabrikam, Inc."",""UPR30300"",""PAYRATE"",""0.00000"",""PAYROLCD"",""401K"",""STATECD"","""",""CHEKDATE"",""3/1/2015"",""UPRTRXAM"",""45.72000"""</f>
        <v>"GP Direct","Fabrikam, Inc.","UPR30300","PAYRATE","0.00000","PAYROLCD","401K","STATECD","","CHEKDATE","3/1/2015","UPRTRXAM","45.72000"</v>
      </c>
      <c r="P1190" s="29">
        <v>0</v>
      </c>
      <c r="Q1190" s="26" t="str">
        <f>"401K"</f>
        <v>401K</v>
      </c>
      <c r="R1190" s="26"/>
      <c r="S1190" s="28">
        <v>42064</v>
      </c>
      <c r="T1190" s="29">
        <v>45.72</v>
      </c>
    </row>
    <row r="1191" spans="1:20" s="7" customFormat="1" hidden="1" outlineLevel="3" x14ac:dyDescent="0.2">
      <c r="A1191" s="7" t="s">
        <v>92</v>
      </c>
      <c r="C1191" s="7" t="str">
        <f t="shared" si="181"/>
        <v>Kevin</v>
      </c>
      <c r="D1191" s="7" t="str">
        <f>+D1190</f>
        <v>Kennedy</v>
      </c>
      <c r="E1191" s="8" t="str">
        <f>E1190</f>
        <v>SALES</v>
      </c>
      <c r="G1191" s="8" t="str">
        <f>G1190</f>
        <v>KENN0001</v>
      </c>
      <c r="H1191" s="26"/>
      <c r="I1191" s="26"/>
      <c r="J1191" s="26"/>
      <c r="K1191" s="28">
        <f>+K1190</f>
        <v>42064</v>
      </c>
      <c r="L1191" s="26" t="str">
        <f>L1190</f>
        <v>10416</v>
      </c>
      <c r="M1191" s="26"/>
      <c r="N1191" s="26"/>
      <c r="O1191" s="26" t="str">
        <f>"""GP Direct"",""Fabrikam, Inc."",""UPR30300"",""PAYRATE"",""0.00000"",""PAYROLCD"",""HOLI"",""STATECD"",""IL"",""CHEKDATE"",""3/1/2015"",""UPRTRXAM"",""0.00000"""</f>
        <v>"GP Direct","Fabrikam, Inc.","UPR30300","PAYRATE","0.00000","PAYROLCD","HOLI","STATECD","IL","CHEKDATE","3/1/2015","UPRTRXAM","0.00000"</v>
      </c>
      <c r="P1191" s="29">
        <v>0</v>
      </c>
      <c r="Q1191" s="26" t="str">
        <f>"HOLI"</f>
        <v>HOLI</v>
      </c>
      <c r="R1191" s="26" t="str">
        <f>"IL"</f>
        <v>IL</v>
      </c>
      <c r="S1191" s="28">
        <v>42064</v>
      </c>
      <c r="T1191" s="29">
        <v>0</v>
      </c>
    </row>
    <row r="1192" spans="1:20" s="7" customFormat="1" hidden="1" outlineLevel="3" x14ac:dyDescent="0.2">
      <c r="A1192" s="7" t="s">
        <v>92</v>
      </c>
      <c r="C1192" s="7" t="str">
        <f t="shared" si="181"/>
        <v>Kevin</v>
      </c>
      <c r="D1192" s="7" t="str">
        <f>+D1191</f>
        <v>Kennedy</v>
      </c>
      <c r="E1192" s="8" t="str">
        <f>E1191</f>
        <v>SALES</v>
      </c>
      <c r="G1192" s="8" t="str">
        <f>G1191</f>
        <v>KENN0001</v>
      </c>
      <c r="H1192" s="26"/>
      <c r="I1192" s="26"/>
      <c r="J1192" s="26"/>
      <c r="K1192" s="28">
        <f>+K1191</f>
        <v>42064</v>
      </c>
      <c r="L1192" s="26" t="str">
        <f>L1191</f>
        <v>10416</v>
      </c>
      <c r="M1192" s="26"/>
      <c r="N1192" s="26"/>
      <c r="O1192" s="26" t="str">
        <f>"""GP Direct"",""Fabrikam, Inc."",""UPR30300"",""PAYRATE"",""0.00000"",""PAYROLCD"",""IL"",""STATECD"","""",""CHEKDATE"",""3/1/2015"",""UPRTRXAM"",""19.47000"""</f>
        <v>"GP Direct","Fabrikam, Inc.","UPR30300","PAYRATE","0.00000","PAYROLCD","IL","STATECD","","CHEKDATE","3/1/2015","UPRTRXAM","19.47000"</v>
      </c>
      <c r="P1192" s="29">
        <v>0</v>
      </c>
      <c r="Q1192" s="26" t="str">
        <f>"IL"</f>
        <v>IL</v>
      </c>
      <c r="R1192" s="26"/>
      <c r="S1192" s="28">
        <v>42064</v>
      </c>
      <c r="T1192" s="29">
        <v>19.47</v>
      </c>
    </row>
    <row r="1193" spans="1:20" s="7" customFormat="1" hidden="1" outlineLevel="3" x14ac:dyDescent="0.2">
      <c r="A1193" s="7" t="s">
        <v>92</v>
      </c>
      <c r="C1193" s="7" t="str">
        <f t="shared" si="181"/>
        <v>Kevin</v>
      </c>
      <c r="D1193" s="7" t="str">
        <f>+D1192</f>
        <v>Kennedy</v>
      </c>
      <c r="E1193" s="8" t="str">
        <f>E1192</f>
        <v>SALES</v>
      </c>
      <c r="G1193" s="8" t="str">
        <f>G1192</f>
        <v>KENN0001</v>
      </c>
      <c r="H1193" s="26"/>
      <c r="I1193" s="26"/>
      <c r="J1193" s="26"/>
      <c r="K1193" s="28">
        <f>+K1192</f>
        <v>42064</v>
      </c>
      <c r="L1193" s="26" t="str">
        <f>L1192</f>
        <v>10416</v>
      </c>
      <c r="M1193" s="26"/>
      <c r="N1193" s="26"/>
      <c r="O1193" s="26" t="str">
        <f>"""GP Direct"",""Fabrikam, Inc."",""UPR30300"",""PAYRATE"",""0.00000"",""PAYROLCD"",""INS"",""STATECD"","""",""CHEKDATE"",""3/1/2015"",""UPRTRXAM"",""49.36000"""</f>
        <v>"GP Direct","Fabrikam, Inc.","UPR30300","PAYRATE","0.00000","PAYROLCD","INS","STATECD","","CHEKDATE","3/1/2015","UPRTRXAM","49.36000"</v>
      </c>
      <c r="P1193" s="29">
        <v>0</v>
      </c>
      <c r="Q1193" s="26" t="str">
        <f>"INS"</f>
        <v>INS</v>
      </c>
      <c r="R1193" s="26"/>
      <c r="S1193" s="28">
        <v>42064</v>
      </c>
      <c r="T1193" s="29">
        <v>49.36</v>
      </c>
    </row>
    <row r="1194" spans="1:20" s="7" customFormat="1" hidden="1" outlineLevel="3" x14ac:dyDescent="0.2">
      <c r="A1194" s="7" t="s">
        <v>92</v>
      </c>
      <c r="C1194" s="7" t="str">
        <f t="shared" si="181"/>
        <v>Kevin</v>
      </c>
      <c r="D1194" s="7" t="str">
        <f>+D1193</f>
        <v>Kennedy</v>
      </c>
      <c r="E1194" s="8" t="str">
        <f>E1193</f>
        <v>SALES</v>
      </c>
      <c r="G1194" s="8" t="str">
        <f>G1193</f>
        <v>KENN0001</v>
      </c>
      <c r="H1194" s="26"/>
      <c r="I1194" s="26"/>
      <c r="J1194" s="26"/>
      <c r="K1194" s="28">
        <f>+K1193</f>
        <v>42064</v>
      </c>
      <c r="L1194" s="26" t="str">
        <f>L1193</f>
        <v>10416</v>
      </c>
      <c r="M1194" s="26"/>
      <c r="N1194" s="26"/>
      <c r="O1194" s="26" t="str">
        <f>"""GP Direct"",""Fabrikam, Inc."",""UPR30300"",""PAYRATE"",""0.00000"",""PAYROLCD"",""INS1"",""STATECD"","""",""CHEKDATE"",""3/1/2015"",""UPRTRXAM"",""47.95000"""</f>
        <v>"GP Direct","Fabrikam, Inc.","UPR30300","PAYRATE","0.00000","PAYROLCD","INS1","STATECD","","CHEKDATE","3/1/2015","UPRTRXAM","47.95000"</v>
      </c>
      <c r="P1194" s="29">
        <v>0</v>
      </c>
      <c r="Q1194" s="26" t="str">
        <f>"INS1"</f>
        <v>INS1</v>
      </c>
      <c r="R1194" s="26"/>
      <c r="S1194" s="28">
        <v>42064</v>
      </c>
      <c r="T1194" s="29">
        <v>47.95</v>
      </c>
    </row>
    <row r="1195" spans="1:20" s="7" customFormat="1" hidden="1" outlineLevel="3" x14ac:dyDescent="0.2">
      <c r="A1195" s="7" t="s">
        <v>92</v>
      </c>
      <c r="C1195" s="7" t="str">
        <f t="shared" si="181"/>
        <v>Kevin</v>
      </c>
      <c r="D1195" s="7" t="str">
        <f>+D1194</f>
        <v>Kennedy</v>
      </c>
      <c r="E1195" s="8" t="str">
        <f>E1194</f>
        <v>SALES</v>
      </c>
      <c r="G1195" s="8" t="str">
        <f>G1194</f>
        <v>KENN0001</v>
      </c>
      <c r="H1195" s="26"/>
      <c r="I1195" s="26"/>
      <c r="J1195" s="26"/>
      <c r="K1195" s="28">
        <f>+K1194</f>
        <v>42064</v>
      </c>
      <c r="L1195" s="26" t="str">
        <f>L1194</f>
        <v>10416</v>
      </c>
      <c r="M1195" s="26"/>
      <c r="N1195" s="26"/>
      <c r="O1195" s="26" t="str">
        <f>"""GP Direct"",""Fabrikam, Inc."",""UPR30300"",""PAYRATE"",""0.00000"",""PAYROLCD"",""MED"",""STATECD"","""",""CHEKDATE"",""3/1/2015"",""UPRTRXAM"",""5.00000"""</f>
        <v>"GP Direct","Fabrikam, Inc.","UPR30300","PAYRATE","0.00000","PAYROLCD","MED","STATECD","","CHEKDATE","3/1/2015","UPRTRXAM","5.00000"</v>
      </c>
      <c r="P1195" s="29">
        <v>0</v>
      </c>
      <c r="Q1195" s="26" t="str">
        <f>"MED"</f>
        <v>MED</v>
      </c>
      <c r="R1195" s="26"/>
      <c r="S1195" s="28">
        <v>42064</v>
      </c>
      <c r="T1195" s="29">
        <v>5</v>
      </c>
    </row>
    <row r="1196" spans="1:20" s="7" customFormat="1" hidden="1" outlineLevel="3" x14ac:dyDescent="0.2">
      <c r="A1196" s="7" t="s">
        <v>92</v>
      </c>
      <c r="C1196" s="7" t="str">
        <f t="shared" si="181"/>
        <v>Kevin</v>
      </c>
      <c r="D1196" s="7" t="str">
        <f>+D1195</f>
        <v>Kennedy</v>
      </c>
      <c r="E1196" s="8" t="str">
        <f>E1195</f>
        <v>SALES</v>
      </c>
      <c r="G1196" s="8" t="str">
        <f>G1195</f>
        <v>KENN0001</v>
      </c>
      <c r="H1196" s="26"/>
      <c r="I1196" s="26"/>
      <c r="J1196" s="26"/>
      <c r="K1196" s="28">
        <f>+K1195</f>
        <v>42064</v>
      </c>
      <c r="L1196" s="26" t="str">
        <f>L1195</f>
        <v>10416</v>
      </c>
      <c r="M1196" s="26"/>
      <c r="N1196" s="26"/>
      <c r="O1196" s="26" t="str">
        <f>"""GP Direct"",""Fabrikam, Inc."",""UPR30300"",""PAYRATE"",""11.62408"",""PAYROLCD"",""SALY"",""STATECD"",""IL"",""CHEKDATE"",""3/1/2015"",""UPRTRXAM"",""914.43000"""</f>
        <v>"GP Direct","Fabrikam, Inc.","UPR30300","PAYRATE","11.62408","PAYROLCD","SALY","STATECD","IL","CHEKDATE","3/1/2015","UPRTRXAM","914.43000"</v>
      </c>
      <c r="P1196" s="29">
        <v>11.6241</v>
      </c>
      <c r="Q1196" s="26" t="str">
        <f>"SALY"</f>
        <v>SALY</v>
      </c>
      <c r="R1196" s="26" t="str">
        <f>"IL"</f>
        <v>IL</v>
      </c>
      <c r="S1196" s="28">
        <v>42064</v>
      </c>
      <c r="T1196" s="29">
        <v>914.43</v>
      </c>
    </row>
    <row r="1197" spans="1:20" s="7" customFormat="1" hidden="1" outlineLevel="3" x14ac:dyDescent="0.2">
      <c r="A1197" s="7" t="s">
        <v>92</v>
      </c>
      <c r="C1197" s="7" t="str">
        <f>+C1189</f>
        <v>Kevin</v>
      </c>
      <c r="D1197" s="7" t="str">
        <f>+D1189</f>
        <v>Kennedy</v>
      </c>
      <c r="E1197" s="8" t="str">
        <f>E1189</f>
        <v>SALES</v>
      </c>
      <c r="G1197" s="8" t="str">
        <f>G1189</f>
        <v>KENN0001</v>
      </c>
      <c r="K1197" s="12">
        <f>+K1189</f>
        <v>42064</v>
      </c>
      <c r="L1197" s="8" t="str">
        <f>L1189</f>
        <v>10416</v>
      </c>
      <c r="O1197" s="8"/>
      <c r="T1197" s="20"/>
    </row>
    <row r="1198" spans="1:20" s="7" customFormat="1" hidden="1" outlineLevel="2" collapsed="1" x14ac:dyDescent="0.2">
      <c r="A1198" s="7" t="s">
        <v>92</v>
      </c>
      <c r="C1198" s="7" t="str">
        <f t="shared" si="179"/>
        <v>Kevin</v>
      </c>
      <c r="D1198" s="7" t="str">
        <f>+D1197</f>
        <v>Kennedy</v>
      </c>
      <c r="E1198" s="8" t="str">
        <f>E1197</f>
        <v>SALES</v>
      </c>
      <c r="G1198" s="8" t="str">
        <f>G1197</f>
        <v>KENN0001</v>
      </c>
      <c r="K1198" s="12">
        <f>+K1197</f>
        <v>42064</v>
      </c>
      <c r="L1198" s="8" t="str">
        <f>L1197</f>
        <v>10416</v>
      </c>
      <c r="M1198" s="33" t="str">
        <f>"Total for " &amp; $L1198</f>
        <v>Total for 10416</v>
      </c>
      <c r="N1198" s="34">
        <f>+K1198</f>
        <v>42064</v>
      </c>
      <c r="O1198" s="35"/>
      <c r="P1198" s="33"/>
      <c r="Q1198" s="33"/>
      <c r="R1198" s="33"/>
      <c r="S1198" s="33"/>
      <c r="T1198" s="36">
        <f>SUBTOTAL(9,T1189:T1197)</f>
        <v>1084.22</v>
      </c>
    </row>
    <row r="1199" spans="1:20" s="7" customFormat="1" hidden="1" outlineLevel="3" x14ac:dyDescent="0.2">
      <c r="A1199" s="7" t="s">
        <v>92</v>
      </c>
      <c r="C1199" s="7" t="str">
        <f t="shared" si="179"/>
        <v>Kevin</v>
      </c>
      <c r="D1199" s="7" t="str">
        <f>+D1198</f>
        <v>Kennedy</v>
      </c>
      <c r="E1199" s="8" t="str">
        <f>E1198</f>
        <v>SALES</v>
      </c>
      <c r="G1199" s="8" t="str">
        <f>G1198</f>
        <v>KENN0001</v>
      </c>
      <c r="H1199" s="26"/>
      <c r="I1199" s="26"/>
      <c r="J1199" s="26"/>
      <c r="K1199" s="28">
        <f>+N1199</f>
        <v>42095</v>
      </c>
      <c r="L1199" s="26" t="str">
        <f>M1199</f>
        <v>10441</v>
      </c>
      <c r="M1199" s="26" t="str">
        <f>"10441"</f>
        <v>10441</v>
      </c>
      <c r="N1199" s="28">
        <v>42095</v>
      </c>
      <c r="O1199" s="26"/>
      <c r="P1199" s="26"/>
      <c r="Q1199" s="26"/>
      <c r="R1199" s="26"/>
      <c r="S1199" s="26"/>
      <c r="T1199" s="27"/>
    </row>
    <row r="1200" spans="1:20" s="7" customFormat="1" hidden="1" outlineLevel="3" x14ac:dyDescent="0.2">
      <c r="A1200" s="7" t="s">
        <v>92</v>
      </c>
      <c r="C1200" s="7" t="str">
        <f t="shared" si="179"/>
        <v>Kevin</v>
      </c>
      <c r="D1200" s="7" t="str">
        <f>+D1199</f>
        <v>Kennedy</v>
      </c>
      <c r="E1200" s="8" t="str">
        <f>E1199</f>
        <v>SALES</v>
      </c>
      <c r="G1200" s="8" t="str">
        <f>G1199</f>
        <v>KENN0001</v>
      </c>
      <c r="H1200" s="26"/>
      <c r="I1200" s="26"/>
      <c r="J1200" s="26"/>
      <c r="K1200" s="28">
        <f>+K1199</f>
        <v>42095</v>
      </c>
      <c r="L1200" s="26" t="str">
        <f>L1199</f>
        <v>10441</v>
      </c>
      <c r="M1200" s="26"/>
      <c r="N1200" s="26"/>
      <c r="O1200" s="26" t="str">
        <f>"""GP Direct"",""Fabrikam, Inc."",""UPR30300"",""PAYRATE"",""0.00000"",""PAYROLCD"",""401K"",""STATECD"","""",""CHEKDATE"",""4/1/2015"",""UPRTRXAM"",""2.52000"""</f>
        <v>"GP Direct","Fabrikam, Inc.","UPR30300","PAYRATE","0.00000","PAYROLCD","401K","STATECD","","CHEKDATE","4/1/2015","UPRTRXAM","2.52000"</v>
      </c>
      <c r="P1200" s="29">
        <v>0</v>
      </c>
      <c r="Q1200" s="26" t="str">
        <f>"401K"</f>
        <v>401K</v>
      </c>
      <c r="R1200" s="26"/>
      <c r="S1200" s="28">
        <v>42095</v>
      </c>
      <c r="T1200" s="29">
        <v>2.52</v>
      </c>
    </row>
    <row r="1201" spans="1:20" s="7" customFormat="1" hidden="1" outlineLevel="3" x14ac:dyDescent="0.2">
      <c r="A1201" s="7" t="s">
        <v>92</v>
      </c>
      <c r="C1201" s="7" t="str">
        <f t="shared" ref="C1201:C1206" si="182">+C1200</f>
        <v>Kevin</v>
      </c>
      <c r="D1201" s="7" t="str">
        <f>+D1200</f>
        <v>Kennedy</v>
      </c>
      <c r="E1201" s="8" t="str">
        <f>E1200</f>
        <v>SALES</v>
      </c>
      <c r="G1201" s="8" t="str">
        <f>G1200</f>
        <v>KENN0001</v>
      </c>
      <c r="H1201" s="26"/>
      <c r="I1201" s="26"/>
      <c r="J1201" s="26"/>
      <c r="K1201" s="28">
        <f>+K1200</f>
        <v>42095</v>
      </c>
      <c r="L1201" s="26" t="str">
        <f>L1200</f>
        <v>10441</v>
      </c>
      <c r="M1201" s="26"/>
      <c r="N1201" s="26"/>
      <c r="O1201" s="26" t="str">
        <f>"""GP Direct"",""Fabrikam, Inc."",""UPR30300"",""PAYRATE"",""0.00000"",""PAYROLCD"",""401K"",""STATECD"","""",""CHEKDATE"",""4/1/2015"",""UPRTRXAM"",""50.37000"""</f>
        <v>"GP Direct","Fabrikam, Inc.","UPR30300","PAYRATE","0.00000","PAYROLCD","401K","STATECD","","CHEKDATE","4/1/2015","UPRTRXAM","50.37000"</v>
      </c>
      <c r="P1201" s="29">
        <v>0</v>
      </c>
      <c r="Q1201" s="26" t="str">
        <f>"401K"</f>
        <v>401K</v>
      </c>
      <c r="R1201" s="26"/>
      <c r="S1201" s="28">
        <v>42095</v>
      </c>
      <c r="T1201" s="29">
        <v>50.37</v>
      </c>
    </row>
    <row r="1202" spans="1:20" s="7" customFormat="1" hidden="1" outlineLevel="3" x14ac:dyDescent="0.2">
      <c r="A1202" s="7" t="s">
        <v>92</v>
      </c>
      <c r="C1202" s="7" t="str">
        <f t="shared" si="182"/>
        <v>Kevin</v>
      </c>
      <c r="D1202" s="7" t="str">
        <f>+D1201</f>
        <v>Kennedy</v>
      </c>
      <c r="E1202" s="8" t="str">
        <f>E1201</f>
        <v>SALES</v>
      </c>
      <c r="G1202" s="8" t="str">
        <f>G1201</f>
        <v>KENN0001</v>
      </c>
      <c r="H1202" s="26"/>
      <c r="I1202" s="26"/>
      <c r="J1202" s="26"/>
      <c r="K1202" s="28">
        <f>+K1201</f>
        <v>42095</v>
      </c>
      <c r="L1202" s="26" t="str">
        <f>L1201</f>
        <v>10441</v>
      </c>
      <c r="M1202" s="26"/>
      <c r="N1202" s="26"/>
      <c r="O1202" s="26" t="str">
        <f>"""GP Direct"",""Fabrikam, Inc."",""UPR30300"",""PAYRATE"",""0.00000"",""PAYROLCD"",""IL"",""STATECD"","""",""CHEKDATE"",""4/1/2015"",""UPRTRXAM"",""22.12000"""</f>
        <v>"GP Direct","Fabrikam, Inc.","UPR30300","PAYRATE","0.00000","PAYROLCD","IL","STATECD","","CHEKDATE","4/1/2015","UPRTRXAM","22.12000"</v>
      </c>
      <c r="P1202" s="29">
        <v>0</v>
      </c>
      <c r="Q1202" s="26" t="str">
        <f>"IL"</f>
        <v>IL</v>
      </c>
      <c r="R1202" s="26"/>
      <c r="S1202" s="28">
        <v>42095</v>
      </c>
      <c r="T1202" s="29">
        <v>22.12</v>
      </c>
    </row>
    <row r="1203" spans="1:20" s="7" customFormat="1" hidden="1" outlineLevel="3" x14ac:dyDescent="0.2">
      <c r="A1203" s="7" t="s">
        <v>92</v>
      </c>
      <c r="C1203" s="7" t="str">
        <f t="shared" si="182"/>
        <v>Kevin</v>
      </c>
      <c r="D1203" s="7" t="str">
        <f>+D1202</f>
        <v>Kennedy</v>
      </c>
      <c r="E1203" s="8" t="str">
        <f>E1202</f>
        <v>SALES</v>
      </c>
      <c r="G1203" s="8" t="str">
        <f>G1202</f>
        <v>KENN0001</v>
      </c>
      <c r="H1203" s="26"/>
      <c r="I1203" s="26"/>
      <c r="J1203" s="26"/>
      <c r="K1203" s="28">
        <f>+K1202</f>
        <v>42095</v>
      </c>
      <c r="L1203" s="26" t="str">
        <f>L1202</f>
        <v>10441</v>
      </c>
      <c r="M1203" s="26"/>
      <c r="N1203" s="26"/>
      <c r="O1203" s="26" t="str">
        <f>"""GP Direct"",""Fabrikam, Inc."",""UPR30300"",""PAYRATE"",""0.00000"",""PAYROLCD"",""INS"",""STATECD"","""",""CHEKDATE"",""4/1/2015"",""UPRTRXAM"",""49.36000"""</f>
        <v>"GP Direct","Fabrikam, Inc.","UPR30300","PAYRATE","0.00000","PAYROLCD","INS","STATECD","","CHEKDATE","4/1/2015","UPRTRXAM","49.36000"</v>
      </c>
      <c r="P1203" s="29">
        <v>0</v>
      </c>
      <c r="Q1203" s="26" t="str">
        <f>"INS"</f>
        <v>INS</v>
      </c>
      <c r="R1203" s="26"/>
      <c r="S1203" s="28">
        <v>42095</v>
      </c>
      <c r="T1203" s="29">
        <v>49.36</v>
      </c>
    </row>
    <row r="1204" spans="1:20" s="7" customFormat="1" hidden="1" outlineLevel="3" x14ac:dyDescent="0.2">
      <c r="A1204" s="7" t="s">
        <v>92</v>
      </c>
      <c r="C1204" s="7" t="str">
        <f t="shared" si="182"/>
        <v>Kevin</v>
      </c>
      <c r="D1204" s="7" t="str">
        <f>+D1203</f>
        <v>Kennedy</v>
      </c>
      <c r="E1204" s="8" t="str">
        <f>E1203</f>
        <v>SALES</v>
      </c>
      <c r="G1204" s="8" t="str">
        <f>G1203</f>
        <v>KENN0001</v>
      </c>
      <c r="H1204" s="26"/>
      <c r="I1204" s="26"/>
      <c r="J1204" s="26"/>
      <c r="K1204" s="28">
        <f>+K1203</f>
        <v>42095</v>
      </c>
      <c r="L1204" s="26" t="str">
        <f>L1203</f>
        <v>10441</v>
      </c>
      <c r="M1204" s="26"/>
      <c r="N1204" s="26"/>
      <c r="O1204" s="26" t="str">
        <f>"""GP Direct"",""Fabrikam, Inc."",""UPR30300"",""PAYRATE"",""0.00000"",""PAYROLCD"",""INS1"",""STATECD"","""",""CHEKDATE"",""4/1/2015"",""UPRTRXAM"",""47.95000"""</f>
        <v>"GP Direct","Fabrikam, Inc.","UPR30300","PAYRATE","0.00000","PAYROLCD","INS1","STATECD","","CHEKDATE","4/1/2015","UPRTRXAM","47.95000"</v>
      </c>
      <c r="P1204" s="29">
        <v>0</v>
      </c>
      <c r="Q1204" s="26" t="str">
        <f>"INS1"</f>
        <v>INS1</v>
      </c>
      <c r="R1204" s="26"/>
      <c r="S1204" s="28">
        <v>42095</v>
      </c>
      <c r="T1204" s="29">
        <v>47.95</v>
      </c>
    </row>
    <row r="1205" spans="1:20" s="7" customFormat="1" hidden="1" outlineLevel="3" x14ac:dyDescent="0.2">
      <c r="A1205" s="7" t="s">
        <v>92</v>
      </c>
      <c r="C1205" s="7" t="str">
        <f t="shared" si="182"/>
        <v>Kevin</v>
      </c>
      <c r="D1205" s="7" t="str">
        <f>+D1204</f>
        <v>Kennedy</v>
      </c>
      <c r="E1205" s="8" t="str">
        <f>E1204</f>
        <v>SALES</v>
      </c>
      <c r="G1205" s="8" t="str">
        <f>G1204</f>
        <v>KENN0001</v>
      </c>
      <c r="H1205" s="26"/>
      <c r="I1205" s="26"/>
      <c r="J1205" s="26"/>
      <c r="K1205" s="28">
        <f>+K1204</f>
        <v>42095</v>
      </c>
      <c r="L1205" s="26" t="str">
        <f>L1204</f>
        <v>10441</v>
      </c>
      <c r="M1205" s="26"/>
      <c r="N1205" s="26"/>
      <c r="O1205" s="26" t="str">
        <f>"""GP Direct"",""Fabrikam, Inc."",""UPR30300"",""PAYRATE"",""0.00000"",""PAYROLCD"",""MED"",""STATECD"","""",""CHEKDATE"",""4/1/2015"",""UPRTRXAM"",""5.00000"""</f>
        <v>"GP Direct","Fabrikam, Inc.","UPR30300","PAYRATE","0.00000","PAYROLCD","MED","STATECD","","CHEKDATE","4/1/2015","UPRTRXAM","5.00000"</v>
      </c>
      <c r="P1205" s="29">
        <v>0</v>
      </c>
      <c r="Q1205" s="26" t="str">
        <f>"MED"</f>
        <v>MED</v>
      </c>
      <c r="R1205" s="26"/>
      <c r="S1205" s="28">
        <v>42095</v>
      </c>
      <c r="T1205" s="29">
        <v>5</v>
      </c>
    </row>
    <row r="1206" spans="1:20" s="7" customFormat="1" hidden="1" outlineLevel="3" x14ac:dyDescent="0.2">
      <c r="A1206" s="7" t="s">
        <v>92</v>
      </c>
      <c r="C1206" s="7" t="str">
        <f t="shared" si="182"/>
        <v>Kevin</v>
      </c>
      <c r="D1206" s="7" t="str">
        <f>+D1205</f>
        <v>Kennedy</v>
      </c>
      <c r="E1206" s="8" t="str">
        <f>E1205</f>
        <v>SALES</v>
      </c>
      <c r="G1206" s="8" t="str">
        <f>G1205</f>
        <v>KENN0001</v>
      </c>
      <c r="H1206" s="26"/>
      <c r="I1206" s="26"/>
      <c r="J1206" s="26"/>
      <c r="K1206" s="28">
        <f>+K1205</f>
        <v>42095</v>
      </c>
      <c r="L1206" s="26" t="str">
        <f>L1205</f>
        <v>10441</v>
      </c>
      <c r="M1206" s="26"/>
      <c r="N1206" s="26"/>
      <c r="O1206" s="26" t="str">
        <f>"""GP Direct"",""Fabrikam, Inc."",""UPR30300"",""PAYRATE"",""24178.00000"",""PAYROLCD"",""SALY"",""STATECD"",""IL"",""CHEKDATE"",""4/1/2015"",""UPRTRXAM"",""1007.42000"""</f>
        <v>"GP Direct","Fabrikam, Inc.","UPR30300","PAYRATE","24178.00000","PAYROLCD","SALY","STATECD","IL","CHEKDATE","4/1/2015","UPRTRXAM","1007.42000"</v>
      </c>
      <c r="P1206" s="29">
        <v>24178</v>
      </c>
      <c r="Q1206" s="26" t="str">
        <f>"SALY"</f>
        <v>SALY</v>
      </c>
      <c r="R1206" s="26" t="str">
        <f>"IL"</f>
        <v>IL</v>
      </c>
      <c r="S1206" s="28">
        <v>42095</v>
      </c>
      <c r="T1206" s="29">
        <v>1007.42</v>
      </c>
    </row>
    <row r="1207" spans="1:20" s="7" customFormat="1" hidden="1" outlineLevel="3" x14ac:dyDescent="0.2">
      <c r="A1207" s="7" t="s">
        <v>92</v>
      </c>
      <c r="C1207" s="7" t="str">
        <f>+C1200</f>
        <v>Kevin</v>
      </c>
      <c r="D1207" s="7" t="str">
        <f>+D1200</f>
        <v>Kennedy</v>
      </c>
      <c r="E1207" s="8" t="str">
        <f>E1200</f>
        <v>SALES</v>
      </c>
      <c r="G1207" s="8" t="str">
        <f>G1200</f>
        <v>KENN0001</v>
      </c>
      <c r="K1207" s="12">
        <f>+K1200</f>
        <v>42095</v>
      </c>
      <c r="L1207" s="8" t="str">
        <f>L1200</f>
        <v>10441</v>
      </c>
      <c r="O1207" s="8"/>
      <c r="T1207" s="20"/>
    </row>
    <row r="1208" spans="1:20" s="7" customFormat="1" hidden="1" outlineLevel="2" collapsed="1" x14ac:dyDescent="0.2">
      <c r="A1208" s="7" t="s">
        <v>92</v>
      </c>
      <c r="C1208" s="7" t="str">
        <f t="shared" si="179"/>
        <v>Kevin</v>
      </c>
      <c r="D1208" s="7" t="str">
        <f>+D1207</f>
        <v>Kennedy</v>
      </c>
      <c r="E1208" s="8" t="str">
        <f>E1207</f>
        <v>SALES</v>
      </c>
      <c r="G1208" s="8" t="str">
        <f>G1207</f>
        <v>KENN0001</v>
      </c>
      <c r="K1208" s="12">
        <f>+K1207</f>
        <v>42095</v>
      </c>
      <c r="L1208" s="8" t="str">
        <f>L1207</f>
        <v>10441</v>
      </c>
      <c r="M1208" s="33" t="str">
        <f>"Total for " &amp; $L1208</f>
        <v>Total for 10441</v>
      </c>
      <c r="N1208" s="34">
        <f>+K1208</f>
        <v>42095</v>
      </c>
      <c r="O1208" s="35"/>
      <c r="P1208" s="33"/>
      <c r="Q1208" s="33"/>
      <c r="R1208" s="33"/>
      <c r="S1208" s="33"/>
      <c r="T1208" s="36">
        <f>SUBTOTAL(9,T1200:T1207)</f>
        <v>1184.74</v>
      </c>
    </row>
    <row r="1209" spans="1:20" s="7" customFormat="1" hidden="1" outlineLevel="3" x14ac:dyDescent="0.2">
      <c r="A1209" s="7" t="s">
        <v>92</v>
      </c>
      <c r="C1209" s="7" t="str">
        <f t="shared" si="179"/>
        <v>Kevin</v>
      </c>
      <c r="D1209" s="7" t="str">
        <f>+D1208</f>
        <v>Kennedy</v>
      </c>
      <c r="E1209" s="8" t="str">
        <f>E1208</f>
        <v>SALES</v>
      </c>
      <c r="G1209" s="8" t="str">
        <f>G1208</f>
        <v>KENN0001</v>
      </c>
      <c r="H1209" s="26"/>
      <c r="I1209" s="26"/>
      <c r="J1209" s="26"/>
      <c r="K1209" s="28">
        <f>+N1209</f>
        <v>42125</v>
      </c>
      <c r="L1209" s="26" t="str">
        <f>M1209</f>
        <v>10466</v>
      </c>
      <c r="M1209" s="26" t="str">
        <f>"10466"</f>
        <v>10466</v>
      </c>
      <c r="N1209" s="28">
        <v>42125</v>
      </c>
      <c r="O1209" s="26"/>
      <c r="P1209" s="26"/>
      <c r="Q1209" s="26"/>
      <c r="R1209" s="26"/>
      <c r="S1209" s="26"/>
      <c r="T1209" s="27"/>
    </row>
    <row r="1210" spans="1:20" s="7" customFormat="1" hidden="1" outlineLevel="3" x14ac:dyDescent="0.2">
      <c r="A1210" s="7" t="s">
        <v>92</v>
      </c>
      <c r="C1210" s="7" t="str">
        <f t="shared" si="179"/>
        <v>Kevin</v>
      </c>
      <c r="D1210" s="7" t="str">
        <f>+D1209</f>
        <v>Kennedy</v>
      </c>
      <c r="E1210" s="8" t="str">
        <f>E1209</f>
        <v>SALES</v>
      </c>
      <c r="G1210" s="8" t="str">
        <f>G1209</f>
        <v>KENN0001</v>
      </c>
      <c r="H1210" s="26"/>
      <c r="I1210" s="26"/>
      <c r="J1210" s="26"/>
      <c r="K1210" s="28">
        <f>+K1209</f>
        <v>42125</v>
      </c>
      <c r="L1210" s="26" t="str">
        <f>L1209</f>
        <v>10466</v>
      </c>
      <c r="M1210" s="26"/>
      <c r="N1210" s="26"/>
      <c r="O1210" s="26" t="str">
        <f>"""GP Direct"",""Fabrikam, Inc."",""UPR30300"",""PAYRATE"",""0.00000"",""PAYROLCD"",""401K"",""STATECD"","""",""CHEKDATE"",""5/1/2015"",""UPRTRXAM"",""2.52000"""</f>
        <v>"GP Direct","Fabrikam, Inc.","UPR30300","PAYRATE","0.00000","PAYROLCD","401K","STATECD","","CHEKDATE","5/1/2015","UPRTRXAM","2.52000"</v>
      </c>
      <c r="P1210" s="29">
        <v>0</v>
      </c>
      <c r="Q1210" s="26" t="str">
        <f>"401K"</f>
        <v>401K</v>
      </c>
      <c r="R1210" s="26"/>
      <c r="S1210" s="28">
        <v>42125</v>
      </c>
      <c r="T1210" s="29">
        <v>2.52</v>
      </c>
    </row>
    <row r="1211" spans="1:20" s="7" customFormat="1" hidden="1" outlineLevel="3" x14ac:dyDescent="0.2">
      <c r="A1211" s="7" t="s">
        <v>92</v>
      </c>
      <c r="C1211" s="7" t="str">
        <f t="shared" ref="C1211:C1216" si="183">+C1210</f>
        <v>Kevin</v>
      </c>
      <c r="D1211" s="7" t="str">
        <f>+D1210</f>
        <v>Kennedy</v>
      </c>
      <c r="E1211" s="8" t="str">
        <f>E1210</f>
        <v>SALES</v>
      </c>
      <c r="G1211" s="8" t="str">
        <f>G1210</f>
        <v>KENN0001</v>
      </c>
      <c r="H1211" s="26"/>
      <c r="I1211" s="26"/>
      <c r="J1211" s="26"/>
      <c r="K1211" s="28">
        <f>+K1210</f>
        <v>42125</v>
      </c>
      <c r="L1211" s="26" t="str">
        <f>L1210</f>
        <v>10466</v>
      </c>
      <c r="M1211" s="26"/>
      <c r="N1211" s="26"/>
      <c r="O1211" s="26" t="str">
        <f>"""GP Direct"",""Fabrikam, Inc."",""UPR30300"",""PAYRATE"",""0.00000"",""PAYROLCD"",""401K"",""STATECD"","""",""CHEKDATE"",""5/1/2015"",""UPRTRXAM"",""50.37000"""</f>
        <v>"GP Direct","Fabrikam, Inc.","UPR30300","PAYRATE","0.00000","PAYROLCD","401K","STATECD","","CHEKDATE","5/1/2015","UPRTRXAM","50.37000"</v>
      </c>
      <c r="P1211" s="29">
        <v>0</v>
      </c>
      <c r="Q1211" s="26" t="str">
        <f>"401K"</f>
        <v>401K</v>
      </c>
      <c r="R1211" s="26"/>
      <c r="S1211" s="28">
        <v>42125</v>
      </c>
      <c r="T1211" s="29">
        <v>50.37</v>
      </c>
    </row>
    <row r="1212" spans="1:20" s="7" customFormat="1" hidden="1" outlineLevel="3" x14ac:dyDescent="0.2">
      <c r="A1212" s="7" t="s">
        <v>92</v>
      </c>
      <c r="C1212" s="7" t="str">
        <f t="shared" si="183"/>
        <v>Kevin</v>
      </c>
      <c r="D1212" s="7" t="str">
        <f>+D1211</f>
        <v>Kennedy</v>
      </c>
      <c r="E1212" s="8" t="str">
        <f>E1211</f>
        <v>SALES</v>
      </c>
      <c r="G1212" s="8" t="str">
        <f>G1211</f>
        <v>KENN0001</v>
      </c>
      <c r="H1212" s="26"/>
      <c r="I1212" s="26"/>
      <c r="J1212" s="26"/>
      <c r="K1212" s="28">
        <f>+K1211</f>
        <v>42125</v>
      </c>
      <c r="L1212" s="26" t="str">
        <f>L1211</f>
        <v>10466</v>
      </c>
      <c r="M1212" s="26"/>
      <c r="N1212" s="26"/>
      <c r="O1212" s="26" t="str">
        <f>"""GP Direct"",""Fabrikam, Inc."",""UPR30300"",""PAYRATE"",""0.00000"",""PAYROLCD"",""IL"",""STATECD"","""",""CHEKDATE"",""5/1/2015"",""UPRTRXAM"",""22.12000"""</f>
        <v>"GP Direct","Fabrikam, Inc.","UPR30300","PAYRATE","0.00000","PAYROLCD","IL","STATECD","","CHEKDATE","5/1/2015","UPRTRXAM","22.12000"</v>
      </c>
      <c r="P1212" s="29">
        <v>0</v>
      </c>
      <c r="Q1212" s="26" t="str">
        <f>"IL"</f>
        <v>IL</v>
      </c>
      <c r="R1212" s="26"/>
      <c r="S1212" s="28">
        <v>42125</v>
      </c>
      <c r="T1212" s="29">
        <v>22.12</v>
      </c>
    </row>
    <row r="1213" spans="1:20" s="7" customFormat="1" hidden="1" outlineLevel="3" x14ac:dyDescent="0.2">
      <c r="A1213" s="7" t="s">
        <v>92</v>
      </c>
      <c r="C1213" s="7" t="str">
        <f t="shared" si="183"/>
        <v>Kevin</v>
      </c>
      <c r="D1213" s="7" t="str">
        <f>+D1212</f>
        <v>Kennedy</v>
      </c>
      <c r="E1213" s="8" t="str">
        <f>E1212</f>
        <v>SALES</v>
      </c>
      <c r="G1213" s="8" t="str">
        <f>G1212</f>
        <v>KENN0001</v>
      </c>
      <c r="H1213" s="26"/>
      <c r="I1213" s="26"/>
      <c r="J1213" s="26"/>
      <c r="K1213" s="28">
        <f>+K1212</f>
        <v>42125</v>
      </c>
      <c r="L1213" s="26" t="str">
        <f>L1212</f>
        <v>10466</v>
      </c>
      <c r="M1213" s="26"/>
      <c r="N1213" s="26"/>
      <c r="O1213" s="26" t="str">
        <f>"""GP Direct"",""Fabrikam, Inc."",""UPR30300"",""PAYRATE"",""0.00000"",""PAYROLCD"",""INS"",""STATECD"","""",""CHEKDATE"",""5/1/2015"",""UPRTRXAM"",""49.36000"""</f>
        <v>"GP Direct","Fabrikam, Inc.","UPR30300","PAYRATE","0.00000","PAYROLCD","INS","STATECD","","CHEKDATE","5/1/2015","UPRTRXAM","49.36000"</v>
      </c>
      <c r="P1213" s="29">
        <v>0</v>
      </c>
      <c r="Q1213" s="26" t="str">
        <f>"INS"</f>
        <v>INS</v>
      </c>
      <c r="R1213" s="26"/>
      <c r="S1213" s="28">
        <v>42125</v>
      </c>
      <c r="T1213" s="29">
        <v>49.36</v>
      </c>
    </row>
    <row r="1214" spans="1:20" s="7" customFormat="1" hidden="1" outlineLevel="3" x14ac:dyDescent="0.2">
      <c r="A1214" s="7" t="s">
        <v>92</v>
      </c>
      <c r="C1214" s="7" t="str">
        <f t="shared" si="183"/>
        <v>Kevin</v>
      </c>
      <c r="D1214" s="7" t="str">
        <f>+D1213</f>
        <v>Kennedy</v>
      </c>
      <c r="E1214" s="8" t="str">
        <f>E1213</f>
        <v>SALES</v>
      </c>
      <c r="G1214" s="8" t="str">
        <f>G1213</f>
        <v>KENN0001</v>
      </c>
      <c r="H1214" s="26"/>
      <c r="I1214" s="26"/>
      <c r="J1214" s="26"/>
      <c r="K1214" s="28">
        <f>+K1213</f>
        <v>42125</v>
      </c>
      <c r="L1214" s="26" t="str">
        <f>L1213</f>
        <v>10466</v>
      </c>
      <c r="M1214" s="26"/>
      <c r="N1214" s="26"/>
      <c r="O1214" s="26" t="str">
        <f>"""GP Direct"",""Fabrikam, Inc."",""UPR30300"",""PAYRATE"",""0.00000"",""PAYROLCD"",""INS1"",""STATECD"","""",""CHEKDATE"",""5/1/2015"",""UPRTRXAM"",""47.95000"""</f>
        <v>"GP Direct","Fabrikam, Inc.","UPR30300","PAYRATE","0.00000","PAYROLCD","INS1","STATECD","","CHEKDATE","5/1/2015","UPRTRXAM","47.95000"</v>
      </c>
      <c r="P1214" s="29">
        <v>0</v>
      </c>
      <c r="Q1214" s="26" t="str">
        <f>"INS1"</f>
        <v>INS1</v>
      </c>
      <c r="R1214" s="26"/>
      <c r="S1214" s="28">
        <v>42125</v>
      </c>
      <c r="T1214" s="29">
        <v>47.95</v>
      </c>
    </row>
    <row r="1215" spans="1:20" s="7" customFormat="1" hidden="1" outlineLevel="3" x14ac:dyDescent="0.2">
      <c r="A1215" s="7" t="s">
        <v>92</v>
      </c>
      <c r="C1215" s="7" t="str">
        <f t="shared" si="183"/>
        <v>Kevin</v>
      </c>
      <c r="D1215" s="7" t="str">
        <f>+D1214</f>
        <v>Kennedy</v>
      </c>
      <c r="E1215" s="8" t="str">
        <f>E1214</f>
        <v>SALES</v>
      </c>
      <c r="G1215" s="8" t="str">
        <f>G1214</f>
        <v>KENN0001</v>
      </c>
      <c r="H1215" s="26"/>
      <c r="I1215" s="26"/>
      <c r="J1215" s="26"/>
      <c r="K1215" s="28">
        <f>+K1214</f>
        <v>42125</v>
      </c>
      <c r="L1215" s="26" t="str">
        <f>L1214</f>
        <v>10466</v>
      </c>
      <c r="M1215" s="26"/>
      <c r="N1215" s="26"/>
      <c r="O1215" s="26" t="str">
        <f>"""GP Direct"",""Fabrikam, Inc."",""UPR30300"",""PAYRATE"",""0.00000"",""PAYROLCD"",""MED"",""STATECD"","""",""CHEKDATE"",""5/1/2015"",""UPRTRXAM"",""5.00000"""</f>
        <v>"GP Direct","Fabrikam, Inc.","UPR30300","PAYRATE","0.00000","PAYROLCD","MED","STATECD","","CHEKDATE","5/1/2015","UPRTRXAM","5.00000"</v>
      </c>
      <c r="P1215" s="29">
        <v>0</v>
      </c>
      <c r="Q1215" s="26" t="str">
        <f>"MED"</f>
        <v>MED</v>
      </c>
      <c r="R1215" s="26"/>
      <c r="S1215" s="28">
        <v>42125</v>
      </c>
      <c r="T1215" s="29">
        <v>5</v>
      </c>
    </row>
    <row r="1216" spans="1:20" s="7" customFormat="1" hidden="1" outlineLevel="3" x14ac:dyDescent="0.2">
      <c r="A1216" s="7" t="s">
        <v>92</v>
      </c>
      <c r="C1216" s="7" t="str">
        <f t="shared" si="183"/>
        <v>Kevin</v>
      </c>
      <c r="D1216" s="7" t="str">
        <f>+D1215</f>
        <v>Kennedy</v>
      </c>
      <c r="E1216" s="8" t="str">
        <f>E1215</f>
        <v>SALES</v>
      </c>
      <c r="G1216" s="8" t="str">
        <f>G1215</f>
        <v>KENN0001</v>
      </c>
      <c r="H1216" s="26"/>
      <c r="I1216" s="26"/>
      <c r="J1216" s="26"/>
      <c r="K1216" s="28">
        <f>+K1215</f>
        <v>42125</v>
      </c>
      <c r="L1216" s="26" t="str">
        <f>L1215</f>
        <v>10466</v>
      </c>
      <c r="M1216" s="26"/>
      <c r="N1216" s="26"/>
      <c r="O1216" s="26" t="str">
        <f>"""GP Direct"",""Fabrikam, Inc."",""UPR30300"",""PAYRATE"",""24178.00000"",""PAYROLCD"",""SALY"",""STATECD"",""IL"",""CHEKDATE"",""5/1/2015"",""UPRTRXAM"",""1007.42000"""</f>
        <v>"GP Direct","Fabrikam, Inc.","UPR30300","PAYRATE","24178.00000","PAYROLCD","SALY","STATECD","IL","CHEKDATE","5/1/2015","UPRTRXAM","1007.42000"</v>
      </c>
      <c r="P1216" s="29">
        <v>24178</v>
      </c>
      <c r="Q1216" s="26" t="str">
        <f>"SALY"</f>
        <v>SALY</v>
      </c>
      <c r="R1216" s="26" t="str">
        <f>"IL"</f>
        <v>IL</v>
      </c>
      <c r="S1216" s="28">
        <v>42125</v>
      </c>
      <c r="T1216" s="29">
        <v>1007.42</v>
      </c>
    </row>
    <row r="1217" spans="1:20" s="7" customFormat="1" hidden="1" outlineLevel="3" x14ac:dyDescent="0.2">
      <c r="A1217" s="7" t="s">
        <v>92</v>
      </c>
      <c r="C1217" s="7" t="str">
        <f>+C1210</f>
        <v>Kevin</v>
      </c>
      <c r="D1217" s="7" t="str">
        <f>+D1210</f>
        <v>Kennedy</v>
      </c>
      <c r="E1217" s="8" t="str">
        <f>E1210</f>
        <v>SALES</v>
      </c>
      <c r="G1217" s="8" t="str">
        <f>G1210</f>
        <v>KENN0001</v>
      </c>
      <c r="K1217" s="12">
        <f>+K1210</f>
        <v>42125</v>
      </c>
      <c r="L1217" s="8" t="str">
        <f>L1210</f>
        <v>10466</v>
      </c>
      <c r="O1217" s="8"/>
      <c r="T1217" s="20"/>
    </row>
    <row r="1218" spans="1:20" s="7" customFormat="1" hidden="1" outlineLevel="2" collapsed="1" x14ac:dyDescent="0.2">
      <c r="A1218" s="7" t="s">
        <v>92</v>
      </c>
      <c r="C1218" s="7" t="str">
        <f t="shared" si="179"/>
        <v>Kevin</v>
      </c>
      <c r="D1218" s="7" t="str">
        <f>+D1217</f>
        <v>Kennedy</v>
      </c>
      <c r="E1218" s="8" t="str">
        <f>E1217</f>
        <v>SALES</v>
      </c>
      <c r="G1218" s="8" t="str">
        <f>G1217</f>
        <v>KENN0001</v>
      </c>
      <c r="K1218" s="12">
        <f>+K1217</f>
        <v>42125</v>
      </c>
      <c r="L1218" s="8" t="str">
        <f>L1217</f>
        <v>10466</v>
      </c>
      <c r="M1218" s="33" t="str">
        <f>"Total for " &amp; $L1218</f>
        <v>Total for 10466</v>
      </c>
      <c r="N1218" s="34">
        <f>+K1218</f>
        <v>42125</v>
      </c>
      <c r="O1218" s="35"/>
      <c r="P1218" s="33"/>
      <c r="Q1218" s="33"/>
      <c r="R1218" s="33"/>
      <c r="S1218" s="33"/>
      <c r="T1218" s="36">
        <f>SUBTOTAL(9,T1210:T1217)</f>
        <v>1184.74</v>
      </c>
    </row>
    <row r="1219" spans="1:20" s="7" customFormat="1" hidden="1" outlineLevel="3" x14ac:dyDescent="0.2">
      <c r="A1219" s="7" t="s">
        <v>92</v>
      </c>
      <c r="C1219" s="7" t="str">
        <f t="shared" si="179"/>
        <v>Kevin</v>
      </c>
      <c r="D1219" s="7" t="str">
        <f>+D1218</f>
        <v>Kennedy</v>
      </c>
      <c r="E1219" s="8" t="str">
        <f>E1218</f>
        <v>SALES</v>
      </c>
      <c r="G1219" s="8" t="str">
        <f>G1218</f>
        <v>KENN0001</v>
      </c>
      <c r="H1219" s="26"/>
      <c r="I1219" s="26"/>
      <c r="J1219" s="26"/>
      <c r="K1219" s="28">
        <f>+N1219</f>
        <v>42156</v>
      </c>
      <c r="L1219" s="26" t="str">
        <f>M1219</f>
        <v>10491</v>
      </c>
      <c r="M1219" s="26" t="str">
        <f>"10491"</f>
        <v>10491</v>
      </c>
      <c r="N1219" s="28">
        <v>42156</v>
      </c>
      <c r="O1219" s="26"/>
      <c r="P1219" s="26"/>
      <c r="Q1219" s="26"/>
      <c r="R1219" s="26"/>
      <c r="S1219" s="26"/>
      <c r="T1219" s="27"/>
    </row>
    <row r="1220" spans="1:20" s="7" customFormat="1" hidden="1" outlineLevel="3" x14ac:dyDescent="0.2">
      <c r="A1220" s="7" t="s">
        <v>92</v>
      </c>
      <c r="C1220" s="7" t="str">
        <f t="shared" si="179"/>
        <v>Kevin</v>
      </c>
      <c r="D1220" s="7" t="str">
        <f>+D1219</f>
        <v>Kennedy</v>
      </c>
      <c r="E1220" s="8" t="str">
        <f>E1219</f>
        <v>SALES</v>
      </c>
      <c r="G1220" s="8" t="str">
        <f>G1219</f>
        <v>KENN0001</v>
      </c>
      <c r="H1220" s="26"/>
      <c r="I1220" s="26"/>
      <c r="J1220" s="26"/>
      <c r="K1220" s="28">
        <f>+K1219</f>
        <v>42156</v>
      </c>
      <c r="L1220" s="26" t="str">
        <f>L1219</f>
        <v>10491</v>
      </c>
      <c r="M1220" s="26"/>
      <c r="N1220" s="26"/>
      <c r="O1220" s="26" t="str">
        <f>"""GP Direct"",""Fabrikam, Inc."",""UPR30300"",""PAYRATE"",""0.00000"",""PAYROLCD"",""401K"",""STATECD"","""",""CHEKDATE"",""6/1/2015"",""UPRTRXAM"",""2.52000"""</f>
        <v>"GP Direct","Fabrikam, Inc.","UPR30300","PAYRATE","0.00000","PAYROLCD","401K","STATECD","","CHEKDATE","6/1/2015","UPRTRXAM","2.52000"</v>
      </c>
      <c r="P1220" s="29">
        <v>0</v>
      </c>
      <c r="Q1220" s="26" t="str">
        <f>"401K"</f>
        <v>401K</v>
      </c>
      <c r="R1220" s="26"/>
      <c r="S1220" s="28">
        <v>42156</v>
      </c>
      <c r="T1220" s="29">
        <v>2.52</v>
      </c>
    </row>
    <row r="1221" spans="1:20" s="7" customFormat="1" hidden="1" outlineLevel="3" x14ac:dyDescent="0.2">
      <c r="A1221" s="7" t="s">
        <v>92</v>
      </c>
      <c r="C1221" s="7" t="str">
        <f t="shared" ref="C1221:C1226" si="184">+C1220</f>
        <v>Kevin</v>
      </c>
      <c r="D1221" s="7" t="str">
        <f>+D1220</f>
        <v>Kennedy</v>
      </c>
      <c r="E1221" s="8" t="str">
        <f>E1220</f>
        <v>SALES</v>
      </c>
      <c r="G1221" s="8" t="str">
        <f>G1220</f>
        <v>KENN0001</v>
      </c>
      <c r="H1221" s="26"/>
      <c r="I1221" s="26"/>
      <c r="J1221" s="26"/>
      <c r="K1221" s="28">
        <f>+K1220</f>
        <v>42156</v>
      </c>
      <c r="L1221" s="26" t="str">
        <f>L1220</f>
        <v>10491</v>
      </c>
      <c r="M1221" s="26"/>
      <c r="N1221" s="26"/>
      <c r="O1221" s="26" t="str">
        <f>"""GP Direct"",""Fabrikam, Inc."",""UPR30300"",""PAYRATE"",""0.00000"",""PAYROLCD"",""401K"",""STATECD"","""",""CHEKDATE"",""6/1/2015"",""UPRTRXAM"",""50.37000"""</f>
        <v>"GP Direct","Fabrikam, Inc.","UPR30300","PAYRATE","0.00000","PAYROLCD","401K","STATECD","","CHEKDATE","6/1/2015","UPRTRXAM","50.37000"</v>
      </c>
      <c r="P1221" s="29">
        <v>0</v>
      </c>
      <c r="Q1221" s="26" t="str">
        <f>"401K"</f>
        <v>401K</v>
      </c>
      <c r="R1221" s="26"/>
      <c r="S1221" s="28">
        <v>42156</v>
      </c>
      <c r="T1221" s="29">
        <v>50.37</v>
      </c>
    </row>
    <row r="1222" spans="1:20" s="7" customFormat="1" hidden="1" outlineLevel="3" x14ac:dyDescent="0.2">
      <c r="A1222" s="7" t="s">
        <v>92</v>
      </c>
      <c r="C1222" s="7" t="str">
        <f t="shared" si="184"/>
        <v>Kevin</v>
      </c>
      <c r="D1222" s="7" t="str">
        <f>+D1221</f>
        <v>Kennedy</v>
      </c>
      <c r="E1222" s="8" t="str">
        <f>E1221</f>
        <v>SALES</v>
      </c>
      <c r="G1222" s="8" t="str">
        <f>G1221</f>
        <v>KENN0001</v>
      </c>
      <c r="H1222" s="26"/>
      <c r="I1222" s="26"/>
      <c r="J1222" s="26"/>
      <c r="K1222" s="28">
        <f>+K1221</f>
        <v>42156</v>
      </c>
      <c r="L1222" s="26" t="str">
        <f>L1221</f>
        <v>10491</v>
      </c>
      <c r="M1222" s="26"/>
      <c r="N1222" s="26"/>
      <c r="O1222" s="26" t="str">
        <f>"""GP Direct"",""Fabrikam, Inc."",""UPR30300"",""PAYRATE"",""0.00000"",""PAYROLCD"",""IL"",""STATECD"","""",""CHEKDATE"",""6/1/2015"",""UPRTRXAM"",""22.12000"""</f>
        <v>"GP Direct","Fabrikam, Inc.","UPR30300","PAYRATE","0.00000","PAYROLCD","IL","STATECD","","CHEKDATE","6/1/2015","UPRTRXAM","22.12000"</v>
      </c>
      <c r="P1222" s="29">
        <v>0</v>
      </c>
      <c r="Q1222" s="26" t="str">
        <f>"IL"</f>
        <v>IL</v>
      </c>
      <c r="R1222" s="26"/>
      <c r="S1222" s="28">
        <v>42156</v>
      </c>
      <c r="T1222" s="29">
        <v>22.12</v>
      </c>
    </row>
    <row r="1223" spans="1:20" s="7" customFormat="1" hidden="1" outlineLevel="3" x14ac:dyDescent="0.2">
      <c r="A1223" s="7" t="s">
        <v>92</v>
      </c>
      <c r="C1223" s="7" t="str">
        <f t="shared" si="184"/>
        <v>Kevin</v>
      </c>
      <c r="D1223" s="7" t="str">
        <f>+D1222</f>
        <v>Kennedy</v>
      </c>
      <c r="E1223" s="8" t="str">
        <f>E1222</f>
        <v>SALES</v>
      </c>
      <c r="G1223" s="8" t="str">
        <f>G1222</f>
        <v>KENN0001</v>
      </c>
      <c r="H1223" s="26"/>
      <c r="I1223" s="26"/>
      <c r="J1223" s="26"/>
      <c r="K1223" s="28">
        <f>+K1222</f>
        <v>42156</v>
      </c>
      <c r="L1223" s="26" t="str">
        <f>L1222</f>
        <v>10491</v>
      </c>
      <c r="M1223" s="26"/>
      <c r="N1223" s="26"/>
      <c r="O1223" s="26" t="str">
        <f>"""GP Direct"",""Fabrikam, Inc."",""UPR30300"",""PAYRATE"",""0.00000"",""PAYROLCD"",""INS"",""STATECD"","""",""CHEKDATE"",""6/1/2015"",""UPRTRXAM"",""49.36000"""</f>
        <v>"GP Direct","Fabrikam, Inc.","UPR30300","PAYRATE","0.00000","PAYROLCD","INS","STATECD","","CHEKDATE","6/1/2015","UPRTRXAM","49.36000"</v>
      </c>
      <c r="P1223" s="29">
        <v>0</v>
      </c>
      <c r="Q1223" s="26" t="str">
        <f>"INS"</f>
        <v>INS</v>
      </c>
      <c r="R1223" s="26"/>
      <c r="S1223" s="28">
        <v>42156</v>
      </c>
      <c r="T1223" s="29">
        <v>49.36</v>
      </c>
    </row>
    <row r="1224" spans="1:20" s="7" customFormat="1" hidden="1" outlineLevel="3" x14ac:dyDescent="0.2">
      <c r="A1224" s="7" t="s">
        <v>92</v>
      </c>
      <c r="C1224" s="7" t="str">
        <f t="shared" si="184"/>
        <v>Kevin</v>
      </c>
      <c r="D1224" s="7" t="str">
        <f>+D1223</f>
        <v>Kennedy</v>
      </c>
      <c r="E1224" s="8" t="str">
        <f>E1223</f>
        <v>SALES</v>
      </c>
      <c r="G1224" s="8" t="str">
        <f>G1223</f>
        <v>KENN0001</v>
      </c>
      <c r="H1224" s="26"/>
      <c r="I1224" s="26"/>
      <c r="J1224" s="26"/>
      <c r="K1224" s="28">
        <f>+K1223</f>
        <v>42156</v>
      </c>
      <c r="L1224" s="26" t="str">
        <f>L1223</f>
        <v>10491</v>
      </c>
      <c r="M1224" s="26"/>
      <c r="N1224" s="26"/>
      <c r="O1224" s="26" t="str">
        <f>"""GP Direct"",""Fabrikam, Inc."",""UPR30300"",""PAYRATE"",""0.00000"",""PAYROLCD"",""INS1"",""STATECD"","""",""CHEKDATE"",""6/1/2015"",""UPRTRXAM"",""47.95000"""</f>
        <v>"GP Direct","Fabrikam, Inc.","UPR30300","PAYRATE","0.00000","PAYROLCD","INS1","STATECD","","CHEKDATE","6/1/2015","UPRTRXAM","47.95000"</v>
      </c>
      <c r="P1224" s="29">
        <v>0</v>
      </c>
      <c r="Q1224" s="26" t="str">
        <f>"INS1"</f>
        <v>INS1</v>
      </c>
      <c r="R1224" s="26"/>
      <c r="S1224" s="28">
        <v>42156</v>
      </c>
      <c r="T1224" s="29">
        <v>47.95</v>
      </c>
    </row>
    <row r="1225" spans="1:20" s="7" customFormat="1" hidden="1" outlineLevel="3" x14ac:dyDescent="0.2">
      <c r="A1225" s="7" t="s">
        <v>92</v>
      </c>
      <c r="C1225" s="7" t="str">
        <f t="shared" si="184"/>
        <v>Kevin</v>
      </c>
      <c r="D1225" s="7" t="str">
        <f>+D1224</f>
        <v>Kennedy</v>
      </c>
      <c r="E1225" s="8" t="str">
        <f>E1224</f>
        <v>SALES</v>
      </c>
      <c r="G1225" s="8" t="str">
        <f>G1224</f>
        <v>KENN0001</v>
      </c>
      <c r="H1225" s="26"/>
      <c r="I1225" s="26"/>
      <c r="J1225" s="26"/>
      <c r="K1225" s="28">
        <f>+K1224</f>
        <v>42156</v>
      </c>
      <c r="L1225" s="26" t="str">
        <f>L1224</f>
        <v>10491</v>
      </c>
      <c r="M1225" s="26"/>
      <c r="N1225" s="26"/>
      <c r="O1225" s="26" t="str">
        <f>"""GP Direct"",""Fabrikam, Inc."",""UPR30300"",""PAYRATE"",""0.00000"",""PAYROLCD"",""MED"",""STATECD"","""",""CHEKDATE"",""6/1/2015"",""UPRTRXAM"",""5.00000"""</f>
        <v>"GP Direct","Fabrikam, Inc.","UPR30300","PAYRATE","0.00000","PAYROLCD","MED","STATECD","","CHEKDATE","6/1/2015","UPRTRXAM","5.00000"</v>
      </c>
      <c r="P1225" s="29">
        <v>0</v>
      </c>
      <c r="Q1225" s="26" t="str">
        <f>"MED"</f>
        <v>MED</v>
      </c>
      <c r="R1225" s="26"/>
      <c r="S1225" s="28">
        <v>42156</v>
      </c>
      <c r="T1225" s="29">
        <v>5</v>
      </c>
    </row>
    <row r="1226" spans="1:20" s="7" customFormat="1" hidden="1" outlineLevel="3" x14ac:dyDescent="0.2">
      <c r="A1226" s="7" t="s">
        <v>92</v>
      </c>
      <c r="C1226" s="7" t="str">
        <f t="shared" si="184"/>
        <v>Kevin</v>
      </c>
      <c r="D1226" s="7" t="str">
        <f>+D1225</f>
        <v>Kennedy</v>
      </c>
      <c r="E1226" s="8" t="str">
        <f>E1225</f>
        <v>SALES</v>
      </c>
      <c r="G1226" s="8" t="str">
        <f>G1225</f>
        <v>KENN0001</v>
      </c>
      <c r="H1226" s="26"/>
      <c r="I1226" s="26"/>
      <c r="J1226" s="26"/>
      <c r="K1226" s="28">
        <f>+K1225</f>
        <v>42156</v>
      </c>
      <c r="L1226" s="26" t="str">
        <f>L1225</f>
        <v>10491</v>
      </c>
      <c r="M1226" s="26"/>
      <c r="N1226" s="26"/>
      <c r="O1226" s="26" t="str">
        <f>"""GP Direct"",""Fabrikam, Inc."",""UPR30300"",""PAYRATE"",""24178.00000"",""PAYROLCD"",""SALY"",""STATECD"",""IL"",""CHEKDATE"",""6/1/2015"",""UPRTRXAM"",""1007.42000"""</f>
        <v>"GP Direct","Fabrikam, Inc.","UPR30300","PAYRATE","24178.00000","PAYROLCD","SALY","STATECD","IL","CHEKDATE","6/1/2015","UPRTRXAM","1007.42000"</v>
      </c>
      <c r="P1226" s="29">
        <v>24178</v>
      </c>
      <c r="Q1226" s="26" t="str">
        <f>"SALY"</f>
        <v>SALY</v>
      </c>
      <c r="R1226" s="26" t="str">
        <f>"IL"</f>
        <v>IL</v>
      </c>
      <c r="S1226" s="28">
        <v>42156</v>
      </c>
      <c r="T1226" s="29">
        <v>1007.42</v>
      </c>
    </row>
    <row r="1227" spans="1:20" s="7" customFormat="1" hidden="1" outlineLevel="3" x14ac:dyDescent="0.2">
      <c r="A1227" s="7" t="s">
        <v>92</v>
      </c>
      <c r="C1227" s="7" t="str">
        <f>+C1220</f>
        <v>Kevin</v>
      </c>
      <c r="D1227" s="7" t="str">
        <f>+D1220</f>
        <v>Kennedy</v>
      </c>
      <c r="E1227" s="8" t="str">
        <f>E1220</f>
        <v>SALES</v>
      </c>
      <c r="G1227" s="8" t="str">
        <f>G1220</f>
        <v>KENN0001</v>
      </c>
      <c r="K1227" s="12">
        <f>+K1220</f>
        <v>42156</v>
      </c>
      <c r="L1227" s="8" t="str">
        <f>L1220</f>
        <v>10491</v>
      </c>
      <c r="O1227" s="8"/>
      <c r="T1227" s="20"/>
    </row>
    <row r="1228" spans="1:20" s="7" customFormat="1" hidden="1" outlineLevel="2" collapsed="1" x14ac:dyDescent="0.2">
      <c r="A1228" s="7" t="s">
        <v>92</v>
      </c>
      <c r="C1228" s="7" t="str">
        <f t="shared" si="179"/>
        <v>Kevin</v>
      </c>
      <c r="D1228" s="7" t="str">
        <f>+D1227</f>
        <v>Kennedy</v>
      </c>
      <c r="E1228" s="8" t="str">
        <f>E1227</f>
        <v>SALES</v>
      </c>
      <c r="G1228" s="8" t="str">
        <f>G1227</f>
        <v>KENN0001</v>
      </c>
      <c r="K1228" s="12">
        <f>+K1227</f>
        <v>42156</v>
      </c>
      <c r="L1228" s="8" t="str">
        <f>L1227</f>
        <v>10491</v>
      </c>
      <c r="M1228" s="33" t="str">
        <f>"Total for " &amp; $L1228</f>
        <v>Total for 10491</v>
      </c>
      <c r="N1228" s="34">
        <f>+K1228</f>
        <v>42156</v>
      </c>
      <c r="O1228" s="35"/>
      <c r="P1228" s="33"/>
      <c r="Q1228" s="33"/>
      <c r="R1228" s="33"/>
      <c r="S1228" s="33"/>
      <c r="T1228" s="36">
        <f>SUBTOTAL(9,T1220:T1227)</f>
        <v>1184.74</v>
      </c>
    </row>
    <row r="1229" spans="1:20" s="7" customFormat="1" hidden="1" outlineLevel="2" x14ac:dyDescent="0.2">
      <c r="A1229" s="7" t="s">
        <v>92</v>
      </c>
      <c r="C1229" s="7" t="str">
        <f>+C1177</f>
        <v>Kevin</v>
      </c>
      <c r="D1229" s="7" t="str">
        <f>+D1177</f>
        <v>Kennedy</v>
      </c>
      <c r="E1229" s="8" t="str">
        <f>E1177</f>
        <v>SALES</v>
      </c>
      <c r="G1229" s="8" t="str">
        <f>G1177</f>
        <v>KENN0001</v>
      </c>
      <c r="L1229" s="8"/>
      <c r="O1229" s="8"/>
      <c r="T1229" s="20"/>
    </row>
    <row r="1230" spans="1:20" s="7" customFormat="1" hidden="1" outlineLevel="1" collapsed="1" x14ac:dyDescent="0.2">
      <c r="A1230" s="7" t="s">
        <v>92</v>
      </c>
      <c r="C1230" s="7" t="str">
        <f t="shared" si="177"/>
        <v>Kevin</v>
      </c>
      <c r="D1230" s="7" t="str">
        <f>+D1229</f>
        <v>Kennedy</v>
      </c>
      <c r="E1230" s="8" t="str">
        <f>E1229</f>
        <v>SALES</v>
      </c>
      <c r="G1230" s="8" t="str">
        <f>G1229</f>
        <v>KENN0001</v>
      </c>
      <c r="H1230" s="30" t="str">
        <f>"Total for " &amp; $G1230</f>
        <v>Total for KENN0001</v>
      </c>
      <c r="I1230" s="30" t="str">
        <f>+C1230</f>
        <v>Kevin</v>
      </c>
      <c r="J1230" s="30" t="str">
        <f>+D1230</f>
        <v>Kennedy</v>
      </c>
      <c r="K1230" s="30"/>
      <c r="L1230" s="31"/>
      <c r="M1230" s="30"/>
      <c r="N1230" s="30"/>
      <c r="O1230" s="31"/>
      <c r="P1230" s="30"/>
      <c r="Q1230" s="30"/>
      <c r="R1230" s="30"/>
      <c r="S1230" s="30"/>
      <c r="T1230" s="32">
        <f>SUBTOTAL(9,T1169:T1229)</f>
        <v>7007.9199999999983</v>
      </c>
    </row>
    <row r="1231" spans="1:20" s="7" customFormat="1" hidden="1" outlineLevel="2" x14ac:dyDescent="0.2">
      <c r="A1231" s="7" t="s">
        <v>92</v>
      </c>
      <c r="C1231" s="7" t="str">
        <f t="shared" ref="C1231" si="185">+I1231</f>
        <v>Robert</v>
      </c>
      <c r="D1231" s="7" t="str">
        <f>+J1231</f>
        <v>Lyon</v>
      </c>
      <c r="E1231" s="8" t="str">
        <f>E1230</f>
        <v>SALES</v>
      </c>
      <c r="G1231" s="8" t="str">
        <f>H1231</f>
        <v>LYON0001</v>
      </c>
      <c r="H1231" s="24" t="str">
        <f>"LYON0001"</f>
        <v>LYON0001</v>
      </c>
      <c r="I1231" s="25" t="str">
        <f>"Robert"</f>
        <v>Robert</v>
      </c>
      <c r="J1231" s="25" t="str">
        <f>"Lyon"</f>
        <v>Lyon</v>
      </c>
      <c r="K1231" s="26"/>
      <c r="L1231" s="26"/>
      <c r="M1231" s="26"/>
      <c r="N1231" s="26"/>
      <c r="O1231" s="26"/>
      <c r="P1231" s="26"/>
      <c r="Q1231" s="26"/>
      <c r="R1231" s="26"/>
      <c r="S1231" s="26"/>
      <c r="T1231" s="27"/>
    </row>
    <row r="1232" spans="1:20" s="7" customFormat="1" hidden="1" outlineLevel="3" x14ac:dyDescent="0.2">
      <c r="A1232" s="7" t="s">
        <v>92</v>
      </c>
      <c r="C1232" s="7" t="str">
        <f t="shared" ref="C1232:C1288" si="186">+C1231</f>
        <v>Robert</v>
      </c>
      <c r="D1232" s="7" t="str">
        <f>+D1231</f>
        <v>Lyon</v>
      </c>
      <c r="E1232" s="8" t="str">
        <f>E1231</f>
        <v>SALES</v>
      </c>
      <c r="G1232" s="8" t="str">
        <f>G1231</f>
        <v>LYON0001</v>
      </c>
      <c r="H1232" s="26"/>
      <c r="I1232" s="26"/>
      <c r="J1232" s="26"/>
      <c r="K1232" s="28">
        <f>+N1232</f>
        <v>42005</v>
      </c>
      <c r="L1232" s="26" t="str">
        <f>M1232</f>
        <v>10368</v>
      </c>
      <c r="M1232" s="26" t="str">
        <f>"10368"</f>
        <v>10368</v>
      </c>
      <c r="N1232" s="28">
        <v>42005</v>
      </c>
      <c r="O1232" s="26"/>
      <c r="P1232" s="26"/>
      <c r="Q1232" s="26"/>
      <c r="R1232" s="26"/>
      <c r="S1232" s="26"/>
      <c r="T1232" s="27"/>
    </row>
    <row r="1233" spans="1:20" s="7" customFormat="1" hidden="1" outlineLevel="3" x14ac:dyDescent="0.2">
      <c r="A1233" s="7" t="s">
        <v>92</v>
      </c>
      <c r="C1233" s="7" t="str">
        <f t="shared" si="186"/>
        <v>Robert</v>
      </c>
      <c r="D1233" s="7" t="str">
        <f>+D1232</f>
        <v>Lyon</v>
      </c>
      <c r="E1233" s="8" t="str">
        <f>E1232</f>
        <v>SALES</v>
      </c>
      <c r="G1233" s="8" t="str">
        <f>G1232</f>
        <v>LYON0001</v>
      </c>
      <c r="H1233" s="26"/>
      <c r="I1233" s="26"/>
      <c r="J1233" s="26"/>
      <c r="K1233" s="28">
        <f>+K1232</f>
        <v>42005</v>
      </c>
      <c r="L1233" s="26" t="str">
        <f>L1232</f>
        <v>10368</v>
      </c>
      <c r="M1233" s="26"/>
      <c r="N1233" s="26"/>
      <c r="O1233" s="26" t="str">
        <f>"""GP Direct"",""Fabrikam, Inc."",""UPR30300"",""PAYRATE"",""0.00000"",""PAYROLCD"",""401K"",""STATECD"","""",""CHEKDATE"",""1/1/2015"",""UPRTRXAM"",""1.09000"""</f>
        <v>"GP Direct","Fabrikam, Inc.","UPR30300","PAYRATE","0.00000","PAYROLCD","401K","STATECD","","CHEKDATE","1/1/2015","UPRTRXAM","1.09000"</v>
      </c>
      <c r="P1233" s="29">
        <v>0</v>
      </c>
      <c r="Q1233" s="26" t="str">
        <f>"401K"</f>
        <v>401K</v>
      </c>
      <c r="R1233" s="26"/>
      <c r="S1233" s="28">
        <v>42005</v>
      </c>
      <c r="T1233" s="29">
        <v>1.0900000000000001</v>
      </c>
    </row>
    <row r="1234" spans="1:20" s="7" customFormat="1" hidden="1" outlineLevel="3" x14ac:dyDescent="0.2">
      <c r="A1234" s="7" t="s">
        <v>92</v>
      </c>
      <c r="C1234" s="7" t="str">
        <f t="shared" ref="C1234:C1238" si="187">+C1233</f>
        <v>Robert</v>
      </c>
      <c r="D1234" s="7" t="str">
        <f>+D1233</f>
        <v>Lyon</v>
      </c>
      <c r="E1234" s="8" t="str">
        <f>E1233</f>
        <v>SALES</v>
      </c>
      <c r="G1234" s="8" t="str">
        <f>G1233</f>
        <v>LYON0001</v>
      </c>
      <c r="H1234" s="26"/>
      <c r="I1234" s="26"/>
      <c r="J1234" s="26"/>
      <c r="K1234" s="28">
        <f>+K1233</f>
        <v>42005</v>
      </c>
      <c r="L1234" s="26" t="str">
        <f>L1233</f>
        <v>10368</v>
      </c>
      <c r="M1234" s="26"/>
      <c r="N1234" s="26"/>
      <c r="O1234" s="26" t="str">
        <f>"""GP Direct"",""Fabrikam, Inc."",""UPR30300"",""PAYRATE"",""0.00000"",""PAYROLCD"",""401K"",""STATECD"","""",""CHEKDATE"",""1/1/2015"",""UPRTRXAM"",""21.79000"""</f>
        <v>"GP Direct","Fabrikam, Inc.","UPR30300","PAYRATE","0.00000","PAYROLCD","401K","STATECD","","CHEKDATE","1/1/2015","UPRTRXAM","21.79000"</v>
      </c>
      <c r="P1234" s="29">
        <v>0</v>
      </c>
      <c r="Q1234" s="26" t="str">
        <f>"401K"</f>
        <v>401K</v>
      </c>
      <c r="R1234" s="26"/>
      <c r="S1234" s="28">
        <v>42005</v>
      </c>
      <c r="T1234" s="29">
        <v>21.79</v>
      </c>
    </row>
    <row r="1235" spans="1:20" s="7" customFormat="1" hidden="1" outlineLevel="3" x14ac:dyDescent="0.2">
      <c r="A1235" s="7" t="s">
        <v>92</v>
      </c>
      <c r="C1235" s="7" t="str">
        <f t="shared" si="187"/>
        <v>Robert</v>
      </c>
      <c r="D1235" s="7" t="str">
        <f>+D1234</f>
        <v>Lyon</v>
      </c>
      <c r="E1235" s="8" t="str">
        <f>E1234</f>
        <v>SALES</v>
      </c>
      <c r="G1235" s="8" t="str">
        <f>G1234</f>
        <v>LYON0001</v>
      </c>
      <c r="H1235" s="26"/>
      <c r="I1235" s="26"/>
      <c r="J1235" s="26"/>
      <c r="K1235" s="28">
        <f>+K1234</f>
        <v>42005</v>
      </c>
      <c r="L1235" s="26" t="str">
        <f>L1234</f>
        <v>10368</v>
      </c>
      <c r="M1235" s="26"/>
      <c r="N1235" s="26"/>
      <c r="O1235" s="26" t="str">
        <f>"""GP Direct"",""Fabrikam, Inc."",""UPR30300"",""PAYRATE"",""0.00000"",""PAYROLCD"",""IL"",""STATECD"","""",""CHEKDATE"",""1/1/2015"",""UPRTRXAM"",""19.74000"""</f>
        <v>"GP Direct","Fabrikam, Inc.","UPR30300","PAYRATE","0.00000","PAYROLCD","IL","STATECD","","CHEKDATE","1/1/2015","UPRTRXAM","19.74000"</v>
      </c>
      <c r="P1235" s="29">
        <v>0</v>
      </c>
      <c r="Q1235" s="26" t="str">
        <f>"IL"</f>
        <v>IL</v>
      </c>
      <c r="R1235" s="26"/>
      <c r="S1235" s="28">
        <v>42005</v>
      </c>
      <c r="T1235" s="29">
        <v>19.739999999999998</v>
      </c>
    </row>
    <row r="1236" spans="1:20" s="7" customFormat="1" hidden="1" outlineLevel="3" x14ac:dyDescent="0.2">
      <c r="A1236" s="7" t="s">
        <v>92</v>
      </c>
      <c r="C1236" s="7" t="str">
        <f t="shared" si="187"/>
        <v>Robert</v>
      </c>
      <c r="D1236" s="7" t="str">
        <f>+D1235</f>
        <v>Lyon</v>
      </c>
      <c r="E1236" s="8" t="str">
        <f>E1235</f>
        <v>SALES</v>
      </c>
      <c r="G1236" s="8" t="str">
        <f>G1235</f>
        <v>LYON0001</v>
      </c>
      <c r="H1236" s="26"/>
      <c r="I1236" s="26"/>
      <c r="J1236" s="26"/>
      <c r="K1236" s="28">
        <f>+K1235</f>
        <v>42005</v>
      </c>
      <c r="L1236" s="26" t="str">
        <f>L1235</f>
        <v>10368</v>
      </c>
      <c r="M1236" s="26"/>
      <c r="N1236" s="26"/>
      <c r="O1236" s="26" t="str">
        <f>"""GP Direct"",""Fabrikam, Inc."",""UPR30300"",""PAYRATE"",""0.00000"",""PAYROLCD"",""INS"",""STATECD"","""",""CHEKDATE"",""1/1/2015"",""UPRTRXAM"",""49.36000"""</f>
        <v>"GP Direct","Fabrikam, Inc.","UPR30300","PAYRATE","0.00000","PAYROLCD","INS","STATECD","","CHEKDATE","1/1/2015","UPRTRXAM","49.36000"</v>
      </c>
      <c r="P1236" s="29">
        <v>0</v>
      </c>
      <c r="Q1236" s="26" t="str">
        <f>"INS"</f>
        <v>INS</v>
      </c>
      <c r="R1236" s="26"/>
      <c r="S1236" s="28">
        <v>42005</v>
      </c>
      <c r="T1236" s="29">
        <v>49.36</v>
      </c>
    </row>
    <row r="1237" spans="1:20" s="7" customFormat="1" hidden="1" outlineLevel="3" x14ac:dyDescent="0.2">
      <c r="A1237" s="7" t="s">
        <v>92</v>
      </c>
      <c r="C1237" s="7" t="str">
        <f t="shared" si="187"/>
        <v>Robert</v>
      </c>
      <c r="D1237" s="7" t="str">
        <f>+D1236</f>
        <v>Lyon</v>
      </c>
      <c r="E1237" s="8" t="str">
        <f>E1236</f>
        <v>SALES</v>
      </c>
      <c r="G1237" s="8" t="str">
        <f>G1236</f>
        <v>LYON0001</v>
      </c>
      <c r="H1237" s="26"/>
      <c r="I1237" s="26"/>
      <c r="J1237" s="26"/>
      <c r="K1237" s="28">
        <f>+K1236</f>
        <v>42005</v>
      </c>
      <c r="L1237" s="26" t="str">
        <f>L1236</f>
        <v>10368</v>
      </c>
      <c r="M1237" s="26"/>
      <c r="N1237" s="26"/>
      <c r="O1237" s="26" t="str">
        <f>"""GP Direct"",""Fabrikam, Inc."",""UPR30300"",""PAYRATE"",""0.00000"",""PAYROLCD"",""MED"",""STATECD"","""",""CHEKDATE"",""1/1/2015"",""UPRTRXAM"",""5.00000"""</f>
        <v>"GP Direct","Fabrikam, Inc.","UPR30300","PAYRATE","0.00000","PAYROLCD","MED","STATECD","","CHEKDATE","1/1/2015","UPRTRXAM","5.00000"</v>
      </c>
      <c r="P1237" s="29">
        <v>0</v>
      </c>
      <c r="Q1237" s="26" t="str">
        <f>"MED"</f>
        <v>MED</v>
      </c>
      <c r="R1237" s="26"/>
      <c r="S1237" s="28">
        <v>42005</v>
      </c>
      <c r="T1237" s="29">
        <v>5</v>
      </c>
    </row>
    <row r="1238" spans="1:20" s="7" customFormat="1" hidden="1" outlineLevel="3" x14ac:dyDescent="0.2">
      <c r="A1238" s="7" t="s">
        <v>92</v>
      </c>
      <c r="C1238" s="7" t="str">
        <f t="shared" si="187"/>
        <v>Robert</v>
      </c>
      <c r="D1238" s="7" t="str">
        <f>+D1237</f>
        <v>Lyon</v>
      </c>
      <c r="E1238" s="8" t="str">
        <f>E1237</f>
        <v>SALES</v>
      </c>
      <c r="G1238" s="8" t="str">
        <f>G1237</f>
        <v>LYON0001</v>
      </c>
      <c r="H1238" s="26"/>
      <c r="I1238" s="26"/>
      <c r="J1238" s="26"/>
      <c r="K1238" s="28">
        <f>+K1237</f>
        <v>42005</v>
      </c>
      <c r="L1238" s="26" t="str">
        <f>L1237</f>
        <v>10368</v>
      </c>
      <c r="M1238" s="26"/>
      <c r="N1238" s="26"/>
      <c r="O1238" s="26" t="str">
        <f>"""GP Direct"",""Fabrikam, Inc."",""UPR30300"",""PAYRATE"",""17432.00000"",""PAYROLCD"",""SALY"",""STATECD"",""IL"",""CHEKDATE"",""1/1/2015"",""UPRTRXAM"",""726.33000"""</f>
        <v>"GP Direct","Fabrikam, Inc.","UPR30300","PAYRATE","17432.00000","PAYROLCD","SALY","STATECD","IL","CHEKDATE","1/1/2015","UPRTRXAM","726.33000"</v>
      </c>
      <c r="P1238" s="29">
        <v>17432</v>
      </c>
      <c r="Q1238" s="26" t="str">
        <f>"SALY"</f>
        <v>SALY</v>
      </c>
      <c r="R1238" s="26" t="str">
        <f>"IL"</f>
        <v>IL</v>
      </c>
      <c r="S1238" s="28">
        <v>42005</v>
      </c>
      <c r="T1238" s="29">
        <v>726.33</v>
      </c>
    </row>
    <row r="1239" spans="1:20" s="7" customFormat="1" hidden="1" outlineLevel="3" x14ac:dyDescent="0.2">
      <c r="A1239" s="7" t="s">
        <v>92</v>
      </c>
      <c r="C1239" s="7" t="str">
        <f>+C1233</f>
        <v>Robert</v>
      </c>
      <c r="D1239" s="7" t="str">
        <f>+D1233</f>
        <v>Lyon</v>
      </c>
      <c r="E1239" s="8" t="str">
        <f>E1233</f>
        <v>SALES</v>
      </c>
      <c r="G1239" s="8" t="str">
        <f>G1233</f>
        <v>LYON0001</v>
      </c>
      <c r="K1239" s="12">
        <f>+K1233</f>
        <v>42005</v>
      </c>
      <c r="L1239" s="8" t="str">
        <f>L1233</f>
        <v>10368</v>
      </c>
      <c r="O1239" s="8"/>
      <c r="T1239" s="20"/>
    </row>
    <row r="1240" spans="1:20" s="7" customFormat="1" hidden="1" outlineLevel="2" collapsed="1" x14ac:dyDescent="0.2">
      <c r="A1240" s="7" t="s">
        <v>92</v>
      </c>
      <c r="C1240" s="7" t="str">
        <f t="shared" si="186"/>
        <v>Robert</v>
      </c>
      <c r="D1240" s="7" t="str">
        <f>+D1239</f>
        <v>Lyon</v>
      </c>
      <c r="E1240" s="8" t="str">
        <f>E1239</f>
        <v>SALES</v>
      </c>
      <c r="G1240" s="8" t="str">
        <f>G1239</f>
        <v>LYON0001</v>
      </c>
      <c r="K1240" s="12">
        <f>+K1239</f>
        <v>42005</v>
      </c>
      <c r="L1240" s="8" t="str">
        <f>L1239</f>
        <v>10368</v>
      </c>
      <c r="M1240" s="33" t="str">
        <f>"Total for " &amp; $L1240</f>
        <v>Total for 10368</v>
      </c>
      <c r="N1240" s="34">
        <f>+K1240</f>
        <v>42005</v>
      </c>
      <c r="O1240" s="35"/>
      <c r="P1240" s="33"/>
      <c r="Q1240" s="33"/>
      <c r="R1240" s="33"/>
      <c r="S1240" s="33"/>
      <c r="T1240" s="36">
        <f>SUBTOTAL(9,T1233:T1239)</f>
        <v>823.31000000000006</v>
      </c>
    </row>
    <row r="1241" spans="1:20" s="7" customFormat="1" hidden="1" outlineLevel="3" x14ac:dyDescent="0.2">
      <c r="A1241" s="7" t="s">
        <v>92</v>
      </c>
      <c r="C1241" s="7" t="str">
        <f t="shared" ref="C1241:C1286" si="188">+C1240</f>
        <v>Robert</v>
      </c>
      <c r="D1241" s="7" t="str">
        <f>+D1240</f>
        <v>Lyon</v>
      </c>
      <c r="E1241" s="8" t="str">
        <f>E1240</f>
        <v>SALES</v>
      </c>
      <c r="G1241" s="8" t="str">
        <f>G1240</f>
        <v>LYON0001</v>
      </c>
      <c r="H1241" s="26"/>
      <c r="I1241" s="26"/>
      <c r="J1241" s="26"/>
      <c r="K1241" s="28">
        <f>+N1241</f>
        <v>42036</v>
      </c>
      <c r="L1241" s="26" t="str">
        <f>M1241</f>
        <v>10393</v>
      </c>
      <c r="M1241" s="26" t="str">
        <f>"10393"</f>
        <v>10393</v>
      </c>
      <c r="N1241" s="28">
        <v>42036</v>
      </c>
      <c r="O1241" s="26"/>
      <c r="P1241" s="26"/>
      <c r="Q1241" s="26"/>
      <c r="R1241" s="26"/>
      <c r="S1241" s="26"/>
      <c r="T1241" s="27"/>
    </row>
    <row r="1242" spans="1:20" s="7" customFormat="1" hidden="1" outlineLevel="3" x14ac:dyDescent="0.2">
      <c r="A1242" s="7" t="s">
        <v>92</v>
      </c>
      <c r="C1242" s="7" t="str">
        <f t="shared" si="188"/>
        <v>Robert</v>
      </c>
      <c r="D1242" s="7" t="str">
        <f>+D1241</f>
        <v>Lyon</v>
      </c>
      <c r="E1242" s="8" t="str">
        <f>E1241</f>
        <v>SALES</v>
      </c>
      <c r="G1242" s="8" t="str">
        <f>G1241</f>
        <v>LYON0001</v>
      </c>
      <c r="H1242" s="26"/>
      <c r="I1242" s="26"/>
      <c r="J1242" s="26"/>
      <c r="K1242" s="28">
        <f>+K1241</f>
        <v>42036</v>
      </c>
      <c r="L1242" s="26" t="str">
        <f>L1241</f>
        <v>10393</v>
      </c>
      <c r="M1242" s="26"/>
      <c r="N1242" s="26"/>
      <c r="O1242" s="26" t="str">
        <f>"""GP Direct"",""Fabrikam, Inc."",""UPR30300"",""PAYRATE"",""0.00000"",""PAYROLCD"",""401K"",""STATECD"","""",""CHEKDATE"",""2/1/2015"",""UPRTRXAM"",""0.99000"""</f>
        <v>"GP Direct","Fabrikam, Inc.","UPR30300","PAYRATE","0.00000","PAYROLCD","401K","STATECD","","CHEKDATE","2/1/2015","UPRTRXAM","0.99000"</v>
      </c>
      <c r="P1242" s="29">
        <v>0</v>
      </c>
      <c r="Q1242" s="26" t="str">
        <f>"401K"</f>
        <v>401K</v>
      </c>
      <c r="R1242" s="26"/>
      <c r="S1242" s="28">
        <v>42036</v>
      </c>
      <c r="T1242" s="29">
        <v>0.99</v>
      </c>
    </row>
    <row r="1243" spans="1:20" s="7" customFormat="1" hidden="1" outlineLevel="3" x14ac:dyDescent="0.2">
      <c r="A1243" s="7" t="s">
        <v>92</v>
      </c>
      <c r="C1243" s="7" t="str">
        <f t="shared" ref="C1243:C1248" si="189">+C1242</f>
        <v>Robert</v>
      </c>
      <c r="D1243" s="7" t="str">
        <f>+D1242</f>
        <v>Lyon</v>
      </c>
      <c r="E1243" s="8" t="str">
        <f>E1242</f>
        <v>SALES</v>
      </c>
      <c r="G1243" s="8" t="str">
        <f>G1242</f>
        <v>LYON0001</v>
      </c>
      <c r="H1243" s="26"/>
      <c r="I1243" s="26"/>
      <c r="J1243" s="26"/>
      <c r="K1243" s="28">
        <f>+K1242</f>
        <v>42036</v>
      </c>
      <c r="L1243" s="26" t="str">
        <f>L1242</f>
        <v>10393</v>
      </c>
      <c r="M1243" s="26"/>
      <c r="N1243" s="26"/>
      <c r="O1243" s="26" t="str">
        <f>"""GP Direct"",""Fabrikam, Inc."",""UPR30300"",""PAYRATE"",""0.00000"",""PAYROLCD"",""401K"",""STATECD"","""",""CHEKDATE"",""2/1/2015"",""UPRTRXAM"",""19.78000"""</f>
        <v>"GP Direct","Fabrikam, Inc.","UPR30300","PAYRATE","0.00000","PAYROLCD","401K","STATECD","","CHEKDATE","2/1/2015","UPRTRXAM","19.78000"</v>
      </c>
      <c r="P1243" s="29">
        <v>0</v>
      </c>
      <c r="Q1243" s="26" t="str">
        <f>"401K"</f>
        <v>401K</v>
      </c>
      <c r="R1243" s="26"/>
      <c r="S1243" s="28">
        <v>42036</v>
      </c>
      <c r="T1243" s="29">
        <v>19.78</v>
      </c>
    </row>
    <row r="1244" spans="1:20" s="7" customFormat="1" hidden="1" outlineLevel="3" x14ac:dyDescent="0.2">
      <c r="A1244" s="7" t="s">
        <v>92</v>
      </c>
      <c r="C1244" s="7" t="str">
        <f t="shared" si="189"/>
        <v>Robert</v>
      </c>
      <c r="D1244" s="7" t="str">
        <f>+D1243</f>
        <v>Lyon</v>
      </c>
      <c r="E1244" s="8" t="str">
        <f>E1243</f>
        <v>SALES</v>
      </c>
      <c r="G1244" s="8" t="str">
        <f>G1243</f>
        <v>LYON0001</v>
      </c>
      <c r="H1244" s="26"/>
      <c r="I1244" s="26"/>
      <c r="J1244" s="26"/>
      <c r="K1244" s="28">
        <f>+K1243</f>
        <v>42036</v>
      </c>
      <c r="L1244" s="26" t="str">
        <f>L1243</f>
        <v>10393</v>
      </c>
      <c r="M1244" s="26"/>
      <c r="N1244" s="26"/>
      <c r="O1244" s="26" t="str">
        <f>"""GP Direct"",""Fabrikam, Inc."",""UPR30300"",""PAYRATE"",""0.00000"",""PAYROLCD"",""HOLI"",""STATECD"",""IL"",""CHEKDATE"",""2/1/2015"",""UPRTRXAM"",""0.00000"""</f>
        <v>"GP Direct","Fabrikam, Inc.","UPR30300","PAYRATE","0.00000","PAYROLCD","HOLI","STATECD","IL","CHEKDATE","2/1/2015","UPRTRXAM","0.00000"</v>
      </c>
      <c r="P1244" s="29">
        <v>0</v>
      </c>
      <c r="Q1244" s="26" t="str">
        <f>"HOLI"</f>
        <v>HOLI</v>
      </c>
      <c r="R1244" s="26" t="str">
        <f>"IL"</f>
        <v>IL</v>
      </c>
      <c r="S1244" s="28">
        <v>42036</v>
      </c>
      <c r="T1244" s="29">
        <v>0</v>
      </c>
    </row>
    <row r="1245" spans="1:20" s="7" customFormat="1" hidden="1" outlineLevel="3" x14ac:dyDescent="0.2">
      <c r="A1245" s="7" t="s">
        <v>92</v>
      </c>
      <c r="C1245" s="7" t="str">
        <f t="shared" si="189"/>
        <v>Robert</v>
      </c>
      <c r="D1245" s="7" t="str">
        <f>+D1244</f>
        <v>Lyon</v>
      </c>
      <c r="E1245" s="8" t="str">
        <f>E1244</f>
        <v>SALES</v>
      </c>
      <c r="G1245" s="8" t="str">
        <f>G1244</f>
        <v>LYON0001</v>
      </c>
      <c r="H1245" s="26"/>
      <c r="I1245" s="26"/>
      <c r="J1245" s="26"/>
      <c r="K1245" s="28">
        <f>+K1244</f>
        <v>42036</v>
      </c>
      <c r="L1245" s="26" t="str">
        <f>L1244</f>
        <v>10393</v>
      </c>
      <c r="M1245" s="26"/>
      <c r="N1245" s="26"/>
      <c r="O1245" s="26" t="str">
        <f>"""GP Direct"",""Fabrikam, Inc."",""UPR30300"",""PAYRATE"",""0.00000"",""PAYROLCD"",""IL"",""STATECD"","""",""CHEKDATE"",""2/1/2015"",""UPRTRXAM"",""17.79000"""</f>
        <v>"GP Direct","Fabrikam, Inc.","UPR30300","PAYRATE","0.00000","PAYROLCD","IL","STATECD","","CHEKDATE","2/1/2015","UPRTRXAM","17.79000"</v>
      </c>
      <c r="P1245" s="29">
        <v>0</v>
      </c>
      <c r="Q1245" s="26" t="str">
        <f>"IL"</f>
        <v>IL</v>
      </c>
      <c r="R1245" s="26"/>
      <c r="S1245" s="28">
        <v>42036</v>
      </c>
      <c r="T1245" s="29">
        <v>17.79</v>
      </c>
    </row>
    <row r="1246" spans="1:20" s="7" customFormat="1" hidden="1" outlineLevel="3" x14ac:dyDescent="0.2">
      <c r="A1246" s="7" t="s">
        <v>92</v>
      </c>
      <c r="C1246" s="7" t="str">
        <f t="shared" si="189"/>
        <v>Robert</v>
      </c>
      <c r="D1246" s="7" t="str">
        <f>+D1245</f>
        <v>Lyon</v>
      </c>
      <c r="E1246" s="8" t="str">
        <f>E1245</f>
        <v>SALES</v>
      </c>
      <c r="G1246" s="8" t="str">
        <f>G1245</f>
        <v>LYON0001</v>
      </c>
      <c r="H1246" s="26"/>
      <c r="I1246" s="26"/>
      <c r="J1246" s="26"/>
      <c r="K1246" s="28">
        <f>+K1245</f>
        <v>42036</v>
      </c>
      <c r="L1246" s="26" t="str">
        <f>L1245</f>
        <v>10393</v>
      </c>
      <c r="M1246" s="26"/>
      <c r="N1246" s="26"/>
      <c r="O1246" s="26" t="str">
        <f>"""GP Direct"",""Fabrikam, Inc."",""UPR30300"",""PAYRATE"",""0.00000"",""PAYROLCD"",""INS"",""STATECD"","""",""CHEKDATE"",""2/1/2015"",""UPRTRXAM"",""49.36000"""</f>
        <v>"GP Direct","Fabrikam, Inc.","UPR30300","PAYRATE","0.00000","PAYROLCD","INS","STATECD","","CHEKDATE","2/1/2015","UPRTRXAM","49.36000"</v>
      </c>
      <c r="P1246" s="29">
        <v>0</v>
      </c>
      <c r="Q1246" s="26" t="str">
        <f>"INS"</f>
        <v>INS</v>
      </c>
      <c r="R1246" s="26"/>
      <c r="S1246" s="28">
        <v>42036</v>
      </c>
      <c r="T1246" s="29">
        <v>49.36</v>
      </c>
    </row>
    <row r="1247" spans="1:20" s="7" customFormat="1" hidden="1" outlineLevel="3" x14ac:dyDescent="0.2">
      <c r="A1247" s="7" t="s">
        <v>92</v>
      </c>
      <c r="C1247" s="7" t="str">
        <f t="shared" si="189"/>
        <v>Robert</v>
      </c>
      <c r="D1247" s="7" t="str">
        <f>+D1246</f>
        <v>Lyon</v>
      </c>
      <c r="E1247" s="8" t="str">
        <f>E1246</f>
        <v>SALES</v>
      </c>
      <c r="G1247" s="8" t="str">
        <f>G1246</f>
        <v>LYON0001</v>
      </c>
      <c r="H1247" s="26"/>
      <c r="I1247" s="26"/>
      <c r="J1247" s="26"/>
      <c r="K1247" s="28">
        <f>+K1246</f>
        <v>42036</v>
      </c>
      <c r="L1247" s="26" t="str">
        <f>L1246</f>
        <v>10393</v>
      </c>
      <c r="M1247" s="26"/>
      <c r="N1247" s="26"/>
      <c r="O1247" s="26" t="str">
        <f>"""GP Direct"",""Fabrikam, Inc."",""UPR30300"",""PAYRATE"",""0.00000"",""PAYROLCD"",""MED"",""STATECD"","""",""CHEKDATE"",""2/1/2015"",""UPRTRXAM"",""5.00000"""</f>
        <v>"GP Direct","Fabrikam, Inc.","UPR30300","PAYRATE","0.00000","PAYROLCD","MED","STATECD","","CHEKDATE","2/1/2015","UPRTRXAM","5.00000"</v>
      </c>
      <c r="P1247" s="29">
        <v>0</v>
      </c>
      <c r="Q1247" s="26" t="str">
        <f>"MED"</f>
        <v>MED</v>
      </c>
      <c r="R1247" s="26"/>
      <c r="S1247" s="28">
        <v>42036</v>
      </c>
      <c r="T1247" s="29">
        <v>5</v>
      </c>
    </row>
    <row r="1248" spans="1:20" s="7" customFormat="1" hidden="1" outlineLevel="3" x14ac:dyDescent="0.2">
      <c r="A1248" s="7" t="s">
        <v>92</v>
      </c>
      <c r="C1248" s="7" t="str">
        <f t="shared" si="189"/>
        <v>Robert</v>
      </c>
      <c r="D1248" s="7" t="str">
        <f>+D1247</f>
        <v>Lyon</v>
      </c>
      <c r="E1248" s="8" t="str">
        <f>E1247</f>
        <v>SALES</v>
      </c>
      <c r="G1248" s="8" t="str">
        <f>G1247</f>
        <v>LYON0001</v>
      </c>
      <c r="H1248" s="26"/>
      <c r="I1248" s="26"/>
      <c r="J1248" s="26"/>
      <c r="K1248" s="28">
        <f>+K1247</f>
        <v>42036</v>
      </c>
      <c r="L1248" s="26" t="str">
        <f>L1247</f>
        <v>10393</v>
      </c>
      <c r="M1248" s="26"/>
      <c r="N1248" s="26"/>
      <c r="O1248" s="26" t="str">
        <f>"""GP Direct"",""Fabrikam, Inc."",""UPR30300"",""PAYRATE"",""8.38073"",""PAYROLCD"",""SALY"",""STATECD"",""IL"",""CHEKDATE"",""2/1/2015"",""UPRTRXAM"",""659.28000"""</f>
        <v>"GP Direct","Fabrikam, Inc.","UPR30300","PAYRATE","8.38073","PAYROLCD","SALY","STATECD","IL","CHEKDATE","2/1/2015","UPRTRXAM","659.28000"</v>
      </c>
      <c r="P1248" s="29">
        <v>8.3806999999999992</v>
      </c>
      <c r="Q1248" s="26" t="str">
        <f>"SALY"</f>
        <v>SALY</v>
      </c>
      <c r="R1248" s="26" t="str">
        <f>"IL"</f>
        <v>IL</v>
      </c>
      <c r="S1248" s="28">
        <v>42036</v>
      </c>
      <c r="T1248" s="29">
        <v>659.28</v>
      </c>
    </row>
    <row r="1249" spans="1:20" s="7" customFormat="1" hidden="1" outlineLevel="3" x14ac:dyDescent="0.2">
      <c r="A1249" s="7" t="s">
        <v>92</v>
      </c>
      <c r="C1249" s="7" t="str">
        <f>+C1242</f>
        <v>Robert</v>
      </c>
      <c r="D1249" s="7" t="str">
        <f>+D1242</f>
        <v>Lyon</v>
      </c>
      <c r="E1249" s="8" t="str">
        <f>E1242</f>
        <v>SALES</v>
      </c>
      <c r="G1249" s="8" t="str">
        <f>G1242</f>
        <v>LYON0001</v>
      </c>
      <c r="K1249" s="12">
        <f>+K1242</f>
        <v>42036</v>
      </c>
      <c r="L1249" s="8" t="str">
        <f>L1242</f>
        <v>10393</v>
      </c>
      <c r="O1249" s="8"/>
      <c r="T1249" s="20"/>
    </row>
    <row r="1250" spans="1:20" s="7" customFormat="1" hidden="1" outlineLevel="2" collapsed="1" x14ac:dyDescent="0.2">
      <c r="A1250" s="7" t="s">
        <v>92</v>
      </c>
      <c r="C1250" s="7" t="str">
        <f t="shared" si="188"/>
        <v>Robert</v>
      </c>
      <c r="D1250" s="7" t="str">
        <f>+D1249</f>
        <v>Lyon</v>
      </c>
      <c r="E1250" s="8" t="str">
        <f>E1249</f>
        <v>SALES</v>
      </c>
      <c r="G1250" s="8" t="str">
        <f>G1249</f>
        <v>LYON0001</v>
      </c>
      <c r="K1250" s="12">
        <f>+K1249</f>
        <v>42036</v>
      </c>
      <c r="L1250" s="8" t="str">
        <f>L1249</f>
        <v>10393</v>
      </c>
      <c r="M1250" s="33" t="str">
        <f>"Total for " &amp; $L1250</f>
        <v>Total for 10393</v>
      </c>
      <c r="N1250" s="34">
        <f>+K1250</f>
        <v>42036</v>
      </c>
      <c r="O1250" s="35"/>
      <c r="P1250" s="33"/>
      <c r="Q1250" s="33"/>
      <c r="R1250" s="33"/>
      <c r="S1250" s="33"/>
      <c r="T1250" s="36">
        <f>SUBTOTAL(9,T1242:T1249)</f>
        <v>752.19999999999993</v>
      </c>
    </row>
    <row r="1251" spans="1:20" s="7" customFormat="1" hidden="1" outlineLevel="3" x14ac:dyDescent="0.2">
      <c r="A1251" s="7" t="s">
        <v>92</v>
      </c>
      <c r="C1251" s="7" t="str">
        <f t="shared" si="188"/>
        <v>Robert</v>
      </c>
      <c r="D1251" s="7" t="str">
        <f>+D1250</f>
        <v>Lyon</v>
      </c>
      <c r="E1251" s="8" t="str">
        <f>E1250</f>
        <v>SALES</v>
      </c>
      <c r="G1251" s="8" t="str">
        <f>G1250</f>
        <v>LYON0001</v>
      </c>
      <c r="H1251" s="26"/>
      <c r="I1251" s="26"/>
      <c r="J1251" s="26"/>
      <c r="K1251" s="28">
        <f>+N1251</f>
        <v>42064</v>
      </c>
      <c r="L1251" s="26" t="str">
        <f>M1251</f>
        <v>10418</v>
      </c>
      <c r="M1251" s="26" t="str">
        <f>"10418"</f>
        <v>10418</v>
      </c>
      <c r="N1251" s="28">
        <v>42064</v>
      </c>
      <c r="O1251" s="26"/>
      <c r="P1251" s="26"/>
      <c r="Q1251" s="26"/>
      <c r="R1251" s="26"/>
      <c r="S1251" s="26"/>
      <c r="T1251" s="27"/>
    </row>
    <row r="1252" spans="1:20" s="7" customFormat="1" hidden="1" outlineLevel="3" x14ac:dyDescent="0.2">
      <c r="A1252" s="7" t="s">
        <v>92</v>
      </c>
      <c r="C1252" s="7" t="str">
        <f t="shared" si="188"/>
        <v>Robert</v>
      </c>
      <c r="D1252" s="7" t="str">
        <f>+D1251</f>
        <v>Lyon</v>
      </c>
      <c r="E1252" s="8" t="str">
        <f>E1251</f>
        <v>SALES</v>
      </c>
      <c r="G1252" s="8" t="str">
        <f>G1251</f>
        <v>LYON0001</v>
      </c>
      <c r="H1252" s="26"/>
      <c r="I1252" s="26"/>
      <c r="J1252" s="26"/>
      <c r="K1252" s="28">
        <f>+K1251</f>
        <v>42064</v>
      </c>
      <c r="L1252" s="26" t="str">
        <f>L1251</f>
        <v>10418</v>
      </c>
      <c r="M1252" s="26"/>
      <c r="N1252" s="26"/>
      <c r="O1252" s="26" t="str">
        <f>"""GP Direct"",""Fabrikam, Inc."",""UPR30300"",""PAYRATE"",""0.00000"",""PAYROLCD"",""401K"",""STATECD"","""",""CHEKDATE"",""3/1/2015"",""UPRTRXAM"",""1.09000"""</f>
        <v>"GP Direct","Fabrikam, Inc.","UPR30300","PAYRATE","0.00000","PAYROLCD","401K","STATECD","","CHEKDATE","3/1/2015","UPRTRXAM","1.09000"</v>
      </c>
      <c r="P1252" s="29">
        <v>0</v>
      </c>
      <c r="Q1252" s="26" t="str">
        <f>"401K"</f>
        <v>401K</v>
      </c>
      <c r="R1252" s="26"/>
      <c r="S1252" s="28">
        <v>42064</v>
      </c>
      <c r="T1252" s="29">
        <v>1.0900000000000001</v>
      </c>
    </row>
    <row r="1253" spans="1:20" s="7" customFormat="1" hidden="1" outlineLevel="3" x14ac:dyDescent="0.2">
      <c r="A1253" s="7" t="s">
        <v>92</v>
      </c>
      <c r="C1253" s="7" t="str">
        <f t="shared" ref="C1253:C1257" si="190">+C1252</f>
        <v>Robert</v>
      </c>
      <c r="D1253" s="7" t="str">
        <f>+D1252</f>
        <v>Lyon</v>
      </c>
      <c r="E1253" s="8" t="str">
        <f>E1252</f>
        <v>SALES</v>
      </c>
      <c r="G1253" s="8" t="str">
        <f>G1252</f>
        <v>LYON0001</v>
      </c>
      <c r="H1253" s="26"/>
      <c r="I1253" s="26"/>
      <c r="J1253" s="26"/>
      <c r="K1253" s="28">
        <f>+K1252</f>
        <v>42064</v>
      </c>
      <c r="L1253" s="26" t="str">
        <f>L1252</f>
        <v>10418</v>
      </c>
      <c r="M1253" s="26"/>
      <c r="N1253" s="26"/>
      <c r="O1253" s="26" t="str">
        <f>"""GP Direct"",""Fabrikam, Inc."",""UPR30300"",""PAYRATE"",""0.00000"",""PAYROLCD"",""401K"",""STATECD"","""",""CHEKDATE"",""3/1/2015"",""UPRTRXAM"",""21.79000"""</f>
        <v>"GP Direct","Fabrikam, Inc.","UPR30300","PAYRATE","0.00000","PAYROLCD","401K","STATECD","","CHEKDATE","3/1/2015","UPRTRXAM","21.79000"</v>
      </c>
      <c r="P1253" s="29">
        <v>0</v>
      </c>
      <c r="Q1253" s="26" t="str">
        <f>"401K"</f>
        <v>401K</v>
      </c>
      <c r="R1253" s="26"/>
      <c r="S1253" s="28">
        <v>42064</v>
      </c>
      <c r="T1253" s="29">
        <v>21.79</v>
      </c>
    </row>
    <row r="1254" spans="1:20" s="7" customFormat="1" hidden="1" outlineLevel="3" x14ac:dyDescent="0.2">
      <c r="A1254" s="7" t="s">
        <v>92</v>
      </c>
      <c r="C1254" s="7" t="str">
        <f t="shared" si="190"/>
        <v>Robert</v>
      </c>
      <c r="D1254" s="7" t="str">
        <f>+D1253</f>
        <v>Lyon</v>
      </c>
      <c r="E1254" s="8" t="str">
        <f>E1253</f>
        <v>SALES</v>
      </c>
      <c r="G1254" s="8" t="str">
        <f>G1253</f>
        <v>LYON0001</v>
      </c>
      <c r="H1254" s="26"/>
      <c r="I1254" s="26"/>
      <c r="J1254" s="26"/>
      <c r="K1254" s="28">
        <f>+K1253</f>
        <v>42064</v>
      </c>
      <c r="L1254" s="26" t="str">
        <f>L1253</f>
        <v>10418</v>
      </c>
      <c r="M1254" s="26"/>
      <c r="N1254" s="26"/>
      <c r="O1254" s="26" t="str">
        <f>"""GP Direct"",""Fabrikam, Inc."",""UPR30300"",""PAYRATE"",""0.00000"",""PAYROLCD"",""IL"",""STATECD"","""",""CHEKDATE"",""3/1/2015"",""UPRTRXAM"",""19.74000"""</f>
        <v>"GP Direct","Fabrikam, Inc.","UPR30300","PAYRATE","0.00000","PAYROLCD","IL","STATECD","","CHEKDATE","3/1/2015","UPRTRXAM","19.74000"</v>
      </c>
      <c r="P1254" s="29">
        <v>0</v>
      </c>
      <c r="Q1254" s="26" t="str">
        <f>"IL"</f>
        <v>IL</v>
      </c>
      <c r="R1254" s="26"/>
      <c r="S1254" s="28">
        <v>42064</v>
      </c>
      <c r="T1254" s="29">
        <v>19.739999999999998</v>
      </c>
    </row>
    <row r="1255" spans="1:20" s="7" customFormat="1" hidden="1" outlineLevel="3" x14ac:dyDescent="0.2">
      <c r="A1255" s="7" t="s">
        <v>92</v>
      </c>
      <c r="C1255" s="7" t="str">
        <f t="shared" si="190"/>
        <v>Robert</v>
      </c>
      <c r="D1255" s="7" t="str">
        <f>+D1254</f>
        <v>Lyon</v>
      </c>
      <c r="E1255" s="8" t="str">
        <f>E1254</f>
        <v>SALES</v>
      </c>
      <c r="G1255" s="8" t="str">
        <f>G1254</f>
        <v>LYON0001</v>
      </c>
      <c r="H1255" s="26"/>
      <c r="I1255" s="26"/>
      <c r="J1255" s="26"/>
      <c r="K1255" s="28">
        <f>+K1254</f>
        <v>42064</v>
      </c>
      <c r="L1255" s="26" t="str">
        <f>L1254</f>
        <v>10418</v>
      </c>
      <c r="M1255" s="26"/>
      <c r="N1255" s="26"/>
      <c r="O1255" s="26" t="str">
        <f>"""GP Direct"",""Fabrikam, Inc."",""UPR30300"",""PAYRATE"",""0.00000"",""PAYROLCD"",""INS"",""STATECD"","""",""CHEKDATE"",""3/1/2015"",""UPRTRXAM"",""49.36000"""</f>
        <v>"GP Direct","Fabrikam, Inc.","UPR30300","PAYRATE","0.00000","PAYROLCD","INS","STATECD","","CHEKDATE","3/1/2015","UPRTRXAM","49.36000"</v>
      </c>
      <c r="P1255" s="29">
        <v>0</v>
      </c>
      <c r="Q1255" s="26" t="str">
        <f>"INS"</f>
        <v>INS</v>
      </c>
      <c r="R1255" s="26"/>
      <c r="S1255" s="28">
        <v>42064</v>
      </c>
      <c r="T1255" s="29">
        <v>49.36</v>
      </c>
    </row>
    <row r="1256" spans="1:20" s="7" customFormat="1" hidden="1" outlineLevel="3" x14ac:dyDescent="0.2">
      <c r="A1256" s="7" t="s">
        <v>92</v>
      </c>
      <c r="C1256" s="7" t="str">
        <f t="shared" si="190"/>
        <v>Robert</v>
      </c>
      <c r="D1256" s="7" t="str">
        <f>+D1255</f>
        <v>Lyon</v>
      </c>
      <c r="E1256" s="8" t="str">
        <f>E1255</f>
        <v>SALES</v>
      </c>
      <c r="G1256" s="8" t="str">
        <f>G1255</f>
        <v>LYON0001</v>
      </c>
      <c r="H1256" s="26"/>
      <c r="I1256" s="26"/>
      <c r="J1256" s="26"/>
      <c r="K1256" s="28">
        <f>+K1255</f>
        <v>42064</v>
      </c>
      <c r="L1256" s="26" t="str">
        <f>L1255</f>
        <v>10418</v>
      </c>
      <c r="M1256" s="26"/>
      <c r="N1256" s="26"/>
      <c r="O1256" s="26" t="str">
        <f>"""GP Direct"",""Fabrikam, Inc."",""UPR30300"",""PAYRATE"",""0.00000"",""PAYROLCD"",""MED"",""STATECD"","""",""CHEKDATE"",""3/1/2015"",""UPRTRXAM"",""5.00000"""</f>
        <v>"GP Direct","Fabrikam, Inc.","UPR30300","PAYRATE","0.00000","PAYROLCD","MED","STATECD","","CHEKDATE","3/1/2015","UPRTRXAM","5.00000"</v>
      </c>
      <c r="P1256" s="29">
        <v>0</v>
      </c>
      <c r="Q1256" s="26" t="str">
        <f>"MED"</f>
        <v>MED</v>
      </c>
      <c r="R1256" s="26"/>
      <c r="S1256" s="28">
        <v>42064</v>
      </c>
      <c r="T1256" s="29">
        <v>5</v>
      </c>
    </row>
    <row r="1257" spans="1:20" s="7" customFormat="1" hidden="1" outlineLevel="3" x14ac:dyDescent="0.2">
      <c r="A1257" s="7" t="s">
        <v>92</v>
      </c>
      <c r="C1257" s="7" t="str">
        <f t="shared" si="190"/>
        <v>Robert</v>
      </c>
      <c r="D1257" s="7" t="str">
        <f>+D1256</f>
        <v>Lyon</v>
      </c>
      <c r="E1257" s="8" t="str">
        <f>E1256</f>
        <v>SALES</v>
      </c>
      <c r="G1257" s="8" t="str">
        <f>G1256</f>
        <v>LYON0001</v>
      </c>
      <c r="H1257" s="26"/>
      <c r="I1257" s="26"/>
      <c r="J1257" s="26"/>
      <c r="K1257" s="28">
        <f>+K1256</f>
        <v>42064</v>
      </c>
      <c r="L1257" s="26" t="str">
        <f>L1256</f>
        <v>10418</v>
      </c>
      <c r="M1257" s="26"/>
      <c r="N1257" s="26"/>
      <c r="O1257" s="26" t="str">
        <f>"""GP Direct"",""Fabrikam, Inc."",""UPR30300"",""PAYRATE"",""17432.00000"",""PAYROLCD"",""SALY"",""STATECD"",""IL"",""CHEKDATE"",""3/1/2015"",""UPRTRXAM"",""726.33000"""</f>
        <v>"GP Direct","Fabrikam, Inc.","UPR30300","PAYRATE","17432.00000","PAYROLCD","SALY","STATECD","IL","CHEKDATE","3/1/2015","UPRTRXAM","726.33000"</v>
      </c>
      <c r="P1257" s="29">
        <v>17432</v>
      </c>
      <c r="Q1257" s="26" t="str">
        <f>"SALY"</f>
        <v>SALY</v>
      </c>
      <c r="R1257" s="26" t="str">
        <f>"IL"</f>
        <v>IL</v>
      </c>
      <c r="S1257" s="28">
        <v>42064</v>
      </c>
      <c r="T1257" s="29">
        <v>726.33</v>
      </c>
    </row>
    <row r="1258" spans="1:20" s="7" customFormat="1" hidden="1" outlineLevel="3" x14ac:dyDescent="0.2">
      <c r="A1258" s="7" t="s">
        <v>92</v>
      </c>
      <c r="C1258" s="7" t="str">
        <f>+C1252</f>
        <v>Robert</v>
      </c>
      <c r="D1258" s="7" t="str">
        <f>+D1252</f>
        <v>Lyon</v>
      </c>
      <c r="E1258" s="8" t="str">
        <f>E1252</f>
        <v>SALES</v>
      </c>
      <c r="G1258" s="8" t="str">
        <f>G1252</f>
        <v>LYON0001</v>
      </c>
      <c r="K1258" s="12">
        <f>+K1252</f>
        <v>42064</v>
      </c>
      <c r="L1258" s="8" t="str">
        <f>L1252</f>
        <v>10418</v>
      </c>
      <c r="O1258" s="8"/>
      <c r="T1258" s="20"/>
    </row>
    <row r="1259" spans="1:20" s="7" customFormat="1" hidden="1" outlineLevel="2" collapsed="1" x14ac:dyDescent="0.2">
      <c r="A1259" s="7" t="s">
        <v>92</v>
      </c>
      <c r="C1259" s="7" t="str">
        <f t="shared" si="188"/>
        <v>Robert</v>
      </c>
      <c r="D1259" s="7" t="str">
        <f>+D1258</f>
        <v>Lyon</v>
      </c>
      <c r="E1259" s="8" t="str">
        <f>E1258</f>
        <v>SALES</v>
      </c>
      <c r="G1259" s="8" t="str">
        <f>G1258</f>
        <v>LYON0001</v>
      </c>
      <c r="K1259" s="12">
        <f>+K1258</f>
        <v>42064</v>
      </c>
      <c r="L1259" s="8" t="str">
        <f>L1258</f>
        <v>10418</v>
      </c>
      <c r="M1259" s="33" t="str">
        <f>"Total for " &amp; $L1259</f>
        <v>Total for 10418</v>
      </c>
      <c r="N1259" s="34">
        <f>+K1259</f>
        <v>42064</v>
      </c>
      <c r="O1259" s="35"/>
      <c r="P1259" s="33"/>
      <c r="Q1259" s="33"/>
      <c r="R1259" s="33"/>
      <c r="S1259" s="33"/>
      <c r="T1259" s="36">
        <f>SUBTOTAL(9,T1252:T1258)</f>
        <v>823.31000000000006</v>
      </c>
    </row>
    <row r="1260" spans="1:20" s="7" customFormat="1" hidden="1" outlineLevel="3" x14ac:dyDescent="0.2">
      <c r="A1260" s="7" t="s">
        <v>92</v>
      </c>
      <c r="C1260" s="7" t="str">
        <f t="shared" si="188"/>
        <v>Robert</v>
      </c>
      <c r="D1260" s="7" t="str">
        <f>+D1259</f>
        <v>Lyon</v>
      </c>
      <c r="E1260" s="8" t="str">
        <f>E1259</f>
        <v>SALES</v>
      </c>
      <c r="G1260" s="8" t="str">
        <f>G1259</f>
        <v>LYON0001</v>
      </c>
      <c r="H1260" s="26"/>
      <c r="I1260" s="26"/>
      <c r="J1260" s="26"/>
      <c r="K1260" s="28">
        <f>+N1260</f>
        <v>42095</v>
      </c>
      <c r="L1260" s="26" t="str">
        <f>M1260</f>
        <v>10443</v>
      </c>
      <c r="M1260" s="26" t="str">
        <f>"10443"</f>
        <v>10443</v>
      </c>
      <c r="N1260" s="28">
        <v>42095</v>
      </c>
      <c r="O1260" s="26"/>
      <c r="P1260" s="26"/>
      <c r="Q1260" s="26"/>
      <c r="R1260" s="26"/>
      <c r="S1260" s="26"/>
      <c r="T1260" s="27"/>
    </row>
    <row r="1261" spans="1:20" s="7" customFormat="1" hidden="1" outlineLevel="3" x14ac:dyDescent="0.2">
      <c r="A1261" s="7" t="s">
        <v>92</v>
      </c>
      <c r="C1261" s="7" t="str">
        <f t="shared" si="188"/>
        <v>Robert</v>
      </c>
      <c r="D1261" s="7" t="str">
        <f>+D1260</f>
        <v>Lyon</v>
      </c>
      <c r="E1261" s="8" t="str">
        <f>E1260</f>
        <v>SALES</v>
      </c>
      <c r="G1261" s="8" t="str">
        <f>G1260</f>
        <v>LYON0001</v>
      </c>
      <c r="H1261" s="26"/>
      <c r="I1261" s="26"/>
      <c r="J1261" s="26"/>
      <c r="K1261" s="28">
        <f>+K1260</f>
        <v>42095</v>
      </c>
      <c r="L1261" s="26" t="str">
        <f>L1260</f>
        <v>10443</v>
      </c>
      <c r="M1261" s="26"/>
      <c r="N1261" s="26"/>
      <c r="O1261" s="26" t="str">
        <f>"""GP Direct"",""Fabrikam, Inc."",""UPR30300"",""PAYRATE"",""0.00000"",""PAYROLCD"",""401K"",""STATECD"","""",""CHEKDATE"",""4/1/2015"",""UPRTRXAM"",""1.09000"""</f>
        <v>"GP Direct","Fabrikam, Inc.","UPR30300","PAYRATE","0.00000","PAYROLCD","401K","STATECD","","CHEKDATE","4/1/2015","UPRTRXAM","1.09000"</v>
      </c>
      <c r="P1261" s="29">
        <v>0</v>
      </c>
      <c r="Q1261" s="26" t="str">
        <f>"401K"</f>
        <v>401K</v>
      </c>
      <c r="R1261" s="26"/>
      <c r="S1261" s="28">
        <v>42095</v>
      </c>
      <c r="T1261" s="29">
        <v>1.0900000000000001</v>
      </c>
    </row>
    <row r="1262" spans="1:20" s="7" customFormat="1" hidden="1" outlineLevel="3" x14ac:dyDescent="0.2">
      <c r="A1262" s="7" t="s">
        <v>92</v>
      </c>
      <c r="C1262" s="7" t="str">
        <f t="shared" ref="C1262:C1266" si="191">+C1261</f>
        <v>Robert</v>
      </c>
      <c r="D1262" s="7" t="str">
        <f>+D1261</f>
        <v>Lyon</v>
      </c>
      <c r="E1262" s="8" t="str">
        <f>E1261</f>
        <v>SALES</v>
      </c>
      <c r="G1262" s="8" t="str">
        <f>G1261</f>
        <v>LYON0001</v>
      </c>
      <c r="H1262" s="26"/>
      <c r="I1262" s="26"/>
      <c r="J1262" s="26"/>
      <c r="K1262" s="28">
        <f>+K1261</f>
        <v>42095</v>
      </c>
      <c r="L1262" s="26" t="str">
        <f>L1261</f>
        <v>10443</v>
      </c>
      <c r="M1262" s="26"/>
      <c r="N1262" s="26"/>
      <c r="O1262" s="26" t="str">
        <f>"""GP Direct"",""Fabrikam, Inc."",""UPR30300"",""PAYRATE"",""0.00000"",""PAYROLCD"",""401K"",""STATECD"","""",""CHEKDATE"",""4/1/2015"",""UPRTRXAM"",""21.79000"""</f>
        <v>"GP Direct","Fabrikam, Inc.","UPR30300","PAYRATE","0.00000","PAYROLCD","401K","STATECD","","CHEKDATE","4/1/2015","UPRTRXAM","21.79000"</v>
      </c>
      <c r="P1262" s="29">
        <v>0</v>
      </c>
      <c r="Q1262" s="26" t="str">
        <f>"401K"</f>
        <v>401K</v>
      </c>
      <c r="R1262" s="26"/>
      <c r="S1262" s="28">
        <v>42095</v>
      </c>
      <c r="T1262" s="29">
        <v>21.79</v>
      </c>
    </row>
    <row r="1263" spans="1:20" s="7" customFormat="1" hidden="1" outlineLevel="3" x14ac:dyDescent="0.2">
      <c r="A1263" s="7" t="s">
        <v>92</v>
      </c>
      <c r="C1263" s="7" t="str">
        <f t="shared" si="191"/>
        <v>Robert</v>
      </c>
      <c r="D1263" s="7" t="str">
        <f>+D1262</f>
        <v>Lyon</v>
      </c>
      <c r="E1263" s="8" t="str">
        <f>E1262</f>
        <v>SALES</v>
      </c>
      <c r="G1263" s="8" t="str">
        <f>G1262</f>
        <v>LYON0001</v>
      </c>
      <c r="H1263" s="26"/>
      <c r="I1263" s="26"/>
      <c r="J1263" s="26"/>
      <c r="K1263" s="28">
        <f>+K1262</f>
        <v>42095</v>
      </c>
      <c r="L1263" s="26" t="str">
        <f>L1262</f>
        <v>10443</v>
      </c>
      <c r="M1263" s="26"/>
      <c r="N1263" s="26"/>
      <c r="O1263" s="26" t="str">
        <f>"""GP Direct"",""Fabrikam, Inc."",""UPR30300"",""PAYRATE"",""0.00000"",""PAYROLCD"",""IL"",""STATECD"","""",""CHEKDATE"",""4/1/2015"",""UPRTRXAM"",""19.74000"""</f>
        <v>"GP Direct","Fabrikam, Inc.","UPR30300","PAYRATE","0.00000","PAYROLCD","IL","STATECD","","CHEKDATE","4/1/2015","UPRTRXAM","19.74000"</v>
      </c>
      <c r="P1263" s="29">
        <v>0</v>
      </c>
      <c r="Q1263" s="26" t="str">
        <f>"IL"</f>
        <v>IL</v>
      </c>
      <c r="R1263" s="26"/>
      <c r="S1263" s="28">
        <v>42095</v>
      </c>
      <c r="T1263" s="29">
        <v>19.739999999999998</v>
      </c>
    </row>
    <row r="1264" spans="1:20" s="7" customFormat="1" hidden="1" outlineLevel="3" x14ac:dyDescent="0.2">
      <c r="A1264" s="7" t="s">
        <v>92</v>
      </c>
      <c r="C1264" s="7" t="str">
        <f t="shared" si="191"/>
        <v>Robert</v>
      </c>
      <c r="D1264" s="7" t="str">
        <f>+D1263</f>
        <v>Lyon</v>
      </c>
      <c r="E1264" s="8" t="str">
        <f>E1263</f>
        <v>SALES</v>
      </c>
      <c r="G1264" s="8" t="str">
        <f>G1263</f>
        <v>LYON0001</v>
      </c>
      <c r="H1264" s="26"/>
      <c r="I1264" s="26"/>
      <c r="J1264" s="26"/>
      <c r="K1264" s="28">
        <f>+K1263</f>
        <v>42095</v>
      </c>
      <c r="L1264" s="26" t="str">
        <f>L1263</f>
        <v>10443</v>
      </c>
      <c r="M1264" s="26"/>
      <c r="N1264" s="26"/>
      <c r="O1264" s="26" t="str">
        <f>"""GP Direct"",""Fabrikam, Inc."",""UPR30300"",""PAYRATE"",""0.00000"",""PAYROLCD"",""INS"",""STATECD"","""",""CHEKDATE"",""4/1/2015"",""UPRTRXAM"",""49.36000"""</f>
        <v>"GP Direct","Fabrikam, Inc.","UPR30300","PAYRATE","0.00000","PAYROLCD","INS","STATECD","","CHEKDATE","4/1/2015","UPRTRXAM","49.36000"</v>
      </c>
      <c r="P1264" s="29">
        <v>0</v>
      </c>
      <c r="Q1264" s="26" t="str">
        <f>"INS"</f>
        <v>INS</v>
      </c>
      <c r="R1264" s="26"/>
      <c r="S1264" s="28">
        <v>42095</v>
      </c>
      <c r="T1264" s="29">
        <v>49.36</v>
      </c>
    </row>
    <row r="1265" spans="1:20" s="7" customFormat="1" hidden="1" outlineLevel="3" x14ac:dyDescent="0.2">
      <c r="A1265" s="7" t="s">
        <v>92</v>
      </c>
      <c r="C1265" s="7" t="str">
        <f t="shared" si="191"/>
        <v>Robert</v>
      </c>
      <c r="D1265" s="7" t="str">
        <f>+D1264</f>
        <v>Lyon</v>
      </c>
      <c r="E1265" s="8" t="str">
        <f>E1264</f>
        <v>SALES</v>
      </c>
      <c r="G1265" s="8" t="str">
        <f>G1264</f>
        <v>LYON0001</v>
      </c>
      <c r="H1265" s="26"/>
      <c r="I1265" s="26"/>
      <c r="J1265" s="26"/>
      <c r="K1265" s="28">
        <f>+K1264</f>
        <v>42095</v>
      </c>
      <c r="L1265" s="26" t="str">
        <f>L1264</f>
        <v>10443</v>
      </c>
      <c r="M1265" s="26"/>
      <c r="N1265" s="26"/>
      <c r="O1265" s="26" t="str">
        <f>"""GP Direct"",""Fabrikam, Inc."",""UPR30300"",""PAYRATE"",""0.00000"",""PAYROLCD"",""MED"",""STATECD"","""",""CHEKDATE"",""4/1/2015"",""UPRTRXAM"",""5.00000"""</f>
        <v>"GP Direct","Fabrikam, Inc.","UPR30300","PAYRATE","0.00000","PAYROLCD","MED","STATECD","","CHEKDATE","4/1/2015","UPRTRXAM","5.00000"</v>
      </c>
      <c r="P1265" s="29">
        <v>0</v>
      </c>
      <c r="Q1265" s="26" t="str">
        <f>"MED"</f>
        <v>MED</v>
      </c>
      <c r="R1265" s="26"/>
      <c r="S1265" s="28">
        <v>42095</v>
      </c>
      <c r="T1265" s="29">
        <v>5</v>
      </c>
    </row>
    <row r="1266" spans="1:20" s="7" customFormat="1" hidden="1" outlineLevel="3" x14ac:dyDescent="0.2">
      <c r="A1266" s="7" t="s">
        <v>92</v>
      </c>
      <c r="C1266" s="7" t="str">
        <f t="shared" si="191"/>
        <v>Robert</v>
      </c>
      <c r="D1266" s="7" t="str">
        <f>+D1265</f>
        <v>Lyon</v>
      </c>
      <c r="E1266" s="8" t="str">
        <f>E1265</f>
        <v>SALES</v>
      </c>
      <c r="G1266" s="8" t="str">
        <f>G1265</f>
        <v>LYON0001</v>
      </c>
      <c r="H1266" s="26"/>
      <c r="I1266" s="26"/>
      <c r="J1266" s="26"/>
      <c r="K1266" s="28">
        <f>+K1265</f>
        <v>42095</v>
      </c>
      <c r="L1266" s="26" t="str">
        <f>L1265</f>
        <v>10443</v>
      </c>
      <c r="M1266" s="26"/>
      <c r="N1266" s="26"/>
      <c r="O1266" s="26" t="str">
        <f>"""GP Direct"",""Fabrikam, Inc."",""UPR30300"",""PAYRATE"",""17432.00000"",""PAYROLCD"",""SALY"",""STATECD"",""IL"",""CHEKDATE"",""4/1/2015"",""UPRTRXAM"",""726.33000"""</f>
        <v>"GP Direct","Fabrikam, Inc.","UPR30300","PAYRATE","17432.00000","PAYROLCD","SALY","STATECD","IL","CHEKDATE","4/1/2015","UPRTRXAM","726.33000"</v>
      </c>
      <c r="P1266" s="29">
        <v>17432</v>
      </c>
      <c r="Q1266" s="26" t="str">
        <f>"SALY"</f>
        <v>SALY</v>
      </c>
      <c r="R1266" s="26" t="str">
        <f>"IL"</f>
        <v>IL</v>
      </c>
      <c r="S1266" s="28">
        <v>42095</v>
      </c>
      <c r="T1266" s="29">
        <v>726.33</v>
      </c>
    </row>
    <row r="1267" spans="1:20" s="7" customFormat="1" hidden="1" outlineLevel="3" x14ac:dyDescent="0.2">
      <c r="A1267" s="7" t="s">
        <v>92</v>
      </c>
      <c r="C1267" s="7" t="str">
        <f>+C1261</f>
        <v>Robert</v>
      </c>
      <c r="D1267" s="7" t="str">
        <f>+D1261</f>
        <v>Lyon</v>
      </c>
      <c r="E1267" s="8" t="str">
        <f>E1261</f>
        <v>SALES</v>
      </c>
      <c r="G1267" s="8" t="str">
        <f>G1261</f>
        <v>LYON0001</v>
      </c>
      <c r="K1267" s="12">
        <f>+K1261</f>
        <v>42095</v>
      </c>
      <c r="L1267" s="8" t="str">
        <f>L1261</f>
        <v>10443</v>
      </c>
      <c r="O1267" s="8"/>
      <c r="T1267" s="20"/>
    </row>
    <row r="1268" spans="1:20" s="7" customFormat="1" hidden="1" outlineLevel="2" collapsed="1" x14ac:dyDescent="0.2">
      <c r="A1268" s="7" t="s">
        <v>92</v>
      </c>
      <c r="C1268" s="7" t="str">
        <f t="shared" si="188"/>
        <v>Robert</v>
      </c>
      <c r="D1268" s="7" t="str">
        <f>+D1267</f>
        <v>Lyon</v>
      </c>
      <c r="E1268" s="8" t="str">
        <f>E1267</f>
        <v>SALES</v>
      </c>
      <c r="G1268" s="8" t="str">
        <f>G1267</f>
        <v>LYON0001</v>
      </c>
      <c r="K1268" s="12">
        <f>+K1267</f>
        <v>42095</v>
      </c>
      <c r="L1268" s="8" t="str">
        <f>L1267</f>
        <v>10443</v>
      </c>
      <c r="M1268" s="33" t="str">
        <f>"Total for " &amp; $L1268</f>
        <v>Total for 10443</v>
      </c>
      <c r="N1268" s="34">
        <f>+K1268</f>
        <v>42095</v>
      </c>
      <c r="O1268" s="35"/>
      <c r="P1268" s="33"/>
      <c r="Q1268" s="33"/>
      <c r="R1268" s="33"/>
      <c r="S1268" s="33"/>
      <c r="T1268" s="36">
        <f>SUBTOTAL(9,T1261:T1267)</f>
        <v>823.31000000000006</v>
      </c>
    </row>
    <row r="1269" spans="1:20" s="7" customFormat="1" hidden="1" outlineLevel="3" x14ac:dyDescent="0.2">
      <c r="A1269" s="7" t="s">
        <v>92</v>
      </c>
      <c r="C1269" s="7" t="str">
        <f t="shared" si="188"/>
        <v>Robert</v>
      </c>
      <c r="D1269" s="7" t="str">
        <f>+D1268</f>
        <v>Lyon</v>
      </c>
      <c r="E1269" s="8" t="str">
        <f>E1268</f>
        <v>SALES</v>
      </c>
      <c r="G1269" s="8" t="str">
        <f>G1268</f>
        <v>LYON0001</v>
      </c>
      <c r="H1269" s="26"/>
      <c r="I1269" s="26"/>
      <c r="J1269" s="26"/>
      <c r="K1269" s="28">
        <f>+N1269</f>
        <v>42125</v>
      </c>
      <c r="L1269" s="26" t="str">
        <f>M1269</f>
        <v>10468</v>
      </c>
      <c r="M1269" s="26" t="str">
        <f>"10468"</f>
        <v>10468</v>
      </c>
      <c r="N1269" s="28">
        <v>42125</v>
      </c>
      <c r="O1269" s="26"/>
      <c r="P1269" s="26"/>
      <c r="Q1269" s="26"/>
      <c r="R1269" s="26"/>
      <c r="S1269" s="26"/>
      <c r="T1269" s="27"/>
    </row>
    <row r="1270" spans="1:20" s="7" customFormat="1" hidden="1" outlineLevel="3" x14ac:dyDescent="0.2">
      <c r="A1270" s="7" t="s">
        <v>92</v>
      </c>
      <c r="C1270" s="7" t="str">
        <f t="shared" si="188"/>
        <v>Robert</v>
      </c>
      <c r="D1270" s="7" t="str">
        <f>+D1269</f>
        <v>Lyon</v>
      </c>
      <c r="E1270" s="8" t="str">
        <f>E1269</f>
        <v>SALES</v>
      </c>
      <c r="G1270" s="8" t="str">
        <f>G1269</f>
        <v>LYON0001</v>
      </c>
      <c r="H1270" s="26"/>
      <c r="I1270" s="26"/>
      <c r="J1270" s="26"/>
      <c r="K1270" s="28">
        <f>+K1269</f>
        <v>42125</v>
      </c>
      <c r="L1270" s="26" t="str">
        <f>L1269</f>
        <v>10468</v>
      </c>
      <c r="M1270" s="26"/>
      <c r="N1270" s="26"/>
      <c r="O1270" s="26" t="str">
        <f>"""GP Direct"",""Fabrikam, Inc."",""UPR30300"",""PAYRATE"",""0.00000"",""PAYROLCD"",""401K"",""STATECD"","""",""CHEKDATE"",""5/1/2015"",""UPRTRXAM"",""1.09000"""</f>
        <v>"GP Direct","Fabrikam, Inc.","UPR30300","PAYRATE","0.00000","PAYROLCD","401K","STATECD","","CHEKDATE","5/1/2015","UPRTRXAM","1.09000"</v>
      </c>
      <c r="P1270" s="29">
        <v>0</v>
      </c>
      <c r="Q1270" s="26" t="str">
        <f>"401K"</f>
        <v>401K</v>
      </c>
      <c r="R1270" s="26"/>
      <c r="S1270" s="28">
        <v>42125</v>
      </c>
      <c r="T1270" s="29">
        <v>1.0900000000000001</v>
      </c>
    </row>
    <row r="1271" spans="1:20" s="7" customFormat="1" hidden="1" outlineLevel="3" x14ac:dyDescent="0.2">
      <c r="A1271" s="7" t="s">
        <v>92</v>
      </c>
      <c r="C1271" s="7" t="str">
        <f t="shared" ref="C1271:C1275" si="192">+C1270</f>
        <v>Robert</v>
      </c>
      <c r="D1271" s="7" t="str">
        <f>+D1270</f>
        <v>Lyon</v>
      </c>
      <c r="E1271" s="8" t="str">
        <f>E1270</f>
        <v>SALES</v>
      </c>
      <c r="G1271" s="8" t="str">
        <f>G1270</f>
        <v>LYON0001</v>
      </c>
      <c r="H1271" s="26"/>
      <c r="I1271" s="26"/>
      <c r="J1271" s="26"/>
      <c r="K1271" s="28">
        <f>+K1270</f>
        <v>42125</v>
      </c>
      <c r="L1271" s="26" t="str">
        <f>L1270</f>
        <v>10468</v>
      </c>
      <c r="M1271" s="26"/>
      <c r="N1271" s="26"/>
      <c r="O1271" s="26" t="str">
        <f>"""GP Direct"",""Fabrikam, Inc."",""UPR30300"",""PAYRATE"",""0.00000"",""PAYROLCD"",""401K"",""STATECD"","""",""CHEKDATE"",""5/1/2015"",""UPRTRXAM"",""21.79000"""</f>
        <v>"GP Direct","Fabrikam, Inc.","UPR30300","PAYRATE","0.00000","PAYROLCD","401K","STATECD","","CHEKDATE","5/1/2015","UPRTRXAM","21.79000"</v>
      </c>
      <c r="P1271" s="29">
        <v>0</v>
      </c>
      <c r="Q1271" s="26" t="str">
        <f>"401K"</f>
        <v>401K</v>
      </c>
      <c r="R1271" s="26"/>
      <c r="S1271" s="28">
        <v>42125</v>
      </c>
      <c r="T1271" s="29">
        <v>21.79</v>
      </c>
    </row>
    <row r="1272" spans="1:20" s="7" customFormat="1" hidden="1" outlineLevel="3" x14ac:dyDescent="0.2">
      <c r="A1272" s="7" t="s">
        <v>92</v>
      </c>
      <c r="C1272" s="7" t="str">
        <f t="shared" si="192"/>
        <v>Robert</v>
      </c>
      <c r="D1272" s="7" t="str">
        <f>+D1271</f>
        <v>Lyon</v>
      </c>
      <c r="E1272" s="8" t="str">
        <f>E1271</f>
        <v>SALES</v>
      </c>
      <c r="G1272" s="8" t="str">
        <f>G1271</f>
        <v>LYON0001</v>
      </c>
      <c r="H1272" s="26"/>
      <c r="I1272" s="26"/>
      <c r="J1272" s="26"/>
      <c r="K1272" s="28">
        <f>+K1271</f>
        <v>42125</v>
      </c>
      <c r="L1272" s="26" t="str">
        <f>L1271</f>
        <v>10468</v>
      </c>
      <c r="M1272" s="26"/>
      <c r="N1272" s="26"/>
      <c r="O1272" s="26" t="str">
        <f>"""GP Direct"",""Fabrikam, Inc."",""UPR30300"",""PAYRATE"",""0.00000"",""PAYROLCD"",""IL"",""STATECD"","""",""CHEKDATE"",""5/1/2015"",""UPRTRXAM"",""19.74000"""</f>
        <v>"GP Direct","Fabrikam, Inc.","UPR30300","PAYRATE","0.00000","PAYROLCD","IL","STATECD","","CHEKDATE","5/1/2015","UPRTRXAM","19.74000"</v>
      </c>
      <c r="P1272" s="29">
        <v>0</v>
      </c>
      <c r="Q1272" s="26" t="str">
        <f>"IL"</f>
        <v>IL</v>
      </c>
      <c r="R1272" s="26"/>
      <c r="S1272" s="28">
        <v>42125</v>
      </c>
      <c r="T1272" s="29">
        <v>19.739999999999998</v>
      </c>
    </row>
    <row r="1273" spans="1:20" s="7" customFormat="1" hidden="1" outlineLevel="3" x14ac:dyDescent="0.2">
      <c r="A1273" s="7" t="s">
        <v>92</v>
      </c>
      <c r="C1273" s="7" t="str">
        <f t="shared" si="192"/>
        <v>Robert</v>
      </c>
      <c r="D1273" s="7" t="str">
        <f>+D1272</f>
        <v>Lyon</v>
      </c>
      <c r="E1273" s="8" t="str">
        <f>E1272</f>
        <v>SALES</v>
      </c>
      <c r="G1273" s="8" t="str">
        <f>G1272</f>
        <v>LYON0001</v>
      </c>
      <c r="H1273" s="26"/>
      <c r="I1273" s="26"/>
      <c r="J1273" s="26"/>
      <c r="K1273" s="28">
        <f>+K1272</f>
        <v>42125</v>
      </c>
      <c r="L1273" s="26" t="str">
        <f>L1272</f>
        <v>10468</v>
      </c>
      <c r="M1273" s="26"/>
      <c r="N1273" s="26"/>
      <c r="O1273" s="26" t="str">
        <f>"""GP Direct"",""Fabrikam, Inc."",""UPR30300"",""PAYRATE"",""0.00000"",""PAYROLCD"",""INS"",""STATECD"","""",""CHEKDATE"",""5/1/2015"",""UPRTRXAM"",""49.36000"""</f>
        <v>"GP Direct","Fabrikam, Inc.","UPR30300","PAYRATE","0.00000","PAYROLCD","INS","STATECD","","CHEKDATE","5/1/2015","UPRTRXAM","49.36000"</v>
      </c>
      <c r="P1273" s="29">
        <v>0</v>
      </c>
      <c r="Q1273" s="26" t="str">
        <f>"INS"</f>
        <v>INS</v>
      </c>
      <c r="R1273" s="26"/>
      <c r="S1273" s="28">
        <v>42125</v>
      </c>
      <c r="T1273" s="29">
        <v>49.36</v>
      </c>
    </row>
    <row r="1274" spans="1:20" s="7" customFormat="1" hidden="1" outlineLevel="3" x14ac:dyDescent="0.2">
      <c r="A1274" s="7" t="s">
        <v>92</v>
      </c>
      <c r="C1274" s="7" t="str">
        <f t="shared" si="192"/>
        <v>Robert</v>
      </c>
      <c r="D1274" s="7" t="str">
        <f>+D1273</f>
        <v>Lyon</v>
      </c>
      <c r="E1274" s="8" t="str">
        <f>E1273</f>
        <v>SALES</v>
      </c>
      <c r="G1274" s="8" t="str">
        <f>G1273</f>
        <v>LYON0001</v>
      </c>
      <c r="H1274" s="26"/>
      <c r="I1274" s="26"/>
      <c r="J1274" s="26"/>
      <c r="K1274" s="28">
        <f>+K1273</f>
        <v>42125</v>
      </c>
      <c r="L1274" s="26" t="str">
        <f>L1273</f>
        <v>10468</v>
      </c>
      <c r="M1274" s="26"/>
      <c r="N1274" s="26"/>
      <c r="O1274" s="26" t="str">
        <f>"""GP Direct"",""Fabrikam, Inc."",""UPR30300"",""PAYRATE"",""0.00000"",""PAYROLCD"",""MED"",""STATECD"","""",""CHEKDATE"",""5/1/2015"",""UPRTRXAM"",""5.00000"""</f>
        <v>"GP Direct","Fabrikam, Inc.","UPR30300","PAYRATE","0.00000","PAYROLCD","MED","STATECD","","CHEKDATE","5/1/2015","UPRTRXAM","5.00000"</v>
      </c>
      <c r="P1274" s="29">
        <v>0</v>
      </c>
      <c r="Q1274" s="26" t="str">
        <f>"MED"</f>
        <v>MED</v>
      </c>
      <c r="R1274" s="26"/>
      <c r="S1274" s="28">
        <v>42125</v>
      </c>
      <c r="T1274" s="29">
        <v>5</v>
      </c>
    </row>
    <row r="1275" spans="1:20" s="7" customFormat="1" hidden="1" outlineLevel="3" x14ac:dyDescent="0.2">
      <c r="A1275" s="7" t="s">
        <v>92</v>
      </c>
      <c r="C1275" s="7" t="str">
        <f t="shared" si="192"/>
        <v>Robert</v>
      </c>
      <c r="D1275" s="7" t="str">
        <f>+D1274</f>
        <v>Lyon</v>
      </c>
      <c r="E1275" s="8" t="str">
        <f>E1274</f>
        <v>SALES</v>
      </c>
      <c r="G1275" s="8" t="str">
        <f>G1274</f>
        <v>LYON0001</v>
      </c>
      <c r="H1275" s="26"/>
      <c r="I1275" s="26"/>
      <c r="J1275" s="26"/>
      <c r="K1275" s="28">
        <f>+K1274</f>
        <v>42125</v>
      </c>
      <c r="L1275" s="26" t="str">
        <f>L1274</f>
        <v>10468</v>
      </c>
      <c r="M1275" s="26"/>
      <c r="N1275" s="26"/>
      <c r="O1275" s="26" t="str">
        <f>"""GP Direct"",""Fabrikam, Inc."",""UPR30300"",""PAYRATE"",""17432.00000"",""PAYROLCD"",""SALY"",""STATECD"",""IL"",""CHEKDATE"",""5/1/2015"",""UPRTRXAM"",""726.33000"""</f>
        <v>"GP Direct","Fabrikam, Inc.","UPR30300","PAYRATE","17432.00000","PAYROLCD","SALY","STATECD","IL","CHEKDATE","5/1/2015","UPRTRXAM","726.33000"</v>
      </c>
      <c r="P1275" s="29">
        <v>17432</v>
      </c>
      <c r="Q1275" s="26" t="str">
        <f>"SALY"</f>
        <v>SALY</v>
      </c>
      <c r="R1275" s="26" t="str">
        <f>"IL"</f>
        <v>IL</v>
      </c>
      <c r="S1275" s="28">
        <v>42125</v>
      </c>
      <c r="T1275" s="29">
        <v>726.33</v>
      </c>
    </row>
    <row r="1276" spans="1:20" s="7" customFormat="1" hidden="1" outlineLevel="3" x14ac:dyDescent="0.2">
      <c r="A1276" s="7" t="s">
        <v>92</v>
      </c>
      <c r="C1276" s="7" t="str">
        <f>+C1270</f>
        <v>Robert</v>
      </c>
      <c r="D1276" s="7" t="str">
        <f>+D1270</f>
        <v>Lyon</v>
      </c>
      <c r="E1276" s="8" t="str">
        <f>E1270</f>
        <v>SALES</v>
      </c>
      <c r="G1276" s="8" t="str">
        <f>G1270</f>
        <v>LYON0001</v>
      </c>
      <c r="K1276" s="12">
        <f>+K1270</f>
        <v>42125</v>
      </c>
      <c r="L1276" s="8" t="str">
        <f>L1270</f>
        <v>10468</v>
      </c>
      <c r="O1276" s="8"/>
      <c r="T1276" s="20"/>
    </row>
    <row r="1277" spans="1:20" s="7" customFormat="1" hidden="1" outlineLevel="2" collapsed="1" x14ac:dyDescent="0.2">
      <c r="A1277" s="7" t="s">
        <v>92</v>
      </c>
      <c r="C1277" s="7" t="str">
        <f t="shared" si="188"/>
        <v>Robert</v>
      </c>
      <c r="D1277" s="7" t="str">
        <f>+D1276</f>
        <v>Lyon</v>
      </c>
      <c r="E1277" s="8" t="str">
        <f>E1276</f>
        <v>SALES</v>
      </c>
      <c r="G1277" s="8" t="str">
        <f>G1276</f>
        <v>LYON0001</v>
      </c>
      <c r="K1277" s="12">
        <f>+K1276</f>
        <v>42125</v>
      </c>
      <c r="L1277" s="8" t="str">
        <f>L1276</f>
        <v>10468</v>
      </c>
      <c r="M1277" s="33" t="str">
        <f>"Total for " &amp; $L1277</f>
        <v>Total for 10468</v>
      </c>
      <c r="N1277" s="34">
        <f>+K1277</f>
        <v>42125</v>
      </c>
      <c r="O1277" s="35"/>
      <c r="P1277" s="33"/>
      <c r="Q1277" s="33"/>
      <c r="R1277" s="33"/>
      <c r="S1277" s="33"/>
      <c r="T1277" s="36">
        <f>SUBTOTAL(9,T1270:T1276)</f>
        <v>823.31000000000006</v>
      </c>
    </row>
    <row r="1278" spans="1:20" s="7" customFormat="1" hidden="1" outlineLevel="3" x14ac:dyDescent="0.2">
      <c r="A1278" s="7" t="s">
        <v>92</v>
      </c>
      <c r="C1278" s="7" t="str">
        <f t="shared" si="188"/>
        <v>Robert</v>
      </c>
      <c r="D1278" s="7" t="str">
        <f>+D1277</f>
        <v>Lyon</v>
      </c>
      <c r="E1278" s="8" t="str">
        <f>E1277</f>
        <v>SALES</v>
      </c>
      <c r="G1278" s="8" t="str">
        <f>G1277</f>
        <v>LYON0001</v>
      </c>
      <c r="H1278" s="26"/>
      <c r="I1278" s="26"/>
      <c r="J1278" s="26"/>
      <c r="K1278" s="28">
        <f>+N1278</f>
        <v>42156</v>
      </c>
      <c r="L1278" s="26" t="str">
        <f>M1278</f>
        <v>10493</v>
      </c>
      <c r="M1278" s="26" t="str">
        <f>"10493"</f>
        <v>10493</v>
      </c>
      <c r="N1278" s="28">
        <v>42156</v>
      </c>
      <c r="O1278" s="26"/>
      <c r="P1278" s="26"/>
      <c r="Q1278" s="26"/>
      <c r="R1278" s="26"/>
      <c r="S1278" s="26"/>
      <c r="T1278" s="27"/>
    </row>
    <row r="1279" spans="1:20" s="7" customFormat="1" hidden="1" outlineLevel="3" x14ac:dyDescent="0.2">
      <c r="A1279" s="7" t="s">
        <v>92</v>
      </c>
      <c r="C1279" s="7" t="str">
        <f t="shared" si="188"/>
        <v>Robert</v>
      </c>
      <c r="D1279" s="7" t="str">
        <f>+D1278</f>
        <v>Lyon</v>
      </c>
      <c r="E1279" s="8" t="str">
        <f>E1278</f>
        <v>SALES</v>
      </c>
      <c r="G1279" s="8" t="str">
        <f>G1278</f>
        <v>LYON0001</v>
      </c>
      <c r="H1279" s="26"/>
      <c r="I1279" s="26"/>
      <c r="J1279" s="26"/>
      <c r="K1279" s="28">
        <f>+K1278</f>
        <v>42156</v>
      </c>
      <c r="L1279" s="26" t="str">
        <f>L1278</f>
        <v>10493</v>
      </c>
      <c r="M1279" s="26"/>
      <c r="N1279" s="26"/>
      <c r="O1279" s="26" t="str">
        <f>"""GP Direct"",""Fabrikam, Inc."",""UPR30300"",""PAYRATE"",""0.00000"",""PAYROLCD"",""401K"",""STATECD"","""",""CHEKDATE"",""6/1/2015"",""UPRTRXAM"",""1.09000"""</f>
        <v>"GP Direct","Fabrikam, Inc.","UPR30300","PAYRATE","0.00000","PAYROLCD","401K","STATECD","","CHEKDATE","6/1/2015","UPRTRXAM","1.09000"</v>
      </c>
      <c r="P1279" s="29">
        <v>0</v>
      </c>
      <c r="Q1279" s="26" t="str">
        <f>"401K"</f>
        <v>401K</v>
      </c>
      <c r="R1279" s="26"/>
      <c r="S1279" s="28">
        <v>42156</v>
      </c>
      <c r="T1279" s="29">
        <v>1.0900000000000001</v>
      </c>
    </row>
    <row r="1280" spans="1:20" s="7" customFormat="1" hidden="1" outlineLevel="3" x14ac:dyDescent="0.2">
      <c r="A1280" s="7" t="s">
        <v>92</v>
      </c>
      <c r="C1280" s="7" t="str">
        <f t="shared" ref="C1280:C1284" si="193">+C1279</f>
        <v>Robert</v>
      </c>
      <c r="D1280" s="7" t="str">
        <f>+D1279</f>
        <v>Lyon</v>
      </c>
      <c r="E1280" s="8" t="str">
        <f>E1279</f>
        <v>SALES</v>
      </c>
      <c r="G1280" s="8" t="str">
        <f>G1279</f>
        <v>LYON0001</v>
      </c>
      <c r="H1280" s="26"/>
      <c r="I1280" s="26"/>
      <c r="J1280" s="26"/>
      <c r="K1280" s="28">
        <f>+K1279</f>
        <v>42156</v>
      </c>
      <c r="L1280" s="26" t="str">
        <f>L1279</f>
        <v>10493</v>
      </c>
      <c r="M1280" s="26"/>
      <c r="N1280" s="26"/>
      <c r="O1280" s="26" t="str">
        <f>"""GP Direct"",""Fabrikam, Inc."",""UPR30300"",""PAYRATE"",""0.00000"",""PAYROLCD"",""401K"",""STATECD"","""",""CHEKDATE"",""6/1/2015"",""UPRTRXAM"",""21.79000"""</f>
        <v>"GP Direct","Fabrikam, Inc.","UPR30300","PAYRATE","0.00000","PAYROLCD","401K","STATECD","","CHEKDATE","6/1/2015","UPRTRXAM","21.79000"</v>
      </c>
      <c r="P1280" s="29">
        <v>0</v>
      </c>
      <c r="Q1280" s="26" t="str">
        <f>"401K"</f>
        <v>401K</v>
      </c>
      <c r="R1280" s="26"/>
      <c r="S1280" s="28">
        <v>42156</v>
      </c>
      <c r="T1280" s="29">
        <v>21.79</v>
      </c>
    </row>
    <row r="1281" spans="1:20" s="7" customFormat="1" hidden="1" outlineLevel="3" x14ac:dyDescent="0.2">
      <c r="A1281" s="7" t="s">
        <v>92</v>
      </c>
      <c r="C1281" s="7" t="str">
        <f t="shared" si="193"/>
        <v>Robert</v>
      </c>
      <c r="D1281" s="7" t="str">
        <f>+D1280</f>
        <v>Lyon</v>
      </c>
      <c r="E1281" s="8" t="str">
        <f>E1280</f>
        <v>SALES</v>
      </c>
      <c r="G1281" s="8" t="str">
        <f>G1280</f>
        <v>LYON0001</v>
      </c>
      <c r="H1281" s="26"/>
      <c r="I1281" s="26"/>
      <c r="J1281" s="26"/>
      <c r="K1281" s="28">
        <f>+K1280</f>
        <v>42156</v>
      </c>
      <c r="L1281" s="26" t="str">
        <f>L1280</f>
        <v>10493</v>
      </c>
      <c r="M1281" s="26"/>
      <c r="N1281" s="26"/>
      <c r="O1281" s="26" t="str">
        <f>"""GP Direct"",""Fabrikam, Inc."",""UPR30300"",""PAYRATE"",""0.00000"",""PAYROLCD"",""IL"",""STATECD"","""",""CHEKDATE"",""6/1/2015"",""UPRTRXAM"",""19.74000"""</f>
        <v>"GP Direct","Fabrikam, Inc.","UPR30300","PAYRATE","0.00000","PAYROLCD","IL","STATECD","","CHEKDATE","6/1/2015","UPRTRXAM","19.74000"</v>
      </c>
      <c r="P1281" s="29">
        <v>0</v>
      </c>
      <c r="Q1281" s="26" t="str">
        <f>"IL"</f>
        <v>IL</v>
      </c>
      <c r="R1281" s="26"/>
      <c r="S1281" s="28">
        <v>42156</v>
      </c>
      <c r="T1281" s="29">
        <v>19.739999999999998</v>
      </c>
    </row>
    <row r="1282" spans="1:20" s="7" customFormat="1" hidden="1" outlineLevel="3" x14ac:dyDescent="0.2">
      <c r="A1282" s="7" t="s">
        <v>92</v>
      </c>
      <c r="C1282" s="7" t="str">
        <f t="shared" si="193"/>
        <v>Robert</v>
      </c>
      <c r="D1282" s="7" t="str">
        <f>+D1281</f>
        <v>Lyon</v>
      </c>
      <c r="E1282" s="8" t="str">
        <f>E1281</f>
        <v>SALES</v>
      </c>
      <c r="G1282" s="8" t="str">
        <f>G1281</f>
        <v>LYON0001</v>
      </c>
      <c r="H1282" s="26"/>
      <c r="I1282" s="26"/>
      <c r="J1282" s="26"/>
      <c r="K1282" s="28">
        <f>+K1281</f>
        <v>42156</v>
      </c>
      <c r="L1282" s="26" t="str">
        <f>L1281</f>
        <v>10493</v>
      </c>
      <c r="M1282" s="26"/>
      <c r="N1282" s="26"/>
      <c r="O1282" s="26" t="str">
        <f>"""GP Direct"",""Fabrikam, Inc."",""UPR30300"",""PAYRATE"",""0.00000"",""PAYROLCD"",""INS"",""STATECD"","""",""CHEKDATE"",""6/1/2015"",""UPRTRXAM"",""49.36000"""</f>
        <v>"GP Direct","Fabrikam, Inc.","UPR30300","PAYRATE","0.00000","PAYROLCD","INS","STATECD","","CHEKDATE","6/1/2015","UPRTRXAM","49.36000"</v>
      </c>
      <c r="P1282" s="29">
        <v>0</v>
      </c>
      <c r="Q1282" s="26" t="str">
        <f>"INS"</f>
        <v>INS</v>
      </c>
      <c r="R1282" s="26"/>
      <c r="S1282" s="28">
        <v>42156</v>
      </c>
      <c r="T1282" s="29">
        <v>49.36</v>
      </c>
    </row>
    <row r="1283" spans="1:20" s="7" customFormat="1" hidden="1" outlineLevel="3" x14ac:dyDescent="0.2">
      <c r="A1283" s="7" t="s">
        <v>92</v>
      </c>
      <c r="C1283" s="7" t="str">
        <f t="shared" si="193"/>
        <v>Robert</v>
      </c>
      <c r="D1283" s="7" t="str">
        <f>+D1282</f>
        <v>Lyon</v>
      </c>
      <c r="E1283" s="8" t="str">
        <f>E1282</f>
        <v>SALES</v>
      </c>
      <c r="G1283" s="8" t="str">
        <f>G1282</f>
        <v>LYON0001</v>
      </c>
      <c r="H1283" s="26"/>
      <c r="I1283" s="26"/>
      <c r="J1283" s="26"/>
      <c r="K1283" s="28">
        <f>+K1282</f>
        <v>42156</v>
      </c>
      <c r="L1283" s="26" t="str">
        <f>L1282</f>
        <v>10493</v>
      </c>
      <c r="M1283" s="26"/>
      <c r="N1283" s="26"/>
      <c r="O1283" s="26" t="str">
        <f>"""GP Direct"",""Fabrikam, Inc."",""UPR30300"",""PAYRATE"",""0.00000"",""PAYROLCD"",""MED"",""STATECD"","""",""CHEKDATE"",""6/1/2015"",""UPRTRXAM"",""5.00000"""</f>
        <v>"GP Direct","Fabrikam, Inc.","UPR30300","PAYRATE","0.00000","PAYROLCD","MED","STATECD","","CHEKDATE","6/1/2015","UPRTRXAM","5.00000"</v>
      </c>
      <c r="P1283" s="29">
        <v>0</v>
      </c>
      <c r="Q1283" s="26" t="str">
        <f>"MED"</f>
        <v>MED</v>
      </c>
      <c r="R1283" s="26"/>
      <c r="S1283" s="28">
        <v>42156</v>
      </c>
      <c r="T1283" s="29">
        <v>5</v>
      </c>
    </row>
    <row r="1284" spans="1:20" s="7" customFormat="1" hidden="1" outlineLevel="3" x14ac:dyDescent="0.2">
      <c r="A1284" s="7" t="s">
        <v>92</v>
      </c>
      <c r="C1284" s="7" t="str">
        <f t="shared" si="193"/>
        <v>Robert</v>
      </c>
      <c r="D1284" s="7" t="str">
        <f>+D1283</f>
        <v>Lyon</v>
      </c>
      <c r="E1284" s="8" t="str">
        <f>E1283</f>
        <v>SALES</v>
      </c>
      <c r="G1284" s="8" t="str">
        <f>G1283</f>
        <v>LYON0001</v>
      </c>
      <c r="H1284" s="26"/>
      <c r="I1284" s="26"/>
      <c r="J1284" s="26"/>
      <c r="K1284" s="28">
        <f>+K1283</f>
        <v>42156</v>
      </c>
      <c r="L1284" s="26" t="str">
        <f>L1283</f>
        <v>10493</v>
      </c>
      <c r="M1284" s="26"/>
      <c r="N1284" s="26"/>
      <c r="O1284" s="26" t="str">
        <f>"""GP Direct"",""Fabrikam, Inc."",""UPR30300"",""PAYRATE"",""17432.00000"",""PAYROLCD"",""SALY"",""STATECD"",""IL"",""CHEKDATE"",""6/1/2015"",""UPRTRXAM"",""726.33000"""</f>
        <v>"GP Direct","Fabrikam, Inc.","UPR30300","PAYRATE","17432.00000","PAYROLCD","SALY","STATECD","IL","CHEKDATE","6/1/2015","UPRTRXAM","726.33000"</v>
      </c>
      <c r="P1284" s="29">
        <v>17432</v>
      </c>
      <c r="Q1284" s="26" t="str">
        <f>"SALY"</f>
        <v>SALY</v>
      </c>
      <c r="R1284" s="26" t="str">
        <f>"IL"</f>
        <v>IL</v>
      </c>
      <c r="S1284" s="28">
        <v>42156</v>
      </c>
      <c r="T1284" s="29">
        <v>726.33</v>
      </c>
    </row>
    <row r="1285" spans="1:20" s="7" customFormat="1" hidden="1" outlineLevel="3" x14ac:dyDescent="0.2">
      <c r="A1285" s="7" t="s">
        <v>92</v>
      </c>
      <c r="C1285" s="7" t="str">
        <f>+C1279</f>
        <v>Robert</v>
      </c>
      <c r="D1285" s="7" t="str">
        <f>+D1279</f>
        <v>Lyon</v>
      </c>
      <c r="E1285" s="8" t="str">
        <f>E1279</f>
        <v>SALES</v>
      </c>
      <c r="G1285" s="8" t="str">
        <f>G1279</f>
        <v>LYON0001</v>
      </c>
      <c r="K1285" s="12">
        <f>+K1279</f>
        <v>42156</v>
      </c>
      <c r="L1285" s="8" t="str">
        <f>L1279</f>
        <v>10493</v>
      </c>
      <c r="O1285" s="8"/>
      <c r="T1285" s="20"/>
    </row>
    <row r="1286" spans="1:20" s="7" customFormat="1" hidden="1" outlineLevel="2" collapsed="1" x14ac:dyDescent="0.2">
      <c r="A1286" s="7" t="s">
        <v>92</v>
      </c>
      <c r="C1286" s="7" t="str">
        <f t="shared" si="188"/>
        <v>Robert</v>
      </c>
      <c r="D1286" s="7" t="str">
        <f>+D1285</f>
        <v>Lyon</v>
      </c>
      <c r="E1286" s="8" t="str">
        <f>E1285</f>
        <v>SALES</v>
      </c>
      <c r="G1286" s="8" t="str">
        <f>G1285</f>
        <v>LYON0001</v>
      </c>
      <c r="K1286" s="12">
        <f>+K1285</f>
        <v>42156</v>
      </c>
      <c r="L1286" s="8" t="str">
        <f>L1285</f>
        <v>10493</v>
      </c>
      <c r="M1286" s="33" t="str">
        <f>"Total for " &amp; $L1286</f>
        <v>Total for 10493</v>
      </c>
      <c r="N1286" s="34">
        <f>+K1286</f>
        <v>42156</v>
      </c>
      <c r="O1286" s="35"/>
      <c r="P1286" s="33"/>
      <c r="Q1286" s="33"/>
      <c r="R1286" s="33"/>
      <c r="S1286" s="33"/>
      <c r="T1286" s="36">
        <f>SUBTOTAL(9,T1279:T1285)</f>
        <v>823.31000000000006</v>
      </c>
    </row>
    <row r="1287" spans="1:20" s="7" customFormat="1" hidden="1" outlineLevel="2" x14ac:dyDescent="0.2">
      <c r="A1287" s="7" t="s">
        <v>92</v>
      </c>
      <c r="C1287" s="7" t="str">
        <f>+C1240</f>
        <v>Robert</v>
      </c>
      <c r="D1287" s="7" t="str">
        <f>+D1240</f>
        <v>Lyon</v>
      </c>
      <c r="E1287" s="8" t="str">
        <f>E1240</f>
        <v>SALES</v>
      </c>
      <c r="G1287" s="8" t="str">
        <f>G1240</f>
        <v>LYON0001</v>
      </c>
      <c r="L1287" s="8"/>
      <c r="O1287" s="8"/>
      <c r="T1287" s="20"/>
    </row>
    <row r="1288" spans="1:20" s="7" customFormat="1" hidden="1" outlineLevel="1" collapsed="1" x14ac:dyDescent="0.2">
      <c r="A1288" s="7" t="s">
        <v>92</v>
      </c>
      <c r="C1288" s="7" t="str">
        <f t="shared" si="186"/>
        <v>Robert</v>
      </c>
      <c r="D1288" s="7" t="str">
        <f>+D1287</f>
        <v>Lyon</v>
      </c>
      <c r="E1288" s="8" t="str">
        <f>E1287</f>
        <v>SALES</v>
      </c>
      <c r="G1288" s="8" t="str">
        <f>G1287</f>
        <v>LYON0001</v>
      </c>
      <c r="H1288" s="30" t="str">
        <f>"Total for " &amp; $G1288</f>
        <v>Total for LYON0001</v>
      </c>
      <c r="I1288" s="30" t="str">
        <f>+C1288</f>
        <v>Robert</v>
      </c>
      <c r="J1288" s="30" t="str">
        <f>+D1288</f>
        <v>Lyon</v>
      </c>
      <c r="K1288" s="30"/>
      <c r="L1288" s="31"/>
      <c r="M1288" s="30"/>
      <c r="N1288" s="30"/>
      <c r="O1288" s="31"/>
      <c r="P1288" s="30"/>
      <c r="Q1288" s="30"/>
      <c r="R1288" s="30"/>
      <c r="S1288" s="30"/>
      <c r="T1288" s="32">
        <f>SUBTOTAL(9,T1233:T1287)</f>
        <v>4868.7499999999991</v>
      </c>
    </row>
    <row r="1289" spans="1:20" s="7" customFormat="1" hidden="1" outlineLevel="2" x14ac:dyDescent="0.2">
      <c r="A1289" s="7" t="s">
        <v>92</v>
      </c>
      <c r="C1289" s="7" t="str">
        <f t="shared" ref="C1289" si="194">+I1289</f>
        <v>Jenny</v>
      </c>
      <c r="D1289" s="7" t="str">
        <f>+J1289</f>
        <v>Lysaker</v>
      </c>
      <c r="E1289" s="8" t="str">
        <f>E1288</f>
        <v>SALES</v>
      </c>
      <c r="G1289" s="8" t="str">
        <f>H1289</f>
        <v>LYSA0001</v>
      </c>
      <c r="H1289" s="24" t="str">
        <f>"LYSA0001"</f>
        <v>LYSA0001</v>
      </c>
      <c r="I1289" s="25" t="str">
        <f>"Jenny"</f>
        <v>Jenny</v>
      </c>
      <c r="J1289" s="25" t="str">
        <f>"Lysaker"</f>
        <v>Lysaker</v>
      </c>
      <c r="K1289" s="26"/>
      <c r="L1289" s="26"/>
      <c r="M1289" s="26"/>
      <c r="N1289" s="26"/>
      <c r="O1289" s="26"/>
      <c r="P1289" s="26"/>
      <c r="Q1289" s="26"/>
      <c r="R1289" s="26"/>
      <c r="S1289" s="26"/>
      <c r="T1289" s="27"/>
    </row>
    <row r="1290" spans="1:20" s="7" customFormat="1" hidden="1" outlineLevel="3" x14ac:dyDescent="0.2">
      <c r="A1290" s="7" t="s">
        <v>92</v>
      </c>
      <c r="C1290" s="7" t="str">
        <f t="shared" ref="C1290:C1351" si="195">+C1289</f>
        <v>Jenny</v>
      </c>
      <c r="D1290" s="7" t="str">
        <f>+D1289</f>
        <v>Lysaker</v>
      </c>
      <c r="E1290" s="8" t="str">
        <f>E1289</f>
        <v>SALES</v>
      </c>
      <c r="G1290" s="8" t="str">
        <f>G1289</f>
        <v>LYSA0001</v>
      </c>
      <c r="H1290" s="26"/>
      <c r="I1290" s="26"/>
      <c r="J1290" s="26"/>
      <c r="K1290" s="28">
        <f>+N1290</f>
        <v>42005</v>
      </c>
      <c r="L1290" s="26" t="str">
        <f>M1290</f>
        <v>10369</v>
      </c>
      <c r="M1290" s="26" t="str">
        <f>"10369"</f>
        <v>10369</v>
      </c>
      <c r="N1290" s="28">
        <v>42005</v>
      </c>
      <c r="O1290" s="26"/>
      <c r="P1290" s="26"/>
      <c r="Q1290" s="26"/>
      <c r="R1290" s="26"/>
      <c r="S1290" s="26"/>
      <c r="T1290" s="27"/>
    </row>
    <row r="1291" spans="1:20" s="7" customFormat="1" hidden="1" outlineLevel="3" x14ac:dyDescent="0.2">
      <c r="A1291" s="7" t="s">
        <v>92</v>
      </c>
      <c r="C1291" s="7" t="str">
        <f t="shared" si="195"/>
        <v>Jenny</v>
      </c>
      <c r="D1291" s="7" t="str">
        <f>+D1290</f>
        <v>Lysaker</v>
      </c>
      <c r="E1291" s="8" t="str">
        <f>E1290</f>
        <v>SALES</v>
      </c>
      <c r="G1291" s="8" t="str">
        <f>G1290</f>
        <v>LYSA0001</v>
      </c>
      <c r="H1291" s="26"/>
      <c r="I1291" s="26"/>
      <c r="J1291" s="26"/>
      <c r="K1291" s="28">
        <f>+K1290</f>
        <v>42005</v>
      </c>
      <c r="L1291" s="26" t="str">
        <f>L1290</f>
        <v>10369</v>
      </c>
      <c r="M1291" s="26"/>
      <c r="N1291" s="26"/>
      <c r="O1291" s="26" t="str">
        <f>"""GP Direct"",""Fabrikam, Inc."",""UPR30300"",""PAYRATE"",""0.00000"",""PAYROLCD"",""401K"",""STATECD"","""",""CHEKDATE"",""1/1/2015"",""UPRTRXAM"",""1.12000"""</f>
        <v>"GP Direct","Fabrikam, Inc.","UPR30300","PAYRATE","0.00000","PAYROLCD","401K","STATECD","","CHEKDATE","1/1/2015","UPRTRXAM","1.12000"</v>
      </c>
      <c r="P1291" s="29">
        <v>0</v>
      </c>
      <c r="Q1291" s="26" t="str">
        <f>"401K"</f>
        <v>401K</v>
      </c>
      <c r="R1291" s="26"/>
      <c r="S1291" s="28">
        <v>42005</v>
      </c>
      <c r="T1291" s="29">
        <v>1.1200000000000001</v>
      </c>
    </row>
    <row r="1292" spans="1:20" s="7" customFormat="1" hidden="1" outlineLevel="3" x14ac:dyDescent="0.2">
      <c r="A1292" s="7" t="s">
        <v>92</v>
      </c>
      <c r="C1292" s="7" t="str">
        <f t="shared" ref="C1292:C1297" si="196">+C1291</f>
        <v>Jenny</v>
      </c>
      <c r="D1292" s="7" t="str">
        <f>+D1291</f>
        <v>Lysaker</v>
      </c>
      <c r="E1292" s="8" t="str">
        <f>E1291</f>
        <v>SALES</v>
      </c>
      <c r="G1292" s="8" t="str">
        <f>G1291</f>
        <v>LYSA0001</v>
      </c>
      <c r="H1292" s="26"/>
      <c r="I1292" s="26"/>
      <c r="J1292" s="26"/>
      <c r="K1292" s="28">
        <f>+K1291</f>
        <v>42005</v>
      </c>
      <c r="L1292" s="26" t="str">
        <f>L1291</f>
        <v>10369</v>
      </c>
      <c r="M1292" s="26"/>
      <c r="N1292" s="26"/>
      <c r="O1292" s="26" t="str">
        <f>"""GP Direct"",""Fabrikam, Inc."",""UPR30300"",""PAYRATE"",""0.00000"",""PAYROLCD"",""401K"",""STATECD"","""",""CHEKDATE"",""1/1/2015"",""UPRTRXAM"",""22.44000"""</f>
        <v>"GP Direct","Fabrikam, Inc.","UPR30300","PAYRATE","0.00000","PAYROLCD","401K","STATECD","","CHEKDATE","1/1/2015","UPRTRXAM","22.44000"</v>
      </c>
      <c r="P1292" s="29">
        <v>0</v>
      </c>
      <c r="Q1292" s="26" t="str">
        <f>"401K"</f>
        <v>401K</v>
      </c>
      <c r="R1292" s="26"/>
      <c r="S1292" s="28">
        <v>42005</v>
      </c>
      <c r="T1292" s="29">
        <v>22.44</v>
      </c>
    </row>
    <row r="1293" spans="1:20" s="7" customFormat="1" hidden="1" outlineLevel="3" x14ac:dyDescent="0.2">
      <c r="A1293" s="7" t="s">
        <v>92</v>
      </c>
      <c r="C1293" s="7" t="str">
        <f t="shared" si="196"/>
        <v>Jenny</v>
      </c>
      <c r="D1293" s="7" t="str">
        <f>+D1292</f>
        <v>Lysaker</v>
      </c>
      <c r="E1293" s="8" t="str">
        <f>E1292</f>
        <v>SALES</v>
      </c>
      <c r="G1293" s="8" t="str">
        <f>G1292</f>
        <v>LYSA0001</v>
      </c>
      <c r="H1293" s="26"/>
      <c r="I1293" s="26"/>
      <c r="J1293" s="26"/>
      <c r="K1293" s="28">
        <f>+K1292</f>
        <v>42005</v>
      </c>
      <c r="L1293" s="26" t="str">
        <f>L1292</f>
        <v>10369</v>
      </c>
      <c r="M1293" s="26"/>
      <c r="N1293" s="26"/>
      <c r="O1293" s="26" t="str">
        <f>"""GP Direct"",""Fabrikam, Inc."",""UPR30300"",""PAYRATE"",""0.00000"",""PAYROLCD"",""IL"",""STATECD"","""",""CHEKDATE"",""1/1/2015"",""UPRTRXAM"",""8.98000"""</f>
        <v>"GP Direct","Fabrikam, Inc.","UPR30300","PAYRATE","0.00000","PAYROLCD","IL","STATECD","","CHEKDATE","1/1/2015","UPRTRXAM","8.98000"</v>
      </c>
      <c r="P1293" s="29">
        <v>0</v>
      </c>
      <c r="Q1293" s="26" t="str">
        <f>"IL"</f>
        <v>IL</v>
      </c>
      <c r="R1293" s="26"/>
      <c r="S1293" s="28">
        <v>42005</v>
      </c>
      <c r="T1293" s="29">
        <v>8.98</v>
      </c>
    </row>
    <row r="1294" spans="1:20" s="7" customFormat="1" hidden="1" outlineLevel="3" x14ac:dyDescent="0.2">
      <c r="A1294" s="7" t="s">
        <v>92</v>
      </c>
      <c r="C1294" s="7" t="str">
        <f t="shared" si="196"/>
        <v>Jenny</v>
      </c>
      <c r="D1294" s="7" t="str">
        <f>+D1293</f>
        <v>Lysaker</v>
      </c>
      <c r="E1294" s="8" t="str">
        <f>E1293</f>
        <v>SALES</v>
      </c>
      <c r="G1294" s="8" t="str">
        <f>G1293</f>
        <v>LYSA0001</v>
      </c>
      <c r="H1294" s="26"/>
      <c r="I1294" s="26"/>
      <c r="J1294" s="26"/>
      <c r="K1294" s="28">
        <f>+K1293</f>
        <v>42005</v>
      </c>
      <c r="L1294" s="26" t="str">
        <f>L1293</f>
        <v>10369</v>
      </c>
      <c r="M1294" s="26"/>
      <c r="N1294" s="26"/>
      <c r="O1294" s="26" t="str">
        <f>"""GP Direct"",""Fabrikam, Inc."",""UPR30300"",""PAYRATE"",""0.00000"",""PAYROLCD"",""INS"",""STATECD"","""",""CHEKDATE"",""1/1/2015"",""UPRTRXAM"",""49.36000"""</f>
        <v>"GP Direct","Fabrikam, Inc.","UPR30300","PAYRATE","0.00000","PAYROLCD","INS","STATECD","","CHEKDATE","1/1/2015","UPRTRXAM","49.36000"</v>
      </c>
      <c r="P1294" s="29">
        <v>0</v>
      </c>
      <c r="Q1294" s="26" t="str">
        <f>"INS"</f>
        <v>INS</v>
      </c>
      <c r="R1294" s="26"/>
      <c r="S1294" s="28">
        <v>42005</v>
      </c>
      <c r="T1294" s="29">
        <v>49.36</v>
      </c>
    </row>
    <row r="1295" spans="1:20" s="7" customFormat="1" hidden="1" outlineLevel="3" x14ac:dyDescent="0.2">
      <c r="A1295" s="7" t="s">
        <v>92</v>
      </c>
      <c r="C1295" s="7" t="str">
        <f t="shared" si="196"/>
        <v>Jenny</v>
      </c>
      <c r="D1295" s="7" t="str">
        <f>+D1294</f>
        <v>Lysaker</v>
      </c>
      <c r="E1295" s="8" t="str">
        <f>E1294</f>
        <v>SALES</v>
      </c>
      <c r="G1295" s="8" t="str">
        <f>G1294</f>
        <v>LYSA0001</v>
      </c>
      <c r="H1295" s="26"/>
      <c r="I1295" s="26"/>
      <c r="J1295" s="26"/>
      <c r="K1295" s="28">
        <f>+K1294</f>
        <v>42005</v>
      </c>
      <c r="L1295" s="26" t="str">
        <f>L1294</f>
        <v>10369</v>
      </c>
      <c r="M1295" s="26"/>
      <c r="N1295" s="26"/>
      <c r="O1295" s="26" t="str">
        <f>"""GP Direct"",""Fabrikam, Inc."",""UPR30300"",""PAYRATE"",""0.00000"",""PAYROLCD"",""INS2"",""STATECD"","""",""CHEKDATE"",""1/1/2015"",""UPRTRXAM"",""72.95000"""</f>
        <v>"GP Direct","Fabrikam, Inc.","UPR30300","PAYRATE","0.00000","PAYROLCD","INS2","STATECD","","CHEKDATE","1/1/2015","UPRTRXAM","72.95000"</v>
      </c>
      <c r="P1295" s="29">
        <v>0</v>
      </c>
      <c r="Q1295" s="26" t="str">
        <f>"INS2"</f>
        <v>INS2</v>
      </c>
      <c r="R1295" s="26"/>
      <c r="S1295" s="28">
        <v>42005</v>
      </c>
      <c r="T1295" s="29">
        <v>72.95</v>
      </c>
    </row>
    <row r="1296" spans="1:20" s="7" customFormat="1" hidden="1" outlineLevel="3" x14ac:dyDescent="0.2">
      <c r="A1296" s="7" t="s">
        <v>92</v>
      </c>
      <c r="C1296" s="7" t="str">
        <f t="shared" si="196"/>
        <v>Jenny</v>
      </c>
      <c r="D1296" s="7" t="str">
        <f>+D1295</f>
        <v>Lysaker</v>
      </c>
      <c r="E1296" s="8" t="str">
        <f>E1295</f>
        <v>SALES</v>
      </c>
      <c r="G1296" s="8" t="str">
        <f>G1295</f>
        <v>LYSA0001</v>
      </c>
      <c r="H1296" s="26"/>
      <c r="I1296" s="26"/>
      <c r="J1296" s="26"/>
      <c r="K1296" s="28">
        <f>+K1295</f>
        <v>42005</v>
      </c>
      <c r="L1296" s="26" t="str">
        <f>L1295</f>
        <v>10369</v>
      </c>
      <c r="M1296" s="26"/>
      <c r="N1296" s="26"/>
      <c r="O1296" s="26" t="str">
        <f>"""GP Direct"",""Fabrikam, Inc."",""UPR30300"",""PAYRATE"",""0.00000"",""PAYROLCD"",""MED"",""STATECD"","""",""CHEKDATE"",""1/1/2015"",""UPRTRXAM"",""20.00000"""</f>
        <v>"GP Direct","Fabrikam, Inc.","UPR30300","PAYRATE","0.00000","PAYROLCD","MED","STATECD","","CHEKDATE","1/1/2015","UPRTRXAM","20.00000"</v>
      </c>
      <c r="P1296" s="29">
        <v>0</v>
      </c>
      <c r="Q1296" s="26" t="str">
        <f>"MED"</f>
        <v>MED</v>
      </c>
      <c r="R1296" s="26"/>
      <c r="S1296" s="28">
        <v>42005</v>
      </c>
      <c r="T1296" s="29">
        <v>20</v>
      </c>
    </row>
    <row r="1297" spans="1:20" s="7" customFormat="1" hidden="1" outlineLevel="3" x14ac:dyDescent="0.2">
      <c r="A1297" s="7" t="s">
        <v>92</v>
      </c>
      <c r="C1297" s="7" t="str">
        <f t="shared" si="196"/>
        <v>Jenny</v>
      </c>
      <c r="D1297" s="7" t="str">
        <f>+D1296</f>
        <v>Lysaker</v>
      </c>
      <c r="E1297" s="8" t="str">
        <f>E1296</f>
        <v>SALES</v>
      </c>
      <c r="G1297" s="8" t="str">
        <f>G1296</f>
        <v>LYSA0001</v>
      </c>
      <c r="H1297" s="26"/>
      <c r="I1297" s="26"/>
      <c r="J1297" s="26"/>
      <c r="K1297" s="28">
        <f>+K1296</f>
        <v>42005</v>
      </c>
      <c r="L1297" s="26" t="str">
        <f>L1296</f>
        <v>10369</v>
      </c>
      <c r="M1297" s="26"/>
      <c r="N1297" s="26"/>
      <c r="O1297" s="26" t="str">
        <f>"""GP Direct"",""Fabrikam, Inc."",""UPR30300"",""PAYRATE"",""17955.00000"",""PAYROLCD"",""SALY"",""STATECD"",""IL"",""CHEKDATE"",""1/1/2015"",""UPRTRXAM"",""748.13000"""</f>
        <v>"GP Direct","Fabrikam, Inc.","UPR30300","PAYRATE","17955.00000","PAYROLCD","SALY","STATECD","IL","CHEKDATE","1/1/2015","UPRTRXAM","748.13000"</v>
      </c>
      <c r="P1297" s="29">
        <v>17955</v>
      </c>
      <c r="Q1297" s="26" t="str">
        <f>"SALY"</f>
        <v>SALY</v>
      </c>
      <c r="R1297" s="26" t="str">
        <f>"IL"</f>
        <v>IL</v>
      </c>
      <c r="S1297" s="28">
        <v>42005</v>
      </c>
      <c r="T1297" s="29">
        <v>748.13</v>
      </c>
    </row>
    <row r="1298" spans="1:20" s="7" customFormat="1" hidden="1" outlineLevel="3" x14ac:dyDescent="0.2">
      <c r="A1298" s="7" t="s">
        <v>92</v>
      </c>
      <c r="C1298" s="7" t="str">
        <f>+C1291</f>
        <v>Jenny</v>
      </c>
      <c r="D1298" s="7" t="str">
        <f>+D1291</f>
        <v>Lysaker</v>
      </c>
      <c r="E1298" s="8" t="str">
        <f>E1291</f>
        <v>SALES</v>
      </c>
      <c r="G1298" s="8" t="str">
        <f>G1291</f>
        <v>LYSA0001</v>
      </c>
      <c r="K1298" s="12">
        <f>+K1291</f>
        <v>42005</v>
      </c>
      <c r="L1298" s="8" t="str">
        <f>L1291</f>
        <v>10369</v>
      </c>
      <c r="O1298" s="8"/>
      <c r="T1298" s="20"/>
    </row>
    <row r="1299" spans="1:20" s="7" customFormat="1" hidden="1" outlineLevel="2" collapsed="1" x14ac:dyDescent="0.2">
      <c r="A1299" s="7" t="s">
        <v>92</v>
      </c>
      <c r="C1299" s="7" t="str">
        <f t="shared" si="195"/>
        <v>Jenny</v>
      </c>
      <c r="D1299" s="7" t="str">
        <f>+D1298</f>
        <v>Lysaker</v>
      </c>
      <c r="E1299" s="8" t="str">
        <f>E1298</f>
        <v>SALES</v>
      </c>
      <c r="G1299" s="8" t="str">
        <f>G1298</f>
        <v>LYSA0001</v>
      </c>
      <c r="K1299" s="12">
        <f>+K1298</f>
        <v>42005</v>
      </c>
      <c r="L1299" s="8" t="str">
        <f>L1298</f>
        <v>10369</v>
      </c>
      <c r="M1299" s="33" t="str">
        <f>"Total for " &amp; $L1299</f>
        <v>Total for 10369</v>
      </c>
      <c r="N1299" s="34">
        <f>+K1299</f>
        <v>42005</v>
      </c>
      <c r="O1299" s="35"/>
      <c r="P1299" s="33"/>
      <c r="Q1299" s="33"/>
      <c r="R1299" s="33"/>
      <c r="S1299" s="33"/>
      <c r="T1299" s="36">
        <f>SUBTOTAL(9,T1291:T1298)</f>
        <v>922.98</v>
      </c>
    </row>
    <row r="1300" spans="1:20" s="7" customFormat="1" hidden="1" outlineLevel="3" x14ac:dyDescent="0.2">
      <c r="A1300" s="7" t="s">
        <v>92</v>
      </c>
      <c r="C1300" s="7" t="str">
        <f t="shared" ref="C1300:C1349" si="197">+C1299</f>
        <v>Jenny</v>
      </c>
      <c r="D1300" s="7" t="str">
        <f>+D1299</f>
        <v>Lysaker</v>
      </c>
      <c r="E1300" s="8" t="str">
        <f>E1299</f>
        <v>SALES</v>
      </c>
      <c r="G1300" s="8" t="str">
        <f>G1299</f>
        <v>LYSA0001</v>
      </c>
      <c r="H1300" s="26"/>
      <c r="I1300" s="26"/>
      <c r="J1300" s="26"/>
      <c r="K1300" s="28">
        <f>+N1300</f>
        <v>42036</v>
      </c>
      <c r="L1300" s="26" t="str">
        <f>M1300</f>
        <v>10394</v>
      </c>
      <c r="M1300" s="26" t="str">
        <f>"10394"</f>
        <v>10394</v>
      </c>
      <c r="N1300" s="28">
        <v>42036</v>
      </c>
      <c r="O1300" s="26"/>
      <c r="P1300" s="26"/>
      <c r="Q1300" s="26"/>
      <c r="R1300" s="26"/>
      <c r="S1300" s="26"/>
      <c r="T1300" s="27"/>
    </row>
    <row r="1301" spans="1:20" s="7" customFormat="1" hidden="1" outlineLevel="3" x14ac:dyDescent="0.2">
      <c r="A1301" s="7" t="s">
        <v>92</v>
      </c>
      <c r="C1301" s="7" t="str">
        <f t="shared" si="197"/>
        <v>Jenny</v>
      </c>
      <c r="D1301" s="7" t="str">
        <f>+D1300</f>
        <v>Lysaker</v>
      </c>
      <c r="E1301" s="8" t="str">
        <f>E1300</f>
        <v>SALES</v>
      </c>
      <c r="G1301" s="8" t="str">
        <f>G1300</f>
        <v>LYSA0001</v>
      </c>
      <c r="H1301" s="26"/>
      <c r="I1301" s="26"/>
      <c r="J1301" s="26"/>
      <c r="K1301" s="28">
        <f>+K1300</f>
        <v>42036</v>
      </c>
      <c r="L1301" s="26" t="str">
        <f>L1300</f>
        <v>10394</v>
      </c>
      <c r="M1301" s="26"/>
      <c r="N1301" s="26"/>
      <c r="O1301" s="26" t="str">
        <f>"""GP Direct"",""Fabrikam, Inc."",""UPR30300"",""PAYRATE"",""0.00000"",""PAYROLCD"",""401K"",""STATECD"","""",""CHEKDATE"",""2/1/2015"",""UPRTRXAM"",""1.12000"""</f>
        <v>"GP Direct","Fabrikam, Inc.","UPR30300","PAYRATE","0.00000","PAYROLCD","401K","STATECD","","CHEKDATE","2/1/2015","UPRTRXAM","1.12000"</v>
      </c>
      <c r="P1301" s="29">
        <v>0</v>
      </c>
      <c r="Q1301" s="26" t="str">
        <f>"401K"</f>
        <v>401K</v>
      </c>
      <c r="R1301" s="26"/>
      <c r="S1301" s="28">
        <v>42036</v>
      </c>
      <c r="T1301" s="29">
        <v>1.1200000000000001</v>
      </c>
    </row>
    <row r="1302" spans="1:20" s="7" customFormat="1" hidden="1" outlineLevel="3" x14ac:dyDescent="0.2">
      <c r="A1302" s="7" t="s">
        <v>92</v>
      </c>
      <c r="C1302" s="7" t="str">
        <f t="shared" ref="C1302:C1307" si="198">+C1301</f>
        <v>Jenny</v>
      </c>
      <c r="D1302" s="7" t="str">
        <f>+D1301</f>
        <v>Lysaker</v>
      </c>
      <c r="E1302" s="8" t="str">
        <f>E1301</f>
        <v>SALES</v>
      </c>
      <c r="G1302" s="8" t="str">
        <f>G1301</f>
        <v>LYSA0001</v>
      </c>
      <c r="H1302" s="26"/>
      <c r="I1302" s="26"/>
      <c r="J1302" s="26"/>
      <c r="K1302" s="28">
        <f>+K1301</f>
        <v>42036</v>
      </c>
      <c r="L1302" s="26" t="str">
        <f>L1301</f>
        <v>10394</v>
      </c>
      <c r="M1302" s="26"/>
      <c r="N1302" s="26"/>
      <c r="O1302" s="26" t="str">
        <f>"""GP Direct"",""Fabrikam, Inc."",""UPR30300"",""PAYRATE"",""0.00000"",""PAYROLCD"",""401K"",""STATECD"","""",""CHEKDATE"",""2/1/2015"",""UPRTRXAM"",""22.44000"""</f>
        <v>"GP Direct","Fabrikam, Inc.","UPR30300","PAYRATE","0.00000","PAYROLCD","401K","STATECD","","CHEKDATE","2/1/2015","UPRTRXAM","22.44000"</v>
      </c>
      <c r="P1302" s="29">
        <v>0</v>
      </c>
      <c r="Q1302" s="26" t="str">
        <f>"401K"</f>
        <v>401K</v>
      </c>
      <c r="R1302" s="26"/>
      <c r="S1302" s="28">
        <v>42036</v>
      </c>
      <c r="T1302" s="29">
        <v>22.44</v>
      </c>
    </row>
    <row r="1303" spans="1:20" s="7" customFormat="1" hidden="1" outlineLevel="3" x14ac:dyDescent="0.2">
      <c r="A1303" s="7" t="s">
        <v>92</v>
      </c>
      <c r="C1303" s="7" t="str">
        <f t="shared" si="198"/>
        <v>Jenny</v>
      </c>
      <c r="D1303" s="7" t="str">
        <f>+D1302</f>
        <v>Lysaker</v>
      </c>
      <c r="E1303" s="8" t="str">
        <f>E1302</f>
        <v>SALES</v>
      </c>
      <c r="G1303" s="8" t="str">
        <f>G1302</f>
        <v>LYSA0001</v>
      </c>
      <c r="H1303" s="26"/>
      <c r="I1303" s="26"/>
      <c r="J1303" s="26"/>
      <c r="K1303" s="28">
        <f>+K1302</f>
        <v>42036</v>
      </c>
      <c r="L1303" s="26" t="str">
        <f>L1302</f>
        <v>10394</v>
      </c>
      <c r="M1303" s="26"/>
      <c r="N1303" s="26"/>
      <c r="O1303" s="26" t="str">
        <f>"""GP Direct"",""Fabrikam, Inc."",""UPR30300"",""PAYRATE"",""0.00000"",""PAYROLCD"",""IL"",""STATECD"","""",""CHEKDATE"",""2/1/2015"",""UPRTRXAM"",""8.98000"""</f>
        <v>"GP Direct","Fabrikam, Inc.","UPR30300","PAYRATE","0.00000","PAYROLCD","IL","STATECD","","CHEKDATE","2/1/2015","UPRTRXAM","8.98000"</v>
      </c>
      <c r="P1303" s="29">
        <v>0</v>
      </c>
      <c r="Q1303" s="26" t="str">
        <f>"IL"</f>
        <v>IL</v>
      </c>
      <c r="R1303" s="26"/>
      <c r="S1303" s="28">
        <v>42036</v>
      </c>
      <c r="T1303" s="29">
        <v>8.98</v>
      </c>
    </row>
    <row r="1304" spans="1:20" s="7" customFormat="1" hidden="1" outlineLevel="3" x14ac:dyDescent="0.2">
      <c r="A1304" s="7" t="s">
        <v>92</v>
      </c>
      <c r="C1304" s="7" t="str">
        <f t="shared" si="198"/>
        <v>Jenny</v>
      </c>
      <c r="D1304" s="7" t="str">
        <f>+D1303</f>
        <v>Lysaker</v>
      </c>
      <c r="E1304" s="8" t="str">
        <f>E1303</f>
        <v>SALES</v>
      </c>
      <c r="G1304" s="8" t="str">
        <f>G1303</f>
        <v>LYSA0001</v>
      </c>
      <c r="H1304" s="26"/>
      <c r="I1304" s="26"/>
      <c r="J1304" s="26"/>
      <c r="K1304" s="28">
        <f>+K1303</f>
        <v>42036</v>
      </c>
      <c r="L1304" s="26" t="str">
        <f>L1303</f>
        <v>10394</v>
      </c>
      <c r="M1304" s="26"/>
      <c r="N1304" s="26"/>
      <c r="O1304" s="26" t="str">
        <f>"""GP Direct"",""Fabrikam, Inc."",""UPR30300"",""PAYRATE"",""0.00000"",""PAYROLCD"",""INS"",""STATECD"","""",""CHEKDATE"",""2/1/2015"",""UPRTRXAM"",""49.36000"""</f>
        <v>"GP Direct","Fabrikam, Inc.","UPR30300","PAYRATE","0.00000","PAYROLCD","INS","STATECD","","CHEKDATE","2/1/2015","UPRTRXAM","49.36000"</v>
      </c>
      <c r="P1304" s="29">
        <v>0</v>
      </c>
      <c r="Q1304" s="26" t="str">
        <f>"INS"</f>
        <v>INS</v>
      </c>
      <c r="R1304" s="26"/>
      <c r="S1304" s="28">
        <v>42036</v>
      </c>
      <c r="T1304" s="29">
        <v>49.36</v>
      </c>
    </row>
    <row r="1305" spans="1:20" s="7" customFormat="1" hidden="1" outlineLevel="3" x14ac:dyDescent="0.2">
      <c r="A1305" s="7" t="s">
        <v>92</v>
      </c>
      <c r="C1305" s="7" t="str">
        <f t="shared" si="198"/>
        <v>Jenny</v>
      </c>
      <c r="D1305" s="7" t="str">
        <f>+D1304</f>
        <v>Lysaker</v>
      </c>
      <c r="E1305" s="8" t="str">
        <f>E1304</f>
        <v>SALES</v>
      </c>
      <c r="G1305" s="8" t="str">
        <f>G1304</f>
        <v>LYSA0001</v>
      </c>
      <c r="H1305" s="26"/>
      <c r="I1305" s="26"/>
      <c r="J1305" s="26"/>
      <c r="K1305" s="28">
        <f>+K1304</f>
        <v>42036</v>
      </c>
      <c r="L1305" s="26" t="str">
        <f>L1304</f>
        <v>10394</v>
      </c>
      <c r="M1305" s="26"/>
      <c r="N1305" s="26"/>
      <c r="O1305" s="26" t="str">
        <f>"""GP Direct"",""Fabrikam, Inc."",""UPR30300"",""PAYRATE"",""0.00000"",""PAYROLCD"",""INS2"",""STATECD"","""",""CHEKDATE"",""2/1/2015"",""UPRTRXAM"",""72.95000"""</f>
        <v>"GP Direct","Fabrikam, Inc.","UPR30300","PAYRATE","0.00000","PAYROLCD","INS2","STATECD","","CHEKDATE","2/1/2015","UPRTRXAM","72.95000"</v>
      </c>
      <c r="P1305" s="29">
        <v>0</v>
      </c>
      <c r="Q1305" s="26" t="str">
        <f>"INS2"</f>
        <v>INS2</v>
      </c>
      <c r="R1305" s="26"/>
      <c r="S1305" s="28">
        <v>42036</v>
      </c>
      <c r="T1305" s="29">
        <v>72.95</v>
      </c>
    </row>
    <row r="1306" spans="1:20" s="7" customFormat="1" hidden="1" outlineLevel="3" x14ac:dyDescent="0.2">
      <c r="A1306" s="7" t="s">
        <v>92</v>
      </c>
      <c r="C1306" s="7" t="str">
        <f t="shared" si="198"/>
        <v>Jenny</v>
      </c>
      <c r="D1306" s="7" t="str">
        <f>+D1305</f>
        <v>Lysaker</v>
      </c>
      <c r="E1306" s="8" t="str">
        <f>E1305</f>
        <v>SALES</v>
      </c>
      <c r="G1306" s="8" t="str">
        <f>G1305</f>
        <v>LYSA0001</v>
      </c>
      <c r="H1306" s="26"/>
      <c r="I1306" s="26"/>
      <c r="J1306" s="26"/>
      <c r="K1306" s="28">
        <f>+K1305</f>
        <v>42036</v>
      </c>
      <c r="L1306" s="26" t="str">
        <f>L1305</f>
        <v>10394</v>
      </c>
      <c r="M1306" s="26"/>
      <c r="N1306" s="26"/>
      <c r="O1306" s="26" t="str">
        <f>"""GP Direct"",""Fabrikam, Inc."",""UPR30300"",""PAYRATE"",""0.00000"",""PAYROLCD"",""MED"",""STATECD"","""",""CHEKDATE"",""2/1/2015"",""UPRTRXAM"",""20.00000"""</f>
        <v>"GP Direct","Fabrikam, Inc.","UPR30300","PAYRATE","0.00000","PAYROLCD","MED","STATECD","","CHEKDATE","2/1/2015","UPRTRXAM","20.00000"</v>
      </c>
      <c r="P1306" s="29">
        <v>0</v>
      </c>
      <c r="Q1306" s="26" t="str">
        <f>"MED"</f>
        <v>MED</v>
      </c>
      <c r="R1306" s="26"/>
      <c r="S1306" s="28">
        <v>42036</v>
      </c>
      <c r="T1306" s="29">
        <v>20</v>
      </c>
    </row>
    <row r="1307" spans="1:20" s="7" customFormat="1" hidden="1" outlineLevel="3" x14ac:dyDescent="0.2">
      <c r="A1307" s="7" t="s">
        <v>92</v>
      </c>
      <c r="C1307" s="7" t="str">
        <f t="shared" si="198"/>
        <v>Jenny</v>
      </c>
      <c r="D1307" s="7" t="str">
        <f>+D1306</f>
        <v>Lysaker</v>
      </c>
      <c r="E1307" s="8" t="str">
        <f>E1306</f>
        <v>SALES</v>
      </c>
      <c r="G1307" s="8" t="str">
        <f>G1306</f>
        <v>LYSA0001</v>
      </c>
      <c r="H1307" s="26"/>
      <c r="I1307" s="26"/>
      <c r="J1307" s="26"/>
      <c r="K1307" s="28">
        <f>+K1306</f>
        <v>42036</v>
      </c>
      <c r="L1307" s="26" t="str">
        <f>L1306</f>
        <v>10394</v>
      </c>
      <c r="M1307" s="26"/>
      <c r="N1307" s="26"/>
      <c r="O1307" s="26" t="str">
        <f>"""GP Direct"",""Fabrikam, Inc."",""UPR30300"",""PAYRATE"",""17955.00000"",""PAYROLCD"",""SALY"",""STATECD"",""IL"",""CHEKDATE"",""2/1/2015"",""UPRTRXAM"",""748.13000"""</f>
        <v>"GP Direct","Fabrikam, Inc.","UPR30300","PAYRATE","17955.00000","PAYROLCD","SALY","STATECD","IL","CHEKDATE","2/1/2015","UPRTRXAM","748.13000"</v>
      </c>
      <c r="P1307" s="29">
        <v>17955</v>
      </c>
      <c r="Q1307" s="26" t="str">
        <f>"SALY"</f>
        <v>SALY</v>
      </c>
      <c r="R1307" s="26" t="str">
        <f>"IL"</f>
        <v>IL</v>
      </c>
      <c r="S1307" s="28">
        <v>42036</v>
      </c>
      <c r="T1307" s="29">
        <v>748.13</v>
      </c>
    </row>
    <row r="1308" spans="1:20" s="7" customFormat="1" hidden="1" outlineLevel="3" x14ac:dyDescent="0.2">
      <c r="A1308" s="7" t="s">
        <v>92</v>
      </c>
      <c r="C1308" s="7" t="str">
        <f>+C1301</f>
        <v>Jenny</v>
      </c>
      <c r="D1308" s="7" t="str">
        <f>+D1301</f>
        <v>Lysaker</v>
      </c>
      <c r="E1308" s="8" t="str">
        <f>E1301</f>
        <v>SALES</v>
      </c>
      <c r="G1308" s="8" t="str">
        <f>G1301</f>
        <v>LYSA0001</v>
      </c>
      <c r="K1308" s="12">
        <f>+K1301</f>
        <v>42036</v>
      </c>
      <c r="L1308" s="8" t="str">
        <f>L1301</f>
        <v>10394</v>
      </c>
      <c r="O1308" s="8"/>
      <c r="T1308" s="20"/>
    </row>
    <row r="1309" spans="1:20" s="7" customFormat="1" hidden="1" outlineLevel="2" collapsed="1" x14ac:dyDescent="0.2">
      <c r="A1309" s="7" t="s">
        <v>92</v>
      </c>
      <c r="C1309" s="7" t="str">
        <f t="shared" si="197"/>
        <v>Jenny</v>
      </c>
      <c r="D1309" s="7" t="str">
        <f>+D1308</f>
        <v>Lysaker</v>
      </c>
      <c r="E1309" s="8" t="str">
        <f>E1308</f>
        <v>SALES</v>
      </c>
      <c r="G1309" s="8" t="str">
        <f>G1308</f>
        <v>LYSA0001</v>
      </c>
      <c r="K1309" s="12">
        <f>+K1308</f>
        <v>42036</v>
      </c>
      <c r="L1309" s="8" t="str">
        <f>L1308</f>
        <v>10394</v>
      </c>
      <c r="M1309" s="33" t="str">
        <f>"Total for " &amp; $L1309</f>
        <v>Total for 10394</v>
      </c>
      <c r="N1309" s="34">
        <f>+K1309</f>
        <v>42036</v>
      </c>
      <c r="O1309" s="35"/>
      <c r="P1309" s="33"/>
      <c r="Q1309" s="33"/>
      <c r="R1309" s="33"/>
      <c r="S1309" s="33"/>
      <c r="T1309" s="36">
        <f>SUBTOTAL(9,T1301:T1308)</f>
        <v>922.98</v>
      </c>
    </row>
    <row r="1310" spans="1:20" s="7" customFormat="1" hidden="1" outlineLevel="3" x14ac:dyDescent="0.2">
      <c r="A1310" s="7" t="s">
        <v>92</v>
      </c>
      <c r="C1310" s="7" t="str">
        <f t="shared" si="197"/>
        <v>Jenny</v>
      </c>
      <c r="D1310" s="7" t="str">
        <f>+D1309</f>
        <v>Lysaker</v>
      </c>
      <c r="E1310" s="8" t="str">
        <f>E1309</f>
        <v>SALES</v>
      </c>
      <c r="G1310" s="8" t="str">
        <f>G1309</f>
        <v>LYSA0001</v>
      </c>
      <c r="H1310" s="26"/>
      <c r="I1310" s="26"/>
      <c r="J1310" s="26"/>
      <c r="K1310" s="28">
        <f>+N1310</f>
        <v>42064</v>
      </c>
      <c r="L1310" s="26" t="str">
        <f>M1310</f>
        <v>10419</v>
      </c>
      <c r="M1310" s="26" t="str">
        <f>"10419"</f>
        <v>10419</v>
      </c>
      <c r="N1310" s="28">
        <v>42064</v>
      </c>
      <c r="O1310" s="26"/>
      <c r="P1310" s="26"/>
      <c r="Q1310" s="26"/>
      <c r="R1310" s="26"/>
      <c r="S1310" s="26"/>
      <c r="T1310" s="27"/>
    </row>
    <row r="1311" spans="1:20" s="7" customFormat="1" hidden="1" outlineLevel="3" x14ac:dyDescent="0.2">
      <c r="A1311" s="7" t="s">
        <v>92</v>
      </c>
      <c r="C1311" s="7" t="str">
        <f t="shared" si="197"/>
        <v>Jenny</v>
      </c>
      <c r="D1311" s="7" t="str">
        <f>+D1310</f>
        <v>Lysaker</v>
      </c>
      <c r="E1311" s="8" t="str">
        <f>E1310</f>
        <v>SALES</v>
      </c>
      <c r="G1311" s="8" t="str">
        <f>G1310</f>
        <v>LYSA0001</v>
      </c>
      <c r="H1311" s="26"/>
      <c r="I1311" s="26"/>
      <c r="J1311" s="26"/>
      <c r="K1311" s="28">
        <f>+K1310</f>
        <v>42064</v>
      </c>
      <c r="L1311" s="26" t="str">
        <f>L1310</f>
        <v>10419</v>
      </c>
      <c r="M1311" s="26"/>
      <c r="N1311" s="26"/>
      <c r="O1311" s="26" t="str">
        <f>"""GP Direct"",""Fabrikam, Inc."",""UPR30300"",""PAYRATE"",""0.00000"",""PAYROLCD"",""401K"",""STATECD"","""",""CHEKDATE"",""3/1/2015"",""UPRTRXAM"",""1.12000"""</f>
        <v>"GP Direct","Fabrikam, Inc.","UPR30300","PAYRATE","0.00000","PAYROLCD","401K","STATECD","","CHEKDATE","3/1/2015","UPRTRXAM","1.12000"</v>
      </c>
      <c r="P1311" s="29">
        <v>0</v>
      </c>
      <c r="Q1311" s="26" t="str">
        <f>"401K"</f>
        <v>401K</v>
      </c>
      <c r="R1311" s="26"/>
      <c r="S1311" s="28">
        <v>42064</v>
      </c>
      <c r="T1311" s="29">
        <v>1.1200000000000001</v>
      </c>
    </row>
    <row r="1312" spans="1:20" s="7" customFormat="1" hidden="1" outlineLevel="3" x14ac:dyDescent="0.2">
      <c r="A1312" s="7" t="s">
        <v>92</v>
      </c>
      <c r="C1312" s="7" t="str">
        <f t="shared" ref="C1312:C1317" si="199">+C1311</f>
        <v>Jenny</v>
      </c>
      <c r="D1312" s="7" t="str">
        <f>+D1311</f>
        <v>Lysaker</v>
      </c>
      <c r="E1312" s="8" t="str">
        <f>E1311</f>
        <v>SALES</v>
      </c>
      <c r="G1312" s="8" t="str">
        <f>G1311</f>
        <v>LYSA0001</v>
      </c>
      <c r="H1312" s="26"/>
      <c r="I1312" s="26"/>
      <c r="J1312" s="26"/>
      <c r="K1312" s="28">
        <f>+K1311</f>
        <v>42064</v>
      </c>
      <c r="L1312" s="26" t="str">
        <f>L1311</f>
        <v>10419</v>
      </c>
      <c r="M1312" s="26"/>
      <c r="N1312" s="26"/>
      <c r="O1312" s="26" t="str">
        <f>"""GP Direct"",""Fabrikam, Inc."",""UPR30300"",""PAYRATE"",""0.00000"",""PAYROLCD"",""401K"",""STATECD"","""",""CHEKDATE"",""3/1/2015"",""UPRTRXAM"",""22.44000"""</f>
        <v>"GP Direct","Fabrikam, Inc.","UPR30300","PAYRATE","0.00000","PAYROLCD","401K","STATECD","","CHEKDATE","3/1/2015","UPRTRXAM","22.44000"</v>
      </c>
      <c r="P1312" s="29">
        <v>0</v>
      </c>
      <c r="Q1312" s="26" t="str">
        <f>"401K"</f>
        <v>401K</v>
      </c>
      <c r="R1312" s="26"/>
      <c r="S1312" s="28">
        <v>42064</v>
      </c>
      <c r="T1312" s="29">
        <v>22.44</v>
      </c>
    </row>
    <row r="1313" spans="1:20" s="7" customFormat="1" hidden="1" outlineLevel="3" x14ac:dyDescent="0.2">
      <c r="A1313" s="7" t="s">
        <v>92</v>
      </c>
      <c r="C1313" s="7" t="str">
        <f t="shared" si="199"/>
        <v>Jenny</v>
      </c>
      <c r="D1313" s="7" t="str">
        <f>+D1312</f>
        <v>Lysaker</v>
      </c>
      <c r="E1313" s="8" t="str">
        <f>E1312</f>
        <v>SALES</v>
      </c>
      <c r="G1313" s="8" t="str">
        <f>G1312</f>
        <v>LYSA0001</v>
      </c>
      <c r="H1313" s="26"/>
      <c r="I1313" s="26"/>
      <c r="J1313" s="26"/>
      <c r="K1313" s="28">
        <f>+K1312</f>
        <v>42064</v>
      </c>
      <c r="L1313" s="26" t="str">
        <f>L1312</f>
        <v>10419</v>
      </c>
      <c r="M1313" s="26"/>
      <c r="N1313" s="26"/>
      <c r="O1313" s="26" t="str">
        <f>"""GP Direct"",""Fabrikam, Inc."",""UPR30300"",""PAYRATE"",""0.00000"",""PAYROLCD"",""IL"",""STATECD"","""",""CHEKDATE"",""3/1/2015"",""UPRTRXAM"",""8.98000"""</f>
        <v>"GP Direct","Fabrikam, Inc.","UPR30300","PAYRATE","0.00000","PAYROLCD","IL","STATECD","","CHEKDATE","3/1/2015","UPRTRXAM","8.98000"</v>
      </c>
      <c r="P1313" s="29">
        <v>0</v>
      </c>
      <c r="Q1313" s="26" t="str">
        <f>"IL"</f>
        <v>IL</v>
      </c>
      <c r="R1313" s="26"/>
      <c r="S1313" s="28">
        <v>42064</v>
      </c>
      <c r="T1313" s="29">
        <v>8.98</v>
      </c>
    </row>
    <row r="1314" spans="1:20" s="7" customFormat="1" hidden="1" outlineLevel="3" x14ac:dyDescent="0.2">
      <c r="A1314" s="7" t="s">
        <v>92</v>
      </c>
      <c r="C1314" s="7" t="str">
        <f t="shared" si="199"/>
        <v>Jenny</v>
      </c>
      <c r="D1314" s="7" t="str">
        <f>+D1313</f>
        <v>Lysaker</v>
      </c>
      <c r="E1314" s="8" t="str">
        <f>E1313</f>
        <v>SALES</v>
      </c>
      <c r="G1314" s="8" t="str">
        <f>G1313</f>
        <v>LYSA0001</v>
      </c>
      <c r="H1314" s="26"/>
      <c r="I1314" s="26"/>
      <c r="J1314" s="26"/>
      <c r="K1314" s="28">
        <f>+K1313</f>
        <v>42064</v>
      </c>
      <c r="L1314" s="26" t="str">
        <f>L1313</f>
        <v>10419</v>
      </c>
      <c r="M1314" s="26"/>
      <c r="N1314" s="26"/>
      <c r="O1314" s="26" t="str">
        <f>"""GP Direct"",""Fabrikam, Inc."",""UPR30300"",""PAYRATE"",""0.00000"",""PAYROLCD"",""INS"",""STATECD"","""",""CHEKDATE"",""3/1/2015"",""UPRTRXAM"",""49.36000"""</f>
        <v>"GP Direct","Fabrikam, Inc.","UPR30300","PAYRATE","0.00000","PAYROLCD","INS","STATECD","","CHEKDATE","3/1/2015","UPRTRXAM","49.36000"</v>
      </c>
      <c r="P1314" s="29">
        <v>0</v>
      </c>
      <c r="Q1314" s="26" t="str">
        <f>"INS"</f>
        <v>INS</v>
      </c>
      <c r="R1314" s="26"/>
      <c r="S1314" s="28">
        <v>42064</v>
      </c>
      <c r="T1314" s="29">
        <v>49.36</v>
      </c>
    </row>
    <row r="1315" spans="1:20" s="7" customFormat="1" hidden="1" outlineLevel="3" x14ac:dyDescent="0.2">
      <c r="A1315" s="7" t="s">
        <v>92</v>
      </c>
      <c r="C1315" s="7" t="str">
        <f t="shared" si="199"/>
        <v>Jenny</v>
      </c>
      <c r="D1315" s="7" t="str">
        <f>+D1314</f>
        <v>Lysaker</v>
      </c>
      <c r="E1315" s="8" t="str">
        <f>E1314</f>
        <v>SALES</v>
      </c>
      <c r="G1315" s="8" t="str">
        <f>G1314</f>
        <v>LYSA0001</v>
      </c>
      <c r="H1315" s="26"/>
      <c r="I1315" s="26"/>
      <c r="J1315" s="26"/>
      <c r="K1315" s="28">
        <f>+K1314</f>
        <v>42064</v>
      </c>
      <c r="L1315" s="26" t="str">
        <f>L1314</f>
        <v>10419</v>
      </c>
      <c r="M1315" s="26"/>
      <c r="N1315" s="26"/>
      <c r="O1315" s="26" t="str">
        <f>"""GP Direct"",""Fabrikam, Inc."",""UPR30300"",""PAYRATE"",""0.00000"",""PAYROLCD"",""INS2"",""STATECD"","""",""CHEKDATE"",""3/1/2015"",""UPRTRXAM"",""72.95000"""</f>
        <v>"GP Direct","Fabrikam, Inc.","UPR30300","PAYRATE","0.00000","PAYROLCD","INS2","STATECD","","CHEKDATE","3/1/2015","UPRTRXAM","72.95000"</v>
      </c>
      <c r="P1315" s="29">
        <v>0</v>
      </c>
      <c r="Q1315" s="26" t="str">
        <f>"INS2"</f>
        <v>INS2</v>
      </c>
      <c r="R1315" s="26"/>
      <c r="S1315" s="28">
        <v>42064</v>
      </c>
      <c r="T1315" s="29">
        <v>72.95</v>
      </c>
    </row>
    <row r="1316" spans="1:20" s="7" customFormat="1" hidden="1" outlineLevel="3" x14ac:dyDescent="0.2">
      <c r="A1316" s="7" t="s">
        <v>92</v>
      </c>
      <c r="C1316" s="7" t="str">
        <f t="shared" si="199"/>
        <v>Jenny</v>
      </c>
      <c r="D1316" s="7" t="str">
        <f>+D1315</f>
        <v>Lysaker</v>
      </c>
      <c r="E1316" s="8" t="str">
        <f>E1315</f>
        <v>SALES</v>
      </c>
      <c r="G1316" s="8" t="str">
        <f>G1315</f>
        <v>LYSA0001</v>
      </c>
      <c r="H1316" s="26"/>
      <c r="I1316" s="26"/>
      <c r="J1316" s="26"/>
      <c r="K1316" s="28">
        <f>+K1315</f>
        <v>42064</v>
      </c>
      <c r="L1316" s="26" t="str">
        <f>L1315</f>
        <v>10419</v>
      </c>
      <c r="M1316" s="26"/>
      <c r="N1316" s="26"/>
      <c r="O1316" s="26" t="str">
        <f>"""GP Direct"",""Fabrikam, Inc."",""UPR30300"",""PAYRATE"",""0.00000"",""PAYROLCD"",""MED"",""STATECD"","""",""CHEKDATE"",""3/1/2015"",""UPRTRXAM"",""20.00000"""</f>
        <v>"GP Direct","Fabrikam, Inc.","UPR30300","PAYRATE","0.00000","PAYROLCD","MED","STATECD","","CHEKDATE","3/1/2015","UPRTRXAM","20.00000"</v>
      </c>
      <c r="P1316" s="29">
        <v>0</v>
      </c>
      <c r="Q1316" s="26" t="str">
        <f>"MED"</f>
        <v>MED</v>
      </c>
      <c r="R1316" s="26"/>
      <c r="S1316" s="28">
        <v>42064</v>
      </c>
      <c r="T1316" s="29">
        <v>20</v>
      </c>
    </row>
    <row r="1317" spans="1:20" s="7" customFormat="1" hidden="1" outlineLevel="3" x14ac:dyDescent="0.2">
      <c r="A1317" s="7" t="s">
        <v>92</v>
      </c>
      <c r="C1317" s="7" t="str">
        <f t="shared" si="199"/>
        <v>Jenny</v>
      </c>
      <c r="D1317" s="7" t="str">
        <f>+D1316</f>
        <v>Lysaker</v>
      </c>
      <c r="E1317" s="8" t="str">
        <f>E1316</f>
        <v>SALES</v>
      </c>
      <c r="G1317" s="8" t="str">
        <f>G1316</f>
        <v>LYSA0001</v>
      </c>
      <c r="H1317" s="26"/>
      <c r="I1317" s="26"/>
      <c r="J1317" s="26"/>
      <c r="K1317" s="28">
        <f>+K1316</f>
        <v>42064</v>
      </c>
      <c r="L1317" s="26" t="str">
        <f>L1316</f>
        <v>10419</v>
      </c>
      <c r="M1317" s="26"/>
      <c r="N1317" s="26"/>
      <c r="O1317" s="26" t="str">
        <f>"""GP Direct"",""Fabrikam, Inc."",""UPR30300"",""PAYRATE"",""17955.00000"",""PAYROLCD"",""SALY"",""STATECD"",""IL"",""CHEKDATE"",""3/1/2015"",""UPRTRXAM"",""748.13000"""</f>
        <v>"GP Direct","Fabrikam, Inc.","UPR30300","PAYRATE","17955.00000","PAYROLCD","SALY","STATECD","IL","CHEKDATE","3/1/2015","UPRTRXAM","748.13000"</v>
      </c>
      <c r="P1317" s="29">
        <v>17955</v>
      </c>
      <c r="Q1317" s="26" t="str">
        <f>"SALY"</f>
        <v>SALY</v>
      </c>
      <c r="R1317" s="26" t="str">
        <f>"IL"</f>
        <v>IL</v>
      </c>
      <c r="S1317" s="28">
        <v>42064</v>
      </c>
      <c r="T1317" s="29">
        <v>748.13</v>
      </c>
    </row>
    <row r="1318" spans="1:20" s="7" customFormat="1" hidden="1" outlineLevel="3" x14ac:dyDescent="0.2">
      <c r="A1318" s="7" t="s">
        <v>92</v>
      </c>
      <c r="C1318" s="7" t="str">
        <f>+C1311</f>
        <v>Jenny</v>
      </c>
      <c r="D1318" s="7" t="str">
        <f>+D1311</f>
        <v>Lysaker</v>
      </c>
      <c r="E1318" s="8" t="str">
        <f>E1311</f>
        <v>SALES</v>
      </c>
      <c r="G1318" s="8" t="str">
        <f>G1311</f>
        <v>LYSA0001</v>
      </c>
      <c r="K1318" s="12">
        <f>+K1311</f>
        <v>42064</v>
      </c>
      <c r="L1318" s="8" t="str">
        <f>L1311</f>
        <v>10419</v>
      </c>
      <c r="O1318" s="8"/>
      <c r="T1318" s="20"/>
    </row>
    <row r="1319" spans="1:20" s="7" customFormat="1" hidden="1" outlineLevel="2" collapsed="1" x14ac:dyDescent="0.2">
      <c r="A1319" s="7" t="s">
        <v>92</v>
      </c>
      <c r="C1319" s="7" t="str">
        <f t="shared" si="197"/>
        <v>Jenny</v>
      </c>
      <c r="D1319" s="7" t="str">
        <f>+D1318</f>
        <v>Lysaker</v>
      </c>
      <c r="E1319" s="8" t="str">
        <f>E1318</f>
        <v>SALES</v>
      </c>
      <c r="G1319" s="8" t="str">
        <f>G1318</f>
        <v>LYSA0001</v>
      </c>
      <c r="K1319" s="12">
        <f>+K1318</f>
        <v>42064</v>
      </c>
      <c r="L1319" s="8" t="str">
        <f>L1318</f>
        <v>10419</v>
      </c>
      <c r="M1319" s="33" t="str">
        <f>"Total for " &amp; $L1319</f>
        <v>Total for 10419</v>
      </c>
      <c r="N1319" s="34">
        <f>+K1319</f>
        <v>42064</v>
      </c>
      <c r="O1319" s="35"/>
      <c r="P1319" s="33"/>
      <c r="Q1319" s="33"/>
      <c r="R1319" s="33"/>
      <c r="S1319" s="33"/>
      <c r="T1319" s="36">
        <f>SUBTOTAL(9,T1311:T1318)</f>
        <v>922.98</v>
      </c>
    </row>
    <row r="1320" spans="1:20" s="7" customFormat="1" hidden="1" outlineLevel="3" x14ac:dyDescent="0.2">
      <c r="A1320" s="7" t="s">
        <v>92</v>
      </c>
      <c r="C1320" s="7" t="str">
        <f t="shared" si="197"/>
        <v>Jenny</v>
      </c>
      <c r="D1320" s="7" t="str">
        <f>+D1319</f>
        <v>Lysaker</v>
      </c>
      <c r="E1320" s="8" t="str">
        <f>E1319</f>
        <v>SALES</v>
      </c>
      <c r="G1320" s="8" t="str">
        <f>G1319</f>
        <v>LYSA0001</v>
      </c>
      <c r="H1320" s="26"/>
      <c r="I1320" s="26"/>
      <c r="J1320" s="26"/>
      <c r="K1320" s="28">
        <f>+N1320</f>
        <v>42095</v>
      </c>
      <c r="L1320" s="26" t="str">
        <f>M1320</f>
        <v>10444</v>
      </c>
      <c r="M1320" s="26" t="str">
        <f>"10444"</f>
        <v>10444</v>
      </c>
      <c r="N1320" s="28">
        <v>42095</v>
      </c>
      <c r="O1320" s="26"/>
      <c r="P1320" s="26"/>
      <c r="Q1320" s="26"/>
      <c r="R1320" s="26"/>
      <c r="S1320" s="26"/>
      <c r="T1320" s="27"/>
    </row>
    <row r="1321" spans="1:20" s="7" customFormat="1" hidden="1" outlineLevel="3" x14ac:dyDescent="0.2">
      <c r="A1321" s="7" t="s">
        <v>92</v>
      </c>
      <c r="C1321" s="7" t="str">
        <f t="shared" si="197"/>
        <v>Jenny</v>
      </c>
      <c r="D1321" s="7" t="str">
        <f>+D1320</f>
        <v>Lysaker</v>
      </c>
      <c r="E1321" s="8" t="str">
        <f>E1320</f>
        <v>SALES</v>
      </c>
      <c r="G1321" s="8" t="str">
        <f>G1320</f>
        <v>LYSA0001</v>
      </c>
      <c r="H1321" s="26"/>
      <c r="I1321" s="26"/>
      <c r="J1321" s="26"/>
      <c r="K1321" s="28">
        <f>+K1320</f>
        <v>42095</v>
      </c>
      <c r="L1321" s="26" t="str">
        <f>L1320</f>
        <v>10444</v>
      </c>
      <c r="M1321" s="26"/>
      <c r="N1321" s="26"/>
      <c r="O1321" s="26" t="str">
        <f>"""GP Direct"",""Fabrikam, Inc."",""UPR30300"",""PAYRATE"",""0.00000"",""PAYROLCD"",""401K"",""STATECD"","""",""CHEKDATE"",""4/1/2015"",""UPRTRXAM"",""1.12000"""</f>
        <v>"GP Direct","Fabrikam, Inc.","UPR30300","PAYRATE","0.00000","PAYROLCD","401K","STATECD","","CHEKDATE","4/1/2015","UPRTRXAM","1.12000"</v>
      </c>
      <c r="P1321" s="29">
        <v>0</v>
      </c>
      <c r="Q1321" s="26" t="str">
        <f>"401K"</f>
        <v>401K</v>
      </c>
      <c r="R1321" s="26"/>
      <c r="S1321" s="28">
        <v>42095</v>
      </c>
      <c r="T1321" s="29">
        <v>1.1200000000000001</v>
      </c>
    </row>
    <row r="1322" spans="1:20" s="7" customFormat="1" hidden="1" outlineLevel="3" x14ac:dyDescent="0.2">
      <c r="A1322" s="7" t="s">
        <v>92</v>
      </c>
      <c r="C1322" s="7" t="str">
        <f t="shared" ref="C1322:C1327" si="200">+C1321</f>
        <v>Jenny</v>
      </c>
      <c r="D1322" s="7" t="str">
        <f>+D1321</f>
        <v>Lysaker</v>
      </c>
      <c r="E1322" s="8" t="str">
        <f>E1321</f>
        <v>SALES</v>
      </c>
      <c r="G1322" s="8" t="str">
        <f>G1321</f>
        <v>LYSA0001</v>
      </c>
      <c r="H1322" s="26"/>
      <c r="I1322" s="26"/>
      <c r="J1322" s="26"/>
      <c r="K1322" s="28">
        <f>+K1321</f>
        <v>42095</v>
      </c>
      <c r="L1322" s="26" t="str">
        <f>L1321</f>
        <v>10444</v>
      </c>
      <c r="M1322" s="26"/>
      <c r="N1322" s="26"/>
      <c r="O1322" s="26" t="str">
        <f>"""GP Direct"",""Fabrikam, Inc."",""UPR30300"",""PAYRATE"",""0.00000"",""PAYROLCD"",""401K"",""STATECD"","""",""CHEKDATE"",""4/1/2015"",""UPRTRXAM"",""22.44000"""</f>
        <v>"GP Direct","Fabrikam, Inc.","UPR30300","PAYRATE","0.00000","PAYROLCD","401K","STATECD","","CHEKDATE","4/1/2015","UPRTRXAM","22.44000"</v>
      </c>
      <c r="P1322" s="29">
        <v>0</v>
      </c>
      <c r="Q1322" s="26" t="str">
        <f>"401K"</f>
        <v>401K</v>
      </c>
      <c r="R1322" s="26"/>
      <c r="S1322" s="28">
        <v>42095</v>
      </c>
      <c r="T1322" s="29">
        <v>22.44</v>
      </c>
    </row>
    <row r="1323" spans="1:20" s="7" customFormat="1" hidden="1" outlineLevel="3" x14ac:dyDescent="0.2">
      <c r="A1323" s="7" t="s">
        <v>92</v>
      </c>
      <c r="C1323" s="7" t="str">
        <f t="shared" si="200"/>
        <v>Jenny</v>
      </c>
      <c r="D1323" s="7" t="str">
        <f>+D1322</f>
        <v>Lysaker</v>
      </c>
      <c r="E1323" s="8" t="str">
        <f>E1322</f>
        <v>SALES</v>
      </c>
      <c r="G1323" s="8" t="str">
        <f>G1322</f>
        <v>LYSA0001</v>
      </c>
      <c r="H1323" s="26"/>
      <c r="I1323" s="26"/>
      <c r="J1323" s="26"/>
      <c r="K1323" s="28">
        <f>+K1322</f>
        <v>42095</v>
      </c>
      <c r="L1323" s="26" t="str">
        <f>L1322</f>
        <v>10444</v>
      </c>
      <c r="M1323" s="26"/>
      <c r="N1323" s="26"/>
      <c r="O1323" s="26" t="str">
        <f>"""GP Direct"",""Fabrikam, Inc."",""UPR30300"",""PAYRATE"",""0.00000"",""PAYROLCD"",""IL"",""STATECD"","""",""CHEKDATE"",""4/1/2015"",""UPRTRXAM"",""8.98000"""</f>
        <v>"GP Direct","Fabrikam, Inc.","UPR30300","PAYRATE","0.00000","PAYROLCD","IL","STATECD","","CHEKDATE","4/1/2015","UPRTRXAM","8.98000"</v>
      </c>
      <c r="P1323" s="29">
        <v>0</v>
      </c>
      <c r="Q1323" s="26" t="str">
        <f>"IL"</f>
        <v>IL</v>
      </c>
      <c r="R1323" s="26"/>
      <c r="S1323" s="28">
        <v>42095</v>
      </c>
      <c r="T1323" s="29">
        <v>8.98</v>
      </c>
    </row>
    <row r="1324" spans="1:20" s="7" customFormat="1" hidden="1" outlineLevel="3" x14ac:dyDescent="0.2">
      <c r="A1324" s="7" t="s">
        <v>92</v>
      </c>
      <c r="C1324" s="7" t="str">
        <f t="shared" si="200"/>
        <v>Jenny</v>
      </c>
      <c r="D1324" s="7" t="str">
        <f>+D1323</f>
        <v>Lysaker</v>
      </c>
      <c r="E1324" s="8" t="str">
        <f>E1323</f>
        <v>SALES</v>
      </c>
      <c r="G1324" s="8" t="str">
        <f>G1323</f>
        <v>LYSA0001</v>
      </c>
      <c r="H1324" s="26"/>
      <c r="I1324" s="26"/>
      <c r="J1324" s="26"/>
      <c r="K1324" s="28">
        <f>+K1323</f>
        <v>42095</v>
      </c>
      <c r="L1324" s="26" t="str">
        <f>L1323</f>
        <v>10444</v>
      </c>
      <c r="M1324" s="26"/>
      <c r="N1324" s="26"/>
      <c r="O1324" s="26" t="str">
        <f>"""GP Direct"",""Fabrikam, Inc."",""UPR30300"",""PAYRATE"",""0.00000"",""PAYROLCD"",""INS"",""STATECD"","""",""CHEKDATE"",""4/1/2015"",""UPRTRXAM"",""49.36000"""</f>
        <v>"GP Direct","Fabrikam, Inc.","UPR30300","PAYRATE","0.00000","PAYROLCD","INS","STATECD","","CHEKDATE","4/1/2015","UPRTRXAM","49.36000"</v>
      </c>
      <c r="P1324" s="29">
        <v>0</v>
      </c>
      <c r="Q1324" s="26" t="str">
        <f>"INS"</f>
        <v>INS</v>
      </c>
      <c r="R1324" s="26"/>
      <c r="S1324" s="28">
        <v>42095</v>
      </c>
      <c r="T1324" s="29">
        <v>49.36</v>
      </c>
    </row>
    <row r="1325" spans="1:20" s="7" customFormat="1" hidden="1" outlineLevel="3" x14ac:dyDescent="0.2">
      <c r="A1325" s="7" t="s">
        <v>92</v>
      </c>
      <c r="C1325" s="7" t="str">
        <f t="shared" si="200"/>
        <v>Jenny</v>
      </c>
      <c r="D1325" s="7" t="str">
        <f>+D1324</f>
        <v>Lysaker</v>
      </c>
      <c r="E1325" s="8" t="str">
        <f>E1324</f>
        <v>SALES</v>
      </c>
      <c r="G1325" s="8" t="str">
        <f>G1324</f>
        <v>LYSA0001</v>
      </c>
      <c r="H1325" s="26"/>
      <c r="I1325" s="26"/>
      <c r="J1325" s="26"/>
      <c r="K1325" s="28">
        <f>+K1324</f>
        <v>42095</v>
      </c>
      <c r="L1325" s="26" t="str">
        <f>L1324</f>
        <v>10444</v>
      </c>
      <c r="M1325" s="26"/>
      <c r="N1325" s="26"/>
      <c r="O1325" s="26" t="str">
        <f>"""GP Direct"",""Fabrikam, Inc."",""UPR30300"",""PAYRATE"",""0.00000"",""PAYROLCD"",""INS2"",""STATECD"","""",""CHEKDATE"",""4/1/2015"",""UPRTRXAM"",""72.95000"""</f>
        <v>"GP Direct","Fabrikam, Inc.","UPR30300","PAYRATE","0.00000","PAYROLCD","INS2","STATECD","","CHEKDATE","4/1/2015","UPRTRXAM","72.95000"</v>
      </c>
      <c r="P1325" s="29">
        <v>0</v>
      </c>
      <c r="Q1325" s="26" t="str">
        <f>"INS2"</f>
        <v>INS2</v>
      </c>
      <c r="R1325" s="26"/>
      <c r="S1325" s="28">
        <v>42095</v>
      </c>
      <c r="T1325" s="29">
        <v>72.95</v>
      </c>
    </row>
    <row r="1326" spans="1:20" s="7" customFormat="1" hidden="1" outlineLevel="3" x14ac:dyDescent="0.2">
      <c r="A1326" s="7" t="s">
        <v>92</v>
      </c>
      <c r="C1326" s="7" t="str">
        <f t="shared" si="200"/>
        <v>Jenny</v>
      </c>
      <c r="D1326" s="7" t="str">
        <f>+D1325</f>
        <v>Lysaker</v>
      </c>
      <c r="E1326" s="8" t="str">
        <f>E1325</f>
        <v>SALES</v>
      </c>
      <c r="G1326" s="8" t="str">
        <f>G1325</f>
        <v>LYSA0001</v>
      </c>
      <c r="H1326" s="26"/>
      <c r="I1326" s="26"/>
      <c r="J1326" s="26"/>
      <c r="K1326" s="28">
        <f>+K1325</f>
        <v>42095</v>
      </c>
      <c r="L1326" s="26" t="str">
        <f>L1325</f>
        <v>10444</v>
      </c>
      <c r="M1326" s="26"/>
      <c r="N1326" s="26"/>
      <c r="O1326" s="26" t="str">
        <f>"""GP Direct"",""Fabrikam, Inc."",""UPR30300"",""PAYRATE"",""0.00000"",""PAYROLCD"",""MED"",""STATECD"","""",""CHEKDATE"",""4/1/2015"",""UPRTRXAM"",""20.00000"""</f>
        <v>"GP Direct","Fabrikam, Inc.","UPR30300","PAYRATE","0.00000","PAYROLCD","MED","STATECD","","CHEKDATE","4/1/2015","UPRTRXAM","20.00000"</v>
      </c>
      <c r="P1326" s="29">
        <v>0</v>
      </c>
      <c r="Q1326" s="26" t="str">
        <f>"MED"</f>
        <v>MED</v>
      </c>
      <c r="R1326" s="26"/>
      <c r="S1326" s="28">
        <v>42095</v>
      </c>
      <c r="T1326" s="29">
        <v>20</v>
      </c>
    </row>
    <row r="1327" spans="1:20" s="7" customFormat="1" hidden="1" outlineLevel="3" x14ac:dyDescent="0.2">
      <c r="A1327" s="7" t="s">
        <v>92</v>
      </c>
      <c r="C1327" s="7" t="str">
        <f t="shared" si="200"/>
        <v>Jenny</v>
      </c>
      <c r="D1327" s="7" t="str">
        <f>+D1326</f>
        <v>Lysaker</v>
      </c>
      <c r="E1327" s="8" t="str">
        <f>E1326</f>
        <v>SALES</v>
      </c>
      <c r="G1327" s="8" t="str">
        <f>G1326</f>
        <v>LYSA0001</v>
      </c>
      <c r="H1327" s="26"/>
      <c r="I1327" s="26"/>
      <c r="J1327" s="26"/>
      <c r="K1327" s="28">
        <f>+K1326</f>
        <v>42095</v>
      </c>
      <c r="L1327" s="26" t="str">
        <f>L1326</f>
        <v>10444</v>
      </c>
      <c r="M1327" s="26"/>
      <c r="N1327" s="26"/>
      <c r="O1327" s="26" t="str">
        <f>"""GP Direct"",""Fabrikam, Inc."",""UPR30300"",""PAYRATE"",""17955.00000"",""PAYROLCD"",""SALY"",""STATECD"",""IL"",""CHEKDATE"",""4/1/2015"",""UPRTRXAM"",""748.13000"""</f>
        <v>"GP Direct","Fabrikam, Inc.","UPR30300","PAYRATE","17955.00000","PAYROLCD","SALY","STATECD","IL","CHEKDATE","4/1/2015","UPRTRXAM","748.13000"</v>
      </c>
      <c r="P1327" s="29">
        <v>17955</v>
      </c>
      <c r="Q1327" s="26" t="str">
        <f>"SALY"</f>
        <v>SALY</v>
      </c>
      <c r="R1327" s="26" t="str">
        <f>"IL"</f>
        <v>IL</v>
      </c>
      <c r="S1327" s="28">
        <v>42095</v>
      </c>
      <c r="T1327" s="29">
        <v>748.13</v>
      </c>
    </row>
    <row r="1328" spans="1:20" s="7" customFormat="1" hidden="1" outlineLevel="3" x14ac:dyDescent="0.2">
      <c r="A1328" s="7" t="s">
        <v>92</v>
      </c>
      <c r="C1328" s="7" t="str">
        <f>+C1321</f>
        <v>Jenny</v>
      </c>
      <c r="D1328" s="7" t="str">
        <f>+D1321</f>
        <v>Lysaker</v>
      </c>
      <c r="E1328" s="8" t="str">
        <f>E1321</f>
        <v>SALES</v>
      </c>
      <c r="G1328" s="8" t="str">
        <f>G1321</f>
        <v>LYSA0001</v>
      </c>
      <c r="K1328" s="12">
        <f>+K1321</f>
        <v>42095</v>
      </c>
      <c r="L1328" s="8" t="str">
        <f>L1321</f>
        <v>10444</v>
      </c>
      <c r="O1328" s="8"/>
      <c r="T1328" s="20"/>
    </row>
    <row r="1329" spans="1:20" s="7" customFormat="1" hidden="1" outlineLevel="2" collapsed="1" x14ac:dyDescent="0.2">
      <c r="A1329" s="7" t="s">
        <v>92</v>
      </c>
      <c r="C1329" s="7" t="str">
        <f t="shared" si="197"/>
        <v>Jenny</v>
      </c>
      <c r="D1329" s="7" t="str">
        <f>+D1328</f>
        <v>Lysaker</v>
      </c>
      <c r="E1329" s="8" t="str">
        <f>E1328</f>
        <v>SALES</v>
      </c>
      <c r="G1329" s="8" t="str">
        <f>G1328</f>
        <v>LYSA0001</v>
      </c>
      <c r="K1329" s="12">
        <f>+K1328</f>
        <v>42095</v>
      </c>
      <c r="L1329" s="8" t="str">
        <f>L1328</f>
        <v>10444</v>
      </c>
      <c r="M1329" s="33" t="str">
        <f>"Total for " &amp; $L1329</f>
        <v>Total for 10444</v>
      </c>
      <c r="N1329" s="34">
        <f>+K1329</f>
        <v>42095</v>
      </c>
      <c r="O1329" s="35"/>
      <c r="P1329" s="33"/>
      <c r="Q1329" s="33"/>
      <c r="R1329" s="33"/>
      <c r="S1329" s="33"/>
      <c r="T1329" s="36">
        <f>SUBTOTAL(9,T1321:T1328)</f>
        <v>922.98</v>
      </c>
    </row>
    <row r="1330" spans="1:20" s="7" customFormat="1" hidden="1" outlineLevel="3" x14ac:dyDescent="0.2">
      <c r="A1330" s="7" t="s">
        <v>92</v>
      </c>
      <c r="C1330" s="7" t="str">
        <f t="shared" si="197"/>
        <v>Jenny</v>
      </c>
      <c r="D1330" s="7" t="str">
        <f>+D1329</f>
        <v>Lysaker</v>
      </c>
      <c r="E1330" s="8" t="str">
        <f>E1329</f>
        <v>SALES</v>
      </c>
      <c r="G1330" s="8" t="str">
        <f>G1329</f>
        <v>LYSA0001</v>
      </c>
      <c r="H1330" s="26"/>
      <c r="I1330" s="26"/>
      <c r="J1330" s="26"/>
      <c r="K1330" s="28">
        <f>+N1330</f>
        <v>42125</v>
      </c>
      <c r="L1330" s="26" t="str">
        <f>M1330</f>
        <v>10469</v>
      </c>
      <c r="M1330" s="26" t="str">
        <f>"10469"</f>
        <v>10469</v>
      </c>
      <c r="N1330" s="28">
        <v>42125</v>
      </c>
      <c r="O1330" s="26"/>
      <c r="P1330" s="26"/>
      <c r="Q1330" s="26"/>
      <c r="R1330" s="26"/>
      <c r="S1330" s="26"/>
      <c r="T1330" s="27"/>
    </row>
    <row r="1331" spans="1:20" s="7" customFormat="1" hidden="1" outlineLevel="3" x14ac:dyDescent="0.2">
      <c r="A1331" s="7" t="s">
        <v>92</v>
      </c>
      <c r="C1331" s="7" t="str">
        <f t="shared" si="197"/>
        <v>Jenny</v>
      </c>
      <c r="D1331" s="7" t="str">
        <f>+D1330</f>
        <v>Lysaker</v>
      </c>
      <c r="E1331" s="8" t="str">
        <f>E1330</f>
        <v>SALES</v>
      </c>
      <c r="G1331" s="8" t="str">
        <f>G1330</f>
        <v>LYSA0001</v>
      </c>
      <c r="H1331" s="26"/>
      <c r="I1331" s="26"/>
      <c r="J1331" s="26"/>
      <c r="K1331" s="28">
        <f>+K1330</f>
        <v>42125</v>
      </c>
      <c r="L1331" s="26" t="str">
        <f>L1330</f>
        <v>10469</v>
      </c>
      <c r="M1331" s="26"/>
      <c r="N1331" s="26"/>
      <c r="O1331" s="26" t="str">
        <f>"""GP Direct"",""Fabrikam, Inc."",""UPR30300"",""PAYRATE"",""0.00000"",""PAYROLCD"",""401K"",""STATECD"","""",""CHEKDATE"",""5/1/2015"",""UPRTRXAM"",""1.12000"""</f>
        <v>"GP Direct","Fabrikam, Inc.","UPR30300","PAYRATE","0.00000","PAYROLCD","401K","STATECD","","CHEKDATE","5/1/2015","UPRTRXAM","1.12000"</v>
      </c>
      <c r="P1331" s="29">
        <v>0</v>
      </c>
      <c r="Q1331" s="26" t="str">
        <f>"401K"</f>
        <v>401K</v>
      </c>
      <c r="R1331" s="26"/>
      <c r="S1331" s="28">
        <v>42125</v>
      </c>
      <c r="T1331" s="29">
        <v>1.1200000000000001</v>
      </c>
    </row>
    <row r="1332" spans="1:20" s="7" customFormat="1" hidden="1" outlineLevel="3" x14ac:dyDescent="0.2">
      <c r="A1332" s="7" t="s">
        <v>92</v>
      </c>
      <c r="C1332" s="7" t="str">
        <f t="shared" ref="C1332:C1337" si="201">+C1331</f>
        <v>Jenny</v>
      </c>
      <c r="D1332" s="7" t="str">
        <f>+D1331</f>
        <v>Lysaker</v>
      </c>
      <c r="E1332" s="8" t="str">
        <f>E1331</f>
        <v>SALES</v>
      </c>
      <c r="G1332" s="8" t="str">
        <f>G1331</f>
        <v>LYSA0001</v>
      </c>
      <c r="H1332" s="26"/>
      <c r="I1332" s="26"/>
      <c r="J1332" s="26"/>
      <c r="K1332" s="28">
        <f>+K1331</f>
        <v>42125</v>
      </c>
      <c r="L1332" s="26" t="str">
        <f>L1331</f>
        <v>10469</v>
      </c>
      <c r="M1332" s="26"/>
      <c r="N1332" s="26"/>
      <c r="O1332" s="26" t="str">
        <f>"""GP Direct"",""Fabrikam, Inc."",""UPR30300"",""PAYRATE"",""0.00000"",""PAYROLCD"",""401K"",""STATECD"","""",""CHEKDATE"",""5/1/2015"",""UPRTRXAM"",""22.44000"""</f>
        <v>"GP Direct","Fabrikam, Inc.","UPR30300","PAYRATE","0.00000","PAYROLCD","401K","STATECD","","CHEKDATE","5/1/2015","UPRTRXAM","22.44000"</v>
      </c>
      <c r="P1332" s="29">
        <v>0</v>
      </c>
      <c r="Q1332" s="26" t="str">
        <f>"401K"</f>
        <v>401K</v>
      </c>
      <c r="R1332" s="26"/>
      <c r="S1332" s="28">
        <v>42125</v>
      </c>
      <c r="T1332" s="29">
        <v>22.44</v>
      </c>
    </row>
    <row r="1333" spans="1:20" s="7" customFormat="1" hidden="1" outlineLevel="3" x14ac:dyDescent="0.2">
      <c r="A1333" s="7" t="s">
        <v>92</v>
      </c>
      <c r="C1333" s="7" t="str">
        <f t="shared" si="201"/>
        <v>Jenny</v>
      </c>
      <c r="D1333" s="7" t="str">
        <f>+D1332</f>
        <v>Lysaker</v>
      </c>
      <c r="E1333" s="8" t="str">
        <f>E1332</f>
        <v>SALES</v>
      </c>
      <c r="G1333" s="8" t="str">
        <f>G1332</f>
        <v>LYSA0001</v>
      </c>
      <c r="H1333" s="26"/>
      <c r="I1333" s="26"/>
      <c r="J1333" s="26"/>
      <c r="K1333" s="28">
        <f>+K1332</f>
        <v>42125</v>
      </c>
      <c r="L1333" s="26" t="str">
        <f>L1332</f>
        <v>10469</v>
      </c>
      <c r="M1333" s="26"/>
      <c r="N1333" s="26"/>
      <c r="O1333" s="26" t="str">
        <f>"""GP Direct"",""Fabrikam, Inc."",""UPR30300"",""PAYRATE"",""0.00000"",""PAYROLCD"",""IL"",""STATECD"","""",""CHEKDATE"",""5/1/2015"",""UPRTRXAM"",""8.98000"""</f>
        <v>"GP Direct","Fabrikam, Inc.","UPR30300","PAYRATE","0.00000","PAYROLCD","IL","STATECD","","CHEKDATE","5/1/2015","UPRTRXAM","8.98000"</v>
      </c>
      <c r="P1333" s="29">
        <v>0</v>
      </c>
      <c r="Q1333" s="26" t="str">
        <f>"IL"</f>
        <v>IL</v>
      </c>
      <c r="R1333" s="26"/>
      <c r="S1333" s="28">
        <v>42125</v>
      </c>
      <c r="T1333" s="29">
        <v>8.98</v>
      </c>
    </row>
    <row r="1334" spans="1:20" s="7" customFormat="1" hidden="1" outlineLevel="3" x14ac:dyDescent="0.2">
      <c r="A1334" s="7" t="s">
        <v>92</v>
      </c>
      <c r="C1334" s="7" t="str">
        <f t="shared" si="201"/>
        <v>Jenny</v>
      </c>
      <c r="D1334" s="7" t="str">
        <f>+D1333</f>
        <v>Lysaker</v>
      </c>
      <c r="E1334" s="8" t="str">
        <f>E1333</f>
        <v>SALES</v>
      </c>
      <c r="G1334" s="8" t="str">
        <f>G1333</f>
        <v>LYSA0001</v>
      </c>
      <c r="H1334" s="26"/>
      <c r="I1334" s="26"/>
      <c r="J1334" s="26"/>
      <c r="K1334" s="28">
        <f>+K1333</f>
        <v>42125</v>
      </c>
      <c r="L1334" s="26" t="str">
        <f>L1333</f>
        <v>10469</v>
      </c>
      <c r="M1334" s="26"/>
      <c r="N1334" s="26"/>
      <c r="O1334" s="26" t="str">
        <f>"""GP Direct"",""Fabrikam, Inc."",""UPR30300"",""PAYRATE"",""0.00000"",""PAYROLCD"",""INS"",""STATECD"","""",""CHEKDATE"",""5/1/2015"",""UPRTRXAM"",""49.36000"""</f>
        <v>"GP Direct","Fabrikam, Inc.","UPR30300","PAYRATE","0.00000","PAYROLCD","INS","STATECD","","CHEKDATE","5/1/2015","UPRTRXAM","49.36000"</v>
      </c>
      <c r="P1334" s="29">
        <v>0</v>
      </c>
      <c r="Q1334" s="26" t="str">
        <f>"INS"</f>
        <v>INS</v>
      </c>
      <c r="R1334" s="26"/>
      <c r="S1334" s="28">
        <v>42125</v>
      </c>
      <c r="T1334" s="29">
        <v>49.36</v>
      </c>
    </row>
    <row r="1335" spans="1:20" s="7" customFormat="1" hidden="1" outlineLevel="3" x14ac:dyDescent="0.2">
      <c r="A1335" s="7" t="s">
        <v>92</v>
      </c>
      <c r="C1335" s="7" t="str">
        <f t="shared" si="201"/>
        <v>Jenny</v>
      </c>
      <c r="D1335" s="7" t="str">
        <f>+D1334</f>
        <v>Lysaker</v>
      </c>
      <c r="E1335" s="8" t="str">
        <f>E1334</f>
        <v>SALES</v>
      </c>
      <c r="G1335" s="8" t="str">
        <f>G1334</f>
        <v>LYSA0001</v>
      </c>
      <c r="H1335" s="26"/>
      <c r="I1335" s="26"/>
      <c r="J1335" s="26"/>
      <c r="K1335" s="28">
        <f>+K1334</f>
        <v>42125</v>
      </c>
      <c r="L1335" s="26" t="str">
        <f>L1334</f>
        <v>10469</v>
      </c>
      <c r="M1335" s="26"/>
      <c r="N1335" s="26"/>
      <c r="O1335" s="26" t="str">
        <f>"""GP Direct"",""Fabrikam, Inc."",""UPR30300"",""PAYRATE"",""0.00000"",""PAYROLCD"",""INS2"",""STATECD"","""",""CHEKDATE"",""5/1/2015"",""UPRTRXAM"",""72.95000"""</f>
        <v>"GP Direct","Fabrikam, Inc.","UPR30300","PAYRATE","0.00000","PAYROLCD","INS2","STATECD","","CHEKDATE","5/1/2015","UPRTRXAM","72.95000"</v>
      </c>
      <c r="P1335" s="29">
        <v>0</v>
      </c>
      <c r="Q1335" s="26" t="str">
        <f>"INS2"</f>
        <v>INS2</v>
      </c>
      <c r="R1335" s="26"/>
      <c r="S1335" s="28">
        <v>42125</v>
      </c>
      <c r="T1335" s="29">
        <v>72.95</v>
      </c>
    </row>
    <row r="1336" spans="1:20" s="7" customFormat="1" hidden="1" outlineLevel="3" x14ac:dyDescent="0.2">
      <c r="A1336" s="7" t="s">
        <v>92</v>
      </c>
      <c r="C1336" s="7" t="str">
        <f t="shared" si="201"/>
        <v>Jenny</v>
      </c>
      <c r="D1336" s="7" t="str">
        <f>+D1335</f>
        <v>Lysaker</v>
      </c>
      <c r="E1336" s="8" t="str">
        <f>E1335</f>
        <v>SALES</v>
      </c>
      <c r="G1336" s="8" t="str">
        <f>G1335</f>
        <v>LYSA0001</v>
      </c>
      <c r="H1336" s="26"/>
      <c r="I1336" s="26"/>
      <c r="J1336" s="26"/>
      <c r="K1336" s="28">
        <f>+K1335</f>
        <v>42125</v>
      </c>
      <c r="L1336" s="26" t="str">
        <f>L1335</f>
        <v>10469</v>
      </c>
      <c r="M1336" s="26"/>
      <c r="N1336" s="26"/>
      <c r="O1336" s="26" t="str">
        <f>"""GP Direct"",""Fabrikam, Inc."",""UPR30300"",""PAYRATE"",""0.00000"",""PAYROLCD"",""MED"",""STATECD"","""",""CHEKDATE"",""5/1/2015"",""UPRTRXAM"",""20.00000"""</f>
        <v>"GP Direct","Fabrikam, Inc.","UPR30300","PAYRATE","0.00000","PAYROLCD","MED","STATECD","","CHEKDATE","5/1/2015","UPRTRXAM","20.00000"</v>
      </c>
      <c r="P1336" s="29">
        <v>0</v>
      </c>
      <c r="Q1336" s="26" t="str">
        <f>"MED"</f>
        <v>MED</v>
      </c>
      <c r="R1336" s="26"/>
      <c r="S1336" s="28">
        <v>42125</v>
      </c>
      <c r="T1336" s="29">
        <v>20</v>
      </c>
    </row>
    <row r="1337" spans="1:20" s="7" customFormat="1" hidden="1" outlineLevel="3" x14ac:dyDescent="0.2">
      <c r="A1337" s="7" t="s">
        <v>92</v>
      </c>
      <c r="C1337" s="7" t="str">
        <f t="shared" si="201"/>
        <v>Jenny</v>
      </c>
      <c r="D1337" s="7" t="str">
        <f>+D1336</f>
        <v>Lysaker</v>
      </c>
      <c r="E1337" s="8" t="str">
        <f>E1336</f>
        <v>SALES</v>
      </c>
      <c r="G1337" s="8" t="str">
        <f>G1336</f>
        <v>LYSA0001</v>
      </c>
      <c r="H1337" s="26"/>
      <c r="I1337" s="26"/>
      <c r="J1337" s="26"/>
      <c r="K1337" s="28">
        <f>+K1336</f>
        <v>42125</v>
      </c>
      <c r="L1337" s="26" t="str">
        <f>L1336</f>
        <v>10469</v>
      </c>
      <c r="M1337" s="26"/>
      <c r="N1337" s="26"/>
      <c r="O1337" s="26" t="str">
        <f>"""GP Direct"",""Fabrikam, Inc."",""UPR30300"",""PAYRATE"",""17955.00000"",""PAYROLCD"",""SALY"",""STATECD"",""IL"",""CHEKDATE"",""5/1/2015"",""UPRTRXAM"",""748.13000"""</f>
        <v>"GP Direct","Fabrikam, Inc.","UPR30300","PAYRATE","17955.00000","PAYROLCD","SALY","STATECD","IL","CHEKDATE","5/1/2015","UPRTRXAM","748.13000"</v>
      </c>
      <c r="P1337" s="29">
        <v>17955</v>
      </c>
      <c r="Q1337" s="26" t="str">
        <f>"SALY"</f>
        <v>SALY</v>
      </c>
      <c r="R1337" s="26" t="str">
        <f>"IL"</f>
        <v>IL</v>
      </c>
      <c r="S1337" s="28">
        <v>42125</v>
      </c>
      <c r="T1337" s="29">
        <v>748.13</v>
      </c>
    </row>
    <row r="1338" spans="1:20" s="7" customFormat="1" hidden="1" outlineLevel="3" x14ac:dyDescent="0.2">
      <c r="A1338" s="7" t="s">
        <v>92</v>
      </c>
      <c r="C1338" s="7" t="str">
        <f>+C1331</f>
        <v>Jenny</v>
      </c>
      <c r="D1338" s="7" t="str">
        <f>+D1331</f>
        <v>Lysaker</v>
      </c>
      <c r="E1338" s="8" t="str">
        <f>E1331</f>
        <v>SALES</v>
      </c>
      <c r="G1338" s="8" t="str">
        <f>G1331</f>
        <v>LYSA0001</v>
      </c>
      <c r="K1338" s="12">
        <f>+K1331</f>
        <v>42125</v>
      </c>
      <c r="L1338" s="8" t="str">
        <f>L1331</f>
        <v>10469</v>
      </c>
      <c r="O1338" s="8"/>
      <c r="T1338" s="20"/>
    </row>
    <row r="1339" spans="1:20" s="7" customFormat="1" hidden="1" outlineLevel="2" collapsed="1" x14ac:dyDescent="0.2">
      <c r="A1339" s="7" t="s">
        <v>92</v>
      </c>
      <c r="C1339" s="7" t="str">
        <f t="shared" si="197"/>
        <v>Jenny</v>
      </c>
      <c r="D1339" s="7" t="str">
        <f>+D1338</f>
        <v>Lysaker</v>
      </c>
      <c r="E1339" s="8" t="str">
        <f>E1338</f>
        <v>SALES</v>
      </c>
      <c r="G1339" s="8" t="str">
        <f>G1338</f>
        <v>LYSA0001</v>
      </c>
      <c r="K1339" s="12">
        <f>+K1338</f>
        <v>42125</v>
      </c>
      <c r="L1339" s="8" t="str">
        <f>L1338</f>
        <v>10469</v>
      </c>
      <c r="M1339" s="33" t="str">
        <f>"Total for " &amp; $L1339</f>
        <v>Total for 10469</v>
      </c>
      <c r="N1339" s="34">
        <f>+K1339</f>
        <v>42125</v>
      </c>
      <c r="O1339" s="35"/>
      <c r="P1339" s="33"/>
      <c r="Q1339" s="33"/>
      <c r="R1339" s="33"/>
      <c r="S1339" s="33"/>
      <c r="T1339" s="36">
        <f>SUBTOTAL(9,T1331:T1338)</f>
        <v>922.98</v>
      </c>
    </row>
    <row r="1340" spans="1:20" s="7" customFormat="1" hidden="1" outlineLevel="3" x14ac:dyDescent="0.2">
      <c r="A1340" s="7" t="s">
        <v>92</v>
      </c>
      <c r="C1340" s="7" t="str">
        <f t="shared" si="197"/>
        <v>Jenny</v>
      </c>
      <c r="D1340" s="7" t="str">
        <f>+D1339</f>
        <v>Lysaker</v>
      </c>
      <c r="E1340" s="8" t="str">
        <f>E1339</f>
        <v>SALES</v>
      </c>
      <c r="G1340" s="8" t="str">
        <f>G1339</f>
        <v>LYSA0001</v>
      </c>
      <c r="H1340" s="26"/>
      <c r="I1340" s="26"/>
      <c r="J1340" s="26"/>
      <c r="K1340" s="28">
        <f>+N1340</f>
        <v>42156</v>
      </c>
      <c r="L1340" s="26" t="str">
        <f>M1340</f>
        <v>10494</v>
      </c>
      <c r="M1340" s="26" t="str">
        <f>"10494"</f>
        <v>10494</v>
      </c>
      <c r="N1340" s="28">
        <v>42156</v>
      </c>
      <c r="O1340" s="26"/>
      <c r="P1340" s="26"/>
      <c r="Q1340" s="26"/>
      <c r="R1340" s="26"/>
      <c r="S1340" s="26"/>
      <c r="T1340" s="27"/>
    </row>
    <row r="1341" spans="1:20" s="7" customFormat="1" hidden="1" outlineLevel="3" x14ac:dyDescent="0.2">
      <c r="A1341" s="7" t="s">
        <v>92</v>
      </c>
      <c r="C1341" s="7" t="str">
        <f t="shared" si="197"/>
        <v>Jenny</v>
      </c>
      <c r="D1341" s="7" t="str">
        <f>+D1340</f>
        <v>Lysaker</v>
      </c>
      <c r="E1341" s="8" t="str">
        <f>E1340</f>
        <v>SALES</v>
      </c>
      <c r="G1341" s="8" t="str">
        <f>G1340</f>
        <v>LYSA0001</v>
      </c>
      <c r="H1341" s="26"/>
      <c r="I1341" s="26"/>
      <c r="J1341" s="26"/>
      <c r="K1341" s="28">
        <f>+K1340</f>
        <v>42156</v>
      </c>
      <c r="L1341" s="26" t="str">
        <f>L1340</f>
        <v>10494</v>
      </c>
      <c r="M1341" s="26"/>
      <c r="N1341" s="26"/>
      <c r="O1341" s="26" t="str">
        <f>"""GP Direct"",""Fabrikam, Inc."",""UPR30300"",""PAYRATE"",""0.00000"",""PAYROLCD"",""401K"",""STATECD"","""",""CHEKDATE"",""6/1/2015"",""UPRTRXAM"",""1.12000"""</f>
        <v>"GP Direct","Fabrikam, Inc.","UPR30300","PAYRATE","0.00000","PAYROLCD","401K","STATECD","","CHEKDATE","6/1/2015","UPRTRXAM","1.12000"</v>
      </c>
      <c r="P1341" s="29">
        <v>0</v>
      </c>
      <c r="Q1341" s="26" t="str">
        <f>"401K"</f>
        <v>401K</v>
      </c>
      <c r="R1341" s="26"/>
      <c r="S1341" s="28">
        <v>42156</v>
      </c>
      <c r="T1341" s="29">
        <v>1.1200000000000001</v>
      </c>
    </row>
    <row r="1342" spans="1:20" s="7" customFormat="1" hidden="1" outlineLevel="3" x14ac:dyDescent="0.2">
      <c r="A1342" s="7" t="s">
        <v>92</v>
      </c>
      <c r="C1342" s="7" t="str">
        <f t="shared" ref="C1342:C1347" si="202">+C1341</f>
        <v>Jenny</v>
      </c>
      <c r="D1342" s="7" t="str">
        <f>+D1341</f>
        <v>Lysaker</v>
      </c>
      <c r="E1342" s="8" t="str">
        <f>E1341</f>
        <v>SALES</v>
      </c>
      <c r="G1342" s="8" t="str">
        <f>G1341</f>
        <v>LYSA0001</v>
      </c>
      <c r="H1342" s="26"/>
      <c r="I1342" s="26"/>
      <c r="J1342" s="26"/>
      <c r="K1342" s="28">
        <f>+K1341</f>
        <v>42156</v>
      </c>
      <c r="L1342" s="26" t="str">
        <f>L1341</f>
        <v>10494</v>
      </c>
      <c r="M1342" s="26"/>
      <c r="N1342" s="26"/>
      <c r="O1342" s="26" t="str">
        <f>"""GP Direct"",""Fabrikam, Inc."",""UPR30300"",""PAYRATE"",""0.00000"",""PAYROLCD"",""401K"",""STATECD"","""",""CHEKDATE"",""6/1/2015"",""UPRTRXAM"",""22.44000"""</f>
        <v>"GP Direct","Fabrikam, Inc.","UPR30300","PAYRATE","0.00000","PAYROLCD","401K","STATECD","","CHEKDATE","6/1/2015","UPRTRXAM","22.44000"</v>
      </c>
      <c r="P1342" s="29">
        <v>0</v>
      </c>
      <c r="Q1342" s="26" t="str">
        <f>"401K"</f>
        <v>401K</v>
      </c>
      <c r="R1342" s="26"/>
      <c r="S1342" s="28">
        <v>42156</v>
      </c>
      <c r="T1342" s="29">
        <v>22.44</v>
      </c>
    </row>
    <row r="1343" spans="1:20" s="7" customFormat="1" hidden="1" outlineLevel="3" x14ac:dyDescent="0.2">
      <c r="A1343" s="7" t="s">
        <v>92</v>
      </c>
      <c r="C1343" s="7" t="str">
        <f t="shared" si="202"/>
        <v>Jenny</v>
      </c>
      <c r="D1343" s="7" t="str">
        <f>+D1342</f>
        <v>Lysaker</v>
      </c>
      <c r="E1343" s="8" t="str">
        <f>E1342</f>
        <v>SALES</v>
      </c>
      <c r="G1343" s="8" t="str">
        <f>G1342</f>
        <v>LYSA0001</v>
      </c>
      <c r="H1343" s="26"/>
      <c r="I1343" s="26"/>
      <c r="J1343" s="26"/>
      <c r="K1343" s="28">
        <f>+K1342</f>
        <v>42156</v>
      </c>
      <c r="L1343" s="26" t="str">
        <f>L1342</f>
        <v>10494</v>
      </c>
      <c r="M1343" s="26"/>
      <c r="N1343" s="26"/>
      <c r="O1343" s="26" t="str">
        <f>"""GP Direct"",""Fabrikam, Inc."",""UPR30300"",""PAYRATE"",""0.00000"",""PAYROLCD"",""IL"",""STATECD"","""",""CHEKDATE"",""6/1/2015"",""UPRTRXAM"",""8.98000"""</f>
        <v>"GP Direct","Fabrikam, Inc.","UPR30300","PAYRATE","0.00000","PAYROLCD","IL","STATECD","","CHEKDATE","6/1/2015","UPRTRXAM","8.98000"</v>
      </c>
      <c r="P1343" s="29">
        <v>0</v>
      </c>
      <c r="Q1343" s="26" t="str">
        <f>"IL"</f>
        <v>IL</v>
      </c>
      <c r="R1343" s="26"/>
      <c r="S1343" s="28">
        <v>42156</v>
      </c>
      <c r="T1343" s="29">
        <v>8.98</v>
      </c>
    </row>
    <row r="1344" spans="1:20" s="7" customFormat="1" hidden="1" outlineLevel="3" x14ac:dyDescent="0.2">
      <c r="A1344" s="7" t="s">
        <v>92</v>
      </c>
      <c r="C1344" s="7" t="str">
        <f t="shared" si="202"/>
        <v>Jenny</v>
      </c>
      <c r="D1344" s="7" t="str">
        <f>+D1343</f>
        <v>Lysaker</v>
      </c>
      <c r="E1344" s="8" t="str">
        <f>E1343</f>
        <v>SALES</v>
      </c>
      <c r="G1344" s="8" t="str">
        <f>G1343</f>
        <v>LYSA0001</v>
      </c>
      <c r="H1344" s="26"/>
      <c r="I1344" s="26"/>
      <c r="J1344" s="26"/>
      <c r="K1344" s="28">
        <f>+K1343</f>
        <v>42156</v>
      </c>
      <c r="L1344" s="26" t="str">
        <f>L1343</f>
        <v>10494</v>
      </c>
      <c r="M1344" s="26"/>
      <c r="N1344" s="26"/>
      <c r="O1344" s="26" t="str">
        <f>"""GP Direct"",""Fabrikam, Inc."",""UPR30300"",""PAYRATE"",""0.00000"",""PAYROLCD"",""INS"",""STATECD"","""",""CHEKDATE"",""6/1/2015"",""UPRTRXAM"",""49.36000"""</f>
        <v>"GP Direct","Fabrikam, Inc.","UPR30300","PAYRATE","0.00000","PAYROLCD","INS","STATECD","","CHEKDATE","6/1/2015","UPRTRXAM","49.36000"</v>
      </c>
      <c r="P1344" s="29">
        <v>0</v>
      </c>
      <c r="Q1344" s="26" t="str">
        <f>"INS"</f>
        <v>INS</v>
      </c>
      <c r="R1344" s="26"/>
      <c r="S1344" s="28">
        <v>42156</v>
      </c>
      <c r="T1344" s="29">
        <v>49.36</v>
      </c>
    </row>
    <row r="1345" spans="1:20" s="7" customFormat="1" hidden="1" outlineLevel="3" x14ac:dyDescent="0.2">
      <c r="A1345" s="7" t="s">
        <v>92</v>
      </c>
      <c r="C1345" s="7" t="str">
        <f t="shared" si="202"/>
        <v>Jenny</v>
      </c>
      <c r="D1345" s="7" t="str">
        <f>+D1344</f>
        <v>Lysaker</v>
      </c>
      <c r="E1345" s="8" t="str">
        <f>E1344</f>
        <v>SALES</v>
      </c>
      <c r="G1345" s="8" t="str">
        <f>G1344</f>
        <v>LYSA0001</v>
      </c>
      <c r="H1345" s="26"/>
      <c r="I1345" s="26"/>
      <c r="J1345" s="26"/>
      <c r="K1345" s="28">
        <f>+K1344</f>
        <v>42156</v>
      </c>
      <c r="L1345" s="26" t="str">
        <f>L1344</f>
        <v>10494</v>
      </c>
      <c r="M1345" s="26"/>
      <c r="N1345" s="26"/>
      <c r="O1345" s="26" t="str">
        <f>"""GP Direct"",""Fabrikam, Inc."",""UPR30300"",""PAYRATE"",""0.00000"",""PAYROLCD"",""INS2"",""STATECD"","""",""CHEKDATE"",""6/1/2015"",""UPRTRXAM"",""72.95000"""</f>
        <v>"GP Direct","Fabrikam, Inc.","UPR30300","PAYRATE","0.00000","PAYROLCD","INS2","STATECD","","CHEKDATE","6/1/2015","UPRTRXAM","72.95000"</v>
      </c>
      <c r="P1345" s="29">
        <v>0</v>
      </c>
      <c r="Q1345" s="26" t="str">
        <f>"INS2"</f>
        <v>INS2</v>
      </c>
      <c r="R1345" s="26"/>
      <c r="S1345" s="28">
        <v>42156</v>
      </c>
      <c r="T1345" s="29">
        <v>72.95</v>
      </c>
    </row>
    <row r="1346" spans="1:20" s="7" customFormat="1" hidden="1" outlineLevel="3" x14ac:dyDescent="0.2">
      <c r="A1346" s="7" t="s">
        <v>92</v>
      </c>
      <c r="C1346" s="7" t="str">
        <f t="shared" si="202"/>
        <v>Jenny</v>
      </c>
      <c r="D1346" s="7" t="str">
        <f>+D1345</f>
        <v>Lysaker</v>
      </c>
      <c r="E1346" s="8" t="str">
        <f>E1345</f>
        <v>SALES</v>
      </c>
      <c r="G1346" s="8" t="str">
        <f>G1345</f>
        <v>LYSA0001</v>
      </c>
      <c r="H1346" s="26"/>
      <c r="I1346" s="26"/>
      <c r="J1346" s="26"/>
      <c r="K1346" s="28">
        <f>+K1345</f>
        <v>42156</v>
      </c>
      <c r="L1346" s="26" t="str">
        <f>L1345</f>
        <v>10494</v>
      </c>
      <c r="M1346" s="26"/>
      <c r="N1346" s="26"/>
      <c r="O1346" s="26" t="str">
        <f>"""GP Direct"",""Fabrikam, Inc."",""UPR30300"",""PAYRATE"",""0.00000"",""PAYROLCD"",""MED"",""STATECD"","""",""CHEKDATE"",""6/1/2015"",""UPRTRXAM"",""20.00000"""</f>
        <v>"GP Direct","Fabrikam, Inc.","UPR30300","PAYRATE","0.00000","PAYROLCD","MED","STATECD","","CHEKDATE","6/1/2015","UPRTRXAM","20.00000"</v>
      </c>
      <c r="P1346" s="29">
        <v>0</v>
      </c>
      <c r="Q1346" s="26" t="str">
        <f>"MED"</f>
        <v>MED</v>
      </c>
      <c r="R1346" s="26"/>
      <c r="S1346" s="28">
        <v>42156</v>
      </c>
      <c r="T1346" s="29">
        <v>20</v>
      </c>
    </row>
    <row r="1347" spans="1:20" s="7" customFormat="1" hidden="1" outlineLevel="3" x14ac:dyDescent="0.2">
      <c r="A1347" s="7" t="s">
        <v>92</v>
      </c>
      <c r="C1347" s="7" t="str">
        <f t="shared" si="202"/>
        <v>Jenny</v>
      </c>
      <c r="D1347" s="7" t="str">
        <f>+D1346</f>
        <v>Lysaker</v>
      </c>
      <c r="E1347" s="8" t="str">
        <f>E1346</f>
        <v>SALES</v>
      </c>
      <c r="G1347" s="8" t="str">
        <f>G1346</f>
        <v>LYSA0001</v>
      </c>
      <c r="H1347" s="26"/>
      <c r="I1347" s="26"/>
      <c r="J1347" s="26"/>
      <c r="K1347" s="28">
        <f>+K1346</f>
        <v>42156</v>
      </c>
      <c r="L1347" s="26" t="str">
        <f>L1346</f>
        <v>10494</v>
      </c>
      <c r="M1347" s="26"/>
      <c r="N1347" s="26"/>
      <c r="O1347" s="26" t="str">
        <f>"""GP Direct"",""Fabrikam, Inc."",""UPR30300"",""PAYRATE"",""17955.00000"",""PAYROLCD"",""SALY"",""STATECD"",""IL"",""CHEKDATE"",""6/1/2015"",""UPRTRXAM"",""748.13000"""</f>
        <v>"GP Direct","Fabrikam, Inc.","UPR30300","PAYRATE","17955.00000","PAYROLCD","SALY","STATECD","IL","CHEKDATE","6/1/2015","UPRTRXAM","748.13000"</v>
      </c>
      <c r="P1347" s="29">
        <v>17955</v>
      </c>
      <c r="Q1347" s="26" t="str">
        <f>"SALY"</f>
        <v>SALY</v>
      </c>
      <c r="R1347" s="26" t="str">
        <f>"IL"</f>
        <v>IL</v>
      </c>
      <c r="S1347" s="28">
        <v>42156</v>
      </c>
      <c r="T1347" s="29">
        <v>748.13</v>
      </c>
    </row>
    <row r="1348" spans="1:20" s="7" customFormat="1" hidden="1" outlineLevel="3" x14ac:dyDescent="0.2">
      <c r="A1348" s="7" t="s">
        <v>92</v>
      </c>
      <c r="C1348" s="7" t="str">
        <f>+C1341</f>
        <v>Jenny</v>
      </c>
      <c r="D1348" s="7" t="str">
        <f>+D1341</f>
        <v>Lysaker</v>
      </c>
      <c r="E1348" s="8" t="str">
        <f>E1341</f>
        <v>SALES</v>
      </c>
      <c r="G1348" s="8" t="str">
        <f>G1341</f>
        <v>LYSA0001</v>
      </c>
      <c r="K1348" s="12">
        <f>+K1341</f>
        <v>42156</v>
      </c>
      <c r="L1348" s="8" t="str">
        <f>L1341</f>
        <v>10494</v>
      </c>
      <c r="O1348" s="8"/>
      <c r="T1348" s="20"/>
    </row>
    <row r="1349" spans="1:20" s="7" customFormat="1" hidden="1" outlineLevel="2" collapsed="1" x14ac:dyDescent="0.2">
      <c r="A1349" s="7" t="s">
        <v>92</v>
      </c>
      <c r="C1349" s="7" t="str">
        <f t="shared" si="197"/>
        <v>Jenny</v>
      </c>
      <c r="D1349" s="7" t="str">
        <f>+D1348</f>
        <v>Lysaker</v>
      </c>
      <c r="E1349" s="8" t="str">
        <f>E1348</f>
        <v>SALES</v>
      </c>
      <c r="G1349" s="8" t="str">
        <f>G1348</f>
        <v>LYSA0001</v>
      </c>
      <c r="K1349" s="12">
        <f>+K1348</f>
        <v>42156</v>
      </c>
      <c r="L1349" s="8" t="str">
        <f>L1348</f>
        <v>10494</v>
      </c>
      <c r="M1349" s="33" t="str">
        <f>"Total for " &amp; $L1349</f>
        <v>Total for 10494</v>
      </c>
      <c r="N1349" s="34">
        <f>+K1349</f>
        <v>42156</v>
      </c>
      <c r="O1349" s="35"/>
      <c r="P1349" s="33"/>
      <c r="Q1349" s="33"/>
      <c r="R1349" s="33"/>
      <c r="S1349" s="33"/>
      <c r="T1349" s="36">
        <f>SUBTOTAL(9,T1341:T1348)</f>
        <v>922.98</v>
      </c>
    </row>
    <row r="1350" spans="1:20" s="7" customFormat="1" hidden="1" outlineLevel="2" x14ac:dyDescent="0.2">
      <c r="A1350" s="7" t="s">
        <v>92</v>
      </c>
      <c r="C1350" s="7" t="str">
        <f>+C1299</f>
        <v>Jenny</v>
      </c>
      <c r="D1350" s="7" t="str">
        <f>+D1299</f>
        <v>Lysaker</v>
      </c>
      <c r="E1350" s="8" t="str">
        <f>E1299</f>
        <v>SALES</v>
      </c>
      <c r="G1350" s="8" t="str">
        <f>G1299</f>
        <v>LYSA0001</v>
      </c>
      <c r="L1350" s="8"/>
      <c r="O1350" s="8"/>
      <c r="T1350" s="20"/>
    </row>
    <row r="1351" spans="1:20" s="7" customFormat="1" hidden="1" outlineLevel="1" collapsed="1" x14ac:dyDescent="0.2">
      <c r="A1351" s="7" t="s">
        <v>92</v>
      </c>
      <c r="C1351" s="7" t="str">
        <f t="shared" si="195"/>
        <v>Jenny</v>
      </c>
      <c r="D1351" s="7" t="str">
        <f>+D1350</f>
        <v>Lysaker</v>
      </c>
      <c r="E1351" s="8" t="str">
        <f>E1350</f>
        <v>SALES</v>
      </c>
      <c r="G1351" s="8" t="str">
        <f>G1350</f>
        <v>LYSA0001</v>
      </c>
      <c r="H1351" s="30" t="str">
        <f>"Total for " &amp; $G1351</f>
        <v>Total for LYSA0001</v>
      </c>
      <c r="I1351" s="30" t="str">
        <f>+C1351</f>
        <v>Jenny</v>
      </c>
      <c r="J1351" s="30" t="str">
        <f>+D1351</f>
        <v>Lysaker</v>
      </c>
      <c r="K1351" s="30"/>
      <c r="L1351" s="31"/>
      <c r="M1351" s="30"/>
      <c r="N1351" s="30"/>
      <c r="O1351" s="31"/>
      <c r="P1351" s="30"/>
      <c r="Q1351" s="30"/>
      <c r="R1351" s="30"/>
      <c r="S1351" s="30"/>
      <c r="T1351" s="32">
        <f>SUBTOTAL(9,T1291:T1350)</f>
        <v>5537.8799999999983</v>
      </c>
    </row>
    <row r="1352" spans="1:20" s="7" customFormat="1" hidden="1" outlineLevel="2" x14ac:dyDescent="0.2">
      <c r="A1352" s="7" t="s">
        <v>92</v>
      </c>
      <c r="C1352" s="7" t="str">
        <f t="shared" ref="C1352" si="203">+I1352</f>
        <v>Sandra</v>
      </c>
      <c r="D1352" s="7" t="str">
        <f>+J1352</f>
        <v>Martinez</v>
      </c>
      <c r="E1352" s="8" t="str">
        <f>E1351</f>
        <v>SALES</v>
      </c>
      <c r="G1352" s="8" t="str">
        <f>H1352</f>
        <v>MART0001</v>
      </c>
      <c r="H1352" s="24" t="str">
        <f>"MART0001"</f>
        <v>MART0001</v>
      </c>
      <c r="I1352" s="25" t="str">
        <f>"Sandra"</f>
        <v>Sandra</v>
      </c>
      <c r="J1352" s="25" t="str">
        <f>"Martinez"</f>
        <v>Martinez</v>
      </c>
      <c r="K1352" s="26"/>
      <c r="L1352" s="26"/>
      <c r="M1352" s="26"/>
      <c r="N1352" s="26"/>
      <c r="O1352" s="26"/>
      <c r="P1352" s="26"/>
      <c r="Q1352" s="26"/>
      <c r="R1352" s="26"/>
      <c r="S1352" s="26"/>
      <c r="T1352" s="27"/>
    </row>
    <row r="1353" spans="1:20" s="7" customFormat="1" hidden="1" outlineLevel="3" x14ac:dyDescent="0.2">
      <c r="A1353" s="7" t="s">
        <v>92</v>
      </c>
      <c r="C1353" s="7" t="str">
        <f t="shared" ref="C1353:C1420" si="204">+C1352</f>
        <v>Sandra</v>
      </c>
      <c r="D1353" s="7" t="str">
        <f>+D1352</f>
        <v>Martinez</v>
      </c>
      <c r="E1353" s="8" t="str">
        <f>E1352</f>
        <v>SALES</v>
      </c>
      <c r="G1353" s="8" t="str">
        <f>G1352</f>
        <v>MART0001</v>
      </c>
      <c r="H1353" s="26"/>
      <c r="I1353" s="26"/>
      <c r="J1353" s="26"/>
      <c r="K1353" s="28">
        <f>+N1353</f>
        <v>42005</v>
      </c>
      <c r="L1353" s="26" t="str">
        <f>M1353</f>
        <v>10370</v>
      </c>
      <c r="M1353" s="26" t="str">
        <f>"10370"</f>
        <v>10370</v>
      </c>
      <c r="N1353" s="28">
        <v>42005</v>
      </c>
      <c r="O1353" s="26"/>
      <c r="P1353" s="26"/>
      <c r="Q1353" s="26"/>
      <c r="R1353" s="26"/>
      <c r="S1353" s="26"/>
      <c r="T1353" s="27"/>
    </row>
    <row r="1354" spans="1:20" s="7" customFormat="1" hidden="1" outlineLevel="3" x14ac:dyDescent="0.2">
      <c r="A1354" s="7" t="s">
        <v>92</v>
      </c>
      <c r="C1354" s="7" t="str">
        <f t="shared" si="204"/>
        <v>Sandra</v>
      </c>
      <c r="D1354" s="7" t="str">
        <f>+D1353</f>
        <v>Martinez</v>
      </c>
      <c r="E1354" s="8" t="str">
        <f>E1353</f>
        <v>SALES</v>
      </c>
      <c r="G1354" s="8" t="str">
        <f>G1353</f>
        <v>MART0001</v>
      </c>
      <c r="H1354" s="26"/>
      <c r="I1354" s="26"/>
      <c r="J1354" s="26"/>
      <c r="K1354" s="28">
        <f>+K1353</f>
        <v>42005</v>
      </c>
      <c r="L1354" s="26" t="str">
        <f>L1353</f>
        <v>10370</v>
      </c>
      <c r="M1354" s="26"/>
      <c r="N1354" s="26"/>
      <c r="O1354" s="26" t="str">
        <f>"""GP Direct"",""Fabrikam, Inc."",""UPR30300"",""PAYRATE"",""0.00000"",""PAYROLCD"",""401K"",""STATECD"","""",""CHEKDATE"",""1/1/2015"",""UPRTRXAM"",""1.50000"""</f>
        <v>"GP Direct","Fabrikam, Inc.","UPR30300","PAYRATE","0.00000","PAYROLCD","401K","STATECD","","CHEKDATE","1/1/2015","UPRTRXAM","1.50000"</v>
      </c>
      <c r="P1354" s="29">
        <v>0</v>
      </c>
      <c r="Q1354" s="26" t="str">
        <f>"401K"</f>
        <v>401K</v>
      </c>
      <c r="R1354" s="26"/>
      <c r="S1354" s="28">
        <v>42005</v>
      </c>
      <c r="T1354" s="29">
        <v>1.5</v>
      </c>
    </row>
    <row r="1355" spans="1:20" s="7" customFormat="1" hidden="1" outlineLevel="3" x14ac:dyDescent="0.2">
      <c r="A1355" s="7" t="s">
        <v>92</v>
      </c>
      <c r="C1355" s="7" t="str">
        <f t="shared" ref="C1355:C1359" si="205">+C1354</f>
        <v>Sandra</v>
      </c>
      <c r="D1355" s="7" t="str">
        <f>+D1354</f>
        <v>Martinez</v>
      </c>
      <c r="E1355" s="8" t="str">
        <f>E1354</f>
        <v>SALES</v>
      </c>
      <c r="G1355" s="8" t="str">
        <f>G1354</f>
        <v>MART0001</v>
      </c>
      <c r="H1355" s="26"/>
      <c r="I1355" s="26"/>
      <c r="J1355" s="26"/>
      <c r="K1355" s="28">
        <f>+K1354</f>
        <v>42005</v>
      </c>
      <c r="L1355" s="26" t="str">
        <f>L1354</f>
        <v>10370</v>
      </c>
      <c r="M1355" s="26"/>
      <c r="N1355" s="26"/>
      <c r="O1355" s="26" t="str">
        <f>"""GP Direct"",""Fabrikam, Inc."",""UPR30300"",""PAYRATE"",""0.00000"",""PAYROLCD"",""401K"",""STATECD"","""",""CHEKDATE"",""1/1/2015"",""UPRTRXAM"",""30.00000"""</f>
        <v>"GP Direct","Fabrikam, Inc.","UPR30300","PAYRATE","0.00000","PAYROLCD","401K","STATECD","","CHEKDATE","1/1/2015","UPRTRXAM","30.00000"</v>
      </c>
      <c r="P1355" s="29">
        <v>0</v>
      </c>
      <c r="Q1355" s="26" t="str">
        <f>"401K"</f>
        <v>401K</v>
      </c>
      <c r="R1355" s="26"/>
      <c r="S1355" s="28">
        <v>42005</v>
      </c>
      <c r="T1355" s="29">
        <v>30</v>
      </c>
    </row>
    <row r="1356" spans="1:20" s="7" customFormat="1" hidden="1" outlineLevel="3" x14ac:dyDescent="0.2">
      <c r="A1356" s="7" t="s">
        <v>92</v>
      </c>
      <c r="C1356" s="7" t="str">
        <f t="shared" si="205"/>
        <v>Sandra</v>
      </c>
      <c r="D1356" s="7" t="str">
        <f>+D1355</f>
        <v>Martinez</v>
      </c>
      <c r="E1356" s="8" t="str">
        <f>E1355</f>
        <v>SALES</v>
      </c>
      <c r="G1356" s="8" t="str">
        <f>G1355</f>
        <v>MART0001</v>
      </c>
      <c r="H1356" s="26"/>
      <c r="I1356" s="26"/>
      <c r="J1356" s="26"/>
      <c r="K1356" s="28">
        <f>+K1355</f>
        <v>42005</v>
      </c>
      <c r="L1356" s="26" t="str">
        <f>L1355</f>
        <v>10370</v>
      </c>
      <c r="M1356" s="26"/>
      <c r="N1356" s="26"/>
      <c r="O1356" s="26" t="str">
        <f>"""GP Direct"",""Fabrikam, Inc."",""UPR30300"",""PAYRATE"",""0.00000"",""PAYROLCD"",""INS"",""STATECD"","""",""CHEKDATE"",""1/1/2015"",""UPRTRXAM"",""49.36000"""</f>
        <v>"GP Direct","Fabrikam, Inc.","UPR30300","PAYRATE","0.00000","PAYROLCD","INS","STATECD","","CHEKDATE","1/1/2015","UPRTRXAM","49.36000"</v>
      </c>
      <c r="P1356" s="29">
        <v>0</v>
      </c>
      <c r="Q1356" s="26" t="str">
        <f>"INS"</f>
        <v>INS</v>
      </c>
      <c r="R1356" s="26"/>
      <c r="S1356" s="28">
        <v>42005</v>
      </c>
      <c r="T1356" s="29">
        <v>49.36</v>
      </c>
    </row>
    <row r="1357" spans="1:20" s="7" customFormat="1" hidden="1" outlineLevel="3" x14ac:dyDescent="0.2">
      <c r="A1357" s="7" t="s">
        <v>92</v>
      </c>
      <c r="C1357" s="7" t="str">
        <f t="shared" si="205"/>
        <v>Sandra</v>
      </c>
      <c r="D1357" s="7" t="str">
        <f>+D1356</f>
        <v>Martinez</v>
      </c>
      <c r="E1357" s="8" t="str">
        <f>E1356</f>
        <v>SALES</v>
      </c>
      <c r="G1357" s="8" t="str">
        <f>G1356</f>
        <v>MART0001</v>
      </c>
      <c r="H1357" s="26"/>
      <c r="I1357" s="26"/>
      <c r="J1357" s="26"/>
      <c r="K1357" s="28">
        <f>+K1356</f>
        <v>42005</v>
      </c>
      <c r="L1357" s="26" t="str">
        <f>L1356</f>
        <v>10370</v>
      </c>
      <c r="M1357" s="26"/>
      <c r="N1357" s="26"/>
      <c r="O1357" s="26" t="str">
        <f>"""GP Direct"",""Fabrikam, Inc."",""UPR30300"",""PAYRATE"",""0.00000"",""PAYROLCD"",""MED"",""STATECD"","""",""CHEKDATE"",""1/1/2015"",""UPRTRXAM"",""10.00000"""</f>
        <v>"GP Direct","Fabrikam, Inc.","UPR30300","PAYRATE","0.00000","PAYROLCD","MED","STATECD","","CHEKDATE","1/1/2015","UPRTRXAM","10.00000"</v>
      </c>
      <c r="P1357" s="29">
        <v>0</v>
      </c>
      <c r="Q1357" s="26" t="str">
        <f>"MED"</f>
        <v>MED</v>
      </c>
      <c r="R1357" s="26"/>
      <c r="S1357" s="28">
        <v>42005</v>
      </c>
      <c r="T1357" s="29">
        <v>10</v>
      </c>
    </row>
    <row r="1358" spans="1:20" s="7" customFormat="1" hidden="1" outlineLevel="3" x14ac:dyDescent="0.2">
      <c r="A1358" s="7" t="s">
        <v>92</v>
      </c>
      <c r="C1358" s="7" t="str">
        <f t="shared" si="205"/>
        <v>Sandra</v>
      </c>
      <c r="D1358" s="7" t="str">
        <f>+D1357</f>
        <v>Martinez</v>
      </c>
      <c r="E1358" s="8" t="str">
        <f>E1357</f>
        <v>SALES</v>
      </c>
      <c r="G1358" s="8" t="str">
        <f>G1357</f>
        <v>MART0001</v>
      </c>
      <c r="H1358" s="26"/>
      <c r="I1358" s="26"/>
      <c r="J1358" s="26"/>
      <c r="K1358" s="28">
        <f>+K1357</f>
        <v>42005</v>
      </c>
      <c r="L1358" s="26" t="str">
        <f>L1357</f>
        <v>10370</v>
      </c>
      <c r="M1358" s="26"/>
      <c r="N1358" s="26"/>
      <c r="O1358" s="26" t="str">
        <f>"""GP Direct"",""Fabrikam, Inc."",""UPR30300"",""PAYRATE"",""0.00000"",""PAYROLCD"",""MN"",""STATECD"","""",""CHEKDATE"",""1/1/2015"",""UPRTRXAM"",""13.24000"""</f>
        <v>"GP Direct","Fabrikam, Inc.","UPR30300","PAYRATE","0.00000","PAYROLCD","MN","STATECD","","CHEKDATE","1/1/2015","UPRTRXAM","13.24000"</v>
      </c>
      <c r="P1358" s="29">
        <v>0</v>
      </c>
      <c r="Q1358" s="26" t="str">
        <f>"MN"</f>
        <v>MN</v>
      </c>
      <c r="R1358" s="26"/>
      <c r="S1358" s="28">
        <v>42005</v>
      </c>
      <c r="T1358" s="29">
        <v>13.24</v>
      </c>
    </row>
    <row r="1359" spans="1:20" s="7" customFormat="1" hidden="1" outlineLevel="3" x14ac:dyDescent="0.2">
      <c r="A1359" s="7" t="s">
        <v>92</v>
      </c>
      <c r="C1359" s="7" t="str">
        <f t="shared" si="205"/>
        <v>Sandra</v>
      </c>
      <c r="D1359" s="7" t="str">
        <f>+D1358</f>
        <v>Martinez</v>
      </c>
      <c r="E1359" s="8" t="str">
        <f>E1358</f>
        <v>SALES</v>
      </c>
      <c r="G1359" s="8" t="str">
        <f>G1358</f>
        <v>MART0001</v>
      </c>
      <c r="H1359" s="26"/>
      <c r="I1359" s="26"/>
      <c r="J1359" s="26"/>
      <c r="K1359" s="28">
        <f>+K1358</f>
        <v>42005</v>
      </c>
      <c r="L1359" s="26" t="str">
        <f>L1358</f>
        <v>10370</v>
      </c>
      <c r="M1359" s="26"/>
      <c r="N1359" s="26"/>
      <c r="O1359" s="26" t="str">
        <f>"""GP Direct"",""Fabrikam, Inc."",""UPR30300"",""PAYRATE"",""24000.00000"",""PAYROLCD"",""SALY"",""STATECD"",""MN"",""CHEKDATE"",""1/1/2015"",""UPRTRXAM"",""1000.00000"""</f>
        <v>"GP Direct","Fabrikam, Inc.","UPR30300","PAYRATE","24000.00000","PAYROLCD","SALY","STATECD","MN","CHEKDATE","1/1/2015","UPRTRXAM","1000.00000"</v>
      </c>
      <c r="P1359" s="29">
        <v>24000</v>
      </c>
      <c r="Q1359" s="26" t="str">
        <f>"SALY"</f>
        <v>SALY</v>
      </c>
      <c r="R1359" s="26" t="str">
        <f>"MN"</f>
        <v>MN</v>
      </c>
      <c r="S1359" s="28">
        <v>42005</v>
      </c>
      <c r="T1359" s="29">
        <v>1000</v>
      </c>
    </row>
    <row r="1360" spans="1:20" s="7" customFormat="1" hidden="1" outlineLevel="3" x14ac:dyDescent="0.2">
      <c r="A1360" s="7" t="s">
        <v>92</v>
      </c>
      <c r="C1360" s="7" t="str">
        <f>+C1354</f>
        <v>Sandra</v>
      </c>
      <c r="D1360" s="7" t="str">
        <f>+D1354</f>
        <v>Martinez</v>
      </c>
      <c r="E1360" s="8" t="str">
        <f>E1354</f>
        <v>SALES</v>
      </c>
      <c r="G1360" s="8" t="str">
        <f>G1354</f>
        <v>MART0001</v>
      </c>
      <c r="K1360" s="12">
        <f>+K1354</f>
        <v>42005</v>
      </c>
      <c r="L1360" s="8" t="str">
        <f>L1354</f>
        <v>10370</v>
      </c>
      <c r="O1360" s="8"/>
      <c r="T1360" s="20"/>
    </row>
    <row r="1361" spans="1:20" s="7" customFormat="1" hidden="1" outlineLevel="2" collapsed="1" x14ac:dyDescent="0.2">
      <c r="A1361" s="7" t="s">
        <v>92</v>
      </c>
      <c r="C1361" s="7" t="str">
        <f t="shared" si="204"/>
        <v>Sandra</v>
      </c>
      <c r="D1361" s="7" t="str">
        <f>+D1360</f>
        <v>Martinez</v>
      </c>
      <c r="E1361" s="8" t="str">
        <f>E1360</f>
        <v>SALES</v>
      </c>
      <c r="G1361" s="8" t="str">
        <f>G1360</f>
        <v>MART0001</v>
      </c>
      <c r="K1361" s="12">
        <f>+K1360</f>
        <v>42005</v>
      </c>
      <c r="L1361" s="8" t="str">
        <f>L1360</f>
        <v>10370</v>
      </c>
      <c r="M1361" s="33" t="str">
        <f>"Total for " &amp; $L1361</f>
        <v>Total for 10370</v>
      </c>
      <c r="N1361" s="34">
        <f>+K1361</f>
        <v>42005</v>
      </c>
      <c r="O1361" s="35"/>
      <c r="P1361" s="33"/>
      <c r="Q1361" s="33"/>
      <c r="R1361" s="33"/>
      <c r="S1361" s="33"/>
      <c r="T1361" s="36">
        <f>SUBTOTAL(9,T1354:T1360)</f>
        <v>1104.0999999999999</v>
      </c>
    </row>
    <row r="1362" spans="1:20" s="7" customFormat="1" hidden="1" outlineLevel="3" x14ac:dyDescent="0.2">
      <c r="A1362" s="7" t="s">
        <v>92</v>
      </c>
      <c r="C1362" s="7" t="str">
        <f t="shared" ref="C1362:C1418" si="206">+C1361</f>
        <v>Sandra</v>
      </c>
      <c r="D1362" s="7" t="str">
        <f>+D1361</f>
        <v>Martinez</v>
      </c>
      <c r="E1362" s="8" t="str">
        <f>E1361</f>
        <v>SALES</v>
      </c>
      <c r="G1362" s="8" t="str">
        <f>G1361</f>
        <v>MART0001</v>
      </c>
      <c r="H1362" s="26"/>
      <c r="I1362" s="26"/>
      <c r="J1362" s="26"/>
      <c r="K1362" s="28">
        <f>+N1362</f>
        <v>42036</v>
      </c>
      <c r="L1362" s="26" t="str">
        <f>M1362</f>
        <v>10395</v>
      </c>
      <c r="M1362" s="26" t="str">
        <f>"10395"</f>
        <v>10395</v>
      </c>
      <c r="N1362" s="28">
        <v>42036</v>
      </c>
      <c r="O1362" s="26"/>
      <c r="P1362" s="26"/>
      <c r="Q1362" s="26"/>
      <c r="R1362" s="26"/>
      <c r="S1362" s="26"/>
      <c r="T1362" s="27"/>
    </row>
    <row r="1363" spans="1:20" s="7" customFormat="1" hidden="1" outlineLevel="3" x14ac:dyDescent="0.2">
      <c r="A1363" s="7" t="s">
        <v>92</v>
      </c>
      <c r="C1363" s="7" t="str">
        <f t="shared" si="206"/>
        <v>Sandra</v>
      </c>
      <c r="D1363" s="7" t="str">
        <f>+D1362</f>
        <v>Martinez</v>
      </c>
      <c r="E1363" s="8" t="str">
        <f>E1362</f>
        <v>SALES</v>
      </c>
      <c r="G1363" s="8" t="str">
        <f>G1362</f>
        <v>MART0001</v>
      </c>
      <c r="H1363" s="26"/>
      <c r="I1363" s="26"/>
      <c r="J1363" s="26"/>
      <c r="K1363" s="28">
        <f>+K1362</f>
        <v>42036</v>
      </c>
      <c r="L1363" s="26" t="str">
        <f>L1362</f>
        <v>10395</v>
      </c>
      <c r="M1363" s="26"/>
      <c r="N1363" s="26"/>
      <c r="O1363" s="26" t="str">
        <f>"""GP Direct"",""Fabrikam, Inc."",""UPR30300"",""PAYRATE"",""0.00000"",""PAYROLCD"",""401K"",""STATECD"","""",""CHEKDATE"",""2/1/2015"",""UPRTRXAM"",""1.22000"""</f>
        <v>"GP Direct","Fabrikam, Inc.","UPR30300","PAYRATE","0.00000","PAYROLCD","401K","STATECD","","CHEKDATE","2/1/2015","UPRTRXAM","1.22000"</v>
      </c>
      <c r="P1363" s="29">
        <v>0</v>
      </c>
      <c r="Q1363" s="26" t="str">
        <f>"401K"</f>
        <v>401K</v>
      </c>
      <c r="R1363" s="26"/>
      <c r="S1363" s="28">
        <v>42036</v>
      </c>
      <c r="T1363" s="29">
        <v>1.22</v>
      </c>
    </row>
    <row r="1364" spans="1:20" s="7" customFormat="1" hidden="1" outlineLevel="3" x14ac:dyDescent="0.2">
      <c r="A1364" s="7" t="s">
        <v>92</v>
      </c>
      <c r="C1364" s="7" t="str">
        <f t="shared" ref="C1364:C1369" si="207">+C1363</f>
        <v>Sandra</v>
      </c>
      <c r="D1364" s="7" t="str">
        <f>+D1363</f>
        <v>Martinez</v>
      </c>
      <c r="E1364" s="8" t="str">
        <f>E1363</f>
        <v>SALES</v>
      </c>
      <c r="G1364" s="8" t="str">
        <f>G1363</f>
        <v>MART0001</v>
      </c>
      <c r="H1364" s="26"/>
      <c r="I1364" s="26"/>
      <c r="J1364" s="26"/>
      <c r="K1364" s="28">
        <f>+K1363</f>
        <v>42036</v>
      </c>
      <c r="L1364" s="26" t="str">
        <f>L1363</f>
        <v>10395</v>
      </c>
      <c r="M1364" s="26"/>
      <c r="N1364" s="26"/>
      <c r="O1364" s="26" t="str">
        <f>"""GP Direct"",""Fabrikam, Inc."",""UPR30300"",""PAYRATE"",""0.00000"",""PAYROLCD"",""401K"",""STATECD"","""",""CHEKDATE"",""2/1/2015"",""UPRTRXAM"",""24.46000"""</f>
        <v>"GP Direct","Fabrikam, Inc.","UPR30300","PAYRATE","0.00000","PAYROLCD","401K","STATECD","","CHEKDATE","2/1/2015","UPRTRXAM","24.46000"</v>
      </c>
      <c r="P1364" s="29">
        <v>0</v>
      </c>
      <c r="Q1364" s="26" t="str">
        <f>"401K"</f>
        <v>401K</v>
      </c>
      <c r="R1364" s="26"/>
      <c r="S1364" s="28">
        <v>42036</v>
      </c>
      <c r="T1364" s="29">
        <v>24.46</v>
      </c>
    </row>
    <row r="1365" spans="1:20" s="7" customFormat="1" hidden="1" outlineLevel="3" x14ac:dyDescent="0.2">
      <c r="A1365" s="7" t="s">
        <v>92</v>
      </c>
      <c r="C1365" s="7" t="str">
        <f t="shared" si="207"/>
        <v>Sandra</v>
      </c>
      <c r="D1365" s="7" t="str">
        <f>+D1364</f>
        <v>Martinez</v>
      </c>
      <c r="E1365" s="8" t="str">
        <f>E1364</f>
        <v>SALES</v>
      </c>
      <c r="G1365" s="8" t="str">
        <f>G1364</f>
        <v>MART0001</v>
      </c>
      <c r="H1365" s="26"/>
      <c r="I1365" s="26"/>
      <c r="J1365" s="26"/>
      <c r="K1365" s="28">
        <f>+K1364</f>
        <v>42036</v>
      </c>
      <c r="L1365" s="26" t="str">
        <f>L1364</f>
        <v>10395</v>
      </c>
      <c r="M1365" s="26"/>
      <c r="N1365" s="26"/>
      <c r="O1365" s="26" t="str">
        <f>"""GP Direct"",""Fabrikam, Inc."",""UPR30300"",""PAYRATE"",""0.00000"",""PAYROLCD"",""HOLI"",""STATECD"",""MN"",""CHEKDATE"",""2/1/2015"",""UPRTRXAM"",""0.00000"""</f>
        <v>"GP Direct","Fabrikam, Inc.","UPR30300","PAYRATE","0.00000","PAYROLCD","HOLI","STATECD","MN","CHEKDATE","2/1/2015","UPRTRXAM","0.00000"</v>
      </c>
      <c r="P1365" s="29">
        <v>0</v>
      </c>
      <c r="Q1365" s="26" t="str">
        <f>"HOLI"</f>
        <v>HOLI</v>
      </c>
      <c r="R1365" s="26" t="str">
        <f>"MN"</f>
        <v>MN</v>
      </c>
      <c r="S1365" s="28">
        <v>42036</v>
      </c>
      <c r="T1365" s="29">
        <v>0</v>
      </c>
    </row>
    <row r="1366" spans="1:20" s="7" customFormat="1" hidden="1" outlineLevel="3" x14ac:dyDescent="0.2">
      <c r="A1366" s="7" t="s">
        <v>92</v>
      </c>
      <c r="C1366" s="7" t="str">
        <f t="shared" si="207"/>
        <v>Sandra</v>
      </c>
      <c r="D1366" s="7" t="str">
        <f>+D1365</f>
        <v>Martinez</v>
      </c>
      <c r="E1366" s="8" t="str">
        <f>E1365</f>
        <v>SALES</v>
      </c>
      <c r="G1366" s="8" t="str">
        <f>G1365</f>
        <v>MART0001</v>
      </c>
      <c r="H1366" s="26"/>
      <c r="I1366" s="26"/>
      <c r="J1366" s="26"/>
      <c r="K1366" s="28">
        <f>+K1365</f>
        <v>42036</v>
      </c>
      <c r="L1366" s="26" t="str">
        <f>L1365</f>
        <v>10395</v>
      </c>
      <c r="M1366" s="26"/>
      <c r="N1366" s="26"/>
      <c r="O1366" s="26" t="str">
        <f>"""GP Direct"",""Fabrikam, Inc."",""UPR30300"",""PAYRATE"",""0.00000"",""PAYROLCD"",""INS"",""STATECD"","""",""CHEKDATE"",""2/1/2015"",""UPRTRXAM"",""49.36000"""</f>
        <v>"GP Direct","Fabrikam, Inc.","UPR30300","PAYRATE","0.00000","PAYROLCD","INS","STATECD","","CHEKDATE","2/1/2015","UPRTRXAM","49.36000"</v>
      </c>
      <c r="P1366" s="29">
        <v>0</v>
      </c>
      <c r="Q1366" s="26" t="str">
        <f>"INS"</f>
        <v>INS</v>
      </c>
      <c r="R1366" s="26"/>
      <c r="S1366" s="28">
        <v>42036</v>
      </c>
      <c r="T1366" s="29">
        <v>49.36</v>
      </c>
    </row>
    <row r="1367" spans="1:20" s="7" customFormat="1" hidden="1" outlineLevel="3" x14ac:dyDescent="0.2">
      <c r="A1367" s="7" t="s">
        <v>92</v>
      </c>
      <c r="C1367" s="7" t="str">
        <f t="shared" si="207"/>
        <v>Sandra</v>
      </c>
      <c r="D1367" s="7" t="str">
        <f>+D1366</f>
        <v>Martinez</v>
      </c>
      <c r="E1367" s="8" t="str">
        <f>E1366</f>
        <v>SALES</v>
      </c>
      <c r="G1367" s="8" t="str">
        <f>G1366</f>
        <v>MART0001</v>
      </c>
      <c r="H1367" s="26"/>
      <c r="I1367" s="26"/>
      <c r="J1367" s="26"/>
      <c r="K1367" s="28">
        <f>+K1366</f>
        <v>42036</v>
      </c>
      <c r="L1367" s="26" t="str">
        <f>L1366</f>
        <v>10395</v>
      </c>
      <c r="M1367" s="26"/>
      <c r="N1367" s="26"/>
      <c r="O1367" s="26" t="str">
        <f>"""GP Direct"",""Fabrikam, Inc."",""UPR30300"",""PAYRATE"",""0.00000"",""PAYROLCD"",""MED"",""STATECD"","""",""CHEKDATE"",""2/1/2015"",""UPRTRXAM"",""10.00000"""</f>
        <v>"GP Direct","Fabrikam, Inc.","UPR30300","PAYRATE","0.00000","PAYROLCD","MED","STATECD","","CHEKDATE","2/1/2015","UPRTRXAM","10.00000"</v>
      </c>
      <c r="P1367" s="29">
        <v>0</v>
      </c>
      <c r="Q1367" s="26" t="str">
        <f>"MED"</f>
        <v>MED</v>
      </c>
      <c r="R1367" s="26"/>
      <c r="S1367" s="28">
        <v>42036</v>
      </c>
      <c r="T1367" s="29">
        <v>10</v>
      </c>
    </row>
    <row r="1368" spans="1:20" s="7" customFormat="1" hidden="1" outlineLevel="3" x14ac:dyDescent="0.2">
      <c r="A1368" s="7" t="s">
        <v>92</v>
      </c>
      <c r="C1368" s="7" t="str">
        <f t="shared" si="207"/>
        <v>Sandra</v>
      </c>
      <c r="D1368" s="7" t="str">
        <f>+D1367</f>
        <v>Martinez</v>
      </c>
      <c r="E1368" s="8" t="str">
        <f>E1367</f>
        <v>SALES</v>
      </c>
      <c r="G1368" s="8" t="str">
        <f>G1367</f>
        <v>MART0001</v>
      </c>
      <c r="H1368" s="26"/>
      <c r="I1368" s="26"/>
      <c r="J1368" s="26"/>
      <c r="K1368" s="28">
        <f>+K1367</f>
        <v>42036</v>
      </c>
      <c r="L1368" s="26" t="str">
        <f>L1367</f>
        <v>10395</v>
      </c>
      <c r="M1368" s="26"/>
      <c r="N1368" s="26"/>
      <c r="O1368" s="26" t="str">
        <f>"""GP Direct"",""Fabrikam, Inc."",""UPR30300"",""PAYRATE"",""0.00000"",""PAYROLCD"",""MN"",""STATECD"","""",""CHEKDATE"",""2/1/2015"",""UPRTRXAM"",""3.66000"""</f>
        <v>"GP Direct","Fabrikam, Inc.","UPR30300","PAYRATE","0.00000","PAYROLCD","MN","STATECD","","CHEKDATE","2/1/2015","UPRTRXAM","3.66000"</v>
      </c>
      <c r="P1368" s="29">
        <v>0</v>
      </c>
      <c r="Q1368" s="26" t="str">
        <f>"MN"</f>
        <v>MN</v>
      </c>
      <c r="R1368" s="26"/>
      <c r="S1368" s="28">
        <v>42036</v>
      </c>
      <c r="T1368" s="29">
        <v>3.66</v>
      </c>
    </row>
    <row r="1369" spans="1:20" s="7" customFormat="1" hidden="1" outlineLevel="3" x14ac:dyDescent="0.2">
      <c r="A1369" s="7" t="s">
        <v>92</v>
      </c>
      <c r="C1369" s="7" t="str">
        <f t="shared" si="207"/>
        <v>Sandra</v>
      </c>
      <c r="D1369" s="7" t="str">
        <f>+D1368</f>
        <v>Martinez</v>
      </c>
      <c r="E1369" s="8" t="str">
        <f>E1368</f>
        <v>SALES</v>
      </c>
      <c r="G1369" s="8" t="str">
        <f>G1368</f>
        <v>MART0001</v>
      </c>
      <c r="H1369" s="26"/>
      <c r="I1369" s="26"/>
      <c r="J1369" s="26"/>
      <c r="K1369" s="28">
        <f>+K1368</f>
        <v>42036</v>
      </c>
      <c r="L1369" s="26" t="str">
        <f>L1368</f>
        <v>10395</v>
      </c>
      <c r="M1369" s="26"/>
      <c r="N1369" s="26"/>
      <c r="O1369" s="26" t="str">
        <f>"""GP Direct"",""Fabrikam, Inc."",""UPR30300"",""PAYRATE"",""11.53846"",""PAYROLCD"",""SALY"",""STATECD"",""MN"",""CHEKDATE"",""2/1/2015"",""UPRTRXAM"",""815.38000"""</f>
        <v>"GP Direct","Fabrikam, Inc.","UPR30300","PAYRATE","11.53846","PAYROLCD","SALY","STATECD","MN","CHEKDATE","2/1/2015","UPRTRXAM","815.38000"</v>
      </c>
      <c r="P1369" s="29">
        <v>11.538500000000001</v>
      </c>
      <c r="Q1369" s="26" t="str">
        <f>"SALY"</f>
        <v>SALY</v>
      </c>
      <c r="R1369" s="26" t="str">
        <f>"MN"</f>
        <v>MN</v>
      </c>
      <c r="S1369" s="28">
        <v>42036</v>
      </c>
      <c r="T1369" s="29">
        <v>815.38</v>
      </c>
    </row>
    <row r="1370" spans="1:20" s="7" customFormat="1" hidden="1" outlineLevel="3" x14ac:dyDescent="0.2">
      <c r="A1370" s="7" t="s">
        <v>92</v>
      </c>
      <c r="C1370" s="7" t="str">
        <f>+C1363</f>
        <v>Sandra</v>
      </c>
      <c r="D1370" s="7" t="str">
        <f>+D1363</f>
        <v>Martinez</v>
      </c>
      <c r="E1370" s="8" t="str">
        <f>E1363</f>
        <v>SALES</v>
      </c>
      <c r="G1370" s="8" t="str">
        <f>G1363</f>
        <v>MART0001</v>
      </c>
      <c r="K1370" s="12">
        <f>+K1363</f>
        <v>42036</v>
      </c>
      <c r="L1370" s="8" t="str">
        <f>L1363</f>
        <v>10395</v>
      </c>
      <c r="O1370" s="8"/>
      <c r="T1370" s="20"/>
    </row>
    <row r="1371" spans="1:20" s="7" customFormat="1" hidden="1" outlineLevel="2" collapsed="1" x14ac:dyDescent="0.2">
      <c r="A1371" s="7" t="s">
        <v>92</v>
      </c>
      <c r="C1371" s="7" t="str">
        <f t="shared" si="206"/>
        <v>Sandra</v>
      </c>
      <c r="D1371" s="7" t="str">
        <f>+D1370</f>
        <v>Martinez</v>
      </c>
      <c r="E1371" s="8" t="str">
        <f>E1370</f>
        <v>SALES</v>
      </c>
      <c r="G1371" s="8" t="str">
        <f>G1370</f>
        <v>MART0001</v>
      </c>
      <c r="K1371" s="12">
        <f>+K1370</f>
        <v>42036</v>
      </c>
      <c r="L1371" s="8" t="str">
        <f>L1370</f>
        <v>10395</v>
      </c>
      <c r="M1371" s="33" t="str">
        <f>"Total for " &amp; $L1371</f>
        <v>Total for 10395</v>
      </c>
      <c r="N1371" s="34">
        <f>+K1371</f>
        <v>42036</v>
      </c>
      <c r="O1371" s="35"/>
      <c r="P1371" s="33"/>
      <c r="Q1371" s="33"/>
      <c r="R1371" s="33"/>
      <c r="S1371" s="33"/>
      <c r="T1371" s="36">
        <f>SUBTOTAL(9,T1363:T1370)</f>
        <v>904.07999999999993</v>
      </c>
    </row>
    <row r="1372" spans="1:20" s="7" customFormat="1" hidden="1" outlineLevel="3" x14ac:dyDescent="0.2">
      <c r="A1372" s="7" t="s">
        <v>92</v>
      </c>
      <c r="C1372" s="7" t="str">
        <f t="shared" si="206"/>
        <v>Sandra</v>
      </c>
      <c r="D1372" s="7" t="str">
        <f>+D1371</f>
        <v>Martinez</v>
      </c>
      <c r="E1372" s="8" t="str">
        <f>E1371</f>
        <v>SALES</v>
      </c>
      <c r="G1372" s="8" t="str">
        <f>G1371</f>
        <v>MART0001</v>
      </c>
      <c r="H1372" s="26"/>
      <c r="I1372" s="26"/>
      <c r="J1372" s="26"/>
      <c r="K1372" s="28">
        <f>+N1372</f>
        <v>42064</v>
      </c>
      <c r="L1372" s="26" t="str">
        <f>M1372</f>
        <v>10420</v>
      </c>
      <c r="M1372" s="26" t="str">
        <f>"10420"</f>
        <v>10420</v>
      </c>
      <c r="N1372" s="28">
        <v>42064</v>
      </c>
      <c r="O1372" s="26"/>
      <c r="P1372" s="26"/>
      <c r="Q1372" s="26"/>
      <c r="R1372" s="26"/>
      <c r="S1372" s="26"/>
      <c r="T1372" s="27"/>
    </row>
    <row r="1373" spans="1:20" s="7" customFormat="1" hidden="1" outlineLevel="3" x14ac:dyDescent="0.2">
      <c r="A1373" s="7" t="s">
        <v>92</v>
      </c>
      <c r="C1373" s="7" t="str">
        <f t="shared" si="206"/>
        <v>Sandra</v>
      </c>
      <c r="D1373" s="7" t="str">
        <f>+D1372</f>
        <v>Martinez</v>
      </c>
      <c r="E1373" s="8" t="str">
        <f>E1372</f>
        <v>SALES</v>
      </c>
      <c r="G1373" s="8" t="str">
        <f>G1372</f>
        <v>MART0001</v>
      </c>
      <c r="H1373" s="26"/>
      <c r="I1373" s="26"/>
      <c r="J1373" s="26"/>
      <c r="K1373" s="28">
        <f>+K1372</f>
        <v>42064</v>
      </c>
      <c r="L1373" s="26" t="str">
        <f>L1372</f>
        <v>10420</v>
      </c>
      <c r="M1373" s="26"/>
      <c r="N1373" s="26"/>
      <c r="O1373" s="26" t="str">
        <f>"""GP Direct"",""Fabrikam, Inc."",""UPR30300"",""PAYRATE"",""0.00000"",""PAYROLCD"",""401K"",""STATECD"","""",""CHEKDATE"",""3/1/2015"",""UPRTRXAM"",""1.50000"""</f>
        <v>"GP Direct","Fabrikam, Inc.","UPR30300","PAYRATE","0.00000","PAYROLCD","401K","STATECD","","CHEKDATE","3/1/2015","UPRTRXAM","1.50000"</v>
      </c>
      <c r="P1373" s="29">
        <v>0</v>
      </c>
      <c r="Q1373" s="26" t="str">
        <f>"401K"</f>
        <v>401K</v>
      </c>
      <c r="R1373" s="26"/>
      <c r="S1373" s="28">
        <v>42064</v>
      </c>
      <c r="T1373" s="29">
        <v>1.5</v>
      </c>
    </row>
    <row r="1374" spans="1:20" s="7" customFormat="1" hidden="1" outlineLevel="3" x14ac:dyDescent="0.2">
      <c r="A1374" s="7" t="s">
        <v>92</v>
      </c>
      <c r="C1374" s="7" t="str">
        <f t="shared" ref="C1374:C1378" si="208">+C1373</f>
        <v>Sandra</v>
      </c>
      <c r="D1374" s="7" t="str">
        <f>+D1373</f>
        <v>Martinez</v>
      </c>
      <c r="E1374" s="8" t="str">
        <f>E1373</f>
        <v>SALES</v>
      </c>
      <c r="G1374" s="8" t="str">
        <f>G1373</f>
        <v>MART0001</v>
      </c>
      <c r="H1374" s="26"/>
      <c r="I1374" s="26"/>
      <c r="J1374" s="26"/>
      <c r="K1374" s="28">
        <f>+K1373</f>
        <v>42064</v>
      </c>
      <c r="L1374" s="26" t="str">
        <f>L1373</f>
        <v>10420</v>
      </c>
      <c r="M1374" s="26"/>
      <c r="N1374" s="26"/>
      <c r="O1374" s="26" t="str">
        <f>"""GP Direct"",""Fabrikam, Inc."",""UPR30300"",""PAYRATE"",""0.00000"",""PAYROLCD"",""401K"",""STATECD"","""",""CHEKDATE"",""3/1/2015"",""UPRTRXAM"",""30.00000"""</f>
        <v>"GP Direct","Fabrikam, Inc.","UPR30300","PAYRATE","0.00000","PAYROLCD","401K","STATECD","","CHEKDATE","3/1/2015","UPRTRXAM","30.00000"</v>
      </c>
      <c r="P1374" s="29">
        <v>0</v>
      </c>
      <c r="Q1374" s="26" t="str">
        <f>"401K"</f>
        <v>401K</v>
      </c>
      <c r="R1374" s="26"/>
      <c r="S1374" s="28">
        <v>42064</v>
      </c>
      <c r="T1374" s="29">
        <v>30</v>
      </c>
    </row>
    <row r="1375" spans="1:20" s="7" customFormat="1" hidden="1" outlineLevel="3" x14ac:dyDescent="0.2">
      <c r="A1375" s="7" t="s">
        <v>92</v>
      </c>
      <c r="C1375" s="7" t="str">
        <f t="shared" si="208"/>
        <v>Sandra</v>
      </c>
      <c r="D1375" s="7" t="str">
        <f>+D1374</f>
        <v>Martinez</v>
      </c>
      <c r="E1375" s="8" t="str">
        <f>E1374</f>
        <v>SALES</v>
      </c>
      <c r="G1375" s="8" t="str">
        <f>G1374</f>
        <v>MART0001</v>
      </c>
      <c r="H1375" s="26"/>
      <c r="I1375" s="26"/>
      <c r="J1375" s="26"/>
      <c r="K1375" s="28">
        <f>+K1374</f>
        <v>42064</v>
      </c>
      <c r="L1375" s="26" t="str">
        <f>L1374</f>
        <v>10420</v>
      </c>
      <c r="M1375" s="26"/>
      <c r="N1375" s="26"/>
      <c r="O1375" s="26" t="str">
        <f>"""GP Direct"",""Fabrikam, Inc."",""UPR30300"",""PAYRATE"",""0.00000"",""PAYROLCD"",""INS"",""STATECD"","""",""CHEKDATE"",""3/1/2015"",""UPRTRXAM"",""49.36000"""</f>
        <v>"GP Direct","Fabrikam, Inc.","UPR30300","PAYRATE","0.00000","PAYROLCD","INS","STATECD","","CHEKDATE","3/1/2015","UPRTRXAM","49.36000"</v>
      </c>
      <c r="P1375" s="29">
        <v>0</v>
      </c>
      <c r="Q1375" s="26" t="str">
        <f>"INS"</f>
        <v>INS</v>
      </c>
      <c r="R1375" s="26"/>
      <c r="S1375" s="28">
        <v>42064</v>
      </c>
      <c r="T1375" s="29">
        <v>49.36</v>
      </c>
    </row>
    <row r="1376" spans="1:20" s="7" customFormat="1" hidden="1" outlineLevel="3" x14ac:dyDescent="0.2">
      <c r="A1376" s="7" t="s">
        <v>92</v>
      </c>
      <c r="C1376" s="7" t="str">
        <f t="shared" si="208"/>
        <v>Sandra</v>
      </c>
      <c r="D1376" s="7" t="str">
        <f>+D1375</f>
        <v>Martinez</v>
      </c>
      <c r="E1376" s="8" t="str">
        <f>E1375</f>
        <v>SALES</v>
      </c>
      <c r="G1376" s="8" t="str">
        <f>G1375</f>
        <v>MART0001</v>
      </c>
      <c r="H1376" s="26"/>
      <c r="I1376" s="26"/>
      <c r="J1376" s="26"/>
      <c r="K1376" s="28">
        <f>+K1375</f>
        <v>42064</v>
      </c>
      <c r="L1376" s="26" t="str">
        <f>L1375</f>
        <v>10420</v>
      </c>
      <c r="M1376" s="26"/>
      <c r="N1376" s="26"/>
      <c r="O1376" s="26" t="str">
        <f>"""GP Direct"",""Fabrikam, Inc."",""UPR30300"",""PAYRATE"",""0.00000"",""PAYROLCD"",""MED"",""STATECD"","""",""CHEKDATE"",""3/1/2015"",""UPRTRXAM"",""10.00000"""</f>
        <v>"GP Direct","Fabrikam, Inc.","UPR30300","PAYRATE","0.00000","PAYROLCD","MED","STATECD","","CHEKDATE","3/1/2015","UPRTRXAM","10.00000"</v>
      </c>
      <c r="P1376" s="29">
        <v>0</v>
      </c>
      <c r="Q1376" s="26" t="str">
        <f>"MED"</f>
        <v>MED</v>
      </c>
      <c r="R1376" s="26"/>
      <c r="S1376" s="28">
        <v>42064</v>
      </c>
      <c r="T1376" s="29">
        <v>10</v>
      </c>
    </row>
    <row r="1377" spans="1:20" s="7" customFormat="1" hidden="1" outlineLevel="3" x14ac:dyDescent="0.2">
      <c r="A1377" s="7" t="s">
        <v>92</v>
      </c>
      <c r="C1377" s="7" t="str">
        <f t="shared" si="208"/>
        <v>Sandra</v>
      </c>
      <c r="D1377" s="7" t="str">
        <f>+D1376</f>
        <v>Martinez</v>
      </c>
      <c r="E1377" s="8" t="str">
        <f>E1376</f>
        <v>SALES</v>
      </c>
      <c r="G1377" s="8" t="str">
        <f>G1376</f>
        <v>MART0001</v>
      </c>
      <c r="H1377" s="26"/>
      <c r="I1377" s="26"/>
      <c r="J1377" s="26"/>
      <c r="K1377" s="28">
        <f>+K1376</f>
        <v>42064</v>
      </c>
      <c r="L1377" s="26" t="str">
        <f>L1376</f>
        <v>10420</v>
      </c>
      <c r="M1377" s="26"/>
      <c r="N1377" s="26"/>
      <c r="O1377" s="26" t="str">
        <f>"""GP Direct"",""Fabrikam, Inc."",""UPR30300"",""PAYRATE"",""0.00000"",""PAYROLCD"",""MN"",""STATECD"","""",""CHEKDATE"",""3/1/2015"",""UPRTRXAM"",""13.24000"""</f>
        <v>"GP Direct","Fabrikam, Inc.","UPR30300","PAYRATE","0.00000","PAYROLCD","MN","STATECD","","CHEKDATE","3/1/2015","UPRTRXAM","13.24000"</v>
      </c>
      <c r="P1377" s="29">
        <v>0</v>
      </c>
      <c r="Q1377" s="26" t="str">
        <f>"MN"</f>
        <v>MN</v>
      </c>
      <c r="R1377" s="26"/>
      <c r="S1377" s="28">
        <v>42064</v>
      </c>
      <c r="T1377" s="29">
        <v>13.24</v>
      </c>
    </row>
    <row r="1378" spans="1:20" s="7" customFormat="1" hidden="1" outlineLevel="3" x14ac:dyDescent="0.2">
      <c r="A1378" s="7" t="s">
        <v>92</v>
      </c>
      <c r="C1378" s="7" t="str">
        <f t="shared" si="208"/>
        <v>Sandra</v>
      </c>
      <c r="D1378" s="7" t="str">
        <f>+D1377</f>
        <v>Martinez</v>
      </c>
      <c r="E1378" s="8" t="str">
        <f>E1377</f>
        <v>SALES</v>
      </c>
      <c r="G1378" s="8" t="str">
        <f>G1377</f>
        <v>MART0001</v>
      </c>
      <c r="H1378" s="26"/>
      <c r="I1378" s="26"/>
      <c r="J1378" s="26"/>
      <c r="K1378" s="28">
        <f>+K1377</f>
        <v>42064</v>
      </c>
      <c r="L1378" s="26" t="str">
        <f>L1377</f>
        <v>10420</v>
      </c>
      <c r="M1378" s="26"/>
      <c r="N1378" s="26"/>
      <c r="O1378" s="26" t="str">
        <f>"""GP Direct"",""Fabrikam, Inc."",""UPR30300"",""PAYRATE"",""24000.00000"",""PAYROLCD"",""SALY"",""STATECD"",""MN"",""CHEKDATE"",""3/1/2015"",""UPRTRXAM"",""1000.00000"""</f>
        <v>"GP Direct","Fabrikam, Inc.","UPR30300","PAYRATE","24000.00000","PAYROLCD","SALY","STATECD","MN","CHEKDATE","3/1/2015","UPRTRXAM","1000.00000"</v>
      </c>
      <c r="P1378" s="29">
        <v>24000</v>
      </c>
      <c r="Q1378" s="26" t="str">
        <f>"SALY"</f>
        <v>SALY</v>
      </c>
      <c r="R1378" s="26" t="str">
        <f>"MN"</f>
        <v>MN</v>
      </c>
      <c r="S1378" s="28">
        <v>42064</v>
      </c>
      <c r="T1378" s="29">
        <v>1000</v>
      </c>
    </row>
    <row r="1379" spans="1:20" s="7" customFormat="1" hidden="1" outlineLevel="3" x14ac:dyDescent="0.2">
      <c r="A1379" s="7" t="s">
        <v>92</v>
      </c>
      <c r="C1379" s="7" t="str">
        <f>+C1373</f>
        <v>Sandra</v>
      </c>
      <c r="D1379" s="7" t="str">
        <f>+D1373</f>
        <v>Martinez</v>
      </c>
      <c r="E1379" s="8" t="str">
        <f>E1373</f>
        <v>SALES</v>
      </c>
      <c r="G1379" s="8" t="str">
        <f>G1373</f>
        <v>MART0001</v>
      </c>
      <c r="K1379" s="12">
        <f>+K1373</f>
        <v>42064</v>
      </c>
      <c r="L1379" s="8" t="str">
        <f>L1373</f>
        <v>10420</v>
      </c>
      <c r="O1379" s="8"/>
      <c r="T1379" s="20"/>
    </row>
    <row r="1380" spans="1:20" s="7" customFormat="1" hidden="1" outlineLevel="2" collapsed="1" x14ac:dyDescent="0.2">
      <c r="A1380" s="7" t="s">
        <v>92</v>
      </c>
      <c r="C1380" s="7" t="str">
        <f t="shared" si="206"/>
        <v>Sandra</v>
      </c>
      <c r="D1380" s="7" t="str">
        <f>+D1379</f>
        <v>Martinez</v>
      </c>
      <c r="E1380" s="8" t="str">
        <f>E1379</f>
        <v>SALES</v>
      </c>
      <c r="G1380" s="8" t="str">
        <f>G1379</f>
        <v>MART0001</v>
      </c>
      <c r="K1380" s="12">
        <f>+K1379</f>
        <v>42064</v>
      </c>
      <c r="L1380" s="8" t="str">
        <f>L1379</f>
        <v>10420</v>
      </c>
      <c r="M1380" s="33" t="str">
        <f>"Total for " &amp; $L1380</f>
        <v>Total for 10420</v>
      </c>
      <c r="N1380" s="34">
        <f>+K1380</f>
        <v>42064</v>
      </c>
      <c r="O1380" s="35"/>
      <c r="P1380" s="33"/>
      <c r="Q1380" s="33"/>
      <c r="R1380" s="33"/>
      <c r="S1380" s="33"/>
      <c r="T1380" s="36">
        <f>SUBTOTAL(9,T1373:T1379)</f>
        <v>1104.0999999999999</v>
      </c>
    </row>
    <row r="1381" spans="1:20" s="7" customFormat="1" hidden="1" outlineLevel="3" x14ac:dyDescent="0.2">
      <c r="A1381" s="7" t="s">
        <v>92</v>
      </c>
      <c r="C1381" s="7" t="str">
        <f t="shared" si="206"/>
        <v>Sandra</v>
      </c>
      <c r="D1381" s="7" t="str">
        <f>+D1380</f>
        <v>Martinez</v>
      </c>
      <c r="E1381" s="8" t="str">
        <f>E1380</f>
        <v>SALES</v>
      </c>
      <c r="G1381" s="8" t="str">
        <f>G1380</f>
        <v>MART0001</v>
      </c>
      <c r="H1381" s="26"/>
      <c r="I1381" s="26"/>
      <c r="J1381" s="26"/>
      <c r="K1381" s="28">
        <f>+N1381</f>
        <v>42095</v>
      </c>
      <c r="L1381" s="26" t="str">
        <f>M1381</f>
        <v>10445</v>
      </c>
      <c r="M1381" s="26" t="str">
        <f>"10445"</f>
        <v>10445</v>
      </c>
      <c r="N1381" s="28">
        <v>42095</v>
      </c>
      <c r="O1381" s="26"/>
      <c r="P1381" s="26"/>
      <c r="Q1381" s="26"/>
      <c r="R1381" s="26"/>
      <c r="S1381" s="26"/>
      <c r="T1381" s="27"/>
    </row>
    <row r="1382" spans="1:20" s="7" customFormat="1" hidden="1" outlineLevel="3" x14ac:dyDescent="0.2">
      <c r="A1382" s="7" t="s">
        <v>92</v>
      </c>
      <c r="C1382" s="7" t="str">
        <f t="shared" si="206"/>
        <v>Sandra</v>
      </c>
      <c r="D1382" s="7" t="str">
        <f>+D1381</f>
        <v>Martinez</v>
      </c>
      <c r="E1382" s="8" t="str">
        <f>E1381</f>
        <v>SALES</v>
      </c>
      <c r="G1382" s="8" t="str">
        <f>G1381</f>
        <v>MART0001</v>
      </c>
      <c r="H1382" s="26"/>
      <c r="I1382" s="26"/>
      <c r="J1382" s="26"/>
      <c r="K1382" s="28">
        <f>+K1381</f>
        <v>42095</v>
      </c>
      <c r="L1382" s="26" t="str">
        <f>L1381</f>
        <v>10445</v>
      </c>
      <c r="M1382" s="26"/>
      <c r="N1382" s="26"/>
      <c r="O1382" s="26" t="str">
        <f>"""GP Direct"",""Fabrikam, Inc."",""UPR30300"",""PAYRATE"",""0.00000"",""PAYROLCD"",""401K"",""STATECD"","""",""CHEKDATE"",""4/1/2015"",""UPRTRXAM"",""1.50000"""</f>
        <v>"GP Direct","Fabrikam, Inc.","UPR30300","PAYRATE","0.00000","PAYROLCD","401K","STATECD","","CHEKDATE","4/1/2015","UPRTRXAM","1.50000"</v>
      </c>
      <c r="P1382" s="29">
        <v>0</v>
      </c>
      <c r="Q1382" s="26" t="str">
        <f>"401K"</f>
        <v>401K</v>
      </c>
      <c r="R1382" s="26"/>
      <c r="S1382" s="28">
        <v>42095</v>
      </c>
      <c r="T1382" s="29">
        <v>1.5</v>
      </c>
    </row>
    <row r="1383" spans="1:20" s="7" customFormat="1" hidden="1" outlineLevel="3" x14ac:dyDescent="0.2">
      <c r="A1383" s="7" t="s">
        <v>92</v>
      </c>
      <c r="C1383" s="7" t="str">
        <f t="shared" ref="C1383:C1387" si="209">+C1382</f>
        <v>Sandra</v>
      </c>
      <c r="D1383" s="7" t="str">
        <f>+D1382</f>
        <v>Martinez</v>
      </c>
      <c r="E1383" s="8" t="str">
        <f>E1382</f>
        <v>SALES</v>
      </c>
      <c r="G1383" s="8" t="str">
        <f>G1382</f>
        <v>MART0001</v>
      </c>
      <c r="H1383" s="26"/>
      <c r="I1383" s="26"/>
      <c r="J1383" s="26"/>
      <c r="K1383" s="28">
        <f>+K1382</f>
        <v>42095</v>
      </c>
      <c r="L1383" s="26" t="str">
        <f>L1382</f>
        <v>10445</v>
      </c>
      <c r="M1383" s="26"/>
      <c r="N1383" s="26"/>
      <c r="O1383" s="26" t="str">
        <f>"""GP Direct"",""Fabrikam, Inc."",""UPR30300"",""PAYRATE"",""0.00000"",""PAYROLCD"",""401K"",""STATECD"","""",""CHEKDATE"",""4/1/2015"",""UPRTRXAM"",""30.00000"""</f>
        <v>"GP Direct","Fabrikam, Inc.","UPR30300","PAYRATE","0.00000","PAYROLCD","401K","STATECD","","CHEKDATE","4/1/2015","UPRTRXAM","30.00000"</v>
      </c>
      <c r="P1383" s="29">
        <v>0</v>
      </c>
      <c r="Q1383" s="26" t="str">
        <f>"401K"</f>
        <v>401K</v>
      </c>
      <c r="R1383" s="26"/>
      <c r="S1383" s="28">
        <v>42095</v>
      </c>
      <c r="T1383" s="29">
        <v>30</v>
      </c>
    </row>
    <row r="1384" spans="1:20" s="7" customFormat="1" hidden="1" outlineLevel="3" x14ac:dyDescent="0.2">
      <c r="A1384" s="7" t="s">
        <v>92</v>
      </c>
      <c r="C1384" s="7" t="str">
        <f t="shared" si="209"/>
        <v>Sandra</v>
      </c>
      <c r="D1384" s="7" t="str">
        <f>+D1383</f>
        <v>Martinez</v>
      </c>
      <c r="E1384" s="8" t="str">
        <f>E1383</f>
        <v>SALES</v>
      </c>
      <c r="G1384" s="8" t="str">
        <f>G1383</f>
        <v>MART0001</v>
      </c>
      <c r="H1384" s="26"/>
      <c r="I1384" s="26"/>
      <c r="J1384" s="26"/>
      <c r="K1384" s="28">
        <f>+K1383</f>
        <v>42095</v>
      </c>
      <c r="L1384" s="26" t="str">
        <f>L1383</f>
        <v>10445</v>
      </c>
      <c r="M1384" s="26"/>
      <c r="N1384" s="26"/>
      <c r="O1384" s="26" t="str">
        <f>"""GP Direct"",""Fabrikam, Inc."",""UPR30300"",""PAYRATE"",""0.00000"",""PAYROLCD"",""INS"",""STATECD"","""",""CHEKDATE"",""4/1/2015"",""UPRTRXAM"",""49.36000"""</f>
        <v>"GP Direct","Fabrikam, Inc.","UPR30300","PAYRATE","0.00000","PAYROLCD","INS","STATECD","","CHEKDATE","4/1/2015","UPRTRXAM","49.36000"</v>
      </c>
      <c r="P1384" s="29">
        <v>0</v>
      </c>
      <c r="Q1384" s="26" t="str">
        <f>"INS"</f>
        <v>INS</v>
      </c>
      <c r="R1384" s="26"/>
      <c r="S1384" s="28">
        <v>42095</v>
      </c>
      <c r="T1384" s="29">
        <v>49.36</v>
      </c>
    </row>
    <row r="1385" spans="1:20" s="7" customFormat="1" hidden="1" outlineLevel="3" x14ac:dyDescent="0.2">
      <c r="A1385" s="7" t="s">
        <v>92</v>
      </c>
      <c r="C1385" s="7" t="str">
        <f t="shared" si="209"/>
        <v>Sandra</v>
      </c>
      <c r="D1385" s="7" t="str">
        <f>+D1384</f>
        <v>Martinez</v>
      </c>
      <c r="E1385" s="8" t="str">
        <f>E1384</f>
        <v>SALES</v>
      </c>
      <c r="G1385" s="8" t="str">
        <f>G1384</f>
        <v>MART0001</v>
      </c>
      <c r="H1385" s="26"/>
      <c r="I1385" s="26"/>
      <c r="J1385" s="26"/>
      <c r="K1385" s="28">
        <f>+K1384</f>
        <v>42095</v>
      </c>
      <c r="L1385" s="26" t="str">
        <f>L1384</f>
        <v>10445</v>
      </c>
      <c r="M1385" s="26"/>
      <c r="N1385" s="26"/>
      <c r="O1385" s="26" t="str">
        <f>"""GP Direct"",""Fabrikam, Inc."",""UPR30300"",""PAYRATE"",""0.00000"",""PAYROLCD"",""MED"",""STATECD"","""",""CHEKDATE"",""4/1/2015"",""UPRTRXAM"",""10.00000"""</f>
        <v>"GP Direct","Fabrikam, Inc.","UPR30300","PAYRATE","0.00000","PAYROLCD","MED","STATECD","","CHEKDATE","4/1/2015","UPRTRXAM","10.00000"</v>
      </c>
      <c r="P1385" s="29">
        <v>0</v>
      </c>
      <c r="Q1385" s="26" t="str">
        <f>"MED"</f>
        <v>MED</v>
      </c>
      <c r="R1385" s="26"/>
      <c r="S1385" s="28">
        <v>42095</v>
      </c>
      <c r="T1385" s="29">
        <v>10</v>
      </c>
    </row>
    <row r="1386" spans="1:20" s="7" customFormat="1" hidden="1" outlineLevel="3" x14ac:dyDescent="0.2">
      <c r="A1386" s="7" t="s">
        <v>92</v>
      </c>
      <c r="C1386" s="7" t="str">
        <f t="shared" si="209"/>
        <v>Sandra</v>
      </c>
      <c r="D1386" s="7" t="str">
        <f>+D1385</f>
        <v>Martinez</v>
      </c>
      <c r="E1386" s="8" t="str">
        <f>E1385</f>
        <v>SALES</v>
      </c>
      <c r="G1386" s="8" t="str">
        <f>G1385</f>
        <v>MART0001</v>
      </c>
      <c r="H1386" s="26"/>
      <c r="I1386" s="26"/>
      <c r="J1386" s="26"/>
      <c r="K1386" s="28">
        <f>+K1385</f>
        <v>42095</v>
      </c>
      <c r="L1386" s="26" t="str">
        <f>L1385</f>
        <v>10445</v>
      </c>
      <c r="M1386" s="26"/>
      <c r="N1386" s="26"/>
      <c r="O1386" s="26" t="str">
        <f>"""GP Direct"",""Fabrikam, Inc."",""UPR30300"",""PAYRATE"",""0.00000"",""PAYROLCD"",""MN"",""STATECD"","""",""CHEKDATE"",""4/1/2015"",""UPRTRXAM"",""13.24000"""</f>
        <v>"GP Direct","Fabrikam, Inc.","UPR30300","PAYRATE","0.00000","PAYROLCD","MN","STATECD","","CHEKDATE","4/1/2015","UPRTRXAM","13.24000"</v>
      </c>
      <c r="P1386" s="29">
        <v>0</v>
      </c>
      <c r="Q1386" s="26" t="str">
        <f>"MN"</f>
        <v>MN</v>
      </c>
      <c r="R1386" s="26"/>
      <c r="S1386" s="28">
        <v>42095</v>
      </c>
      <c r="T1386" s="29">
        <v>13.24</v>
      </c>
    </row>
    <row r="1387" spans="1:20" s="7" customFormat="1" hidden="1" outlineLevel="3" x14ac:dyDescent="0.2">
      <c r="A1387" s="7" t="s">
        <v>92</v>
      </c>
      <c r="C1387" s="7" t="str">
        <f t="shared" si="209"/>
        <v>Sandra</v>
      </c>
      <c r="D1387" s="7" t="str">
        <f>+D1386</f>
        <v>Martinez</v>
      </c>
      <c r="E1387" s="8" t="str">
        <f>E1386</f>
        <v>SALES</v>
      </c>
      <c r="G1387" s="8" t="str">
        <f>G1386</f>
        <v>MART0001</v>
      </c>
      <c r="H1387" s="26"/>
      <c r="I1387" s="26"/>
      <c r="J1387" s="26"/>
      <c r="K1387" s="28">
        <f>+K1386</f>
        <v>42095</v>
      </c>
      <c r="L1387" s="26" t="str">
        <f>L1386</f>
        <v>10445</v>
      </c>
      <c r="M1387" s="26"/>
      <c r="N1387" s="26"/>
      <c r="O1387" s="26" t="str">
        <f>"""GP Direct"",""Fabrikam, Inc."",""UPR30300"",""PAYRATE"",""24000.00000"",""PAYROLCD"",""SALY"",""STATECD"",""MN"",""CHEKDATE"",""4/1/2015"",""UPRTRXAM"",""1000.00000"""</f>
        <v>"GP Direct","Fabrikam, Inc.","UPR30300","PAYRATE","24000.00000","PAYROLCD","SALY","STATECD","MN","CHEKDATE","4/1/2015","UPRTRXAM","1000.00000"</v>
      </c>
      <c r="P1387" s="29">
        <v>24000</v>
      </c>
      <c r="Q1387" s="26" t="str">
        <f>"SALY"</f>
        <v>SALY</v>
      </c>
      <c r="R1387" s="26" t="str">
        <f>"MN"</f>
        <v>MN</v>
      </c>
      <c r="S1387" s="28">
        <v>42095</v>
      </c>
      <c r="T1387" s="29">
        <v>1000</v>
      </c>
    </row>
    <row r="1388" spans="1:20" s="7" customFormat="1" hidden="1" outlineLevel="3" x14ac:dyDescent="0.2">
      <c r="A1388" s="7" t="s">
        <v>92</v>
      </c>
      <c r="C1388" s="7" t="str">
        <f>+C1382</f>
        <v>Sandra</v>
      </c>
      <c r="D1388" s="7" t="str">
        <f>+D1382</f>
        <v>Martinez</v>
      </c>
      <c r="E1388" s="8" t="str">
        <f>E1382</f>
        <v>SALES</v>
      </c>
      <c r="G1388" s="8" t="str">
        <f>G1382</f>
        <v>MART0001</v>
      </c>
      <c r="K1388" s="12">
        <f>+K1382</f>
        <v>42095</v>
      </c>
      <c r="L1388" s="8" t="str">
        <f>L1382</f>
        <v>10445</v>
      </c>
      <c r="O1388" s="8"/>
      <c r="T1388" s="20"/>
    </row>
    <row r="1389" spans="1:20" s="7" customFormat="1" hidden="1" outlineLevel="2" collapsed="1" x14ac:dyDescent="0.2">
      <c r="A1389" s="7" t="s">
        <v>92</v>
      </c>
      <c r="C1389" s="7" t="str">
        <f t="shared" si="206"/>
        <v>Sandra</v>
      </c>
      <c r="D1389" s="7" t="str">
        <f>+D1388</f>
        <v>Martinez</v>
      </c>
      <c r="E1389" s="8" t="str">
        <f>E1388</f>
        <v>SALES</v>
      </c>
      <c r="G1389" s="8" t="str">
        <f>G1388</f>
        <v>MART0001</v>
      </c>
      <c r="K1389" s="12">
        <f>+K1388</f>
        <v>42095</v>
      </c>
      <c r="L1389" s="8" t="str">
        <f>L1388</f>
        <v>10445</v>
      </c>
      <c r="M1389" s="33" t="str">
        <f>"Total for " &amp; $L1389</f>
        <v>Total for 10445</v>
      </c>
      <c r="N1389" s="34">
        <f>+K1389</f>
        <v>42095</v>
      </c>
      <c r="O1389" s="35"/>
      <c r="P1389" s="33"/>
      <c r="Q1389" s="33"/>
      <c r="R1389" s="33"/>
      <c r="S1389" s="33"/>
      <c r="T1389" s="36">
        <f>SUBTOTAL(9,T1382:T1388)</f>
        <v>1104.0999999999999</v>
      </c>
    </row>
    <row r="1390" spans="1:20" s="7" customFormat="1" hidden="1" outlineLevel="3" x14ac:dyDescent="0.2">
      <c r="A1390" s="7" t="s">
        <v>92</v>
      </c>
      <c r="C1390" s="7" t="str">
        <f t="shared" si="206"/>
        <v>Sandra</v>
      </c>
      <c r="D1390" s="7" t="str">
        <f>+D1389</f>
        <v>Martinez</v>
      </c>
      <c r="E1390" s="8" t="str">
        <f>E1389</f>
        <v>SALES</v>
      </c>
      <c r="G1390" s="8" t="str">
        <f>G1389</f>
        <v>MART0001</v>
      </c>
      <c r="H1390" s="26"/>
      <c r="I1390" s="26"/>
      <c r="J1390" s="26"/>
      <c r="K1390" s="28">
        <f>+N1390</f>
        <v>42125</v>
      </c>
      <c r="L1390" s="26" t="str">
        <f>M1390</f>
        <v>10470</v>
      </c>
      <c r="M1390" s="26" t="str">
        <f>"10470"</f>
        <v>10470</v>
      </c>
      <c r="N1390" s="28">
        <v>42125</v>
      </c>
      <c r="O1390" s="26"/>
      <c r="P1390" s="26"/>
      <c r="Q1390" s="26"/>
      <c r="R1390" s="26"/>
      <c r="S1390" s="26"/>
      <c r="T1390" s="27"/>
    </row>
    <row r="1391" spans="1:20" s="7" customFormat="1" hidden="1" outlineLevel="3" x14ac:dyDescent="0.2">
      <c r="A1391" s="7" t="s">
        <v>92</v>
      </c>
      <c r="C1391" s="7" t="str">
        <f t="shared" si="206"/>
        <v>Sandra</v>
      </c>
      <c r="D1391" s="7" t="str">
        <f>+D1390</f>
        <v>Martinez</v>
      </c>
      <c r="E1391" s="8" t="str">
        <f>E1390</f>
        <v>SALES</v>
      </c>
      <c r="G1391" s="8" t="str">
        <f>G1390</f>
        <v>MART0001</v>
      </c>
      <c r="H1391" s="26"/>
      <c r="I1391" s="26"/>
      <c r="J1391" s="26"/>
      <c r="K1391" s="28">
        <f>+K1390</f>
        <v>42125</v>
      </c>
      <c r="L1391" s="26" t="str">
        <f>L1390</f>
        <v>10470</v>
      </c>
      <c r="M1391" s="26"/>
      <c r="N1391" s="26"/>
      <c r="O1391" s="26" t="str">
        <f>"""GP Direct"",""Fabrikam, Inc."",""UPR30300"",""PAYRATE"",""0.00000"",""PAYROLCD"",""401K"",""STATECD"","""",""CHEKDATE"",""5/1/2015"",""UPRTRXAM"",""1.36000"""</f>
        <v>"GP Direct","Fabrikam, Inc.","UPR30300","PAYRATE","0.00000","PAYROLCD","401K","STATECD","","CHEKDATE","5/1/2015","UPRTRXAM","1.36000"</v>
      </c>
      <c r="P1391" s="29">
        <v>0</v>
      </c>
      <c r="Q1391" s="26" t="str">
        <f>"401K"</f>
        <v>401K</v>
      </c>
      <c r="R1391" s="26"/>
      <c r="S1391" s="28">
        <v>42125</v>
      </c>
      <c r="T1391" s="29">
        <v>1.36</v>
      </c>
    </row>
    <row r="1392" spans="1:20" s="7" customFormat="1" hidden="1" outlineLevel="3" x14ac:dyDescent="0.2">
      <c r="A1392" s="7" t="s">
        <v>92</v>
      </c>
      <c r="C1392" s="7" t="str">
        <f t="shared" ref="C1392:C1397" si="210">+C1391</f>
        <v>Sandra</v>
      </c>
      <c r="D1392" s="7" t="str">
        <f>+D1391</f>
        <v>Martinez</v>
      </c>
      <c r="E1392" s="8" t="str">
        <f>E1391</f>
        <v>SALES</v>
      </c>
      <c r="G1392" s="8" t="str">
        <f>G1391</f>
        <v>MART0001</v>
      </c>
      <c r="H1392" s="26"/>
      <c r="I1392" s="26"/>
      <c r="J1392" s="26"/>
      <c r="K1392" s="28">
        <f>+K1391</f>
        <v>42125</v>
      </c>
      <c r="L1392" s="26" t="str">
        <f>L1391</f>
        <v>10470</v>
      </c>
      <c r="M1392" s="26"/>
      <c r="N1392" s="26"/>
      <c r="O1392" s="26" t="str">
        <f>"""GP Direct"",""Fabrikam, Inc."",""UPR30300"",""PAYRATE"",""0.00000"",""PAYROLCD"",""401K"",""STATECD"","""",""CHEKDATE"",""5/1/2015"",""UPRTRXAM"",""27.23000"""</f>
        <v>"GP Direct","Fabrikam, Inc.","UPR30300","PAYRATE","0.00000","PAYROLCD","401K","STATECD","","CHEKDATE","5/1/2015","UPRTRXAM","27.23000"</v>
      </c>
      <c r="P1392" s="29">
        <v>0</v>
      </c>
      <c r="Q1392" s="26" t="str">
        <f>"401K"</f>
        <v>401K</v>
      </c>
      <c r="R1392" s="26"/>
      <c r="S1392" s="28">
        <v>42125</v>
      </c>
      <c r="T1392" s="29">
        <v>27.23</v>
      </c>
    </row>
    <row r="1393" spans="1:20" s="7" customFormat="1" hidden="1" outlineLevel="3" x14ac:dyDescent="0.2">
      <c r="A1393" s="7" t="s">
        <v>92</v>
      </c>
      <c r="C1393" s="7" t="str">
        <f t="shared" si="210"/>
        <v>Sandra</v>
      </c>
      <c r="D1393" s="7" t="str">
        <f>+D1392</f>
        <v>Martinez</v>
      </c>
      <c r="E1393" s="8" t="str">
        <f>E1392</f>
        <v>SALES</v>
      </c>
      <c r="G1393" s="8" t="str">
        <f>G1392</f>
        <v>MART0001</v>
      </c>
      <c r="H1393" s="26"/>
      <c r="I1393" s="26"/>
      <c r="J1393" s="26"/>
      <c r="K1393" s="28">
        <f>+K1392</f>
        <v>42125</v>
      </c>
      <c r="L1393" s="26" t="str">
        <f>L1392</f>
        <v>10470</v>
      </c>
      <c r="M1393" s="26"/>
      <c r="N1393" s="26"/>
      <c r="O1393" s="26" t="str">
        <f>"""GP Direct"",""Fabrikam, Inc."",""UPR30300"",""PAYRATE"",""0.00000"",""PAYROLCD"",""INS"",""STATECD"","""",""CHEKDATE"",""5/1/2015"",""UPRTRXAM"",""49.36000"""</f>
        <v>"GP Direct","Fabrikam, Inc.","UPR30300","PAYRATE","0.00000","PAYROLCD","INS","STATECD","","CHEKDATE","5/1/2015","UPRTRXAM","49.36000"</v>
      </c>
      <c r="P1393" s="29">
        <v>0</v>
      </c>
      <c r="Q1393" s="26" t="str">
        <f>"INS"</f>
        <v>INS</v>
      </c>
      <c r="R1393" s="26"/>
      <c r="S1393" s="28">
        <v>42125</v>
      </c>
      <c r="T1393" s="29">
        <v>49.36</v>
      </c>
    </row>
    <row r="1394" spans="1:20" s="7" customFormat="1" hidden="1" outlineLevel="3" x14ac:dyDescent="0.2">
      <c r="A1394" s="7" t="s">
        <v>92</v>
      </c>
      <c r="C1394" s="7" t="str">
        <f t="shared" si="210"/>
        <v>Sandra</v>
      </c>
      <c r="D1394" s="7" t="str">
        <f>+D1393</f>
        <v>Martinez</v>
      </c>
      <c r="E1394" s="8" t="str">
        <f>E1393</f>
        <v>SALES</v>
      </c>
      <c r="G1394" s="8" t="str">
        <f>G1393</f>
        <v>MART0001</v>
      </c>
      <c r="H1394" s="26"/>
      <c r="I1394" s="26"/>
      <c r="J1394" s="26"/>
      <c r="K1394" s="28">
        <f>+K1393</f>
        <v>42125</v>
      </c>
      <c r="L1394" s="26" t="str">
        <f>L1393</f>
        <v>10470</v>
      </c>
      <c r="M1394" s="26"/>
      <c r="N1394" s="26"/>
      <c r="O1394" s="26" t="str">
        <f>"""GP Direct"",""Fabrikam, Inc."",""UPR30300"",""PAYRATE"",""0.00000"",""PAYROLCD"",""MED"",""STATECD"","""",""CHEKDATE"",""5/1/2015"",""UPRTRXAM"",""10.00000"""</f>
        <v>"GP Direct","Fabrikam, Inc.","UPR30300","PAYRATE","0.00000","PAYROLCD","MED","STATECD","","CHEKDATE","5/1/2015","UPRTRXAM","10.00000"</v>
      </c>
      <c r="P1394" s="29">
        <v>0</v>
      </c>
      <c r="Q1394" s="26" t="str">
        <f>"MED"</f>
        <v>MED</v>
      </c>
      <c r="R1394" s="26"/>
      <c r="S1394" s="28">
        <v>42125</v>
      </c>
      <c r="T1394" s="29">
        <v>10</v>
      </c>
    </row>
    <row r="1395" spans="1:20" s="7" customFormat="1" hidden="1" outlineLevel="3" x14ac:dyDescent="0.2">
      <c r="A1395" s="7" t="s">
        <v>92</v>
      </c>
      <c r="C1395" s="7" t="str">
        <f t="shared" si="210"/>
        <v>Sandra</v>
      </c>
      <c r="D1395" s="7" t="str">
        <f>+D1394</f>
        <v>Martinez</v>
      </c>
      <c r="E1395" s="8" t="str">
        <f>E1394</f>
        <v>SALES</v>
      </c>
      <c r="G1395" s="8" t="str">
        <f>G1394</f>
        <v>MART0001</v>
      </c>
      <c r="H1395" s="26"/>
      <c r="I1395" s="26"/>
      <c r="J1395" s="26"/>
      <c r="K1395" s="28">
        <f>+K1394</f>
        <v>42125</v>
      </c>
      <c r="L1395" s="26" t="str">
        <f>L1394</f>
        <v>10470</v>
      </c>
      <c r="M1395" s="26"/>
      <c r="N1395" s="26"/>
      <c r="O1395" s="26" t="str">
        <f>"""GP Direct"",""Fabrikam, Inc."",""UPR30300"",""PAYRATE"",""0.00000"",""PAYROLCD"",""MN"",""STATECD"","""",""CHEKDATE"",""5/1/2015"",""UPRTRXAM"",""8.45000"""</f>
        <v>"GP Direct","Fabrikam, Inc.","UPR30300","PAYRATE","0.00000","PAYROLCD","MN","STATECD","","CHEKDATE","5/1/2015","UPRTRXAM","8.45000"</v>
      </c>
      <c r="P1395" s="29">
        <v>0</v>
      </c>
      <c r="Q1395" s="26" t="str">
        <f>"MN"</f>
        <v>MN</v>
      </c>
      <c r="R1395" s="26"/>
      <c r="S1395" s="28">
        <v>42125</v>
      </c>
      <c r="T1395" s="29">
        <v>8.4499999999999993</v>
      </c>
    </row>
    <row r="1396" spans="1:20" s="7" customFormat="1" hidden="1" outlineLevel="3" x14ac:dyDescent="0.2">
      <c r="A1396" s="7" t="s">
        <v>92</v>
      </c>
      <c r="C1396" s="7" t="str">
        <f t="shared" si="210"/>
        <v>Sandra</v>
      </c>
      <c r="D1396" s="7" t="str">
        <f>+D1395</f>
        <v>Martinez</v>
      </c>
      <c r="E1396" s="8" t="str">
        <f>E1395</f>
        <v>SALES</v>
      </c>
      <c r="G1396" s="8" t="str">
        <f>G1395</f>
        <v>MART0001</v>
      </c>
      <c r="H1396" s="26"/>
      <c r="I1396" s="26"/>
      <c r="J1396" s="26"/>
      <c r="K1396" s="28">
        <f>+K1395</f>
        <v>42125</v>
      </c>
      <c r="L1396" s="26" t="str">
        <f>L1395</f>
        <v>10470</v>
      </c>
      <c r="M1396" s="26"/>
      <c r="N1396" s="26"/>
      <c r="O1396" s="26" t="str">
        <f>"""GP Direct"",""Fabrikam, Inc."",""UPR30300"",""PAYRATE"",""0.00000"",""PAYROLCD"",""VACN"",""STATECD"",""MN"",""CHEKDATE"",""5/1/2015"",""UPRTRXAM"",""0.00000"""</f>
        <v>"GP Direct","Fabrikam, Inc.","UPR30300","PAYRATE","0.00000","PAYROLCD","VACN","STATECD","MN","CHEKDATE","5/1/2015","UPRTRXAM","0.00000"</v>
      </c>
      <c r="P1396" s="29">
        <v>0</v>
      </c>
      <c r="Q1396" s="26" t="str">
        <f>"VACN"</f>
        <v>VACN</v>
      </c>
      <c r="R1396" s="26" t="str">
        <f>"MN"</f>
        <v>MN</v>
      </c>
      <c r="S1396" s="28">
        <v>42125</v>
      </c>
      <c r="T1396" s="29">
        <v>0</v>
      </c>
    </row>
    <row r="1397" spans="1:20" s="7" customFormat="1" hidden="1" outlineLevel="3" x14ac:dyDescent="0.2">
      <c r="A1397" s="7" t="s">
        <v>92</v>
      </c>
      <c r="C1397" s="7" t="str">
        <f t="shared" si="210"/>
        <v>Sandra</v>
      </c>
      <c r="D1397" s="7" t="str">
        <f>+D1396</f>
        <v>Martinez</v>
      </c>
      <c r="E1397" s="8" t="str">
        <f>E1396</f>
        <v>SALES</v>
      </c>
      <c r="G1397" s="8" t="str">
        <f>G1396</f>
        <v>MART0001</v>
      </c>
      <c r="H1397" s="26"/>
      <c r="I1397" s="26"/>
      <c r="J1397" s="26"/>
      <c r="K1397" s="28">
        <f>+K1396</f>
        <v>42125</v>
      </c>
      <c r="L1397" s="26" t="str">
        <f>L1396</f>
        <v>10470</v>
      </c>
      <c r="M1397" s="26"/>
      <c r="N1397" s="26"/>
      <c r="O1397" s="26" t="str">
        <f>"""GP Direct"",""Fabrikam, Inc."",""UPR30300"",""PAYRATE"",""11.53846"",""PAYROLCD"",""SALY"",""STATECD"",""MN"",""CHEKDATE"",""5/1/2015"",""UPRTRXAM"",""907.69000"""</f>
        <v>"GP Direct","Fabrikam, Inc.","UPR30300","PAYRATE","11.53846","PAYROLCD","SALY","STATECD","MN","CHEKDATE","5/1/2015","UPRTRXAM","907.69000"</v>
      </c>
      <c r="P1397" s="29">
        <v>11.538500000000001</v>
      </c>
      <c r="Q1397" s="26" t="str">
        <f>"SALY"</f>
        <v>SALY</v>
      </c>
      <c r="R1397" s="26" t="str">
        <f>"MN"</f>
        <v>MN</v>
      </c>
      <c r="S1397" s="28">
        <v>42125</v>
      </c>
      <c r="T1397" s="29">
        <v>907.69</v>
      </c>
    </row>
    <row r="1398" spans="1:20" s="7" customFormat="1" hidden="1" outlineLevel="3" x14ac:dyDescent="0.2">
      <c r="A1398" s="7" t="s">
        <v>92</v>
      </c>
      <c r="C1398" s="7" t="str">
        <f>+C1391</f>
        <v>Sandra</v>
      </c>
      <c r="D1398" s="7" t="str">
        <f>+D1391</f>
        <v>Martinez</v>
      </c>
      <c r="E1398" s="8" t="str">
        <f>E1391</f>
        <v>SALES</v>
      </c>
      <c r="G1398" s="8" t="str">
        <f>G1391</f>
        <v>MART0001</v>
      </c>
      <c r="K1398" s="12">
        <f>+K1391</f>
        <v>42125</v>
      </c>
      <c r="L1398" s="8" t="str">
        <f>L1391</f>
        <v>10470</v>
      </c>
      <c r="O1398" s="8"/>
      <c r="T1398" s="20"/>
    </row>
    <row r="1399" spans="1:20" s="7" customFormat="1" hidden="1" outlineLevel="2" collapsed="1" x14ac:dyDescent="0.2">
      <c r="A1399" s="7" t="s">
        <v>92</v>
      </c>
      <c r="C1399" s="7" t="str">
        <f t="shared" si="206"/>
        <v>Sandra</v>
      </c>
      <c r="D1399" s="7" t="str">
        <f>+D1398</f>
        <v>Martinez</v>
      </c>
      <c r="E1399" s="8" t="str">
        <f>E1398</f>
        <v>SALES</v>
      </c>
      <c r="G1399" s="8" t="str">
        <f>G1398</f>
        <v>MART0001</v>
      </c>
      <c r="K1399" s="12">
        <f>+K1398</f>
        <v>42125</v>
      </c>
      <c r="L1399" s="8" t="str">
        <f>L1398</f>
        <v>10470</v>
      </c>
      <c r="M1399" s="33" t="str">
        <f>"Total for " &amp; $L1399</f>
        <v>Total for 10470</v>
      </c>
      <c r="N1399" s="34">
        <f>+K1399</f>
        <v>42125</v>
      </c>
      <c r="O1399" s="35"/>
      <c r="P1399" s="33"/>
      <c r="Q1399" s="33"/>
      <c r="R1399" s="33"/>
      <c r="S1399" s="33"/>
      <c r="T1399" s="36">
        <f>SUBTOTAL(9,T1391:T1398)</f>
        <v>1004.09</v>
      </c>
    </row>
    <row r="1400" spans="1:20" s="7" customFormat="1" hidden="1" outlineLevel="3" x14ac:dyDescent="0.2">
      <c r="A1400" s="7" t="s">
        <v>92</v>
      </c>
      <c r="C1400" s="7" t="str">
        <f t="shared" si="206"/>
        <v>Sandra</v>
      </c>
      <c r="D1400" s="7" t="str">
        <f>+D1399</f>
        <v>Martinez</v>
      </c>
      <c r="E1400" s="8" t="str">
        <f>E1399</f>
        <v>SALES</v>
      </c>
      <c r="G1400" s="8" t="str">
        <f>G1399</f>
        <v>MART0001</v>
      </c>
      <c r="H1400" s="26"/>
      <c r="I1400" s="26"/>
      <c r="J1400" s="26"/>
      <c r="K1400" s="28">
        <f>+N1400</f>
        <v>42156</v>
      </c>
      <c r="L1400" s="26" t="str">
        <f>M1400</f>
        <v>10495</v>
      </c>
      <c r="M1400" s="26" t="str">
        <f>"10495"</f>
        <v>10495</v>
      </c>
      <c r="N1400" s="28">
        <v>42156</v>
      </c>
      <c r="O1400" s="26"/>
      <c r="P1400" s="26"/>
      <c r="Q1400" s="26"/>
      <c r="R1400" s="26"/>
      <c r="S1400" s="26"/>
      <c r="T1400" s="27"/>
    </row>
    <row r="1401" spans="1:20" s="7" customFormat="1" hidden="1" outlineLevel="3" x14ac:dyDescent="0.2">
      <c r="A1401" s="7" t="s">
        <v>92</v>
      </c>
      <c r="C1401" s="7" t="str">
        <f t="shared" si="206"/>
        <v>Sandra</v>
      </c>
      <c r="D1401" s="7" t="str">
        <f>+D1400</f>
        <v>Martinez</v>
      </c>
      <c r="E1401" s="8" t="str">
        <f>E1400</f>
        <v>SALES</v>
      </c>
      <c r="G1401" s="8" t="str">
        <f>G1400</f>
        <v>MART0001</v>
      </c>
      <c r="H1401" s="26"/>
      <c r="I1401" s="26"/>
      <c r="J1401" s="26"/>
      <c r="K1401" s="28">
        <f>+K1400</f>
        <v>42156</v>
      </c>
      <c r="L1401" s="26" t="str">
        <f>L1400</f>
        <v>10495</v>
      </c>
      <c r="M1401" s="26"/>
      <c r="N1401" s="26"/>
      <c r="O1401" s="26" t="str">
        <f>"""GP Direct"",""Fabrikam, Inc."",""UPR30300"",""PAYRATE"",""0.00000"",""PAYROLCD"",""401K"",""STATECD"","""",""CHEKDATE"",""6/1/2015"",""UPRTRXAM"",""1.50000"""</f>
        <v>"GP Direct","Fabrikam, Inc.","UPR30300","PAYRATE","0.00000","PAYROLCD","401K","STATECD","","CHEKDATE","6/1/2015","UPRTRXAM","1.50000"</v>
      </c>
      <c r="P1401" s="29">
        <v>0</v>
      </c>
      <c r="Q1401" s="26" t="str">
        <f>"401K"</f>
        <v>401K</v>
      </c>
      <c r="R1401" s="26"/>
      <c r="S1401" s="28">
        <v>42156</v>
      </c>
      <c r="T1401" s="29">
        <v>1.5</v>
      </c>
    </row>
    <row r="1402" spans="1:20" s="7" customFormat="1" hidden="1" outlineLevel="3" x14ac:dyDescent="0.2">
      <c r="A1402" s="7" t="s">
        <v>92</v>
      </c>
      <c r="C1402" s="7" t="str">
        <f t="shared" ref="C1402:C1406" si="211">+C1401</f>
        <v>Sandra</v>
      </c>
      <c r="D1402" s="7" t="str">
        <f>+D1401</f>
        <v>Martinez</v>
      </c>
      <c r="E1402" s="8" t="str">
        <f>E1401</f>
        <v>SALES</v>
      </c>
      <c r="G1402" s="8" t="str">
        <f>G1401</f>
        <v>MART0001</v>
      </c>
      <c r="H1402" s="26"/>
      <c r="I1402" s="26"/>
      <c r="J1402" s="26"/>
      <c r="K1402" s="28">
        <f>+K1401</f>
        <v>42156</v>
      </c>
      <c r="L1402" s="26" t="str">
        <f>L1401</f>
        <v>10495</v>
      </c>
      <c r="M1402" s="26"/>
      <c r="N1402" s="26"/>
      <c r="O1402" s="26" t="str">
        <f>"""GP Direct"",""Fabrikam, Inc."",""UPR30300"",""PAYRATE"",""0.00000"",""PAYROLCD"",""401K"",""STATECD"","""",""CHEKDATE"",""6/1/2015"",""UPRTRXAM"",""30.00000"""</f>
        <v>"GP Direct","Fabrikam, Inc.","UPR30300","PAYRATE","0.00000","PAYROLCD","401K","STATECD","","CHEKDATE","6/1/2015","UPRTRXAM","30.00000"</v>
      </c>
      <c r="P1402" s="29">
        <v>0</v>
      </c>
      <c r="Q1402" s="26" t="str">
        <f>"401K"</f>
        <v>401K</v>
      </c>
      <c r="R1402" s="26"/>
      <c r="S1402" s="28">
        <v>42156</v>
      </c>
      <c r="T1402" s="29">
        <v>30</v>
      </c>
    </row>
    <row r="1403" spans="1:20" s="7" customFormat="1" hidden="1" outlineLevel="3" x14ac:dyDescent="0.2">
      <c r="A1403" s="7" t="s">
        <v>92</v>
      </c>
      <c r="C1403" s="7" t="str">
        <f t="shared" si="211"/>
        <v>Sandra</v>
      </c>
      <c r="D1403" s="7" t="str">
        <f>+D1402</f>
        <v>Martinez</v>
      </c>
      <c r="E1403" s="8" t="str">
        <f>E1402</f>
        <v>SALES</v>
      </c>
      <c r="G1403" s="8" t="str">
        <f>G1402</f>
        <v>MART0001</v>
      </c>
      <c r="H1403" s="26"/>
      <c r="I1403" s="26"/>
      <c r="J1403" s="26"/>
      <c r="K1403" s="28">
        <f>+K1402</f>
        <v>42156</v>
      </c>
      <c r="L1403" s="26" t="str">
        <f>L1402</f>
        <v>10495</v>
      </c>
      <c r="M1403" s="26"/>
      <c r="N1403" s="26"/>
      <c r="O1403" s="26" t="str">
        <f>"""GP Direct"",""Fabrikam, Inc."",""UPR30300"",""PAYRATE"",""0.00000"",""PAYROLCD"",""INS"",""STATECD"","""",""CHEKDATE"",""6/1/2015"",""UPRTRXAM"",""49.36000"""</f>
        <v>"GP Direct","Fabrikam, Inc.","UPR30300","PAYRATE","0.00000","PAYROLCD","INS","STATECD","","CHEKDATE","6/1/2015","UPRTRXAM","49.36000"</v>
      </c>
      <c r="P1403" s="29">
        <v>0</v>
      </c>
      <c r="Q1403" s="26" t="str">
        <f>"INS"</f>
        <v>INS</v>
      </c>
      <c r="R1403" s="26"/>
      <c r="S1403" s="28">
        <v>42156</v>
      </c>
      <c r="T1403" s="29">
        <v>49.36</v>
      </c>
    </row>
    <row r="1404" spans="1:20" s="7" customFormat="1" hidden="1" outlineLevel="3" x14ac:dyDescent="0.2">
      <c r="A1404" s="7" t="s">
        <v>92</v>
      </c>
      <c r="C1404" s="7" t="str">
        <f t="shared" si="211"/>
        <v>Sandra</v>
      </c>
      <c r="D1404" s="7" t="str">
        <f>+D1403</f>
        <v>Martinez</v>
      </c>
      <c r="E1404" s="8" t="str">
        <f>E1403</f>
        <v>SALES</v>
      </c>
      <c r="G1404" s="8" t="str">
        <f>G1403</f>
        <v>MART0001</v>
      </c>
      <c r="H1404" s="26"/>
      <c r="I1404" s="26"/>
      <c r="J1404" s="26"/>
      <c r="K1404" s="28">
        <f>+K1403</f>
        <v>42156</v>
      </c>
      <c r="L1404" s="26" t="str">
        <f>L1403</f>
        <v>10495</v>
      </c>
      <c r="M1404" s="26"/>
      <c r="N1404" s="26"/>
      <c r="O1404" s="26" t="str">
        <f>"""GP Direct"",""Fabrikam, Inc."",""UPR30300"",""PAYRATE"",""0.00000"",""PAYROLCD"",""MED"",""STATECD"","""",""CHEKDATE"",""6/1/2015"",""UPRTRXAM"",""10.00000"""</f>
        <v>"GP Direct","Fabrikam, Inc.","UPR30300","PAYRATE","0.00000","PAYROLCD","MED","STATECD","","CHEKDATE","6/1/2015","UPRTRXAM","10.00000"</v>
      </c>
      <c r="P1404" s="29">
        <v>0</v>
      </c>
      <c r="Q1404" s="26" t="str">
        <f>"MED"</f>
        <v>MED</v>
      </c>
      <c r="R1404" s="26"/>
      <c r="S1404" s="28">
        <v>42156</v>
      </c>
      <c r="T1404" s="29">
        <v>10</v>
      </c>
    </row>
    <row r="1405" spans="1:20" s="7" customFormat="1" hidden="1" outlineLevel="3" x14ac:dyDescent="0.2">
      <c r="A1405" s="7" t="s">
        <v>92</v>
      </c>
      <c r="C1405" s="7" t="str">
        <f t="shared" si="211"/>
        <v>Sandra</v>
      </c>
      <c r="D1405" s="7" t="str">
        <f>+D1404</f>
        <v>Martinez</v>
      </c>
      <c r="E1405" s="8" t="str">
        <f>E1404</f>
        <v>SALES</v>
      </c>
      <c r="G1405" s="8" t="str">
        <f>G1404</f>
        <v>MART0001</v>
      </c>
      <c r="H1405" s="26"/>
      <c r="I1405" s="26"/>
      <c r="J1405" s="26"/>
      <c r="K1405" s="28">
        <f>+K1404</f>
        <v>42156</v>
      </c>
      <c r="L1405" s="26" t="str">
        <f>L1404</f>
        <v>10495</v>
      </c>
      <c r="M1405" s="26"/>
      <c r="N1405" s="26"/>
      <c r="O1405" s="26" t="str">
        <f>"""GP Direct"",""Fabrikam, Inc."",""UPR30300"",""PAYRATE"",""0.00000"",""PAYROLCD"",""MN"",""STATECD"","""",""CHEKDATE"",""6/1/2015"",""UPRTRXAM"",""13.24000"""</f>
        <v>"GP Direct","Fabrikam, Inc.","UPR30300","PAYRATE","0.00000","PAYROLCD","MN","STATECD","","CHEKDATE","6/1/2015","UPRTRXAM","13.24000"</v>
      </c>
      <c r="P1405" s="29">
        <v>0</v>
      </c>
      <c r="Q1405" s="26" t="str">
        <f>"MN"</f>
        <v>MN</v>
      </c>
      <c r="R1405" s="26"/>
      <c r="S1405" s="28">
        <v>42156</v>
      </c>
      <c r="T1405" s="29">
        <v>13.24</v>
      </c>
    </row>
    <row r="1406" spans="1:20" s="7" customFormat="1" hidden="1" outlineLevel="3" x14ac:dyDescent="0.2">
      <c r="A1406" s="7" t="s">
        <v>92</v>
      </c>
      <c r="C1406" s="7" t="str">
        <f t="shared" si="211"/>
        <v>Sandra</v>
      </c>
      <c r="D1406" s="7" t="str">
        <f>+D1405</f>
        <v>Martinez</v>
      </c>
      <c r="E1406" s="8" t="str">
        <f>E1405</f>
        <v>SALES</v>
      </c>
      <c r="G1406" s="8" t="str">
        <f>G1405</f>
        <v>MART0001</v>
      </c>
      <c r="H1406" s="26"/>
      <c r="I1406" s="26"/>
      <c r="J1406" s="26"/>
      <c r="K1406" s="28">
        <f>+K1405</f>
        <v>42156</v>
      </c>
      <c r="L1406" s="26" t="str">
        <f>L1405</f>
        <v>10495</v>
      </c>
      <c r="M1406" s="26"/>
      <c r="N1406" s="26"/>
      <c r="O1406" s="26" t="str">
        <f>"""GP Direct"",""Fabrikam, Inc."",""UPR30300"",""PAYRATE"",""24000.00000"",""PAYROLCD"",""SALY"",""STATECD"",""MN"",""CHEKDATE"",""6/1/2015"",""UPRTRXAM"",""1000.00000"""</f>
        <v>"GP Direct","Fabrikam, Inc.","UPR30300","PAYRATE","24000.00000","PAYROLCD","SALY","STATECD","MN","CHEKDATE","6/1/2015","UPRTRXAM","1000.00000"</v>
      </c>
      <c r="P1406" s="29">
        <v>24000</v>
      </c>
      <c r="Q1406" s="26" t="str">
        <f>"SALY"</f>
        <v>SALY</v>
      </c>
      <c r="R1406" s="26" t="str">
        <f>"MN"</f>
        <v>MN</v>
      </c>
      <c r="S1406" s="28">
        <v>42156</v>
      </c>
      <c r="T1406" s="29">
        <v>1000</v>
      </c>
    </row>
    <row r="1407" spans="1:20" s="7" customFormat="1" hidden="1" outlineLevel="3" x14ac:dyDescent="0.2">
      <c r="A1407" s="7" t="s">
        <v>92</v>
      </c>
      <c r="C1407" s="7" t="str">
        <f>+C1401</f>
        <v>Sandra</v>
      </c>
      <c r="D1407" s="7" t="str">
        <f>+D1401</f>
        <v>Martinez</v>
      </c>
      <c r="E1407" s="8" t="str">
        <f>E1401</f>
        <v>SALES</v>
      </c>
      <c r="G1407" s="8" t="str">
        <f>G1401</f>
        <v>MART0001</v>
      </c>
      <c r="K1407" s="12">
        <f>+K1401</f>
        <v>42156</v>
      </c>
      <c r="L1407" s="8" t="str">
        <f>L1401</f>
        <v>10495</v>
      </c>
      <c r="O1407" s="8"/>
      <c r="T1407" s="20"/>
    </row>
    <row r="1408" spans="1:20" s="7" customFormat="1" hidden="1" outlineLevel="2" collapsed="1" x14ac:dyDescent="0.2">
      <c r="A1408" s="7" t="s">
        <v>92</v>
      </c>
      <c r="C1408" s="7" t="str">
        <f t="shared" si="206"/>
        <v>Sandra</v>
      </c>
      <c r="D1408" s="7" t="str">
        <f>+D1407</f>
        <v>Martinez</v>
      </c>
      <c r="E1408" s="8" t="str">
        <f>E1407</f>
        <v>SALES</v>
      </c>
      <c r="G1408" s="8" t="str">
        <f>G1407</f>
        <v>MART0001</v>
      </c>
      <c r="K1408" s="12">
        <f>+K1407</f>
        <v>42156</v>
      </c>
      <c r="L1408" s="8" t="str">
        <f>L1407</f>
        <v>10495</v>
      </c>
      <c r="M1408" s="33" t="str">
        <f>"Total for " &amp; $L1408</f>
        <v>Total for 10495</v>
      </c>
      <c r="N1408" s="34">
        <f>+K1408</f>
        <v>42156</v>
      </c>
      <c r="O1408" s="35"/>
      <c r="P1408" s="33"/>
      <c r="Q1408" s="33"/>
      <c r="R1408" s="33"/>
      <c r="S1408" s="33"/>
      <c r="T1408" s="36">
        <f>SUBTOTAL(9,T1401:T1407)</f>
        <v>1104.0999999999999</v>
      </c>
    </row>
    <row r="1409" spans="1:20" s="7" customFormat="1" hidden="1" outlineLevel="3" x14ac:dyDescent="0.2">
      <c r="A1409" s="7" t="s">
        <v>92</v>
      </c>
      <c r="C1409" s="7" t="str">
        <f t="shared" si="206"/>
        <v>Sandra</v>
      </c>
      <c r="D1409" s="7" t="str">
        <f>+D1408</f>
        <v>Martinez</v>
      </c>
      <c r="E1409" s="8" t="str">
        <f>E1408</f>
        <v>SALES</v>
      </c>
      <c r="G1409" s="8" t="str">
        <f>G1408</f>
        <v>MART0001</v>
      </c>
      <c r="H1409" s="26"/>
      <c r="I1409" s="26"/>
      <c r="J1409" s="26"/>
      <c r="K1409" s="28">
        <f>+N1409</f>
        <v>42005</v>
      </c>
      <c r="L1409" s="26" t="str">
        <f>M1409</f>
        <v>11609</v>
      </c>
      <c r="M1409" s="26" t="str">
        <f>"11609"</f>
        <v>11609</v>
      </c>
      <c r="N1409" s="28">
        <v>42005</v>
      </c>
      <c r="O1409" s="26"/>
      <c r="P1409" s="26"/>
      <c r="Q1409" s="26"/>
      <c r="R1409" s="26"/>
      <c r="S1409" s="26"/>
      <c r="T1409" s="27"/>
    </row>
    <row r="1410" spans="1:20" s="7" customFormat="1" hidden="1" outlineLevel="3" x14ac:dyDescent="0.2">
      <c r="A1410" s="7" t="s">
        <v>92</v>
      </c>
      <c r="C1410" s="7" t="str">
        <f t="shared" si="206"/>
        <v>Sandra</v>
      </c>
      <c r="D1410" s="7" t="str">
        <f>+D1409</f>
        <v>Martinez</v>
      </c>
      <c r="E1410" s="8" t="str">
        <f>E1409</f>
        <v>SALES</v>
      </c>
      <c r="G1410" s="8" t="str">
        <f>G1409</f>
        <v>MART0001</v>
      </c>
      <c r="H1410" s="26"/>
      <c r="I1410" s="26"/>
      <c r="J1410" s="26"/>
      <c r="K1410" s="28">
        <f>+K1409</f>
        <v>42005</v>
      </c>
      <c r="L1410" s="26" t="str">
        <f>L1409</f>
        <v>11609</v>
      </c>
      <c r="M1410" s="26"/>
      <c r="N1410" s="26"/>
      <c r="O1410" s="26" t="str">
        <f>"""GP Direct"",""Fabrikam, Inc."",""UPR30300"",""PAYRATE"",""0.00000"",""PAYROLCD"",""MN"",""STATECD"","""",""CHEKDATE"",""1/1/2015"",""UPRTRXAM"",""403.34000"""</f>
        <v>"GP Direct","Fabrikam, Inc.","UPR30300","PAYRATE","0.00000","PAYROLCD","MN","STATECD","","CHEKDATE","1/1/2015","UPRTRXAM","403.34000"</v>
      </c>
      <c r="P1410" s="29">
        <v>0</v>
      </c>
      <c r="Q1410" s="26" t="str">
        <f>"MN"</f>
        <v>MN</v>
      </c>
      <c r="R1410" s="26"/>
      <c r="S1410" s="28">
        <v>42005</v>
      </c>
      <c r="T1410" s="29">
        <v>403.34</v>
      </c>
    </row>
    <row r="1411" spans="1:20" s="7" customFormat="1" hidden="1" outlineLevel="3" x14ac:dyDescent="0.2">
      <c r="A1411" s="7" t="s">
        <v>92</v>
      </c>
      <c r="C1411" s="7" t="str">
        <f t="shared" ref="C1411" si="212">+C1410</f>
        <v>Sandra</v>
      </c>
      <c r="D1411" s="7" t="str">
        <f>+D1410</f>
        <v>Martinez</v>
      </c>
      <c r="E1411" s="8" t="str">
        <f>E1410</f>
        <v>SALES</v>
      </c>
      <c r="G1411" s="8" t="str">
        <f>G1410</f>
        <v>MART0001</v>
      </c>
      <c r="H1411" s="26"/>
      <c r="I1411" s="26"/>
      <c r="J1411" s="26"/>
      <c r="K1411" s="28">
        <f>+K1410</f>
        <v>42005</v>
      </c>
      <c r="L1411" s="26" t="str">
        <f>L1410</f>
        <v>11609</v>
      </c>
      <c r="M1411" s="26"/>
      <c r="N1411" s="26"/>
      <c r="O1411" s="26" t="str">
        <f>"""GP Direct"",""Fabrikam, Inc."",""UPR30300"",""PAYRATE"",""6570.00000"",""PAYROLCD"",""COMM"",""STATECD"",""MN"",""CHEKDATE"",""1/1/2015"",""UPRTRXAM"",""6570.00000"""</f>
        <v>"GP Direct","Fabrikam, Inc.","UPR30300","PAYRATE","6570.00000","PAYROLCD","COMM","STATECD","MN","CHEKDATE","1/1/2015","UPRTRXAM","6570.00000"</v>
      </c>
      <c r="P1411" s="29">
        <v>6570</v>
      </c>
      <c r="Q1411" s="26" t="str">
        <f>"COMM"</f>
        <v>COMM</v>
      </c>
      <c r="R1411" s="26" t="str">
        <f>"MN"</f>
        <v>MN</v>
      </c>
      <c r="S1411" s="28">
        <v>42005</v>
      </c>
      <c r="T1411" s="29">
        <v>6570</v>
      </c>
    </row>
    <row r="1412" spans="1:20" s="7" customFormat="1" hidden="1" outlineLevel="3" x14ac:dyDescent="0.2">
      <c r="A1412" s="7" t="s">
        <v>92</v>
      </c>
      <c r="C1412" s="7" t="str">
        <f>+C1410</f>
        <v>Sandra</v>
      </c>
      <c r="D1412" s="7" t="str">
        <f>+D1410</f>
        <v>Martinez</v>
      </c>
      <c r="E1412" s="8" t="str">
        <f>E1410</f>
        <v>SALES</v>
      </c>
      <c r="G1412" s="8" t="str">
        <f>G1410</f>
        <v>MART0001</v>
      </c>
      <c r="K1412" s="12">
        <f>+K1410</f>
        <v>42005</v>
      </c>
      <c r="L1412" s="8" t="str">
        <f>L1410</f>
        <v>11609</v>
      </c>
      <c r="O1412" s="8"/>
      <c r="T1412" s="20"/>
    </row>
    <row r="1413" spans="1:20" s="7" customFormat="1" hidden="1" outlineLevel="2" collapsed="1" x14ac:dyDescent="0.2">
      <c r="A1413" s="7" t="s">
        <v>92</v>
      </c>
      <c r="C1413" s="7" t="str">
        <f t="shared" si="206"/>
        <v>Sandra</v>
      </c>
      <c r="D1413" s="7" t="str">
        <f>+D1412</f>
        <v>Martinez</v>
      </c>
      <c r="E1413" s="8" t="str">
        <f>E1412</f>
        <v>SALES</v>
      </c>
      <c r="G1413" s="8" t="str">
        <f>G1412</f>
        <v>MART0001</v>
      </c>
      <c r="K1413" s="12">
        <f>+K1412</f>
        <v>42005</v>
      </c>
      <c r="L1413" s="8" t="str">
        <f>L1412</f>
        <v>11609</v>
      </c>
      <c r="M1413" s="33" t="str">
        <f>"Total for " &amp; $L1413</f>
        <v>Total for 11609</v>
      </c>
      <c r="N1413" s="34">
        <f>+K1413</f>
        <v>42005</v>
      </c>
      <c r="O1413" s="35"/>
      <c r="P1413" s="33"/>
      <c r="Q1413" s="33"/>
      <c r="R1413" s="33"/>
      <c r="S1413" s="33"/>
      <c r="T1413" s="36">
        <f>SUBTOTAL(9,T1410:T1412)</f>
        <v>6973.34</v>
      </c>
    </row>
    <row r="1414" spans="1:20" s="7" customFormat="1" hidden="1" outlineLevel="3" x14ac:dyDescent="0.2">
      <c r="A1414" s="7" t="s">
        <v>92</v>
      </c>
      <c r="C1414" s="7" t="str">
        <f t="shared" si="206"/>
        <v>Sandra</v>
      </c>
      <c r="D1414" s="7" t="str">
        <f>+D1413</f>
        <v>Martinez</v>
      </c>
      <c r="E1414" s="8" t="str">
        <f>E1413</f>
        <v>SALES</v>
      </c>
      <c r="G1414" s="8" t="str">
        <f>G1413</f>
        <v>MART0001</v>
      </c>
      <c r="H1414" s="26"/>
      <c r="I1414" s="26"/>
      <c r="J1414" s="26"/>
      <c r="K1414" s="28">
        <f>+N1414</f>
        <v>42156</v>
      </c>
      <c r="L1414" s="26" t="str">
        <f>M1414</f>
        <v>11613</v>
      </c>
      <c r="M1414" s="26" t="str">
        <f>"11613"</f>
        <v>11613</v>
      </c>
      <c r="N1414" s="28">
        <v>42156</v>
      </c>
      <c r="O1414" s="26"/>
      <c r="P1414" s="26"/>
      <c r="Q1414" s="26"/>
      <c r="R1414" s="26"/>
      <c r="S1414" s="26"/>
      <c r="T1414" s="27"/>
    </row>
    <row r="1415" spans="1:20" s="7" customFormat="1" hidden="1" outlineLevel="3" x14ac:dyDescent="0.2">
      <c r="A1415" s="7" t="s">
        <v>92</v>
      </c>
      <c r="C1415" s="7" t="str">
        <f t="shared" si="206"/>
        <v>Sandra</v>
      </c>
      <c r="D1415" s="7" t="str">
        <f>+D1414</f>
        <v>Martinez</v>
      </c>
      <c r="E1415" s="8" t="str">
        <f>E1414</f>
        <v>SALES</v>
      </c>
      <c r="G1415" s="8" t="str">
        <f>G1414</f>
        <v>MART0001</v>
      </c>
      <c r="H1415" s="26"/>
      <c r="I1415" s="26"/>
      <c r="J1415" s="26"/>
      <c r="K1415" s="28">
        <f>+K1414</f>
        <v>42156</v>
      </c>
      <c r="L1415" s="26" t="str">
        <f>L1414</f>
        <v>11613</v>
      </c>
      <c r="M1415" s="26"/>
      <c r="N1415" s="26"/>
      <c r="O1415" s="26" t="str">
        <f>"""GP Direct"",""Fabrikam, Inc."",""UPR30300"",""PAYRATE"",""0.00000"",""PAYROLCD"",""MN"",""STATECD"","""",""CHEKDATE"",""6/1/2015"",""UPRTRXAM"",""403.34000"""</f>
        <v>"GP Direct","Fabrikam, Inc.","UPR30300","PAYRATE","0.00000","PAYROLCD","MN","STATECD","","CHEKDATE","6/1/2015","UPRTRXAM","403.34000"</v>
      </c>
      <c r="P1415" s="29">
        <v>0</v>
      </c>
      <c r="Q1415" s="26" t="str">
        <f>"MN"</f>
        <v>MN</v>
      </c>
      <c r="R1415" s="26"/>
      <c r="S1415" s="28">
        <v>42156</v>
      </c>
      <c r="T1415" s="29">
        <v>403.34</v>
      </c>
    </row>
    <row r="1416" spans="1:20" s="7" customFormat="1" hidden="1" outlineLevel="3" x14ac:dyDescent="0.2">
      <c r="A1416" s="7" t="s">
        <v>92</v>
      </c>
      <c r="C1416" s="7" t="str">
        <f t="shared" ref="C1416" si="213">+C1415</f>
        <v>Sandra</v>
      </c>
      <c r="D1416" s="7" t="str">
        <f>+D1415</f>
        <v>Martinez</v>
      </c>
      <c r="E1416" s="8" t="str">
        <f>E1415</f>
        <v>SALES</v>
      </c>
      <c r="G1416" s="8" t="str">
        <f>G1415</f>
        <v>MART0001</v>
      </c>
      <c r="H1416" s="26"/>
      <c r="I1416" s="26"/>
      <c r="J1416" s="26"/>
      <c r="K1416" s="28">
        <f>+K1415</f>
        <v>42156</v>
      </c>
      <c r="L1416" s="26" t="str">
        <f>L1415</f>
        <v>11613</v>
      </c>
      <c r="M1416" s="26"/>
      <c r="N1416" s="26"/>
      <c r="O1416" s="26" t="str">
        <f>"""GP Direct"",""Fabrikam, Inc."",""UPR30300"",""PAYRATE"",""6570.00000"",""PAYROLCD"",""COMM"",""STATECD"",""MN"",""CHEKDATE"",""6/1/2015"",""UPRTRXAM"",""6570.00000"""</f>
        <v>"GP Direct","Fabrikam, Inc.","UPR30300","PAYRATE","6570.00000","PAYROLCD","COMM","STATECD","MN","CHEKDATE","6/1/2015","UPRTRXAM","6570.00000"</v>
      </c>
      <c r="P1416" s="29">
        <v>6570</v>
      </c>
      <c r="Q1416" s="26" t="str">
        <f>"COMM"</f>
        <v>COMM</v>
      </c>
      <c r="R1416" s="26" t="str">
        <f>"MN"</f>
        <v>MN</v>
      </c>
      <c r="S1416" s="28">
        <v>42156</v>
      </c>
      <c r="T1416" s="29">
        <v>6570</v>
      </c>
    </row>
    <row r="1417" spans="1:20" s="7" customFormat="1" hidden="1" outlineLevel="3" x14ac:dyDescent="0.2">
      <c r="A1417" s="7" t="s">
        <v>92</v>
      </c>
      <c r="C1417" s="7" t="str">
        <f>+C1415</f>
        <v>Sandra</v>
      </c>
      <c r="D1417" s="7" t="str">
        <f>+D1415</f>
        <v>Martinez</v>
      </c>
      <c r="E1417" s="8" t="str">
        <f>E1415</f>
        <v>SALES</v>
      </c>
      <c r="G1417" s="8" t="str">
        <f>G1415</f>
        <v>MART0001</v>
      </c>
      <c r="K1417" s="12">
        <f>+K1415</f>
        <v>42156</v>
      </c>
      <c r="L1417" s="8" t="str">
        <f>L1415</f>
        <v>11613</v>
      </c>
      <c r="O1417" s="8"/>
      <c r="T1417" s="20"/>
    </row>
    <row r="1418" spans="1:20" s="7" customFormat="1" hidden="1" outlineLevel="2" collapsed="1" x14ac:dyDescent="0.2">
      <c r="A1418" s="7" t="s">
        <v>92</v>
      </c>
      <c r="C1418" s="7" t="str">
        <f t="shared" si="206"/>
        <v>Sandra</v>
      </c>
      <c r="D1418" s="7" t="str">
        <f>+D1417</f>
        <v>Martinez</v>
      </c>
      <c r="E1418" s="8" t="str">
        <f>E1417</f>
        <v>SALES</v>
      </c>
      <c r="G1418" s="8" t="str">
        <f>G1417</f>
        <v>MART0001</v>
      </c>
      <c r="K1418" s="12">
        <f>+K1417</f>
        <v>42156</v>
      </c>
      <c r="L1418" s="8" t="str">
        <f>L1417</f>
        <v>11613</v>
      </c>
      <c r="M1418" s="33" t="str">
        <f>"Total for " &amp; $L1418</f>
        <v>Total for 11613</v>
      </c>
      <c r="N1418" s="34">
        <f>+K1418</f>
        <v>42156</v>
      </c>
      <c r="O1418" s="35"/>
      <c r="P1418" s="33"/>
      <c r="Q1418" s="33"/>
      <c r="R1418" s="33"/>
      <c r="S1418" s="33"/>
      <c r="T1418" s="36">
        <f>SUBTOTAL(9,T1415:T1417)</f>
        <v>6973.34</v>
      </c>
    </row>
    <row r="1419" spans="1:20" s="7" customFormat="1" hidden="1" outlineLevel="2" x14ac:dyDescent="0.2">
      <c r="A1419" s="7" t="s">
        <v>92</v>
      </c>
      <c r="C1419" s="7" t="str">
        <f>+C1361</f>
        <v>Sandra</v>
      </c>
      <c r="D1419" s="7" t="str">
        <f>+D1361</f>
        <v>Martinez</v>
      </c>
      <c r="E1419" s="8" t="str">
        <f>E1361</f>
        <v>SALES</v>
      </c>
      <c r="G1419" s="8" t="str">
        <f>G1361</f>
        <v>MART0001</v>
      </c>
      <c r="L1419" s="8"/>
      <c r="O1419" s="8"/>
      <c r="T1419" s="20"/>
    </row>
    <row r="1420" spans="1:20" s="7" customFormat="1" hidden="1" outlineLevel="1" collapsed="1" x14ac:dyDescent="0.2">
      <c r="A1420" s="7" t="s">
        <v>92</v>
      </c>
      <c r="C1420" s="7" t="str">
        <f t="shared" si="204"/>
        <v>Sandra</v>
      </c>
      <c r="D1420" s="7" t="str">
        <f>+D1419</f>
        <v>Martinez</v>
      </c>
      <c r="E1420" s="8" t="str">
        <f>E1419</f>
        <v>SALES</v>
      </c>
      <c r="G1420" s="8" t="str">
        <f>G1419</f>
        <v>MART0001</v>
      </c>
      <c r="H1420" s="30" t="str">
        <f>"Total for " &amp; $G1420</f>
        <v>Total for MART0001</v>
      </c>
      <c r="I1420" s="30" t="str">
        <f>+C1420</f>
        <v>Sandra</v>
      </c>
      <c r="J1420" s="30" t="str">
        <f>+D1420</f>
        <v>Martinez</v>
      </c>
      <c r="K1420" s="30"/>
      <c r="L1420" s="31"/>
      <c r="M1420" s="30"/>
      <c r="N1420" s="30"/>
      <c r="O1420" s="31"/>
      <c r="P1420" s="30"/>
      <c r="Q1420" s="30"/>
      <c r="R1420" s="30"/>
      <c r="S1420" s="30"/>
      <c r="T1420" s="32">
        <f>SUBTOTAL(9,T1354:T1419)</f>
        <v>20271.249999999996</v>
      </c>
    </row>
    <row r="1421" spans="1:20" s="7" customFormat="1" hidden="1" outlineLevel="2" x14ac:dyDescent="0.2">
      <c r="A1421" s="7" t="s">
        <v>92</v>
      </c>
      <c r="C1421" s="7" t="str">
        <f t="shared" ref="C1421" si="214">+I1421</f>
        <v>Salmon</v>
      </c>
      <c r="D1421" s="7" t="str">
        <f>+J1421</f>
        <v>Mughal</v>
      </c>
      <c r="E1421" s="8" t="str">
        <f>E1420</f>
        <v>SALES</v>
      </c>
      <c r="G1421" s="8" t="str">
        <f>H1421</f>
        <v>MUGH0001</v>
      </c>
      <c r="H1421" s="24" t="str">
        <f>"MUGH0001"</f>
        <v>MUGH0001</v>
      </c>
      <c r="I1421" s="25" t="str">
        <f>"Salmon"</f>
        <v>Salmon</v>
      </c>
      <c r="J1421" s="25" t="str">
        <f>"Mughal"</f>
        <v>Mughal</v>
      </c>
      <c r="K1421" s="26"/>
      <c r="L1421" s="26"/>
      <c r="M1421" s="26"/>
      <c r="N1421" s="26"/>
      <c r="O1421" s="26"/>
      <c r="P1421" s="26"/>
      <c r="Q1421" s="26"/>
      <c r="R1421" s="26"/>
      <c r="S1421" s="26"/>
      <c r="T1421" s="27"/>
    </row>
    <row r="1422" spans="1:20" s="7" customFormat="1" hidden="1" outlineLevel="3" x14ac:dyDescent="0.2">
      <c r="A1422" s="7" t="s">
        <v>92</v>
      </c>
      <c r="C1422" s="7" t="str">
        <f t="shared" ref="C1422:C1477" si="215">+C1421</f>
        <v>Salmon</v>
      </c>
      <c r="D1422" s="7" t="str">
        <f>+D1421</f>
        <v>Mughal</v>
      </c>
      <c r="E1422" s="8" t="str">
        <f>E1421</f>
        <v>SALES</v>
      </c>
      <c r="G1422" s="8" t="str">
        <f>G1421</f>
        <v>MUGH0001</v>
      </c>
      <c r="H1422" s="26"/>
      <c r="I1422" s="26"/>
      <c r="J1422" s="26"/>
      <c r="K1422" s="28">
        <f>+N1422</f>
        <v>42005</v>
      </c>
      <c r="L1422" s="26" t="str">
        <f>M1422</f>
        <v>10371</v>
      </c>
      <c r="M1422" s="26" t="str">
        <f>"10371"</f>
        <v>10371</v>
      </c>
      <c r="N1422" s="28">
        <v>42005</v>
      </c>
      <c r="O1422" s="26"/>
      <c r="P1422" s="26"/>
      <c r="Q1422" s="26"/>
      <c r="R1422" s="26"/>
      <c r="S1422" s="26"/>
      <c r="T1422" s="27"/>
    </row>
    <row r="1423" spans="1:20" s="7" customFormat="1" hidden="1" outlineLevel="3" x14ac:dyDescent="0.2">
      <c r="A1423" s="7" t="s">
        <v>92</v>
      </c>
      <c r="C1423" s="7" t="str">
        <f t="shared" si="215"/>
        <v>Salmon</v>
      </c>
      <c r="D1423" s="7" t="str">
        <f>+D1422</f>
        <v>Mughal</v>
      </c>
      <c r="E1423" s="8" t="str">
        <f>E1422</f>
        <v>SALES</v>
      </c>
      <c r="G1423" s="8" t="str">
        <f>G1422</f>
        <v>MUGH0001</v>
      </c>
      <c r="H1423" s="26"/>
      <c r="I1423" s="26"/>
      <c r="J1423" s="26"/>
      <c r="K1423" s="28">
        <f>+K1422</f>
        <v>42005</v>
      </c>
      <c r="L1423" s="26" t="str">
        <f>L1422</f>
        <v>10371</v>
      </c>
      <c r="M1423" s="26"/>
      <c r="N1423" s="26"/>
      <c r="O1423" s="26" t="str">
        <f>"""GP Direct"",""Fabrikam, Inc."",""UPR30300"",""PAYRATE"",""0.00000"",""PAYROLCD"",""401K"",""STATECD"","""",""CHEKDATE"",""1/1/2015"",""UPRTRXAM"",""1.08000"""</f>
        <v>"GP Direct","Fabrikam, Inc.","UPR30300","PAYRATE","0.00000","PAYROLCD","401K","STATECD","","CHEKDATE","1/1/2015","UPRTRXAM","1.08000"</v>
      </c>
      <c r="P1423" s="29">
        <v>0</v>
      </c>
      <c r="Q1423" s="26" t="str">
        <f>"401K"</f>
        <v>401K</v>
      </c>
      <c r="R1423" s="26"/>
      <c r="S1423" s="28">
        <v>42005</v>
      </c>
      <c r="T1423" s="29">
        <v>1.08</v>
      </c>
    </row>
    <row r="1424" spans="1:20" s="7" customFormat="1" hidden="1" outlineLevel="3" x14ac:dyDescent="0.2">
      <c r="A1424" s="7" t="s">
        <v>92</v>
      </c>
      <c r="C1424" s="7" t="str">
        <f t="shared" ref="C1424:C1428" si="216">+C1423</f>
        <v>Salmon</v>
      </c>
      <c r="D1424" s="7" t="str">
        <f>+D1423</f>
        <v>Mughal</v>
      </c>
      <c r="E1424" s="8" t="str">
        <f>E1423</f>
        <v>SALES</v>
      </c>
      <c r="G1424" s="8" t="str">
        <f>G1423</f>
        <v>MUGH0001</v>
      </c>
      <c r="H1424" s="26"/>
      <c r="I1424" s="26"/>
      <c r="J1424" s="26"/>
      <c r="K1424" s="28">
        <f>+K1423</f>
        <v>42005</v>
      </c>
      <c r="L1424" s="26" t="str">
        <f>L1423</f>
        <v>10371</v>
      </c>
      <c r="M1424" s="26"/>
      <c r="N1424" s="26"/>
      <c r="O1424" s="26" t="str">
        <f>"""GP Direct"",""Fabrikam, Inc."",""UPR30300"",""PAYRATE"",""0.00000"",""PAYROLCD"",""401K"",""STATECD"","""",""CHEKDATE"",""1/1/2015"",""UPRTRXAM"",""21.57000"""</f>
        <v>"GP Direct","Fabrikam, Inc.","UPR30300","PAYRATE","0.00000","PAYROLCD","401K","STATECD","","CHEKDATE","1/1/2015","UPRTRXAM","21.57000"</v>
      </c>
      <c r="P1424" s="29">
        <v>0</v>
      </c>
      <c r="Q1424" s="26" t="str">
        <f>"401K"</f>
        <v>401K</v>
      </c>
      <c r="R1424" s="26"/>
      <c r="S1424" s="28">
        <v>42005</v>
      </c>
      <c r="T1424" s="29">
        <v>21.57</v>
      </c>
    </row>
    <row r="1425" spans="1:20" s="7" customFormat="1" hidden="1" outlineLevel="3" x14ac:dyDescent="0.2">
      <c r="A1425" s="7" t="s">
        <v>92</v>
      </c>
      <c r="C1425" s="7" t="str">
        <f t="shared" si="216"/>
        <v>Salmon</v>
      </c>
      <c r="D1425" s="7" t="str">
        <f>+D1424</f>
        <v>Mughal</v>
      </c>
      <c r="E1425" s="8" t="str">
        <f>E1424</f>
        <v>SALES</v>
      </c>
      <c r="G1425" s="8" t="str">
        <f>G1424</f>
        <v>MUGH0001</v>
      </c>
      <c r="H1425" s="26"/>
      <c r="I1425" s="26"/>
      <c r="J1425" s="26"/>
      <c r="K1425" s="28">
        <f>+K1424</f>
        <v>42005</v>
      </c>
      <c r="L1425" s="26" t="str">
        <f>L1424</f>
        <v>10371</v>
      </c>
      <c r="M1425" s="26"/>
      <c r="N1425" s="26"/>
      <c r="O1425" s="26" t="str">
        <f>"""GP Direct"",""Fabrikam, Inc."",""UPR30300"",""PAYRATE"",""0.00000"",""PAYROLCD"",""IL"",""STATECD"","""",""CHEKDATE"",""1/1/2015"",""UPRTRXAM"",""19.53000"""</f>
        <v>"GP Direct","Fabrikam, Inc.","UPR30300","PAYRATE","0.00000","PAYROLCD","IL","STATECD","","CHEKDATE","1/1/2015","UPRTRXAM","19.53000"</v>
      </c>
      <c r="P1425" s="29">
        <v>0</v>
      </c>
      <c r="Q1425" s="26" t="str">
        <f>"IL"</f>
        <v>IL</v>
      </c>
      <c r="R1425" s="26"/>
      <c r="S1425" s="28">
        <v>42005</v>
      </c>
      <c r="T1425" s="29">
        <v>19.53</v>
      </c>
    </row>
    <row r="1426" spans="1:20" s="7" customFormat="1" hidden="1" outlineLevel="3" x14ac:dyDescent="0.2">
      <c r="A1426" s="7" t="s">
        <v>92</v>
      </c>
      <c r="C1426" s="7" t="str">
        <f t="shared" si="216"/>
        <v>Salmon</v>
      </c>
      <c r="D1426" s="7" t="str">
        <f>+D1425</f>
        <v>Mughal</v>
      </c>
      <c r="E1426" s="8" t="str">
        <f>E1425</f>
        <v>SALES</v>
      </c>
      <c r="G1426" s="8" t="str">
        <f>G1425</f>
        <v>MUGH0001</v>
      </c>
      <c r="H1426" s="26"/>
      <c r="I1426" s="26"/>
      <c r="J1426" s="26"/>
      <c r="K1426" s="28">
        <f>+K1425</f>
        <v>42005</v>
      </c>
      <c r="L1426" s="26" t="str">
        <f>L1425</f>
        <v>10371</v>
      </c>
      <c r="M1426" s="26"/>
      <c r="N1426" s="26"/>
      <c r="O1426" s="26" t="str">
        <f>"""GP Direct"",""Fabrikam, Inc."",""UPR30300"",""PAYRATE"",""0.00000"",""PAYROLCD"",""INS"",""STATECD"","""",""CHEKDATE"",""1/1/2015"",""UPRTRXAM"",""49.36000"""</f>
        <v>"GP Direct","Fabrikam, Inc.","UPR30300","PAYRATE","0.00000","PAYROLCD","INS","STATECD","","CHEKDATE","1/1/2015","UPRTRXAM","49.36000"</v>
      </c>
      <c r="P1426" s="29">
        <v>0</v>
      </c>
      <c r="Q1426" s="26" t="str">
        <f>"INS"</f>
        <v>INS</v>
      </c>
      <c r="R1426" s="26"/>
      <c r="S1426" s="28">
        <v>42005</v>
      </c>
      <c r="T1426" s="29">
        <v>49.36</v>
      </c>
    </row>
    <row r="1427" spans="1:20" s="7" customFormat="1" hidden="1" outlineLevel="3" x14ac:dyDescent="0.2">
      <c r="A1427" s="7" t="s">
        <v>92</v>
      </c>
      <c r="C1427" s="7" t="str">
        <f t="shared" si="216"/>
        <v>Salmon</v>
      </c>
      <c r="D1427" s="7" t="str">
        <f>+D1426</f>
        <v>Mughal</v>
      </c>
      <c r="E1427" s="8" t="str">
        <f>E1426</f>
        <v>SALES</v>
      </c>
      <c r="G1427" s="8" t="str">
        <f>G1426</f>
        <v>MUGH0001</v>
      </c>
      <c r="H1427" s="26"/>
      <c r="I1427" s="26"/>
      <c r="J1427" s="26"/>
      <c r="K1427" s="28">
        <f>+K1426</f>
        <v>42005</v>
      </c>
      <c r="L1427" s="26" t="str">
        <f>L1426</f>
        <v>10371</v>
      </c>
      <c r="M1427" s="26"/>
      <c r="N1427" s="26"/>
      <c r="O1427" s="26" t="str">
        <f>"""GP Direct"",""Fabrikam, Inc."",""UPR30300"",""PAYRATE"",""0.00000"",""PAYROLCD"",""MED"",""STATECD"","""",""CHEKDATE"",""1/1/2015"",""UPRTRXAM"",""5.00000"""</f>
        <v>"GP Direct","Fabrikam, Inc.","UPR30300","PAYRATE","0.00000","PAYROLCD","MED","STATECD","","CHEKDATE","1/1/2015","UPRTRXAM","5.00000"</v>
      </c>
      <c r="P1427" s="29">
        <v>0</v>
      </c>
      <c r="Q1427" s="26" t="str">
        <f>"MED"</f>
        <v>MED</v>
      </c>
      <c r="R1427" s="26"/>
      <c r="S1427" s="28">
        <v>42005</v>
      </c>
      <c r="T1427" s="29">
        <v>5</v>
      </c>
    </row>
    <row r="1428" spans="1:20" s="7" customFormat="1" hidden="1" outlineLevel="3" x14ac:dyDescent="0.2">
      <c r="A1428" s="7" t="s">
        <v>92</v>
      </c>
      <c r="C1428" s="7" t="str">
        <f t="shared" si="216"/>
        <v>Salmon</v>
      </c>
      <c r="D1428" s="7" t="str">
        <f>+D1427</f>
        <v>Mughal</v>
      </c>
      <c r="E1428" s="8" t="str">
        <f>E1427</f>
        <v>SALES</v>
      </c>
      <c r="G1428" s="8" t="str">
        <f>G1427</f>
        <v>MUGH0001</v>
      </c>
      <c r="H1428" s="26"/>
      <c r="I1428" s="26"/>
      <c r="J1428" s="26"/>
      <c r="K1428" s="28">
        <f>+K1427</f>
        <v>42005</v>
      </c>
      <c r="L1428" s="26" t="str">
        <f>L1427</f>
        <v>10371</v>
      </c>
      <c r="M1428" s="26"/>
      <c r="N1428" s="26"/>
      <c r="O1428" s="26" t="str">
        <f>"""GP Direct"",""Fabrikam, Inc."",""UPR30300"",""PAYRATE"",""17259.00000"",""PAYROLCD"",""SALY"",""STATECD"",""IL"",""CHEKDATE"",""1/1/2015"",""UPRTRXAM"",""719.13000"""</f>
        <v>"GP Direct","Fabrikam, Inc.","UPR30300","PAYRATE","17259.00000","PAYROLCD","SALY","STATECD","IL","CHEKDATE","1/1/2015","UPRTRXAM","719.13000"</v>
      </c>
      <c r="P1428" s="29">
        <v>17259</v>
      </c>
      <c r="Q1428" s="26" t="str">
        <f>"SALY"</f>
        <v>SALY</v>
      </c>
      <c r="R1428" s="26" t="str">
        <f>"IL"</f>
        <v>IL</v>
      </c>
      <c r="S1428" s="28">
        <v>42005</v>
      </c>
      <c r="T1428" s="29">
        <v>719.13</v>
      </c>
    </row>
    <row r="1429" spans="1:20" s="7" customFormat="1" hidden="1" outlineLevel="3" x14ac:dyDescent="0.2">
      <c r="A1429" s="7" t="s">
        <v>92</v>
      </c>
      <c r="C1429" s="7" t="str">
        <f>+C1423</f>
        <v>Salmon</v>
      </c>
      <c r="D1429" s="7" t="str">
        <f>+D1423</f>
        <v>Mughal</v>
      </c>
      <c r="E1429" s="8" t="str">
        <f>E1423</f>
        <v>SALES</v>
      </c>
      <c r="G1429" s="8" t="str">
        <f>G1423</f>
        <v>MUGH0001</v>
      </c>
      <c r="K1429" s="12">
        <f>+K1423</f>
        <v>42005</v>
      </c>
      <c r="L1429" s="8" t="str">
        <f>L1423</f>
        <v>10371</v>
      </c>
      <c r="O1429" s="8"/>
      <c r="T1429" s="20"/>
    </row>
    <row r="1430" spans="1:20" s="7" customFormat="1" hidden="1" outlineLevel="2" collapsed="1" x14ac:dyDescent="0.2">
      <c r="A1430" s="7" t="s">
        <v>92</v>
      </c>
      <c r="C1430" s="7" t="str">
        <f t="shared" si="215"/>
        <v>Salmon</v>
      </c>
      <c r="D1430" s="7" t="str">
        <f>+D1429</f>
        <v>Mughal</v>
      </c>
      <c r="E1430" s="8" t="str">
        <f>E1429</f>
        <v>SALES</v>
      </c>
      <c r="G1430" s="8" t="str">
        <f>G1429</f>
        <v>MUGH0001</v>
      </c>
      <c r="K1430" s="12">
        <f>+K1429</f>
        <v>42005</v>
      </c>
      <c r="L1430" s="8" t="str">
        <f>L1429</f>
        <v>10371</v>
      </c>
      <c r="M1430" s="33" t="str">
        <f>"Total for " &amp; $L1430</f>
        <v>Total for 10371</v>
      </c>
      <c r="N1430" s="34">
        <f>+K1430</f>
        <v>42005</v>
      </c>
      <c r="O1430" s="35"/>
      <c r="P1430" s="33"/>
      <c r="Q1430" s="33"/>
      <c r="R1430" s="33"/>
      <c r="S1430" s="33"/>
      <c r="T1430" s="36">
        <f>SUBTOTAL(9,T1423:T1429)</f>
        <v>815.67</v>
      </c>
    </row>
    <row r="1431" spans="1:20" s="7" customFormat="1" hidden="1" outlineLevel="3" x14ac:dyDescent="0.2">
      <c r="A1431" s="7" t="s">
        <v>92</v>
      </c>
      <c r="C1431" s="7" t="str">
        <f t="shared" ref="C1431:C1475" si="217">+C1430</f>
        <v>Salmon</v>
      </c>
      <c r="D1431" s="7" t="str">
        <f>+D1430</f>
        <v>Mughal</v>
      </c>
      <c r="E1431" s="8" t="str">
        <f>E1430</f>
        <v>SALES</v>
      </c>
      <c r="G1431" s="8" t="str">
        <f>G1430</f>
        <v>MUGH0001</v>
      </c>
      <c r="H1431" s="26"/>
      <c r="I1431" s="26"/>
      <c r="J1431" s="26"/>
      <c r="K1431" s="28">
        <f>+N1431</f>
        <v>42036</v>
      </c>
      <c r="L1431" s="26" t="str">
        <f>M1431</f>
        <v>10396</v>
      </c>
      <c r="M1431" s="26" t="str">
        <f>"10396"</f>
        <v>10396</v>
      </c>
      <c r="N1431" s="28">
        <v>42036</v>
      </c>
      <c r="O1431" s="26"/>
      <c r="P1431" s="26"/>
      <c r="Q1431" s="26"/>
      <c r="R1431" s="26"/>
      <c r="S1431" s="26"/>
      <c r="T1431" s="27"/>
    </row>
    <row r="1432" spans="1:20" s="7" customFormat="1" hidden="1" outlineLevel="3" x14ac:dyDescent="0.2">
      <c r="A1432" s="7" t="s">
        <v>92</v>
      </c>
      <c r="C1432" s="7" t="str">
        <f t="shared" si="217"/>
        <v>Salmon</v>
      </c>
      <c r="D1432" s="7" t="str">
        <f>+D1431</f>
        <v>Mughal</v>
      </c>
      <c r="E1432" s="8" t="str">
        <f>E1431</f>
        <v>SALES</v>
      </c>
      <c r="G1432" s="8" t="str">
        <f>G1431</f>
        <v>MUGH0001</v>
      </c>
      <c r="H1432" s="26"/>
      <c r="I1432" s="26"/>
      <c r="J1432" s="26"/>
      <c r="K1432" s="28">
        <f>+K1431</f>
        <v>42036</v>
      </c>
      <c r="L1432" s="26" t="str">
        <f>L1431</f>
        <v>10396</v>
      </c>
      <c r="M1432" s="26"/>
      <c r="N1432" s="26"/>
      <c r="O1432" s="26" t="str">
        <f>"""GP Direct"",""Fabrikam, Inc."",""UPR30300"",""PAYRATE"",""0.00000"",""PAYROLCD"",""401K"",""STATECD"","""",""CHEKDATE"",""2/1/2015"",""UPRTRXAM"",""1.08000"""</f>
        <v>"GP Direct","Fabrikam, Inc.","UPR30300","PAYRATE","0.00000","PAYROLCD","401K","STATECD","","CHEKDATE","2/1/2015","UPRTRXAM","1.08000"</v>
      </c>
      <c r="P1432" s="29">
        <v>0</v>
      </c>
      <c r="Q1432" s="26" t="str">
        <f>"401K"</f>
        <v>401K</v>
      </c>
      <c r="R1432" s="26"/>
      <c r="S1432" s="28">
        <v>42036</v>
      </c>
      <c r="T1432" s="29">
        <v>1.08</v>
      </c>
    </row>
    <row r="1433" spans="1:20" s="7" customFormat="1" hidden="1" outlineLevel="3" x14ac:dyDescent="0.2">
      <c r="A1433" s="7" t="s">
        <v>92</v>
      </c>
      <c r="C1433" s="7" t="str">
        <f t="shared" ref="C1433:C1437" si="218">+C1432</f>
        <v>Salmon</v>
      </c>
      <c r="D1433" s="7" t="str">
        <f>+D1432</f>
        <v>Mughal</v>
      </c>
      <c r="E1433" s="8" t="str">
        <f>E1432</f>
        <v>SALES</v>
      </c>
      <c r="G1433" s="8" t="str">
        <f>G1432</f>
        <v>MUGH0001</v>
      </c>
      <c r="H1433" s="26"/>
      <c r="I1433" s="26"/>
      <c r="J1433" s="26"/>
      <c r="K1433" s="28">
        <f>+K1432</f>
        <v>42036</v>
      </c>
      <c r="L1433" s="26" t="str">
        <f>L1432</f>
        <v>10396</v>
      </c>
      <c r="M1433" s="26"/>
      <c r="N1433" s="26"/>
      <c r="O1433" s="26" t="str">
        <f>"""GP Direct"",""Fabrikam, Inc."",""UPR30300"",""PAYRATE"",""0.00000"",""PAYROLCD"",""401K"",""STATECD"","""",""CHEKDATE"",""2/1/2015"",""UPRTRXAM"",""21.57000"""</f>
        <v>"GP Direct","Fabrikam, Inc.","UPR30300","PAYRATE","0.00000","PAYROLCD","401K","STATECD","","CHEKDATE","2/1/2015","UPRTRXAM","21.57000"</v>
      </c>
      <c r="P1433" s="29">
        <v>0</v>
      </c>
      <c r="Q1433" s="26" t="str">
        <f>"401K"</f>
        <v>401K</v>
      </c>
      <c r="R1433" s="26"/>
      <c r="S1433" s="28">
        <v>42036</v>
      </c>
      <c r="T1433" s="29">
        <v>21.57</v>
      </c>
    </row>
    <row r="1434" spans="1:20" s="7" customFormat="1" hidden="1" outlineLevel="3" x14ac:dyDescent="0.2">
      <c r="A1434" s="7" t="s">
        <v>92</v>
      </c>
      <c r="C1434" s="7" t="str">
        <f t="shared" si="218"/>
        <v>Salmon</v>
      </c>
      <c r="D1434" s="7" t="str">
        <f>+D1433</f>
        <v>Mughal</v>
      </c>
      <c r="E1434" s="8" t="str">
        <f>E1433</f>
        <v>SALES</v>
      </c>
      <c r="G1434" s="8" t="str">
        <f>G1433</f>
        <v>MUGH0001</v>
      </c>
      <c r="H1434" s="26"/>
      <c r="I1434" s="26"/>
      <c r="J1434" s="26"/>
      <c r="K1434" s="28">
        <f>+K1433</f>
        <v>42036</v>
      </c>
      <c r="L1434" s="26" t="str">
        <f>L1433</f>
        <v>10396</v>
      </c>
      <c r="M1434" s="26"/>
      <c r="N1434" s="26"/>
      <c r="O1434" s="26" t="str">
        <f>"""GP Direct"",""Fabrikam, Inc."",""UPR30300"",""PAYRATE"",""0.00000"",""PAYROLCD"",""IL"",""STATECD"","""",""CHEKDATE"",""2/1/2015"",""UPRTRXAM"",""19.53000"""</f>
        <v>"GP Direct","Fabrikam, Inc.","UPR30300","PAYRATE","0.00000","PAYROLCD","IL","STATECD","","CHEKDATE","2/1/2015","UPRTRXAM","19.53000"</v>
      </c>
      <c r="P1434" s="29">
        <v>0</v>
      </c>
      <c r="Q1434" s="26" t="str">
        <f>"IL"</f>
        <v>IL</v>
      </c>
      <c r="R1434" s="26"/>
      <c r="S1434" s="28">
        <v>42036</v>
      </c>
      <c r="T1434" s="29">
        <v>19.53</v>
      </c>
    </row>
    <row r="1435" spans="1:20" s="7" customFormat="1" hidden="1" outlineLevel="3" x14ac:dyDescent="0.2">
      <c r="A1435" s="7" t="s">
        <v>92</v>
      </c>
      <c r="C1435" s="7" t="str">
        <f t="shared" si="218"/>
        <v>Salmon</v>
      </c>
      <c r="D1435" s="7" t="str">
        <f>+D1434</f>
        <v>Mughal</v>
      </c>
      <c r="E1435" s="8" t="str">
        <f>E1434</f>
        <v>SALES</v>
      </c>
      <c r="G1435" s="8" t="str">
        <f>G1434</f>
        <v>MUGH0001</v>
      </c>
      <c r="H1435" s="26"/>
      <c r="I1435" s="26"/>
      <c r="J1435" s="26"/>
      <c r="K1435" s="28">
        <f>+K1434</f>
        <v>42036</v>
      </c>
      <c r="L1435" s="26" t="str">
        <f>L1434</f>
        <v>10396</v>
      </c>
      <c r="M1435" s="26"/>
      <c r="N1435" s="26"/>
      <c r="O1435" s="26" t="str">
        <f>"""GP Direct"",""Fabrikam, Inc."",""UPR30300"",""PAYRATE"",""0.00000"",""PAYROLCD"",""INS"",""STATECD"","""",""CHEKDATE"",""2/1/2015"",""UPRTRXAM"",""49.36000"""</f>
        <v>"GP Direct","Fabrikam, Inc.","UPR30300","PAYRATE","0.00000","PAYROLCD","INS","STATECD","","CHEKDATE","2/1/2015","UPRTRXAM","49.36000"</v>
      </c>
      <c r="P1435" s="29">
        <v>0</v>
      </c>
      <c r="Q1435" s="26" t="str">
        <f>"INS"</f>
        <v>INS</v>
      </c>
      <c r="R1435" s="26"/>
      <c r="S1435" s="28">
        <v>42036</v>
      </c>
      <c r="T1435" s="29">
        <v>49.36</v>
      </c>
    </row>
    <row r="1436" spans="1:20" s="7" customFormat="1" hidden="1" outlineLevel="3" x14ac:dyDescent="0.2">
      <c r="A1436" s="7" t="s">
        <v>92</v>
      </c>
      <c r="C1436" s="7" t="str">
        <f t="shared" si="218"/>
        <v>Salmon</v>
      </c>
      <c r="D1436" s="7" t="str">
        <f>+D1435</f>
        <v>Mughal</v>
      </c>
      <c r="E1436" s="8" t="str">
        <f>E1435</f>
        <v>SALES</v>
      </c>
      <c r="G1436" s="8" t="str">
        <f>G1435</f>
        <v>MUGH0001</v>
      </c>
      <c r="H1436" s="26"/>
      <c r="I1436" s="26"/>
      <c r="J1436" s="26"/>
      <c r="K1436" s="28">
        <f>+K1435</f>
        <v>42036</v>
      </c>
      <c r="L1436" s="26" t="str">
        <f>L1435</f>
        <v>10396</v>
      </c>
      <c r="M1436" s="26"/>
      <c r="N1436" s="26"/>
      <c r="O1436" s="26" t="str">
        <f>"""GP Direct"",""Fabrikam, Inc."",""UPR30300"",""PAYRATE"",""0.00000"",""PAYROLCD"",""MED"",""STATECD"","""",""CHEKDATE"",""2/1/2015"",""UPRTRXAM"",""5.00000"""</f>
        <v>"GP Direct","Fabrikam, Inc.","UPR30300","PAYRATE","0.00000","PAYROLCD","MED","STATECD","","CHEKDATE","2/1/2015","UPRTRXAM","5.00000"</v>
      </c>
      <c r="P1436" s="29">
        <v>0</v>
      </c>
      <c r="Q1436" s="26" t="str">
        <f>"MED"</f>
        <v>MED</v>
      </c>
      <c r="R1436" s="26"/>
      <c r="S1436" s="28">
        <v>42036</v>
      </c>
      <c r="T1436" s="29">
        <v>5</v>
      </c>
    </row>
    <row r="1437" spans="1:20" s="7" customFormat="1" hidden="1" outlineLevel="3" x14ac:dyDescent="0.2">
      <c r="A1437" s="7" t="s">
        <v>92</v>
      </c>
      <c r="C1437" s="7" t="str">
        <f t="shared" si="218"/>
        <v>Salmon</v>
      </c>
      <c r="D1437" s="7" t="str">
        <f>+D1436</f>
        <v>Mughal</v>
      </c>
      <c r="E1437" s="8" t="str">
        <f>E1436</f>
        <v>SALES</v>
      </c>
      <c r="G1437" s="8" t="str">
        <f>G1436</f>
        <v>MUGH0001</v>
      </c>
      <c r="H1437" s="26"/>
      <c r="I1437" s="26"/>
      <c r="J1437" s="26"/>
      <c r="K1437" s="28">
        <f>+K1436</f>
        <v>42036</v>
      </c>
      <c r="L1437" s="26" t="str">
        <f>L1436</f>
        <v>10396</v>
      </c>
      <c r="M1437" s="26"/>
      <c r="N1437" s="26"/>
      <c r="O1437" s="26" t="str">
        <f>"""GP Direct"",""Fabrikam, Inc."",""UPR30300"",""PAYRATE"",""17259.00000"",""PAYROLCD"",""SALY"",""STATECD"",""IL"",""CHEKDATE"",""2/1/2015"",""UPRTRXAM"",""719.13000"""</f>
        <v>"GP Direct","Fabrikam, Inc.","UPR30300","PAYRATE","17259.00000","PAYROLCD","SALY","STATECD","IL","CHEKDATE","2/1/2015","UPRTRXAM","719.13000"</v>
      </c>
      <c r="P1437" s="29">
        <v>17259</v>
      </c>
      <c r="Q1437" s="26" t="str">
        <f>"SALY"</f>
        <v>SALY</v>
      </c>
      <c r="R1437" s="26" t="str">
        <f>"IL"</f>
        <v>IL</v>
      </c>
      <c r="S1437" s="28">
        <v>42036</v>
      </c>
      <c r="T1437" s="29">
        <v>719.13</v>
      </c>
    </row>
    <row r="1438" spans="1:20" s="7" customFormat="1" hidden="1" outlineLevel="3" x14ac:dyDescent="0.2">
      <c r="A1438" s="7" t="s">
        <v>92</v>
      </c>
      <c r="C1438" s="7" t="str">
        <f>+C1432</f>
        <v>Salmon</v>
      </c>
      <c r="D1438" s="7" t="str">
        <f>+D1432</f>
        <v>Mughal</v>
      </c>
      <c r="E1438" s="8" t="str">
        <f>E1432</f>
        <v>SALES</v>
      </c>
      <c r="G1438" s="8" t="str">
        <f>G1432</f>
        <v>MUGH0001</v>
      </c>
      <c r="K1438" s="12">
        <f>+K1432</f>
        <v>42036</v>
      </c>
      <c r="L1438" s="8" t="str">
        <f>L1432</f>
        <v>10396</v>
      </c>
      <c r="O1438" s="8"/>
      <c r="T1438" s="20"/>
    </row>
    <row r="1439" spans="1:20" s="7" customFormat="1" hidden="1" outlineLevel="2" collapsed="1" x14ac:dyDescent="0.2">
      <c r="A1439" s="7" t="s">
        <v>92</v>
      </c>
      <c r="C1439" s="7" t="str">
        <f t="shared" si="217"/>
        <v>Salmon</v>
      </c>
      <c r="D1439" s="7" t="str">
        <f>+D1438</f>
        <v>Mughal</v>
      </c>
      <c r="E1439" s="8" t="str">
        <f>E1438</f>
        <v>SALES</v>
      </c>
      <c r="G1439" s="8" t="str">
        <f>G1438</f>
        <v>MUGH0001</v>
      </c>
      <c r="K1439" s="12">
        <f>+K1438</f>
        <v>42036</v>
      </c>
      <c r="L1439" s="8" t="str">
        <f>L1438</f>
        <v>10396</v>
      </c>
      <c r="M1439" s="33" t="str">
        <f>"Total for " &amp; $L1439</f>
        <v>Total for 10396</v>
      </c>
      <c r="N1439" s="34">
        <f>+K1439</f>
        <v>42036</v>
      </c>
      <c r="O1439" s="35"/>
      <c r="P1439" s="33"/>
      <c r="Q1439" s="33"/>
      <c r="R1439" s="33"/>
      <c r="S1439" s="33"/>
      <c r="T1439" s="36">
        <f>SUBTOTAL(9,T1432:T1438)</f>
        <v>815.67</v>
      </c>
    </row>
    <row r="1440" spans="1:20" s="7" customFormat="1" hidden="1" outlineLevel="3" x14ac:dyDescent="0.2">
      <c r="A1440" s="7" t="s">
        <v>92</v>
      </c>
      <c r="C1440" s="7" t="str">
        <f t="shared" si="217"/>
        <v>Salmon</v>
      </c>
      <c r="D1440" s="7" t="str">
        <f>+D1439</f>
        <v>Mughal</v>
      </c>
      <c r="E1440" s="8" t="str">
        <f>E1439</f>
        <v>SALES</v>
      </c>
      <c r="G1440" s="8" t="str">
        <f>G1439</f>
        <v>MUGH0001</v>
      </c>
      <c r="H1440" s="26"/>
      <c r="I1440" s="26"/>
      <c r="J1440" s="26"/>
      <c r="K1440" s="28">
        <f>+N1440</f>
        <v>42064</v>
      </c>
      <c r="L1440" s="26" t="str">
        <f>M1440</f>
        <v>10421</v>
      </c>
      <c r="M1440" s="26" t="str">
        <f>"10421"</f>
        <v>10421</v>
      </c>
      <c r="N1440" s="28">
        <v>42064</v>
      </c>
      <c r="O1440" s="26"/>
      <c r="P1440" s="26"/>
      <c r="Q1440" s="26"/>
      <c r="R1440" s="26"/>
      <c r="S1440" s="26"/>
      <c r="T1440" s="27"/>
    </row>
    <row r="1441" spans="1:20" s="7" customFormat="1" hidden="1" outlineLevel="3" x14ac:dyDescent="0.2">
      <c r="A1441" s="7" t="s">
        <v>92</v>
      </c>
      <c r="C1441" s="7" t="str">
        <f t="shared" si="217"/>
        <v>Salmon</v>
      </c>
      <c r="D1441" s="7" t="str">
        <f>+D1440</f>
        <v>Mughal</v>
      </c>
      <c r="E1441" s="8" t="str">
        <f>E1440</f>
        <v>SALES</v>
      </c>
      <c r="G1441" s="8" t="str">
        <f>G1440</f>
        <v>MUGH0001</v>
      </c>
      <c r="H1441" s="26"/>
      <c r="I1441" s="26"/>
      <c r="J1441" s="26"/>
      <c r="K1441" s="28">
        <f>+K1440</f>
        <v>42064</v>
      </c>
      <c r="L1441" s="26" t="str">
        <f>L1440</f>
        <v>10421</v>
      </c>
      <c r="M1441" s="26"/>
      <c r="N1441" s="26"/>
      <c r="O1441" s="26" t="str">
        <f>"""GP Direct"",""Fabrikam, Inc."",""UPR30300"",""PAYRATE"",""0.00000"",""PAYROLCD"",""401K"",""STATECD"","""",""CHEKDATE"",""3/1/2015"",""UPRTRXAM"",""1.08000"""</f>
        <v>"GP Direct","Fabrikam, Inc.","UPR30300","PAYRATE","0.00000","PAYROLCD","401K","STATECD","","CHEKDATE","3/1/2015","UPRTRXAM","1.08000"</v>
      </c>
      <c r="P1441" s="29">
        <v>0</v>
      </c>
      <c r="Q1441" s="26" t="str">
        <f>"401K"</f>
        <v>401K</v>
      </c>
      <c r="R1441" s="26"/>
      <c r="S1441" s="28">
        <v>42064</v>
      </c>
      <c r="T1441" s="29">
        <v>1.08</v>
      </c>
    </row>
    <row r="1442" spans="1:20" s="7" customFormat="1" hidden="1" outlineLevel="3" x14ac:dyDescent="0.2">
      <c r="A1442" s="7" t="s">
        <v>92</v>
      </c>
      <c r="C1442" s="7" t="str">
        <f t="shared" ref="C1442:C1446" si="219">+C1441</f>
        <v>Salmon</v>
      </c>
      <c r="D1442" s="7" t="str">
        <f>+D1441</f>
        <v>Mughal</v>
      </c>
      <c r="E1442" s="8" t="str">
        <f>E1441</f>
        <v>SALES</v>
      </c>
      <c r="G1442" s="8" t="str">
        <f>G1441</f>
        <v>MUGH0001</v>
      </c>
      <c r="H1442" s="26"/>
      <c r="I1442" s="26"/>
      <c r="J1442" s="26"/>
      <c r="K1442" s="28">
        <f>+K1441</f>
        <v>42064</v>
      </c>
      <c r="L1442" s="26" t="str">
        <f>L1441</f>
        <v>10421</v>
      </c>
      <c r="M1442" s="26"/>
      <c r="N1442" s="26"/>
      <c r="O1442" s="26" t="str">
        <f>"""GP Direct"",""Fabrikam, Inc."",""UPR30300"",""PAYRATE"",""0.00000"",""PAYROLCD"",""401K"",""STATECD"","""",""CHEKDATE"",""3/1/2015"",""UPRTRXAM"",""21.57000"""</f>
        <v>"GP Direct","Fabrikam, Inc.","UPR30300","PAYRATE","0.00000","PAYROLCD","401K","STATECD","","CHEKDATE","3/1/2015","UPRTRXAM","21.57000"</v>
      </c>
      <c r="P1442" s="29">
        <v>0</v>
      </c>
      <c r="Q1442" s="26" t="str">
        <f>"401K"</f>
        <v>401K</v>
      </c>
      <c r="R1442" s="26"/>
      <c r="S1442" s="28">
        <v>42064</v>
      </c>
      <c r="T1442" s="29">
        <v>21.57</v>
      </c>
    </row>
    <row r="1443" spans="1:20" s="7" customFormat="1" hidden="1" outlineLevel="3" x14ac:dyDescent="0.2">
      <c r="A1443" s="7" t="s">
        <v>92</v>
      </c>
      <c r="C1443" s="7" t="str">
        <f t="shared" si="219"/>
        <v>Salmon</v>
      </c>
      <c r="D1443" s="7" t="str">
        <f>+D1442</f>
        <v>Mughal</v>
      </c>
      <c r="E1443" s="8" t="str">
        <f>E1442</f>
        <v>SALES</v>
      </c>
      <c r="G1443" s="8" t="str">
        <f>G1442</f>
        <v>MUGH0001</v>
      </c>
      <c r="H1443" s="26"/>
      <c r="I1443" s="26"/>
      <c r="J1443" s="26"/>
      <c r="K1443" s="28">
        <f>+K1442</f>
        <v>42064</v>
      </c>
      <c r="L1443" s="26" t="str">
        <f>L1442</f>
        <v>10421</v>
      </c>
      <c r="M1443" s="26"/>
      <c r="N1443" s="26"/>
      <c r="O1443" s="26" t="str">
        <f>"""GP Direct"",""Fabrikam, Inc."",""UPR30300"",""PAYRATE"",""0.00000"",""PAYROLCD"",""IL"",""STATECD"","""",""CHEKDATE"",""3/1/2015"",""UPRTRXAM"",""19.53000"""</f>
        <v>"GP Direct","Fabrikam, Inc.","UPR30300","PAYRATE","0.00000","PAYROLCD","IL","STATECD","","CHEKDATE","3/1/2015","UPRTRXAM","19.53000"</v>
      </c>
      <c r="P1443" s="29">
        <v>0</v>
      </c>
      <c r="Q1443" s="26" t="str">
        <f>"IL"</f>
        <v>IL</v>
      </c>
      <c r="R1443" s="26"/>
      <c r="S1443" s="28">
        <v>42064</v>
      </c>
      <c r="T1443" s="29">
        <v>19.53</v>
      </c>
    </row>
    <row r="1444" spans="1:20" s="7" customFormat="1" hidden="1" outlineLevel="3" x14ac:dyDescent="0.2">
      <c r="A1444" s="7" t="s">
        <v>92</v>
      </c>
      <c r="C1444" s="7" t="str">
        <f t="shared" si="219"/>
        <v>Salmon</v>
      </c>
      <c r="D1444" s="7" t="str">
        <f>+D1443</f>
        <v>Mughal</v>
      </c>
      <c r="E1444" s="8" t="str">
        <f>E1443</f>
        <v>SALES</v>
      </c>
      <c r="G1444" s="8" t="str">
        <f>G1443</f>
        <v>MUGH0001</v>
      </c>
      <c r="H1444" s="26"/>
      <c r="I1444" s="26"/>
      <c r="J1444" s="26"/>
      <c r="K1444" s="28">
        <f>+K1443</f>
        <v>42064</v>
      </c>
      <c r="L1444" s="26" t="str">
        <f>L1443</f>
        <v>10421</v>
      </c>
      <c r="M1444" s="26"/>
      <c r="N1444" s="26"/>
      <c r="O1444" s="26" t="str">
        <f>"""GP Direct"",""Fabrikam, Inc."",""UPR30300"",""PAYRATE"",""0.00000"",""PAYROLCD"",""INS"",""STATECD"","""",""CHEKDATE"",""3/1/2015"",""UPRTRXAM"",""49.36000"""</f>
        <v>"GP Direct","Fabrikam, Inc.","UPR30300","PAYRATE","0.00000","PAYROLCD","INS","STATECD","","CHEKDATE","3/1/2015","UPRTRXAM","49.36000"</v>
      </c>
      <c r="P1444" s="29">
        <v>0</v>
      </c>
      <c r="Q1444" s="26" t="str">
        <f>"INS"</f>
        <v>INS</v>
      </c>
      <c r="R1444" s="26"/>
      <c r="S1444" s="28">
        <v>42064</v>
      </c>
      <c r="T1444" s="29">
        <v>49.36</v>
      </c>
    </row>
    <row r="1445" spans="1:20" s="7" customFormat="1" hidden="1" outlineLevel="3" x14ac:dyDescent="0.2">
      <c r="A1445" s="7" t="s">
        <v>92</v>
      </c>
      <c r="C1445" s="7" t="str">
        <f t="shared" si="219"/>
        <v>Salmon</v>
      </c>
      <c r="D1445" s="7" t="str">
        <f>+D1444</f>
        <v>Mughal</v>
      </c>
      <c r="E1445" s="8" t="str">
        <f>E1444</f>
        <v>SALES</v>
      </c>
      <c r="G1445" s="8" t="str">
        <f>G1444</f>
        <v>MUGH0001</v>
      </c>
      <c r="H1445" s="26"/>
      <c r="I1445" s="26"/>
      <c r="J1445" s="26"/>
      <c r="K1445" s="28">
        <f>+K1444</f>
        <v>42064</v>
      </c>
      <c r="L1445" s="26" t="str">
        <f>L1444</f>
        <v>10421</v>
      </c>
      <c r="M1445" s="26"/>
      <c r="N1445" s="26"/>
      <c r="O1445" s="26" t="str">
        <f>"""GP Direct"",""Fabrikam, Inc."",""UPR30300"",""PAYRATE"",""0.00000"",""PAYROLCD"",""MED"",""STATECD"","""",""CHEKDATE"",""3/1/2015"",""UPRTRXAM"",""5.00000"""</f>
        <v>"GP Direct","Fabrikam, Inc.","UPR30300","PAYRATE","0.00000","PAYROLCD","MED","STATECD","","CHEKDATE","3/1/2015","UPRTRXAM","5.00000"</v>
      </c>
      <c r="P1445" s="29">
        <v>0</v>
      </c>
      <c r="Q1445" s="26" t="str">
        <f>"MED"</f>
        <v>MED</v>
      </c>
      <c r="R1445" s="26"/>
      <c r="S1445" s="28">
        <v>42064</v>
      </c>
      <c r="T1445" s="29">
        <v>5</v>
      </c>
    </row>
    <row r="1446" spans="1:20" s="7" customFormat="1" hidden="1" outlineLevel="3" x14ac:dyDescent="0.2">
      <c r="A1446" s="7" t="s">
        <v>92</v>
      </c>
      <c r="C1446" s="7" t="str">
        <f t="shared" si="219"/>
        <v>Salmon</v>
      </c>
      <c r="D1446" s="7" t="str">
        <f>+D1445</f>
        <v>Mughal</v>
      </c>
      <c r="E1446" s="8" t="str">
        <f>E1445</f>
        <v>SALES</v>
      </c>
      <c r="G1446" s="8" t="str">
        <f>G1445</f>
        <v>MUGH0001</v>
      </c>
      <c r="H1446" s="26"/>
      <c r="I1446" s="26"/>
      <c r="J1446" s="26"/>
      <c r="K1446" s="28">
        <f>+K1445</f>
        <v>42064</v>
      </c>
      <c r="L1446" s="26" t="str">
        <f>L1445</f>
        <v>10421</v>
      </c>
      <c r="M1446" s="26"/>
      <c r="N1446" s="26"/>
      <c r="O1446" s="26" t="str">
        <f>"""GP Direct"",""Fabrikam, Inc."",""UPR30300"",""PAYRATE"",""17259.00000"",""PAYROLCD"",""SALY"",""STATECD"",""IL"",""CHEKDATE"",""3/1/2015"",""UPRTRXAM"",""719.13000"""</f>
        <v>"GP Direct","Fabrikam, Inc.","UPR30300","PAYRATE","17259.00000","PAYROLCD","SALY","STATECD","IL","CHEKDATE","3/1/2015","UPRTRXAM","719.13000"</v>
      </c>
      <c r="P1446" s="29">
        <v>17259</v>
      </c>
      <c r="Q1446" s="26" t="str">
        <f>"SALY"</f>
        <v>SALY</v>
      </c>
      <c r="R1446" s="26" t="str">
        <f>"IL"</f>
        <v>IL</v>
      </c>
      <c r="S1446" s="28">
        <v>42064</v>
      </c>
      <c r="T1446" s="29">
        <v>719.13</v>
      </c>
    </row>
    <row r="1447" spans="1:20" s="7" customFormat="1" hidden="1" outlineLevel="3" x14ac:dyDescent="0.2">
      <c r="A1447" s="7" t="s">
        <v>92</v>
      </c>
      <c r="C1447" s="7" t="str">
        <f>+C1441</f>
        <v>Salmon</v>
      </c>
      <c r="D1447" s="7" t="str">
        <f>+D1441</f>
        <v>Mughal</v>
      </c>
      <c r="E1447" s="8" t="str">
        <f>E1441</f>
        <v>SALES</v>
      </c>
      <c r="G1447" s="8" t="str">
        <f>G1441</f>
        <v>MUGH0001</v>
      </c>
      <c r="K1447" s="12">
        <f>+K1441</f>
        <v>42064</v>
      </c>
      <c r="L1447" s="8" t="str">
        <f>L1441</f>
        <v>10421</v>
      </c>
      <c r="O1447" s="8"/>
      <c r="T1447" s="20"/>
    </row>
    <row r="1448" spans="1:20" s="7" customFormat="1" hidden="1" outlineLevel="2" collapsed="1" x14ac:dyDescent="0.2">
      <c r="A1448" s="7" t="s">
        <v>92</v>
      </c>
      <c r="C1448" s="7" t="str">
        <f t="shared" si="217"/>
        <v>Salmon</v>
      </c>
      <c r="D1448" s="7" t="str">
        <f>+D1447</f>
        <v>Mughal</v>
      </c>
      <c r="E1448" s="8" t="str">
        <f>E1447</f>
        <v>SALES</v>
      </c>
      <c r="G1448" s="8" t="str">
        <f>G1447</f>
        <v>MUGH0001</v>
      </c>
      <c r="K1448" s="12">
        <f>+K1447</f>
        <v>42064</v>
      </c>
      <c r="L1448" s="8" t="str">
        <f>L1447</f>
        <v>10421</v>
      </c>
      <c r="M1448" s="33" t="str">
        <f>"Total for " &amp; $L1448</f>
        <v>Total for 10421</v>
      </c>
      <c r="N1448" s="34">
        <f>+K1448</f>
        <v>42064</v>
      </c>
      <c r="O1448" s="35"/>
      <c r="P1448" s="33"/>
      <c r="Q1448" s="33"/>
      <c r="R1448" s="33"/>
      <c r="S1448" s="33"/>
      <c r="T1448" s="36">
        <f>SUBTOTAL(9,T1441:T1447)</f>
        <v>815.67</v>
      </c>
    </row>
    <row r="1449" spans="1:20" s="7" customFormat="1" hidden="1" outlineLevel="3" x14ac:dyDescent="0.2">
      <c r="A1449" s="7" t="s">
        <v>92</v>
      </c>
      <c r="C1449" s="7" t="str">
        <f t="shared" si="217"/>
        <v>Salmon</v>
      </c>
      <c r="D1449" s="7" t="str">
        <f>+D1448</f>
        <v>Mughal</v>
      </c>
      <c r="E1449" s="8" t="str">
        <f>E1448</f>
        <v>SALES</v>
      </c>
      <c r="G1449" s="8" t="str">
        <f>G1448</f>
        <v>MUGH0001</v>
      </c>
      <c r="H1449" s="26"/>
      <c r="I1449" s="26"/>
      <c r="J1449" s="26"/>
      <c r="K1449" s="28">
        <f>+N1449</f>
        <v>42095</v>
      </c>
      <c r="L1449" s="26" t="str">
        <f>M1449</f>
        <v>10446</v>
      </c>
      <c r="M1449" s="26" t="str">
        <f>"10446"</f>
        <v>10446</v>
      </c>
      <c r="N1449" s="28">
        <v>42095</v>
      </c>
      <c r="O1449" s="26"/>
      <c r="P1449" s="26"/>
      <c r="Q1449" s="26"/>
      <c r="R1449" s="26"/>
      <c r="S1449" s="26"/>
      <c r="T1449" s="27"/>
    </row>
    <row r="1450" spans="1:20" s="7" customFormat="1" hidden="1" outlineLevel="3" x14ac:dyDescent="0.2">
      <c r="A1450" s="7" t="s">
        <v>92</v>
      </c>
      <c r="C1450" s="7" t="str">
        <f t="shared" si="217"/>
        <v>Salmon</v>
      </c>
      <c r="D1450" s="7" t="str">
        <f>+D1449</f>
        <v>Mughal</v>
      </c>
      <c r="E1450" s="8" t="str">
        <f>E1449</f>
        <v>SALES</v>
      </c>
      <c r="G1450" s="8" t="str">
        <f>G1449</f>
        <v>MUGH0001</v>
      </c>
      <c r="H1450" s="26"/>
      <c r="I1450" s="26"/>
      <c r="J1450" s="26"/>
      <c r="K1450" s="28">
        <f>+K1449</f>
        <v>42095</v>
      </c>
      <c r="L1450" s="26" t="str">
        <f>L1449</f>
        <v>10446</v>
      </c>
      <c r="M1450" s="26"/>
      <c r="N1450" s="26"/>
      <c r="O1450" s="26" t="str">
        <f>"""GP Direct"",""Fabrikam, Inc."",""UPR30300"",""PAYRATE"",""0.00000"",""PAYROLCD"",""401K"",""STATECD"","""",""CHEKDATE"",""4/1/2015"",""UPRTRXAM"",""1.08000"""</f>
        <v>"GP Direct","Fabrikam, Inc.","UPR30300","PAYRATE","0.00000","PAYROLCD","401K","STATECD","","CHEKDATE","4/1/2015","UPRTRXAM","1.08000"</v>
      </c>
      <c r="P1450" s="29">
        <v>0</v>
      </c>
      <c r="Q1450" s="26" t="str">
        <f>"401K"</f>
        <v>401K</v>
      </c>
      <c r="R1450" s="26"/>
      <c r="S1450" s="28">
        <v>42095</v>
      </c>
      <c r="T1450" s="29">
        <v>1.08</v>
      </c>
    </row>
    <row r="1451" spans="1:20" s="7" customFormat="1" hidden="1" outlineLevel="3" x14ac:dyDescent="0.2">
      <c r="A1451" s="7" t="s">
        <v>92</v>
      </c>
      <c r="C1451" s="7" t="str">
        <f t="shared" ref="C1451:C1455" si="220">+C1450</f>
        <v>Salmon</v>
      </c>
      <c r="D1451" s="7" t="str">
        <f>+D1450</f>
        <v>Mughal</v>
      </c>
      <c r="E1451" s="8" t="str">
        <f>E1450</f>
        <v>SALES</v>
      </c>
      <c r="G1451" s="8" t="str">
        <f>G1450</f>
        <v>MUGH0001</v>
      </c>
      <c r="H1451" s="26"/>
      <c r="I1451" s="26"/>
      <c r="J1451" s="26"/>
      <c r="K1451" s="28">
        <f>+K1450</f>
        <v>42095</v>
      </c>
      <c r="L1451" s="26" t="str">
        <f>L1450</f>
        <v>10446</v>
      </c>
      <c r="M1451" s="26"/>
      <c r="N1451" s="26"/>
      <c r="O1451" s="26" t="str">
        <f>"""GP Direct"",""Fabrikam, Inc."",""UPR30300"",""PAYRATE"",""0.00000"",""PAYROLCD"",""401K"",""STATECD"","""",""CHEKDATE"",""4/1/2015"",""UPRTRXAM"",""21.57000"""</f>
        <v>"GP Direct","Fabrikam, Inc.","UPR30300","PAYRATE","0.00000","PAYROLCD","401K","STATECD","","CHEKDATE","4/1/2015","UPRTRXAM","21.57000"</v>
      </c>
      <c r="P1451" s="29">
        <v>0</v>
      </c>
      <c r="Q1451" s="26" t="str">
        <f>"401K"</f>
        <v>401K</v>
      </c>
      <c r="R1451" s="26"/>
      <c r="S1451" s="28">
        <v>42095</v>
      </c>
      <c r="T1451" s="29">
        <v>21.57</v>
      </c>
    </row>
    <row r="1452" spans="1:20" s="7" customFormat="1" hidden="1" outlineLevel="3" x14ac:dyDescent="0.2">
      <c r="A1452" s="7" t="s">
        <v>92</v>
      </c>
      <c r="C1452" s="7" t="str">
        <f t="shared" si="220"/>
        <v>Salmon</v>
      </c>
      <c r="D1452" s="7" t="str">
        <f>+D1451</f>
        <v>Mughal</v>
      </c>
      <c r="E1452" s="8" t="str">
        <f>E1451</f>
        <v>SALES</v>
      </c>
      <c r="G1452" s="8" t="str">
        <f>G1451</f>
        <v>MUGH0001</v>
      </c>
      <c r="H1452" s="26"/>
      <c r="I1452" s="26"/>
      <c r="J1452" s="26"/>
      <c r="K1452" s="28">
        <f>+K1451</f>
        <v>42095</v>
      </c>
      <c r="L1452" s="26" t="str">
        <f>L1451</f>
        <v>10446</v>
      </c>
      <c r="M1452" s="26"/>
      <c r="N1452" s="26"/>
      <c r="O1452" s="26" t="str">
        <f>"""GP Direct"",""Fabrikam, Inc."",""UPR30300"",""PAYRATE"",""0.00000"",""PAYROLCD"",""IL"",""STATECD"","""",""CHEKDATE"",""4/1/2015"",""UPRTRXAM"",""19.53000"""</f>
        <v>"GP Direct","Fabrikam, Inc.","UPR30300","PAYRATE","0.00000","PAYROLCD","IL","STATECD","","CHEKDATE","4/1/2015","UPRTRXAM","19.53000"</v>
      </c>
      <c r="P1452" s="29">
        <v>0</v>
      </c>
      <c r="Q1452" s="26" t="str">
        <f>"IL"</f>
        <v>IL</v>
      </c>
      <c r="R1452" s="26"/>
      <c r="S1452" s="28">
        <v>42095</v>
      </c>
      <c r="T1452" s="29">
        <v>19.53</v>
      </c>
    </row>
    <row r="1453" spans="1:20" s="7" customFormat="1" hidden="1" outlineLevel="3" x14ac:dyDescent="0.2">
      <c r="A1453" s="7" t="s">
        <v>92</v>
      </c>
      <c r="C1453" s="7" t="str">
        <f t="shared" si="220"/>
        <v>Salmon</v>
      </c>
      <c r="D1453" s="7" t="str">
        <f>+D1452</f>
        <v>Mughal</v>
      </c>
      <c r="E1453" s="8" t="str">
        <f>E1452</f>
        <v>SALES</v>
      </c>
      <c r="G1453" s="8" t="str">
        <f>G1452</f>
        <v>MUGH0001</v>
      </c>
      <c r="H1453" s="26"/>
      <c r="I1453" s="26"/>
      <c r="J1453" s="26"/>
      <c r="K1453" s="28">
        <f>+K1452</f>
        <v>42095</v>
      </c>
      <c r="L1453" s="26" t="str">
        <f>L1452</f>
        <v>10446</v>
      </c>
      <c r="M1453" s="26"/>
      <c r="N1453" s="26"/>
      <c r="O1453" s="26" t="str">
        <f>"""GP Direct"",""Fabrikam, Inc."",""UPR30300"",""PAYRATE"",""0.00000"",""PAYROLCD"",""INS"",""STATECD"","""",""CHEKDATE"",""4/1/2015"",""UPRTRXAM"",""49.36000"""</f>
        <v>"GP Direct","Fabrikam, Inc.","UPR30300","PAYRATE","0.00000","PAYROLCD","INS","STATECD","","CHEKDATE","4/1/2015","UPRTRXAM","49.36000"</v>
      </c>
      <c r="P1453" s="29">
        <v>0</v>
      </c>
      <c r="Q1453" s="26" t="str">
        <f>"INS"</f>
        <v>INS</v>
      </c>
      <c r="R1453" s="26"/>
      <c r="S1453" s="28">
        <v>42095</v>
      </c>
      <c r="T1453" s="29">
        <v>49.36</v>
      </c>
    </row>
    <row r="1454" spans="1:20" s="7" customFormat="1" hidden="1" outlineLevel="3" x14ac:dyDescent="0.2">
      <c r="A1454" s="7" t="s">
        <v>92</v>
      </c>
      <c r="C1454" s="7" t="str">
        <f t="shared" si="220"/>
        <v>Salmon</v>
      </c>
      <c r="D1454" s="7" t="str">
        <f>+D1453</f>
        <v>Mughal</v>
      </c>
      <c r="E1454" s="8" t="str">
        <f>E1453</f>
        <v>SALES</v>
      </c>
      <c r="G1454" s="8" t="str">
        <f>G1453</f>
        <v>MUGH0001</v>
      </c>
      <c r="H1454" s="26"/>
      <c r="I1454" s="26"/>
      <c r="J1454" s="26"/>
      <c r="K1454" s="28">
        <f>+K1453</f>
        <v>42095</v>
      </c>
      <c r="L1454" s="26" t="str">
        <f>L1453</f>
        <v>10446</v>
      </c>
      <c r="M1454" s="26"/>
      <c r="N1454" s="26"/>
      <c r="O1454" s="26" t="str">
        <f>"""GP Direct"",""Fabrikam, Inc."",""UPR30300"",""PAYRATE"",""0.00000"",""PAYROLCD"",""MED"",""STATECD"","""",""CHEKDATE"",""4/1/2015"",""UPRTRXAM"",""5.00000"""</f>
        <v>"GP Direct","Fabrikam, Inc.","UPR30300","PAYRATE","0.00000","PAYROLCD","MED","STATECD","","CHEKDATE","4/1/2015","UPRTRXAM","5.00000"</v>
      </c>
      <c r="P1454" s="29">
        <v>0</v>
      </c>
      <c r="Q1454" s="26" t="str">
        <f>"MED"</f>
        <v>MED</v>
      </c>
      <c r="R1454" s="26"/>
      <c r="S1454" s="28">
        <v>42095</v>
      </c>
      <c r="T1454" s="29">
        <v>5</v>
      </c>
    </row>
    <row r="1455" spans="1:20" s="7" customFormat="1" hidden="1" outlineLevel="3" x14ac:dyDescent="0.2">
      <c r="A1455" s="7" t="s">
        <v>92</v>
      </c>
      <c r="C1455" s="7" t="str">
        <f t="shared" si="220"/>
        <v>Salmon</v>
      </c>
      <c r="D1455" s="7" t="str">
        <f>+D1454</f>
        <v>Mughal</v>
      </c>
      <c r="E1455" s="8" t="str">
        <f>E1454</f>
        <v>SALES</v>
      </c>
      <c r="G1455" s="8" t="str">
        <f>G1454</f>
        <v>MUGH0001</v>
      </c>
      <c r="H1455" s="26"/>
      <c r="I1455" s="26"/>
      <c r="J1455" s="26"/>
      <c r="K1455" s="28">
        <f>+K1454</f>
        <v>42095</v>
      </c>
      <c r="L1455" s="26" t="str">
        <f>L1454</f>
        <v>10446</v>
      </c>
      <c r="M1455" s="26"/>
      <c r="N1455" s="26"/>
      <c r="O1455" s="26" t="str">
        <f>"""GP Direct"",""Fabrikam, Inc."",""UPR30300"",""PAYRATE"",""17259.00000"",""PAYROLCD"",""SALY"",""STATECD"",""IL"",""CHEKDATE"",""4/1/2015"",""UPRTRXAM"",""719.13000"""</f>
        <v>"GP Direct","Fabrikam, Inc.","UPR30300","PAYRATE","17259.00000","PAYROLCD","SALY","STATECD","IL","CHEKDATE","4/1/2015","UPRTRXAM","719.13000"</v>
      </c>
      <c r="P1455" s="29">
        <v>17259</v>
      </c>
      <c r="Q1455" s="26" t="str">
        <f>"SALY"</f>
        <v>SALY</v>
      </c>
      <c r="R1455" s="26" t="str">
        <f>"IL"</f>
        <v>IL</v>
      </c>
      <c r="S1455" s="28">
        <v>42095</v>
      </c>
      <c r="T1455" s="29">
        <v>719.13</v>
      </c>
    </row>
    <row r="1456" spans="1:20" s="7" customFormat="1" hidden="1" outlineLevel="3" x14ac:dyDescent="0.2">
      <c r="A1456" s="7" t="s">
        <v>92</v>
      </c>
      <c r="C1456" s="7" t="str">
        <f>+C1450</f>
        <v>Salmon</v>
      </c>
      <c r="D1456" s="7" t="str">
        <f>+D1450</f>
        <v>Mughal</v>
      </c>
      <c r="E1456" s="8" t="str">
        <f>E1450</f>
        <v>SALES</v>
      </c>
      <c r="G1456" s="8" t="str">
        <f>G1450</f>
        <v>MUGH0001</v>
      </c>
      <c r="K1456" s="12">
        <f>+K1450</f>
        <v>42095</v>
      </c>
      <c r="L1456" s="8" t="str">
        <f>L1450</f>
        <v>10446</v>
      </c>
      <c r="O1456" s="8"/>
      <c r="T1456" s="20"/>
    </row>
    <row r="1457" spans="1:20" s="7" customFormat="1" hidden="1" outlineLevel="2" collapsed="1" x14ac:dyDescent="0.2">
      <c r="A1457" s="7" t="s">
        <v>92</v>
      </c>
      <c r="C1457" s="7" t="str">
        <f t="shared" si="217"/>
        <v>Salmon</v>
      </c>
      <c r="D1457" s="7" t="str">
        <f>+D1456</f>
        <v>Mughal</v>
      </c>
      <c r="E1457" s="8" t="str">
        <f>E1456</f>
        <v>SALES</v>
      </c>
      <c r="G1457" s="8" t="str">
        <f>G1456</f>
        <v>MUGH0001</v>
      </c>
      <c r="K1457" s="12">
        <f>+K1456</f>
        <v>42095</v>
      </c>
      <c r="L1457" s="8" t="str">
        <f>L1456</f>
        <v>10446</v>
      </c>
      <c r="M1457" s="33" t="str">
        <f>"Total for " &amp; $L1457</f>
        <v>Total for 10446</v>
      </c>
      <c r="N1457" s="34">
        <f>+K1457</f>
        <v>42095</v>
      </c>
      <c r="O1457" s="35"/>
      <c r="P1457" s="33"/>
      <c r="Q1457" s="33"/>
      <c r="R1457" s="33"/>
      <c r="S1457" s="33"/>
      <c r="T1457" s="36">
        <f>SUBTOTAL(9,T1450:T1456)</f>
        <v>815.67</v>
      </c>
    </row>
    <row r="1458" spans="1:20" s="7" customFormat="1" hidden="1" outlineLevel="3" x14ac:dyDescent="0.2">
      <c r="A1458" s="7" t="s">
        <v>92</v>
      </c>
      <c r="C1458" s="7" t="str">
        <f t="shared" si="217"/>
        <v>Salmon</v>
      </c>
      <c r="D1458" s="7" t="str">
        <f>+D1457</f>
        <v>Mughal</v>
      </c>
      <c r="E1458" s="8" t="str">
        <f>E1457</f>
        <v>SALES</v>
      </c>
      <c r="G1458" s="8" t="str">
        <f>G1457</f>
        <v>MUGH0001</v>
      </c>
      <c r="H1458" s="26"/>
      <c r="I1458" s="26"/>
      <c r="J1458" s="26"/>
      <c r="K1458" s="28">
        <f>+N1458</f>
        <v>42125</v>
      </c>
      <c r="L1458" s="26" t="str">
        <f>M1458</f>
        <v>10471</v>
      </c>
      <c r="M1458" s="26" t="str">
        <f>"10471"</f>
        <v>10471</v>
      </c>
      <c r="N1458" s="28">
        <v>42125</v>
      </c>
      <c r="O1458" s="26"/>
      <c r="P1458" s="26"/>
      <c r="Q1458" s="26"/>
      <c r="R1458" s="26"/>
      <c r="S1458" s="26"/>
      <c r="T1458" s="27"/>
    </row>
    <row r="1459" spans="1:20" s="7" customFormat="1" hidden="1" outlineLevel="3" x14ac:dyDescent="0.2">
      <c r="A1459" s="7" t="s">
        <v>92</v>
      </c>
      <c r="C1459" s="7" t="str">
        <f t="shared" si="217"/>
        <v>Salmon</v>
      </c>
      <c r="D1459" s="7" t="str">
        <f>+D1458</f>
        <v>Mughal</v>
      </c>
      <c r="E1459" s="8" t="str">
        <f>E1458</f>
        <v>SALES</v>
      </c>
      <c r="G1459" s="8" t="str">
        <f>G1458</f>
        <v>MUGH0001</v>
      </c>
      <c r="H1459" s="26"/>
      <c r="I1459" s="26"/>
      <c r="J1459" s="26"/>
      <c r="K1459" s="28">
        <f>+K1458</f>
        <v>42125</v>
      </c>
      <c r="L1459" s="26" t="str">
        <f>L1458</f>
        <v>10471</v>
      </c>
      <c r="M1459" s="26"/>
      <c r="N1459" s="26"/>
      <c r="O1459" s="26" t="str">
        <f>"""GP Direct"",""Fabrikam, Inc."",""UPR30300"",""PAYRATE"",""0.00000"",""PAYROLCD"",""401K"",""STATECD"","""",""CHEKDATE"",""5/1/2015"",""UPRTRXAM"",""1.08000"""</f>
        <v>"GP Direct","Fabrikam, Inc.","UPR30300","PAYRATE","0.00000","PAYROLCD","401K","STATECD","","CHEKDATE","5/1/2015","UPRTRXAM","1.08000"</v>
      </c>
      <c r="P1459" s="29">
        <v>0</v>
      </c>
      <c r="Q1459" s="26" t="str">
        <f>"401K"</f>
        <v>401K</v>
      </c>
      <c r="R1459" s="26"/>
      <c r="S1459" s="28">
        <v>42125</v>
      </c>
      <c r="T1459" s="29">
        <v>1.08</v>
      </c>
    </row>
    <row r="1460" spans="1:20" s="7" customFormat="1" hidden="1" outlineLevel="3" x14ac:dyDescent="0.2">
      <c r="A1460" s="7" t="s">
        <v>92</v>
      </c>
      <c r="C1460" s="7" t="str">
        <f t="shared" ref="C1460:C1464" si="221">+C1459</f>
        <v>Salmon</v>
      </c>
      <c r="D1460" s="7" t="str">
        <f>+D1459</f>
        <v>Mughal</v>
      </c>
      <c r="E1460" s="8" t="str">
        <f>E1459</f>
        <v>SALES</v>
      </c>
      <c r="G1460" s="8" t="str">
        <f>G1459</f>
        <v>MUGH0001</v>
      </c>
      <c r="H1460" s="26"/>
      <c r="I1460" s="26"/>
      <c r="J1460" s="26"/>
      <c r="K1460" s="28">
        <f>+K1459</f>
        <v>42125</v>
      </c>
      <c r="L1460" s="26" t="str">
        <f>L1459</f>
        <v>10471</v>
      </c>
      <c r="M1460" s="26"/>
      <c r="N1460" s="26"/>
      <c r="O1460" s="26" t="str">
        <f>"""GP Direct"",""Fabrikam, Inc."",""UPR30300"",""PAYRATE"",""0.00000"",""PAYROLCD"",""401K"",""STATECD"","""",""CHEKDATE"",""5/1/2015"",""UPRTRXAM"",""21.57000"""</f>
        <v>"GP Direct","Fabrikam, Inc.","UPR30300","PAYRATE","0.00000","PAYROLCD","401K","STATECD","","CHEKDATE","5/1/2015","UPRTRXAM","21.57000"</v>
      </c>
      <c r="P1460" s="29">
        <v>0</v>
      </c>
      <c r="Q1460" s="26" t="str">
        <f>"401K"</f>
        <v>401K</v>
      </c>
      <c r="R1460" s="26"/>
      <c r="S1460" s="28">
        <v>42125</v>
      </c>
      <c r="T1460" s="29">
        <v>21.57</v>
      </c>
    </row>
    <row r="1461" spans="1:20" s="7" customFormat="1" hidden="1" outlineLevel="3" x14ac:dyDescent="0.2">
      <c r="A1461" s="7" t="s">
        <v>92</v>
      </c>
      <c r="C1461" s="7" t="str">
        <f t="shared" si="221"/>
        <v>Salmon</v>
      </c>
      <c r="D1461" s="7" t="str">
        <f>+D1460</f>
        <v>Mughal</v>
      </c>
      <c r="E1461" s="8" t="str">
        <f>E1460</f>
        <v>SALES</v>
      </c>
      <c r="G1461" s="8" t="str">
        <f>G1460</f>
        <v>MUGH0001</v>
      </c>
      <c r="H1461" s="26"/>
      <c r="I1461" s="26"/>
      <c r="J1461" s="26"/>
      <c r="K1461" s="28">
        <f>+K1460</f>
        <v>42125</v>
      </c>
      <c r="L1461" s="26" t="str">
        <f>L1460</f>
        <v>10471</v>
      </c>
      <c r="M1461" s="26"/>
      <c r="N1461" s="26"/>
      <c r="O1461" s="26" t="str">
        <f>"""GP Direct"",""Fabrikam, Inc."",""UPR30300"",""PAYRATE"",""0.00000"",""PAYROLCD"",""IL"",""STATECD"","""",""CHEKDATE"",""5/1/2015"",""UPRTRXAM"",""19.53000"""</f>
        <v>"GP Direct","Fabrikam, Inc.","UPR30300","PAYRATE","0.00000","PAYROLCD","IL","STATECD","","CHEKDATE","5/1/2015","UPRTRXAM","19.53000"</v>
      </c>
      <c r="P1461" s="29">
        <v>0</v>
      </c>
      <c r="Q1461" s="26" t="str">
        <f>"IL"</f>
        <v>IL</v>
      </c>
      <c r="R1461" s="26"/>
      <c r="S1461" s="28">
        <v>42125</v>
      </c>
      <c r="T1461" s="29">
        <v>19.53</v>
      </c>
    </row>
    <row r="1462" spans="1:20" s="7" customFormat="1" hidden="1" outlineLevel="3" x14ac:dyDescent="0.2">
      <c r="A1462" s="7" t="s">
        <v>92</v>
      </c>
      <c r="C1462" s="7" t="str">
        <f t="shared" si="221"/>
        <v>Salmon</v>
      </c>
      <c r="D1462" s="7" t="str">
        <f>+D1461</f>
        <v>Mughal</v>
      </c>
      <c r="E1462" s="8" t="str">
        <f>E1461</f>
        <v>SALES</v>
      </c>
      <c r="G1462" s="8" t="str">
        <f>G1461</f>
        <v>MUGH0001</v>
      </c>
      <c r="H1462" s="26"/>
      <c r="I1462" s="26"/>
      <c r="J1462" s="26"/>
      <c r="K1462" s="28">
        <f>+K1461</f>
        <v>42125</v>
      </c>
      <c r="L1462" s="26" t="str">
        <f>L1461</f>
        <v>10471</v>
      </c>
      <c r="M1462" s="26"/>
      <c r="N1462" s="26"/>
      <c r="O1462" s="26" t="str">
        <f>"""GP Direct"",""Fabrikam, Inc."",""UPR30300"",""PAYRATE"",""0.00000"",""PAYROLCD"",""INS"",""STATECD"","""",""CHEKDATE"",""5/1/2015"",""UPRTRXAM"",""49.36000"""</f>
        <v>"GP Direct","Fabrikam, Inc.","UPR30300","PAYRATE","0.00000","PAYROLCD","INS","STATECD","","CHEKDATE","5/1/2015","UPRTRXAM","49.36000"</v>
      </c>
      <c r="P1462" s="29">
        <v>0</v>
      </c>
      <c r="Q1462" s="26" t="str">
        <f>"INS"</f>
        <v>INS</v>
      </c>
      <c r="R1462" s="26"/>
      <c r="S1462" s="28">
        <v>42125</v>
      </c>
      <c r="T1462" s="29">
        <v>49.36</v>
      </c>
    </row>
    <row r="1463" spans="1:20" s="7" customFormat="1" hidden="1" outlineLevel="3" x14ac:dyDescent="0.2">
      <c r="A1463" s="7" t="s">
        <v>92</v>
      </c>
      <c r="C1463" s="7" t="str">
        <f t="shared" si="221"/>
        <v>Salmon</v>
      </c>
      <c r="D1463" s="7" t="str">
        <f>+D1462</f>
        <v>Mughal</v>
      </c>
      <c r="E1463" s="8" t="str">
        <f>E1462</f>
        <v>SALES</v>
      </c>
      <c r="G1463" s="8" t="str">
        <f>G1462</f>
        <v>MUGH0001</v>
      </c>
      <c r="H1463" s="26"/>
      <c r="I1463" s="26"/>
      <c r="J1463" s="26"/>
      <c r="K1463" s="28">
        <f>+K1462</f>
        <v>42125</v>
      </c>
      <c r="L1463" s="26" t="str">
        <f>L1462</f>
        <v>10471</v>
      </c>
      <c r="M1463" s="26"/>
      <c r="N1463" s="26"/>
      <c r="O1463" s="26" t="str">
        <f>"""GP Direct"",""Fabrikam, Inc."",""UPR30300"",""PAYRATE"",""0.00000"",""PAYROLCD"",""MED"",""STATECD"","""",""CHEKDATE"",""5/1/2015"",""UPRTRXAM"",""5.00000"""</f>
        <v>"GP Direct","Fabrikam, Inc.","UPR30300","PAYRATE","0.00000","PAYROLCD","MED","STATECD","","CHEKDATE","5/1/2015","UPRTRXAM","5.00000"</v>
      </c>
      <c r="P1463" s="29">
        <v>0</v>
      </c>
      <c r="Q1463" s="26" t="str">
        <f>"MED"</f>
        <v>MED</v>
      </c>
      <c r="R1463" s="26"/>
      <c r="S1463" s="28">
        <v>42125</v>
      </c>
      <c r="T1463" s="29">
        <v>5</v>
      </c>
    </row>
    <row r="1464" spans="1:20" s="7" customFormat="1" hidden="1" outlineLevel="3" x14ac:dyDescent="0.2">
      <c r="A1464" s="7" t="s">
        <v>92</v>
      </c>
      <c r="C1464" s="7" t="str">
        <f t="shared" si="221"/>
        <v>Salmon</v>
      </c>
      <c r="D1464" s="7" t="str">
        <f>+D1463</f>
        <v>Mughal</v>
      </c>
      <c r="E1464" s="8" t="str">
        <f>E1463</f>
        <v>SALES</v>
      </c>
      <c r="G1464" s="8" t="str">
        <f>G1463</f>
        <v>MUGH0001</v>
      </c>
      <c r="H1464" s="26"/>
      <c r="I1464" s="26"/>
      <c r="J1464" s="26"/>
      <c r="K1464" s="28">
        <f>+K1463</f>
        <v>42125</v>
      </c>
      <c r="L1464" s="26" t="str">
        <f>L1463</f>
        <v>10471</v>
      </c>
      <c r="M1464" s="26"/>
      <c r="N1464" s="26"/>
      <c r="O1464" s="26" t="str">
        <f>"""GP Direct"",""Fabrikam, Inc."",""UPR30300"",""PAYRATE"",""17259.00000"",""PAYROLCD"",""SALY"",""STATECD"",""IL"",""CHEKDATE"",""5/1/2015"",""UPRTRXAM"",""719.13000"""</f>
        <v>"GP Direct","Fabrikam, Inc.","UPR30300","PAYRATE","17259.00000","PAYROLCD","SALY","STATECD","IL","CHEKDATE","5/1/2015","UPRTRXAM","719.13000"</v>
      </c>
      <c r="P1464" s="29">
        <v>17259</v>
      </c>
      <c r="Q1464" s="26" t="str">
        <f>"SALY"</f>
        <v>SALY</v>
      </c>
      <c r="R1464" s="26" t="str">
        <f>"IL"</f>
        <v>IL</v>
      </c>
      <c r="S1464" s="28">
        <v>42125</v>
      </c>
      <c r="T1464" s="29">
        <v>719.13</v>
      </c>
    </row>
    <row r="1465" spans="1:20" s="7" customFormat="1" hidden="1" outlineLevel="3" x14ac:dyDescent="0.2">
      <c r="A1465" s="7" t="s">
        <v>92</v>
      </c>
      <c r="C1465" s="7" t="str">
        <f>+C1459</f>
        <v>Salmon</v>
      </c>
      <c r="D1465" s="7" t="str">
        <f>+D1459</f>
        <v>Mughal</v>
      </c>
      <c r="E1465" s="8" t="str">
        <f>E1459</f>
        <v>SALES</v>
      </c>
      <c r="G1465" s="8" t="str">
        <f>G1459</f>
        <v>MUGH0001</v>
      </c>
      <c r="K1465" s="12">
        <f>+K1459</f>
        <v>42125</v>
      </c>
      <c r="L1465" s="8" t="str">
        <f>L1459</f>
        <v>10471</v>
      </c>
      <c r="O1465" s="8"/>
      <c r="T1465" s="20"/>
    </row>
    <row r="1466" spans="1:20" s="7" customFormat="1" hidden="1" outlineLevel="2" collapsed="1" x14ac:dyDescent="0.2">
      <c r="A1466" s="7" t="s">
        <v>92</v>
      </c>
      <c r="C1466" s="7" t="str">
        <f t="shared" si="217"/>
        <v>Salmon</v>
      </c>
      <c r="D1466" s="7" t="str">
        <f>+D1465</f>
        <v>Mughal</v>
      </c>
      <c r="E1466" s="8" t="str">
        <f>E1465</f>
        <v>SALES</v>
      </c>
      <c r="G1466" s="8" t="str">
        <f>G1465</f>
        <v>MUGH0001</v>
      </c>
      <c r="K1466" s="12">
        <f>+K1465</f>
        <v>42125</v>
      </c>
      <c r="L1466" s="8" t="str">
        <f>L1465</f>
        <v>10471</v>
      </c>
      <c r="M1466" s="33" t="str">
        <f>"Total for " &amp; $L1466</f>
        <v>Total for 10471</v>
      </c>
      <c r="N1466" s="34">
        <f>+K1466</f>
        <v>42125</v>
      </c>
      <c r="O1466" s="35"/>
      <c r="P1466" s="33"/>
      <c r="Q1466" s="33"/>
      <c r="R1466" s="33"/>
      <c r="S1466" s="33"/>
      <c r="T1466" s="36">
        <f>SUBTOTAL(9,T1459:T1465)</f>
        <v>815.67</v>
      </c>
    </row>
    <row r="1467" spans="1:20" s="7" customFormat="1" hidden="1" outlineLevel="3" x14ac:dyDescent="0.2">
      <c r="A1467" s="7" t="s">
        <v>92</v>
      </c>
      <c r="C1467" s="7" t="str">
        <f t="shared" si="217"/>
        <v>Salmon</v>
      </c>
      <c r="D1467" s="7" t="str">
        <f>+D1466</f>
        <v>Mughal</v>
      </c>
      <c r="E1467" s="8" t="str">
        <f>E1466</f>
        <v>SALES</v>
      </c>
      <c r="G1467" s="8" t="str">
        <f>G1466</f>
        <v>MUGH0001</v>
      </c>
      <c r="H1467" s="26"/>
      <c r="I1467" s="26"/>
      <c r="J1467" s="26"/>
      <c r="K1467" s="28">
        <f>+N1467</f>
        <v>42156</v>
      </c>
      <c r="L1467" s="26" t="str">
        <f>M1467</f>
        <v>10496</v>
      </c>
      <c r="M1467" s="26" t="str">
        <f>"10496"</f>
        <v>10496</v>
      </c>
      <c r="N1467" s="28">
        <v>42156</v>
      </c>
      <c r="O1467" s="26"/>
      <c r="P1467" s="26"/>
      <c r="Q1467" s="26"/>
      <c r="R1467" s="26"/>
      <c r="S1467" s="26"/>
      <c r="T1467" s="27"/>
    </row>
    <row r="1468" spans="1:20" s="7" customFormat="1" hidden="1" outlineLevel="3" x14ac:dyDescent="0.2">
      <c r="A1468" s="7" t="s">
        <v>92</v>
      </c>
      <c r="C1468" s="7" t="str">
        <f t="shared" si="217"/>
        <v>Salmon</v>
      </c>
      <c r="D1468" s="7" t="str">
        <f>+D1467</f>
        <v>Mughal</v>
      </c>
      <c r="E1468" s="8" t="str">
        <f>E1467</f>
        <v>SALES</v>
      </c>
      <c r="G1468" s="8" t="str">
        <f>G1467</f>
        <v>MUGH0001</v>
      </c>
      <c r="H1468" s="26"/>
      <c r="I1468" s="26"/>
      <c r="J1468" s="26"/>
      <c r="K1468" s="28">
        <f>+K1467</f>
        <v>42156</v>
      </c>
      <c r="L1468" s="26" t="str">
        <f>L1467</f>
        <v>10496</v>
      </c>
      <c r="M1468" s="26"/>
      <c r="N1468" s="26"/>
      <c r="O1468" s="26" t="str">
        <f>"""GP Direct"",""Fabrikam, Inc."",""UPR30300"",""PAYRATE"",""0.00000"",""PAYROLCD"",""401K"",""STATECD"","""",""CHEKDATE"",""6/1/2015"",""UPRTRXAM"",""1.08000"""</f>
        <v>"GP Direct","Fabrikam, Inc.","UPR30300","PAYRATE","0.00000","PAYROLCD","401K","STATECD","","CHEKDATE","6/1/2015","UPRTRXAM","1.08000"</v>
      </c>
      <c r="P1468" s="29">
        <v>0</v>
      </c>
      <c r="Q1468" s="26" t="str">
        <f>"401K"</f>
        <v>401K</v>
      </c>
      <c r="R1468" s="26"/>
      <c r="S1468" s="28">
        <v>42156</v>
      </c>
      <c r="T1468" s="29">
        <v>1.08</v>
      </c>
    </row>
    <row r="1469" spans="1:20" s="7" customFormat="1" hidden="1" outlineLevel="3" x14ac:dyDescent="0.2">
      <c r="A1469" s="7" t="s">
        <v>92</v>
      </c>
      <c r="C1469" s="7" t="str">
        <f t="shared" ref="C1469:C1473" si="222">+C1468</f>
        <v>Salmon</v>
      </c>
      <c r="D1469" s="7" t="str">
        <f>+D1468</f>
        <v>Mughal</v>
      </c>
      <c r="E1469" s="8" t="str">
        <f>E1468</f>
        <v>SALES</v>
      </c>
      <c r="G1469" s="8" t="str">
        <f>G1468</f>
        <v>MUGH0001</v>
      </c>
      <c r="H1469" s="26"/>
      <c r="I1469" s="26"/>
      <c r="J1469" s="26"/>
      <c r="K1469" s="28">
        <f>+K1468</f>
        <v>42156</v>
      </c>
      <c r="L1469" s="26" t="str">
        <f>L1468</f>
        <v>10496</v>
      </c>
      <c r="M1469" s="26"/>
      <c r="N1469" s="26"/>
      <c r="O1469" s="26" t="str">
        <f>"""GP Direct"",""Fabrikam, Inc."",""UPR30300"",""PAYRATE"",""0.00000"",""PAYROLCD"",""401K"",""STATECD"","""",""CHEKDATE"",""6/1/2015"",""UPRTRXAM"",""21.57000"""</f>
        <v>"GP Direct","Fabrikam, Inc.","UPR30300","PAYRATE","0.00000","PAYROLCD","401K","STATECD","","CHEKDATE","6/1/2015","UPRTRXAM","21.57000"</v>
      </c>
      <c r="P1469" s="29">
        <v>0</v>
      </c>
      <c r="Q1469" s="26" t="str">
        <f>"401K"</f>
        <v>401K</v>
      </c>
      <c r="R1469" s="26"/>
      <c r="S1469" s="28">
        <v>42156</v>
      </c>
      <c r="T1469" s="29">
        <v>21.57</v>
      </c>
    </row>
    <row r="1470" spans="1:20" s="7" customFormat="1" hidden="1" outlineLevel="3" x14ac:dyDescent="0.2">
      <c r="A1470" s="7" t="s">
        <v>92</v>
      </c>
      <c r="C1470" s="7" t="str">
        <f t="shared" si="222"/>
        <v>Salmon</v>
      </c>
      <c r="D1470" s="7" t="str">
        <f>+D1469</f>
        <v>Mughal</v>
      </c>
      <c r="E1470" s="8" t="str">
        <f>E1469</f>
        <v>SALES</v>
      </c>
      <c r="G1470" s="8" t="str">
        <f>G1469</f>
        <v>MUGH0001</v>
      </c>
      <c r="H1470" s="26"/>
      <c r="I1470" s="26"/>
      <c r="J1470" s="26"/>
      <c r="K1470" s="28">
        <f>+K1469</f>
        <v>42156</v>
      </c>
      <c r="L1470" s="26" t="str">
        <f>L1469</f>
        <v>10496</v>
      </c>
      <c r="M1470" s="26"/>
      <c r="N1470" s="26"/>
      <c r="O1470" s="26" t="str">
        <f>"""GP Direct"",""Fabrikam, Inc."",""UPR30300"",""PAYRATE"",""0.00000"",""PAYROLCD"",""IL"",""STATECD"","""",""CHEKDATE"",""6/1/2015"",""UPRTRXAM"",""19.53000"""</f>
        <v>"GP Direct","Fabrikam, Inc.","UPR30300","PAYRATE","0.00000","PAYROLCD","IL","STATECD","","CHEKDATE","6/1/2015","UPRTRXAM","19.53000"</v>
      </c>
      <c r="P1470" s="29">
        <v>0</v>
      </c>
      <c r="Q1470" s="26" t="str">
        <f>"IL"</f>
        <v>IL</v>
      </c>
      <c r="R1470" s="26"/>
      <c r="S1470" s="28">
        <v>42156</v>
      </c>
      <c r="T1470" s="29">
        <v>19.53</v>
      </c>
    </row>
    <row r="1471" spans="1:20" s="7" customFormat="1" hidden="1" outlineLevel="3" x14ac:dyDescent="0.2">
      <c r="A1471" s="7" t="s">
        <v>92</v>
      </c>
      <c r="C1471" s="7" t="str">
        <f t="shared" si="222"/>
        <v>Salmon</v>
      </c>
      <c r="D1471" s="7" t="str">
        <f>+D1470</f>
        <v>Mughal</v>
      </c>
      <c r="E1471" s="8" t="str">
        <f>E1470</f>
        <v>SALES</v>
      </c>
      <c r="G1471" s="8" t="str">
        <f>G1470</f>
        <v>MUGH0001</v>
      </c>
      <c r="H1471" s="26"/>
      <c r="I1471" s="26"/>
      <c r="J1471" s="26"/>
      <c r="K1471" s="28">
        <f>+K1470</f>
        <v>42156</v>
      </c>
      <c r="L1471" s="26" t="str">
        <f>L1470</f>
        <v>10496</v>
      </c>
      <c r="M1471" s="26"/>
      <c r="N1471" s="26"/>
      <c r="O1471" s="26" t="str">
        <f>"""GP Direct"",""Fabrikam, Inc."",""UPR30300"",""PAYRATE"",""0.00000"",""PAYROLCD"",""INS"",""STATECD"","""",""CHEKDATE"",""6/1/2015"",""UPRTRXAM"",""49.36000"""</f>
        <v>"GP Direct","Fabrikam, Inc.","UPR30300","PAYRATE","0.00000","PAYROLCD","INS","STATECD","","CHEKDATE","6/1/2015","UPRTRXAM","49.36000"</v>
      </c>
      <c r="P1471" s="29">
        <v>0</v>
      </c>
      <c r="Q1471" s="26" t="str">
        <f>"INS"</f>
        <v>INS</v>
      </c>
      <c r="R1471" s="26"/>
      <c r="S1471" s="28">
        <v>42156</v>
      </c>
      <c r="T1471" s="29">
        <v>49.36</v>
      </c>
    </row>
    <row r="1472" spans="1:20" s="7" customFormat="1" hidden="1" outlineLevel="3" x14ac:dyDescent="0.2">
      <c r="A1472" s="7" t="s">
        <v>92</v>
      </c>
      <c r="C1472" s="7" t="str">
        <f t="shared" si="222"/>
        <v>Salmon</v>
      </c>
      <c r="D1472" s="7" t="str">
        <f>+D1471</f>
        <v>Mughal</v>
      </c>
      <c r="E1472" s="8" t="str">
        <f>E1471</f>
        <v>SALES</v>
      </c>
      <c r="G1472" s="8" t="str">
        <f>G1471</f>
        <v>MUGH0001</v>
      </c>
      <c r="H1472" s="26"/>
      <c r="I1472" s="26"/>
      <c r="J1472" s="26"/>
      <c r="K1472" s="28">
        <f>+K1471</f>
        <v>42156</v>
      </c>
      <c r="L1472" s="26" t="str">
        <f>L1471</f>
        <v>10496</v>
      </c>
      <c r="M1472" s="26"/>
      <c r="N1472" s="26"/>
      <c r="O1472" s="26" t="str">
        <f>"""GP Direct"",""Fabrikam, Inc."",""UPR30300"",""PAYRATE"",""0.00000"",""PAYROLCD"",""MED"",""STATECD"","""",""CHEKDATE"",""6/1/2015"",""UPRTRXAM"",""5.00000"""</f>
        <v>"GP Direct","Fabrikam, Inc.","UPR30300","PAYRATE","0.00000","PAYROLCD","MED","STATECD","","CHEKDATE","6/1/2015","UPRTRXAM","5.00000"</v>
      </c>
      <c r="P1472" s="29">
        <v>0</v>
      </c>
      <c r="Q1472" s="26" t="str">
        <f>"MED"</f>
        <v>MED</v>
      </c>
      <c r="R1472" s="26"/>
      <c r="S1472" s="28">
        <v>42156</v>
      </c>
      <c r="T1472" s="29">
        <v>5</v>
      </c>
    </row>
    <row r="1473" spans="1:20" s="7" customFormat="1" hidden="1" outlineLevel="3" x14ac:dyDescent="0.2">
      <c r="A1473" s="7" t="s">
        <v>92</v>
      </c>
      <c r="C1473" s="7" t="str">
        <f t="shared" si="222"/>
        <v>Salmon</v>
      </c>
      <c r="D1473" s="7" t="str">
        <f>+D1472</f>
        <v>Mughal</v>
      </c>
      <c r="E1473" s="8" t="str">
        <f>E1472</f>
        <v>SALES</v>
      </c>
      <c r="G1473" s="8" t="str">
        <f>G1472</f>
        <v>MUGH0001</v>
      </c>
      <c r="H1473" s="26"/>
      <c r="I1473" s="26"/>
      <c r="J1473" s="26"/>
      <c r="K1473" s="28">
        <f>+K1472</f>
        <v>42156</v>
      </c>
      <c r="L1473" s="26" t="str">
        <f>L1472</f>
        <v>10496</v>
      </c>
      <c r="M1473" s="26"/>
      <c r="N1473" s="26"/>
      <c r="O1473" s="26" t="str">
        <f>"""GP Direct"",""Fabrikam, Inc."",""UPR30300"",""PAYRATE"",""17259.00000"",""PAYROLCD"",""SALY"",""STATECD"",""IL"",""CHEKDATE"",""6/1/2015"",""UPRTRXAM"",""719.13000"""</f>
        <v>"GP Direct","Fabrikam, Inc.","UPR30300","PAYRATE","17259.00000","PAYROLCD","SALY","STATECD","IL","CHEKDATE","6/1/2015","UPRTRXAM","719.13000"</v>
      </c>
      <c r="P1473" s="29">
        <v>17259</v>
      </c>
      <c r="Q1473" s="26" t="str">
        <f>"SALY"</f>
        <v>SALY</v>
      </c>
      <c r="R1473" s="26" t="str">
        <f>"IL"</f>
        <v>IL</v>
      </c>
      <c r="S1473" s="28">
        <v>42156</v>
      </c>
      <c r="T1473" s="29">
        <v>719.13</v>
      </c>
    </row>
    <row r="1474" spans="1:20" s="7" customFormat="1" hidden="1" outlineLevel="3" x14ac:dyDescent="0.2">
      <c r="A1474" s="7" t="s">
        <v>92</v>
      </c>
      <c r="C1474" s="7" t="str">
        <f>+C1468</f>
        <v>Salmon</v>
      </c>
      <c r="D1474" s="7" t="str">
        <f>+D1468</f>
        <v>Mughal</v>
      </c>
      <c r="E1474" s="8" t="str">
        <f>E1468</f>
        <v>SALES</v>
      </c>
      <c r="G1474" s="8" t="str">
        <f>G1468</f>
        <v>MUGH0001</v>
      </c>
      <c r="K1474" s="12">
        <f>+K1468</f>
        <v>42156</v>
      </c>
      <c r="L1474" s="8" t="str">
        <f>L1468</f>
        <v>10496</v>
      </c>
      <c r="O1474" s="8"/>
      <c r="T1474" s="20"/>
    </row>
    <row r="1475" spans="1:20" s="7" customFormat="1" hidden="1" outlineLevel="2" collapsed="1" x14ac:dyDescent="0.2">
      <c r="A1475" s="7" t="s">
        <v>92</v>
      </c>
      <c r="C1475" s="7" t="str">
        <f t="shared" si="217"/>
        <v>Salmon</v>
      </c>
      <c r="D1475" s="7" t="str">
        <f>+D1474</f>
        <v>Mughal</v>
      </c>
      <c r="E1475" s="8" t="str">
        <f>E1474</f>
        <v>SALES</v>
      </c>
      <c r="G1475" s="8" t="str">
        <f>G1474</f>
        <v>MUGH0001</v>
      </c>
      <c r="K1475" s="12">
        <f>+K1474</f>
        <v>42156</v>
      </c>
      <c r="L1475" s="8" t="str">
        <f>L1474</f>
        <v>10496</v>
      </c>
      <c r="M1475" s="33" t="str">
        <f>"Total for " &amp; $L1475</f>
        <v>Total for 10496</v>
      </c>
      <c r="N1475" s="34">
        <f>+K1475</f>
        <v>42156</v>
      </c>
      <c r="O1475" s="35"/>
      <c r="P1475" s="33"/>
      <c r="Q1475" s="33"/>
      <c r="R1475" s="33"/>
      <c r="S1475" s="33"/>
      <c r="T1475" s="36">
        <f>SUBTOTAL(9,T1468:T1474)</f>
        <v>815.67</v>
      </c>
    </row>
    <row r="1476" spans="1:20" s="7" customFormat="1" hidden="1" outlineLevel="2" x14ac:dyDescent="0.2">
      <c r="A1476" s="7" t="s">
        <v>92</v>
      </c>
      <c r="C1476" s="7" t="str">
        <f>+C1430</f>
        <v>Salmon</v>
      </c>
      <c r="D1476" s="7" t="str">
        <f>+D1430</f>
        <v>Mughal</v>
      </c>
      <c r="E1476" s="8" t="str">
        <f>E1430</f>
        <v>SALES</v>
      </c>
      <c r="G1476" s="8" t="str">
        <f>G1430</f>
        <v>MUGH0001</v>
      </c>
      <c r="L1476" s="8"/>
      <c r="O1476" s="8"/>
      <c r="T1476" s="20"/>
    </row>
    <row r="1477" spans="1:20" s="7" customFormat="1" hidden="1" outlineLevel="1" collapsed="1" x14ac:dyDescent="0.2">
      <c r="A1477" s="7" t="s">
        <v>92</v>
      </c>
      <c r="C1477" s="7" t="str">
        <f t="shared" si="215"/>
        <v>Salmon</v>
      </c>
      <c r="D1477" s="7" t="str">
        <f>+D1476</f>
        <v>Mughal</v>
      </c>
      <c r="E1477" s="8" t="str">
        <f>E1476</f>
        <v>SALES</v>
      </c>
      <c r="G1477" s="8" t="str">
        <f>G1476</f>
        <v>MUGH0001</v>
      </c>
      <c r="H1477" s="30" t="str">
        <f>"Total for " &amp; $G1477</f>
        <v>Total for MUGH0001</v>
      </c>
      <c r="I1477" s="30" t="str">
        <f>+C1477</f>
        <v>Salmon</v>
      </c>
      <c r="J1477" s="30" t="str">
        <f>+D1477</f>
        <v>Mughal</v>
      </c>
      <c r="K1477" s="30"/>
      <c r="L1477" s="31"/>
      <c r="M1477" s="30"/>
      <c r="N1477" s="30"/>
      <c r="O1477" s="31"/>
      <c r="P1477" s="30"/>
      <c r="Q1477" s="30"/>
      <c r="R1477" s="30"/>
      <c r="S1477" s="30"/>
      <c r="T1477" s="32">
        <f>SUBTOTAL(9,T1423:T1476)</f>
        <v>4894.0200000000004</v>
      </c>
    </row>
    <row r="1478" spans="1:20" s="7" customFormat="1" hidden="1" outlineLevel="2" x14ac:dyDescent="0.2">
      <c r="A1478" s="7" t="s">
        <v>92</v>
      </c>
      <c r="C1478" s="7" t="str">
        <f t="shared" ref="C1478" si="223">+I1478</f>
        <v>Paul</v>
      </c>
      <c r="D1478" s="7" t="str">
        <f>+J1478</f>
        <v>West</v>
      </c>
      <c r="E1478" s="8" t="str">
        <f>E1477</f>
        <v>SALES</v>
      </c>
      <c r="G1478" s="8" t="str">
        <f>H1478</f>
        <v>WEST0001</v>
      </c>
      <c r="H1478" s="24" t="str">
        <f>"WEST0001"</f>
        <v>WEST0001</v>
      </c>
      <c r="I1478" s="25" t="str">
        <f>"Paul"</f>
        <v>Paul</v>
      </c>
      <c r="J1478" s="25" t="str">
        <f>"West"</f>
        <v>West</v>
      </c>
      <c r="K1478" s="26"/>
      <c r="L1478" s="26"/>
      <c r="M1478" s="26"/>
      <c r="N1478" s="26"/>
      <c r="O1478" s="26"/>
      <c r="P1478" s="26"/>
      <c r="Q1478" s="26"/>
      <c r="R1478" s="26"/>
      <c r="S1478" s="26"/>
      <c r="T1478" s="27"/>
    </row>
    <row r="1479" spans="1:20" s="7" customFormat="1" hidden="1" outlineLevel="3" x14ac:dyDescent="0.2">
      <c r="A1479" s="7" t="s">
        <v>92</v>
      </c>
      <c r="C1479" s="7" t="str">
        <f t="shared" ref="C1479:C1550" si="224">+C1478</f>
        <v>Paul</v>
      </c>
      <c r="D1479" s="7" t="str">
        <f>+D1478</f>
        <v>West</v>
      </c>
      <c r="E1479" s="8" t="str">
        <f>E1478</f>
        <v>SALES</v>
      </c>
      <c r="G1479" s="8" t="str">
        <f>G1478</f>
        <v>WEST0001</v>
      </c>
      <c r="H1479" s="26"/>
      <c r="I1479" s="26"/>
      <c r="J1479" s="26"/>
      <c r="K1479" s="28">
        <f>+N1479</f>
        <v>42005</v>
      </c>
      <c r="L1479" s="26" t="str">
        <f>M1479</f>
        <v>10377</v>
      </c>
      <c r="M1479" s="26" t="str">
        <f>"10377"</f>
        <v>10377</v>
      </c>
      <c r="N1479" s="28">
        <v>42005</v>
      </c>
      <c r="O1479" s="26"/>
      <c r="P1479" s="26"/>
      <c r="Q1479" s="26"/>
      <c r="R1479" s="26"/>
      <c r="S1479" s="26"/>
      <c r="T1479" s="27"/>
    </row>
    <row r="1480" spans="1:20" s="7" customFormat="1" hidden="1" outlineLevel="3" x14ac:dyDescent="0.2">
      <c r="A1480" s="7" t="s">
        <v>92</v>
      </c>
      <c r="C1480" s="7" t="str">
        <f t="shared" si="224"/>
        <v>Paul</v>
      </c>
      <c r="D1480" s="7" t="str">
        <f>+D1479</f>
        <v>West</v>
      </c>
      <c r="E1480" s="8" t="str">
        <f>E1479</f>
        <v>SALES</v>
      </c>
      <c r="G1480" s="8" t="str">
        <f>G1479</f>
        <v>WEST0001</v>
      </c>
      <c r="H1480" s="26"/>
      <c r="I1480" s="26"/>
      <c r="J1480" s="26"/>
      <c r="K1480" s="28">
        <f>+K1479</f>
        <v>42005</v>
      </c>
      <c r="L1480" s="26" t="str">
        <f>L1479</f>
        <v>10377</v>
      </c>
      <c r="M1480" s="26"/>
      <c r="N1480" s="26"/>
      <c r="O1480" s="26" t="str">
        <f>"""GP Direct"",""Fabrikam, Inc."",""UPR30300"",""PAYRATE"",""0.00000"",""PAYROLCD"",""401K"",""STATECD"","""",""CHEKDATE"",""1/1/2015"",""UPRTRXAM"",""1.50000"""</f>
        <v>"GP Direct","Fabrikam, Inc.","UPR30300","PAYRATE","0.00000","PAYROLCD","401K","STATECD","","CHEKDATE","1/1/2015","UPRTRXAM","1.50000"</v>
      </c>
      <c r="P1480" s="29">
        <v>0</v>
      </c>
      <c r="Q1480" s="26" t="str">
        <f>"401K"</f>
        <v>401K</v>
      </c>
      <c r="R1480" s="26"/>
      <c r="S1480" s="28">
        <v>42005</v>
      </c>
      <c r="T1480" s="29">
        <v>1.5</v>
      </c>
    </row>
    <row r="1481" spans="1:20" s="7" customFormat="1" hidden="1" outlineLevel="3" x14ac:dyDescent="0.2">
      <c r="A1481" s="7" t="s">
        <v>92</v>
      </c>
      <c r="C1481" s="7" t="str">
        <f t="shared" ref="C1481:C1486" si="225">+C1480</f>
        <v>Paul</v>
      </c>
      <c r="D1481" s="7" t="str">
        <f>+D1480</f>
        <v>West</v>
      </c>
      <c r="E1481" s="8" t="str">
        <f>E1480</f>
        <v>SALES</v>
      </c>
      <c r="G1481" s="8" t="str">
        <f>G1480</f>
        <v>WEST0001</v>
      </c>
      <c r="H1481" s="26"/>
      <c r="I1481" s="26"/>
      <c r="J1481" s="26"/>
      <c r="K1481" s="28">
        <f>+K1480</f>
        <v>42005</v>
      </c>
      <c r="L1481" s="26" t="str">
        <f>L1480</f>
        <v>10377</v>
      </c>
      <c r="M1481" s="26"/>
      <c r="N1481" s="26"/>
      <c r="O1481" s="26" t="str">
        <f>"""GP Direct"",""Fabrikam, Inc."",""UPR30300"",""PAYRATE"",""0.00000"",""PAYROLCD"",""401K"",""STATECD"","""",""CHEKDATE"",""1/1/2015"",""UPRTRXAM"",""30.00000"""</f>
        <v>"GP Direct","Fabrikam, Inc.","UPR30300","PAYRATE","0.00000","PAYROLCD","401K","STATECD","","CHEKDATE","1/1/2015","UPRTRXAM","30.00000"</v>
      </c>
      <c r="P1481" s="29">
        <v>0</v>
      </c>
      <c r="Q1481" s="26" t="str">
        <f>"401K"</f>
        <v>401K</v>
      </c>
      <c r="R1481" s="26"/>
      <c r="S1481" s="28">
        <v>42005</v>
      </c>
      <c r="T1481" s="29">
        <v>30</v>
      </c>
    </row>
    <row r="1482" spans="1:20" s="7" customFormat="1" hidden="1" outlineLevel="3" x14ac:dyDescent="0.2">
      <c r="A1482" s="7" t="s">
        <v>92</v>
      </c>
      <c r="C1482" s="7" t="str">
        <f t="shared" si="225"/>
        <v>Paul</v>
      </c>
      <c r="D1482" s="7" t="str">
        <f>+D1481</f>
        <v>West</v>
      </c>
      <c r="E1482" s="8" t="str">
        <f>E1481</f>
        <v>SALES</v>
      </c>
      <c r="G1482" s="8" t="str">
        <f>G1481</f>
        <v>WEST0001</v>
      </c>
      <c r="H1482" s="26"/>
      <c r="I1482" s="26"/>
      <c r="J1482" s="26"/>
      <c r="K1482" s="28">
        <f>+K1481</f>
        <v>42005</v>
      </c>
      <c r="L1482" s="26" t="str">
        <f>L1481</f>
        <v>10377</v>
      </c>
      <c r="M1482" s="26"/>
      <c r="N1482" s="26"/>
      <c r="O1482" s="26" t="str">
        <f>"""GP Direct"",""Fabrikam, Inc."",""UPR30300"",""PAYRATE"",""0.00000"",""PAYROLCD"",""IL"",""STATECD"","""",""CHEKDATE"",""1/1/2015"",""UPRTRXAM"",""22.51000"""</f>
        <v>"GP Direct","Fabrikam, Inc.","UPR30300","PAYRATE","0.00000","PAYROLCD","IL","STATECD","","CHEKDATE","1/1/2015","UPRTRXAM","22.51000"</v>
      </c>
      <c r="P1482" s="29">
        <v>0</v>
      </c>
      <c r="Q1482" s="26" t="str">
        <f>"IL"</f>
        <v>IL</v>
      </c>
      <c r="R1482" s="26"/>
      <c r="S1482" s="28">
        <v>42005</v>
      </c>
      <c r="T1482" s="29">
        <v>22.51</v>
      </c>
    </row>
    <row r="1483" spans="1:20" s="7" customFormat="1" hidden="1" outlineLevel="3" x14ac:dyDescent="0.2">
      <c r="A1483" s="7" t="s">
        <v>92</v>
      </c>
      <c r="C1483" s="7" t="str">
        <f t="shared" si="225"/>
        <v>Paul</v>
      </c>
      <c r="D1483" s="7" t="str">
        <f>+D1482</f>
        <v>West</v>
      </c>
      <c r="E1483" s="8" t="str">
        <f>E1482</f>
        <v>SALES</v>
      </c>
      <c r="G1483" s="8" t="str">
        <f>G1482</f>
        <v>WEST0001</v>
      </c>
      <c r="H1483" s="26"/>
      <c r="I1483" s="26"/>
      <c r="J1483" s="26"/>
      <c r="K1483" s="28">
        <f>+K1482</f>
        <v>42005</v>
      </c>
      <c r="L1483" s="26" t="str">
        <f>L1482</f>
        <v>10377</v>
      </c>
      <c r="M1483" s="26"/>
      <c r="N1483" s="26"/>
      <c r="O1483" s="26" t="str">
        <f>"""GP Direct"",""Fabrikam, Inc."",""UPR30300"",""PAYRATE"",""0.00000"",""PAYROLCD"",""INS"",""STATECD"","""",""CHEKDATE"",""1/1/2015"",""UPRTRXAM"",""49.36000"""</f>
        <v>"GP Direct","Fabrikam, Inc.","UPR30300","PAYRATE","0.00000","PAYROLCD","INS","STATECD","","CHEKDATE","1/1/2015","UPRTRXAM","49.36000"</v>
      </c>
      <c r="P1483" s="29">
        <v>0</v>
      </c>
      <c r="Q1483" s="26" t="str">
        <f>"INS"</f>
        <v>INS</v>
      </c>
      <c r="R1483" s="26"/>
      <c r="S1483" s="28">
        <v>42005</v>
      </c>
      <c r="T1483" s="29">
        <v>49.36</v>
      </c>
    </row>
    <row r="1484" spans="1:20" s="7" customFormat="1" hidden="1" outlineLevel="3" x14ac:dyDescent="0.2">
      <c r="A1484" s="7" t="s">
        <v>92</v>
      </c>
      <c r="C1484" s="7" t="str">
        <f t="shared" si="225"/>
        <v>Paul</v>
      </c>
      <c r="D1484" s="7" t="str">
        <f>+D1483</f>
        <v>West</v>
      </c>
      <c r="E1484" s="8" t="str">
        <f>E1483</f>
        <v>SALES</v>
      </c>
      <c r="G1484" s="8" t="str">
        <f>G1483</f>
        <v>WEST0001</v>
      </c>
      <c r="H1484" s="26"/>
      <c r="I1484" s="26"/>
      <c r="J1484" s="26"/>
      <c r="K1484" s="28">
        <f>+K1483</f>
        <v>42005</v>
      </c>
      <c r="L1484" s="26" t="str">
        <f>L1483</f>
        <v>10377</v>
      </c>
      <c r="M1484" s="26"/>
      <c r="N1484" s="26"/>
      <c r="O1484" s="26" t="str">
        <f>"""GP Direct"",""Fabrikam, Inc."",""UPR30300"",""PAYRATE"",""0.00000"",""PAYROLCD"",""INS1"",""STATECD"","""",""CHEKDATE"",""1/1/2015"",""UPRTRXAM"",""47.95000"""</f>
        <v>"GP Direct","Fabrikam, Inc.","UPR30300","PAYRATE","0.00000","PAYROLCD","INS1","STATECD","","CHEKDATE","1/1/2015","UPRTRXAM","47.95000"</v>
      </c>
      <c r="P1484" s="29">
        <v>0</v>
      </c>
      <c r="Q1484" s="26" t="str">
        <f>"INS1"</f>
        <v>INS1</v>
      </c>
      <c r="R1484" s="26"/>
      <c r="S1484" s="28">
        <v>42005</v>
      </c>
      <c r="T1484" s="29">
        <v>47.95</v>
      </c>
    </row>
    <row r="1485" spans="1:20" s="7" customFormat="1" hidden="1" outlineLevel="3" x14ac:dyDescent="0.2">
      <c r="A1485" s="7" t="s">
        <v>92</v>
      </c>
      <c r="C1485" s="7" t="str">
        <f t="shared" si="225"/>
        <v>Paul</v>
      </c>
      <c r="D1485" s="7" t="str">
        <f>+D1484</f>
        <v>West</v>
      </c>
      <c r="E1485" s="8" t="str">
        <f>E1484</f>
        <v>SALES</v>
      </c>
      <c r="G1485" s="8" t="str">
        <f>G1484</f>
        <v>WEST0001</v>
      </c>
      <c r="H1485" s="26"/>
      <c r="I1485" s="26"/>
      <c r="J1485" s="26"/>
      <c r="K1485" s="28">
        <f>+K1484</f>
        <v>42005</v>
      </c>
      <c r="L1485" s="26" t="str">
        <f>L1484</f>
        <v>10377</v>
      </c>
      <c r="M1485" s="26"/>
      <c r="N1485" s="26"/>
      <c r="O1485" s="26" t="str">
        <f>"""GP Direct"",""Fabrikam, Inc."",""UPR30300"",""PAYRATE"",""0.00000"",""PAYROLCD"",""MED"",""STATECD"","""",""CHEKDATE"",""1/1/2015"",""UPRTRXAM"",""5.00000"""</f>
        <v>"GP Direct","Fabrikam, Inc.","UPR30300","PAYRATE","0.00000","PAYROLCD","MED","STATECD","","CHEKDATE","1/1/2015","UPRTRXAM","5.00000"</v>
      </c>
      <c r="P1485" s="29">
        <v>0</v>
      </c>
      <c r="Q1485" s="26" t="str">
        <f>"MED"</f>
        <v>MED</v>
      </c>
      <c r="R1485" s="26"/>
      <c r="S1485" s="28">
        <v>42005</v>
      </c>
      <c r="T1485" s="29">
        <v>5</v>
      </c>
    </row>
    <row r="1486" spans="1:20" s="7" customFormat="1" hidden="1" outlineLevel="3" x14ac:dyDescent="0.2">
      <c r="A1486" s="7" t="s">
        <v>92</v>
      </c>
      <c r="C1486" s="7" t="str">
        <f t="shared" si="225"/>
        <v>Paul</v>
      </c>
      <c r="D1486" s="7" t="str">
        <f>+D1485</f>
        <v>West</v>
      </c>
      <c r="E1486" s="8" t="str">
        <f>E1485</f>
        <v>SALES</v>
      </c>
      <c r="G1486" s="8" t="str">
        <f>G1485</f>
        <v>WEST0001</v>
      </c>
      <c r="H1486" s="26"/>
      <c r="I1486" s="26"/>
      <c r="J1486" s="26"/>
      <c r="K1486" s="28">
        <f>+K1485</f>
        <v>42005</v>
      </c>
      <c r="L1486" s="26" t="str">
        <f>L1485</f>
        <v>10377</v>
      </c>
      <c r="M1486" s="26"/>
      <c r="N1486" s="26"/>
      <c r="O1486" s="26" t="str">
        <f>"""GP Direct"",""Fabrikam, Inc."",""UPR30300"",""PAYRATE"",""24000.00000"",""PAYROLCD"",""SALY"",""STATECD"",""IL"",""CHEKDATE"",""1/1/2015"",""UPRTRXAM"",""1000.00000"""</f>
        <v>"GP Direct","Fabrikam, Inc.","UPR30300","PAYRATE","24000.00000","PAYROLCD","SALY","STATECD","IL","CHEKDATE","1/1/2015","UPRTRXAM","1000.00000"</v>
      </c>
      <c r="P1486" s="29">
        <v>24000</v>
      </c>
      <c r="Q1486" s="26" t="str">
        <f>"SALY"</f>
        <v>SALY</v>
      </c>
      <c r="R1486" s="26" t="str">
        <f>"IL"</f>
        <v>IL</v>
      </c>
      <c r="S1486" s="28">
        <v>42005</v>
      </c>
      <c r="T1486" s="29">
        <v>1000</v>
      </c>
    </row>
    <row r="1487" spans="1:20" s="7" customFormat="1" hidden="1" outlineLevel="3" x14ac:dyDescent="0.2">
      <c r="A1487" s="7" t="s">
        <v>92</v>
      </c>
      <c r="C1487" s="7" t="str">
        <f>+C1480</f>
        <v>Paul</v>
      </c>
      <c r="D1487" s="7" t="str">
        <f>+D1480</f>
        <v>West</v>
      </c>
      <c r="E1487" s="8" t="str">
        <f>E1480</f>
        <v>SALES</v>
      </c>
      <c r="G1487" s="8" t="str">
        <f>G1480</f>
        <v>WEST0001</v>
      </c>
      <c r="K1487" s="12">
        <f>+K1480</f>
        <v>42005</v>
      </c>
      <c r="L1487" s="8" t="str">
        <f>L1480</f>
        <v>10377</v>
      </c>
      <c r="O1487" s="8"/>
      <c r="T1487" s="20"/>
    </row>
    <row r="1488" spans="1:20" s="7" customFormat="1" hidden="1" outlineLevel="2" collapsed="1" x14ac:dyDescent="0.2">
      <c r="A1488" s="7" t="s">
        <v>92</v>
      </c>
      <c r="C1488" s="7" t="str">
        <f t="shared" si="224"/>
        <v>Paul</v>
      </c>
      <c r="D1488" s="7" t="str">
        <f>+D1487</f>
        <v>West</v>
      </c>
      <c r="E1488" s="8" t="str">
        <f>E1487</f>
        <v>SALES</v>
      </c>
      <c r="G1488" s="8" t="str">
        <f>G1487</f>
        <v>WEST0001</v>
      </c>
      <c r="K1488" s="12">
        <f>+K1487</f>
        <v>42005</v>
      </c>
      <c r="L1488" s="8" t="str">
        <f>L1487</f>
        <v>10377</v>
      </c>
      <c r="M1488" s="33" t="str">
        <f>"Total for " &amp; $L1488</f>
        <v>Total for 10377</v>
      </c>
      <c r="N1488" s="34">
        <f>+K1488</f>
        <v>42005</v>
      </c>
      <c r="O1488" s="35"/>
      <c r="P1488" s="33"/>
      <c r="Q1488" s="33"/>
      <c r="R1488" s="33"/>
      <c r="S1488" s="33"/>
      <c r="T1488" s="36">
        <f>SUBTOTAL(9,T1480:T1487)</f>
        <v>1156.32</v>
      </c>
    </row>
    <row r="1489" spans="1:20" s="7" customFormat="1" hidden="1" outlineLevel="3" x14ac:dyDescent="0.2">
      <c r="A1489" s="7" t="s">
        <v>92</v>
      </c>
      <c r="C1489" s="7" t="str">
        <f t="shared" ref="C1489:C1548" si="226">+C1488</f>
        <v>Paul</v>
      </c>
      <c r="D1489" s="7" t="str">
        <f>+D1488</f>
        <v>West</v>
      </c>
      <c r="E1489" s="8" t="str">
        <f>E1488</f>
        <v>SALES</v>
      </c>
      <c r="G1489" s="8" t="str">
        <f>G1488</f>
        <v>WEST0001</v>
      </c>
      <c r="H1489" s="26"/>
      <c r="I1489" s="26"/>
      <c r="J1489" s="26"/>
      <c r="K1489" s="28">
        <f>+N1489</f>
        <v>42036</v>
      </c>
      <c r="L1489" s="26" t="str">
        <f>M1489</f>
        <v>10402</v>
      </c>
      <c r="M1489" s="26" t="str">
        <f>"10402"</f>
        <v>10402</v>
      </c>
      <c r="N1489" s="28">
        <v>42036</v>
      </c>
      <c r="O1489" s="26"/>
      <c r="P1489" s="26"/>
      <c r="Q1489" s="26"/>
      <c r="R1489" s="26"/>
      <c r="S1489" s="26"/>
      <c r="T1489" s="27"/>
    </row>
    <row r="1490" spans="1:20" s="7" customFormat="1" hidden="1" outlineLevel="3" x14ac:dyDescent="0.2">
      <c r="A1490" s="7" t="s">
        <v>92</v>
      </c>
      <c r="C1490" s="7" t="str">
        <f t="shared" si="226"/>
        <v>Paul</v>
      </c>
      <c r="D1490" s="7" t="str">
        <f>+D1489</f>
        <v>West</v>
      </c>
      <c r="E1490" s="8" t="str">
        <f>E1489</f>
        <v>SALES</v>
      </c>
      <c r="G1490" s="8" t="str">
        <f>G1489</f>
        <v>WEST0001</v>
      </c>
      <c r="H1490" s="26"/>
      <c r="I1490" s="26"/>
      <c r="J1490" s="26"/>
      <c r="K1490" s="28">
        <f>+K1489</f>
        <v>42036</v>
      </c>
      <c r="L1490" s="26" t="str">
        <f>L1489</f>
        <v>10402</v>
      </c>
      <c r="M1490" s="26"/>
      <c r="N1490" s="26"/>
      <c r="O1490" s="26" t="str">
        <f>"""GP Direct"",""Fabrikam, Inc."",""UPR30300"",""PAYRATE"",""0.00000"",""PAYROLCD"",""401K"",""STATECD"","""",""CHEKDATE"",""2/1/2015"",""UPRTRXAM"",""1.50000"""</f>
        <v>"GP Direct","Fabrikam, Inc.","UPR30300","PAYRATE","0.00000","PAYROLCD","401K","STATECD","","CHEKDATE","2/1/2015","UPRTRXAM","1.50000"</v>
      </c>
      <c r="P1490" s="29">
        <v>0</v>
      </c>
      <c r="Q1490" s="26" t="str">
        <f>"401K"</f>
        <v>401K</v>
      </c>
      <c r="R1490" s="26"/>
      <c r="S1490" s="28">
        <v>42036</v>
      </c>
      <c r="T1490" s="29">
        <v>1.5</v>
      </c>
    </row>
    <row r="1491" spans="1:20" s="7" customFormat="1" hidden="1" outlineLevel="3" x14ac:dyDescent="0.2">
      <c r="A1491" s="7" t="s">
        <v>92</v>
      </c>
      <c r="C1491" s="7" t="str">
        <f t="shared" ref="C1491:C1496" si="227">+C1490</f>
        <v>Paul</v>
      </c>
      <c r="D1491" s="7" t="str">
        <f>+D1490</f>
        <v>West</v>
      </c>
      <c r="E1491" s="8" t="str">
        <f>E1490</f>
        <v>SALES</v>
      </c>
      <c r="G1491" s="8" t="str">
        <f>G1490</f>
        <v>WEST0001</v>
      </c>
      <c r="H1491" s="26"/>
      <c r="I1491" s="26"/>
      <c r="J1491" s="26"/>
      <c r="K1491" s="28">
        <f>+K1490</f>
        <v>42036</v>
      </c>
      <c r="L1491" s="26" t="str">
        <f>L1490</f>
        <v>10402</v>
      </c>
      <c r="M1491" s="26"/>
      <c r="N1491" s="26"/>
      <c r="O1491" s="26" t="str">
        <f>"""GP Direct"",""Fabrikam, Inc."",""UPR30300"",""PAYRATE"",""0.00000"",""PAYROLCD"",""401K"",""STATECD"","""",""CHEKDATE"",""2/1/2015"",""UPRTRXAM"",""30.00000"""</f>
        <v>"GP Direct","Fabrikam, Inc.","UPR30300","PAYRATE","0.00000","PAYROLCD","401K","STATECD","","CHEKDATE","2/1/2015","UPRTRXAM","30.00000"</v>
      </c>
      <c r="P1491" s="29">
        <v>0</v>
      </c>
      <c r="Q1491" s="26" t="str">
        <f>"401K"</f>
        <v>401K</v>
      </c>
      <c r="R1491" s="26"/>
      <c r="S1491" s="28">
        <v>42036</v>
      </c>
      <c r="T1491" s="29">
        <v>30</v>
      </c>
    </row>
    <row r="1492" spans="1:20" s="7" customFormat="1" hidden="1" outlineLevel="3" x14ac:dyDescent="0.2">
      <c r="A1492" s="7" t="s">
        <v>92</v>
      </c>
      <c r="C1492" s="7" t="str">
        <f t="shared" si="227"/>
        <v>Paul</v>
      </c>
      <c r="D1492" s="7" t="str">
        <f>+D1491</f>
        <v>West</v>
      </c>
      <c r="E1492" s="8" t="str">
        <f>E1491</f>
        <v>SALES</v>
      </c>
      <c r="G1492" s="8" t="str">
        <f>G1491</f>
        <v>WEST0001</v>
      </c>
      <c r="H1492" s="26"/>
      <c r="I1492" s="26"/>
      <c r="J1492" s="26"/>
      <c r="K1492" s="28">
        <f>+K1491</f>
        <v>42036</v>
      </c>
      <c r="L1492" s="26" t="str">
        <f>L1491</f>
        <v>10402</v>
      </c>
      <c r="M1492" s="26"/>
      <c r="N1492" s="26"/>
      <c r="O1492" s="26" t="str">
        <f>"""GP Direct"",""Fabrikam, Inc."",""UPR30300"",""PAYRATE"",""0.00000"",""PAYROLCD"",""IL"",""STATECD"","""",""CHEKDATE"",""2/1/2015"",""UPRTRXAM"",""22.51000"""</f>
        <v>"GP Direct","Fabrikam, Inc.","UPR30300","PAYRATE","0.00000","PAYROLCD","IL","STATECD","","CHEKDATE","2/1/2015","UPRTRXAM","22.51000"</v>
      </c>
      <c r="P1492" s="29">
        <v>0</v>
      </c>
      <c r="Q1492" s="26" t="str">
        <f>"IL"</f>
        <v>IL</v>
      </c>
      <c r="R1492" s="26"/>
      <c r="S1492" s="28">
        <v>42036</v>
      </c>
      <c r="T1492" s="29">
        <v>22.51</v>
      </c>
    </row>
    <row r="1493" spans="1:20" s="7" customFormat="1" hidden="1" outlineLevel="3" x14ac:dyDescent="0.2">
      <c r="A1493" s="7" t="s">
        <v>92</v>
      </c>
      <c r="C1493" s="7" t="str">
        <f t="shared" si="227"/>
        <v>Paul</v>
      </c>
      <c r="D1493" s="7" t="str">
        <f>+D1492</f>
        <v>West</v>
      </c>
      <c r="E1493" s="8" t="str">
        <f>E1492</f>
        <v>SALES</v>
      </c>
      <c r="G1493" s="8" t="str">
        <f>G1492</f>
        <v>WEST0001</v>
      </c>
      <c r="H1493" s="26"/>
      <c r="I1493" s="26"/>
      <c r="J1493" s="26"/>
      <c r="K1493" s="28">
        <f>+K1492</f>
        <v>42036</v>
      </c>
      <c r="L1493" s="26" t="str">
        <f>L1492</f>
        <v>10402</v>
      </c>
      <c r="M1493" s="26"/>
      <c r="N1493" s="26"/>
      <c r="O1493" s="26" t="str">
        <f>"""GP Direct"",""Fabrikam, Inc."",""UPR30300"",""PAYRATE"",""0.00000"",""PAYROLCD"",""INS"",""STATECD"","""",""CHEKDATE"",""2/1/2015"",""UPRTRXAM"",""49.36000"""</f>
        <v>"GP Direct","Fabrikam, Inc.","UPR30300","PAYRATE","0.00000","PAYROLCD","INS","STATECD","","CHEKDATE","2/1/2015","UPRTRXAM","49.36000"</v>
      </c>
      <c r="P1493" s="29">
        <v>0</v>
      </c>
      <c r="Q1493" s="26" t="str">
        <f>"INS"</f>
        <v>INS</v>
      </c>
      <c r="R1493" s="26"/>
      <c r="S1493" s="28">
        <v>42036</v>
      </c>
      <c r="T1493" s="29">
        <v>49.36</v>
      </c>
    </row>
    <row r="1494" spans="1:20" s="7" customFormat="1" hidden="1" outlineLevel="3" x14ac:dyDescent="0.2">
      <c r="A1494" s="7" t="s">
        <v>92</v>
      </c>
      <c r="C1494" s="7" t="str">
        <f t="shared" si="227"/>
        <v>Paul</v>
      </c>
      <c r="D1494" s="7" t="str">
        <f>+D1493</f>
        <v>West</v>
      </c>
      <c r="E1494" s="8" t="str">
        <f>E1493</f>
        <v>SALES</v>
      </c>
      <c r="G1494" s="8" t="str">
        <f>G1493</f>
        <v>WEST0001</v>
      </c>
      <c r="H1494" s="26"/>
      <c r="I1494" s="26"/>
      <c r="J1494" s="26"/>
      <c r="K1494" s="28">
        <f>+K1493</f>
        <v>42036</v>
      </c>
      <c r="L1494" s="26" t="str">
        <f>L1493</f>
        <v>10402</v>
      </c>
      <c r="M1494" s="26"/>
      <c r="N1494" s="26"/>
      <c r="O1494" s="26" t="str">
        <f>"""GP Direct"",""Fabrikam, Inc."",""UPR30300"",""PAYRATE"",""0.00000"",""PAYROLCD"",""INS1"",""STATECD"","""",""CHEKDATE"",""2/1/2015"",""UPRTRXAM"",""47.95000"""</f>
        <v>"GP Direct","Fabrikam, Inc.","UPR30300","PAYRATE","0.00000","PAYROLCD","INS1","STATECD","","CHEKDATE","2/1/2015","UPRTRXAM","47.95000"</v>
      </c>
      <c r="P1494" s="29">
        <v>0</v>
      </c>
      <c r="Q1494" s="26" t="str">
        <f>"INS1"</f>
        <v>INS1</v>
      </c>
      <c r="R1494" s="26"/>
      <c r="S1494" s="28">
        <v>42036</v>
      </c>
      <c r="T1494" s="29">
        <v>47.95</v>
      </c>
    </row>
    <row r="1495" spans="1:20" s="7" customFormat="1" hidden="1" outlineLevel="3" x14ac:dyDescent="0.2">
      <c r="A1495" s="7" t="s">
        <v>92</v>
      </c>
      <c r="C1495" s="7" t="str">
        <f t="shared" si="227"/>
        <v>Paul</v>
      </c>
      <c r="D1495" s="7" t="str">
        <f>+D1494</f>
        <v>West</v>
      </c>
      <c r="E1495" s="8" t="str">
        <f>E1494</f>
        <v>SALES</v>
      </c>
      <c r="G1495" s="8" t="str">
        <f>G1494</f>
        <v>WEST0001</v>
      </c>
      <c r="H1495" s="26"/>
      <c r="I1495" s="26"/>
      <c r="J1495" s="26"/>
      <c r="K1495" s="28">
        <f>+K1494</f>
        <v>42036</v>
      </c>
      <c r="L1495" s="26" t="str">
        <f>L1494</f>
        <v>10402</v>
      </c>
      <c r="M1495" s="26"/>
      <c r="N1495" s="26"/>
      <c r="O1495" s="26" t="str">
        <f>"""GP Direct"",""Fabrikam, Inc."",""UPR30300"",""PAYRATE"",""0.00000"",""PAYROLCD"",""MED"",""STATECD"","""",""CHEKDATE"",""2/1/2015"",""UPRTRXAM"",""5.00000"""</f>
        <v>"GP Direct","Fabrikam, Inc.","UPR30300","PAYRATE","0.00000","PAYROLCD","MED","STATECD","","CHEKDATE","2/1/2015","UPRTRXAM","5.00000"</v>
      </c>
      <c r="P1495" s="29">
        <v>0</v>
      </c>
      <c r="Q1495" s="26" t="str">
        <f>"MED"</f>
        <v>MED</v>
      </c>
      <c r="R1495" s="26"/>
      <c r="S1495" s="28">
        <v>42036</v>
      </c>
      <c r="T1495" s="29">
        <v>5</v>
      </c>
    </row>
    <row r="1496" spans="1:20" s="7" customFormat="1" hidden="1" outlineLevel="3" x14ac:dyDescent="0.2">
      <c r="A1496" s="7" t="s">
        <v>92</v>
      </c>
      <c r="C1496" s="7" t="str">
        <f t="shared" si="227"/>
        <v>Paul</v>
      </c>
      <c r="D1496" s="7" t="str">
        <f>+D1495</f>
        <v>West</v>
      </c>
      <c r="E1496" s="8" t="str">
        <f>E1495</f>
        <v>SALES</v>
      </c>
      <c r="G1496" s="8" t="str">
        <f>G1495</f>
        <v>WEST0001</v>
      </c>
      <c r="H1496" s="26"/>
      <c r="I1496" s="26"/>
      <c r="J1496" s="26"/>
      <c r="K1496" s="28">
        <f>+K1495</f>
        <v>42036</v>
      </c>
      <c r="L1496" s="26" t="str">
        <f>L1495</f>
        <v>10402</v>
      </c>
      <c r="M1496" s="26"/>
      <c r="N1496" s="26"/>
      <c r="O1496" s="26" t="str">
        <f>"""GP Direct"",""Fabrikam, Inc."",""UPR30300"",""PAYRATE"",""24000.00000"",""PAYROLCD"",""SALY"",""STATECD"",""IL"",""CHEKDATE"",""2/1/2015"",""UPRTRXAM"",""1000.00000"""</f>
        <v>"GP Direct","Fabrikam, Inc.","UPR30300","PAYRATE","24000.00000","PAYROLCD","SALY","STATECD","IL","CHEKDATE","2/1/2015","UPRTRXAM","1000.00000"</v>
      </c>
      <c r="P1496" s="29">
        <v>24000</v>
      </c>
      <c r="Q1496" s="26" t="str">
        <f>"SALY"</f>
        <v>SALY</v>
      </c>
      <c r="R1496" s="26" t="str">
        <f>"IL"</f>
        <v>IL</v>
      </c>
      <c r="S1496" s="28">
        <v>42036</v>
      </c>
      <c r="T1496" s="29">
        <v>1000</v>
      </c>
    </row>
    <row r="1497" spans="1:20" s="7" customFormat="1" hidden="1" outlineLevel="3" x14ac:dyDescent="0.2">
      <c r="A1497" s="7" t="s">
        <v>92</v>
      </c>
      <c r="C1497" s="7" t="str">
        <f>+C1490</f>
        <v>Paul</v>
      </c>
      <c r="D1497" s="7" t="str">
        <f>+D1490</f>
        <v>West</v>
      </c>
      <c r="E1497" s="8" t="str">
        <f>E1490</f>
        <v>SALES</v>
      </c>
      <c r="G1497" s="8" t="str">
        <f>G1490</f>
        <v>WEST0001</v>
      </c>
      <c r="K1497" s="12">
        <f>+K1490</f>
        <v>42036</v>
      </c>
      <c r="L1497" s="8" t="str">
        <f>L1490</f>
        <v>10402</v>
      </c>
      <c r="O1497" s="8"/>
      <c r="T1497" s="20"/>
    </row>
    <row r="1498" spans="1:20" s="7" customFormat="1" hidden="1" outlineLevel="2" collapsed="1" x14ac:dyDescent="0.2">
      <c r="A1498" s="7" t="s">
        <v>92</v>
      </c>
      <c r="C1498" s="7" t="str">
        <f t="shared" si="226"/>
        <v>Paul</v>
      </c>
      <c r="D1498" s="7" t="str">
        <f>+D1497</f>
        <v>West</v>
      </c>
      <c r="E1498" s="8" t="str">
        <f>E1497</f>
        <v>SALES</v>
      </c>
      <c r="G1498" s="8" t="str">
        <f>G1497</f>
        <v>WEST0001</v>
      </c>
      <c r="K1498" s="12">
        <f>+K1497</f>
        <v>42036</v>
      </c>
      <c r="L1498" s="8" t="str">
        <f>L1497</f>
        <v>10402</v>
      </c>
      <c r="M1498" s="33" t="str">
        <f>"Total for " &amp; $L1498</f>
        <v>Total for 10402</v>
      </c>
      <c r="N1498" s="34">
        <f>+K1498</f>
        <v>42036</v>
      </c>
      <c r="O1498" s="35"/>
      <c r="P1498" s="33"/>
      <c r="Q1498" s="33"/>
      <c r="R1498" s="33"/>
      <c r="S1498" s="33"/>
      <c r="T1498" s="36">
        <f>SUBTOTAL(9,T1490:T1497)</f>
        <v>1156.32</v>
      </c>
    </row>
    <row r="1499" spans="1:20" s="7" customFormat="1" hidden="1" outlineLevel="3" x14ac:dyDescent="0.2">
      <c r="A1499" s="7" t="s">
        <v>92</v>
      </c>
      <c r="C1499" s="7" t="str">
        <f t="shared" si="226"/>
        <v>Paul</v>
      </c>
      <c r="D1499" s="7" t="str">
        <f>+D1498</f>
        <v>West</v>
      </c>
      <c r="E1499" s="8" t="str">
        <f>E1498</f>
        <v>SALES</v>
      </c>
      <c r="G1499" s="8" t="str">
        <f>G1498</f>
        <v>WEST0001</v>
      </c>
      <c r="H1499" s="26"/>
      <c r="I1499" s="26"/>
      <c r="J1499" s="26"/>
      <c r="K1499" s="28">
        <f>+N1499</f>
        <v>42064</v>
      </c>
      <c r="L1499" s="26" t="str">
        <f>M1499</f>
        <v>10427</v>
      </c>
      <c r="M1499" s="26" t="str">
        <f>"10427"</f>
        <v>10427</v>
      </c>
      <c r="N1499" s="28">
        <v>42064</v>
      </c>
      <c r="O1499" s="26"/>
      <c r="P1499" s="26"/>
      <c r="Q1499" s="26"/>
      <c r="R1499" s="26"/>
      <c r="S1499" s="26"/>
      <c r="T1499" s="27"/>
    </row>
    <row r="1500" spans="1:20" s="7" customFormat="1" hidden="1" outlineLevel="3" x14ac:dyDescent="0.2">
      <c r="A1500" s="7" t="s">
        <v>92</v>
      </c>
      <c r="C1500" s="7" t="str">
        <f t="shared" si="226"/>
        <v>Paul</v>
      </c>
      <c r="D1500" s="7" t="str">
        <f>+D1499</f>
        <v>West</v>
      </c>
      <c r="E1500" s="8" t="str">
        <f>E1499</f>
        <v>SALES</v>
      </c>
      <c r="G1500" s="8" t="str">
        <f>G1499</f>
        <v>WEST0001</v>
      </c>
      <c r="H1500" s="26"/>
      <c r="I1500" s="26"/>
      <c r="J1500" s="26"/>
      <c r="K1500" s="28">
        <f>+K1499</f>
        <v>42064</v>
      </c>
      <c r="L1500" s="26" t="str">
        <f>L1499</f>
        <v>10427</v>
      </c>
      <c r="M1500" s="26"/>
      <c r="N1500" s="26"/>
      <c r="O1500" s="26" t="str">
        <f>"""GP Direct"",""Fabrikam, Inc."",""UPR30300"",""PAYRATE"",""0.00000"",""PAYROLCD"",""401K"",""STATECD"","""",""CHEKDATE"",""3/1/2015"",""UPRTRXAM"",""1.50000"""</f>
        <v>"GP Direct","Fabrikam, Inc.","UPR30300","PAYRATE","0.00000","PAYROLCD","401K","STATECD","","CHEKDATE","3/1/2015","UPRTRXAM","1.50000"</v>
      </c>
      <c r="P1500" s="29">
        <v>0</v>
      </c>
      <c r="Q1500" s="26" t="str">
        <f>"401K"</f>
        <v>401K</v>
      </c>
      <c r="R1500" s="26"/>
      <c r="S1500" s="28">
        <v>42064</v>
      </c>
      <c r="T1500" s="29">
        <v>1.5</v>
      </c>
    </row>
    <row r="1501" spans="1:20" s="7" customFormat="1" hidden="1" outlineLevel="3" x14ac:dyDescent="0.2">
      <c r="A1501" s="7" t="s">
        <v>92</v>
      </c>
      <c r="C1501" s="7" t="str">
        <f t="shared" ref="C1501:C1506" si="228">+C1500</f>
        <v>Paul</v>
      </c>
      <c r="D1501" s="7" t="str">
        <f>+D1500</f>
        <v>West</v>
      </c>
      <c r="E1501" s="8" t="str">
        <f>E1500</f>
        <v>SALES</v>
      </c>
      <c r="G1501" s="8" t="str">
        <f>G1500</f>
        <v>WEST0001</v>
      </c>
      <c r="H1501" s="26"/>
      <c r="I1501" s="26"/>
      <c r="J1501" s="26"/>
      <c r="K1501" s="28">
        <f>+K1500</f>
        <v>42064</v>
      </c>
      <c r="L1501" s="26" t="str">
        <f>L1500</f>
        <v>10427</v>
      </c>
      <c r="M1501" s="26"/>
      <c r="N1501" s="26"/>
      <c r="O1501" s="26" t="str">
        <f>"""GP Direct"",""Fabrikam, Inc."",""UPR30300"",""PAYRATE"",""0.00000"",""PAYROLCD"",""401K"",""STATECD"","""",""CHEKDATE"",""3/1/2015"",""UPRTRXAM"",""30.00000"""</f>
        <v>"GP Direct","Fabrikam, Inc.","UPR30300","PAYRATE","0.00000","PAYROLCD","401K","STATECD","","CHEKDATE","3/1/2015","UPRTRXAM","30.00000"</v>
      </c>
      <c r="P1501" s="29">
        <v>0</v>
      </c>
      <c r="Q1501" s="26" t="str">
        <f>"401K"</f>
        <v>401K</v>
      </c>
      <c r="R1501" s="26"/>
      <c r="S1501" s="28">
        <v>42064</v>
      </c>
      <c r="T1501" s="29">
        <v>30</v>
      </c>
    </row>
    <row r="1502" spans="1:20" s="7" customFormat="1" hidden="1" outlineLevel="3" x14ac:dyDescent="0.2">
      <c r="A1502" s="7" t="s">
        <v>92</v>
      </c>
      <c r="C1502" s="7" t="str">
        <f t="shared" si="228"/>
        <v>Paul</v>
      </c>
      <c r="D1502" s="7" t="str">
        <f>+D1501</f>
        <v>West</v>
      </c>
      <c r="E1502" s="8" t="str">
        <f>E1501</f>
        <v>SALES</v>
      </c>
      <c r="G1502" s="8" t="str">
        <f>G1501</f>
        <v>WEST0001</v>
      </c>
      <c r="H1502" s="26"/>
      <c r="I1502" s="26"/>
      <c r="J1502" s="26"/>
      <c r="K1502" s="28">
        <f>+K1501</f>
        <v>42064</v>
      </c>
      <c r="L1502" s="26" t="str">
        <f>L1501</f>
        <v>10427</v>
      </c>
      <c r="M1502" s="26"/>
      <c r="N1502" s="26"/>
      <c r="O1502" s="26" t="str">
        <f>"""GP Direct"",""Fabrikam, Inc."",""UPR30300"",""PAYRATE"",""0.00000"",""PAYROLCD"",""IL"",""STATECD"","""",""CHEKDATE"",""3/1/2015"",""UPRTRXAM"",""22.51000"""</f>
        <v>"GP Direct","Fabrikam, Inc.","UPR30300","PAYRATE","0.00000","PAYROLCD","IL","STATECD","","CHEKDATE","3/1/2015","UPRTRXAM","22.51000"</v>
      </c>
      <c r="P1502" s="29">
        <v>0</v>
      </c>
      <c r="Q1502" s="26" t="str">
        <f>"IL"</f>
        <v>IL</v>
      </c>
      <c r="R1502" s="26"/>
      <c r="S1502" s="28">
        <v>42064</v>
      </c>
      <c r="T1502" s="29">
        <v>22.51</v>
      </c>
    </row>
    <row r="1503" spans="1:20" s="7" customFormat="1" hidden="1" outlineLevel="3" x14ac:dyDescent="0.2">
      <c r="A1503" s="7" t="s">
        <v>92</v>
      </c>
      <c r="C1503" s="7" t="str">
        <f t="shared" si="228"/>
        <v>Paul</v>
      </c>
      <c r="D1503" s="7" t="str">
        <f>+D1502</f>
        <v>West</v>
      </c>
      <c r="E1503" s="8" t="str">
        <f>E1502</f>
        <v>SALES</v>
      </c>
      <c r="G1503" s="8" t="str">
        <f>G1502</f>
        <v>WEST0001</v>
      </c>
      <c r="H1503" s="26"/>
      <c r="I1503" s="26"/>
      <c r="J1503" s="26"/>
      <c r="K1503" s="28">
        <f>+K1502</f>
        <v>42064</v>
      </c>
      <c r="L1503" s="26" t="str">
        <f>L1502</f>
        <v>10427</v>
      </c>
      <c r="M1503" s="26"/>
      <c r="N1503" s="26"/>
      <c r="O1503" s="26" t="str">
        <f>"""GP Direct"",""Fabrikam, Inc."",""UPR30300"",""PAYRATE"",""0.00000"",""PAYROLCD"",""INS"",""STATECD"","""",""CHEKDATE"",""3/1/2015"",""UPRTRXAM"",""49.36000"""</f>
        <v>"GP Direct","Fabrikam, Inc.","UPR30300","PAYRATE","0.00000","PAYROLCD","INS","STATECD","","CHEKDATE","3/1/2015","UPRTRXAM","49.36000"</v>
      </c>
      <c r="P1503" s="29">
        <v>0</v>
      </c>
      <c r="Q1503" s="26" t="str">
        <f>"INS"</f>
        <v>INS</v>
      </c>
      <c r="R1503" s="26"/>
      <c r="S1503" s="28">
        <v>42064</v>
      </c>
      <c r="T1503" s="29">
        <v>49.36</v>
      </c>
    </row>
    <row r="1504" spans="1:20" s="7" customFormat="1" hidden="1" outlineLevel="3" x14ac:dyDescent="0.2">
      <c r="A1504" s="7" t="s">
        <v>92</v>
      </c>
      <c r="C1504" s="7" t="str">
        <f t="shared" si="228"/>
        <v>Paul</v>
      </c>
      <c r="D1504" s="7" t="str">
        <f>+D1503</f>
        <v>West</v>
      </c>
      <c r="E1504" s="8" t="str">
        <f>E1503</f>
        <v>SALES</v>
      </c>
      <c r="G1504" s="8" t="str">
        <f>G1503</f>
        <v>WEST0001</v>
      </c>
      <c r="H1504" s="26"/>
      <c r="I1504" s="26"/>
      <c r="J1504" s="26"/>
      <c r="K1504" s="28">
        <f>+K1503</f>
        <v>42064</v>
      </c>
      <c r="L1504" s="26" t="str">
        <f>L1503</f>
        <v>10427</v>
      </c>
      <c r="M1504" s="26"/>
      <c r="N1504" s="26"/>
      <c r="O1504" s="26" t="str">
        <f>"""GP Direct"",""Fabrikam, Inc."",""UPR30300"",""PAYRATE"",""0.00000"",""PAYROLCD"",""INS1"",""STATECD"","""",""CHEKDATE"",""3/1/2015"",""UPRTRXAM"",""47.95000"""</f>
        <v>"GP Direct","Fabrikam, Inc.","UPR30300","PAYRATE","0.00000","PAYROLCD","INS1","STATECD","","CHEKDATE","3/1/2015","UPRTRXAM","47.95000"</v>
      </c>
      <c r="P1504" s="29">
        <v>0</v>
      </c>
      <c r="Q1504" s="26" t="str">
        <f>"INS1"</f>
        <v>INS1</v>
      </c>
      <c r="R1504" s="26"/>
      <c r="S1504" s="28">
        <v>42064</v>
      </c>
      <c r="T1504" s="29">
        <v>47.95</v>
      </c>
    </row>
    <row r="1505" spans="1:20" s="7" customFormat="1" hidden="1" outlineLevel="3" x14ac:dyDescent="0.2">
      <c r="A1505" s="7" t="s">
        <v>92</v>
      </c>
      <c r="C1505" s="7" t="str">
        <f t="shared" si="228"/>
        <v>Paul</v>
      </c>
      <c r="D1505" s="7" t="str">
        <f>+D1504</f>
        <v>West</v>
      </c>
      <c r="E1505" s="8" t="str">
        <f>E1504</f>
        <v>SALES</v>
      </c>
      <c r="G1505" s="8" t="str">
        <f>G1504</f>
        <v>WEST0001</v>
      </c>
      <c r="H1505" s="26"/>
      <c r="I1505" s="26"/>
      <c r="J1505" s="26"/>
      <c r="K1505" s="28">
        <f>+K1504</f>
        <v>42064</v>
      </c>
      <c r="L1505" s="26" t="str">
        <f>L1504</f>
        <v>10427</v>
      </c>
      <c r="M1505" s="26"/>
      <c r="N1505" s="26"/>
      <c r="O1505" s="26" t="str">
        <f>"""GP Direct"",""Fabrikam, Inc."",""UPR30300"",""PAYRATE"",""0.00000"",""PAYROLCD"",""MED"",""STATECD"","""",""CHEKDATE"",""3/1/2015"",""UPRTRXAM"",""5.00000"""</f>
        <v>"GP Direct","Fabrikam, Inc.","UPR30300","PAYRATE","0.00000","PAYROLCD","MED","STATECD","","CHEKDATE","3/1/2015","UPRTRXAM","5.00000"</v>
      </c>
      <c r="P1505" s="29">
        <v>0</v>
      </c>
      <c r="Q1505" s="26" t="str">
        <f>"MED"</f>
        <v>MED</v>
      </c>
      <c r="R1505" s="26"/>
      <c r="S1505" s="28">
        <v>42064</v>
      </c>
      <c r="T1505" s="29">
        <v>5</v>
      </c>
    </row>
    <row r="1506" spans="1:20" s="7" customFormat="1" hidden="1" outlineLevel="3" x14ac:dyDescent="0.2">
      <c r="A1506" s="7" t="s">
        <v>92</v>
      </c>
      <c r="C1506" s="7" t="str">
        <f t="shared" si="228"/>
        <v>Paul</v>
      </c>
      <c r="D1506" s="7" t="str">
        <f>+D1505</f>
        <v>West</v>
      </c>
      <c r="E1506" s="8" t="str">
        <f>E1505</f>
        <v>SALES</v>
      </c>
      <c r="G1506" s="8" t="str">
        <f>G1505</f>
        <v>WEST0001</v>
      </c>
      <c r="H1506" s="26"/>
      <c r="I1506" s="26"/>
      <c r="J1506" s="26"/>
      <c r="K1506" s="28">
        <f>+K1505</f>
        <v>42064</v>
      </c>
      <c r="L1506" s="26" t="str">
        <f>L1505</f>
        <v>10427</v>
      </c>
      <c r="M1506" s="26"/>
      <c r="N1506" s="26"/>
      <c r="O1506" s="26" t="str">
        <f>"""GP Direct"",""Fabrikam, Inc."",""UPR30300"",""PAYRATE"",""24000.00000"",""PAYROLCD"",""SALY"",""STATECD"",""IL"",""CHEKDATE"",""3/1/2015"",""UPRTRXAM"",""1000.00000"""</f>
        <v>"GP Direct","Fabrikam, Inc.","UPR30300","PAYRATE","24000.00000","PAYROLCD","SALY","STATECD","IL","CHEKDATE","3/1/2015","UPRTRXAM","1000.00000"</v>
      </c>
      <c r="P1506" s="29">
        <v>24000</v>
      </c>
      <c r="Q1506" s="26" t="str">
        <f>"SALY"</f>
        <v>SALY</v>
      </c>
      <c r="R1506" s="26" t="str">
        <f>"IL"</f>
        <v>IL</v>
      </c>
      <c r="S1506" s="28">
        <v>42064</v>
      </c>
      <c r="T1506" s="29">
        <v>1000</v>
      </c>
    </row>
    <row r="1507" spans="1:20" s="7" customFormat="1" hidden="1" outlineLevel="3" x14ac:dyDescent="0.2">
      <c r="A1507" s="7" t="s">
        <v>92</v>
      </c>
      <c r="C1507" s="7" t="str">
        <f>+C1500</f>
        <v>Paul</v>
      </c>
      <c r="D1507" s="7" t="str">
        <f>+D1500</f>
        <v>West</v>
      </c>
      <c r="E1507" s="8" t="str">
        <f>E1500</f>
        <v>SALES</v>
      </c>
      <c r="G1507" s="8" t="str">
        <f>G1500</f>
        <v>WEST0001</v>
      </c>
      <c r="K1507" s="12">
        <f>+K1500</f>
        <v>42064</v>
      </c>
      <c r="L1507" s="8" t="str">
        <f>L1500</f>
        <v>10427</v>
      </c>
      <c r="O1507" s="8"/>
      <c r="T1507" s="20"/>
    </row>
    <row r="1508" spans="1:20" s="7" customFormat="1" hidden="1" outlineLevel="2" collapsed="1" x14ac:dyDescent="0.2">
      <c r="A1508" s="7" t="s">
        <v>92</v>
      </c>
      <c r="C1508" s="7" t="str">
        <f t="shared" si="226"/>
        <v>Paul</v>
      </c>
      <c r="D1508" s="7" t="str">
        <f>+D1507</f>
        <v>West</v>
      </c>
      <c r="E1508" s="8" t="str">
        <f>E1507</f>
        <v>SALES</v>
      </c>
      <c r="G1508" s="8" t="str">
        <f>G1507</f>
        <v>WEST0001</v>
      </c>
      <c r="K1508" s="12">
        <f>+K1507</f>
        <v>42064</v>
      </c>
      <c r="L1508" s="8" t="str">
        <f>L1507</f>
        <v>10427</v>
      </c>
      <c r="M1508" s="33" t="str">
        <f>"Total for " &amp; $L1508</f>
        <v>Total for 10427</v>
      </c>
      <c r="N1508" s="34">
        <f>+K1508</f>
        <v>42064</v>
      </c>
      <c r="O1508" s="35"/>
      <c r="P1508" s="33"/>
      <c r="Q1508" s="33"/>
      <c r="R1508" s="33"/>
      <c r="S1508" s="33"/>
      <c r="T1508" s="36">
        <f>SUBTOTAL(9,T1500:T1507)</f>
        <v>1156.32</v>
      </c>
    </row>
    <row r="1509" spans="1:20" s="7" customFormat="1" hidden="1" outlineLevel="3" x14ac:dyDescent="0.2">
      <c r="A1509" s="7" t="s">
        <v>92</v>
      </c>
      <c r="C1509" s="7" t="str">
        <f t="shared" si="226"/>
        <v>Paul</v>
      </c>
      <c r="D1509" s="7" t="str">
        <f>+D1508</f>
        <v>West</v>
      </c>
      <c r="E1509" s="8" t="str">
        <f>E1508</f>
        <v>SALES</v>
      </c>
      <c r="G1509" s="8" t="str">
        <f>G1508</f>
        <v>WEST0001</v>
      </c>
      <c r="H1509" s="26"/>
      <c r="I1509" s="26"/>
      <c r="J1509" s="26"/>
      <c r="K1509" s="28">
        <f>+N1509</f>
        <v>42095</v>
      </c>
      <c r="L1509" s="26" t="str">
        <f>M1509</f>
        <v>10452</v>
      </c>
      <c r="M1509" s="26" t="str">
        <f>"10452"</f>
        <v>10452</v>
      </c>
      <c r="N1509" s="28">
        <v>42095</v>
      </c>
      <c r="O1509" s="26"/>
      <c r="P1509" s="26"/>
      <c r="Q1509" s="26"/>
      <c r="R1509" s="26"/>
      <c r="S1509" s="26"/>
      <c r="T1509" s="27"/>
    </row>
    <row r="1510" spans="1:20" s="7" customFormat="1" hidden="1" outlineLevel="3" x14ac:dyDescent="0.2">
      <c r="A1510" s="7" t="s">
        <v>92</v>
      </c>
      <c r="C1510" s="7" t="str">
        <f t="shared" si="226"/>
        <v>Paul</v>
      </c>
      <c r="D1510" s="7" t="str">
        <f>+D1509</f>
        <v>West</v>
      </c>
      <c r="E1510" s="8" t="str">
        <f>E1509</f>
        <v>SALES</v>
      </c>
      <c r="G1510" s="8" t="str">
        <f>G1509</f>
        <v>WEST0001</v>
      </c>
      <c r="H1510" s="26"/>
      <c r="I1510" s="26"/>
      <c r="J1510" s="26"/>
      <c r="K1510" s="28">
        <f>+K1509</f>
        <v>42095</v>
      </c>
      <c r="L1510" s="26" t="str">
        <f>L1509</f>
        <v>10452</v>
      </c>
      <c r="M1510" s="26"/>
      <c r="N1510" s="26"/>
      <c r="O1510" s="26" t="str">
        <f>"""GP Direct"",""Fabrikam, Inc."",""UPR30300"",""PAYRATE"",""0.00000"",""PAYROLCD"",""401K"",""STATECD"","""",""CHEKDATE"",""4/1/2015"",""UPRTRXAM"",""1.50000"""</f>
        <v>"GP Direct","Fabrikam, Inc.","UPR30300","PAYRATE","0.00000","PAYROLCD","401K","STATECD","","CHEKDATE","4/1/2015","UPRTRXAM","1.50000"</v>
      </c>
      <c r="P1510" s="29">
        <v>0</v>
      </c>
      <c r="Q1510" s="26" t="str">
        <f>"401K"</f>
        <v>401K</v>
      </c>
      <c r="R1510" s="26"/>
      <c r="S1510" s="28">
        <v>42095</v>
      </c>
      <c r="T1510" s="29">
        <v>1.5</v>
      </c>
    </row>
    <row r="1511" spans="1:20" s="7" customFormat="1" hidden="1" outlineLevel="3" x14ac:dyDescent="0.2">
      <c r="A1511" s="7" t="s">
        <v>92</v>
      </c>
      <c r="C1511" s="7" t="str">
        <f t="shared" ref="C1511:C1516" si="229">+C1510</f>
        <v>Paul</v>
      </c>
      <c r="D1511" s="7" t="str">
        <f>+D1510</f>
        <v>West</v>
      </c>
      <c r="E1511" s="8" t="str">
        <f>E1510</f>
        <v>SALES</v>
      </c>
      <c r="G1511" s="8" t="str">
        <f>G1510</f>
        <v>WEST0001</v>
      </c>
      <c r="H1511" s="26"/>
      <c r="I1511" s="26"/>
      <c r="J1511" s="26"/>
      <c r="K1511" s="28">
        <f>+K1510</f>
        <v>42095</v>
      </c>
      <c r="L1511" s="26" t="str">
        <f>L1510</f>
        <v>10452</v>
      </c>
      <c r="M1511" s="26"/>
      <c r="N1511" s="26"/>
      <c r="O1511" s="26" t="str">
        <f>"""GP Direct"",""Fabrikam, Inc."",""UPR30300"",""PAYRATE"",""0.00000"",""PAYROLCD"",""401K"",""STATECD"","""",""CHEKDATE"",""4/1/2015"",""UPRTRXAM"",""30.00000"""</f>
        <v>"GP Direct","Fabrikam, Inc.","UPR30300","PAYRATE","0.00000","PAYROLCD","401K","STATECD","","CHEKDATE","4/1/2015","UPRTRXAM","30.00000"</v>
      </c>
      <c r="P1511" s="29">
        <v>0</v>
      </c>
      <c r="Q1511" s="26" t="str">
        <f>"401K"</f>
        <v>401K</v>
      </c>
      <c r="R1511" s="26"/>
      <c r="S1511" s="28">
        <v>42095</v>
      </c>
      <c r="T1511" s="29">
        <v>30</v>
      </c>
    </row>
    <row r="1512" spans="1:20" s="7" customFormat="1" hidden="1" outlineLevel="3" x14ac:dyDescent="0.2">
      <c r="A1512" s="7" t="s">
        <v>92</v>
      </c>
      <c r="C1512" s="7" t="str">
        <f t="shared" si="229"/>
        <v>Paul</v>
      </c>
      <c r="D1512" s="7" t="str">
        <f>+D1511</f>
        <v>West</v>
      </c>
      <c r="E1512" s="8" t="str">
        <f>E1511</f>
        <v>SALES</v>
      </c>
      <c r="G1512" s="8" t="str">
        <f>G1511</f>
        <v>WEST0001</v>
      </c>
      <c r="H1512" s="26"/>
      <c r="I1512" s="26"/>
      <c r="J1512" s="26"/>
      <c r="K1512" s="28">
        <f>+K1511</f>
        <v>42095</v>
      </c>
      <c r="L1512" s="26" t="str">
        <f>L1511</f>
        <v>10452</v>
      </c>
      <c r="M1512" s="26"/>
      <c r="N1512" s="26"/>
      <c r="O1512" s="26" t="str">
        <f>"""GP Direct"",""Fabrikam, Inc."",""UPR30300"",""PAYRATE"",""0.00000"",""PAYROLCD"",""IL"",""STATECD"","""",""CHEKDATE"",""4/1/2015"",""UPRTRXAM"",""22.51000"""</f>
        <v>"GP Direct","Fabrikam, Inc.","UPR30300","PAYRATE","0.00000","PAYROLCD","IL","STATECD","","CHEKDATE","4/1/2015","UPRTRXAM","22.51000"</v>
      </c>
      <c r="P1512" s="29">
        <v>0</v>
      </c>
      <c r="Q1512" s="26" t="str">
        <f>"IL"</f>
        <v>IL</v>
      </c>
      <c r="R1512" s="26"/>
      <c r="S1512" s="28">
        <v>42095</v>
      </c>
      <c r="T1512" s="29">
        <v>22.51</v>
      </c>
    </row>
    <row r="1513" spans="1:20" s="7" customFormat="1" hidden="1" outlineLevel="3" x14ac:dyDescent="0.2">
      <c r="A1513" s="7" t="s">
        <v>92</v>
      </c>
      <c r="C1513" s="7" t="str">
        <f t="shared" si="229"/>
        <v>Paul</v>
      </c>
      <c r="D1513" s="7" t="str">
        <f>+D1512</f>
        <v>West</v>
      </c>
      <c r="E1513" s="8" t="str">
        <f>E1512</f>
        <v>SALES</v>
      </c>
      <c r="G1513" s="8" t="str">
        <f>G1512</f>
        <v>WEST0001</v>
      </c>
      <c r="H1513" s="26"/>
      <c r="I1513" s="26"/>
      <c r="J1513" s="26"/>
      <c r="K1513" s="28">
        <f>+K1512</f>
        <v>42095</v>
      </c>
      <c r="L1513" s="26" t="str">
        <f>L1512</f>
        <v>10452</v>
      </c>
      <c r="M1513" s="26"/>
      <c r="N1513" s="26"/>
      <c r="O1513" s="26" t="str">
        <f>"""GP Direct"",""Fabrikam, Inc."",""UPR30300"",""PAYRATE"",""0.00000"",""PAYROLCD"",""INS"",""STATECD"","""",""CHEKDATE"",""4/1/2015"",""UPRTRXAM"",""49.36000"""</f>
        <v>"GP Direct","Fabrikam, Inc.","UPR30300","PAYRATE","0.00000","PAYROLCD","INS","STATECD","","CHEKDATE","4/1/2015","UPRTRXAM","49.36000"</v>
      </c>
      <c r="P1513" s="29">
        <v>0</v>
      </c>
      <c r="Q1513" s="26" t="str">
        <f>"INS"</f>
        <v>INS</v>
      </c>
      <c r="R1513" s="26"/>
      <c r="S1513" s="28">
        <v>42095</v>
      </c>
      <c r="T1513" s="29">
        <v>49.36</v>
      </c>
    </row>
    <row r="1514" spans="1:20" s="7" customFormat="1" hidden="1" outlineLevel="3" x14ac:dyDescent="0.2">
      <c r="A1514" s="7" t="s">
        <v>92</v>
      </c>
      <c r="C1514" s="7" t="str">
        <f t="shared" si="229"/>
        <v>Paul</v>
      </c>
      <c r="D1514" s="7" t="str">
        <f>+D1513</f>
        <v>West</v>
      </c>
      <c r="E1514" s="8" t="str">
        <f>E1513</f>
        <v>SALES</v>
      </c>
      <c r="G1514" s="8" t="str">
        <f>G1513</f>
        <v>WEST0001</v>
      </c>
      <c r="H1514" s="26"/>
      <c r="I1514" s="26"/>
      <c r="J1514" s="26"/>
      <c r="K1514" s="28">
        <f>+K1513</f>
        <v>42095</v>
      </c>
      <c r="L1514" s="26" t="str">
        <f>L1513</f>
        <v>10452</v>
      </c>
      <c r="M1514" s="26"/>
      <c r="N1514" s="26"/>
      <c r="O1514" s="26" t="str">
        <f>"""GP Direct"",""Fabrikam, Inc."",""UPR30300"",""PAYRATE"",""0.00000"",""PAYROLCD"",""INS1"",""STATECD"","""",""CHEKDATE"",""4/1/2015"",""UPRTRXAM"",""47.95000"""</f>
        <v>"GP Direct","Fabrikam, Inc.","UPR30300","PAYRATE","0.00000","PAYROLCD","INS1","STATECD","","CHEKDATE","4/1/2015","UPRTRXAM","47.95000"</v>
      </c>
      <c r="P1514" s="29">
        <v>0</v>
      </c>
      <c r="Q1514" s="26" t="str">
        <f>"INS1"</f>
        <v>INS1</v>
      </c>
      <c r="R1514" s="26"/>
      <c r="S1514" s="28">
        <v>42095</v>
      </c>
      <c r="T1514" s="29">
        <v>47.95</v>
      </c>
    </row>
    <row r="1515" spans="1:20" s="7" customFormat="1" hidden="1" outlineLevel="3" x14ac:dyDescent="0.2">
      <c r="A1515" s="7" t="s">
        <v>92</v>
      </c>
      <c r="C1515" s="7" t="str">
        <f t="shared" si="229"/>
        <v>Paul</v>
      </c>
      <c r="D1515" s="7" t="str">
        <f>+D1514</f>
        <v>West</v>
      </c>
      <c r="E1515" s="8" t="str">
        <f>E1514</f>
        <v>SALES</v>
      </c>
      <c r="G1515" s="8" t="str">
        <f>G1514</f>
        <v>WEST0001</v>
      </c>
      <c r="H1515" s="26"/>
      <c r="I1515" s="26"/>
      <c r="J1515" s="26"/>
      <c r="K1515" s="28">
        <f>+K1514</f>
        <v>42095</v>
      </c>
      <c r="L1515" s="26" t="str">
        <f>L1514</f>
        <v>10452</v>
      </c>
      <c r="M1515" s="26"/>
      <c r="N1515" s="26"/>
      <c r="O1515" s="26" t="str">
        <f>"""GP Direct"",""Fabrikam, Inc."",""UPR30300"",""PAYRATE"",""0.00000"",""PAYROLCD"",""MED"",""STATECD"","""",""CHEKDATE"",""4/1/2015"",""UPRTRXAM"",""5.00000"""</f>
        <v>"GP Direct","Fabrikam, Inc.","UPR30300","PAYRATE","0.00000","PAYROLCD","MED","STATECD","","CHEKDATE","4/1/2015","UPRTRXAM","5.00000"</v>
      </c>
      <c r="P1515" s="29">
        <v>0</v>
      </c>
      <c r="Q1515" s="26" t="str">
        <f>"MED"</f>
        <v>MED</v>
      </c>
      <c r="R1515" s="26"/>
      <c r="S1515" s="28">
        <v>42095</v>
      </c>
      <c r="T1515" s="29">
        <v>5</v>
      </c>
    </row>
    <row r="1516" spans="1:20" s="7" customFormat="1" hidden="1" outlineLevel="3" x14ac:dyDescent="0.2">
      <c r="A1516" s="7" t="s">
        <v>92</v>
      </c>
      <c r="C1516" s="7" t="str">
        <f t="shared" si="229"/>
        <v>Paul</v>
      </c>
      <c r="D1516" s="7" t="str">
        <f>+D1515</f>
        <v>West</v>
      </c>
      <c r="E1516" s="8" t="str">
        <f>E1515</f>
        <v>SALES</v>
      </c>
      <c r="G1516" s="8" t="str">
        <f>G1515</f>
        <v>WEST0001</v>
      </c>
      <c r="H1516" s="26"/>
      <c r="I1516" s="26"/>
      <c r="J1516" s="26"/>
      <c r="K1516" s="28">
        <f>+K1515</f>
        <v>42095</v>
      </c>
      <c r="L1516" s="26" t="str">
        <f>L1515</f>
        <v>10452</v>
      </c>
      <c r="M1516" s="26"/>
      <c r="N1516" s="26"/>
      <c r="O1516" s="26" t="str">
        <f>"""GP Direct"",""Fabrikam, Inc."",""UPR30300"",""PAYRATE"",""24000.00000"",""PAYROLCD"",""SALY"",""STATECD"",""IL"",""CHEKDATE"",""4/1/2015"",""UPRTRXAM"",""1000.00000"""</f>
        <v>"GP Direct","Fabrikam, Inc.","UPR30300","PAYRATE","24000.00000","PAYROLCD","SALY","STATECD","IL","CHEKDATE","4/1/2015","UPRTRXAM","1000.00000"</v>
      </c>
      <c r="P1516" s="29">
        <v>24000</v>
      </c>
      <c r="Q1516" s="26" t="str">
        <f>"SALY"</f>
        <v>SALY</v>
      </c>
      <c r="R1516" s="26" t="str">
        <f>"IL"</f>
        <v>IL</v>
      </c>
      <c r="S1516" s="28">
        <v>42095</v>
      </c>
      <c r="T1516" s="29">
        <v>1000</v>
      </c>
    </row>
    <row r="1517" spans="1:20" s="7" customFormat="1" hidden="1" outlineLevel="3" x14ac:dyDescent="0.2">
      <c r="A1517" s="7" t="s">
        <v>92</v>
      </c>
      <c r="C1517" s="7" t="str">
        <f>+C1510</f>
        <v>Paul</v>
      </c>
      <c r="D1517" s="7" t="str">
        <f>+D1510</f>
        <v>West</v>
      </c>
      <c r="E1517" s="8" t="str">
        <f>E1510</f>
        <v>SALES</v>
      </c>
      <c r="G1517" s="8" t="str">
        <f>G1510</f>
        <v>WEST0001</v>
      </c>
      <c r="K1517" s="12">
        <f>+K1510</f>
        <v>42095</v>
      </c>
      <c r="L1517" s="8" t="str">
        <f>L1510</f>
        <v>10452</v>
      </c>
      <c r="O1517" s="8"/>
      <c r="T1517" s="20"/>
    </row>
    <row r="1518" spans="1:20" s="7" customFormat="1" hidden="1" outlineLevel="2" collapsed="1" x14ac:dyDescent="0.2">
      <c r="A1518" s="7" t="s">
        <v>92</v>
      </c>
      <c r="C1518" s="7" t="str">
        <f t="shared" si="226"/>
        <v>Paul</v>
      </c>
      <c r="D1518" s="7" t="str">
        <f>+D1517</f>
        <v>West</v>
      </c>
      <c r="E1518" s="8" t="str">
        <f>E1517</f>
        <v>SALES</v>
      </c>
      <c r="G1518" s="8" t="str">
        <f>G1517</f>
        <v>WEST0001</v>
      </c>
      <c r="K1518" s="12">
        <f>+K1517</f>
        <v>42095</v>
      </c>
      <c r="L1518" s="8" t="str">
        <f>L1517</f>
        <v>10452</v>
      </c>
      <c r="M1518" s="33" t="str">
        <f>"Total for " &amp; $L1518</f>
        <v>Total for 10452</v>
      </c>
      <c r="N1518" s="34">
        <f>+K1518</f>
        <v>42095</v>
      </c>
      <c r="O1518" s="35"/>
      <c r="P1518" s="33"/>
      <c r="Q1518" s="33"/>
      <c r="R1518" s="33"/>
      <c r="S1518" s="33"/>
      <c r="T1518" s="36">
        <f>SUBTOTAL(9,T1510:T1517)</f>
        <v>1156.32</v>
      </c>
    </row>
    <row r="1519" spans="1:20" s="7" customFormat="1" hidden="1" outlineLevel="3" x14ac:dyDescent="0.2">
      <c r="A1519" s="7" t="s">
        <v>92</v>
      </c>
      <c r="C1519" s="7" t="str">
        <f t="shared" si="226"/>
        <v>Paul</v>
      </c>
      <c r="D1519" s="7" t="str">
        <f>+D1518</f>
        <v>West</v>
      </c>
      <c r="E1519" s="8" t="str">
        <f>E1518</f>
        <v>SALES</v>
      </c>
      <c r="G1519" s="8" t="str">
        <f>G1518</f>
        <v>WEST0001</v>
      </c>
      <c r="H1519" s="26"/>
      <c r="I1519" s="26"/>
      <c r="J1519" s="26"/>
      <c r="K1519" s="28">
        <f>+N1519</f>
        <v>42125</v>
      </c>
      <c r="L1519" s="26" t="str">
        <f>M1519</f>
        <v>10477</v>
      </c>
      <c r="M1519" s="26" t="str">
        <f>"10477"</f>
        <v>10477</v>
      </c>
      <c r="N1519" s="28">
        <v>42125</v>
      </c>
      <c r="O1519" s="26"/>
      <c r="P1519" s="26"/>
      <c r="Q1519" s="26"/>
      <c r="R1519" s="26"/>
      <c r="S1519" s="26"/>
      <c r="T1519" s="27"/>
    </row>
    <row r="1520" spans="1:20" s="7" customFormat="1" hidden="1" outlineLevel="3" x14ac:dyDescent="0.2">
      <c r="A1520" s="7" t="s">
        <v>92</v>
      </c>
      <c r="C1520" s="7" t="str">
        <f t="shared" si="226"/>
        <v>Paul</v>
      </c>
      <c r="D1520" s="7" t="str">
        <f>+D1519</f>
        <v>West</v>
      </c>
      <c r="E1520" s="8" t="str">
        <f>E1519</f>
        <v>SALES</v>
      </c>
      <c r="G1520" s="8" t="str">
        <f>G1519</f>
        <v>WEST0001</v>
      </c>
      <c r="H1520" s="26"/>
      <c r="I1520" s="26"/>
      <c r="J1520" s="26"/>
      <c r="K1520" s="28">
        <f>+K1519</f>
        <v>42125</v>
      </c>
      <c r="L1520" s="26" t="str">
        <f>L1519</f>
        <v>10477</v>
      </c>
      <c r="M1520" s="26"/>
      <c r="N1520" s="26"/>
      <c r="O1520" s="26" t="str">
        <f>"""GP Direct"",""Fabrikam, Inc."",""UPR30300"",""PAYRATE"",""0.00000"",""PAYROLCD"",""401K"",""STATECD"","""",""CHEKDATE"",""5/1/2015"",""UPRTRXAM"",""1.50000"""</f>
        <v>"GP Direct","Fabrikam, Inc.","UPR30300","PAYRATE","0.00000","PAYROLCD","401K","STATECD","","CHEKDATE","5/1/2015","UPRTRXAM","1.50000"</v>
      </c>
      <c r="P1520" s="29">
        <v>0</v>
      </c>
      <c r="Q1520" s="26" t="str">
        <f>"401K"</f>
        <v>401K</v>
      </c>
      <c r="R1520" s="26"/>
      <c r="S1520" s="28">
        <v>42125</v>
      </c>
      <c r="T1520" s="29">
        <v>1.5</v>
      </c>
    </row>
    <row r="1521" spans="1:20" s="7" customFormat="1" hidden="1" outlineLevel="3" x14ac:dyDescent="0.2">
      <c r="A1521" s="7" t="s">
        <v>92</v>
      </c>
      <c r="C1521" s="7" t="str">
        <f t="shared" ref="C1521:C1526" si="230">+C1520</f>
        <v>Paul</v>
      </c>
      <c r="D1521" s="7" t="str">
        <f>+D1520</f>
        <v>West</v>
      </c>
      <c r="E1521" s="8" t="str">
        <f>E1520</f>
        <v>SALES</v>
      </c>
      <c r="G1521" s="8" t="str">
        <f>G1520</f>
        <v>WEST0001</v>
      </c>
      <c r="H1521" s="26"/>
      <c r="I1521" s="26"/>
      <c r="J1521" s="26"/>
      <c r="K1521" s="28">
        <f>+K1520</f>
        <v>42125</v>
      </c>
      <c r="L1521" s="26" t="str">
        <f>L1520</f>
        <v>10477</v>
      </c>
      <c r="M1521" s="26"/>
      <c r="N1521" s="26"/>
      <c r="O1521" s="26" t="str">
        <f>"""GP Direct"",""Fabrikam, Inc."",""UPR30300"",""PAYRATE"",""0.00000"",""PAYROLCD"",""401K"",""STATECD"","""",""CHEKDATE"",""5/1/2015"",""UPRTRXAM"",""30.00000"""</f>
        <v>"GP Direct","Fabrikam, Inc.","UPR30300","PAYRATE","0.00000","PAYROLCD","401K","STATECD","","CHEKDATE","5/1/2015","UPRTRXAM","30.00000"</v>
      </c>
      <c r="P1521" s="29">
        <v>0</v>
      </c>
      <c r="Q1521" s="26" t="str">
        <f>"401K"</f>
        <v>401K</v>
      </c>
      <c r="R1521" s="26"/>
      <c r="S1521" s="28">
        <v>42125</v>
      </c>
      <c r="T1521" s="29">
        <v>30</v>
      </c>
    </row>
    <row r="1522" spans="1:20" s="7" customFormat="1" hidden="1" outlineLevel="3" x14ac:dyDescent="0.2">
      <c r="A1522" s="7" t="s">
        <v>92</v>
      </c>
      <c r="C1522" s="7" t="str">
        <f t="shared" si="230"/>
        <v>Paul</v>
      </c>
      <c r="D1522" s="7" t="str">
        <f>+D1521</f>
        <v>West</v>
      </c>
      <c r="E1522" s="8" t="str">
        <f>E1521</f>
        <v>SALES</v>
      </c>
      <c r="G1522" s="8" t="str">
        <f>G1521</f>
        <v>WEST0001</v>
      </c>
      <c r="H1522" s="26"/>
      <c r="I1522" s="26"/>
      <c r="J1522" s="26"/>
      <c r="K1522" s="28">
        <f>+K1521</f>
        <v>42125</v>
      </c>
      <c r="L1522" s="26" t="str">
        <f>L1521</f>
        <v>10477</v>
      </c>
      <c r="M1522" s="26"/>
      <c r="N1522" s="26"/>
      <c r="O1522" s="26" t="str">
        <f>"""GP Direct"",""Fabrikam, Inc."",""UPR30300"",""PAYRATE"",""0.00000"",""PAYROLCD"",""IL"",""STATECD"","""",""CHEKDATE"",""5/1/2015"",""UPRTRXAM"",""22.51000"""</f>
        <v>"GP Direct","Fabrikam, Inc.","UPR30300","PAYRATE","0.00000","PAYROLCD","IL","STATECD","","CHEKDATE","5/1/2015","UPRTRXAM","22.51000"</v>
      </c>
      <c r="P1522" s="29">
        <v>0</v>
      </c>
      <c r="Q1522" s="26" t="str">
        <f>"IL"</f>
        <v>IL</v>
      </c>
      <c r="R1522" s="26"/>
      <c r="S1522" s="28">
        <v>42125</v>
      </c>
      <c r="T1522" s="29">
        <v>22.51</v>
      </c>
    </row>
    <row r="1523" spans="1:20" s="7" customFormat="1" hidden="1" outlineLevel="3" x14ac:dyDescent="0.2">
      <c r="A1523" s="7" t="s">
        <v>92</v>
      </c>
      <c r="C1523" s="7" t="str">
        <f t="shared" si="230"/>
        <v>Paul</v>
      </c>
      <c r="D1523" s="7" t="str">
        <f>+D1522</f>
        <v>West</v>
      </c>
      <c r="E1523" s="8" t="str">
        <f>E1522</f>
        <v>SALES</v>
      </c>
      <c r="G1523" s="8" t="str">
        <f>G1522</f>
        <v>WEST0001</v>
      </c>
      <c r="H1523" s="26"/>
      <c r="I1523" s="26"/>
      <c r="J1523" s="26"/>
      <c r="K1523" s="28">
        <f>+K1522</f>
        <v>42125</v>
      </c>
      <c r="L1523" s="26" t="str">
        <f>L1522</f>
        <v>10477</v>
      </c>
      <c r="M1523" s="26"/>
      <c r="N1523" s="26"/>
      <c r="O1523" s="26" t="str">
        <f>"""GP Direct"",""Fabrikam, Inc."",""UPR30300"",""PAYRATE"",""0.00000"",""PAYROLCD"",""INS"",""STATECD"","""",""CHEKDATE"",""5/1/2015"",""UPRTRXAM"",""49.36000"""</f>
        <v>"GP Direct","Fabrikam, Inc.","UPR30300","PAYRATE","0.00000","PAYROLCD","INS","STATECD","","CHEKDATE","5/1/2015","UPRTRXAM","49.36000"</v>
      </c>
      <c r="P1523" s="29">
        <v>0</v>
      </c>
      <c r="Q1523" s="26" t="str">
        <f>"INS"</f>
        <v>INS</v>
      </c>
      <c r="R1523" s="26"/>
      <c r="S1523" s="28">
        <v>42125</v>
      </c>
      <c r="T1523" s="29">
        <v>49.36</v>
      </c>
    </row>
    <row r="1524" spans="1:20" s="7" customFormat="1" hidden="1" outlineLevel="3" x14ac:dyDescent="0.2">
      <c r="A1524" s="7" t="s">
        <v>92</v>
      </c>
      <c r="C1524" s="7" t="str">
        <f t="shared" si="230"/>
        <v>Paul</v>
      </c>
      <c r="D1524" s="7" t="str">
        <f>+D1523</f>
        <v>West</v>
      </c>
      <c r="E1524" s="8" t="str">
        <f>E1523</f>
        <v>SALES</v>
      </c>
      <c r="G1524" s="8" t="str">
        <f>G1523</f>
        <v>WEST0001</v>
      </c>
      <c r="H1524" s="26"/>
      <c r="I1524" s="26"/>
      <c r="J1524" s="26"/>
      <c r="K1524" s="28">
        <f>+K1523</f>
        <v>42125</v>
      </c>
      <c r="L1524" s="26" t="str">
        <f>L1523</f>
        <v>10477</v>
      </c>
      <c r="M1524" s="26"/>
      <c r="N1524" s="26"/>
      <c r="O1524" s="26" t="str">
        <f>"""GP Direct"",""Fabrikam, Inc."",""UPR30300"",""PAYRATE"",""0.00000"",""PAYROLCD"",""INS1"",""STATECD"","""",""CHEKDATE"",""5/1/2015"",""UPRTRXAM"",""47.95000"""</f>
        <v>"GP Direct","Fabrikam, Inc.","UPR30300","PAYRATE","0.00000","PAYROLCD","INS1","STATECD","","CHEKDATE","5/1/2015","UPRTRXAM","47.95000"</v>
      </c>
      <c r="P1524" s="29">
        <v>0</v>
      </c>
      <c r="Q1524" s="26" t="str">
        <f>"INS1"</f>
        <v>INS1</v>
      </c>
      <c r="R1524" s="26"/>
      <c r="S1524" s="28">
        <v>42125</v>
      </c>
      <c r="T1524" s="29">
        <v>47.95</v>
      </c>
    </row>
    <row r="1525" spans="1:20" s="7" customFormat="1" hidden="1" outlineLevel="3" x14ac:dyDescent="0.2">
      <c r="A1525" s="7" t="s">
        <v>92</v>
      </c>
      <c r="C1525" s="7" t="str">
        <f t="shared" si="230"/>
        <v>Paul</v>
      </c>
      <c r="D1525" s="7" t="str">
        <f>+D1524</f>
        <v>West</v>
      </c>
      <c r="E1525" s="8" t="str">
        <f>E1524</f>
        <v>SALES</v>
      </c>
      <c r="G1525" s="8" t="str">
        <f>G1524</f>
        <v>WEST0001</v>
      </c>
      <c r="H1525" s="26"/>
      <c r="I1525" s="26"/>
      <c r="J1525" s="26"/>
      <c r="K1525" s="28">
        <f>+K1524</f>
        <v>42125</v>
      </c>
      <c r="L1525" s="26" t="str">
        <f>L1524</f>
        <v>10477</v>
      </c>
      <c r="M1525" s="26"/>
      <c r="N1525" s="26"/>
      <c r="O1525" s="26" t="str">
        <f>"""GP Direct"",""Fabrikam, Inc."",""UPR30300"",""PAYRATE"",""0.00000"",""PAYROLCD"",""MED"",""STATECD"","""",""CHEKDATE"",""5/1/2015"",""UPRTRXAM"",""5.00000"""</f>
        <v>"GP Direct","Fabrikam, Inc.","UPR30300","PAYRATE","0.00000","PAYROLCD","MED","STATECD","","CHEKDATE","5/1/2015","UPRTRXAM","5.00000"</v>
      </c>
      <c r="P1525" s="29">
        <v>0</v>
      </c>
      <c r="Q1525" s="26" t="str">
        <f>"MED"</f>
        <v>MED</v>
      </c>
      <c r="R1525" s="26"/>
      <c r="S1525" s="28">
        <v>42125</v>
      </c>
      <c r="T1525" s="29">
        <v>5</v>
      </c>
    </row>
    <row r="1526" spans="1:20" s="7" customFormat="1" hidden="1" outlineLevel="3" x14ac:dyDescent="0.2">
      <c r="A1526" s="7" t="s">
        <v>92</v>
      </c>
      <c r="C1526" s="7" t="str">
        <f t="shared" si="230"/>
        <v>Paul</v>
      </c>
      <c r="D1526" s="7" t="str">
        <f>+D1525</f>
        <v>West</v>
      </c>
      <c r="E1526" s="8" t="str">
        <f>E1525</f>
        <v>SALES</v>
      </c>
      <c r="G1526" s="8" t="str">
        <f>G1525</f>
        <v>WEST0001</v>
      </c>
      <c r="H1526" s="26"/>
      <c r="I1526" s="26"/>
      <c r="J1526" s="26"/>
      <c r="K1526" s="28">
        <f>+K1525</f>
        <v>42125</v>
      </c>
      <c r="L1526" s="26" t="str">
        <f>L1525</f>
        <v>10477</v>
      </c>
      <c r="M1526" s="26"/>
      <c r="N1526" s="26"/>
      <c r="O1526" s="26" t="str">
        <f>"""GP Direct"",""Fabrikam, Inc."",""UPR30300"",""PAYRATE"",""24000.00000"",""PAYROLCD"",""SALY"",""STATECD"",""IL"",""CHEKDATE"",""5/1/2015"",""UPRTRXAM"",""1000.00000"""</f>
        <v>"GP Direct","Fabrikam, Inc.","UPR30300","PAYRATE","24000.00000","PAYROLCD","SALY","STATECD","IL","CHEKDATE","5/1/2015","UPRTRXAM","1000.00000"</v>
      </c>
      <c r="P1526" s="29">
        <v>24000</v>
      </c>
      <c r="Q1526" s="26" t="str">
        <f>"SALY"</f>
        <v>SALY</v>
      </c>
      <c r="R1526" s="26" t="str">
        <f>"IL"</f>
        <v>IL</v>
      </c>
      <c r="S1526" s="28">
        <v>42125</v>
      </c>
      <c r="T1526" s="29">
        <v>1000</v>
      </c>
    </row>
    <row r="1527" spans="1:20" s="7" customFormat="1" hidden="1" outlineLevel="3" x14ac:dyDescent="0.2">
      <c r="A1527" s="7" t="s">
        <v>92</v>
      </c>
      <c r="C1527" s="7" t="str">
        <f>+C1520</f>
        <v>Paul</v>
      </c>
      <c r="D1527" s="7" t="str">
        <f>+D1520</f>
        <v>West</v>
      </c>
      <c r="E1527" s="8" t="str">
        <f>E1520</f>
        <v>SALES</v>
      </c>
      <c r="G1527" s="8" t="str">
        <f>G1520</f>
        <v>WEST0001</v>
      </c>
      <c r="K1527" s="12">
        <f>+K1520</f>
        <v>42125</v>
      </c>
      <c r="L1527" s="8" t="str">
        <f>L1520</f>
        <v>10477</v>
      </c>
      <c r="O1527" s="8"/>
      <c r="T1527" s="20"/>
    </row>
    <row r="1528" spans="1:20" s="7" customFormat="1" hidden="1" outlineLevel="2" collapsed="1" x14ac:dyDescent="0.2">
      <c r="A1528" s="7" t="s">
        <v>92</v>
      </c>
      <c r="C1528" s="7" t="str">
        <f t="shared" si="226"/>
        <v>Paul</v>
      </c>
      <c r="D1528" s="7" t="str">
        <f>+D1527</f>
        <v>West</v>
      </c>
      <c r="E1528" s="8" t="str">
        <f>E1527</f>
        <v>SALES</v>
      </c>
      <c r="G1528" s="8" t="str">
        <f>G1527</f>
        <v>WEST0001</v>
      </c>
      <c r="K1528" s="12">
        <f>+K1527</f>
        <v>42125</v>
      </c>
      <c r="L1528" s="8" t="str">
        <f>L1527</f>
        <v>10477</v>
      </c>
      <c r="M1528" s="33" t="str">
        <f>"Total for " &amp; $L1528</f>
        <v>Total for 10477</v>
      </c>
      <c r="N1528" s="34">
        <f>+K1528</f>
        <v>42125</v>
      </c>
      <c r="O1528" s="35"/>
      <c r="P1528" s="33"/>
      <c r="Q1528" s="33"/>
      <c r="R1528" s="33"/>
      <c r="S1528" s="33"/>
      <c r="T1528" s="36">
        <f>SUBTOTAL(9,T1520:T1527)</f>
        <v>1156.32</v>
      </c>
    </row>
    <row r="1529" spans="1:20" s="7" customFormat="1" hidden="1" outlineLevel="3" x14ac:dyDescent="0.2">
      <c r="A1529" s="7" t="s">
        <v>92</v>
      </c>
      <c r="C1529" s="7" t="str">
        <f t="shared" si="226"/>
        <v>Paul</v>
      </c>
      <c r="D1529" s="7" t="str">
        <f>+D1528</f>
        <v>West</v>
      </c>
      <c r="E1529" s="8" t="str">
        <f>E1528</f>
        <v>SALES</v>
      </c>
      <c r="G1529" s="8" t="str">
        <f>G1528</f>
        <v>WEST0001</v>
      </c>
      <c r="H1529" s="26"/>
      <c r="I1529" s="26"/>
      <c r="J1529" s="26"/>
      <c r="K1529" s="28">
        <f>+N1529</f>
        <v>42156</v>
      </c>
      <c r="L1529" s="26" t="str">
        <f>M1529</f>
        <v>10502</v>
      </c>
      <c r="M1529" s="26" t="str">
        <f>"10502"</f>
        <v>10502</v>
      </c>
      <c r="N1529" s="28">
        <v>42156</v>
      </c>
      <c r="O1529" s="26"/>
      <c r="P1529" s="26"/>
      <c r="Q1529" s="26"/>
      <c r="R1529" s="26"/>
      <c r="S1529" s="26"/>
      <c r="T1529" s="27"/>
    </row>
    <row r="1530" spans="1:20" s="7" customFormat="1" hidden="1" outlineLevel="3" x14ac:dyDescent="0.2">
      <c r="A1530" s="7" t="s">
        <v>92</v>
      </c>
      <c r="C1530" s="7" t="str">
        <f t="shared" si="226"/>
        <v>Paul</v>
      </c>
      <c r="D1530" s="7" t="str">
        <f>+D1529</f>
        <v>West</v>
      </c>
      <c r="E1530" s="8" t="str">
        <f>E1529</f>
        <v>SALES</v>
      </c>
      <c r="G1530" s="8" t="str">
        <f>G1529</f>
        <v>WEST0001</v>
      </c>
      <c r="H1530" s="26"/>
      <c r="I1530" s="26"/>
      <c r="J1530" s="26"/>
      <c r="K1530" s="28">
        <f>+K1529</f>
        <v>42156</v>
      </c>
      <c r="L1530" s="26" t="str">
        <f>L1529</f>
        <v>10502</v>
      </c>
      <c r="M1530" s="26"/>
      <c r="N1530" s="26"/>
      <c r="O1530" s="26" t="str">
        <f>"""GP Direct"",""Fabrikam, Inc."",""UPR30300"",""PAYRATE"",""0.00000"",""PAYROLCD"",""401K"",""STATECD"","""",""CHEKDATE"",""6/1/2015"",""UPRTRXAM"",""1.50000"""</f>
        <v>"GP Direct","Fabrikam, Inc.","UPR30300","PAYRATE","0.00000","PAYROLCD","401K","STATECD","","CHEKDATE","6/1/2015","UPRTRXAM","1.50000"</v>
      </c>
      <c r="P1530" s="29">
        <v>0</v>
      </c>
      <c r="Q1530" s="26" t="str">
        <f>"401K"</f>
        <v>401K</v>
      </c>
      <c r="R1530" s="26"/>
      <c r="S1530" s="28">
        <v>42156</v>
      </c>
      <c r="T1530" s="29">
        <v>1.5</v>
      </c>
    </row>
    <row r="1531" spans="1:20" s="7" customFormat="1" hidden="1" outlineLevel="3" x14ac:dyDescent="0.2">
      <c r="A1531" s="7" t="s">
        <v>92</v>
      </c>
      <c r="C1531" s="7" t="str">
        <f t="shared" ref="C1531:C1536" si="231">+C1530</f>
        <v>Paul</v>
      </c>
      <c r="D1531" s="7" t="str">
        <f>+D1530</f>
        <v>West</v>
      </c>
      <c r="E1531" s="8" t="str">
        <f>E1530</f>
        <v>SALES</v>
      </c>
      <c r="G1531" s="8" t="str">
        <f>G1530</f>
        <v>WEST0001</v>
      </c>
      <c r="H1531" s="26"/>
      <c r="I1531" s="26"/>
      <c r="J1531" s="26"/>
      <c r="K1531" s="28">
        <f>+K1530</f>
        <v>42156</v>
      </c>
      <c r="L1531" s="26" t="str">
        <f>L1530</f>
        <v>10502</v>
      </c>
      <c r="M1531" s="26"/>
      <c r="N1531" s="26"/>
      <c r="O1531" s="26" t="str">
        <f>"""GP Direct"",""Fabrikam, Inc."",""UPR30300"",""PAYRATE"",""0.00000"",""PAYROLCD"",""401K"",""STATECD"","""",""CHEKDATE"",""6/1/2015"",""UPRTRXAM"",""30.00000"""</f>
        <v>"GP Direct","Fabrikam, Inc.","UPR30300","PAYRATE","0.00000","PAYROLCD","401K","STATECD","","CHEKDATE","6/1/2015","UPRTRXAM","30.00000"</v>
      </c>
      <c r="P1531" s="29">
        <v>0</v>
      </c>
      <c r="Q1531" s="26" t="str">
        <f>"401K"</f>
        <v>401K</v>
      </c>
      <c r="R1531" s="26"/>
      <c r="S1531" s="28">
        <v>42156</v>
      </c>
      <c r="T1531" s="29">
        <v>30</v>
      </c>
    </row>
    <row r="1532" spans="1:20" s="7" customFormat="1" hidden="1" outlineLevel="3" x14ac:dyDescent="0.2">
      <c r="A1532" s="7" t="s">
        <v>92</v>
      </c>
      <c r="C1532" s="7" t="str">
        <f t="shared" si="231"/>
        <v>Paul</v>
      </c>
      <c r="D1532" s="7" t="str">
        <f>+D1531</f>
        <v>West</v>
      </c>
      <c r="E1532" s="8" t="str">
        <f>E1531</f>
        <v>SALES</v>
      </c>
      <c r="G1532" s="8" t="str">
        <f>G1531</f>
        <v>WEST0001</v>
      </c>
      <c r="H1532" s="26"/>
      <c r="I1532" s="26"/>
      <c r="J1532" s="26"/>
      <c r="K1532" s="28">
        <f>+K1531</f>
        <v>42156</v>
      </c>
      <c r="L1532" s="26" t="str">
        <f>L1531</f>
        <v>10502</v>
      </c>
      <c r="M1532" s="26"/>
      <c r="N1532" s="26"/>
      <c r="O1532" s="26" t="str">
        <f>"""GP Direct"",""Fabrikam, Inc."",""UPR30300"",""PAYRATE"",""0.00000"",""PAYROLCD"",""IL"",""STATECD"","""",""CHEKDATE"",""6/1/2015"",""UPRTRXAM"",""22.51000"""</f>
        <v>"GP Direct","Fabrikam, Inc.","UPR30300","PAYRATE","0.00000","PAYROLCD","IL","STATECD","","CHEKDATE","6/1/2015","UPRTRXAM","22.51000"</v>
      </c>
      <c r="P1532" s="29">
        <v>0</v>
      </c>
      <c r="Q1532" s="26" t="str">
        <f>"IL"</f>
        <v>IL</v>
      </c>
      <c r="R1532" s="26"/>
      <c r="S1532" s="28">
        <v>42156</v>
      </c>
      <c r="T1532" s="29">
        <v>22.51</v>
      </c>
    </row>
    <row r="1533" spans="1:20" s="7" customFormat="1" hidden="1" outlineLevel="3" x14ac:dyDescent="0.2">
      <c r="A1533" s="7" t="s">
        <v>92</v>
      </c>
      <c r="C1533" s="7" t="str">
        <f t="shared" si="231"/>
        <v>Paul</v>
      </c>
      <c r="D1533" s="7" t="str">
        <f>+D1532</f>
        <v>West</v>
      </c>
      <c r="E1533" s="8" t="str">
        <f>E1532</f>
        <v>SALES</v>
      </c>
      <c r="G1533" s="8" t="str">
        <f>G1532</f>
        <v>WEST0001</v>
      </c>
      <c r="H1533" s="26"/>
      <c r="I1533" s="26"/>
      <c r="J1533" s="26"/>
      <c r="K1533" s="28">
        <f>+K1532</f>
        <v>42156</v>
      </c>
      <c r="L1533" s="26" t="str">
        <f>L1532</f>
        <v>10502</v>
      </c>
      <c r="M1533" s="26"/>
      <c r="N1533" s="26"/>
      <c r="O1533" s="26" t="str">
        <f>"""GP Direct"",""Fabrikam, Inc."",""UPR30300"",""PAYRATE"",""0.00000"",""PAYROLCD"",""INS"",""STATECD"","""",""CHEKDATE"",""6/1/2015"",""UPRTRXAM"",""49.36000"""</f>
        <v>"GP Direct","Fabrikam, Inc.","UPR30300","PAYRATE","0.00000","PAYROLCD","INS","STATECD","","CHEKDATE","6/1/2015","UPRTRXAM","49.36000"</v>
      </c>
      <c r="P1533" s="29">
        <v>0</v>
      </c>
      <c r="Q1533" s="26" t="str">
        <f>"INS"</f>
        <v>INS</v>
      </c>
      <c r="R1533" s="26"/>
      <c r="S1533" s="28">
        <v>42156</v>
      </c>
      <c r="T1533" s="29">
        <v>49.36</v>
      </c>
    </row>
    <row r="1534" spans="1:20" s="7" customFormat="1" hidden="1" outlineLevel="3" x14ac:dyDescent="0.2">
      <c r="A1534" s="7" t="s">
        <v>92</v>
      </c>
      <c r="C1534" s="7" t="str">
        <f t="shared" si="231"/>
        <v>Paul</v>
      </c>
      <c r="D1534" s="7" t="str">
        <f>+D1533</f>
        <v>West</v>
      </c>
      <c r="E1534" s="8" t="str">
        <f>E1533</f>
        <v>SALES</v>
      </c>
      <c r="G1534" s="8" t="str">
        <f>G1533</f>
        <v>WEST0001</v>
      </c>
      <c r="H1534" s="26"/>
      <c r="I1534" s="26"/>
      <c r="J1534" s="26"/>
      <c r="K1534" s="28">
        <f>+K1533</f>
        <v>42156</v>
      </c>
      <c r="L1534" s="26" t="str">
        <f>L1533</f>
        <v>10502</v>
      </c>
      <c r="M1534" s="26"/>
      <c r="N1534" s="26"/>
      <c r="O1534" s="26" t="str">
        <f>"""GP Direct"",""Fabrikam, Inc."",""UPR30300"",""PAYRATE"",""0.00000"",""PAYROLCD"",""INS1"",""STATECD"","""",""CHEKDATE"",""6/1/2015"",""UPRTRXAM"",""47.95000"""</f>
        <v>"GP Direct","Fabrikam, Inc.","UPR30300","PAYRATE","0.00000","PAYROLCD","INS1","STATECD","","CHEKDATE","6/1/2015","UPRTRXAM","47.95000"</v>
      </c>
      <c r="P1534" s="29">
        <v>0</v>
      </c>
      <c r="Q1534" s="26" t="str">
        <f>"INS1"</f>
        <v>INS1</v>
      </c>
      <c r="R1534" s="26"/>
      <c r="S1534" s="28">
        <v>42156</v>
      </c>
      <c r="T1534" s="29">
        <v>47.95</v>
      </c>
    </row>
    <row r="1535" spans="1:20" s="7" customFormat="1" hidden="1" outlineLevel="3" x14ac:dyDescent="0.2">
      <c r="A1535" s="7" t="s">
        <v>92</v>
      </c>
      <c r="C1535" s="7" t="str">
        <f t="shared" si="231"/>
        <v>Paul</v>
      </c>
      <c r="D1535" s="7" t="str">
        <f>+D1534</f>
        <v>West</v>
      </c>
      <c r="E1535" s="8" t="str">
        <f>E1534</f>
        <v>SALES</v>
      </c>
      <c r="G1535" s="8" t="str">
        <f>G1534</f>
        <v>WEST0001</v>
      </c>
      <c r="H1535" s="26"/>
      <c r="I1535" s="26"/>
      <c r="J1535" s="26"/>
      <c r="K1535" s="28">
        <f>+K1534</f>
        <v>42156</v>
      </c>
      <c r="L1535" s="26" t="str">
        <f>L1534</f>
        <v>10502</v>
      </c>
      <c r="M1535" s="26"/>
      <c r="N1535" s="26"/>
      <c r="O1535" s="26" t="str">
        <f>"""GP Direct"",""Fabrikam, Inc."",""UPR30300"",""PAYRATE"",""0.00000"",""PAYROLCD"",""MED"",""STATECD"","""",""CHEKDATE"",""6/1/2015"",""UPRTRXAM"",""5.00000"""</f>
        <v>"GP Direct","Fabrikam, Inc.","UPR30300","PAYRATE","0.00000","PAYROLCD","MED","STATECD","","CHEKDATE","6/1/2015","UPRTRXAM","5.00000"</v>
      </c>
      <c r="P1535" s="29">
        <v>0</v>
      </c>
      <c r="Q1535" s="26" t="str">
        <f>"MED"</f>
        <v>MED</v>
      </c>
      <c r="R1535" s="26"/>
      <c r="S1535" s="28">
        <v>42156</v>
      </c>
      <c r="T1535" s="29">
        <v>5</v>
      </c>
    </row>
    <row r="1536" spans="1:20" s="7" customFormat="1" hidden="1" outlineLevel="3" x14ac:dyDescent="0.2">
      <c r="A1536" s="7" t="s">
        <v>92</v>
      </c>
      <c r="C1536" s="7" t="str">
        <f t="shared" si="231"/>
        <v>Paul</v>
      </c>
      <c r="D1536" s="7" t="str">
        <f>+D1535</f>
        <v>West</v>
      </c>
      <c r="E1536" s="8" t="str">
        <f>E1535</f>
        <v>SALES</v>
      </c>
      <c r="G1536" s="8" t="str">
        <f>G1535</f>
        <v>WEST0001</v>
      </c>
      <c r="H1536" s="26"/>
      <c r="I1536" s="26"/>
      <c r="J1536" s="26"/>
      <c r="K1536" s="28">
        <f>+K1535</f>
        <v>42156</v>
      </c>
      <c r="L1536" s="26" t="str">
        <f>L1535</f>
        <v>10502</v>
      </c>
      <c r="M1536" s="26"/>
      <c r="N1536" s="26"/>
      <c r="O1536" s="26" t="str">
        <f>"""GP Direct"",""Fabrikam, Inc."",""UPR30300"",""PAYRATE"",""24000.00000"",""PAYROLCD"",""SALY"",""STATECD"",""IL"",""CHEKDATE"",""6/1/2015"",""UPRTRXAM"",""1000.00000"""</f>
        <v>"GP Direct","Fabrikam, Inc.","UPR30300","PAYRATE","24000.00000","PAYROLCD","SALY","STATECD","IL","CHEKDATE","6/1/2015","UPRTRXAM","1000.00000"</v>
      </c>
      <c r="P1536" s="29">
        <v>24000</v>
      </c>
      <c r="Q1536" s="26" t="str">
        <f>"SALY"</f>
        <v>SALY</v>
      </c>
      <c r="R1536" s="26" t="str">
        <f>"IL"</f>
        <v>IL</v>
      </c>
      <c r="S1536" s="28">
        <v>42156</v>
      </c>
      <c r="T1536" s="29">
        <v>1000</v>
      </c>
    </row>
    <row r="1537" spans="1:20" s="7" customFormat="1" hidden="1" outlineLevel="3" x14ac:dyDescent="0.2">
      <c r="A1537" s="7" t="s">
        <v>92</v>
      </c>
      <c r="C1537" s="7" t="str">
        <f>+C1530</f>
        <v>Paul</v>
      </c>
      <c r="D1537" s="7" t="str">
        <f>+D1530</f>
        <v>West</v>
      </c>
      <c r="E1537" s="8" t="str">
        <f>E1530</f>
        <v>SALES</v>
      </c>
      <c r="G1537" s="8" t="str">
        <f>G1530</f>
        <v>WEST0001</v>
      </c>
      <c r="K1537" s="12">
        <f>+K1530</f>
        <v>42156</v>
      </c>
      <c r="L1537" s="8" t="str">
        <f>L1530</f>
        <v>10502</v>
      </c>
      <c r="O1537" s="8"/>
      <c r="T1537" s="20"/>
    </row>
    <row r="1538" spans="1:20" s="7" customFormat="1" hidden="1" outlineLevel="2" collapsed="1" x14ac:dyDescent="0.2">
      <c r="A1538" s="7" t="s">
        <v>92</v>
      </c>
      <c r="C1538" s="7" t="str">
        <f t="shared" si="226"/>
        <v>Paul</v>
      </c>
      <c r="D1538" s="7" t="str">
        <f>+D1537</f>
        <v>West</v>
      </c>
      <c r="E1538" s="8" t="str">
        <f>E1537</f>
        <v>SALES</v>
      </c>
      <c r="G1538" s="8" t="str">
        <f>G1537</f>
        <v>WEST0001</v>
      </c>
      <c r="K1538" s="12">
        <f>+K1537</f>
        <v>42156</v>
      </c>
      <c r="L1538" s="8" t="str">
        <f>L1537</f>
        <v>10502</v>
      </c>
      <c r="M1538" s="33" t="str">
        <f>"Total for " &amp; $L1538</f>
        <v>Total for 10502</v>
      </c>
      <c r="N1538" s="34">
        <f>+K1538</f>
        <v>42156</v>
      </c>
      <c r="O1538" s="35"/>
      <c r="P1538" s="33"/>
      <c r="Q1538" s="33"/>
      <c r="R1538" s="33"/>
      <c r="S1538" s="33"/>
      <c r="T1538" s="36">
        <f>SUBTOTAL(9,T1530:T1537)</f>
        <v>1156.32</v>
      </c>
    </row>
    <row r="1539" spans="1:20" s="7" customFormat="1" hidden="1" outlineLevel="3" x14ac:dyDescent="0.2">
      <c r="A1539" s="7" t="s">
        <v>92</v>
      </c>
      <c r="C1539" s="7" t="str">
        <f t="shared" si="226"/>
        <v>Paul</v>
      </c>
      <c r="D1539" s="7" t="str">
        <f>+D1538</f>
        <v>West</v>
      </c>
      <c r="E1539" s="8" t="str">
        <f>E1538</f>
        <v>SALES</v>
      </c>
      <c r="G1539" s="8" t="str">
        <f>G1538</f>
        <v>WEST0001</v>
      </c>
      <c r="H1539" s="26"/>
      <c r="I1539" s="26"/>
      <c r="J1539" s="26"/>
      <c r="K1539" s="28">
        <f>+N1539</f>
        <v>42005</v>
      </c>
      <c r="L1539" s="26" t="str">
        <f>M1539</f>
        <v>11610</v>
      </c>
      <c r="M1539" s="26" t="str">
        <f>"11610"</f>
        <v>11610</v>
      </c>
      <c r="N1539" s="28">
        <v>42005</v>
      </c>
      <c r="O1539" s="26"/>
      <c r="P1539" s="26"/>
      <c r="Q1539" s="26"/>
      <c r="R1539" s="26"/>
      <c r="S1539" s="26"/>
      <c r="T1539" s="27"/>
    </row>
    <row r="1540" spans="1:20" s="7" customFormat="1" hidden="1" outlineLevel="3" x14ac:dyDescent="0.2">
      <c r="A1540" s="7" t="s">
        <v>92</v>
      </c>
      <c r="C1540" s="7" t="str">
        <f t="shared" si="226"/>
        <v>Paul</v>
      </c>
      <c r="D1540" s="7" t="str">
        <f>+D1539</f>
        <v>West</v>
      </c>
      <c r="E1540" s="8" t="str">
        <f>E1539</f>
        <v>SALES</v>
      </c>
      <c r="G1540" s="8" t="str">
        <f>G1539</f>
        <v>WEST0001</v>
      </c>
      <c r="H1540" s="26"/>
      <c r="I1540" s="26"/>
      <c r="J1540" s="26"/>
      <c r="K1540" s="28">
        <f>+K1539</f>
        <v>42005</v>
      </c>
      <c r="L1540" s="26" t="str">
        <f>L1539</f>
        <v>11610</v>
      </c>
      <c r="M1540" s="26"/>
      <c r="N1540" s="26"/>
      <c r="O1540" s="26" t="str">
        <f>"""GP Direct"",""Fabrikam, Inc."",""UPR30300"",""PAYRATE"",""0.00000"",""PAYROLCD"",""IL"",""STATECD"","""",""CHEKDATE"",""1/1/2015"",""UPRTRXAM"",""214.00000"""</f>
        <v>"GP Direct","Fabrikam, Inc.","UPR30300","PAYRATE","0.00000","PAYROLCD","IL","STATECD","","CHEKDATE","1/1/2015","UPRTRXAM","214.00000"</v>
      </c>
      <c r="P1540" s="29">
        <v>0</v>
      </c>
      <c r="Q1540" s="26" t="str">
        <f>"IL"</f>
        <v>IL</v>
      </c>
      <c r="R1540" s="26"/>
      <c r="S1540" s="28">
        <v>42005</v>
      </c>
      <c r="T1540" s="29">
        <v>214</v>
      </c>
    </row>
    <row r="1541" spans="1:20" s="7" customFormat="1" hidden="1" outlineLevel="3" x14ac:dyDescent="0.2">
      <c r="A1541" s="7" t="s">
        <v>92</v>
      </c>
      <c r="C1541" s="7" t="str">
        <f t="shared" ref="C1541" si="232">+C1540</f>
        <v>Paul</v>
      </c>
      <c r="D1541" s="7" t="str">
        <f>+D1540</f>
        <v>West</v>
      </c>
      <c r="E1541" s="8" t="str">
        <f>E1540</f>
        <v>SALES</v>
      </c>
      <c r="G1541" s="8" t="str">
        <f>G1540</f>
        <v>WEST0001</v>
      </c>
      <c r="H1541" s="26"/>
      <c r="I1541" s="26"/>
      <c r="J1541" s="26"/>
      <c r="K1541" s="28">
        <f>+K1540</f>
        <v>42005</v>
      </c>
      <c r="L1541" s="26" t="str">
        <f>L1540</f>
        <v>11610</v>
      </c>
      <c r="M1541" s="26"/>
      <c r="N1541" s="26"/>
      <c r="O1541" s="26" t="str">
        <f>"""GP Direct"",""Fabrikam, Inc."",""UPR30300"",""PAYRATE"",""7300.00000"",""PAYROLCD"",""COMM"",""STATECD"",""IL"",""CHEKDATE"",""1/1/2015"",""UPRTRXAM"",""7300.00000"""</f>
        <v>"GP Direct","Fabrikam, Inc.","UPR30300","PAYRATE","7300.00000","PAYROLCD","COMM","STATECD","IL","CHEKDATE","1/1/2015","UPRTRXAM","7300.00000"</v>
      </c>
      <c r="P1541" s="29">
        <v>7300</v>
      </c>
      <c r="Q1541" s="26" t="str">
        <f>"COMM"</f>
        <v>COMM</v>
      </c>
      <c r="R1541" s="26" t="str">
        <f>"IL"</f>
        <v>IL</v>
      </c>
      <c r="S1541" s="28">
        <v>42005</v>
      </c>
      <c r="T1541" s="29">
        <v>7300</v>
      </c>
    </row>
    <row r="1542" spans="1:20" s="7" customFormat="1" hidden="1" outlineLevel="3" x14ac:dyDescent="0.2">
      <c r="A1542" s="7" t="s">
        <v>92</v>
      </c>
      <c r="C1542" s="7" t="str">
        <f>+C1540</f>
        <v>Paul</v>
      </c>
      <c r="D1542" s="7" t="str">
        <f>+D1540</f>
        <v>West</v>
      </c>
      <c r="E1542" s="8" t="str">
        <f>E1540</f>
        <v>SALES</v>
      </c>
      <c r="G1542" s="8" t="str">
        <f>G1540</f>
        <v>WEST0001</v>
      </c>
      <c r="K1542" s="12">
        <f>+K1540</f>
        <v>42005</v>
      </c>
      <c r="L1542" s="8" t="str">
        <f>L1540</f>
        <v>11610</v>
      </c>
      <c r="O1542" s="8"/>
      <c r="T1542" s="20"/>
    </row>
    <row r="1543" spans="1:20" s="7" customFormat="1" hidden="1" outlineLevel="2" collapsed="1" x14ac:dyDescent="0.2">
      <c r="A1543" s="7" t="s">
        <v>92</v>
      </c>
      <c r="C1543" s="7" t="str">
        <f t="shared" si="226"/>
        <v>Paul</v>
      </c>
      <c r="D1543" s="7" t="str">
        <f>+D1542</f>
        <v>West</v>
      </c>
      <c r="E1543" s="8" t="str">
        <f>E1542</f>
        <v>SALES</v>
      </c>
      <c r="G1543" s="8" t="str">
        <f>G1542</f>
        <v>WEST0001</v>
      </c>
      <c r="K1543" s="12">
        <f>+K1542</f>
        <v>42005</v>
      </c>
      <c r="L1543" s="8" t="str">
        <f>L1542</f>
        <v>11610</v>
      </c>
      <c r="M1543" s="33" t="str">
        <f>"Total for " &amp; $L1543</f>
        <v>Total for 11610</v>
      </c>
      <c r="N1543" s="34">
        <f>+K1543</f>
        <v>42005</v>
      </c>
      <c r="O1543" s="35"/>
      <c r="P1543" s="33"/>
      <c r="Q1543" s="33"/>
      <c r="R1543" s="33"/>
      <c r="S1543" s="33"/>
      <c r="T1543" s="36">
        <f>SUBTOTAL(9,T1540:T1542)</f>
        <v>7514</v>
      </c>
    </row>
    <row r="1544" spans="1:20" s="7" customFormat="1" hidden="1" outlineLevel="3" x14ac:dyDescent="0.2">
      <c r="A1544" s="7" t="s">
        <v>92</v>
      </c>
      <c r="C1544" s="7" t="str">
        <f t="shared" si="226"/>
        <v>Paul</v>
      </c>
      <c r="D1544" s="7" t="str">
        <f>+D1543</f>
        <v>West</v>
      </c>
      <c r="E1544" s="8" t="str">
        <f>E1543</f>
        <v>SALES</v>
      </c>
      <c r="G1544" s="8" t="str">
        <f>G1543</f>
        <v>WEST0001</v>
      </c>
      <c r="H1544" s="26"/>
      <c r="I1544" s="26"/>
      <c r="J1544" s="26"/>
      <c r="K1544" s="28">
        <f>+N1544</f>
        <v>42156</v>
      </c>
      <c r="L1544" s="26" t="str">
        <f>M1544</f>
        <v>11614</v>
      </c>
      <c r="M1544" s="26" t="str">
        <f>"11614"</f>
        <v>11614</v>
      </c>
      <c r="N1544" s="28">
        <v>42156</v>
      </c>
      <c r="O1544" s="26"/>
      <c r="P1544" s="26"/>
      <c r="Q1544" s="26"/>
      <c r="R1544" s="26"/>
      <c r="S1544" s="26"/>
      <c r="T1544" s="27"/>
    </row>
    <row r="1545" spans="1:20" s="7" customFormat="1" hidden="1" outlineLevel="3" x14ac:dyDescent="0.2">
      <c r="A1545" s="7" t="s">
        <v>92</v>
      </c>
      <c r="C1545" s="7" t="str">
        <f t="shared" si="226"/>
        <v>Paul</v>
      </c>
      <c r="D1545" s="7" t="str">
        <f>+D1544</f>
        <v>West</v>
      </c>
      <c r="E1545" s="8" t="str">
        <f>E1544</f>
        <v>SALES</v>
      </c>
      <c r="G1545" s="8" t="str">
        <f>G1544</f>
        <v>WEST0001</v>
      </c>
      <c r="H1545" s="26"/>
      <c r="I1545" s="26"/>
      <c r="J1545" s="26"/>
      <c r="K1545" s="28">
        <f>+K1544</f>
        <v>42156</v>
      </c>
      <c r="L1545" s="26" t="str">
        <f>L1544</f>
        <v>11614</v>
      </c>
      <c r="M1545" s="26"/>
      <c r="N1545" s="26"/>
      <c r="O1545" s="26" t="str">
        <f>"""GP Direct"",""Fabrikam, Inc."",""UPR30300"",""PAYRATE"",""0.00000"",""PAYROLCD"",""IL"",""STATECD"","""",""CHEKDATE"",""6/1/2015"",""UPRTRXAM"",""214.00000"""</f>
        <v>"GP Direct","Fabrikam, Inc.","UPR30300","PAYRATE","0.00000","PAYROLCD","IL","STATECD","","CHEKDATE","6/1/2015","UPRTRXAM","214.00000"</v>
      </c>
      <c r="P1545" s="29">
        <v>0</v>
      </c>
      <c r="Q1545" s="26" t="str">
        <f>"IL"</f>
        <v>IL</v>
      </c>
      <c r="R1545" s="26"/>
      <c r="S1545" s="28">
        <v>42156</v>
      </c>
      <c r="T1545" s="29">
        <v>214</v>
      </c>
    </row>
    <row r="1546" spans="1:20" s="7" customFormat="1" hidden="1" outlineLevel="3" x14ac:dyDescent="0.2">
      <c r="A1546" s="7" t="s">
        <v>92</v>
      </c>
      <c r="C1546" s="7" t="str">
        <f t="shared" ref="C1546" si="233">+C1545</f>
        <v>Paul</v>
      </c>
      <c r="D1546" s="7" t="str">
        <f>+D1545</f>
        <v>West</v>
      </c>
      <c r="E1546" s="8" t="str">
        <f>E1545</f>
        <v>SALES</v>
      </c>
      <c r="G1546" s="8" t="str">
        <f>G1545</f>
        <v>WEST0001</v>
      </c>
      <c r="H1546" s="26"/>
      <c r="I1546" s="26"/>
      <c r="J1546" s="26"/>
      <c r="K1546" s="28">
        <f>+K1545</f>
        <v>42156</v>
      </c>
      <c r="L1546" s="26" t="str">
        <f>L1545</f>
        <v>11614</v>
      </c>
      <c r="M1546" s="26"/>
      <c r="N1546" s="26"/>
      <c r="O1546" s="26" t="str">
        <f>"""GP Direct"",""Fabrikam, Inc."",""UPR30300"",""PAYRATE"",""7300.00000"",""PAYROLCD"",""COMM"",""STATECD"",""IL"",""CHEKDATE"",""6/1/2015"",""UPRTRXAM"",""7300.00000"""</f>
        <v>"GP Direct","Fabrikam, Inc.","UPR30300","PAYRATE","7300.00000","PAYROLCD","COMM","STATECD","IL","CHEKDATE","6/1/2015","UPRTRXAM","7300.00000"</v>
      </c>
      <c r="P1546" s="29">
        <v>7300</v>
      </c>
      <c r="Q1546" s="26" t="str">
        <f>"COMM"</f>
        <v>COMM</v>
      </c>
      <c r="R1546" s="26" t="str">
        <f>"IL"</f>
        <v>IL</v>
      </c>
      <c r="S1546" s="28">
        <v>42156</v>
      </c>
      <c r="T1546" s="29">
        <v>7300</v>
      </c>
    </row>
    <row r="1547" spans="1:20" s="7" customFormat="1" hidden="1" outlineLevel="3" x14ac:dyDescent="0.2">
      <c r="A1547" s="7" t="s">
        <v>92</v>
      </c>
      <c r="C1547" s="7" t="str">
        <f>+C1545</f>
        <v>Paul</v>
      </c>
      <c r="D1547" s="7" t="str">
        <f>+D1545</f>
        <v>West</v>
      </c>
      <c r="E1547" s="8" t="str">
        <f>E1545</f>
        <v>SALES</v>
      </c>
      <c r="G1547" s="8" t="str">
        <f>G1545</f>
        <v>WEST0001</v>
      </c>
      <c r="K1547" s="12">
        <f>+K1545</f>
        <v>42156</v>
      </c>
      <c r="L1547" s="8" t="str">
        <f>L1545</f>
        <v>11614</v>
      </c>
      <c r="O1547" s="8"/>
      <c r="T1547" s="20"/>
    </row>
    <row r="1548" spans="1:20" s="7" customFormat="1" hidden="1" outlineLevel="2" collapsed="1" x14ac:dyDescent="0.2">
      <c r="A1548" s="7" t="s">
        <v>92</v>
      </c>
      <c r="C1548" s="7" t="str">
        <f t="shared" si="226"/>
        <v>Paul</v>
      </c>
      <c r="D1548" s="7" t="str">
        <f>+D1547</f>
        <v>West</v>
      </c>
      <c r="E1548" s="8" t="str">
        <f>E1547</f>
        <v>SALES</v>
      </c>
      <c r="G1548" s="8" t="str">
        <f>G1547</f>
        <v>WEST0001</v>
      </c>
      <c r="K1548" s="12">
        <f>+K1547</f>
        <v>42156</v>
      </c>
      <c r="L1548" s="8" t="str">
        <f>L1547</f>
        <v>11614</v>
      </c>
      <c r="M1548" s="33" t="str">
        <f>"Total for " &amp; $L1548</f>
        <v>Total for 11614</v>
      </c>
      <c r="N1548" s="34">
        <f>+K1548</f>
        <v>42156</v>
      </c>
      <c r="O1548" s="35"/>
      <c r="P1548" s="33"/>
      <c r="Q1548" s="33"/>
      <c r="R1548" s="33"/>
      <c r="S1548" s="33"/>
      <c r="T1548" s="36">
        <f>SUBTOTAL(9,T1545:T1547)</f>
        <v>7514</v>
      </c>
    </row>
    <row r="1549" spans="1:20" s="7" customFormat="1" hidden="1" outlineLevel="2" x14ac:dyDescent="0.2">
      <c r="A1549" s="7" t="s">
        <v>92</v>
      </c>
      <c r="C1549" s="7" t="str">
        <f>+C1488</f>
        <v>Paul</v>
      </c>
      <c r="D1549" s="7" t="str">
        <f>+D1488</f>
        <v>West</v>
      </c>
      <c r="E1549" s="8" t="str">
        <f>E1488</f>
        <v>SALES</v>
      </c>
      <c r="G1549" s="8" t="str">
        <f>G1488</f>
        <v>WEST0001</v>
      </c>
      <c r="L1549" s="8"/>
      <c r="O1549" s="8"/>
      <c r="T1549" s="20"/>
    </row>
    <row r="1550" spans="1:20" s="7" customFormat="1" hidden="1" outlineLevel="1" collapsed="1" x14ac:dyDescent="0.2">
      <c r="A1550" s="7" t="s">
        <v>92</v>
      </c>
      <c r="C1550" s="7" t="str">
        <f t="shared" si="224"/>
        <v>Paul</v>
      </c>
      <c r="D1550" s="7" t="str">
        <f>+D1549</f>
        <v>West</v>
      </c>
      <c r="E1550" s="8" t="str">
        <f>E1549</f>
        <v>SALES</v>
      </c>
      <c r="G1550" s="8" t="str">
        <f>G1549</f>
        <v>WEST0001</v>
      </c>
      <c r="H1550" s="30" t="str">
        <f>"Total for " &amp; $G1550</f>
        <v>Total for WEST0001</v>
      </c>
      <c r="I1550" s="30" t="str">
        <f>+C1550</f>
        <v>Paul</v>
      </c>
      <c r="J1550" s="30" t="str">
        <f>+D1550</f>
        <v>West</v>
      </c>
      <c r="K1550" s="30"/>
      <c r="L1550" s="31"/>
      <c r="M1550" s="30"/>
      <c r="N1550" s="30"/>
      <c r="O1550" s="31"/>
      <c r="P1550" s="30"/>
      <c r="Q1550" s="30"/>
      <c r="R1550" s="30"/>
      <c r="S1550" s="30"/>
      <c r="T1550" s="32">
        <f>SUBTOTAL(9,T1480:T1549)</f>
        <v>21965.919999999998</v>
      </c>
    </row>
    <row r="1551" spans="1:20" s="7" customFormat="1" hidden="1" outlineLevel="1" x14ac:dyDescent="0.2">
      <c r="A1551" s="7" t="s">
        <v>92</v>
      </c>
      <c r="E1551" s="8" t="str">
        <f>E974</f>
        <v>SALES</v>
      </c>
      <c r="G1551" s="8"/>
      <c r="L1551" s="8"/>
      <c r="O1551" s="8"/>
      <c r="T1551" s="20"/>
    </row>
    <row r="1552" spans="1:20" s="7" customFormat="1" collapsed="1" x14ac:dyDescent="0.2">
      <c r="A1552" s="7" t="s">
        <v>92</v>
      </c>
      <c r="E1552" s="8" t="str">
        <f>E1551</f>
        <v>SALES</v>
      </c>
      <c r="F1552" s="13" t="str">
        <f>"Total for " &amp; F915</f>
        <v>Total for Sales</v>
      </c>
      <c r="G1552" s="13"/>
      <c r="H1552" s="13"/>
      <c r="I1552" s="13"/>
      <c r="J1552" s="13"/>
      <c r="K1552" s="13"/>
      <c r="L1552" s="13"/>
      <c r="M1552" s="13"/>
      <c r="N1552" s="13"/>
      <c r="O1552" s="13"/>
      <c r="P1552" s="13"/>
      <c r="Q1552" s="13"/>
      <c r="R1552" s="13"/>
      <c r="S1552" s="13"/>
      <c r="T1552" s="21">
        <f>SUBTOTAL(9,T918:T1551)</f>
        <v>119959.47000000002</v>
      </c>
    </row>
    <row r="1553" spans="1:20" s="7" customFormat="1" hidden="1" outlineLevel="1" x14ac:dyDescent="0.2">
      <c r="A1553" s="7" t="s">
        <v>92</v>
      </c>
      <c r="D1553" s="9" t="str">
        <f>"SUPP"</f>
        <v>SUPP</v>
      </c>
      <c r="E1553" s="8" t="str">
        <f>D1553</f>
        <v>SUPP</v>
      </c>
      <c r="F1553" s="11" t="str">
        <f>"Support"</f>
        <v>Support</v>
      </c>
      <c r="G1553" s="8"/>
      <c r="L1553" s="8"/>
      <c r="O1553" s="8"/>
      <c r="T1553" s="10"/>
    </row>
    <row r="1554" spans="1:20" s="7" customFormat="1" hidden="1" outlineLevel="2" x14ac:dyDescent="0.2">
      <c r="A1554" s="7" t="s">
        <v>92</v>
      </c>
      <c r="C1554" s="7" t="str">
        <f t="shared" ref="C1554" si="234">+I1554</f>
        <v>Pilar</v>
      </c>
      <c r="D1554" s="7" t="str">
        <f>+J1554</f>
        <v>Ackerman</v>
      </c>
      <c r="E1554" s="8" t="str">
        <f>E1553</f>
        <v>SUPP</v>
      </c>
      <c r="G1554" s="8" t="str">
        <f>H1554</f>
        <v>ACKE0001</v>
      </c>
      <c r="H1554" s="24" t="str">
        <f>"ACKE0001"</f>
        <v>ACKE0001</v>
      </c>
      <c r="I1554" s="25" t="str">
        <f>"Pilar"</f>
        <v>Pilar</v>
      </c>
      <c r="J1554" s="25" t="str">
        <f>"Ackerman"</f>
        <v>Ackerman</v>
      </c>
      <c r="K1554" s="26"/>
      <c r="L1554" s="26"/>
      <c r="M1554" s="26"/>
      <c r="N1554" s="26"/>
      <c r="O1554" s="26"/>
      <c r="P1554" s="26"/>
      <c r="Q1554" s="26"/>
      <c r="R1554" s="26"/>
      <c r="S1554" s="26"/>
      <c r="T1554" s="27"/>
    </row>
    <row r="1555" spans="1:20" s="7" customFormat="1" hidden="1" outlineLevel="3" x14ac:dyDescent="0.2">
      <c r="A1555" s="7" t="s">
        <v>92</v>
      </c>
      <c r="C1555" s="7" t="str">
        <f t="shared" ref="C1555:C1626" si="235">+C1554</f>
        <v>Pilar</v>
      </c>
      <c r="D1555" s="7" t="str">
        <f>+D1554</f>
        <v>Ackerman</v>
      </c>
      <c r="E1555" s="8" t="str">
        <f>E1554</f>
        <v>SUPP</v>
      </c>
      <c r="G1555" s="8" t="str">
        <f>G1554</f>
        <v>ACKE0001</v>
      </c>
      <c r="H1555" s="26"/>
      <c r="I1555" s="26"/>
      <c r="J1555" s="26"/>
      <c r="K1555" s="28">
        <f>+N1555</f>
        <v>42005</v>
      </c>
      <c r="L1555" s="26" t="str">
        <f>M1555</f>
        <v>DD000000000000000037</v>
      </c>
      <c r="M1555" s="26" t="str">
        <f>"DD000000000000000037"</f>
        <v>DD000000000000000037</v>
      </c>
      <c r="N1555" s="28">
        <v>42005</v>
      </c>
      <c r="O1555" s="26"/>
      <c r="P1555" s="26"/>
      <c r="Q1555" s="26"/>
      <c r="R1555" s="26"/>
      <c r="S1555" s="26"/>
      <c r="T1555" s="27"/>
    </row>
    <row r="1556" spans="1:20" s="7" customFormat="1" hidden="1" outlineLevel="3" x14ac:dyDescent="0.2">
      <c r="A1556" s="7" t="s">
        <v>92</v>
      </c>
      <c r="C1556" s="7" t="str">
        <f t="shared" si="235"/>
        <v>Pilar</v>
      </c>
      <c r="D1556" s="7" t="str">
        <f>+D1555</f>
        <v>Ackerman</v>
      </c>
      <c r="E1556" s="8" t="str">
        <f>E1555</f>
        <v>SUPP</v>
      </c>
      <c r="G1556" s="8" t="str">
        <f>G1555</f>
        <v>ACKE0001</v>
      </c>
      <c r="H1556" s="26"/>
      <c r="I1556" s="26"/>
      <c r="J1556" s="26"/>
      <c r="K1556" s="28">
        <f>+K1555</f>
        <v>42005</v>
      </c>
      <c r="L1556" s="26" t="str">
        <f>L1555</f>
        <v>DD000000000000000037</v>
      </c>
      <c r="M1556" s="26"/>
      <c r="N1556" s="26"/>
      <c r="O1556" s="26" t="str">
        <f>"""GP Direct"",""Fabrikam, Inc."",""UPR30300"",""PAYRATE"",""0.00000"",""PAYROLCD"",""401K"",""STATECD"","""",""CHEKDATE"",""1/1/2015"",""UPRTRXAM"",""1.41000"""</f>
        <v>"GP Direct","Fabrikam, Inc.","UPR30300","PAYRATE","0.00000","PAYROLCD","401K","STATECD","","CHEKDATE","1/1/2015","UPRTRXAM","1.41000"</v>
      </c>
      <c r="P1556" s="29">
        <v>0</v>
      </c>
      <c r="Q1556" s="26" t="str">
        <f>"401K"</f>
        <v>401K</v>
      </c>
      <c r="R1556" s="26"/>
      <c r="S1556" s="28">
        <v>42005</v>
      </c>
      <c r="T1556" s="29">
        <v>1.41</v>
      </c>
    </row>
    <row r="1557" spans="1:20" s="7" customFormat="1" hidden="1" outlineLevel="3" x14ac:dyDescent="0.2">
      <c r="A1557" s="7" t="s">
        <v>92</v>
      </c>
      <c r="C1557" s="7" t="str">
        <f t="shared" ref="C1557:C1562" si="236">+C1556</f>
        <v>Pilar</v>
      </c>
      <c r="D1557" s="7" t="str">
        <f>+D1556</f>
        <v>Ackerman</v>
      </c>
      <c r="E1557" s="8" t="str">
        <f>E1556</f>
        <v>SUPP</v>
      </c>
      <c r="G1557" s="8" t="str">
        <f>G1556</f>
        <v>ACKE0001</v>
      </c>
      <c r="H1557" s="26"/>
      <c r="I1557" s="26"/>
      <c r="J1557" s="26"/>
      <c r="K1557" s="28">
        <f>+K1556</f>
        <v>42005</v>
      </c>
      <c r="L1557" s="26" t="str">
        <f>L1556</f>
        <v>DD000000000000000037</v>
      </c>
      <c r="M1557" s="26"/>
      <c r="N1557" s="26"/>
      <c r="O1557" s="26" t="str">
        <f>"""GP Direct"",""Fabrikam, Inc."",""UPR30300"",""PAYRATE"",""0.00000"",""PAYROLCD"",""401K"",""STATECD"","""",""CHEKDATE"",""1/1/2015"",""UPRTRXAM"",""28.13000"""</f>
        <v>"GP Direct","Fabrikam, Inc.","UPR30300","PAYRATE","0.00000","PAYROLCD","401K","STATECD","","CHEKDATE","1/1/2015","UPRTRXAM","28.13000"</v>
      </c>
      <c r="P1557" s="29">
        <v>0</v>
      </c>
      <c r="Q1557" s="26" t="str">
        <f>"401K"</f>
        <v>401K</v>
      </c>
      <c r="R1557" s="26"/>
      <c r="S1557" s="28">
        <v>42005</v>
      </c>
      <c r="T1557" s="29">
        <v>28.13</v>
      </c>
    </row>
    <row r="1558" spans="1:20" s="7" customFormat="1" hidden="1" outlineLevel="3" x14ac:dyDescent="0.2">
      <c r="A1558" s="7" t="s">
        <v>92</v>
      </c>
      <c r="C1558" s="7" t="str">
        <f t="shared" si="236"/>
        <v>Pilar</v>
      </c>
      <c r="D1558" s="7" t="str">
        <f>+D1557</f>
        <v>Ackerman</v>
      </c>
      <c r="E1558" s="8" t="str">
        <f>E1557</f>
        <v>SUPP</v>
      </c>
      <c r="G1558" s="8" t="str">
        <f>G1557</f>
        <v>ACKE0001</v>
      </c>
      <c r="H1558" s="26"/>
      <c r="I1558" s="26"/>
      <c r="J1558" s="26"/>
      <c r="K1558" s="28">
        <f>+K1557</f>
        <v>42005</v>
      </c>
      <c r="L1558" s="26" t="str">
        <f>L1557</f>
        <v>DD000000000000000037</v>
      </c>
      <c r="M1558" s="26"/>
      <c r="N1558" s="26"/>
      <c r="O1558" s="26" t="str">
        <f>"""GP Direct"",""Fabrikam, Inc."",""UPR30300"",""PAYRATE"",""0.00000"",""PAYROLCD"",""IL"",""STATECD"","""",""CHEKDATE"",""1/1/2015"",""UPRTRXAM"",""14.49000"""</f>
        <v>"GP Direct","Fabrikam, Inc.","UPR30300","PAYRATE","0.00000","PAYROLCD","IL","STATECD","","CHEKDATE","1/1/2015","UPRTRXAM","14.49000"</v>
      </c>
      <c r="P1558" s="29">
        <v>0</v>
      </c>
      <c r="Q1558" s="26" t="str">
        <f>"IL"</f>
        <v>IL</v>
      </c>
      <c r="R1558" s="26"/>
      <c r="S1558" s="28">
        <v>42005</v>
      </c>
      <c r="T1558" s="29">
        <v>14.49</v>
      </c>
    </row>
    <row r="1559" spans="1:20" s="7" customFormat="1" hidden="1" outlineLevel="3" x14ac:dyDescent="0.2">
      <c r="A1559" s="7" t="s">
        <v>92</v>
      </c>
      <c r="C1559" s="7" t="str">
        <f t="shared" si="236"/>
        <v>Pilar</v>
      </c>
      <c r="D1559" s="7" t="str">
        <f>+D1558</f>
        <v>Ackerman</v>
      </c>
      <c r="E1559" s="8" t="str">
        <f>E1558</f>
        <v>SUPP</v>
      </c>
      <c r="G1559" s="8" t="str">
        <f>G1558</f>
        <v>ACKE0001</v>
      </c>
      <c r="H1559" s="26"/>
      <c r="I1559" s="26"/>
      <c r="J1559" s="26"/>
      <c r="K1559" s="28">
        <f>+K1558</f>
        <v>42005</v>
      </c>
      <c r="L1559" s="26" t="str">
        <f>L1558</f>
        <v>DD000000000000000037</v>
      </c>
      <c r="M1559" s="26"/>
      <c r="N1559" s="26"/>
      <c r="O1559" s="26" t="str">
        <f>"""GP Direct"",""Fabrikam, Inc."",""UPR30300"",""PAYRATE"",""0.00000"",""PAYROLCD"",""INS"",""STATECD"","""",""CHEKDATE"",""1/1/2015"",""UPRTRXAM"",""49.36000"""</f>
        <v>"GP Direct","Fabrikam, Inc.","UPR30300","PAYRATE","0.00000","PAYROLCD","INS","STATECD","","CHEKDATE","1/1/2015","UPRTRXAM","49.36000"</v>
      </c>
      <c r="P1559" s="29">
        <v>0</v>
      </c>
      <c r="Q1559" s="26" t="str">
        <f>"INS"</f>
        <v>INS</v>
      </c>
      <c r="R1559" s="26"/>
      <c r="S1559" s="28">
        <v>42005</v>
      </c>
      <c r="T1559" s="29">
        <v>49.36</v>
      </c>
    </row>
    <row r="1560" spans="1:20" s="7" customFormat="1" hidden="1" outlineLevel="3" x14ac:dyDescent="0.2">
      <c r="A1560" s="7" t="s">
        <v>92</v>
      </c>
      <c r="C1560" s="7" t="str">
        <f t="shared" si="236"/>
        <v>Pilar</v>
      </c>
      <c r="D1560" s="7" t="str">
        <f>+D1559</f>
        <v>Ackerman</v>
      </c>
      <c r="E1560" s="8" t="str">
        <f>E1559</f>
        <v>SUPP</v>
      </c>
      <c r="G1560" s="8" t="str">
        <f>G1559</f>
        <v>ACKE0001</v>
      </c>
      <c r="H1560" s="26"/>
      <c r="I1560" s="26"/>
      <c r="J1560" s="26"/>
      <c r="K1560" s="28">
        <f>+K1559</f>
        <v>42005</v>
      </c>
      <c r="L1560" s="26" t="str">
        <f>L1559</f>
        <v>DD000000000000000037</v>
      </c>
      <c r="M1560" s="26"/>
      <c r="N1560" s="26"/>
      <c r="O1560" s="26" t="str">
        <f>"""GP Direct"",""Fabrikam, Inc."",""UPR30300"",""PAYRATE"",""0.00000"",""PAYROLCD"",""INS2"",""STATECD"","""",""CHEKDATE"",""1/1/2015"",""UPRTRXAM"",""72.95000"""</f>
        <v>"GP Direct","Fabrikam, Inc.","UPR30300","PAYRATE","0.00000","PAYROLCD","INS2","STATECD","","CHEKDATE","1/1/2015","UPRTRXAM","72.95000"</v>
      </c>
      <c r="P1560" s="29">
        <v>0</v>
      </c>
      <c r="Q1560" s="26" t="str">
        <f>"INS2"</f>
        <v>INS2</v>
      </c>
      <c r="R1560" s="26"/>
      <c r="S1560" s="28">
        <v>42005</v>
      </c>
      <c r="T1560" s="29">
        <v>72.95</v>
      </c>
    </row>
    <row r="1561" spans="1:20" s="7" customFormat="1" hidden="1" outlineLevel="3" x14ac:dyDescent="0.2">
      <c r="A1561" s="7" t="s">
        <v>92</v>
      </c>
      <c r="C1561" s="7" t="str">
        <f t="shared" si="236"/>
        <v>Pilar</v>
      </c>
      <c r="D1561" s="7" t="str">
        <f>+D1560</f>
        <v>Ackerman</v>
      </c>
      <c r="E1561" s="8" t="str">
        <f>E1560</f>
        <v>SUPP</v>
      </c>
      <c r="G1561" s="8" t="str">
        <f>G1560</f>
        <v>ACKE0001</v>
      </c>
      <c r="H1561" s="26"/>
      <c r="I1561" s="26"/>
      <c r="J1561" s="26"/>
      <c r="K1561" s="28">
        <f>+K1560</f>
        <v>42005</v>
      </c>
      <c r="L1561" s="26" t="str">
        <f>L1560</f>
        <v>DD000000000000000037</v>
      </c>
      <c r="M1561" s="26"/>
      <c r="N1561" s="26"/>
      <c r="O1561" s="26" t="str">
        <f>"""GP Direct"",""Fabrikam, Inc."",""UPR30300"",""PAYRATE"",""0.00000"",""PAYROLCD"",""MED"",""STATECD"","""",""CHEKDATE"",""1/1/2015"",""UPRTRXAM"",""20.00000"""</f>
        <v>"GP Direct","Fabrikam, Inc.","UPR30300","PAYRATE","0.00000","PAYROLCD","MED","STATECD","","CHEKDATE","1/1/2015","UPRTRXAM","20.00000"</v>
      </c>
      <c r="P1561" s="29">
        <v>0</v>
      </c>
      <c r="Q1561" s="26" t="str">
        <f>"MED"</f>
        <v>MED</v>
      </c>
      <c r="R1561" s="26"/>
      <c r="S1561" s="28">
        <v>42005</v>
      </c>
      <c r="T1561" s="29">
        <v>20</v>
      </c>
    </row>
    <row r="1562" spans="1:20" s="7" customFormat="1" hidden="1" outlineLevel="3" x14ac:dyDescent="0.2">
      <c r="A1562" s="7" t="s">
        <v>92</v>
      </c>
      <c r="C1562" s="7" t="str">
        <f t="shared" si="236"/>
        <v>Pilar</v>
      </c>
      <c r="D1562" s="7" t="str">
        <f>+D1561</f>
        <v>Ackerman</v>
      </c>
      <c r="E1562" s="8" t="str">
        <f>E1561</f>
        <v>SUPP</v>
      </c>
      <c r="G1562" s="8" t="str">
        <f>G1561</f>
        <v>ACKE0001</v>
      </c>
      <c r="H1562" s="26"/>
      <c r="I1562" s="26"/>
      <c r="J1562" s="26"/>
      <c r="K1562" s="28">
        <f>+K1561</f>
        <v>42005</v>
      </c>
      <c r="L1562" s="26" t="str">
        <f>L1561</f>
        <v>DD000000000000000037</v>
      </c>
      <c r="M1562" s="26"/>
      <c r="N1562" s="26"/>
      <c r="O1562" s="26" t="str">
        <f>"""GP Direct"",""Fabrikam, Inc."",""UPR30300"",""PAYRATE"",""22500.00000"",""PAYROLCD"",""SALY"",""STATECD"",""IL"",""CHEKDATE"",""1/1/2015"",""UPRTRXAM"",""937.50000"""</f>
        <v>"GP Direct","Fabrikam, Inc.","UPR30300","PAYRATE","22500.00000","PAYROLCD","SALY","STATECD","IL","CHEKDATE","1/1/2015","UPRTRXAM","937.50000"</v>
      </c>
      <c r="P1562" s="29">
        <v>22500</v>
      </c>
      <c r="Q1562" s="26" t="str">
        <f>"SALY"</f>
        <v>SALY</v>
      </c>
      <c r="R1562" s="26" t="str">
        <f>"IL"</f>
        <v>IL</v>
      </c>
      <c r="S1562" s="28">
        <v>42005</v>
      </c>
      <c r="T1562" s="29">
        <v>937.5</v>
      </c>
    </row>
    <row r="1563" spans="1:20" s="7" customFormat="1" hidden="1" outlineLevel="3" x14ac:dyDescent="0.2">
      <c r="A1563" s="7" t="s">
        <v>92</v>
      </c>
      <c r="C1563" s="7" t="str">
        <f>+C1556</f>
        <v>Pilar</v>
      </c>
      <c r="D1563" s="7" t="str">
        <f>+D1556</f>
        <v>Ackerman</v>
      </c>
      <c r="E1563" s="8" t="str">
        <f>E1556</f>
        <v>SUPP</v>
      </c>
      <c r="G1563" s="8" t="str">
        <f>G1556</f>
        <v>ACKE0001</v>
      </c>
      <c r="K1563" s="12">
        <f>+K1556</f>
        <v>42005</v>
      </c>
      <c r="L1563" s="8" t="str">
        <f>L1556</f>
        <v>DD000000000000000037</v>
      </c>
      <c r="O1563" s="8"/>
      <c r="T1563" s="20"/>
    </row>
    <row r="1564" spans="1:20" s="7" customFormat="1" hidden="1" outlineLevel="2" collapsed="1" x14ac:dyDescent="0.2">
      <c r="A1564" s="7" t="s">
        <v>92</v>
      </c>
      <c r="C1564" s="7" t="str">
        <f t="shared" si="235"/>
        <v>Pilar</v>
      </c>
      <c r="D1564" s="7" t="str">
        <f>+D1563</f>
        <v>Ackerman</v>
      </c>
      <c r="E1564" s="8" t="str">
        <f>E1563</f>
        <v>SUPP</v>
      </c>
      <c r="G1564" s="8" t="str">
        <f>G1563</f>
        <v>ACKE0001</v>
      </c>
      <c r="K1564" s="12">
        <f>+K1563</f>
        <v>42005</v>
      </c>
      <c r="L1564" s="8" t="str">
        <f>L1563</f>
        <v>DD000000000000000037</v>
      </c>
      <c r="M1564" s="33" t="str">
        <f>"Total for " &amp; $L1564</f>
        <v>Total for DD000000000000000037</v>
      </c>
      <c r="N1564" s="34">
        <f>+K1564</f>
        <v>42005</v>
      </c>
      <c r="O1564" s="35"/>
      <c r="P1564" s="33"/>
      <c r="Q1564" s="33"/>
      <c r="R1564" s="33"/>
      <c r="S1564" s="33"/>
      <c r="T1564" s="36">
        <f>SUBTOTAL(9,T1556:T1563)</f>
        <v>1123.8399999999999</v>
      </c>
    </row>
    <row r="1565" spans="1:20" s="7" customFormat="1" hidden="1" outlineLevel="3" x14ac:dyDescent="0.2">
      <c r="A1565" s="7" t="s">
        <v>92</v>
      </c>
      <c r="C1565" s="7" t="str">
        <f t="shared" ref="C1565:C1624" si="237">+C1564</f>
        <v>Pilar</v>
      </c>
      <c r="D1565" s="7" t="str">
        <f>+D1564</f>
        <v>Ackerman</v>
      </c>
      <c r="E1565" s="8" t="str">
        <f>E1564</f>
        <v>SUPP</v>
      </c>
      <c r="G1565" s="8" t="str">
        <f>G1564</f>
        <v>ACKE0001</v>
      </c>
      <c r="H1565" s="26"/>
      <c r="I1565" s="26"/>
      <c r="J1565" s="26"/>
      <c r="K1565" s="28">
        <f>+N1565</f>
        <v>42036</v>
      </c>
      <c r="L1565" s="26" t="str">
        <f>M1565</f>
        <v>DD000000000000000040</v>
      </c>
      <c r="M1565" s="26" t="str">
        <f>"DD000000000000000040"</f>
        <v>DD000000000000000040</v>
      </c>
      <c r="N1565" s="28">
        <v>42036</v>
      </c>
      <c r="O1565" s="26"/>
      <c r="P1565" s="26"/>
      <c r="Q1565" s="26"/>
      <c r="R1565" s="26"/>
      <c r="S1565" s="26"/>
      <c r="T1565" s="27"/>
    </row>
    <row r="1566" spans="1:20" s="7" customFormat="1" hidden="1" outlineLevel="3" x14ac:dyDescent="0.2">
      <c r="A1566" s="7" t="s">
        <v>92</v>
      </c>
      <c r="C1566" s="7" t="str">
        <f t="shared" si="237"/>
        <v>Pilar</v>
      </c>
      <c r="D1566" s="7" t="str">
        <f>+D1565</f>
        <v>Ackerman</v>
      </c>
      <c r="E1566" s="8" t="str">
        <f>E1565</f>
        <v>SUPP</v>
      </c>
      <c r="G1566" s="8" t="str">
        <f>G1565</f>
        <v>ACKE0001</v>
      </c>
      <c r="H1566" s="26"/>
      <c r="I1566" s="26"/>
      <c r="J1566" s="26"/>
      <c r="K1566" s="28">
        <f>+K1565</f>
        <v>42036</v>
      </c>
      <c r="L1566" s="26" t="str">
        <f>L1565</f>
        <v>DD000000000000000040</v>
      </c>
      <c r="M1566" s="26"/>
      <c r="N1566" s="26"/>
      <c r="O1566" s="26" t="str">
        <f>"""GP Direct"",""Fabrikam, Inc."",""UPR30300"",""PAYRATE"",""0.00000"",""PAYROLCD"",""401K"",""STATECD"","""",""CHEKDATE"",""2/1/2015"",""UPRTRXAM"",""1.41000"""</f>
        <v>"GP Direct","Fabrikam, Inc.","UPR30300","PAYRATE","0.00000","PAYROLCD","401K","STATECD","","CHEKDATE","2/1/2015","UPRTRXAM","1.41000"</v>
      </c>
      <c r="P1566" s="29">
        <v>0</v>
      </c>
      <c r="Q1566" s="26" t="str">
        <f>"401K"</f>
        <v>401K</v>
      </c>
      <c r="R1566" s="26"/>
      <c r="S1566" s="28">
        <v>42036</v>
      </c>
      <c r="T1566" s="29">
        <v>1.41</v>
      </c>
    </row>
    <row r="1567" spans="1:20" s="7" customFormat="1" hidden="1" outlineLevel="3" x14ac:dyDescent="0.2">
      <c r="A1567" s="7" t="s">
        <v>92</v>
      </c>
      <c r="C1567" s="7" t="str">
        <f t="shared" ref="C1567:C1572" si="238">+C1566</f>
        <v>Pilar</v>
      </c>
      <c r="D1567" s="7" t="str">
        <f>+D1566</f>
        <v>Ackerman</v>
      </c>
      <c r="E1567" s="8" t="str">
        <f>E1566</f>
        <v>SUPP</v>
      </c>
      <c r="G1567" s="8" t="str">
        <f>G1566</f>
        <v>ACKE0001</v>
      </c>
      <c r="H1567" s="26"/>
      <c r="I1567" s="26"/>
      <c r="J1567" s="26"/>
      <c r="K1567" s="28">
        <f>+K1566</f>
        <v>42036</v>
      </c>
      <c r="L1567" s="26" t="str">
        <f>L1566</f>
        <v>DD000000000000000040</v>
      </c>
      <c r="M1567" s="26"/>
      <c r="N1567" s="26"/>
      <c r="O1567" s="26" t="str">
        <f>"""GP Direct"",""Fabrikam, Inc."",""UPR30300"",""PAYRATE"",""0.00000"",""PAYROLCD"",""401K"",""STATECD"","""",""CHEKDATE"",""2/1/2015"",""UPRTRXAM"",""28.13000"""</f>
        <v>"GP Direct","Fabrikam, Inc.","UPR30300","PAYRATE","0.00000","PAYROLCD","401K","STATECD","","CHEKDATE","2/1/2015","UPRTRXAM","28.13000"</v>
      </c>
      <c r="P1567" s="29">
        <v>0</v>
      </c>
      <c r="Q1567" s="26" t="str">
        <f>"401K"</f>
        <v>401K</v>
      </c>
      <c r="R1567" s="26"/>
      <c r="S1567" s="28">
        <v>42036</v>
      </c>
      <c r="T1567" s="29">
        <v>28.13</v>
      </c>
    </row>
    <row r="1568" spans="1:20" s="7" customFormat="1" hidden="1" outlineLevel="3" x14ac:dyDescent="0.2">
      <c r="A1568" s="7" t="s">
        <v>92</v>
      </c>
      <c r="C1568" s="7" t="str">
        <f t="shared" si="238"/>
        <v>Pilar</v>
      </c>
      <c r="D1568" s="7" t="str">
        <f>+D1567</f>
        <v>Ackerman</v>
      </c>
      <c r="E1568" s="8" t="str">
        <f>E1567</f>
        <v>SUPP</v>
      </c>
      <c r="G1568" s="8" t="str">
        <f>G1567</f>
        <v>ACKE0001</v>
      </c>
      <c r="H1568" s="26"/>
      <c r="I1568" s="26"/>
      <c r="J1568" s="26"/>
      <c r="K1568" s="28">
        <f>+K1567</f>
        <v>42036</v>
      </c>
      <c r="L1568" s="26" t="str">
        <f>L1567</f>
        <v>DD000000000000000040</v>
      </c>
      <c r="M1568" s="26"/>
      <c r="N1568" s="26"/>
      <c r="O1568" s="26" t="str">
        <f>"""GP Direct"",""Fabrikam, Inc."",""UPR30300"",""PAYRATE"",""0.00000"",""PAYROLCD"",""IL"",""STATECD"","""",""CHEKDATE"",""2/1/2015"",""UPRTRXAM"",""14.49000"""</f>
        <v>"GP Direct","Fabrikam, Inc.","UPR30300","PAYRATE","0.00000","PAYROLCD","IL","STATECD","","CHEKDATE","2/1/2015","UPRTRXAM","14.49000"</v>
      </c>
      <c r="P1568" s="29">
        <v>0</v>
      </c>
      <c r="Q1568" s="26" t="str">
        <f>"IL"</f>
        <v>IL</v>
      </c>
      <c r="R1568" s="26"/>
      <c r="S1568" s="28">
        <v>42036</v>
      </c>
      <c r="T1568" s="29">
        <v>14.49</v>
      </c>
    </row>
    <row r="1569" spans="1:20" s="7" customFormat="1" hidden="1" outlineLevel="3" x14ac:dyDescent="0.2">
      <c r="A1569" s="7" t="s">
        <v>92</v>
      </c>
      <c r="C1569" s="7" t="str">
        <f t="shared" si="238"/>
        <v>Pilar</v>
      </c>
      <c r="D1569" s="7" t="str">
        <f>+D1568</f>
        <v>Ackerman</v>
      </c>
      <c r="E1569" s="8" t="str">
        <f>E1568</f>
        <v>SUPP</v>
      </c>
      <c r="G1569" s="8" t="str">
        <f>G1568</f>
        <v>ACKE0001</v>
      </c>
      <c r="H1569" s="26"/>
      <c r="I1569" s="26"/>
      <c r="J1569" s="26"/>
      <c r="K1569" s="28">
        <f>+K1568</f>
        <v>42036</v>
      </c>
      <c r="L1569" s="26" t="str">
        <f>L1568</f>
        <v>DD000000000000000040</v>
      </c>
      <c r="M1569" s="26"/>
      <c r="N1569" s="26"/>
      <c r="O1569" s="26" t="str">
        <f>"""GP Direct"",""Fabrikam, Inc."",""UPR30300"",""PAYRATE"",""0.00000"",""PAYROLCD"",""INS"",""STATECD"","""",""CHEKDATE"",""2/1/2015"",""UPRTRXAM"",""49.36000"""</f>
        <v>"GP Direct","Fabrikam, Inc.","UPR30300","PAYRATE","0.00000","PAYROLCD","INS","STATECD","","CHEKDATE","2/1/2015","UPRTRXAM","49.36000"</v>
      </c>
      <c r="P1569" s="29">
        <v>0</v>
      </c>
      <c r="Q1569" s="26" t="str">
        <f>"INS"</f>
        <v>INS</v>
      </c>
      <c r="R1569" s="26"/>
      <c r="S1569" s="28">
        <v>42036</v>
      </c>
      <c r="T1569" s="29">
        <v>49.36</v>
      </c>
    </row>
    <row r="1570" spans="1:20" s="7" customFormat="1" hidden="1" outlineLevel="3" x14ac:dyDescent="0.2">
      <c r="A1570" s="7" t="s">
        <v>92</v>
      </c>
      <c r="C1570" s="7" t="str">
        <f t="shared" si="238"/>
        <v>Pilar</v>
      </c>
      <c r="D1570" s="7" t="str">
        <f>+D1569</f>
        <v>Ackerman</v>
      </c>
      <c r="E1570" s="8" t="str">
        <f>E1569</f>
        <v>SUPP</v>
      </c>
      <c r="G1570" s="8" t="str">
        <f>G1569</f>
        <v>ACKE0001</v>
      </c>
      <c r="H1570" s="26"/>
      <c r="I1570" s="26"/>
      <c r="J1570" s="26"/>
      <c r="K1570" s="28">
        <f>+K1569</f>
        <v>42036</v>
      </c>
      <c r="L1570" s="26" t="str">
        <f>L1569</f>
        <v>DD000000000000000040</v>
      </c>
      <c r="M1570" s="26"/>
      <c r="N1570" s="26"/>
      <c r="O1570" s="26" t="str">
        <f>"""GP Direct"",""Fabrikam, Inc."",""UPR30300"",""PAYRATE"",""0.00000"",""PAYROLCD"",""INS2"",""STATECD"","""",""CHEKDATE"",""2/1/2015"",""UPRTRXAM"",""72.95000"""</f>
        <v>"GP Direct","Fabrikam, Inc.","UPR30300","PAYRATE","0.00000","PAYROLCD","INS2","STATECD","","CHEKDATE","2/1/2015","UPRTRXAM","72.95000"</v>
      </c>
      <c r="P1570" s="29">
        <v>0</v>
      </c>
      <c r="Q1570" s="26" t="str">
        <f>"INS2"</f>
        <v>INS2</v>
      </c>
      <c r="R1570" s="26"/>
      <c r="S1570" s="28">
        <v>42036</v>
      </c>
      <c r="T1570" s="29">
        <v>72.95</v>
      </c>
    </row>
    <row r="1571" spans="1:20" s="7" customFormat="1" hidden="1" outlineLevel="3" x14ac:dyDescent="0.2">
      <c r="A1571" s="7" t="s">
        <v>92</v>
      </c>
      <c r="C1571" s="7" t="str">
        <f t="shared" si="238"/>
        <v>Pilar</v>
      </c>
      <c r="D1571" s="7" t="str">
        <f>+D1570</f>
        <v>Ackerman</v>
      </c>
      <c r="E1571" s="8" t="str">
        <f>E1570</f>
        <v>SUPP</v>
      </c>
      <c r="G1571" s="8" t="str">
        <f>G1570</f>
        <v>ACKE0001</v>
      </c>
      <c r="H1571" s="26"/>
      <c r="I1571" s="26"/>
      <c r="J1571" s="26"/>
      <c r="K1571" s="28">
        <f>+K1570</f>
        <v>42036</v>
      </c>
      <c r="L1571" s="26" t="str">
        <f>L1570</f>
        <v>DD000000000000000040</v>
      </c>
      <c r="M1571" s="26"/>
      <c r="N1571" s="26"/>
      <c r="O1571" s="26" t="str">
        <f>"""GP Direct"",""Fabrikam, Inc."",""UPR30300"",""PAYRATE"",""0.00000"",""PAYROLCD"",""MED"",""STATECD"","""",""CHEKDATE"",""2/1/2015"",""UPRTRXAM"",""20.00000"""</f>
        <v>"GP Direct","Fabrikam, Inc.","UPR30300","PAYRATE","0.00000","PAYROLCD","MED","STATECD","","CHEKDATE","2/1/2015","UPRTRXAM","20.00000"</v>
      </c>
      <c r="P1571" s="29">
        <v>0</v>
      </c>
      <c r="Q1571" s="26" t="str">
        <f>"MED"</f>
        <v>MED</v>
      </c>
      <c r="R1571" s="26"/>
      <c r="S1571" s="28">
        <v>42036</v>
      </c>
      <c r="T1571" s="29">
        <v>20</v>
      </c>
    </row>
    <row r="1572" spans="1:20" s="7" customFormat="1" hidden="1" outlineLevel="3" x14ac:dyDescent="0.2">
      <c r="A1572" s="7" t="s">
        <v>92</v>
      </c>
      <c r="C1572" s="7" t="str">
        <f t="shared" si="238"/>
        <v>Pilar</v>
      </c>
      <c r="D1572" s="7" t="str">
        <f>+D1571</f>
        <v>Ackerman</v>
      </c>
      <c r="E1572" s="8" t="str">
        <f>E1571</f>
        <v>SUPP</v>
      </c>
      <c r="G1572" s="8" t="str">
        <f>G1571</f>
        <v>ACKE0001</v>
      </c>
      <c r="H1572" s="26"/>
      <c r="I1572" s="26"/>
      <c r="J1572" s="26"/>
      <c r="K1572" s="28">
        <f>+K1571</f>
        <v>42036</v>
      </c>
      <c r="L1572" s="26" t="str">
        <f>L1571</f>
        <v>DD000000000000000040</v>
      </c>
      <c r="M1572" s="26"/>
      <c r="N1572" s="26"/>
      <c r="O1572" s="26" t="str">
        <f>"""GP Direct"",""Fabrikam, Inc."",""UPR30300"",""PAYRATE"",""22500.00000"",""PAYROLCD"",""SALY"",""STATECD"",""IL"",""CHEKDATE"",""2/1/2015"",""UPRTRXAM"",""937.50000"""</f>
        <v>"GP Direct","Fabrikam, Inc.","UPR30300","PAYRATE","22500.00000","PAYROLCD","SALY","STATECD","IL","CHEKDATE","2/1/2015","UPRTRXAM","937.50000"</v>
      </c>
      <c r="P1572" s="29">
        <v>22500</v>
      </c>
      <c r="Q1572" s="26" t="str">
        <f>"SALY"</f>
        <v>SALY</v>
      </c>
      <c r="R1572" s="26" t="str">
        <f>"IL"</f>
        <v>IL</v>
      </c>
      <c r="S1572" s="28">
        <v>42036</v>
      </c>
      <c r="T1572" s="29">
        <v>937.5</v>
      </c>
    </row>
    <row r="1573" spans="1:20" s="7" customFormat="1" hidden="1" outlineLevel="3" x14ac:dyDescent="0.2">
      <c r="A1573" s="7" t="s">
        <v>92</v>
      </c>
      <c r="C1573" s="7" t="str">
        <f>+C1566</f>
        <v>Pilar</v>
      </c>
      <c r="D1573" s="7" t="str">
        <f>+D1566</f>
        <v>Ackerman</v>
      </c>
      <c r="E1573" s="8" t="str">
        <f>E1566</f>
        <v>SUPP</v>
      </c>
      <c r="G1573" s="8" t="str">
        <f>G1566</f>
        <v>ACKE0001</v>
      </c>
      <c r="K1573" s="12">
        <f>+K1566</f>
        <v>42036</v>
      </c>
      <c r="L1573" s="8" t="str">
        <f>L1566</f>
        <v>DD000000000000000040</v>
      </c>
      <c r="O1573" s="8"/>
      <c r="T1573" s="20"/>
    </row>
    <row r="1574" spans="1:20" s="7" customFormat="1" hidden="1" outlineLevel="2" collapsed="1" x14ac:dyDescent="0.2">
      <c r="A1574" s="7" t="s">
        <v>92</v>
      </c>
      <c r="C1574" s="7" t="str">
        <f t="shared" si="237"/>
        <v>Pilar</v>
      </c>
      <c r="D1574" s="7" t="str">
        <f>+D1573</f>
        <v>Ackerman</v>
      </c>
      <c r="E1574" s="8" t="str">
        <f>E1573</f>
        <v>SUPP</v>
      </c>
      <c r="G1574" s="8" t="str">
        <f>G1573</f>
        <v>ACKE0001</v>
      </c>
      <c r="K1574" s="12">
        <f>+K1573</f>
        <v>42036</v>
      </c>
      <c r="L1574" s="8" t="str">
        <f>L1573</f>
        <v>DD000000000000000040</v>
      </c>
      <c r="M1574" s="33" t="str">
        <f>"Total for " &amp; $L1574</f>
        <v>Total for DD000000000000000040</v>
      </c>
      <c r="N1574" s="34">
        <f>+K1574</f>
        <v>42036</v>
      </c>
      <c r="O1574" s="35"/>
      <c r="P1574" s="33"/>
      <c r="Q1574" s="33"/>
      <c r="R1574" s="33"/>
      <c r="S1574" s="33"/>
      <c r="T1574" s="36">
        <f>SUBTOTAL(9,T1566:T1573)</f>
        <v>1123.8399999999999</v>
      </c>
    </row>
    <row r="1575" spans="1:20" s="7" customFormat="1" hidden="1" outlineLevel="3" x14ac:dyDescent="0.2">
      <c r="A1575" s="7" t="s">
        <v>92</v>
      </c>
      <c r="C1575" s="7" t="str">
        <f t="shared" si="237"/>
        <v>Pilar</v>
      </c>
      <c r="D1575" s="7" t="str">
        <f>+D1574</f>
        <v>Ackerman</v>
      </c>
      <c r="E1575" s="8" t="str">
        <f>E1574</f>
        <v>SUPP</v>
      </c>
      <c r="G1575" s="8" t="str">
        <f>G1574</f>
        <v>ACKE0001</v>
      </c>
      <c r="H1575" s="26"/>
      <c r="I1575" s="26"/>
      <c r="J1575" s="26"/>
      <c r="K1575" s="28">
        <f>+N1575</f>
        <v>42064</v>
      </c>
      <c r="L1575" s="26" t="str">
        <f>M1575</f>
        <v>DD000000000000000043</v>
      </c>
      <c r="M1575" s="26" t="str">
        <f>"DD000000000000000043"</f>
        <v>DD000000000000000043</v>
      </c>
      <c r="N1575" s="28">
        <v>42064</v>
      </c>
      <c r="O1575" s="26"/>
      <c r="P1575" s="26"/>
      <c r="Q1575" s="26"/>
      <c r="R1575" s="26"/>
      <c r="S1575" s="26"/>
      <c r="T1575" s="27"/>
    </row>
    <row r="1576" spans="1:20" s="7" customFormat="1" hidden="1" outlineLevel="3" x14ac:dyDescent="0.2">
      <c r="A1576" s="7" t="s">
        <v>92</v>
      </c>
      <c r="C1576" s="7" t="str">
        <f t="shared" si="237"/>
        <v>Pilar</v>
      </c>
      <c r="D1576" s="7" t="str">
        <f>+D1575</f>
        <v>Ackerman</v>
      </c>
      <c r="E1576" s="8" t="str">
        <f>E1575</f>
        <v>SUPP</v>
      </c>
      <c r="G1576" s="8" t="str">
        <f>G1575</f>
        <v>ACKE0001</v>
      </c>
      <c r="H1576" s="26"/>
      <c r="I1576" s="26"/>
      <c r="J1576" s="26"/>
      <c r="K1576" s="28">
        <f>+K1575</f>
        <v>42064</v>
      </c>
      <c r="L1576" s="26" t="str">
        <f>L1575</f>
        <v>DD000000000000000043</v>
      </c>
      <c r="M1576" s="26"/>
      <c r="N1576" s="26"/>
      <c r="O1576" s="26" t="str">
        <f>"""GP Direct"",""Fabrikam, Inc."",""UPR30300"",""PAYRATE"",""0.00000"",""PAYROLCD"",""401K"",""STATECD"","""",""CHEKDATE"",""3/1/2015"",""UPRTRXAM"",""1.41000"""</f>
        <v>"GP Direct","Fabrikam, Inc.","UPR30300","PAYRATE","0.00000","PAYROLCD","401K","STATECD","","CHEKDATE","3/1/2015","UPRTRXAM","1.41000"</v>
      </c>
      <c r="P1576" s="29">
        <v>0</v>
      </c>
      <c r="Q1576" s="26" t="str">
        <f>"401K"</f>
        <v>401K</v>
      </c>
      <c r="R1576" s="26"/>
      <c r="S1576" s="28">
        <v>42064</v>
      </c>
      <c r="T1576" s="29">
        <v>1.41</v>
      </c>
    </row>
    <row r="1577" spans="1:20" s="7" customFormat="1" hidden="1" outlineLevel="3" x14ac:dyDescent="0.2">
      <c r="A1577" s="7" t="s">
        <v>92</v>
      </c>
      <c r="C1577" s="7" t="str">
        <f t="shared" ref="C1577:C1582" si="239">+C1576</f>
        <v>Pilar</v>
      </c>
      <c r="D1577" s="7" t="str">
        <f>+D1576</f>
        <v>Ackerman</v>
      </c>
      <c r="E1577" s="8" t="str">
        <f>E1576</f>
        <v>SUPP</v>
      </c>
      <c r="G1577" s="8" t="str">
        <f>G1576</f>
        <v>ACKE0001</v>
      </c>
      <c r="H1577" s="26"/>
      <c r="I1577" s="26"/>
      <c r="J1577" s="26"/>
      <c r="K1577" s="28">
        <f>+K1576</f>
        <v>42064</v>
      </c>
      <c r="L1577" s="26" t="str">
        <f>L1576</f>
        <v>DD000000000000000043</v>
      </c>
      <c r="M1577" s="26"/>
      <c r="N1577" s="26"/>
      <c r="O1577" s="26" t="str">
        <f>"""GP Direct"",""Fabrikam, Inc."",""UPR30300"",""PAYRATE"",""0.00000"",""PAYROLCD"",""401K"",""STATECD"","""",""CHEKDATE"",""3/1/2015"",""UPRTRXAM"",""28.13000"""</f>
        <v>"GP Direct","Fabrikam, Inc.","UPR30300","PAYRATE","0.00000","PAYROLCD","401K","STATECD","","CHEKDATE","3/1/2015","UPRTRXAM","28.13000"</v>
      </c>
      <c r="P1577" s="29">
        <v>0</v>
      </c>
      <c r="Q1577" s="26" t="str">
        <f>"401K"</f>
        <v>401K</v>
      </c>
      <c r="R1577" s="26"/>
      <c r="S1577" s="28">
        <v>42064</v>
      </c>
      <c r="T1577" s="29">
        <v>28.13</v>
      </c>
    </row>
    <row r="1578" spans="1:20" s="7" customFormat="1" hidden="1" outlineLevel="3" x14ac:dyDescent="0.2">
      <c r="A1578" s="7" t="s">
        <v>92</v>
      </c>
      <c r="C1578" s="7" t="str">
        <f t="shared" si="239"/>
        <v>Pilar</v>
      </c>
      <c r="D1578" s="7" t="str">
        <f>+D1577</f>
        <v>Ackerman</v>
      </c>
      <c r="E1578" s="8" t="str">
        <f>E1577</f>
        <v>SUPP</v>
      </c>
      <c r="G1578" s="8" t="str">
        <f>G1577</f>
        <v>ACKE0001</v>
      </c>
      <c r="H1578" s="26"/>
      <c r="I1578" s="26"/>
      <c r="J1578" s="26"/>
      <c r="K1578" s="28">
        <f>+K1577</f>
        <v>42064</v>
      </c>
      <c r="L1578" s="26" t="str">
        <f>L1577</f>
        <v>DD000000000000000043</v>
      </c>
      <c r="M1578" s="26"/>
      <c r="N1578" s="26"/>
      <c r="O1578" s="26" t="str">
        <f>"""GP Direct"",""Fabrikam, Inc."",""UPR30300"",""PAYRATE"",""0.00000"",""PAYROLCD"",""IL"",""STATECD"","""",""CHEKDATE"",""3/1/2015"",""UPRTRXAM"",""14.49000"""</f>
        <v>"GP Direct","Fabrikam, Inc.","UPR30300","PAYRATE","0.00000","PAYROLCD","IL","STATECD","","CHEKDATE","3/1/2015","UPRTRXAM","14.49000"</v>
      </c>
      <c r="P1578" s="29">
        <v>0</v>
      </c>
      <c r="Q1578" s="26" t="str">
        <f>"IL"</f>
        <v>IL</v>
      </c>
      <c r="R1578" s="26"/>
      <c r="S1578" s="28">
        <v>42064</v>
      </c>
      <c r="T1578" s="29">
        <v>14.49</v>
      </c>
    </row>
    <row r="1579" spans="1:20" s="7" customFormat="1" hidden="1" outlineLevel="3" x14ac:dyDescent="0.2">
      <c r="A1579" s="7" t="s">
        <v>92</v>
      </c>
      <c r="C1579" s="7" t="str">
        <f t="shared" si="239"/>
        <v>Pilar</v>
      </c>
      <c r="D1579" s="7" t="str">
        <f>+D1578</f>
        <v>Ackerman</v>
      </c>
      <c r="E1579" s="8" t="str">
        <f>E1578</f>
        <v>SUPP</v>
      </c>
      <c r="G1579" s="8" t="str">
        <f>G1578</f>
        <v>ACKE0001</v>
      </c>
      <c r="H1579" s="26"/>
      <c r="I1579" s="26"/>
      <c r="J1579" s="26"/>
      <c r="K1579" s="28">
        <f>+K1578</f>
        <v>42064</v>
      </c>
      <c r="L1579" s="26" t="str">
        <f>L1578</f>
        <v>DD000000000000000043</v>
      </c>
      <c r="M1579" s="26"/>
      <c r="N1579" s="26"/>
      <c r="O1579" s="26" t="str">
        <f>"""GP Direct"",""Fabrikam, Inc."",""UPR30300"",""PAYRATE"",""0.00000"",""PAYROLCD"",""INS"",""STATECD"","""",""CHEKDATE"",""3/1/2015"",""UPRTRXAM"",""49.36000"""</f>
        <v>"GP Direct","Fabrikam, Inc.","UPR30300","PAYRATE","0.00000","PAYROLCD","INS","STATECD","","CHEKDATE","3/1/2015","UPRTRXAM","49.36000"</v>
      </c>
      <c r="P1579" s="29">
        <v>0</v>
      </c>
      <c r="Q1579" s="26" t="str">
        <f>"INS"</f>
        <v>INS</v>
      </c>
      <c r="R1579" s="26"/>
      <c r="S1579" s="28">
        <v>42064</v>
      </c>
      <c r="T1579" s="29">
        <v>49.36</v>
      </c>
    </row>
    <row r="1580" spans="1:20" s="7" customFormat="1" hidden="1" outlineLevel="3" x14ac:dyDescent="0.2">
      <c r="A1580" s="7" t="s">
        <v>92</v>
      </c>
      <c r="C1580" s="7" t="str">
        <f t="shared" si="239"/>
        <v>Pilar</v>
      </c>
      <c r="D1580" s="7" t="str">
        <f>+D1579</f>
        <v>Ackerman</v>
      </c>
      <c r="E1580" s="8" t="str">
        <f>E1579</f>
        <v>SUPP</v>
      </c>
      <c r="G1580" s="8" t="str">
        <f>G1579</f>
        <v>ACKE0001</v>
      </c>
      <c r="H1580" s="26"/>
      <c r="I1580" s="26"/>
      <c r="J1580" s="26"/>
      <c r="K1580" s="28">
        <f>+K1579</f>
        <v>42064</v>
      </c>
      <c r="L1580" s="26" t="str">
        <f>L1579</f>
        <v>DD000000000000000043</v>
      </c>
      <c r="M1580" s="26"/>
      <c r="N1580" s="26"/>
      <c r="O1580" s="26" t="str">
        <f>"""GP Direct"",""Fabrikam, Inc."",""UPR30300"",""PAYRATE"",""0.00000"",""PAYROLCD"",""INS2"",""STATECD"","""",""CHEKDATE"",""3/1/2015"",""UPRTRXAM"",""72.95000"""</f>
        <v>"GP Direct","Fabrikam, Inc.","UPR30300","PAYRATE","0.00000","PAYROLCD","INS2","STATECD","","CHEKDATE","3/1/2015","UPRTRXAM","72.95000"</v>
      </c>
      <c r="P1580" s="29">
        <v>0</v>
      </c>
      <c r="Q1580" s="26" t="str">
        <f>"INS2"</f>
        <v>INS2</v>
      </c>
      <c r="R1580" s="26"/>
      <c r="S1580" s="28">
        <v>42064</v>
      </c>
      <c r="T1580" s="29">
        <v>72.95</v>
      </c>
    </row>
    <row r="1581" spans="1:20" s="7" customFormat="1" hidden="1" outlineLevel="3" x14ac:dyDescent="0.2">
      <c r="A1581" s="7" t="s">
        <v>92</v>
      </c>
      <c r="C1581" s="7" t="str">
        <f t="shared" si="239"/>
        <v>Pilar</v>
      </c>
      <c r="D1581" s="7" t="str">
        <f>+D1580</f>
        <v>Ackerman</v>
      </c>
      <c r="E1581" s="8" t="str">
        <f>E1580</f>
        <v>SUPP</v>
      </c>
      <c r="G1581" s="8" t="str">
        <f>G1580</f>
        <v>ACKE0001</v>
      </c>
      <c r="H1581" s="26"/>
      <c r="I1581" s="26"/>
      <c r="J1581" s="26"/>
      <c r="K1581" s="28">
        <f>+K1580</f>
        <v>42064</v>
      </c>
      <c r="L1581" s="26" t="str">
        <f>L1580</f>
        <v>DD000000000000000043</v>
      </c>
      <c r="M1581" s="26"/>
      <c r="N1581" s="26"/>
      <c r="O1581" s="26" t="str">
        <f>"""GP Direct"",""Fabrikam, Inc."",""UPR30300"",""PAYRATE"",""0.00000"",""PAYROLCD"",""MED"",""STATECD"","""",""CHEKDATE"",""3/1/2015"",""UPRTRXAM"",""20.00000"""</f>
        <v>"GP Direct","Fabrikam, Inc.","UPR30300","PAYRATE","0.00000","PAYROLCD","MED","STATECD","","CHEKDATE","3/1/2015","UPRTRXAM","20.00000"</v>
      </c>
      <c r="P1581" s="29">
        <v>0</v>
      </c>
      <c r="Q1581" s="26" t="str">
        <f>"MED"</f>
        <v>MED</v>
      </c>
      <c r="R1581" s="26"/>
      <c r="S1581" s="28">
        <v>42064</v>
      </c>
      <c r="T1581" s="29">
        <v>20</v>
      </c>
    </row>
    <row r="1582" spans="1:20" s="7" customFormat="1" hidden="1" outlineLevel="3" x14ac:dyDescent="0.2">
      <c r="A1582" s="7" t="s">
        <v>92</v>
      </c>
      <c r="C1582" s="7" t="str">
        <f t="shared" si="239"/>
        <v>Pilar</v>
      </c>
      <c r="D1582" s="7" t="str">
        <f>+D1581</f>
        <v>Ackerman</v>
      </c>
      <c r="E1582" s="8" t="str">
        <f>E1581</f>
        <v>SUPP</v>
      </c>
      <c r="G1582" s="8" t="str">
        <f>G1581</f>
        <v>ACKE0001</v>
      </c>
      <c r="H1582" s="26"/>
      <c r="I1582" s="26"/>
      <c r="J1582" s="26"/>
      <c r="K1582" s="28">
        <f>+K1581</f>
        <v>42064</v>
      </c>
      <c r="L1582" s="26" t="str">
        <f>L1581</f>
        <v>DD000000000000000043</v>
      </c>
      <c r="M1582" s="26"/>
      <c r="N1582" s="26"/>
      <c r="O1582" s="26" t="str">
        <f>"""GP Direct"",""Fabrikam, Inc."",""UPR30300"",""PAYRATE"",""22500.00000"",""PAYROLCD"",""SALY"",""STATECD"",""IL"",""CHEKDATE"",""3/1/2015"",""UPRTRXAM"",""937.50000"""</f>
        <v>"GP Direct","Fabrikam, Inc.","UPR30300","PAYRATE","22500.00000","PAYROLCD","SALY","STATECD","IL","CHEKDATE","3/1/2015","UPRTRXAM","937.50000"</v>
      </c>
      <c r="P1582" s="29">
        <v>22500</v>
      </c>
      <c r="Q1582" s="26" t="str">
        <f>"SALY"</f>
        <v>SALY</v>
      </c>
      <c r="R1582" s="26" t="str">
        <f>"IL"</f>
        <v>IL</v>
      </c>
      <c r="S1582" s="28">
        <v>42064</v>
      </c>
      <c r="T1582" s="29">
        <v>937.5</v>
      </c>
    </row>
    <row r="1583" spans="1:20" s="7" customFormat="1" hidden="1" outlineLevel="3" x14ac:dyDescent="0.2">
      <c r="A1583" s="7" t="s">
        <v>92</v>
      </c>
      <c r="C1583" s="7" t="str">
        <f>+C1576</f>
        <v>Pilar</v>
      </c>
      <c r="D1583" s="7" t="str">
        <f>+D1576</f>
        <v>Ackerman</v>
      </c>
      <c r="E1583" s="8" t="str">
        <f>E1576</f>
        <v>SUPP</v>
      </c>
      <c r="G1583" s="8" t="str">
        <f>G1576</f>
        <v>ACKE0001</v>
      </c>
      <c r="K1583" s="12">
        <f>+K1576</f>
        <v>42064</v>
      </c>
      <c r="L1583" s="8" t="str">
        <f>L1576</f>
        <v>DD000000000000000043</v>
      </c>
      <c r="O1583" s="8"/>
      <c r="T1583" s="20"/>
    </row>
    <row r="1584" spans="1:20" s="7" customFormat="1" hidden="1" outlineLevel="2" collapsed="1" x14ac:dyDescent="0.2">
      <c r="A1584" s="7" t="s">
        <v>92</v>
      </c>
      <c r="C1584" s="7" t="str">
        <f t="shared" si="237"/>
        <v>Pilar</v>
      </c>
      <c r="D1584" s="7" t="str">
        <f>+D1583</f>
        <v>Ackerman</v>
      </c>
      <c r="E1584" s="8" t="str">
        <f>E1583</f>
        <v>SUPP</v>
      </c>
      <c r="G1584" s="8" t="str">
        <f>G1583</f>
        <v>ACKE0001</v>
      </c>
      <c r="K1584" s="12">
        <f>+K1583</f>
        <v>42064</v>
      </c>
      <c r="L1584" s="8" t="str">
        <f>L1583</f>
        <v>DD000000000000000043</v>
      </c>
      <c r="M1584" s="33" t="str">
        <f>"Total for " &amp; $L1584</f>
        <v>Total for DD000000000000000043</v>
      </c>
      <c r="N1584" s="34">
        <f>+K1584</f>
        <v>42064</v>
      </c>
      <c r="O1584" s="35"/>
      <c r="P1584" s="33"/>
      <c r="Q1584" s="33"/>
      <c r="R1584" s="33"/>
      <c r="S1584" s="33"/>
      <c r="T1584" s="36">
        <f>SUBTOTAL(9,T1576:T1583)</f>
        <v>1123.8399999999999</v>
      </c>
    </row>
    <row r="1585" spans="1:20" s="7" customFormat="1" hidden="1" outlineLevel="3" x14ac:dyDescent="0.2">
      <c r="A1585" s="7" t="s">
        <v>92</v>
      </c>
      <c r="C1585" s="7" t="str">
        <f t="shared" si="237"/>
        <v>Pilar</v>
      </c>
      <c r="D1585" s="7" t="str">
        <f>+D1584</f>
        <v>Ackerman</v>
      </c>
      <c r="E1585" s="8" t="str">
        <f>E1584</f>
        <v>SUPP</v>
      </c>
      <c r="G1585" s="8" t="str">
        <f>G1584</f>
        <v>ACKE0001</v>
      </c>
      <c r="H1585" s="26"/>
      <c r="I1585" s="26"/>
      <c r="J1585" s="26"/>
      <c r="K1585" s="28">
        <f>+N1585</f>
        <v>42095</v>
      </c>
      <c r="L1585" s="26" t="str">
        <f>M1585</f>
        <v>DD000000000000000046</v>
      </c>
      <c r="M1585" s="26" t="str">
        <f>"DD000000000000000046"</f>
        <v>DD000000000000000046</v>
      </c>
      <c r="N1585" s="28">
        <v>42095</v>
      </c>
      <c r="O1585" s="26"/>
      <c r="P1585" s="26"/>
      <c r="Q1585" s="26"/>
      <c r="R1585" s="26"/>
      <c r="S1585" s="26"/>
      <c r="T1585" s="27"/>
    </row>
    <row r="1586" spans="1:20" s="7" customFormat="1" hidden="1" outlineLevel="3" x14ac:dyDescent="0.2">
      <c r="A1586" s="7" t="s">
        <v>92</v>
      </c>
      <c r="C1586" s="7" t="str">
        <f t="shared" si="237"/>
        <v>Pilar</v>
      </c>
      <c r="D1586" s="7" t="str">
        <f>+D1585</f>
        <v>Ackerman</v>
      </c>
      <c r="E1586" s="8" t="str">
        <f>E1585</f>
        <v>SUPP</v>
      </c>
      <c r="G1586" s="8" t="str">
        <f>G1585</f>
        <v>ACKE0001</v>
      </c>
      <c r="H1586" s="26"/>
      <c r="I1586" s="26"/>
      <c r="J1586" s="26"/>
      <c r="K1586" s="28">
        <f>+K1585</f>
        <v>42095</v>
      </c>
      <c r="L1586" s="26" t="str">
        <f>L1585</f>
        <v>DD000000000000000046</v>
      </c>
      <c r="M1586" s="26"/>
      <c r="N1586" s="26"/>
      <c r="O1586" s="26" t="str">
        <f>"""GP Direct"",""Fabrikam, Inc."",""UPR30300"",""PAYRATE"",""0.00000"",""PAYROLCD"",""401K"",""STATECD"","""",""CHEKDATE"",""4/1/2015"",""UPRTRXAM"",""1.41000"""</f>
        <v>"GP Direct","Fabrikam, Inc.","UPR30300","PAYRATE","0.00000","PAYROLCD","401K","STATECD","","CHEKDATE","4/1/2015","UPRTRXAM","1.41000"</v>
      </c>
      <c r="P1586" s="29">
        <v>0</v>
      </c>
      <c r="Q1586" s="26" t="str">
        <f>"401K"</f>
        <v>401K</v>
      </c>
      <c r="R1586" s="26"/>
      <c r="S1586" s="28">
        <v>42095</v>
      </c>
      <c r="T1586" s="29">
        <v>1.41</v>
      </c>
    </row>
    <row r="1587" spans="1:20" s="7" customFormat="1" hidden="1" outlineLevel="3" x14ac:dyDescent="0.2">
      <c r="A1587" s="7" t="s">
        <v>92</v>
      </c>
      <c r="C1587" s="7" t="str">
        <f t="shared" ref="C1587:C1592" si="240">+C1586</f>
        <v>Pilar</v>
      </c>
      <c r="D1587" s="7" t="str">
        <f>+D1586</f>
        <v>Ackerman</v>
      </c>
      <c r="E1587" s="8" t="str">
        <f>E1586</f>
        <v>SUPP</v>
      </c>
      <c r="G1587" s="8" t="str">
        <f>G1586</f>
        <v>ACKE0001</v>
      </c>
      <c r="H1587" s="26"/>
      <c r="I1587" s="26"/>
      <c r="J1587" s="26"/>
      <c r="K1587" s="28">
        <f>+K1586</f>
        <v>42095</v>
      </c>
      <c r="L1587" s="26" t="str">
        <f>L1586</f>
        <v>DD000000000000000046</v>
      </c>
      <c r="M1587" s="26"/>
      <c r="N1587" s="26"/>
      <c r="O1587" s="26" t="str">
        <f>"""GP Direct"",""Fabrikam, Inc."",""UPR30300"",""PAYRATE"",""0.00000"",""PAYROLCD"",""401K"",""STATECD"","""",""CHEKDATE"",""4/1/2015"",""UPRTRXAM"",""28.13000"""</f>
        <v>"GP Direct","Fabrikam, Inc.","UPR30300","PAYRATE","0.00000","PAYROLCD","401K","STATECD","","CHEKDATE","4/1/2015","UPRTRXAM","28.13000"</v>
      </c>
      <c r="P1587" s="29">
        <v>0</v>
      </c>
      <c r="Q1587" s="26" t="str">
        <f>"401K"</f>
        <v>401K</v>
      </c>
      <c r="R1587" s="26"/>
      <c r="S1587" s="28">
        <v>42095</v>
      </c>
      <c r="T1587" s="29">
        <v>28.13</v>
      </c>
    </row>
    <row r="1588" spans="1:20" s="7" customFormat="1" hidden="1" outlineLevel="3" x14ac:dyDescent="0.2">
      <c r="A1588" s="7" t="s">
        <v>92</v>
      </c>
      <c r="C1588" s="7" t="str">
        <f t="shared" si="240"/>
        <v>Pilar</v>
      </c>
      <c r="D1588" s="7" t="str">
        <f>+D1587</f>
        <v>Ackerman</v>
      </c>
      <c r="E1588" s="8" t="str">
        <f>E1587</f>
        <v>SUPP</v>
      </c>
      <c r="G1588" s="8" t="str">
        <f>G1587</f>
        <v>ACKE0001</v>
      </c>
      <c r="H1588" s="26"/>
      <c r="I1588" s="26"/>
      <c r="J1588" s="26"/>
      <c r="K1588" s="28">
        <f>+K1587</f>
        <v>42095</v>
      </c>
      <c r="L1588" s="26" t="str">
        <f>L1587</f>
        <v>DD000000000000000046</v>
      </c>
      <c r="M1588" s="26"/>
      <c r="N1588" s="26"/>
      <c r="O1588" s="26" t="str">
        <f>"""GP Direct"",""Fabrikam, Inc."",""UPR30300"",""PAYRATE"",""0.00000"",""PAYROLCD"",""IL"",""STATECD"","""",""CHEKDATE"",""4/1/2015"",""UPRTRXAM"",""14.49000"""</f>
        <v>"GP Direct","Fabrikam, Inc.","UPR30300","PAYRATE","0.00000","PAYROLCD","IL","STATECD","","CHEKDATE","4/1/2015","UPRTRXAM","14.49000"</v>
      </c>
      <c r="P1588" s="29">
        <v>0</v>
      </c>
      <c r="Q1588" s="26" t="str">
        <f>"IL"</f>
        <v>IL</v>
      </c>
      <c r="R1588" s="26"/>
      <c r="S1588" s="28">
        <v>42095</v>
      </c>
      <c r="T1588" s="29">
        <v>14.49</v>
      </c>
    </row>
    <row r="1589" spans="1:20" s="7" customFormat="1" hidden="1" outlineLevel="3" x14ac:dyDescent="0.2">
      <c r="A1589" s="7" t="s">
        <v>92</v>
      </c>
      <c r="C1589" s="7" t="str">
        <f t="shared" si="240"/>
        <v>Pilar</v>
      </c>
      <c r="D1589" s="7" t="str">
        <f>+D1588</f>
        <v>Ackerman</v>
      </c>
      <c r="E1589" s="8" t="str">
        <f>E1588</f>
        <v>SUPP</v>
      </c>
      <c r="G1589" s="8" t="str">
        <f>G1588</f>
        <v>ACKE0001</v>
      </c>
      <c r="H1589" s="26"/>
      <c r="I1589" s="26"/>
      <c r="J1589" s="26"/>
      <c r="K1589" s="28">
        <f>+K1588</f>
        <v>42095</v>
      </c>
      <c r="L1589" s="26" t="str">
        <f>L1588</f>
        <v>DD000000000000000046</v>
      </c>
      <c r="M1589" s="26"/>
      <c r="N1589" s="26"/>
      <c r="O1589" s="26" t="str">
        <f>"""GP Direct"",""Fabrikam, Inc."",""UPR30300"",""PAYRATE"",""0.00000"",""PAYROLCD"",""INS"",""STATECD"","""",""CHEKDATE"",""4/1/2015"",""UPRTRXAM"",""49.36000"""</f>
        <v>"GP Direct","Fabrikam, Inc.","UPR30300","PAYRATE","0.00000","PAYROLCD","INS","STATECD","","CHEKDATE","4/1/2015","UPRTRXAM","49.36000"</v>
      </c>
      <c r="P1589" s="29">
        <v>0</v>
      </c>
      <c r="Q1589" s="26" t="str">
        <f>"INS"</f>
        <v>INS</v>
      </c>
      <c r="R1589" s="26"/>
      <c r="S1589" s="28">
        <v>42095</v>
      </c>
      <c r="T1589" s="29">
        <v>49.36</v>
      </c>
    </row>
    <row r="1590" spans="1:20" s="7" customFormat="1" hidden="1" outlineLevel="3" x14ac:dyDescent="0.2">
      <c r="A1590" s="7" t="s">
        <v>92</v>
      </c>
      <c r="C1590" s="7" t="str">
        <f t="shared" si="240"/>
        <v>Pilar</v>
      </c>
      <c r="D1590" s="7" t="str">
        <f>+D1589</f>
        <v>Ackerman</v>
      </c>
      <c r="E1590" s="8" t="str">
        <f>E1589</f>
        <v>SUPP</v>
      </c>
      <c r="G1590" s="8" t="str">
        <f>G1589</f>
        <v>ACKE0001</v>
      </c>
      <c r="H1590" s="26"/>
      <c r="I1590" s="26"/>
      <c r="J1590" s="26"/>
      <c r="K1590" s="28">
        <f>+K1589</f>
        <v>42095</v>
      </c>
      <c r="L1590" s="26" t="str">
        <f>L1589</f>
        <v>DD000000000000000046</v>
      </c>
      <c r="M1590" s="26"/>
      <c r="N1590" s="26"/>
      <c r="O1590" s="26" t="str">
        <f>"""GP Direct"",""Fabrikam, Inc."",""UPR30300"",""PAYRATE"",""0.00000"",""PAYROLCD"",""INS2"",""STATECD"","""",""CHEKDATE"",""4/1/2015"",""UPRTRXAM"",""72.95000"""</f>
        <v>"GP Direct","Fabrikam, Inc.","UPR30300","PAYRATE","0.00000","PAYROLCD","INS2","STATECD","","CHEKDATE","4/1/2015","UPRTRXAM","72.95000"</v>
      </c>
      <c r="P1590" s="29">
        <v>0</v>
      </c>
      <c r="Q1590" s="26" t="str">
        <f>"INS2"</f>
        <v>INS2</v>
      </c>
      <c r="R1590" s="26"/>
      <c r="S1590" s="28">
        <v>42095</v>
      </c>
      <c r="T1590" s="29">
        <v>72.95</v>
      </c>
    </row>
    <row r="1591" spans="1:20" s="7" customFormat="1" hidden="1" outlineLevel="3" x14ac:dyDescent="0.2">
      <c r="A1591" s="7" t="s">
        <v>92</v>
      </c>
      <c r="C1591" s="7" t="str">
        <f t="shared" si="240"/>
        <v>Pilar</v>
      </c>
      <c r="D1591" s="7" t="str">
        <f>+D1590</f>
        <v>Ackerman</v>
      </c>
      <c r="E1591" s="8" t="str">
        <f>E1590</f>
        <v>SUPP</v>
      </c>
      <c r="G1591" s="8" t="str">
        <f>G1590</f>
        <v>ACKE0001</v>
      </c>
      <c r="H1591" s="26"/>
      <c r="I1591" s="26"/>
      <c r="J1591" s="26"/>
      <c r="K1591" s="28">
        <f>+K1590</f>
        <v>42095</v>
      </c>
      <c r="L1591" s="26" t="str">
        <f>L1590</f>
        <v>DD000000000000000046</v>
      </c>
      <c r="M1591" s="26"/>
      <c r="N1591" s="26"/>
      <c r="O1591" s="26" t="str">
        <f>"""GP Direct"",""Fabrikam, Inc."",""UPR30300"",""PAYRATE"",""0.00000"",""PAYROLCD"",""MED"",""STATECD"","""",""CHEKDATE"",""4/1/2015"",""UPRTRXAM"",""20.00000"""</f>
        <v>"GP Direct","Fabrikam, Inc.","UPR30300","PAYRATE","0.00000","PAYROLCD","MED","STATECD","","CHEKDATE","4/1/2015","UPRTRXAM","20.00000"</v>
      </c>
      <c r="P1591" s="29">
        <v>0</v>
      </c>
      <c r="Q1591" s="26" t="str">
        <f>"MED"</f>
        <v>MED</v>
      </c>
      <c r="R1591" s="26"/>
      <c r="S1591" s="28">
        <v>42095</v>
      </c>
      <c r="T1591" s="29">
        <v>20</v>
      </c>
    </row>
    <row r="1592" spans="1:20" s="7" customFormat="1" hidden="1" outlineLevel="3" x14ac:dyDescent="0.2">
      <c r="A1592" s="7" t="s">
        <v>92</v>
      </c>
      <c r="C1592" s="7" t="str">
        <f t="shared" si="240"/>
        <v>Pilar</v>
      </c>
      <c r="D1592" s="7" t="str">
        <f>+D1591</f>
        <v>Ackerman</v>
      </c>
      <c r="E1592" s="8" t="str">
        <f>E1591</f>
        <v>SUPP</v>
      </c>
      <c r="G1592" s="8" t="str">
        <f>G1591</f>
        <v>ACKE0001</v>
      </c>
      <c r="H1592" s="26"/>
      <c r="I1592" s="26"/>
      <c r="J1592" s="26"/>
      <c r="K1592" s="28">
        <f>+K1591</f>
        <v>42095</v>
      </c>
      <c r="L1592" s="26" t="str">
        <f>L1591</f>
        <v>DD000000000000000046</v>
      </c>
      <c r="M1592" s="26"/>
      <c r="N1592" s="26"/>
      <c r="O1592" s="26" t="str">
        <f>"""GP Direct"",""Fabrikam, Inc."",""UPR30300"",""PAYRATE"",""22500.00000"",""PAYROLCD"",""SALY"",""STATECD"",""IL"",""CHEKDATE"",""4/1/2015"",""UPRTRXAM"",""937.50000"""</f>
        <v>"GP Direct","Fabrikam, Inc.","UPR30300","PAYRATE","22500.00000","PAYROLCD","SALY","STATECD","IL","CHEKDATE","4/1/2015","UPRTRXAM","937.50000"</v>
      </c>
      <c r="P1592" s="29">
        <v>22500</v>
      </c>
      <c r="Q1592" s="26" t="str">
        <f>"SALY"</f>
        <v>SALY</v>
      </c>
      <c r="R1592" s="26" t="str">
        <f>"IL"</f>
        <v>IL</v>
      </c>
      <c r="S1592" s="28">
        <v>42095</v>
      </c>
      <c r="T1592" s="29">
        <v>937.5</v>
      </c>
    </row>
    <row r="1593" spans="1:20" s="7" customFormat="1" hidden="1" outlineLevel="3" x14ac:dyDescent="0.2">
      <c r="A1593" s="7" t="s">
        <v>92</v>
      </c>
      <c r="C1593" s="7" t="str">
        <f>+C1586</f>
        <v>Pilar</v>
      </c>
      <c r="D1593" s="7" t="str">
        <f>+D1586</f>
        <v>Ackerman</v>
      </c>
      <c r="E1593" s="8" t="str">
        <f>E1586</f>
        <v>SUPP</v>
      </c>
      <c r="G1593" s="8" t="str">
        <f>G1586</f>
        <v>ACKE0001</v>
      </c>
      <c r="K1593" s="12">
        <f>+K1586</f>
        <v>42095</v>
      </c>
      <c r="L1593" s="8" t="str">
        <f>L1586</f>
        <v>DD000000000000000046</v>
      </c>
      <c r="O1593" s="8"/>
      <c r="T1593" s="20"/>
    </row>
    <row r="1594" spans="1:20" s="7" customFormat="1" hidden="1" outlineLevel="2" collapsed="1" x14ac:dyDescent="0.2">
      <c r="A1594" s="7" t="s">
        <v>92</v>
      </c>
      <c r="C1594" s="7" t="str">
        <f t="shared" si="237"/>
        <v>Pilar</v>
      </c>
      <c r="D1594" s="7" t="str">
        <f>+D1593</f>
        <v>Ackerman</v>
      </c>
      <c r="E1594" s="8" t="str">
        <f>E1593</f>
        <v>SUPP</v>
      </c>
      <c r="G1594" s="8" t="str">
        <f>G1593</f>
        <v>ACKE0001</v>
      </c>
      <c r="K1594" s="12">
        <f>+K1593</f>
        <v>42095</v>
      </c>
      <c r="L1594" s="8" t="str">
        <f>L1593</f>
        <v>DD000000000000000046</v>
      </c>
      <c r="M1594" s="33" t="str">
        <f>"Total for " &amp; $L1594</f>
        <v>Total for DD000000000000000046</v>
      </c>
      <c r="N1594" s="34">
        <f>+K1594</f>
        <v>42095</v>
      </c>
      <c r="O1594" s="35"/>
      <c r="P1594" s="33"/>
      <c r="Q1594" s="33"/>
      <c r="R1594" s="33"/>
      <c r="S1594" s="33"/>
      <c r="T1594" s="36">
        <f>SUBTOTAL(9,T1586:T1593)</f>
        <v>1123.8399999999999</v>
      </c>
    </row>
    <row r="1595" spans="1:20" s="7" customFormat="1" hidden="1" outlineLevel="3" x14ac:dyDescent="0.2">
      <c r="A1595" s="7" t="s">
        <v>92</v>
      </c>
      <c r="C1595" s="7" t="str">
        <f t="shared" si="237"/>
        <v>Pilar</v>
      </c>
      <c r="D1595" s="7" t="str">
        <f>+D1594</f>
        <v>Ackerman</v>
      </c>
      <c r="E1595" s="8" t="str">
        <f>E1594</f>
        <v>SUPP</v>
      </c>
      <c r="G1595" s="8" t="str">
        <f>G1594</f>
        <v>ACKE0001</v>
      </c>
      <c r="H1595" s="26"/>
      <c r="I1595" s="26"/>
      <c r="J1595" s="26"/>
      <c r="K1595" s="28">
        <f>+N1595</f>
        <v>42125</v>
      </c>
      <c r="L1595" s="26" t="str">
        <f>M1595</f>
        <v>DD000000000000000049</v>
      </c>
      <c r="M1595" s="26" t="str">
        <f>"DD000000000000000049"</f>
        <v>DD000000000000000049</v>
      </c>
      <c r="N1595" s="28">
        <v>42125</v>
      </c>
      <c r="O1595" s="26"/>
      <c r="P1595" s="26"/>
      <c r="Q1595" s="26"/>
      <c r="R1595" s="26"/>
      <c r="S1595" s="26"/>
      <c r="T1595" s="27"/>
    </row>
    <row r="1596" spans="1:20" s="7" customFormat="1" hidden="1" outlineLevel="3" x14ac:dyDescent="0.2">
      <c r="A1596" s="7" t="s">
        <v>92</v>
      </c>
      <c r="C1596" s="7" t="str">
        <f t="shared" si="237"/>
        <v>Pilar</v>
      </c>
      <c r="D1596" s="7" t="str">
        <f>+D1595</f>
        <v>Ackerman</v>
      </c>
      <c r="E1596" s="8" t="str">
        <f>E1595</f>
        <v>SUPP</v>
      </c>
      <c r="G1596" s="8" t="str">
        <f>G1595</f>
        <v>ACKE0001</v>
      </c>
      <c r="H1596" s="26"/>
      <c r="I1596" s="26"/>
      <c r="J1596" s="26"/>
      <c r="K1596" s="28">
        <f>+K1595</f>
        <v>42125</v>
      </c>
      <c r="L1596" s="26" t="str">
        <f>L1595</f>
        <v>DD000000000000000049</v>
      </c>
      <c r="M1596" s="26"/>
      <c r="N1596" s="26"/>
      <c r="O1596" s="26" t="str">
        <f>"""GP Direct"",""Fabrikam, Inc."",""UPR30300"",""PAYRATE"",""0.00000"",""PAYROLCD"",""401K"",""STATECD"","""",""CHEKDATE"",""5/1/2015"",""UPRTRXAM"",""1.41000"""</f>
        <v>"GP Direct","Fabrikam, Inc.","UPR30300","PAYRATE","0.00000","PAYROLCD","401K","STATECD","","CHEKDATE","5/1/2015","UPRTRXAM","1.41000"</v>
      </c>
      <c r="P1596" s="29">
        <v>0</v>
      </c>
      <c r="Q1596" s="26" t="str">
        <f>"401K"</f>
        <v>401K</v>
      </c>
      <c r="R1596" s="26"/>
      <c r="S1596" s="28">
        <v>42125</v>
      </c>
      <c r="T1596" s="29">
        <v>1.41</v>
      </c>
    </row>
    <row r="1597" spans="1:20" s="7" customFormat="1" hidden="1" outlineLevel="3" x14ac:dyDescent="0.2">
      <c r="A1597" s="7" t="s">
        <v>92</v>
      </c>
      <c r="C1597" s="7" t="str">
        <f t="shared" ref="C1597:C1602" si="241">+C1596</f>
        <v>Pilar</v>
      </c>
      <c r="D1597" s="7" t="str">
        <f>+D1596</f>
        <v>Ackerman</v>
      </c>
      <c r="E1597" s="8" t="str">
        <f>E1596</f>
        <v>SUPP</v>
      </c>
      <c r="G1597" s="8" t="str">
        <f>G1596</f>
        <v>ACKE0001</v>
      </c>
      <c r="H1597" s="26"/>
      <c r="I1597" s="26"/>
      <c r="J1597" s="26"/>
      <c r="K1597" s="28">
        <f>+K1596</f>
        <v>42125</v>
      </c>
      <c r="L1597" s="26" t="str">
        <f>L1596</f>
        <v>DD000000000000000049</v>
      </c>
      <c r="M1597" s="26"/>
      <c r="N1597" s="26"/>
      <c r="O1597" s="26" t="str">
        <f>"""GP Direct"",""Fabrikam, Inc."",""UPR30300"",""PAYRATE"",""0.00000"",""PAYROLCD"",""401K"",""STATECD"","""",""CHEKDATE"",""5/1/2015"",""UPRTRXAM"",""28.13000"""</f>
        <v>"GP Direct","Fabrikam, Inc.","UPR30300","PAYRATE","0.00000","PAYROLCD","401K","STATECD","","CHEKDATE","5/1/2015","UPRTRXAM","28.13000"</v>
      </c>
      <c r="P1597" s="29">
        <v>0</v>
      </c>
      <c r="Q1597" s="26" t="str">
        <f>"401K"</f>
        <v>401K</v>
      </c>
      <c r="R1597" s="26"/>
      <c r="S1597" s="28">
        <v>42125</v>
      </c>
      <c r="T1597" s="29">
        <v>28.13</v>
      </c>
    </row>
    <row r="1598" spans="1:20" s="7" customFormat="1" hidden="1" outlineLevel="3" x14ac:dyDescent="0.2">
      <c r="A1598" s="7" t="s">
        <v>92</v>
      </c>
      <c r="C1598" s="7" t="str">
        <f t="shared" si="241"/>
        <v>Pilar</v>
      </c>
      <c r="D1598" s="7" t="str">
        <f>+D1597</f>
        <v>Ackerman</v>
      </c>
      <c r="E1598" s="8" t="str">
        <f>E1597</f>
        <v>SUPP</v>
      </c>
      <c r="G1598" s="8" t="str">
        <f>G1597</f>
        <v>ACKE0001</v>
      </c>
      <c r="H1598" s="26"/>
      <c r="I1598" s="26"/>
      <c r="J1598" s="26"/>
      <c r="K1598" s="28">
        <f>+K1597</f>
        <v>42125</v>
      </c>
      <c r="L1598" s="26" t="str">
        <f>L1597</f>
        <v>DD000000000000000049</v>
      </c>
      <c r="M1598" s="26"/>
      <c r="N1598" s="26"/>
      <c r="O1598" s="26" t="str">
        <f>"""GP Direct"",""Fabrikam, Inc."",""UPR30300"",""PAYRATE"",""0.00000"",""PAYROLCD"",""IL"",""STATECD"","""",""CHEKDATE"",""5/1/2015"",""UPRTRXAM"",""14.49000"""</f>
        <v>"GP Direct","Fabrikam, Inc.","UPR30300","PAYRATE","0.00000","PAYROLCD","IL","STATECD","","CHEKDATE","5/1/2015","UPRTRXAM","14.49000"</v>
      </c>
      <c r="P1598" s="29">
        <v>0</v>
      </c>
      <c r="Q1598" s="26" t="str">
        <f>"IL"</f>
        <v>IL</v>
      </c>
      <c r="R1598" s="26"/>
      <c r="S1598" s="28">
        <v>42125</v>
      </c>
      <c r="T1598" s="29">
        <v>14.49</v>
      </c>
    </row>
    <row r="1599" spans="1:20" s="7" customFormat="1" hidden="1" outlineLevel="3" x14ac:dyDescent="0.2">
      <c r="A1599" s="7" t="s">
        <v>92</v>
      </c>
      <c r="C1599" s="7" t="str">
        <f t="shared" si="241"/>
        <v>Pilar</v>
      </c>
      <c r="D1599" s="7" t="str">
        <f>+D1598</f>
        <v>Ackerman</v>
      </c>
      <c r="E1599" s="8" t="str">
        <f>E1598</f>
        <v>SUPP</v>
      </c>
      <c r="G1599" s="8" t="str">
        <f>G1598</f>
        <v>ACKE0001</v>
      </c>
      <c r="H1599" s="26"/>
      <c r="I1599" s="26"/>
      <c r="J1599" s="26"/>
      <c r="K1599" s="28">
        <f>+K1598</f>
        <v>42125</v>
      </c>
      <c r="L1599" s="26" t="str">
        <f>L1598</f>
        <v>DD000000000000000049</v>
      </c>
      <c r="M1599" s="26"/>
      <c r="N1599" s="26"/>
      <c r="O1599" s="26" t="str">
        <f>"""GP Direct"",""Fabrikam, Inc."",""UPR30300"",""PAYRATE"",""0.00000"",""PAYROLCD"",""INS"",""STATECD"","""",""CHEKDATE"",""5/1/2015"",""UPRTRXAM"",""49.36000"""</f>
        <v>"GP Direct","Fabrikam, Inc.","UPR30300","PAYRATE","0.00000","PAYROLCD","INS","STATECD","","CHEKDATE","5/1/2015","UPRTRXAM","49.36000"</v>
      </c>
      <c r="P1599" s="29">
        <v>0</v>
      </c>
      <c r="Q1599" s="26" t="str">
        <f>"INS"</f>
        <v>INS</v>
      </c>
      <c r="R1599" s="26"/>
      <c r="S1599" s="28">
        <v>42125</v>
      </c>
      <c r="T1599" s="29">
        <v>49.36</v>
      </c>
    </row>
    <row r="1600" spans="1:20" s="7" customFormat="1" hidden="1" outlineLevel="3" x14ac:dyDescent="0.2">
      <c r="A1600" s="7" t="s">
        <v>92</v>
      </c>
      <c r="C1600" s="7" t="str">
        <f t="shared" si="241"/>
        <v>Pilar</v>
      </c>
      <c r="D1600" s="7" t="str">
        <f>+D1599</f>
        <v>Ackerman</v>
      </c>
      <c r="E1600" s="8" t="str">
        <f>E1599</f>
        <v>SUPP</v>
      </c>
      <c r="G1600" s="8" t="str">
        <f>G1599</f>
        <v>ACKE0001</v>
      </c>
      <c r="H1600" s="26"/>
      <c r="I1600" s="26"/>
      <c r="J1600" s="26"/>
      <c r="K1600" s="28">
        <f>+K1599</f>
        <v>42125</v>
      </c>
      <c r="L1600" s="26" t="str">
        <f>L1599</f>
        <v>DD000000000000000049</v>
      </c>
      <c r="M1600" s="26"/>
      <c r="N1600" s="26"/>
      <c r="O1600" s="26" t="str">
        <f>"""GP Direct"",""Fabrikam, Inc."",""UPR30300"",""PAYRATE"",""0.00000"",""PAYROLCD"",""INS2"",""STATECD"","""",""CHEKDATE"",""5/1/2015"",""UPRTRXAM"",""72.95000"""</f>
        <v>"GP Direct","Fabrikam, Inc.","UPR30300","PAYRATE","0.00000","PAYROLCD","INS2","STATECD","","CHEKDATE","5/1/2015","UPRTRXAM","72.95000"</v>
      </c>
      <c r="P1600" s="29">
        <v>0</v>
      </c>
      <c r="Q1600" s="26" t="str">
        <f>"INS2"</f>
        <v>INS2</v>
      </c>
      <c r="R1600" s="26"/>
      <c r="S1600" s="28">
        <v>42125</v>
      </c>
      <c r="T1600" s="29">
        <v>72.95</v>
      </c>
    </row>
    <row r="1601" spans="1:20" s="7" customFormat="1" hidden="1" outlineLevel="3" x14ac:dyDescent="0.2">
      <c r="A1601" s="7" t="s">
        <v>92</v>
      </c>
      <c r="C1601" s="7" t="str">
        <f t="shared" si="241"/>
        <v>Pilar</v>
      </c>
      <c r="D1601" s="7" t="str">
        <f>+D1600</f>
        <v>Ackerman</v>
      </c>
      <c r="E1601" s="8" t="str">
        <f>E1600</f>
        <v>SUPP</v>
      </c>
      <c r="G1601" s="8" t="str">
        <f>G1600</f>
        <v>ACKE0001</v>
      </c>
      <c r="H1601" s="26"/>
      <c r="I1601" s="26"/>
      <c r="J1601" s="26"/>
      <c r="K1601" s="28">
        <f>+K1600</f>
        <v>42125</v>
      </c>
      <c r="L1601" s="26" t="str">
        <f>L1600</f>
        <v>DD000000000000000049</v>
      </c>
      <c r="M1601" s="26"/>
      <c r="N1601" s="26"/>
      <c r="O1601" s="26" t="str">
        <f>"""GP Direct"",""Fabrikam, Inc."",""UPR30300"",""PAYRATE"",""0.00000"",""PAYROLCD"",""MED"",""STATECD"","""",""CHEKDATE"",""5/1/2015"",""UPRTRXAM"",""20.00000"""</f>
        <v>"GP Direct","Fabrikam, Inc.","UPR30300","PAYRATE","0.00000","PAYROLCD","MED","STATECD","","CHEKDATE","5/1/2015","UPRTRXAM","20.00000"</v>
      </c>
      <c r="P1601" s="29">
        <v>0</v>
      </c>
      <c r="Q1601" s="26" t="str">
        <f>"MED"</f>
        <v>MED</v>
      </c>
      <c r="R1601" s="26"/>
      <c r="S1601" s="28">
        <v>42125</v>
      </c>
      <c r="T1601" s="29">
        <v>20</v>
      </c>
    </row>
    <row r="1602" spans="1:20" s="7" customFormat="1" hidden="1" outlineLevel="3" x14ac:dyDescent="0.2">
      <c r="A1602" s="7" t="s">
        <v>92</v>
      </c>
      <c r="C1602" s="7" t="str">
        <f t="shared" si="241"/>
        <v>Pilar</v>
      </c>
      <c r="D1602" s="7" t="str">
        <f>+D1601</f>
        <v>Ackerman</v>
      </c>
      <c r="E1602" s="8" t="str">
        <f>E1601</f>
        <v>SUPP</v>
      </c>
      <c r="G1602" s="8" t="str">
        <f>G1601</f>
        <v>ACKE0001</v>
      </c>
      <c r="H1602" s="26"/>
      <c r="I1602" s="26"/>
      <c r="J1602" s="26"/>
      <c r="K1602" s="28">
        <f>+K1601</f>
        <v>42125</v>
      </c>
      <c r="L1602" s="26" t="str">
        <f>L1601</f>
        <v>DD000000000000000049</v>
      </c>
      <c r="M1602" s="26"/>
      <c r="N1602" s="26"/>
      <c r="O1602" s="26" t="str">
        <f>"""GP Direct"",""Fabrikam, Inc."",""UPR30300"",""PAYRATE"",""22500.00000"",""PAYROLCD"",""SALY"",""STATECD"",""IL"",""CHEKDATE"",""5/1/2015"",""UPRTRXAM"",""937.50000"""</f>
        <v>"GP Direct","Fabrikam, Inc.","UPR30300","PAYRATE","22500.00000","PAYROLCD","SALY","STATECD","IL","CHEKDATE","5/1/2015","UPRTRXAM","937.50000"</v>
      </c>
      <c r="P1602" s="29">
        <v>22500</v>
      </c>
      <c r="Q1602" s="26" t="str">
        <f>"SALY"</f>
        <v>SALY</v>
      </c>
      <c r="R1602" s="26" t="str">
        <f>"IL"</f>
        <v>IL</v>
      </c>
      <c r="S1602" s="28">
        <v>42125</v>
      </c>
      <c r="T1602" s="29">
        <v>937.5</v>
      </c>
    </row>
    <row r="1603" spans="1:20" s="7" customFormat="1" hidden="1" outlineLevel="3" x14ac:dyDescent="0.2">
      <c r="A1603" s="7" t="s">
        <v>92</v>
      </c>
      <c r="C1603" s="7" t="str">
        <f>+C1596</f>
        <v>Pilar</v>
      </c>
      <c r="D1603" s="7" t="str">
        <f>+D1596</f>
        <v>Ackerman</v>
      </c>
      <c r="E1603" s="8" t="str">
        <f>E1596</f>
        <v>SUPP</v>
      </c>
      <c r="G1603" s="8" t="str">
        <f>G1596</f>
        <v>ACKE0001</v>
      </c>
      <c r="K1603" s="12">
        <f>+K1596</f>
        <v>42125</v>
      </c>
      <c r="L1603" s="8" t="str">
        <f>L1596</f>
        <v>DD000000000000000049</v>
      </c>
      <c r="O1603" s="8"/>
      <c r="T1603" s="20"/>
    </row>
    <row r="1604" spans="1:20" s="7" customFormat="1" hidden="1" outlineLevel="2" collapsed="1" x14ac:dyDescent="0.2">
      <c r="A1604" s="7" t="s">
        <v>92</v>
      </c>
      <c r="C1604" s="7" t="str">
        <f t="shared" si="237"/>
        <v>Pilar</v>
      </c>
      <c r="D1604" s="7" t="str">
        <f>+D1603</f>
        <v>Ackerman</v>
      </c>
      <c r="E1604" s="8" t="str">
        <f>E1603</f>
        <v>SUPP</v>
      </c>
      <c r="G1604" s="8" t="str">
        <f>G1603</f>
        <v>ACKE0001</v>
      </c>
      <c r="K1604" s="12">
        <f>+K1603</f>
        <v>42125</v>
      </c>
      <c r="L1604" s="8" t="str">
        <f>L1603</f>
        <v>DD000000000000000049</v>
      </c>
      <c r="M1604" s="33" t="str">
        <f>"Total for " &amp; $L1604</f>
        <v>Total for DD000000000000000049</v>
      </c>
      <c r="N1604" s="34">
        <f>+K1604</f>
        <v>42125</v>
      </c>
      <c r="O1604" s="35"/>
      <c r="P1604" s="33"/>
      <c r="Q1604" s="33"/>
      <c r="R1604" s="33"/>
      <c r="S1604" s="33"/>
      <c r="T1604" s="36">
        <f>SUBTOTAL(9,T1596:T1603)</f>
        <v>1123.8399999999999</v>
      </c>
    </row>
    <row r="1605" spans="1:20" s="7" customFormat="1" hidden="1" outlineLevel="3" x14ac:dyDescent="0.2">
      <c r="A1605" s="7" t="s">
        <v>92</v>
      </c>
      <c r="C1605" s="7" t="str">
        <f t="shared" si="237"/>
        <v>Pilar</v>
      </c>
      <c r="D1605" s="7" t="str">
        <f>+D1604</f>
        <v>Ackerman</v>
      </c>
      <c r="E1605" s="8" t="str">
        <f>E1604</f>
        <v>SUPP</v>
      </c>
      <c r="G1605" s="8" t="str">
        <f>G1604</f>
        <v>ACKE0001</v>
      </c>
      <c r="H1605" s="26"/>
      <c r="I1605" s="26"/>
      <c r="J1605" s="26"/>
      <c r="K1605" s="28">
        <f>+N1605</f>
        <v>42156</v>
      </c>
      <c r="L1605" s="26" t="str">
        <f>M1605</f>
        <v>DD000000000000000052</v>
      </c>
      <c r="M1605" s="26" t="str">
        <f>"DD000000000000000052"</f>
        <v>DD000000000000000052</v>
      </c>
      <c r="N1605" s="28">
        <v>42156</v>
      </c>
      <c r="O1605" s="26"/>
      <c r="P1605" s="26"/>
      <c r="Q1605" s="26"/>
      <c r="R1605" s="26"/>
      <c r="S1605" s="26"/>
      <c r="T1605" s="27"/>
    </row>
    <row r="1606" spans="1:20" s="7" customFormat="1" hidden="1" outlineLevel="3" x14ac:dyDescent="0.2">
      <c r="A1606" s="7" t="s">
        <v>92</v>
      </c>
      <c r="C1606" s="7" t="str">
        <f t="shared" si="237"/>
        <v>Pilar</v>
      </c>
      <c r="D1606" s="7" t="str">
        <f>+D1605</f>
        <v>Ackerman</v>
      </c>
      <c r="E1606" s="8" t="str">
        <f>E1605</f>
        <v>SUPP</v>
      </c>
      <c r="G1606" s="8" t="str">
        <f>G1605</f>
        <v>ACKE0001</v>
      </c>
      <c r="H1606" s="26"/>
      <c r="I1606" s="26"/>
      <c r="J1606" s="26"/>
      <c r="K1606" s="28">
        <f>+K1605</f>
        <v>42156</v>
      </c>
      <c r="L1606" s="26" t="str">
        <f>L1605</f>
        <v>DD000000000000000052</v>
      </c>
      <c r="M1606" s="26"/>
      <c r="N1606" s="26"/>
      <c r="O1606" s="26" t="str">
        <f>"""GP Direct"",""Fabrikam, Inc."",""UPR30300"",""PAYRATE"",""0.00000"",""PAYROLCD"",""401K"",""STATECD"","""",""CHEKDATE"",""6/1/2015"",""UPRTRXAM"",""1.41000"""</f>
        <v>"GP Direct","Fabrikam, Inc.","UPR30300","PAYRATE","0.00000","PAYROLCD","401K","STATECD","","CHEKDATE","6/1/2015","UPRTRXAM","1.41000"</v>
      </c>
      <c r="P1606" s="29">
        <v>0</v>
      </c>
      <c r="Q1606" s="26" t="str">
        <f>"401K"</f>
        <v>401K</v>
      </c>
      <c r="R1606" s="26"/>
      <c r="S1606" s="28">
        <v>42156</v>
      </c>
      <c r="T1606" s="29">
        <v>1.41</v>
      </c>
    </row>
    <row r="1607" spans="1:20" s="7" customFormat="1" hidden="1" outlineLevel="3" x14ac:dyDescent="0.2">
      <c r="A1607" s="7" t="s">
        <v>92</v>
      </c>
      <c r="C1607" s="7" t="str">
        <f t="shared" ref="C1607:C1612" si="242">+C1606</f>
        <v>Pilar</v>
      </c>
      <c r="D1607" s="7" t="str">
        <f>+D1606</f>
        <v>Ackerman</v>
      </c>
      <c r="E1607" s="8" t="str">
        <f>E1606</f>
        <v>SUPP</v>
      </c>
      <c r="G1607" s="8" t="str">
        <f>G1606</f>
        <v>ACKE0001</v>
      </c>
      <c r="H1607" s="26"/>
      <c r="I1607" s="26"/>
      <c r="J1607" s="26"/>
      <c r="K1607" s="28">
        <f>+K1606</f>
        <v>42156</v>
      </c>
      <c r="L1607" s="26" t="str">
        <f>L1606</f>
        <v>DD000000000000000052</v>
      </c>
      <c r="M1607" s="26"/>
      <c r="N1607" s="26"/>
      <c r="O1607" s="26" t="str">
        <f>"""GP Direct"",""Fabrikam, Inc."",""UPR30300"",""PAYRATE"",""0.00000"",""PAYROLCD"",""401K"",""STATECD"","""",""CHEKDATE"",""6/1/2015"",""UPRTRXAM"",""28.13000"""</f>
        <v>"GP Direct","Fabrikam, Inc.","UPR30300","PAYRATE","0.00000","PAYROLCD","401K","STATECD","","CHEKDATE","6/1/2015","UPRTRXAM","28.13000"</v>
      </c>
      <c r="P1607" s="29">
        <v>0</v>
      </c>
      <c r="Q1607" s="26" t="str">
        <f>"401K"</f>
        <v>401K</v>
      </c>
      <c r="R1607" s="26"/>
      <c r="S1607" s="28">
        <v>42156</v>
      </c>
      <c r="T1607" s="29">
        <v>28.13</v>
      </c>
    </row>
    <row r="1608" spans="1:20" s="7" customFormat="1" hidden="1" outlineLevel="3" x14ac:dyDescent="0.2">
      <c r="A1608" s="7" t="s">
        <v>92</v>
      </c>
      <c r="C1608" s="7" t="str">
        <f t="shared" si="242"/>
        <v>Pilar</v>
      </c>
      <c r="D1608" s="7" t="str">
        <f>+D1607</f>
        <v>Ackerman</v>
      </c>
      <c r="E1608" s="8" t="str">
        <f>E1607</f>
        <v>SUPP</v>
      </c>
      <c r="G1608" s="8" t="str">
        <f>G1607</f>
        <v>ACKE0001</v>
      </c>
      <c r="H1608" s="26"/>
      <c r="I1608" s="26"/>
      <c r="J1608" s="26"/>
      <c r="K1608" s="28">
        <f>+K1607</f>
        <v>42156</v>
      </c>
      <c r="L1608" s="26" t="str">
        <f>L1607</f>
        <v>DD000000000000000052</v>
      </c>
      <c r="M1608" s="26"/>
      <c r="N1608" s="26"/>
      <c r="O1608" s="26" t="str">
        <f>"""GP Direct"",""Fabrikam, Inc."",""UPR30300"",""PAYRATE"",""0.00000"",""PAYROLCD"",""IL"",""STATECD"","""",""CHEKDATE"",""6/1/2015"",""UPRTRXAM"",""14.49000"""</f>
        <v>"GP Direct","Fabrikam, Inc.","UPR30300","PAYRATE","0.00000","PAYROLCD","IL","STATECD","","CHEKDATE","6/1/2015","UPRTRXAM","14.49000"</v>
      </c>
      <c r="P1608" s="29">
        <v>0</v>
      </c>
      <c r="Q1608" s="26" t="str">
        <f>"IL"</f>
        <v>IL</v>
      </c>
      <c r="R1608" s="26"/>
      <c r="S1608" s="28">
        <v>42156</v>
      </c>
      <c r="T1608" s="29">
        <v>14.49</v>
      </c>
    </row>
    <row r="1609" spans="1:20" s="7" customFormat="1" hidden="1" outlineLevel="3" x14ac:dyDescent="0.2">
      <c r="A1609" s="7" t="s">
        <v>92</v>
      </c>
      <c r="C1609" s="7" t="str">
        <f t="shared" si="242"/>
        <v>Pilar</v>
      </c>
      <c r="D1609" s="7" t="str">
        <f>+D1608</f>
        <v>Ackerman</v>
      </c>
      <c r="E1609" s="8" t="str">
        <f>E1608</f>
        <v>SUPP</v>
      </c>
      <c r="G1609" s="8" t="str">
        <f>G1608</f>
        <v>ACKE0001</v>
      </c>
      <c r="H1609" s="26"/>
      <c r="I1609" s="26"/>
      <c r="J1609" s="26"/>
      <c r="K1609" s="28">
        <f>+K1608</f>
        <v>42156</v>
      </c>
      <c r="L1609" s="26" t="str">
        <f>L1608</f>
        <v>DD000000000000000052</v>
      </c>
      <c r="M1609" s="26"/>
      <c r="N1609" s="26"/>
      <c r="O1609" s="26" t="str">
        <f>"""GP Direct"",""Fabrikam, Inc."",""UPR30300"",""PAYRATE"",""0.00000"",""PAYROLCD"",""INS"",""STATECD"","""",""CHEKDATE"",""6/1/2015"",""UPRTRXAM"",""49.36000"""</f>
        <v>"GP Direct","Fabrikam, Inc.","UPR30300","PAYRATE","0.00000","PAYROLCD","INS","STATECD","","CHEKDATE","6/1/2015","UPRTRXAM","49.36000"</v>
      </c>
      <c r="P1609" s="29">
        <v>0</v>
      </c>
      <c r="Q1609" s="26" t="str">
        <f>"INS"</f>
        <v>INS</v>
      </c>
      <c r="R1609" s="26"/>
      <c r="S1609" s="28">
        <v>42156</v>
      </c>
      <c r="T1609" s="29">
        <v>49.36</v>
      </c>
    </row>
    <row r="1610" spans="1:20" s="7" customFormat="1" hidden="1" outlineLevel="3" x14ac:dyDescent="0.2">
      <c r="A1610" s="7" t="s">
        <v>92</v>
      </c>
      <c r="C1610" s="7" t="str">
        <f t="shared" si="242"/>
        <v>Pilar</v>
      </c>
      <c r="D1610" s="7" t="str">
        <f>+D1609</f>
        <v>Ackerman</v>
      </c>
      <c r="E1610" s="8" t="str">
        <f>E1609</f>
        <v>SUPP</v>
      </c>
      <c r="G1610" s="8" t="str">
        <f>G1609</f>
        <v>ACKE0001</v>
      </c>
      <c r="H1610" s="26"/>
      <c r="I1610" s="26"/>
      <c r="J1610" s="26"/>
      <c r="K1610" s="28">
        <f>+K1609</f>
        <v>42156</v>
      </c>
      <c r="L1610" s="26" t="str">
        <f>L1609</f>
        <v>DD000000000000000052</v>
      </c>
      <c r="M1610" s="26"/>
      <c r="N1610" s="26"/>
      <c r="O1610" s="26" t="str">
        <f>"""GP Direct"",""Fabrikam, Inc."",""UPR30300"",""PAYRATE"",""0.00000"",""PAYROLCD"",""INS2"",""STATECD"","""",""CHEKDATE"",""6/1/2015"",""UPRTRXAM"",""72.95000"""</f>
        <v>"GP Direct","Fabrikam, Inc.","UPR30300","PAYRATE","0.00000","PAYROLCD","INS2","STATECD","","CHEKDATE","6/1/2015","UPRTRXAM","72.95000"</v>
      </c>
      <c r="P1610" s="29">
        <v>0</v>
      </c>
      <c r="Q1610" s="26" t="str">
        <f>"INS2"</f>
        <v>INS2</v>
      </c>
      <c r="R1610" s="26"/>
      <c r="S1610" s="28">
        <v>42156</v>
      </c>
      <c r="T1610" s="29">
        <v>72.95</v>
      </c>
    </row>
    <row r="1611" spans="1:20" s="7" customFormat="1" hidden="1" outlineLevel="3" x14ac:dyDescent="0.2">
      <c r="A1611" s="7" t="s">
        <v>92</v>
      </c>
      <c r="C1611" s="7" t="str">
        <f t="shared" si="242"/>
        <v>Pilar</v>
      </c>
      <c r="D1611" s="7" t="str">
        <f>+D1610</f>
        <v>Ackerman</v>
      </c>
      <c r="E1611" s="8" t="str">
        <f>E1610</f>
        <v>SUPP</v>
      </c>
      <c r="G1611" s="8" t="str">
        <f>G1610</f>
        <v>ACKE0001</v>
      </c>
      <c r="H1611" s="26"/>
      <c r="I1611" s="26"/>
      <c r="J1611" s="26"/>
      <c r="K1611" s="28">
        <f>+K1610</f>
        <v>42156</v>
      </c>
      <c r="L1611" s="26" t="str">
        <f>L1610</f>
        <v>DD000000000000000052</v>
      </c>
      <c r="M1611" s="26"/>
      <c r="N1611" s="26"/>
      <c r="O1611" s="26" t="str">
        <f>"""GP Direct"",""Fabrikam, Inc."",""UPR30300"",""PAYRATE"",""0.00000"",""PAYROLCD"",""MED"",""STATECD"","""",""CHEKDATE"",""6/1/2015"",""UPRTRXAM"",""20.00000"""</f>
        <v>"GP Direct","Fabrikam, Inc.","UPR30300","PAYRATE","0.00000","PAYROLCD","MED","STATECD","","CHEKDATE","6/1/2015","UPRTRXAM","20.00000"</v>
      </c>
      <c r="P1611" s="29">
        <v>0</v>
      </c>
      <c r="Q1611" s="26" t="str">
        <f>"MED"</f>
        <v>MED</v>
      </c>
      <c r="R1611" s="26"/>
      <c r="S1611" s="28">
        <v>42156</v>
      </c>
      <c r="T1611" s="29">
        <v>20</v>
      </c>
    </row>
    <row r="1612" spans="1:20" s="7" customFormat="1" hidden="1" outlineLevel="3" x14ac:dyDescent="0.2">
      <c r="A1612" s="7" t="s">
        <v>92</v>
      </c>
      <c r="C1612" s="7" t="str">
        <f t="shared" si="242"/>
        <v>Pilar</v>
      </c>
      <c r="D1612" s="7" t="str">
        <f>+D1611</f>
        <v>Ackerman</v>
      </c>
      <c r="E1612" s="8" t="str">
        <f>E1611</f>
        <v>SUPP</v>
      </c>
      <c r="G1612" s="8" t="str">
        <f>G1611</f>
        <v>ACKE0001</v>
      </c>
      <c r="H1612" s="26"/>
      <c r="I1612" s="26"/>
      <c r="J1612" s="26"/>
      <c r="K1612" s="28">
        <f>+K1611</f>
        <v>42156</v>
      </c>
      <c r="L1612" s="26" t="str">
        <f>L1611</f>
        <v>DD000000000000000052</v>
      </c>
      <c r="M1612" s="26"/>
      <c r="N1612" s="26"/>
      <c r="O1612" s="26" t="str">
        <f>"""GP Direct"",""Fabrikam, Inc."",""UPR30300"",""PAYRATE"",""22500.00000"",""PAYROLCD"",""SALY"",""STATECD"",""IL"",""CHEKDATE"",""6/1/2015"",""UPRTRXAM"",""937.50000"""</f>
        <v>"GP Direct","Fabrikam, Inc.","UPR30300","PAYRATE","22500.00000","PAYROLCD","SALY","STATECD","IL","CHEKDATE","6/1/2015","UPRTRXAM","937.50000"</v>
      </c>
      <c r="P1612" s="29">
        <v>22500</v>
      </c>
      <c r="Q1612" s="26" t="str">
        <f>"SALY"</f>
        <v>SALY</v>
      </c>
      <c r="R1612" s="26" t="str">
        <f>"IL"</f>
        <v>IL</v>
      </c>
      <c r="S1612" s="28">
        <v>42156</v>
      </c>
      <c r="T1612" s="29">
        <v>937.5</v>
      </c>
    </row>
    <row r="1613" spans="1:20" s="7" customFormat="1" hidden="1" outlineLevel="3" x14ac:dyDescent="0.2">
      <c r="A1613" s="7" t="s">
        <v>92</v>
      </c>
      <c r="C1613" s="7" t="str">
        <f>+C1606</f>
        <v>Pilar</v>
      </c>
      <c r="D1613" s="7" t="str">
        <f>+D1606</f>
        <v>Ackerman</v>
      </c>
      <c r="E1613" s="8" t="str">
        <f>E1606</f>
        <v>SUPP</v>
      </c>
      <c r="G1613" s="8" t="str">
        <f>G1606</f>
        <v>ACKE0001</v>
      </c>
      <c r="K1613" s="12">
        <f>+K1606</f>
        <v>42156</v>
      </c>
      <c r="L1613" s="8" t="str">
        <f>L1606</f>
        <v>DD000000000000000052</v>
      </c>
      <c r="O1613" s="8"/>
      <c r="T1613" s="20"/>
    </row>
    <row r="1614" spans="1:20" s="7" customFormat="1" hidden="1" outlineLevel="2" collapsed="1" x14ac:dyDescent="0.2">
      <c r="A1614" s="7" t="s">
        <v>92</v>
      </c>
      <c r="C1614" s="7" t="str">
        <f t="shared" si="237"/>
        <v>Pilar</v>
      </c>
      <c r="D1614" s="7" t="str">
        <f>+D1613</f>
        <v>Ackerman</v>
      </c>
      <c r="E1614" s="8" t="str">
        <f>E1613</f>
        <v>SUPP</v>
      </c>
      <c r="G1614" s="8" t="str">
        <f>G1613</f>
        <v>ACKE0001</v>
      </c>
      <c r="K1614" s="12">
        <f>+K1613</f>
        <v>42156</v>
      </c>
      <c r="L1614" s="8" t="str">
        <f>L1613</f>
        <v>DD000000000000000052</v>
      </c>
      <c r="M1614" s="33" t="str">
        <f>"Total for " &amp; $L1614</f>
        <v>Total for DD000000000000000052</v>
      </c>
      <c r="N1614" s="34">
        <f>+K1614</f>
        <v>42156</v>
      </c>
      <c r="O1614" s="35"/>
      <c r="P1614" s="33"/>
      <c r="Q1614" s="33"/>
      <c r="R1614" s="33"/>
      <c r="S1614" s="33"/>
      <c r="T1614" s="36">
        <f>SUBTOTAL(9,T1606:T1613)</f>
        <v>1123.8399999999999</v>
      </c>
    </row>
    <row r="1615" spans="1:20" s="7" customFormat="1" hidden="1" outlineLevel="3" x14ac:dyDescent="0.2">
      <c r="A1615" s="7" t="s">
        <v>92</v>
      </c>
      <c r="C1615" s="7" t="str">
        <f t="shared" si="237"/>
        <v>Pilar</v>
      </c>
      <c r="D1615" s="7" t="str">
        <f>+D1614</f>
        <v>Ackerman</v>
      </c>
      <c r="E1615" s="8" t="str">
        <f>E1614</f>
        <v>SUPP</v>
      </c>
      <c r="G1615" s="8" t="str">
        <f>G1614</f>
        <v>ACKE0001</v>
      </c>
      <c r="H1615" s="26"/>
      <c r="I1615" s="26"/>
      <c r="J1615" s="26"/>
      <c r="K1615" s="28">
        <f>+N1615</f>
        <v>42005</v>
      </c>
      <c r="L1615" s="26" t="str">
        <f>M1615</f>
        <v>DD000000000000000185</v>
      </c>
      <c r="M1615" s="26" t="str">
        <f>"DD000000000000000185"</f>
        <v>DD000000000000000185</v>
      </c>
      <c r="N1615" s="28">
        <v>42005</v>
      </c>
      <c r="O1615" s="26"/>
      <c r="P1615" s="26"/>
      <c r="Q1615" s="26"/>
      <c r="R1615" s="26"/>
      <c r="S1615" s="26"/>
      <c r="T1615" s="27"/>
    </row>
    <row r="1616" spans="1:20" s="7" customFormat="1" hidden="1" outlineLevel="3" x14ac:dyDescent="0.2">
      <c r="A1616" s="7" t="s">
        <v>92</v>
      </c>
      <c r="C1616" s="7" t="str">
        <f t="shared" si="237"/>
        <v>Pilar</v>
      </c>
      <c r="D1616" s="7" t="str">
        <f>+D1615</f>
        <v>Ackerman</v>
      </c>
      <c r="E1616" s="8" t="str">
        <f>E1615</f>
        <v>SUPP</v>
      </c>
      <c r="G1616" s="8" t="str">
        <f>G1615</f>
        <v>ACKE0001</v>
      </c>
      <c r="H1616" s="26"/>
      <c r="I1616" s="26"/>
      <c r="J1616" s="26"/>
      <c r="K1616" s="28">
        <f>+K1615</f>
        <v>42005</v>
      </c>
      <c r="L1616" s="26" t="str">
        <f>L1615</f>
        <v>DD000000000000000185</v>
      </c>
      <c r="M1616" s="26"/>
      <c r="N1616" s="26"/>
      <c r="O1616" s="26" t="str">
        <f>"""GP Direct"",""Fabrikam, Inc."",""UPR30300"",""PAYRATE"",""0.00000"",""PAYROLCD"",""IL"",""STATECD"","""",""CHEKDATE"",""1/1/2015"",""UPRTRXAM"",""14.08000"""</f>
        <v>"GP Direct","Fabrikam, Inc.","UPR30300","PAYRATE","0.00000","PAYROLCD","IL","STATECD","","CHEKDATE","1/1/2015","UPRTRXAM","14.08000"</v>
      </c>
      <c r="P1616" s="29">
        <v>0</v>
      </c>
      <c r="Q1616" s="26" t="str">
        <f>"IL"</f>
        <v>IL</v>
      </c>
      <c r="R1616" s="26"/>
      <c r="S1616" s="28">
        <v>42005</v>
      </c>
      <c r="T1616" s="29">
        <v>14.08</v>
      </c>
    </row>
    <row r="1617" spans="1:20" s="7" customFormat="1" hidden="1" outlineLevel="3" x14ac:dyDescent="0.2">
      <c r="A1617" s="7" t="s">
        <v>92</v>
      </c>
      <c r="C1617" s="7" t="str">
        <f t="shared" ref="C1617" si="243">+C1616</f>
        <v>Pilar</v>
      </c>
      <c r="D1617" s="7" t="str">
        <f>+D1616</f>
        <v>Ackerman</v>
      </c>
      <c r="E1617" s="8" t="str">
        <f>E1616</f>
        <v>SUPP</v>
      </c>
      <c r="G1617" s="8" t="str">
        <f>G1616</f>
        <v>ACKE0001</v>
      </c>
      <c r="H1617" s="26"/>
      <c r="I1617" s="26"/>
      <c r="J1617" s="26"/>
      <c r="K1617" s="28">
        <f>+K1616</f>
        <v>42005</v>
      </c>
      <c r="L1617" s="26" t="str">
        <f>L1616</f>
        <v>DD000000000000000185</v>
      </c>
      <c r="M1617" s="26"/>
      <c r="N1617" s="26"/>
      <c r="O1617" s="26" t="str">
        <f>"""GP Direct"",""Fabrikam, Inc."",""UPR30300"",""PAYRATE"",""500.00000"",""PAYROLCD"",""BONS"",""STATECD"",""IL"",""CHEKDATE"",""1/1/2015"",""UPRTRXAM"",""500.00000"""</f>
        <v>"GP Direct","Fabrikam, Inc.","UPR30300","PAYRATE","500.00000","PAYROLCD","BONS","STATECD","IL","CHEKDATE","1/1/2015","UPRTRXAM","500.00000"</v>
      </c>
      <c r="P1617" s="29">
        <v>500</v>
      </c>
      <c r="Q1617" s="26" t="str">
        <f>"BONS"</f>
        <v>BONS</v>
      </c>
      <c r="R1617" s="26" t="str">
        <f>"IL"</f>
        <v>IL</v>
      </c>
      <c r="S1617" s="28">
        <v>42005</v>
      </c>
      <c r="T1617" s="29">
        <v>500</v>
      </c>
    </row>
    <row r="1618" spans="1:20" s="7" customFormat="1" hidden="1" outlineLevel="3" x14ac:dyDescent="0.2">
      <c r="A1618" s="7" t="s">
        <v>92</v>
      </c>
      <c r="C1618" s="7" t="str">
        <f>+C1616</f>
        <v>Pilar</v>
      </c>
      <c r="D1618" s="7" t="str">
        <f>+D1616</f>
        <v>Ackerman</v>
      </c>
      <c r="E1618" s="8" t="str">
        <f>E1616</f>
        <v>SUPP</v>
      </c>
      <c r="G1618" s="8" t="str">
        <f>G1616</f>
        <v>ACKE0001</v>
      </c>
      <c r="K1618" s="12">
        <f>+K1616</f>
        <v>42005</v>
      </c>
      <c r="L1618" s="8" t="str">
        <f>L1616</f>
        <v>DD000000000000000185</v>
      </c>
      <c r="O1618" s="8"/>
      <c r="T1618" s="20"/>
    </row>
    <row r="1619" spans="1:20" s="7" customFormat="1" hidden="1" outlineLevel="2" collapsed="1" x14ac:dyDescent="0.2">
      <c r="A1619" s="7" t="s">
        <v>92</v>
      </c>
      <c r="C1619" s="7" t="str">
        <f t="shared" si="237"/>
        <v>Pilar</v>
      </c>
      <c r="D1619" s="7" t="str">
        <f>+D1618</f>
        <v>Ackerman</v>
      </c>
      <c r="E1619" s="8" t="str">
        <f>E1618</f>
        <v>SUPP</v>
      </c>
      <c r="G1619" s="8" t="str">
        <f>G1618</f>
        <v>ACKE0001</v>
      </c>
      <c r="K1619" s="12">
        <f>+K1618</f>
        <v>42005</v>
      </c>
      <c r="L1619" s="8" t="str">
        <f>L1618</f>
        <v>DD000000000000000185</v>
      </c>
      <c r="M1619" s="33" t="str">
        <f>"Total for " &amp; $L1619</f>
        <v>Total for DD000000000000000185</v>
      </c>
      <c r="N1619" s="34">
        <f>+K1619</f>
        <v>42005</v>
      </c>
      <c r="O1619" s="35"/>
      <c r="P1619" s="33"/>
      <c r="Q1619" s="33"/>
      <c r="R1619" s="33"/>
      <c r="S1619" s="33"/>
      <c r="T1619" s="36">
        <f>SUBTOTAL(9,T1616:T1618)</f>
        <v>514.08000000000004</v>
      </c>
    </row>
    <row r="1620" spans="1:20" s="7" customFormat="1" hidden="1" outlineLevel="3" x14ac:dyDescent="0.2">
      <c r="A1620" s="7" t="s">
        <v>92</v>
      </c>
      <c r="C1620" s="7" t="str">
        <f t="shared" si="237"/>
        <v>Pilar</v>
      </c>
      <c r="D1620" s="7" t="str">
        <f>+D1619</f>
        <v>Ackerman</v>
      </c>
      <c r="E1620" s="8" t="str">
        <f>E1619</f>
        <v>SUPP</v>
      </c>
      <c r="G1620" s="8" t="str">
        <f>G1619</f>
        <v>ACKE0001</v>
      </c>
      <c r="H1620" s="26"/>
      <c r="I1620" s="26"/>
      <c r="J1620" s="26"/>
      <c r="K1620" s="28">
        <f>+N1620</f>
        <v>42156</v>
      </c>
      <c r="L1620" s="26" t="str">
        <f>M1620</f>
        <v>DD000000000000000187</v>
      </c>
      <c r="M1620" s="26" t="str">
        <f>"DD000000000000000187"</f>
        <v>DD000000000000000187</v>
      </c>
      <c r="N1620" s="28">
        <v>42156</v>
      </c>
      <c r="O1620" s="26"/>
      <c r="P1620" s="26"/>
      <c r="Q1620" s="26"/>
      <c r="R1620" s="26"/>
      <c r="S1620" s="26"/>
      <c r="T1620" s="27"/>
    </row>
    <row r="1621" spans="1:20" s="7" customFormat="1" hidden="1" outlineLevel="3" x14ac:dyDescent="0.2">
      <c r="A1621" s="7" t="s">
        <v>92</v>
      </c>
      <c r="C1621" s="7" t="str">
        <f t="shared" si="237"/>
        <v>Pilar</v>
      </c>
      <c r="D1621" s="7" t="str">
        <f>+D1620</f>
        <v>Ackerman</v>
      </c>
      <c r="E1621" s="8" t="str">
        <f>E1620</f>
        <v>SUPP</v>
      </c>
      <c r="G1621" s="8" t="str">
        <f>G1620</f>
        <v>ACKE0001</v>
      </c>
      <c r="H1621" s="26"/>
      <c r="I1621" s="26"/>
      <c r="J1621" s="26"/>
      <c r="K1621" s="28">
        <f>+K1620</f>
        <v>42156</v>
      </c>
      <c r="L1621" s="26" t="str">
        <f>L1620</f>
        <v>DD000000000000000187</v>
      </c>
      <c r="M1621" s="26"/>
      <c r="N1621" s="26"/>
      <c r="O1621" s="26" t="str">
        <f>"""GP Direct"",""Fabrikam, Inc."",""UPR30300"",""PAYRATE"",""0.00000"",""PAYROLCD"",""IL"",""STATECD"","""",""CHEKDATE"",""6/1/2015"",""UPRTRXAM"",""26.08000"""</f>
        <v>"GP Direct","Fabrikam, Inc.","UPR30300","PAYRATE","0.00000","PAYROLCD","IL","STATECD","","CHEKDATE","6/1/2015","UPRTRXAM","26.08000"</v>
      </c>
      <c r="P1621" s="29">
        <v>0</v>
      </c>
      <c r="Q1621" s="26" t="str">
        <f>"IL"</f>
        <v>IL</v>
      </c>
      <c r="R1621" s="26"/>
      <c r="S1621" s="28">
        <v>42156</v>
      </c>
      <c r="T1621" s="29">
        <v>26.08</v>
      </c>
    </row>
    <row r="1622" spans="1:20" s="7" customFormat="1" hidden="1" outlineLevel="3" x14ac:dyDescent="0.2">
      <c r="A1622" s="7" t="s">
        <v>92</v>
      </c>
      <c r="C1622" s="7" t="str">
        <f t="shared" ref="C1622" si="244">+C1621</f>
        <v>Pilar</v>
      </c>
      <c r="D1622" s="7" t="str">
        <f>+D1621</f>
        <v>Ackerman</v>
      </c>
      <c r="E1622" s="8" t="str">
        <f>E1621</f>
        <v>SUPP</v>
      </c>
      <c r="G1622" s="8" t="str">
        <f>G1621</f>
        <v>ACKE0001</v>
      </c>
      <c r="H1622" s="26"/>
      <c r="I1622" s="26"/>
      <c r="J1622" s="26"/>
      <c r="K1622" s="28">
        <f>+K1621</f>
        <v>42156</v>
      </c>
      <c r="L1622" s="26" t="str">
        <f>L1621</f>
        <v>DD000000000000000187</v>
      </c>
      <c r="M1622" s="26"/>
      <c r="N1622" s="26"/>
      <c r="O1622" s="26" t="str">
        <f>"""GP Direct"",""Fabrikam, Inc."",""UPR30300"",""PAYRATE"",""900.00000"",""PAYROLCD"",""BONS"",""STATECD"",""IL"",""CHEKDATE"",""6/1/2015"",""UPRTRXAM"",""900.00000"""</f>
        <v>"GP Direct","Fabrikam, Inc.","UPR30300","PAYRATE","900.00000","PAYROLCD","BONS","STATECD","IL","CHEKDATE","6/1/2015","UPRTRXAM","900.00000"</v>
      </c>
      <c r="P1622" s="29">
        <v>900</v>
      </c>
      <c r="Q1622" s="26" t="str">
        <f>"BONS"</f>
        <v>BONS</v>
      </c>
      <c r="R1622" s="26" t="str">
        <f>"IL"</f>
        <v>IL</v>
      </c>
      <c r="S1622" s="28">
        <v>42156</v>
      </c>
      <c r="T1622" s="29">
        <v>900</v>
      </c>
    </row>
    <row r="1623" spans="1:20" s="7" customFormat="1" hidden="1" outlineLevel="3" x14ac:dyDescent="0.2">
      <c r="A1623" s="7" t="s">
        <v>92</v>
      </c>
      <c r="C1623" s="7" t="str">
        <f>+C1621</f>
        <v>Pilar</v>
      </c>
      <c r="D1623" s="7" t="str">
        <f>+D1621</f>
        <v>Ackerman</v>
      </c>
      <c r="E1623" s="8" t="str">
        <f>E1621</f>
        <v>SUPP</v>
      </c>
      <c r="G1623" s="8" t="str">
        <f>G1621</f>
        <v>ACKE0001</v>
      </c>
      <c r="K1623" s="12">
        <f>+K1621</f>
        <v>42156</v>
      </c>
      <c r="L1623" s="8" t="str">
        <f>L1621</f>
        <v>DD000000000000000187</v>
      </c>
      <c r="O1623" s="8"/>
      <c r="T1623" s="20"/>
    </row>
    <row r="1624" spans="1:20" s="7" customFormat="1" hidden="1" outlineLevel="2" collapsed="1" x14ac:dyDescent="0.2">
      <c r="A1624" s="7" t="s">
        <v>92</v>
      </c>
      <c r="C1624" s="7" t="str">
        <f t="shared" si="237"/>
        <v>Pilar</v>
      </c>
      <c r="D1624" s="7" t="str">
        <f>+D1623</f>
        <v>Ackerman</v>
      </c>
      <c r="E1624" s="8" t="str">
        <f>E1623</f>
        <v>SUPP</v>
      </c>
      <c r="G1624" s="8" t="str">
        <f>G1623</f>
        <v>ACKE0001</v>
      </c>
      <c r="K1624" s="12">
        <f>+K1623</f>
        <v>42156</v>
      </c>
      <c r="L1624" s="8" t="str">
        <f>L1623</f>
        <v>DD000000000000000187</v>
      </c>
      <c r="M1624" s="33" t="str">
        <f>"Total for " &amp; $L1624</f>
        <v>Total for DD000000000000000187</v>
      </c>
      <c r="N1624" s="34">
        <f>+K1624</f>
        <v>42156</v>
      </c>
      <c r="O1624" s="35"/>
      <c r="P1624" s="33"/>
      <c r="Q1624" s="33"/>
      <c r="R1624" s="33"/>
      <c r="S1624" s="33"/>
      <c r="T1624" s="36">
        <f>SUBTOTAL(9,T1621:T1623)</f>
        <v>926.08</v>
      </c>
    </row>
    <row r="1625" spans="1:20" s="7" customFormat="1" hidden="1" outlineLevel="2" x14ac:dyDescent="0.2">
      <c r="A1625" s="7" t="s">
        <v>92</v>
      </c>
      <c r="C1625" s="7" t="str">
        <f>+C1564</f>
        <v>Pilar</v>
      </c>
      <c r="D1625" s="7" t="str">
        <f>+D1564</f>
        <v>Ackerman</v>
      </c>
      <c r="E1625" s="8" t="str">
        <f>E1564</f>
        <v>SUPP</v>
      </c>
      <c r="G1625" s="8" t="str">
        <f>G1564</f>
        <v>ACKE0001</v>
      </c>
      <c r="L1625" s="8"/>
      <c r="O1625" s="8"/>
      <c r="T1625" s="20"/>
    </row>
    <row r="1626" spans="1:20" s="7" customFormat="1" hidden="1" outlineLevel="1" collapsed="1" x14ac:dyDescent="0.2">
      <c r="A1626" s="7" t="s">
        <v>92</v>
      </c>
      <c r="C1626" s="7" t="str">
        <f t="shared" si="235"/>
        <v>Pilar</v>
      </c>
      <c r="D1626" s="7" t="str">
        <f>+D1625</f>
        <v>Ackerman</v>
      </c>
      <c r="E1626" s="8" t="str">
        <f>E1625</f>
        <v>SUPP</v>
      </c>
      <c r="G1626" s="8" t="str">
        <f>G1625</f>
        <v>ACKE0001</v>
      </c>
      <c r="H1626" s="30" t="str">
        <f>"Total for " &amp; $G1626</f>
        <v>Total for ACKE0001</v>
      </c>
      <c r="I1626" s="30" t="str">
        <f>+C1626</f>
        <v>Pilar</v>
      </c>
      <c r="J1626" s="30" t="str">
        <f>+D1626</f>
        <v>Ackerman</v>
      </c>
      <c r="K1626" s="30"/>
      <c r="L1626" s="31"/>
      <c r="M1626" s="30"/>
      <c r="N1626" s="30"/>
      <c r="O1626" s="31"/>
      <c r="P1626" s="30"/>
      <c r="Q1626" s="30"/>
      <c r="R1626" s="30"/>
      <c r="S1626" s="30"/>
      <c r="T1626" s="32">
        <f>SUBTOTAL(9,T1556:T1625)</f>
        <v>8183.199999999998</v>
      </c>
    </row>
    <row r="1627" spans="1:20" s="7" customFormat="1" hidden="1" outlineLevel="2" x14ac:dyDescent="0.2">
      <c r="A1627" s="7" t="s">
        <v>92</v>
      </c>
      <c r="C1627" s="7" t="str">
        <f t="shared" ref="C1627" si="245">+I1627</f>
        <v>Kathie</v>
      </c>
      <c r="D1627" s="7" t="str">
        <f>+J1627</f>
        <v>Flood</v>
      </c>
      <c r="E1627" s="8" t="str">
        <f>E1626</f>
        <v>SUPP</v>
      </c>
      <c r="G1627" s="8" t="str">
        <f>H1627</f>
        <v>FLOO0001</v>
      </c>
      <c r="H1627" s="24" t="str">
        <f>"FLOO0001"</f>
        <v>FLOO0001</v>
      </c>
      <c r="I1627" s="25" t="str">
        <f>"Kathie"</f>
        <v>Kathie</v>
      </c>
      <c r="J1627" s="25" t="str">
        <f>"Flood"</f>
        <v>Flood</v>
      </c>
      <c r="K1627" s="26"/>
      <c r="L1627" s="26"/>
      <c r="M1627" s="26"/>
      <c r="N1627" s="26"/>
      <c r="O1627" s="26"/>
      <c r="P1627" s="26"/>
      <c r="Q1627" s="26"/>
      <c r="R1627" s="26"/>
      <c r="S1627" s="26"/>
      <c r="T1627" s="27"/>
    </row>
    <row r="1628" spans="1:20" s="7" customFormat="1" hidden="1" outlineLevel="3" x14ac:dyDescent="0.2">
      <c r="A1628" s="7" t="s">
        <v>92</v>
      </c>
      <c r="C1628" s="7" t="str">
        <f t="shared" ref="C1628:C1690" si="246">+C1627</f>
        <v>Kathie</v>
      </c>
      <c r="D1628" s="7" t="str">
        <f>+D1627</f>
        <v>Flood</v>
      </c>
      <c r="E1628" s="8" t="str">
        <f>E1627</f>
        <v>SUPP</v>
      </c>
      <c r="G1628" s="8" t="str">
        <f>G1627</f>
        <v>FLOO0001</v>
      </c>
      <c r="H1628" s="26"/>
      <c r="I1628" s="26"/>
      <c r="J1628" s="26"/>
      <c r="K1628" s="28">
        <f>+N1628</f>
        <v>42005</v>
      </c>
      <c r="L1628" s="26" t="str">
        <f>M1628</f>
        <v>10362</v>
      </c>
      <c r="M1628" s="26" t="str">
        <f>"10362"</f>
        <v>10362</v>
      </c>
      <c r="N1628" s="28">
        <v>42005</v>
      </c>
      <c r="O1628" s="26"/>
      <c r="P1628" s="26"/>
      <c r="Q1628" s="26"/>
      <c r="R1628" s="26"/>
      <c r="S1628" s="26"/>
      <c r="T1628" s="27"/>
    </row>
    <row r="1629" spans="1:20" s="7" customFormat="1" hidden="1" outlineLevel="3" x14ac:dyDescent="0.2">
      <c r="A1629" s="7" t="s">
        <v>92</v>
      </c>
      <c r="C1629" s="7" t="str">
        <f t="shared" si="246"/>
        <v>Kathie</v>
      </c>
      <c r="D1629" s="7" t="str">
        <f>+D1628</f>
        <v>Flood</v>
      </c>
      <c r="E1629" s="8" t="str">
        <f>E1628</f>
        <v>SUPP</v>
      </c>
      <c r="G1629" s="8" t="str">
        <f>G1628</f>
        <v>FLOO0001</v>
      </c>
      <c r="H1629" s="26"/>
      <c r="I1629" s="26"/>
      <c r="J1629" s="26"/>
      <c r="K1629" s="28">
        <f>+K1628</f>
        <v>42005</v>
      </c>
      <c r="L1629" s="26" t="str">
        <f>L1628</f>
        <v>10362</v>
      </c>
      <c r="M1629" s="26"/>
      <c r="N1629" s="26"/>
      <c r="O1629" s="26" t="str">
        <f>"""GP Direct"",""Fabrikam, Inc."",""UPR30300"",""PAYRATE"",""0.00000"",""PAYROLCD"",""401K"",""STATECD"","""",""CHEKDATE"",""1/1/2015"",""UPRTRXAM"",""2.28000"""</f>
        <v>"GP Direct","Fabrikam, Inc.","UPR30300","PAYRATE","0.00000","PAYROLCD","401K","STATECD","","CHEKDATE","1/1/2015","UPRTRXAM","2.28000"</v>
      </c>
      <c r="P1629" s="29">
        <v>0</v>
      </c>
      <c r="Q1629" s="26" t="str">
        <f>"401K"</f>
        <v>401K</v>
      </c>
      <c r="R1629" s="26"/>
      <c r="S1629" s="28">
        <v>42005</v>
      </c>
      <c r="T1629" s="29">
        <v>2.2799999999999998</v>
      </c>
    </row>
    <row r="1630" spans="1:20" s="7" customFormat="1" hidden="1" outlineLevel="3" x14ac:dyDescent="0.2">
      <c r="A1630" s="7" t="s">
        <v>92</v>
      </c>
      <c r="C1630" s="7" t="str">
        <f t="shared" ref="C1630:C1635" si="247">+C1629</f>
        <v>Kathie</v>
      </c>
      <c r="D1630" s="7" t="str">
        <f>+D1629</f>
        <v>Flood</v>
      </c>
      <c r="E1630" s="8" t="str">
        <f>E1629</f>
        <v>SUPP</v>
      </c>
      <c r="G1630" s="8" t="str">
        <f>G1629</f>
        <v>FLOO0001</v>
      </c>
      <c r="H1630" s="26"/>
      <c r="I1630" s="26"/>
      <c r="J1630" s="26"/>
      <c r="K1630" s="28">
        <f>+K1629</f>
        <v>42005</v>
      </c>
      <c r="L1630" s="26" t="str">
        <f>L1629</f>
        <v>10362</v>
      </c>
      <c r="M1630" s="26"/>
      <c r="N1630" s="26"/>
      <c r="O1630" s="26" t="str">
        <f>"""GP Direct"",""Fabrikam, Inc."",""UPR30300"",""PAYRATE"",""0.00000"",""PAYROLCD"",""401K"",""STATECD"","""",""CHEKDATE"",""1/1/2015"",""UPRTRXAM"",""45.63000"""</f>
        <v>"GP Direct","Fabrikam, Inc.","UPR30300","PAYRATE","0.00000","PAYROLCD","401K","STATECD","","CHEKDATE","1/1/2015","UPRTRXAM","45.63000"</v>
      </c>
      <c r="P1630" s="29">
        <v>0</v>
      </c>
      <c r="Q1630" s="26" t="str">
        <f>"401K"</f>
        <v>401K</v>
      </c>
      <c r="R1630" s="26"/>
      <c r="S1630" s="28">
        <v>42005</v>
      </c>
      <c r="T1630" s="29">
        <v>45.63</v>
      </c>
    </row>
    <row r="1631" spans="1:20" s="7" customFormat="1" hidden="1" outlineLevel="3" x14ac:dyDescent="0.2">
      <c r="A1631" s="7" t="s">
        <v>92</v>
      </c>
      <c r="C1631" s="7" t="str">
        <f t="shared" si="247"/>
        <v>Kathie</v>
      </c>
      <c r="D1631" s="7" t="str">
        <f>+D1630</f>
        <v>Flood</v>
      </c>
      <c r="E1631" s="8" t="str">
        <f>E1630</f>
        <v>SUPP</v>
      </c>
      <c r="G1631" s="8" t="str">
        <f>G1630</f>
        <v>FLOO0001</v>
      </c>
      <c r="H1631" s="26"/>
      <c r="I1631" s="26"/>
      <c r="J1631" s="26"/>
      <c r="K1631" s="28">
        <f>+K1630</f>
        <v>42005</v>
      </c>
      <c r="L1631" s="26" t="str">
        <f>L1630</f>
        <v>10362</v>
      </c>
      <c r="M1631" s="26"/>
      <c r="N1631" s="26"/>
      <c r="O1631" s="26" t="str">
        <f>"""GP Direct"",""Fabrikam, Inc."",""UPR30300"",""PAYRATE"",""0.00000"",""PAYROLCD"",""IL"",""STATECD"","""",""CHEKDATE"",""1/1/2015"",""UPRTRXAM"",""15.72000"""</f>
        <v>"GP Direct","Fabrikam, Inc.","UPR30300","PAYRATE","0.00000","PAYROLCD","IL","STATECD","","CHEKDATE","1/1/2015","UPRTRXAM","15.72000"</v>
      </c>
      <c r="P1631" s="29">
        <v>0</v>
      </c>
      <c r="Q1631" s="26" t="str">
        <f>"IL"</f>
        <v>IL</v>
      </c>
      <c r="R1631" s="26"/>
      <c r="S1631" s="28">
        <v>42005</v>
      </c>
      <c r="T1631" s="29">
        <v>15.72</v>
      </c>
    </row>
    <row r="1632" spans="1:20" s="7" customFormat="1" hidden="1" outlineLevel="3" x14ac:dyDescent="0.2">
      <c r="A1632" s="7" t="s">
        <v>92</v>
      </c>
      <c r="C1632" s="7" t="str">
        <f t="shared" si="247"/>
        <v>Kathie</v>
      </c>
      <c r="D1632" s="7" t="str">
        <f>+D1631</f>
        <v>Flood</v>
      </c>
      <c r="E1632" s="8" t="str">
        <f>E1631</f>
        <v>SUPP</v>
      </c>
      <c r="G1632" s="8" t="str">
        <f>G1631</f>
        <v>FLOO0001</v>
      </c>
      <c r="H1632" s="26"/>
      <c r="I1632" s="26"/>
      <c r="J1632" s="26"/>
      <c r="K1632" s="28">
        <f>+K1631</f>
        <v>42005</v>
      </c>
      <c r="L1632" s="26" t="str">
        <f>L1631</f>
        <v>10362</v>
      </c>
      <c r="M1632" s="26"/>
      <c r="N1632" s="26"/>
      <c r="O1632" s="26" t="str">
        <f>"""GP Direct"",""Fabrikam, Inc."",""UPR30300"",""PAYRATE"",""0.00000"",""PAYROLCD"",""INS"",""STATECD"","""",""CHEKDATE"",""1/1/2015"",""UPRTRXAM"",""49.36000"""</f>
        <v>"GP Direct","Fabrikam, Inc.","UPR30300","PAYRATE","0.00000","PAYROLCD","INS","STATECD","","CHEKDATE","1/1/2015","UPRTRXAM","49.36000"</v>
      </c>
      <c r="P1632" s="29">
        <v>0</v>
      </c>
      <c r="Q1632" s="26" t="str">
        <f>"INS"</f>
        <v>INS</v>
      </c>
      <c r="R1632" s="26"/>
      <c r="S1632" s="28">
        <v>42005</v>
      </c>
      <c r="T1632" s="29">
        <v>49.36</v>
      </c>
    </row>
    <row r="1633" spans="1:20" s="7" customFormat="1" hidden="1" outlineLevel="3" x14ac:dyDescent="0.2">
      <c r="A1633" s="7" t="s">
        <v>92</v>
      </c>
      <c r="C1633" s="7" t="str">
        <f t="shared" si="247"/>
        <v>Kathie</v>
      </c>
      <c r="D1633" s="7" t="str">
        <f>+D1632</f>
        <v>Flood</v>
      </c>
      <c r="E1633" s="8" t="str">
        <f>E1632</f>
        <v>SUPP</v>
      </c>
      <c r="G1633" s="8" t="str">
        <f>G1632</f>
        <v>FLOO0001</v>
      </c>
      <c r="H1633" s="26"/>
      <c r="I1633" s="26"/>
      <c r="J1633" s="26"/>
      <c r="K1633" s="28">
        <f>+K1632</f>
        <v>42005</v>
      </c>
      <c r="L1633" s="26" t="str">
        <f>L1632</f>
        <v>10362</v>
      </c>
      <c r="M1633" s="26"/>
      <c r="N1633" s="26"/>
      <c r="O1633" s="26" t="str">
        <f>"""GP Direct"",""Fabrikam, Inc."",""UPR30300"",""PAYRATE"",""0.00000"",""PAYROLCD"",""INS2"",""STATECD"","""",""CHEKDATE"",""1/1/2015"",""UPRTRXAM"",""72.95000"""</f>
        <v>"GP Direct","Fabrikam, Inc.","UPR30300","PAYRATE","0.00000","PAYROLCD","INS2","STATECD","","CHEKDATE","1/1/2015","UPRTRXAM","72.95000"</v>
      </c>
      <c r="P1633" s="29">
        <v>0</v>
      </c>
      <c r="Q1633" s="26" t="str">
        <f>"INS2"</f>
        <v>INS2</v>
      </c>
      <c r="R1633" s="26"/>
      <c r="S1633" s="28">
        <v>42005</v>
      </c>
      <c r="T1633" s="29">
        <v>72.95</v>
      </c>
    </row>
    <row r="1634" spans="1:20" s="7" customFormat="1" hidden="1" outlineLevel="3" x14ac:dyDescent="0.2">
      <c r="A1634" s="7" t="s">
        <v>92</v>
      </c>
      <c r="C1634" s="7" t="str">
        <f t="shared" si="247"/>
        <v>Kathie</v>
      </c>
      <c r="D1634" s="7" t="str">
        <f>+D1633</f>
        <v>Flood</v>
      </c>
      <c r="E1634" s="8" t="str">
        <f>E1633</f>
        <v>SUPP</v>
      </c>
      <c r="G1634" s="8" t="str">
        <f>G1633</f>
        <v>FLOO0001</v>
      </c>
      <c r="H1634" s="26"/>
      <c r="I1634" s="26"/>
      <c r="J1634" s="26"/>
      <c r="K1634" s="28">
        <f>+K1633</f>
        <v>42005</v>
      </c>
      <c r="L1634" s="26" t="str">
        <f>L1633</f>
        <v>10362</v>
      </c>
      <c r="M1634" s="26"/>
      <c r="N1634" s="26"/>
      <c r="O1634" s="26" t="str">
        <f>"""GP Direct"",""Fabrikam, Inc."",""UPR30300"",""PAYRATE"",""0.00000"",""PAYROLCD"",""MED"",""STATECD"","""",""CHEKDATE"",""1/1/2015"",""UPRTRXAM"",""20.00000"""</f>
        <v>"GP Direct","Fabrikam, Inc.","UPR30300","PAYRATE","0.00000","PAYROLCD","MED","STATECD","","CHEKDATE","1/1/2015","UPRTRXAM","20.00000"</v>
      </c>
      <c r="P1634" s="29">
        <v>0</v>
      </c>
      <c r="Q1634" s="26" t="str">
        <f>"MED"</f>
        <v>MED</v>
      </c>
      <c r="R1634" s="26"/>
      <c r="S1634" s="28">
        <v>42005</v>
      </c>
      <c r="T1634" s="29">
        <v>20</v>
      </c>
    </row>
    <row r="1635" spans="1:20" s="7" customFormat="1" hidden="1" outlineLevel="3" x14ac:dyDescent="0.2">
      <c r="A1635" s="7" t="s">
        <v>92</v>
      </c>
      <c r="C1635" s="7" t="str">
        <f t="shared" si="247"/>
        <v>Kathie</v>
      </c>
      <c r="D1635" s="7" t="str">
        <f>+D1634</f>
        <v>Flood</v>
      </c>
      <c r="E1635" s="8" t="str">
        <f>E1634</f>
        <v>SUPP</v>
      </c>
      <c r="G1635" s="8" t="str">
        <f>G1634</f>
        <v>FLOO0001</v>
      </c>
      <c r="H1635" s="26"/>
      <c r="I1635" s="26"/>
      <c r="J1635" s="26"/>
      <c r="K1635" s="28">
        <f>+K1634</f>
        <v>42005</v>
      </c>
      <c r="L1635" s="26" t="str">
        <f>L1634</f>
        <v>10362</v>
      </c>
      <c r="M1635" s="26"/>
      <c r="N1635" s="26"/>
      <c r="O1635" s="26" t="str">
        <f>"""GP Direct"",""Fabrikam, Inc."",""UPR30300"",""PAYRATE"",""21900.00000"",""PAYROLCD"",""SALY"",""STATECD"",""IL"",""CHEKDATE"",""1/1/2015"",""UPRTRXAM"",""912.50000"""</f>
        <v>"GP Direct","Fabrikam, Inc.","UPR30300","PAYRATE","21900.00000","PAYROLCD","SALY","STATECD","IL","CHEKDATE","1/1/2015","UPRTRXAM","912.50000"</v>
      </c>
      <c r="P1635" s="29">
        <v>21900</v>
      </c>
      <c r="Q1635" s="26" t="str">
        <f>"SALY"</f>
        <v>SALY</v>
      </c>
      <c r="R1635" s="26" t="str">
        <f>"IL"</f>
        <v>IL</v>
      </c>
      <c r="S1635" s="28">
        <v>42005</v>
      </c>
      <c r="T1635" s="29">
        <v>912.5</v>
      </c>
    </row>
    <row r="1636" spans="1:20" s="7" customFormat="1" hidden="1" outlineLevel="3" x14ac:dyDescent="0.2">
      <c r="A1636" s="7" t="s">
        <v>92</v>
      </c>
      <c r="C1636" s="7" t="str">
        <f>+C1629</f>
        <v>Kathie</v>
      </c>
      <c r="D1636" s="7" t="str">
        <f>+D1629</f>
        <v>Flood</v>
      </c>
      <c r="E1636" s="8" t="str">
        <f>E1629</f>
        <v>SUPP</v>
      </c>
      <c r="G1636" s="8" t="str">
        <f>G1629</f>
        <v>FLOO0001</v>
      </c>
      <c r="K1636" s="12">
        <f>+K1629</f>
        <v>42005</v>
      </c>
      <c r="L1636" s="8" t="str">
        <f>L1629</f>
        <v>10362</v>
      </c>
      <c r="O1636" s="8"/>
      <c r="T1636" s="20"/>
    </row>
    <row r="1637" spans="1:20" s="7" customFormat="1" hidden="1" outlineLevel="2" collapsed="1" x14ac:dyDescent="0.2">
      <c r="A1637" s="7" t="s">
        <v>92</v>
      </c>
      <c r="C1637" s="7" t="str">
        <f t="shared" si="246"/>
        <v>Kathie</v>
      </c>
      <c r="D1637" s="7" t="str">
        <f>+D1636</f>
        <v>Flood</v>
      </c>
      <c r="E1637" s="8" t="str">
        <f>E1636</f>
        <v>SUPP</v>
      </c>
      <c r="G1637" s="8" t="str">
        <f>G1636</f>
        <v>FLOO0001</v>
      </c>
      <c r="K1637" s="12">
        <f>+K1636</f>
        <v>42005</v>
      </c>
      <c r="L1637" s="8" t="str">
        <f>L1636</f>
        <v>10362</v>
      </c>
      <c r="M1637" s="33" t="str">
        <f>"Total for " &amp; $L1637</f>
        <v>Total for 10362</v>
      </c>
      <c r="N1637" s="34">
        <f>+K1637</f>
        <v>42005</v>
      </c>
      <c r="O1637" s="35"/>
      <c r="P1637" s="33"/>
      <c r="Q1637" s="33"/>
      <c r="R1637" s="33"/>
      <c r="S1637" s="33"/>
      <c r="T1637" s="36">
        <f>SUBTOTAL(9,T1629:T1636)</f>
        <v>1118.44</v>
      </c>
    </row>
    <row r="1638" spans="1:20" s="7" customFormat="1" hidden="1" outlineLevel="3" x14ac:dyDescent="0.2">
      <c r="A1638" s="7" t="s">
        <v>92</v>
      </c>
      <c r="C1638" s="7" t="str">
        <f t="shared" ref="C1638:C1688" si="248">+C1637</f>
        <v>Kathie</v>
      </c>
      <c r="D1638" s="7" t="str">
        <f>+D1637</f>
        <v>Flood</v>
      </c>
      <c r="E1638" s="8" t="str">
        <f>E1637</f>
        <v>SUPP</v>
      </c>
      <c r="G1638" s="8" t="str">
        <f>G1637</f>
        <v>FLOO0001</v>
      </c>
      <c r="H1638" s="26"/>
      <c r="I1638" s="26"/>
      <c r="J1638" s="26"/>
      <c r="K1638" s="28">
        <f>+N1638</f>
        <v>42036</v>
      </c>
      <c r="L1638" s="26" t="str">
        <f>M1638</f>
        <v>10387</v>
      </c>
      <c r="M1638" s="26" t="str">
        <f>"10387"</f>
        <v>10387</v>
      </c>
      <c r="N1638" s="28">
        <v>42036</v>
      </c>
      <c r="O1638" s="26"/>
      <c r="P1638" s="26"/>
      <c r="Q1638" s="26"/>
      <c r="R1638" s="26"/>
      <c r="S1638" s="26"/>
      <c r="T1638" s="27"/>
    </row>
    <row r="1639" spans="1:20" s="7" customFormat="1" hidden="1" outlineLevel="3" x14ac:dyDescent="0.2">
      <c r="A1639" s="7" t="s">
        <v>92</v>
      </c>
      <c r="C1639" s="7" t="str">
        <f t="shared" si="248"/>
        <v>Kathie</v>
      </c>
      <c r="D1639" s="7" t="str">
        <f>+D1638</f>
        <v>Flood</v>
      </c>
      <c r="E1639" s="8" t="str">
        <f>E1638</f>
        <v>SUPP</v>
      </c>
      <c r="G1639" s="8" t="str">
        <f>G1638</f>
        <v>FLOO0001</v>
      </c>
      <c r="H1639" s="26"/>
      <c r="I1639" s="26"/>
      <c r="J1639" s="26"/>
      <c r="K1639" s="28">
        <f>+K1638</f>
        <v>42036</v>
      </c>
      <c r="L1639" s="26" t="str">
        <f>L1638</f>
        <v>10387</v>
      </c>
      <c r="M1639" s="26"/>
      <c r="N1639" s="26"/>
      <c r="O1639" s="26" t="str">
        <f>"""GP Direct"",""Fabrikam, Inc."",""UPR30300"",""PAYRATE"",""0.00000"",""PAYROLCD"",""401K"",""STATECD"","""",""CHEKDATE"",""2/1/2015"",""UPRTRXAM"",""2.28000"""</f>
        <v>"GP Direct","Fabrikam, Inc.","UPR30300","PAYRATE","0.00000","PAYROLCD","401K","STATECD","","CHEKDATE","2/1/2015","UPRTRXAM","2.28000"</v>
      </c>
      <c r="P1639" s="29">
        <v>0</v>
      </c>
      <c r="Q1639" s="26" t="str">
        <f>"401K"</f>
        <v>401K</v>
      </c>
      <c r="R1639" s="26"/>
      <c r="S1639" s="28">
        <v>42036</v>
      </c>
      <c r="T1639" s="29">
        <v>2.2799999999999998</v>
      </c>
    </row>
    <row r="1640" spans="1:20" s="7" customFormat="1" hidden="1" outlineLevel="3" x14ac:dyDescent="0.2">
      <c r="A1640" s="7" t="s">
        <v>92</v>
      </c>
      <c r="C1640" s="7" t="str">
        <f t="shared" ref="C1640:C1645" si="249">+C1639</f>
        <v>Kathie</v>
      </c>
      <c r="D1640" s="7" t="str">
        <f>+D1639</f>
        <v>Flood</v>
      </c>
      <c r="E1640" s="8" t="str">
        <f>E1639</f>
        <v>SUPP</v>
      </c>
      <c r="G1640" s="8" t="str">
        <f>G1639</f>
        <v>FLOO0001</v>
      </c>
      <c r="H1640" s="26"/>
      <c r="I1640" s="26"/>
      <c r="J1640" s="26"/>
      <c r="K1640" s="28">
        <f>+K1639</f>
        <v>42036</v>
      </c>
      <c r="L1640" s="26" t="str">
        <f>L1639</f>
        <v>10387</v>
      </c>
      <c r="M1640" s="26"/>
      <c r="N1640" s="26"/>
      <c r="O1640" s="26" t="str">
        <f>"""GP Direct"",""Fabrikam, Inc."",""UPR30300"",""PAYRATE"",""0.00000"",""PAYROLCD"",""401K"",""STATECD"","""",""CHEKDATE"",""2/1/2015"",""UPRTRXAM"",""45.63000"""</f>
        <v>"GP Direct","Fabrikam, Inc.","UPR30300","PAYRATE","0.00000","PAYROLCD","401K","STATECD","","CHEKDATE","2/1/2015","UPRTRXAM","45.63000"</v>
      </c>
      <c r="P1640" s="29">
        <v>0</v>
      </c>
      <c r="Q1640" s="26" t="str">
        <f>"401K"</f>
        <v>401K</v>
      </c>
      <c r="R1640" s="26"/>
      <c r="S1640" s="28">
        <v>42036</v>
      </c>
      <c r="T1640" s="29">
        <v>45.63</v>
      </c>
    </row>
    <row r="1641" spans="1:20" s="7" customFormat="1" hidden="1" outlineLevel="3" x14ac:dyDescent="0.2">
      <c r="A1641" s="7" t="s">
        <v>92</v>
      </c>
      <c r="C1641" s="7" t="str">
        <f t="shared" si="249"/>
        <v>Kathie</v>
      </c>
      <c r="D1641" s="7" t="str">
        <f>+D1640</f>
        <v>Flood</v>
      </c>
      <c r="E1641" s="8" t="str">
        <f>E1640</f>
        <v>SUPP</v>
      </c>
      <c r="G1641" s="8" t="str">
        <f>G1640</f>
        <v>FLOO0001</v>
      </c>
      <c r="H1641" s="26"/>
      <c r="I1641" s="26"/>
      <c r="J1641" s="26"/>
      <c r="K1641" s="28">
        <f>+K1640</f>
        <v>42036</v>
      </c>
      <c r="L1641" s="26" t="str">
        <f>L1640</f>
        <v>10387</v>
      </c>
      <c r="M1641" s="26"/>
      <c r="N1641" s="26"/>
      <c r="O1641" s="26" t="str">
        <f>"""GP Direct"",""Fabrikam, Inc."",""UPR30300"",""PAYRATE"",""0.00000"",""PAYROLCD"",""IL"",""STATECD"","""",""CHEKDATE"",""2/1/2015"",""UPRTRXAM"",""15.72000"""</f>
        <v>"GP Direct","Fabrikam, Inc.","UPR30300","PAYRATE","0.00000","PAYROLCD","IL","STATECD","","CHEKDATE","2/1/2015","UPRTRXAM","15.72000"</v>
      </c>
      <c r="P1641" s="29">
        <v>0</v>
      </c>
      <c r="Q1641" s="26" t="str">
        <f>"IL"</f>
        <v>IL</v>
      </c>
      <c r="R1641" s="26"/>
      <c r="S1641" s="28">
        <v>42036</v>
      </c>
      <c r="T1641" s="29">
        <v>15.72</v>
      </c>
    </row>
    <row r="1642" spans="1:20" s="7" customFormat="1" hidden="1" outlineLevel="3" x14ac:dyDescent="0.2">
      <c r="A1642" s="7" t="s">
        <v>92</v>
      </c>
      <c r="C1642" s="7" t="str">
        <f t="shared" si="249"/>
        <v>Kathie</v>
      </c>
      <c r="D1642" s="7" t="str">
        <f>+D1641</f>
        <v>Flood</v>
      </c>
      <c r="E1642" s="8" t="str">
        <f>E1641</f>
        <v>SUPP</v>
      </c>
      <c r="G1642" s="8" t="str">
        <f>G1641</f>
        <v>FLOO0001</v>
      </c>
      <c r="H1642" s="26"/>
      <c r="I1642" s="26"/>
      <c r="J1642" s="26"/>
      <c r="K1642" s="28">
        <f>+K1641</f>
        <v>42036</v>
      </c>
      <c r="L1642" s="26" t="str">
        <f>L1641</f>
        <v>10387</v>
      </c>
      <c r="M1642" s="26"/>
      <c r="N1642" s="26"/>
      <c r="O1642" s="26" t="str">
        <f>"""GP Direct"",""Fabrikam, Inc."",""UPR30300"",""PAYRATE"",""0.00000"",""PAYROLCD"",""INS"",""STATECD"","""",""CHEKDATE"",""2/1/2015"",""UPRTRXAM"",""49.36000"""</f>
        <v>"GP Direct","Fabrikam, Inc.","UPR30300","PAYRATE","0.00000","PAYROLCD","INS","STATECD","","CHEKDATE","2/1/2015","UPRTRXAM","49.36000"</v>
      </c>
      <c r="P1642" s="29">
        <v>0</v>
      </c>
      <c r="Q1642" s="26" t="str">
        <f>"INS"</f>
        <v>INS</v>
      </c>
      <c r="R1642" s="26"/>
      <c r="S1642" s="28">
        <v>42036</v>
      </c>
      <c r="T1642" s="29">
        <v>49.36</v>
      </c>
    </row>
    <row r="1643" spans="1:20" s="7" customFormat="1" hidden="1" outlineLevel="3" x14ac:dyDescent="0.2">
      <c r="A1643" s="7" t="s">
        <v>92</v>
      </c>
      <c r="C1643" s="7" t="str">
        <f t="shared" si="249"/>
        <v>Kathie</v>
      </c>
      <c r="D1643" s="7" t="str">
        <f>+D1642</f>
        <v>Flood</v>
      </c>
      <c r="E1643" s="8" t="str">
        <f>E1642</f>
        <v>SUPP</v>
      </c>
      <c r="G1643" s="8" t="str">
        <f>G1642</f>
        <v>FLOO0001</v>
      </c>
      <c r="H1643" s="26"/>
      <c r="I1643" s="26"/>
      <c r="J1643" s="26"/>
      <c r="K1643" s="28">
        <f>+K1642</f>
        <v>42036</v>
      </c>
      <c r="L1643" s="26" t="str">
        <f>L1642</f>
        <v>10387</v>
      </c>
      <c r="M1643" s="26"/>
      <c r="N1643" s="26"/>
      <c r="O1643" s="26" t="str">
        <f>"""GP Direct"",""Fabrikam, Inc."",""UPR30300"",""PAYRATE"",""0.00000"",""PAYROLCD"",""INS2"",""STATECD"","""",""CHEKDATE"",""2/1/2015"",""UPRTRXAM"",""72.95000"""</f>
        <v>"GP Direct","Fabrikam, Inc.","UPR30300","PAYRATE","0.00000","PAYROLCD","INS2","STATECD","","CHEKDATE","2/1/2015","UPRTRXAM","72.95000"</v>
      </c>
      <c r="P1643" s="29">
        <v>0</v>
      </c>
      <c r="Q1643" s="26" t="str">
        <f>"INS2"</f>
        <v>INS2</v>
      </c>
      <c r="R1643" s="26"/>
      <c r="S1643" s="28">
        <v>42036</v>
      </c>
      <c r="T1643" s="29">
        <v>72.95</v>
      </c>
    </row>
    <row r="1644" spans="1:20" s="7" customFormat="1" hidden="1" outlineLevel="3" x14ac:dyDescent="0.2">
      <c r="A1644" s="7" t="s">
        <v>92</v>
      </c>
      <c r="C1644" s="7" t="str">
        <f t="shared" si="249"/>
        <v>Kathie</v>
      </c>
      <c r="D1644" s="7" t="str">
        <f>+D1643</f>
        <v>Flood</v>
      </c>
      <c r="E1644" s="8" t="str">
        <f>E1643</f>
        <v>SUPP</v>
      </c>
      <c r="G1644" s="8" t="str">
        <f>G1643</f>
        <v>FLOO0001</v>
      </c>
      <c r="H1644" s="26"/>
      <c r="I1644" s="26"/>
      <c r="J1644" s="26"/>
      <c r="K1644" s="28">
        <f>+K1643</f>
        <v>42036</v>
      </c>
      <c r="L1644" s="26" t="str">
        <f>L1643</f>
        <v>10387</v>
      </c>
      <c r="M1644" s="26"/>
      <c r="N1644" s="26"/>
      <c r="O1644" s="26" t="str">
        <f>"""GP Direct"",""Fabrikam, Inc."",""UPR30300"",""PAYRATE"",""0.00000"",""PAYROLCD"",""MED"",""STATECD"","""",""CHEKDATE"",""2/1/2015"",""UPRTRXAM"",""20.00000"""</f>
        <v>"GP Direct","Fabrikam, Inc.","UPR30300","PAYRATE","0.00000","PAYROLCD","MED","STATECD","","CHEKDATE","2/1/2015","UPRTRXAM","20.00000"</v>
      </c>
      <c r="P1644" s="29">
        <v>0</v>
      </c>
      <c r="Q1644" s="26" t="str">
        <f>"MED"</f>
        <v>MED</v>
      </c>
      <c r="R1644" s="26"/>
      <c r="S1644" s="28">
        <v>42036</v>
      </c>
      <c r="T1644" s="29">
        <v>20</v>
      </c>
    </row>
    <row r="1645" spans="1:20" s="7" customFormat="1" hidden="1" outlineLevel="3" x14ac:dyDescent="0.2">
      <c r="A1645" s="7" t="s">
        <v>92</v>
      </c>
      <c r="C1645" s="7" t="str">
        <f t="shared" si="249"/>
        <v>Kathie</v>
      </c>
      <c r="D1645" s="7" t="str">
        <f>+D1644</f>
        <v>Flood</v>
      </c>
      <c r="E1645" s="8" t="str">
        <f>E1644</f>
        <v>SUPP</v>
      </c>
      <c r="G1645" s="8" t="str">
        <f>G1644</f>
        <v>FLOO0001</v>
      </c>
      <c r="H1645" s="26"/>
      <c r="I1645" s="26"/>
      <c r="J1645" s="26"/>
      <c r="K1645" s="28">
        <f>+K1644</f>
        <v>42036</v>
      </c>
      <c r="L1645" s="26" t="str">
        <f>L1644</f>
        <v>10387</v>
      </c>
      <c r="M1645" s="26"/>
      <c r="N1645" s="26"/>
      <c r="O1645" s="26" t="str">
        <f>"""GP Direct"",""Fabrikam, Inc."",""UPR30300"",""PAYRATE"",""21900.00000"",""PAYROLCD"",""SALY"",""STATECD"",""IL"",""CHEKDATE"",""2/1/2015"",""UPRTRXAM"",""912.50000"""</f>
        <v>"GP Direct","Fabrikam, Inc.","UPR30300","PAYRATE","21900.00000","PAYROLCD","SALY","STATECD","IL","CHEKDATE","2/1/2015","UPRTRXAM","912.50000"</v>
      </c>
      <c r="P1645" s="29">
        <v>21900</v>
      </c>
      <c r="Q1645" s="26" t="str">
        <f>"SALY"</f>
        <v>SALY</v>
      </c>
      <c r="R1645" s="26" t="str">
        <f>"IL"</f>
        <v>IL</v>
      </c>
      <c r="S1645" s="28">
        <v>42036</v>
      </c>
      <c r="T1645" s="29">
        <v>912.5</v>
      </c>
    </row>
    <row r="1646" spans="1:20" s="7" customFormat="1" hidden="1" outlineLevel="3" x14ac:dyDescent="0.2">
      <c r="A1646" s="7" t="s">
        <v>92</v>
      </c>
      <c r="C1646" s="7" t="str">
        <f>+C1639</f>
        <v>Kathie</v>
      </c>
      <c r="D1646" s="7" t="str">
        <f>+D1639</f>
        <v>Flood</v>
      </c>
      <c r="E1646" s="8" t="str">
        <f>E1639</f>
        <v>SUPP</v>
      </c>
      <c r="G1646" s="8" t="str">
        <f>G1639</f>
        <v>FLOO0001</v>
      </c>
      <c r="K1646" s="12">
        <f>+K1639</f>
        <v>42036</v>
      </c>
      <c r="L1646" s="8" t="str">
        <f>L1639</f>
        <v>10387</v>
      </c>
      <c r="O1646" s="8"/>
      <c r="T1646" s="20"/>
    </row>
    <row r="1647" spans="1:20" s="7" customFormat="1" hidden="1" outlineLevel="2" collapsed="1" x14ac:dyDescent="0.2">
      <c r="A1647" s="7" t="s">
        <v>92</v>
      </c>
      <c r="C1647" s="7" t="str">
        <f t="shared" si="248"/>
        <v>Kathie</v>
      </c>
      <c r="D1647" s="7" t="str">
        <f>+D1646</f>
        <v>Flood</v>
      </c>
      <c r="E1647" s="8" t="str">
        <f>E1646</f>
        <v>SUPP</v>
      </c>
      <c r="G1647" s="8" t="str">
        <f>G1646</f>
        <v>FLOO0001</v>
      </c>
      <c r="K1647" s="12">
        <f>+K1646</f>
        <v>42036</v>
      </c>
      <c r="L1647" s="8" t="str">
        <f>L1646</f>
        <v>10387</v>
      </c>
      <c r="M1647" s="33" t="str">
        <f>"Total for " &amp; $L1647</f>
        <v>Total for 10387</v>
      </c>
      <c r="N1647" s="34">
        <f>+K1647</f>
        <v>42036</v>
      </c>
      <c r="O1647" s="35"/>
      <c r="P1647" s="33"/>
      <c r="Q1647" s="33"/>
      <c r="R1647" s="33"/>
      <c r="S1647" s="33"/>
      <c r="T1647" s="36">
        <f>SUBTOTAL(9,T1639:T1646)</f>
        <v>1118.44</v>
      </c>
    </row>
    <row r="1648" spans="1:20" s="7" customFormat="1" hidden="1" outlineLevel="3" x14ac:dyDescent="0.2">
      <c r="A1648" s="7" t="s">
        <v>92</v>
      </c>
      <c r="C1648" s="7" t="str">
        <f t="shared" si="248"/>
        <v>Kathie</v>
      </c>
      <c r="D1648" s="7" t="str">
        <f>+D1647</f>
        <v>Flood</v>
      </c>
      <c r="E1648" s="8" t="str">
        <f>E1647</f>
        <v>SUPP</v>
      </c>
      <c r="G1648" s="8" t="str">
        <f>G1647</f>
        <v>FLOO0001</v>
      </c>
      <c r="H1648" s="26"/>
      <c r="I1648" s="26"/>
      <c r="J1648" s="26"/>
      <c r="K1648" s="28">
        <f>+N1648</f>
        <v>42064</v>
      </c>
      <c r="L1648" s="26" t="str">
        <f>M1648</f>
        <v>10412</v>
      </c>
      <c r="M1648" s="26" t="str">
        <f>"10412"</f>
        <v>10412</v>
      </c>
      <c r="N1648" s="28">
        <v>42064</v>
      </c>
      <c r="O1648" s="26"/>
      <c r="P1648" s="26"/>
      <c r="Q1648" s="26"/>
      <c r="R1648" s="26"/>
      <c r="S1648" s="26"/>
      <c r="T1648" s="27"/>
    </row>
    <row r="1649" spans="1:20" s="7" customFormat="1" hidden="1" outlineLevel="3" x14ac:dyDescent="0.2">
      <c r="A1649" s="7" t="s">
        <v>92</v>
      </c>
      <c r="C1649" s="7" t="str">
        <f t="shared" si="248"/>
        <v>Kathie</v>
      </c>
      <c r="D1649" s="7" t="str">
        <f>+D1648</f>
        <v>Flood</v>
      </c>
      <c r="E1649" s="8" t="str">
        <f>E1648</f>
        <v>SUPP</v>
      </c>
      <c r="G1649" s="8" t="str">
        <f>G1648</f>
        <v>FLOO0001</v>
      </c>
      <c r="H1649" s="26"/>
      <c r="I1649" s="26"/>
      <c r="J1649" s="26"/>
      <c r="K1649" s="28">
        <f>+K1648</f>
        <v>42064</v>
      </c>
      <c r="L1649" s="26" t="str">
        <f>L1648</f>
        <v>10412</v>
      </c>
      <c r="M1649" s="26"/>
      <c r="N1649" s="26"/>
      <c r="O1649" s="26" t="str">
        <f>"""GP Direct"",""Fabrikam, Inc."",""UPR30300"",""PAYRATE"",""0.00000"",""PAYROLCD"",""401K"",""STATECD"","""",""CHEKDATE"",""3/1/2015"",""UPRTRXAM"",""1.86000"""</f>
        <v>"GP Direct","Fabrikam, Inc.","UPR30300","PAYRATE","0.00000","PAYROLCD","401K","STATECD","","CHEKDATE","3/1/2015","UPRTRXAM","1.86000"</v>
      </c>
      <c r="P1649" s="29">
        <v>0</v>
      </c>
      <c r="Q1649" s="26" t="str">
        <f>"401K"</f>
        <v>401K</v>
      </c>
      <c r="R1649" s="26"/>
      <c r="S1649" s="28">
        <v>42064</v>
      </c>
      <c r="T1649" s="29">
        <v>1.86</v>
      </c>
    </row>
    <row r="1650" spans="1:20" s="7" customFormat="1" hidden="1" outlineLevel="3" x14ac:dyDescent="0.2">
      <c r="A1650" s="7" t="s">
        <v>92</v>
      </c>
      <c r="C1650" s="7" t="str">
        <f t="shared" ref="C1650:C1656" si="250">+C1649</f>
        <v>Kathie</v>
      </c>
      <c r="D1650" s="7" t="str">
        <f>+D1649</f>
        <v>Flood</v>
      </c>
      <c r="E1650" s="8" t="str">
        <f>E1649</f>
        <v>SUPP</v>
      </c>
      <c r="G1650" s="8" t="str">
        <f>G1649</f>
        <v>FLOO0001</v>
      </c>
      <c r="H1650" s="26"/>
      <c r="I1650" s="26"/>
      <c r="J1650" s="26"/>
      <c r="K1650" s="28">
        <f>+K1649</f>
        <v>42064</v>
      </c>
      <c r="L1650" s="26" t="str">
        <f>L1649</f>
        <v>10412</v>
      </c>
      <c r="M1650" s="26"/>
      <c r="N1650" s="26"/>
      <c r="O1650" s="26" t="str">
        <f>"""GP Direct"",""Fabrikam, Inc."",""UPR30300"",""PAYRATE"",""0.00000"",""PAYROLCD"",""401K"",""STATECD"","""",""CHEKDATE"",""3/1/2015"",""UPRTRXAM"",""37.20000"""</f>
        <v>"GP Direct","Fabrikam, Inc.","UPR30300","PAYRATE","0.00000","PAYROLCD","401K","STATECD","","CHEKDATE","3/1/2015","UPRTRXAM","37.20000"</v>
      </c>
      <c r="P1650" s="29">
        <v>0</v>
      </c>
      <c r="Q1650" s="26" t="str">
        <f>"401K"</f>
        <v>401K</v>
      </c>
      <c r="R1650" s="26"/>
      <c r="S1650" s="28">
        <v>42064</v>
      </c>
      <c r="T1650" s="29">
        <v>37.200000000000003</v>
      </c>
    </row>
    <row r="1651" spans="1:20" s="7" customFormat="1" hidden="1" outlineLevel="3" x14ac:dyDescent="0.2">
      <c r="A1651" s="7" t="s">
        <v>92</v>
      </c>
      <c r="C1651" s="7" t="str">
        <f t="shared" si="250"/>
        <v>Kathie</v>
      </c>
      <c r="D1651" s="7" t="str">
        <f>+D1650</f>
        <v>Flood</v>
      </c>
      <c r="E1651" s="8" t="str">
        <f>E1650</f>
        <v>SUPP</v>
      </c>
      <c r="G1651" s="8" t="str">
        <f>G1650</f>
        <v>FLOO0001</v>
      </c>
      <c r="H1651" s="26"/>
      <c r="I1651" s="26"/>
      <c r="J1651" s="26"/>
      <c r="K1651" s="28">
        <f>+K1650</f>
        <v>42064</v>
      </c>
      <c r="L1651" s="26" t="str">
        <f>L1650</f>
        <v>10412</v>
      </c>
      <c r="M1651" s="26"/>
      <c r="N1651" s="26"/>
      <c r="O1651" s="26" t="str">
        <f>"""GP Direct"",""Fabrikam, Inc."",""UPR30300"",""PAYRATE"",""0.00000"",""PAYROLCD"",""HOLI"",""STATECD"",""IL"",""CHEKDATE"",""3/1/2015"",""UPRTRXAM"",""0.00000"""</f>
        <v>"GP Direct","Fabrikam, Inc.","UPR30300","PAYRATE","0.00000","PAYROLCD","HOLI","STATECD","IL","CHEKDATE","3/1/2015","UPRTRXAM","0.00000"</v>
      </c>
      <c r="P1651" s="29">
        <v>0</v>
      </c>
      <c r="Q1651" s="26" t="str">
        <f>"HOLI"</f>
        <v>HOLI</v>
      </c>
      <c r="R1651" s="26" t="str">
        <f>"IL"</f>
        <v>IL</v>
      </c>
      <c r="S1651" s="28">
        <v>42064</v>
      </c>
      <c r="T1651" s="29">
        <v>0</v>
      </c>
    </row>
    <row r="1652" spans="1:20" s="7" customFormat="1" hidden="1" outlineLevel="3" x14ac:dyDescent="0.2">
      <c r="A1652" s="7" t="s">
        <v>92</v>
      </c>
      <c r="C1652" s="7" t="str">
        <f t="shared" si="250"/>
        <v>Kathie</v>
      </c>
      <c r="D1652" s="7" t="str">
        <f>+D1651</f>
        <v>Flood</v>
      </c>
      <c r="E1652" s="8" t="str">
        <f>E1651</f>
        <v>SUPP</v>
      </c>
      <c r="G1652" s="8" t="str">
        <f>G1651</f>
        <v>FLOO0001</v>
      </c>
      <c r="H1652" s="26"/>
      <c r="I1652" s="26"/>
      <c r="J1652" s="26"/>
      <c r="K1652" s="28">
        <f>+K1651</f>
        <v>42064</v>
      </c>
      <c r="L1652" s="26" t="str">
        <f>L1651</f>
        <v>10412</v>
      </c>
      <c r="M1652" s="26"/>
      <c r="N1652" s="26"/>
      <c r="O1652" s="26" t="str">
        <f>"""GP Direct"",""Fabrikam, Inc."",""UPR30300"",""PAYRATE"",""0.00000"",""PAYROLCD"",""IL"",""STATECD"","""",""CHEKDATE"",""3/1/2015"",""UPRTRXAM"",""10.92000"""</f>
        <v>"GP Direct","Fabrikam, Inc.","UPR30300","PAYRATE","0.00000","PAYROLCD","IL","STATECD","","CHEKDATE","3/1/2015","UPRTRXAM","10.92000"</v>
      </c>
      <c r="P1652" s="29">
        <v>0</v>
      </c>
      <c r="Q1652" s="26" t="str">
        <f>"IL"</f>
        <v>IL</v>
      </c>
      <c r="R1652" s="26"/>
      <c r="S1652" s="28">
        <v>42064</v>
      </c>
      <c r="T1652" s="29">
        <v>10.92</v>
      </c>
    </row>
    <row r="1653" spans="1:20" s="7" customFormat="1" hidden="1" outlineLevel="3" x14ac:dyDescent="0.2">
      <c r="A1653" s="7" t="s">
        <v>92</v>
      </c>
      <c r="C1653" s="7" t="str">
        <f t="shared" si="250"/>
        <v>Kathie</v>
      </c>
      <c r="D1653" s="7" t="str">
        <f>+D1652</f>
        <v>Flood</v>
      </c>
      <c r="E1653" s="8" t="str">
        <f>E1652</f>
        <v>SUPP</v>
      </c>
      <c r="G1653" s="8" t="str">
        <f>G1652</f>
        <v>FLOO0001</v>
      </c>
      <c r="H1653" s="26"/>
      <c r="I1653" s="26"/>
      <c r="J1653" s="26"/>
      <c r="K1653" s="28">
        <f>+K1652</f>
        <v>42064</v>
      </c>
      <c r="L1653" s="26" t="str">
        <f>L1652</f>
        <v>10412</v>
      </c>
      <c r="M1653" s="26"/>
      <c r="N1653" s="26"/>
      <c r="O1653" s="26" t="str">
        <f>"""GP Direct"",""Fabrikam, Inc."",""UPR30300"",""PAYRATE"",""0.00000"",""PAYROLCD"",""INS"",""STATECD"","""",""CHEKDATE"",""3/1/2015"",""UPRTRXAM"",""49.36000"""</f>
        <v>"GP Direct","Fabrikam, Inc.","UPR30300","PAYRATE","0.00000","PAYROLCD","INS","STATECD","","CHEKDATE","3/1/2015","UPRTRXAM","49.36000"</v>
      </c>
      <c r="P1653" s="29">
        <v>0</v>
      </c>
      <c r="Q1653" s="26" t="str">
        <f>"INS"</f>
        <v>INS</v>
      </c>
      <c r="R1653" s="26"/>
      <c r="S1653" s="28">
        <v>42064</v>
      </c>
      <c r="T1653" s="29">
        <v>49.36</v>
      </c>
    </row>
    <row r="1654" spans="1:20" s="7" customFormat="1" hidden="1" outlineLevel="3" x14ac:dyDescent="0.2">
      <c r="A1654" s="7" t="s">
        <v>92</v>
      </c>
      <c r="C1654" s="7" t="str">
        <f t="shared" si="250"/>
        <v>Kathie</v>
      </c>
      <c r="D1654" s="7" t="str">
        <f>+D1653</f>
        <v>Flood</v>
      </c>
      <c r="E1654" s="8" t="str">
        <f>E1653</f>
        <v>SUPP</v>
      </c>
      <c r="G1654" s="8" t="str">
        <f>G1653</f>
        <v>FLOO0001</v>
      </c>
      <c r="H1654" s="26"/>
      <c r="I1654" s="26"/>
      <c r="J1654" s="26"/>
      <c r="K1654" s="28">
        <f>+K1653</f>
        <v>42064</v>
      </c>
      <c r="L1654" s="26" t="str">
        <f>L1653</f>
        <v>10412</v>
      </c>
      <c r="M1654" s="26"/>
      <c r="N1654" s="26"/>
      <c r="O1654" s="26" t="str">
        <f>"""GP Direct"",""Fabrikam, Inc."",""UPR30300"",""PAYRATE"",""0.00000"",""PAYROLCD"",""INS2"",""STATECD"","""",""CHEKDATE"",""3/1/2015"",""UPRTRXAM"",""72.95000"""</f>
        <v>"GP Direct","Fabrikam, Inc.","UPR30300","PAYRATE","0.00000","PAYROLCD","INS2","STATECD","","CHEKDATE","3/1/2015","UPRTRXAM","72.95000"</v>
      </c>
      <c r="P1654" s="29">
        <v>0</v>
      </c>
      <c r="Q1654" s="26" t="str">
        <f>"INS2"</f>
        <v>INS2</v>
      </c>
      <c r="R1654" s="26"/>
      <c r="S1654" s="28">
        <v>42064</v>
      </c>
      <c r="T1654" s="29">
        <v>72.95</v>
      </c>
    </row>
    <row r="1655" spans="1:20" s="7" customFormat="1" hidden="1" outlineLevel="3" x14ac:dyDescent="0.2">
      <c r="A1655" s="7" t="s">
        <v>92</v>
      </c>
      <c r="C1655" s="7" t="str">
        <f t="shared" si="250"/>
        <v>Kathie</v>
      </c>
      <c r="D1655" s="7" t="str">
        <f>+D1654</f>
        <v>Flood</v>
      </c>
      <c r="E1655" s="8" t="str">
        <f>E1654</f>
        <v>SUPP</v>
      </c>
      <c r="G1655" s="8" t="str">
        <f>G1654</f>
        <v>FLOO0001</v>
      </c>
      <c r="H1655" s="26"/>
      <c r="I1655" s="26"/>
      <c r="J1655" s="26"/>
      <c r="K1655" s="28">
        <f>+K1654</f>
        <v>42064</v>
      </c>
      <c r="L1655" s="26" t="str">
        <f>L1654</f>
        <v>10412</v>
      </c>
      <c r="M1655" s="26"/>
      <c r="N1655" s="26"/>
      <c r="O1655" s="26" t="str">
        <f>"""GP Direct"",""Fabrikam, Inc."",""UPR30300"",""PAYRATE"",""0.00000"",""PAYROLCD"",""MED"",""STATECD"","""",""CHEKDATE"",""3/1/2015"",""UPRTRXAM"",""20.00000"""</f>
        <v>"GP Direct","Fabrikam, Inc.","UPR30300","PAYRATE","0.00000","PAYROLCD","MED","STATECD","","CHEKDATE","3/1/2015","UPRTRXAM","20.00000"</v>
      </c>
      <c r="P1655" s="29">
        <v>0</v>
      </c>
      <c r="Q1655" s="26" t="str">
        <f>"MED"</f>
        <v>MED</v>
      </c>
      <c r="R1655" s="26"/>
      <c r="S1655" s="28">
        <v>42064</v>
      </c>
      <c r="T1655" s="29">
        <v>20</v>
      </c>
    </row>
    <row r="1656" spans="1:20" s="7" customFormat="1" hidden="1" outlineLevel="3" x14ac:dyDescent="0.2">
      <c r="A1656" s="7" t="s">
        <v>92</v>
      </c>
      <c r="C1656" s="7" t="str">
        <f t="shared" si="250"/>
        <v>Kathie</v>
      </c>
      <c r="D1656" s="7" t="str">
        <f>+D1655</f>
        <v>Flood</v>
      </c>
      <c r="E1656" s="8" t="str">
        <f>E1655</f>
        <v>SUPP</v>
      </c>
      <c r="G1656" s="8" t="str">
        <f>G1655</f>
        <v>FLOO0001</v>
      </c>
      <c r="H1656" s="26"/>
      <c r="I1656" s="26"/>
      <c r="J1656" s="26"/>
      <c r="K1656" s="28">
        <f>+K1655</f>
        <v>42064</v>
      </c>
      <c r="L1656" s="26" t="str">
        <f>L1655</f>
        <v>10412</v>
      </c>
      <c r="M1656" s="26"/>
      <c r="N1656" s="26"/>
      <c r="O1656" s="26" t="str">
        <f>"""GP Direct"",""Fabrikam, Inc."",""UPR30300"",""PAYRATE"",""10.52885"",""PAYROLCD"",""SALY"",""STATECD"",""IL"",""CHEKDATE"",""3/1/2015"",""UPRTRXAM"",""744.04000"""</f>
        <v>"GP Direct","Fabrikam, Inc.","UPR30300","PAYRATE","10.52885","PAYROLCD","SALY","STATECD","IL","CHEKDATE","3/1/2015","UPRTRXAM","744.04000"</v>
      </c>
      <c r="P1656" s="29">
        <v>10.5289</v>
      </c>
      <c r="Q1656" s="26" t="str">
        <f>"SALY"</f>
        <v>SALY</v>
      </c>
      <c r="R1656" s="26" t="str">
        <f>"IL"</f>
        <v>IL</v>
      </c>
      <c r="S1656" s="28">
        <v>42064</v>
      </c>
      <c r="T1656" s="29">
        <v>744.04</v>
      </c>
    </row>
    <row r="1657" spans="1:20" s="7" customFormat="1" hidden="1" outlineLevel="3" x14ac:dyDescent="0.2">
      <c r="A1657" s="7" t="s">
        <v>92</v>
      </c>
      <c r="C1657" s="7" t="str">
        <f>+C1649</f>
        <v>Kathie</v>
      </c>
      <c r="D1657" s="7" t="str">
        <f>+D1649</f>
        <v>Flood</v>
      </c>
      <c r="E1657" s="8" t="str">
        <f>E1649</f>
        <v>SUPP</v>
      </c>
      <c r="G1657" s="8" t="str">
        <f>G1649</f>
        <v>FLOO0001</v>
      </c>
      <c r="K1657" s="12">
        <f>+K1649</f>
        <v>42064</v>
      </c>
      <c r="L1657" s="8" t="str">
        <f>L1649</f>
        <v>10412</v>
      </c>
      <c r="O1657" s="8"/>
      <c r="T1657" s="20"/>
    </row>
    <row r="1658" spans="1:20" s="7" customFormat="1" hidden="1" outlineLevel="2" collapsed="1" x14ac:dyDescent="0.2">
      <c r="A1658" s="7" t="s">
        <v>92</v>
      </c>
      <c r="C1658" s="7" t="str">
        <f t="shared" si="248"/>
        <v>Kathie</v>
      </c>
      <c r="D1658" s="7" t="str">
        <f>+D1657</f>
        <v>Flood</v>
      </c>
      <c r="E1658" s="8" t="str">
        <f>E1657</f>
        <v>SUPP</v>
      </c>
      <c r="G1658" s="8" t="str">
        <f>G1657</f>
        <v>FLOO0001</v>
      </c>
      <c r="K1658" s="12">
        <f>+K1657</f>
        <v>42064</v>
      </c>
      <c r="L1658" s="8" t="str">
        <f>L1657</f>
        <v>10412</v>
      </c>
      <c r="M1658" s="33" t="str">
        <f>"Total for " &amp; $L1658</f>
        <v>Total for 10412</v>
      </c>
      <c r="N1658" s="34">
        <f>+K1658</f>
        <v>42064</v>
      </c>
      <c r="O1658" s="35"/>
      <c r="P1658" s="33"/>
      <c r="Q1658" s="33"/>
      <c r="R1658" s="33"/>
      <c r="S1658" s="33"/>
      <c r="T1658" s="36">
        <f>SUBTOTAL(9,T1649:T1657)</f>
        <v>936.32999999999993</v>
      </c>
    </row>
    <row r="1659" spans="1:20" s="7" customFormat="1" hidden="1" outlineLevel="3" x14ac:dyDescent="0.2">
      <c r="A1659" s="7" t="s">
        <v>92</v>
      </c>
      <c r="C1659" s="7" t="str">
        <f t="shared" si="248"/>
        <v>Kathie</v>
      </c>
      <c r="D1659" s="7" t="str">
        <f>+D1658</f>
        <v>Flood</v>
      </c>
      <c r="E1659" s="8" t="str">
        <f>E1658</f>
        <v>SUPP</v>
      </c>
      <c r="G1659" s="8" t="str">
        <f>G1658</f>
        <v>FLOO0001</v>
      </c>
      <c r="H1659" s="26"/>
      <c r="I1659" s="26"/>
      <c r="J1659" s="26"/>
      <c r="K1659" s="28">
        <f>+N1659</f>
        <v>42095</v>
      </c>
      <c r="L1659" s="26" t="str">
        <f>M1659</f>
        <v>10437</v>
      </c>
      <c r="M1659" s="26" t="str">
        <f>"10437"</f>
        <v>10437</v>
      </c>
      <c r="N1659" s="28">
        <v>42095</v>
      </c>
      <c r="O1659" s="26"/>
      <c r="P1659" s="26"/>
      <c r="Q1659" s="26"/>
      <c r="R1659" s="26"/>
      <c r="S1659" s="26"/>
      <c r="T1659" s="27"/>
    </row>
    <row r="1660" spans="1:20" s="7" customFormat="1" hidden="1" outlineLevel="3" x14ac:dyDescent="0.2">
      <c r="A1660" s="7" t="s">
        <v>92</v>
      </c>
      <c r="C1660" s="7" t="str">
        <f t="shared" si="248"/>
        <v>Kathie</v>
      </c>
      <c r="D1660" s="7" t="str">
        <f>+D1659</f>
        <v>Flood</v>
      </c>
      <c r="E1660" s="8" t="str">
        <f>E1659</f>
        <v>SUPP</v>
      </c>
      <c r="G1660" s="8" t="str">
        <f>G1659</f>
        <v>FLOO0001</v>
      </c>
      <c r="H1660" s="26"/>
      <c r="I1660" s="26"/>
      <c r="J1660" s="26"/>
      <c r="K1660" s="28">
        <f>+K1659</f>
        <v>42095</v>
      </c>
      <c r="L1660" s="26" t="str">
        <f>L1659</f>
        <v>10437</v>
      </c>
      <c r="M1660" s="26"/>
      <c r="N1660" s="26"/>
      <c r="O1660" s="26" t="str">
        <f>"""GP Direct"",""Fabrikam, Inc."",""UPR30300"",""PAYRATE"",""0.00000"",""PAYROLCD"",""401K"",""STATECD"","""",""CHEKDATE"",""4/1/2015"",""UPRTRXAM"",""2.28000"""</f>
        <v>"GP Direct","Fabrikam, Inc.","UPR30300","PAYRATE","0.00000","PAYROLCD","401K","STATECD","","CHEKDATE","4/1/2015","UPRTRXAM","2.28000"</v>
      </c>
      <c r="P1660" s="29">
        <v>0</v>
      </c>
      <c r="Q1660" s="26" t="str">
        <f>"401K"</f>
        <v>401K</v>
      </c>
      <c r="R1660" s="26"/>
      <c r="S1660" s="28">
        <v>42095</v>
      </c>
      <c r="T1660" s="29">
        <v>2.2799999999999998</v>
      </c>
    </row>
    <row r="1661" spans="1:20" s="7" customFormat="1" hidden="1" outlineLevel="3" x14ac:dyDescent="0.2">
      <c r="A1661" s="7" t="s">
        <v>92</v>
      </c>
      <c r="C1661" s="7" t="str">
        <f t="shared" ref="C1661:C1666" si="251">+C1660</f>
        <v>Kathie</v>
      </c>
      <c r="D1661" s="7" t="str">
        <f>+D1660</f>
        <v>Flood</v>
      </c>
      <c r="E1661" s="8" t="str">
        <f>E1660</f>
        <v>SUPP</v>
      </c>
      <c r="G1661" s="8" t="str">
        <f>G1660</f>
        <v>FLOO0001</v>
      </c>
      <c r="H1661" s="26"/>
      <c r="I1661" s="26"/>
      <c r="J1661" s="26"/>
      <c r="K1661" s="28">
        <f>+K1660</f>
        <v>42095</v>
      </c>
      <c r="L1661" s="26" t="str">
        <f>L1660</f>
        <v>10437</v>
      </c>
      <c r="M1661" s="26"/>
      <c r="N1661" s="26"/>
      <c r="O1661" s="26" t="str">
        <f>"""GP Direct"",""Fabrikam, Inc."",""UPR30300"",""PAYRATE"",""0.00000"",""PAYROLCD"",""401K"",""STATECD"","""",""CHEKDATE"",""4/1/2015"",""UPRTRXAM"",""45.63000"""</f>
        <v>"GP Direct","Fabrikam, Inc.","UPR30300","PAYRATE","0.00000","PAYROLCD","401K","STATECD","","CHEKDATE","4/1/2015","UPRTRXAM","45.63000"</v>
      </c>
      <c r="P1661" s="29">
        <v>0</v>
      </c>
      <c r="Q1661" s="26" t="str">
        <f>"401K"</f>
        <v>401K</v>
      </c>
      <c r="R1661" s="26"/>
      <c r="S1661" s="28">
        <v>42095</v>
      </c>
      <c r="T1661" s="29">
        <v>45.63</v>
      </c>
    </row>
    <row r="1662" spans="1:20" s="7" customFormat="1" hidden="1" outlineLevel="3" x14ac:dyDescent="0.2">
      <c r="A1662" s="7" t="s">
        <v>92</v>
      </c>
      <c r="C1662" s="7" t="str">
        <f t="shared" si="251"/>
        <v>Kathie</v>
      </c>
      <c r="D1662" s="7" t="str">
        <f>+D1661</f>
        <v>Flood</v>
      </c>
      <c r="E1662" s="8" t="str">
        <f>E1661</f>
        <v>SUPP</v>
      </c>
      <c r="G1662" s="8" t="str">
        <f>G1661</f>
        <v>FLOO0001</v>
      </c>
      <c r="H1662" s="26"/>
      <c r="I1662" s="26"/>
      <c r="J1662" s="26"/>
      <c r="K1662" s="28">
        <f>+K1661</f>
        <v>42095</v>
      </c>
      <c r="L1662" s="26" t="str">
        <f>L1661</f>
        <v>10437</v>
      </c>
      <c r="M1662" s="26"/>
      <c r="N1662" s="26"/>
      <c r="O1662" s="26" t="str">
        <f>"""GP Direct"",""Fabrikam, Inc."",""UPR30300"",""PAYRATE"",""0.00000"",""PAYROLCD"",""IL"",""STATECD"","""",""CHEKDATE"",""4/1/2015"",""UPRTRXAM"",""15.72000"""</f>
        <v>"GP Direct","Fabrikam, Inc.","UPR30300","PAYRATE","0.00000","PAYROLCD","IL","STATECD","","CHEKDATE","4/1/2015","UPRTRXAM","15.72000"</v>
      </c>
      <c r="P1662" s="29">
        <v>0</v>
      </c>
      <c r="Q1662" s="26" t="str">
        <f>"IL"</f>
        <v>IL</v>
      </c>
      <c r="R1662" s="26"/>
      <c r="S1662" s="28">
        <v>42095</v>
      </c>
      <c r="T1662" s="29">
        <v>15.72</v>
      </c>
    </row>
    <row r="1663" spans="1:20" s="7" customFormat="1" hidden="1" outlineLevel="3" x14ac:dyDescent="0.2">
      <c r="A1663" s="7" t="s">
        <v>92</v>
      </c>
      <c r="C1663" s="7" t="str">
        <f t="shared" si="251"/>
        <v>Kathie</v>
      </c>
      <c r="D1663" s="7" t="str">
        <f>+D1662</f>
        <v>Flood</v>
      </c>
      <c r="E1663" s="8" t="str">
        <f>E1662</f>
        <v>SUPP</v>
      </c>
      <c r="G1663" s="8" t="str">
        <f>G1662</f>
        <v>FLOO0001</v>
      </c>
      <c r="H1663" s="26"/>
      <c r="I1663" s="26"/>
      <c r="J1663" s="26"/>
      <c r="K1663" s="28">
        <f>+K1662</f>
        <v>42095</v>
      </c>
      <c r="L1663" s="26" t="str">
        <f>L1662</f>
        <v>10437</v>
      </c>
      <c r="M1663" s="26"/>
      <c r="N1663" s="26"/>
      <c r="O1663" s="26" t="str">
        <f>"""GP Direct"",""Fabrikam, Inc."",""UPR30300"",""PAYRATE"",""0.00000"",""PAYROLCD"",""INS"",""STATECD"","""",""CHEKDATE"",""4/1/2015"",""UPRTRXAM"",""49.36000"""</f>
        <v>"GP Direct","Fabrikam, Inc.","UPR30300","PAYRATE","0.00000","PAYROLCD","INS","STATECD","","CHEKDATE","4/1/2015","UPRTRXAM","49.36000"</v>
      </c>
      <c r="P1663" s="29">
        <v>0</v>
      </c>
      <c r="Q1663" s="26" t="str">
        <f>"INS"</f>
        <v>INS</v>
      </c>
      <c r="R1663" s="26"/>
      <c r="S1663" s="28">
        <v>42095</v>
      </c>
      <c r="T1663" s="29">
        <v>49.36</v>
      </c>
    </row>
    <row r="1664" spans="1:20" s="7" customFormat="1" hidden="1" outlineLevel="3" x14ac:dyDescent="0.2">
      <c r="A1664" s="7" t="s">
        <v>92</v>
      </c>
      <c r="C1664" s="7" t="str">
        <f t="shared" si="251"/>
        <v>Kathie</v>
      </c>
      <c r="D1664" s="7" t="str">
        <f>+D1663</f>
        <v>Flood</v>
      </c>
      <c r="E1664" s="8" t="str">
        <f>E1663</f>
        <v>SUPP</v>
      </c>
      <c r="G1664" s="8" t="str">
        <f>G1663</f>
        <v>FLOO0001</v>
      </c>
      <c r="H1664" s="26"/>
      <c r="I1664" s="26"/>
      <c r="J1664" s="26"/>
      <c r="K1664" s="28">
        <f>+K1663</f>
        <v>42095</v>
      </c>
      <c r="L1664" s="26" t="str">
        <f>L1663</f>
        <v>10437</v>
      </c>
      <c r="M1664" s="26"/>
      <c r="N1664" s="26"/>
      <c r="O1664" s="26" t="str">
        <f>"""GP Direct"",""Fabrikam, Inc."",""UPR30300"",""PAYRATE"",""0.00000"",""PAYROLCD"",""INS2"",""STATECD"","""",""CHEKDATE"",""4/1/2015"",""UPRTRXAM"",""72.95000"""</f>
        <v>"GP Direct","Fabrikam, Inc.","UPR30300","PAYRATE","0.00000","PAYROLCD","INS2","STATECD","","CHEKDATE","4/1/2015","UPRTRXAM","72.95000"</v>
      </c>
      <c r="P1664" s="29">
        <v>0</v>
      </c>
      <c r="Q1664" s="26" t="str">
        <f>"INS2"</f>
        <v>INS2</v>
      </c>
      <c r="R1664" s="26"/>
      <c r="S1664" s="28">
        <v>42095</v>
      </c>
      <c r="T1664" s="29">
        <v>72.95</v>
      </c>
    </row>
    <row r="1665" spans="1:20" s="7" customFormat="1" hidden="1" outlineLevel="3" x14ac:dyDescent="0.2">
      <c r="A1665" s="7" t="s">
        <v>92</v>
      </c>
      <c r="C1665" s="7" t="str">
        <f t="shared" si="251"/>
        <v>Kathie</v>
      </c>
      <c r="D1665" s="7" t="str">
        <f>+D1664</f>
        <v>Flood</v>
      </c>
      <c r="E1665" s="8" t="str">
        <f>E1664</f>
        <v>SUPP</v>
      </c>
      <c r="G1665" s="8" t="str">
        <f>G1664</f>
        <v>FLOO0001</v>
      </c>
      <c r="H1665" s="26"/>
      <c r="I1665" s="26"/>
      <c r="J1665" s="26"/>
      <c r="K1665" s="28">
        <f>+K1664</f>
        <v>42095</v>
      </c>
      <c r="L1665" s="26" t="str">
        <f>L1664</f>
        <v>10437</v>
      </c>
      <c r="M1665" s="26"/>
      <c r="N1665" s="26"/>
      <c r="O1665" s="26" t="str">
        <f>"""GP Direct"",""Fabrikam, Inc."",""UPR30300"",""PAYRATE"",""0.00000"",""PAYROLCD"",""MED"",""STATECD"","""",""CHEKDATE"",""4/1/2015"",""UPRTRXAM"",""20.00000"""</f>
        <v>"GP Direct","Fabrikam, Inc.","UPR30300","PAYRATE","0.00000","PAYROLCD","MED","STATECD","","CHEKDATE","4/1/2015","UPRTRXAM","20.00000"</v>
      </c>
      <c r="P1665" s="29">
        <v>0</v>
      </c>
      <c r="Q1665" s="26" t="str">
        <f>"MED"</f>
        <v>MED</v>
      </c>
      <c r="R1665" s="26"/>
      <c r="S1665" s="28">
        <v>42095</v>
      </c>
      <c r="T1665" s="29">
        <v>20</v>
      </c>
    </row>
    <row r="1666" spans="1:20" s="7" customFormat="1" hidden="1" outlineLevel="3" x14ac:dyDescent="0.2">
      <c r="A1666" s="7" t="s">
        <v>92</v>
      </c>
      <c r="C1666" s="7" t="str">
        <f t="shared" si="251"/>
        <v>Kathie</v>
      </c>
      <c r="D1666" s="7" t="str">
        <f>+D1665</f>
        <v>Flood</v>
      </c>
      <c r="E1666" s="8" t="str">
        <f>E1665</f>
        <v>SUPP</v>
      </c>
      <c r="G1666" s="8" t="str">
        <f>G1665</f>
        <v>FLOO0001</v>
      </c>
      <c r="H1666" s="26"/>
      <c r="I1666" s="26"/>
      <c r="J1666" s="26"/>
      <c r="K1666" s="28">
        <f>+K1665</f>
        <v>42095</v>
      </c>
      <c r="L1666" s="26" t="str">
        <f>L1665</f>
        <v>10437</v>
      </c>
      <c r="M1666" s="26"/>
      <c r="N1666" s="26"/>
      <c r="O1666" s="26" t="str">
        <f>"""GP Direct"",""Fabrikam, Inc."",""UPR30300"",""PAYRATE"",""21900.00000"",""PAYROLCD"",""SALY"",""STATECD"",""IL"",""CHEKDATE"",""4/1/2015"",""UPRTRXAM"",""912.50000"""</f>
        <v>"GP Direct","Fabrikam, Inc.","UPR30300","PAYRATE","21900.00000","PAYROLCD","SALY","STATECD","IL","CHEKDATE","4/1/2015","UPRTRXAM","912.50000"</v>
      </c>
      <c r="P1666" s="29">
        <v>21900</v>
      </c>
      <c r="Q1666" s="26" t="str">
        <f>"SALY"</f>
        <v>SALY</v>
      </c>
      <c r="R1666" s="26" t="str">
        <f>"IL"</f>
        <v>IL</v>
      </c>
      <c r="S1666" s="28">
        <v>42095</v>
      </c>
      <c r="T1666" s="29">
        <v>912.5</v>
      </c>
    </row>
    <row r="1667" spans="1:20" s="7" customFormat="1" hidden="1" outlineLevel="3" x14ac:dyDescent="0.2">
      <c r="A1667" s="7" t="s">
        <v>92</v>
      </c>
      <c r="C1667" s="7" t="str">
        <f>+C1660</f>
        <v>Kathie</v>
      </c>
      <c r="D1667" s="7" t="str">
        <f>+D1660</f>
        <v>Flood</v>
      </c>
      <c r="E1667" s="8" t="str">
        <f>E1660</f>
        <v>SUPP</v>
      </c>
      <c r="G1667" s="8" t="str">
        <f>G1660</f>
        <v>FLOO0001</v>
      </c>
      <c r="K1667" s="12">
        <f>+K1660</f>
        <v>42095</v>
      </c>
      <c r="L1667" s="8" t="str">
        <f>L1660</f>
        <v>10437</v>
      </c>
      <c r="O1667" s="8"/>
      <c r="T1667" s="20"/>
    </row>
    <row r="1668" spans="1:20" s="7" customFormat="1" hidden="1" outlineLevel="2" collapsed="1" x14ac:dyDescent="0.2">
      <c r="A1668" s="7" t="s">
        <v>92</v>
      </c>
      <c r="C1668" s="7" t="str">
        <f t="shared" si="248"/>
        <v>Kathie</v>
      </c>
      <c r="D1668" s="7" t="str">
        <f>+D1667</f>
        <v>Flood</v>
      </c>
      <c r="E1668" s="8" t="str">
        <f>E1667</f>
        <v>SUPP</v>
      </c>
      <c r="G1668" s="8" t="str">
        <f>G1667</f>
        <v>FLOO0001</v>
      </c>
      <c r="K1668" s="12">
        <f>+K1667</f>
        <v>42095</v>
      </c>
      <c r="L1668" s="8" t="str">
        <f>L1667</f>
        <v>10437</v>
      </c>
      <c r="M1668" s="33" t="str">
        <f>"Total for " &amp; $L1668</f>
        <v>Total for 10437</v>
      </c>
      <c r="N1668" s="34">
        <f>+K1668</f>
        <v>42095</v>
      </c>
      <c r="O1668" s="35"/>
      <c r="P1668" s="33"/>
      <c r="Q1668" s="33"/>
      <c r="R1668" s="33"/>
      <c r="S1668" s="33"/>
      <c r="T1668" s="36">
        <f>SUBTOTAL(9,T1660:T1667)</f>
        <v>1118.44</v>
      </c>
    </row>
    <row r="1669" spans="1:20" s="7" customFormat="1" hidden="1" outlineLevel="3" x14ac:dyDescent="0.2">
      <c r="A1669" s="7" t="s">
        <v>92</v>
      </c>
      <c r="C1669" s="7" t="str">
        <f t="shared" si="248"/>
        <v>Kathie</v>
      </c>
      <c r="D1669" s="7" t="str">
        <f>+D1668</f>
        <v>Flood</v>
      </c>
      <c r="E1669" s="8" t="str">
        <f>E1668</f>
        <v>SUPP</v>
      </c>
      <c r="G1669" s="8" t="str">
        <f>G1668</f>
        <v>FLOO0001</v>
      </c>
      <c r="H1669" s="26"/>
      <c r="I1669" s="26"/>
      <c r="J1669" s="26"/>
      <c r="K1669" s="28">
        <f>+N1669</f>
        <v>42125</v>
      </c>
      <c r="L1669" s="26" t="str">
        <f>M1669</f>
        <v>10462</v>
      </c>
      <c r="M1669" s="26" t="str">
        <f>"10462"</f>
        <v>10462</v>
      </c>
      <c r="N1669" s="28">
        <v>42125</v>
      </c>
      <c r="O1669" s="26"/>
      <c r="P1669" s="26"/>
      <c r="Q1669" s="26"/>
      <c r="R1669" s="26"/>
      <c r="S1669" s="26"/>
      <c r="T1669" s="27"/>
    </row>
    <row r="1670" spans="1:20" s="7" customFormat="1" hidden="1" outlineLevel="3" x14ac:dyDescent="0.2">
      <c r="A1670" s="7" t="s">
        <v>92</v>
      </c>
      <c r="C1670" s="7" t="str">
        <f t="shared" si="248"/>
        <v>Kathie</v>
      </c>
      <c r="D1670" s="7" t="str">
        <f>+D1669</f>
        <v>Flood</v>
      </c>
      <c r="E1670" s="8" t="str">
        <f>E1669</f>
        <v>SUPP</v>
      </c>
      <c r="G1670" s="8" t="str">
        <f>G1669</f>
        <v>FLOO0001</v>
      </c>
      <c r="H1670" s="26"/>
      <c r="I1670" s="26"/>
      <c r="J1670" s="26"/>
      <c r="K1670" s="28">
        <f>+K1669</f>
        <v>42125</v>
      </c>
      <c r="L1670" s="26" t="str">
        <f>L1669</f>
        <v>10462</v>
      </c>
      <c r="M1670" s="26"/>
      <c r="N1670" s="26"/>
      <c r="O1670" s="26" t="str">
        <f>"""GP Direct"",""Fabrikam, Inc."",""UPR30300"",""PAYRATE"",""0.00000"",""PAYROLCD"",""401K"",""STATECD"","""",""CHEKDATE"",""5/1/2015"",""UPRTRXAM"",""2.28000"""</f>
        <v>"GP Direct","Fabrikam, Inc.","UPR30300","PAYRATE","0.00000","PAYROLCD","401K","STATECD","","CHEKDATE","5/1/2015","UPRTRXAM","2.28000"</v>
      </c>
      <c r="P1670" s="29">
        <v>0</v>
      </c>
      <c r="Q1670" s="26" t="str">
        <f>"401K"</f>
        <v>401K</v>
      </c>
      <c r="R1670" s="26"/>
      <c r="S1670" s="28">
        <v>42125</v>
      </c>
      <c r="T1670" s="29">
        <v>2.2799999999999998</v>
      </c>
    </row>
    <row r="1671" spans="1:20" s="7" customFormat="1" hidden="1" outlineLevel="3" x14ac:dyDescent="0.2">
      <c r="A1671" s="7" t="s">
        <v>92</v>
      </c>
      <c r="C1671" s="7" t="str">
        <f t="shared" ref="C1671:C1676" si="252">+C1670</f>
        <v>Kathie</v>
      </c>
      <c r="D1671" s="7" t="str">
        <f>+D1670</f>
        <v>Flood</v>
      </c>
      <c r="E1671" s="8" t="str">
        <f>E1670</f>
        <v>SUPP</v>
      </c>
      <c r="G1671" s="8" t="str">
        <f>G1670</f>
        <v>FLOO0001</v>
      </c>
      <c r="H1671" s="26"/>
      <c r="I1671" s="26"/>
      <c r="J1671" s="26"/>
      <c r="K1671" s="28">
        <f>+K1670</f>
        <v>42125</v>
      </c>
      <c r="L1671" s="26" t="str">
        <f>L1670</f>
        <v>10462</v>
      </c>
      <c r="M1671" s="26"/>
      <c r="N1671" s="26"/>
      <c r="O1671" s="26" t="str">
        <f>"""GP Direct"",""Fabrikam, Inc."",""UPR30300"",""PAYRATE"",""0.00000"",""PAYROLCD"",""401K"",""STATECD"","""",""CHEKDATE"",""5/1/2015"",""UPRTRXAM"",""45.63000"""</f>
        <v>"GP Direct","Fabrikam, Inc.","UPR30300","PAYRATE","0.00000","PAYROLCD","401K","STATECD","","CHEKDATE","5/1/2015","UPRTRXAM","45.63000"</v>
      </c>
      <c r="P1671" s="29">
        <v>0</v>
      </c>
      <c r="Q1671" s="26" t="str">
        <f>"401K"</f>
        <v>401K</v>
      </c>
      <c r="R1671" s="26"/>
      <c r="S1671" s="28">
        <v>42125</v>
      </c>
      <c r="T1671" s="29">
        <v>45.63</v>
      </c>
    </row>
    <row r="1672" spans="1:20" s="7" customFormat="1" hidden="1" outlineLevel="3" x14ac:dyDescent="0.2">
      <c r="A1672" s="7" t="s">
        <v>92</v>
      </c>
      <c r="C1672" s="7" t="str">
        <f t="shared" si="252"/>
        <v>Kathie</v>
      </c>
      <c r="D1672" s="7" t="str">
        <f>+D1671</f>
        <v>Flood</v>
      </c>
      <c r="E1672" s="8" t="str">
        <f>E1671</f>
        <v>SUPP</v>
      </c>
      <c r="G1672" s="8" t="str">
        <f>G1671</f>
        <v>FLOO0001</v>
      </c>
      <c r="H1672" s="26"/>
      <c r="I1672" s="26"/>
      <c r="J1672" s="26"/>
      <c r="K1672" s="28">
        <f>+K1671</f>
        <v>42125</v>
      </c>
      <c r="L1672" s="26" t="str">
        <f>L1671</f>
        <v>10462</v>
      </c>
      <c r="M1672" s="26"/>
      <c r="N1672" s="26"/>
      <c r="O1672" s="26" t="str">
        <f>"""GP Direct"",""Fabrikam, Inc."",""UPR30300"",""PAYRATE"",""0.00000"",""PAYROLCD"",""IL"",""STATECD"","""",""CHEKDATE"",""5/1/2015"",""UPRTRXAM"",""15.72000"""</f>
        <v>"GP Direct","Fabrikam, Inc.","UPR30300","PAYRATE","0.00000","PAYROLCD","IL","STATECD","","CHEKDATE","5/1/2015","UPRTRXAM","15.72000"</v>
      </c>
      <c r="P1672" s="29">
        <v>0</v>
      </c>
      <c r="Q1672" s="26" t="str">
        <f>"IL"</f>
        <v>IL</v>
      </c>
      <c r="R1672" s="26"/>
      <c r="S1672" s="28">
        <v>42125</v>
      </c>
      <c r="T1672" s="29">
        <v>15.72</v>
      </c>
    </row>
    <row r="1673" spans="1:20" s="7" customFormat="1" hidden="1" outlineLevel="3" x14ac:dyDescent="0.2">
      <c r="A1673" s="7" t="s">
        <v>92</v>
      </c>
      <c r="C1673" s="7" t="str">
        <f t="shared" si="252"/>
        <v>Kathie</v>
      </c>
      <c r="D1673" s="7" t="str">
        <f>+D1672</f>
        <v>Flood</v>
      </c>
      <c r="E1673" s="8" t="str">
        <f>E1672</f>
        <v>SUPP</v>
      </c>
      <c r="G1673" s="8" t="str">
        <f>G1672</f>
        <v>FLOO0001</v>
      </c>
      <c r="H1673" s="26"/>
      <c r="I1673" s="26"/>
      <c r="J1673" s="26"/>
      <c r="K1673" s="28">
        <f>+K1672</f>
        <v>42125</v>
      </c>
      <c r="L1673" s="26" t="str">
        <f>L1672</f>
        <v>10462</v>
      </c>
      <c r="M1673" s="26"/>
      <c r="N1673" s="26"/>
      <c r="O1673" s="26" t="str">
        <f>"""GP Direct"",""Fabrikam, Inc."",""UPR30300"",""PAYRATE"",""0.00000"",""PAYROLCD"",""INS"",""STATECD"","""",""CHEKDATE"",""5/1/2015"",""UPRTRXAM"",""49.36000"""</f>
        <v>"GP Direct","Fabrikam, Inc.","UPR30300","PAYRATE","0.00000","PAYROLCD","INS","STATECD","","CHEKDATE","5/1/2015","UPRTRXAM","49.36000"</v>
      </c>
      <c r="P1673" s="29">
        <v>0</v>
      </c>
      <c r="Q1673" s="26" t="str">
        <f>"INS"</f>
        <v>INS</v>
      </c>
      <c r="R1673" s="26"/>
      <c r="S1673" s="28">
        <v>42125</v>
      </c>
      <c r="T1673" s="29">
        <v>49.36</v>
      </c>
    </row>
    <row r="1674" spans="1:20" s="7" customFormat="1" hidden="1" outlineLevel="3" x14ac:dyDescent="0.2">
      <c r="A1674" s="7" t="s">
        <v>92</v>
      </c>
      <c r="C1674" s="7" t="str">
        <f t="shared" si="252"/>
        <v>Kathie</v>
      </c>
      <c r="D1674" s="7" t="str">
        <f>+D1673</f>
        <v>Flood</v>
      </c>
      <c r="E1674" s="8" t="str">
        <f>E1673</f>
        <v>SUPP</v>
      </c>
      <c r="G1674" s="8" t="str">
        <f>G1673</f>
        <v>FLOO0001</v>
      </c>
      <c r="H1674" s="26"/>
      <c r="I1674" s="26"/>
      <c r="J1674" s="26"/>
      <c r="K1674" s="28">
        <f>+K1673</f>
        <v>42125</v>
      </c>
      <c r="L1674" s="26" t="str">
        <f>L1673</f>
        <v>10462</v>
      </c>
      <c r="M1674" s="26"/>
      <c r="N1674" s="26"/>
      <c r="O1674" s="26" t="str">
        <f>"""GP Direct"",""Fabrikam, Inc."",""UPR30300"",""PAYRATE"",""0.00000"",""PAYROLCD"",""INS2"",""STATECD"","""",""CHEKDATE"",""5/1/2015"",""UPRTRXAM"",""72.95000"""</f>
        <v>"GP Direct","Fabrikam, Inc.","UPR30300","PAYRATE","0.00000","PAYROLCD","INS2","STATECD","","CHEKDATE","5/1/2015","UPRTRXAM","72.95000"</v>
      </c>
      <c r="P1674" s="29">
        <v>0</v>
      </c>
      <c r="Q1674" s="26" t="str">
        <f>"INS2"</f>
        <v>INS2</v>
      </c>
      <c r="R1674" s="26"/>
      <c r="S1674" s="28">
        <v>42125</v>
      </c>
      <c r="T1674" s="29">
        <v>72.95</v>
      </c>
    </row>
    <row r="1675" spans="1:20" s="7" customFormat="1" hidden="1" outlineLevel="3" x14ac:dyDescent="0.2">
      <c r="A1675" s="7" t="s">
        <v>92</v>
      </c>
      <c r="C1675" s="7" t="str">
        <f t="shared" si="252"/>
        <v>Kathie</v>
      </c>
      <c r="D1675" s="7" t="str">
        <f>+D1674</f>
        <v>Flood</v>
      </c>
      <c r="E1675" s="8" t="str">
        <f>E1674</f>
        <v>SUPP</v>
      </c>
      <c r="G1675" s="8" t="str">
        <f>G1674</f>
        <v>FLOO0001</v>
      </c>
      <c r="H1675" s="26"/>
      <c r="I1675" s="26"/>
      <c r="J1675" s="26"/>
      <c r="K1675" s="28">
        <f>+K1674</f>
        <v>42125</v>
      </c>
      <c r="L1675" s="26" t="str">
        <f>L1674</f>
        <v>10462</v>
      </c>
      <c r="M1675" s="26"/>
      <c r="N1675" s="26"/>
      <c r="O1675" s="26" t="str">
        <f>"""GP Direct"",""Fabrikam, Inc."",""UPR30300"",""PAYRATE"",""0.00000"",""PAYROLCD"",""MED"",""STATECD"","""",""CHEKDATE"",""5/1/2015"",""UPRTRXAM"",""20.00000"""</f>
        <v>"GP Direct","Fabrikam, Inc.","UPR30300","PAYRATE","0.00000","PAYROLCD","MED","STATECD","","CHEKDATE","5/1/2015","UPRTRXAM","20.00000"</v>
      </c>
      <c r="P1675" s="29">
        <v>0</v>
      </c>
      <c r="Q1675" s="26" t="str">
        <f>"MED"</f>
        <v>MED</v>
      </c>
      <c r="R1675" s="26"/>
      <c r="S1675" s="28">
        <v>42125</v>
      </c>
      <c r="T1675" s="29">
        <v>20</v>
      </c>
    </row>
    <row r="1676" spans="1:20" s="7" customFormat="1" hidden="1" outlineLevel="3" x14ac:dyDescent="0.2">
      <c r="A1676" s="7" t="s">
        <v>92</v>
      </c>
      <c r="C1676" s="7" t="str">
        <f t="shared" si="252"/>
        <v>Kathie</v>
      </c>
      <c r="D1676" s="7" t="str">
        <f>+D1675</f>
        <v>Flood</v>
      </c>
      <c r="E1676" s="8" t="str">
        <f>E1675</f>
        <v>SUPP</v>
      </c>
      <c r="G1676" s="8" t="str">
        <f>G1675</f>
        <v>FLOO0001</v>
      </c>
      <c r="H1676" s="26"/>
      <c r="I1676" s="26"/>
      <c r="J1676" s="26"/>
      <c r="K1676" s="28">
        <f>+K1675</f>
        <v>42125</v>
      </c>
      <c r="L1676" s="26" t="str">
        <f>L1675</f>
        <v>10462</v>
      </c>
      <c r="M1676" s="26"/>
      <c r="N1676" s="26"/>
      <c r="O1676" s="26" t="str">
        <f>"""GP Direct"",""Fabrikam, Inc."",""UPR30300"",""PAYRATE"",""21900.00000"",""PAYROLCD"",""SALY"",""STATECD"",""IL"",""CHEKDATE"",""5/1/2015"",""UPRTRXAM"",""912.50000"""</f>
        <v>"GP Direct","Fabrikam, Inc.","UPR30300","PAYRATE","21900.00000","PAYROLCD","SALY","STATECD","IL","CHEKDATE","5/1/2015","UPRTRXAM","912.50000"</v>
      </c>
      <c r="P1676" s="29">
        <v>21900</v>
      </c>
      <c r="Q1676" s="26" t="str">
        <f>"SALY"</f>
        <v>SALY</v>
      </c>
      <c r="R1676" s="26" t="str">
        <f>"IL"</f>
        <v>IL</v>
      </c>
      <c r="S1676" s="28">
        <v>42125</v>
      </c>
      <c r="T1676" s="29">
        <v>912.5</v>
      </c>
    </row>
    <row r="1677" spans="1:20" s="7" customFormat="1" hidden="1" outlineLevel="3" x14ac:dyDescent="0.2">
      <c r="A1677" s="7" t="s">
        <v>92</v>
      </c>
      <c r="C1677" s="7" t="str">
        <f>+C1670</f>
        <v>Kathie</v>
      </c>
      <c r="D1677" s="7" t="str">
        <f>+D1670</f>
        <v>Flood</v>
      </c>
      <c r="E1677" s="8" t="str">
        <f>E1670</f>
        <v>SUPP</v>
      </c>
      <c r="G1677" s="8" t="str">
        <f>G1670</f>
        <v>FLOO0001</v>
      </c>
      <c r="K1677" s="12">
        <f>+K1670</f>
        <v>42125</v>
      </c>
      <c r="L1677" s="8" t="str">
        <f>L1670</f>
        <v>10462</v>
      </c>
      <c r="O1677" s="8"/>
      <c r="T1677" s="20"/>
    </row>
    <row r="1678" spans="1:20" s="7" customFormat="1" hidden="1" outlineLevel="2" collapsed="1" x14ac:dyDescent="0.2">
      <c r="A1678" s="7" t="s">
        <v>92</v>
      </c>
      <c r="C1678" s="7" t="str">
        <f t="shared" si="248"/>
        <v>Kathie</v>
      </c>
      <c r="D1678" s="7" t="str">
        <f>+D1677</f>
        <v>Flood</v>
      </c>
      <c r="E1678" s="8" t="str">
        <f>E1677</f>
        <v>SUPP</v>
      </c>
      <c r="G1678" s="8" t="str">
        <f>G1677</f>
        <v>FLOO0001</v>
      </c>
      <c r="K1678" s="12">
        <f>+K1677</f>
        <v>42125</v>
      </c>
      <c r="L1678" s="8" t="str">
        <f>L1677</f>
        <v>10462</v>
      </c>
      <c r="M1678" s="33" t="str">
        <f>"Total for " &amp; $L1678</f>
        <v>Total for 10462</v>
      </c>
      <c r="N1678" s="34">
        <f>+K1678</f>
        <v>42125</v>
      </c>
      <c r="O1678" s="35"/>
      <c r="P1678" s="33"/>
      <c r="Q1678" s="33"/>
      <c r="R1678" s="33"/>
      <c r="S1678" s="33"/>
      <c r="T1678" s="36">
        <f>SUBTOTAL(9,T1670:T1677)</f>
        <v>1118.44</v>
      </c>
    </row>
    <row r="1679" spans="1:20" s="7" customFormat="1" hidden="1" outlineLevel="3" x14ac:dyDescent="0.2">
      <c r="A1679" s="7" t="s">
        <v>92</v>
      </c>
      <c r="C1679" s="7" t="str">
        <f t="shared" si="248"/>
        <v>Kathie</v>
      </c>
      <c r="D1679" s="7" t="str">
        <f>+D1678</f>
        <v>Flood</v>
      </c>
      <c r="E1679" s="8" t="str">
        <f>E1678</f>
        <v>SUPP</v>
      </c>
      <c r="G1679" s="8" t="str">
        <f>G1678</f>
        <v>FLOO0001</v>
      </c>
      <c r="H1679" s="26"/>
      <c r="I1679" s="26"/>
      <c r="J1679" s="26"/>
      <c r="K1679" s="28">
        <f>+N1679</f>
        <v>42156</v>
      </c>
      <c r="L1679" s="26" t="str">
        <f>M1679</f>
        <v>10487</v>
      </c>
      <c r="M1679" s="26" t="str">
        <f>"10487"</f>
        <v>10487</v>
      </c>
      <c r="N1679" s="28">
        <v>42156</v>
      </c>
      <c r="O1679" s="26"/>
      <c r="P1679" s="26"/>
      <c r="Q1679" s="26"/>
      <c r="R1679" s="26"/>
      <c r="S1679" s="26"/>
      <c r="T1679" s="27"/>
    </row>
    <row r="1680" spans="1:20" s="7" customFormat="1" hidden="1" outlineLevel="3" x14ac:dyDescent="0.2">
      <c r="A1680" s="7" t="s">
        <v>92</v>
      </c>
      <c r="C1680" s="7" t="str">
        <f t="shared" si="248"/>
        <v>Kathie</v>
      </c>
      <c r="D1680" s="7" t="str">
        <f>+D1679</f>
        <v>Flood</v>
      </c>
      <c r="E1680" s="8" t="str">
        <f>E1679</f>
        <v>SUPP</v>
      </c>
      <c r="G1680" s="8" t="str">
        <f>G1679</f>
        <v>FLOO0001</v>
      </c>
      <c r="H1680" s="26"/>
      <c r="I1680" s="26"/>
      <c r="J1680" s="26"/>
      <c r="K1680" s="28">
        <f>+K1679</f>
        <v>42156</v>
      </c>
      <c r="L1680" s="26" t="str">
        <f>L1679</f>
        <v>10487</v>
      </c>
      <c r="M1680" s="26"/>
      <c r="N1680" s="26"/>
      <c r="O1680" s="26" t="str">
        <f>"""GP Direct"",""Fabrikam, Inc."",""UPR30300"",""PAYRATE"",""0.00000"",""PAYROLCD"",""401K"",""STATECD"","""",""CHEKDATE"",""6/1/2015"",""UPRTRXAM"",""2.28000"""</f>
        <v>"GP Direct","Fabrikam, Inc.","UPR30300","PAYRATE","0.00000","PAYROLCD","401K","STATECD","","CHEKDATE","6/1/2015","UPRTRXAM","2.28000"</v>
      </c>
      <c r="P1680" s="29">
        <v>0</v>
      </c>
      <c r="Q1680" s="26" t="str">
        <f>"401K"</f>
        <v>401K</v>
      </c>
      <c r="R1680" s="26"/>
      <c r="S1680" s="28">
        <v>42156</v>
      </c>
      <c r="T1680" s="29">
        <v>2.2799999999999998</v>
      </c>
    </row>
    <row r="1681" spans="1:20" s="7" customFormat="1" hidden="1" outlineLevel="3" x14ac:dyDescent="0.2">
      <c r="A1681" s="7" t="s">
        <v>92</v>
      </c>
      <c r="C1681" s="7" t="str">
        <f t="shared" ref="C1681:C1686" si="253">+C1680</f>
        <v>Kathie</v>
      </c>
      <c r="D1681" s="7" t="str">
        <f>+D1680</f>
        <v>Flood</v>
      </c>
      <c r="E1681" s="8" t="str">
        <f>E1680</f>
        <v>SUPP</v>
      </c>
      <c r="G1681" s="8" t="str">
        <f>G1680</f>
        <v>FLOO0001</v>
      </c>
      <c r="H1681" s="26"/>
      <c r="I1681" s="26"/>
      <c r="J1681" s="26"/>
      <c r="K1681" s="28">
        <f>+K1680</f>
        <v>42156</v>
      </c>
      <c r="L1681" s="26" t="str">
        <f>L1680</f>
        <v>10487</v>
      </c>
      <c r="M1681" s="26"/>
      <c r="N1681" s="26"/>
      <c r="O1681" s="26" t="str">
        <f>"""GP Direct"",""Fabrikam, Inc."",""UPR30300"",""PAYRATE"",""0.00000"",""PAYROLCD"",""401K"",""STATECD"","""",""CHEKDATE"",""6/1/2015"",""UPRTRXAM"",""45.63000"""</f>
        <v>"GP Direct","Fabrikam, Inc.","UPR30300","PAYRATE","0.00000","PAYROLCD","401K","STATECD","","CHEKDATE","6/1/2015","UPRTRXAM","45.63000"</v>
      </c>
      <c r="P1681" s="29">
        <v>0</v>
      </c>
      <c r="Q1681" s="26" t="str">
        <f>"401K"</f>
        <v>401K</v>
      </c>
      <c r="R1681" s="26"/>
      <c r="S1681" s="28">
        <v>42156</v>
      </c>
      <c r="T1681" s="29">
        <v>45.63</v>
      </c>
    </row>
    <row r="1682" spans="1:20" s="7" customFormat="1" hidden="1" outlineLevel="3" x14ac:dyDescent="0.2">
      <c r="A1682" s="7" t="s">
        <v>92</v>
      </c>
      <c r="C1682" s="7" t="str">
        <f t="shared" si="253"/>
        <v>Kathie</v>
      </c>
      <c r="D1682" s="7" t="str">
        <f>+D1681</f>
        <v>Flood</v>
      </c>
      <c r="E1682" s="8" t="str">
        <f>E1681</f>
        <v>SUPP</v>
      </c>
      <c r="G1682" s="8" t="str">
        <f>G1681</f>
        <v>FLOO0001</v>
      </c>
      <c r="H1682" s="26"/>
      <c r="I1682" s="26"/>
      <c r="J1682" s="26"/>
      <c r="K1682" s="28">
        <f>+K1681</f>
        <v>42156</v>
      </c>
      <c r="L1682" s="26" t="str">
        <f>L1681</f>
        <v>10487</v>
      </c>
      <c r="M1682" s="26"/>
      <c r="N1682" s="26"/>
      <c r="O1682" s="26" t="str">
        <f>"""GP Direct"",""Fabrikam, Inc."",""UPR30300"",""PAYRATE"",""0.00000"",""PAYROLCD"",""IL"",""STATECD"","""",""CHEKDATE"",""6/1/2015"",""UPRTRXAM"",""15.72000"""</f>
        <v>"GP Direct","Fabrikam, Inc.","UPR30300","PAYRATE","0.00000","PAYROLCD","IL","STATECD","","CHEKDATE","6/1/2015","UPRTRXAM","15.72000"</v>
      </c>
      <c r="P1682" s="29">
        <v>0</v>
      </c>
      <c r="Q1682" s="26" t="str">
        <f>"IL"</f>
        <v>IL</v>
      </c>
      <c r="R1682" s="26"/>
      <c r="S1682" s="28">
        <v>42156</v>
      </c>
      <c r="T1682" s="29">
        <v>15.72</v>
      </c>
    </row>
    <row r="1683" spans="1:20" s="7" customFormat="1" hidden="1" outlineLevel="3" x14ac:dyDescent="0.2">
      <c r="A1683" s="7" t="s">
        <v>92</v>
      </c>
      <c r="C1683" s="7" t="str">
        <f t="shared" si="253"/>
        <v>Kathie</v>
      </c>
      <c r="D1683" s="7" t="str">
        <f>+D1682</f>
        <v>Flood</v>
      </c>
      <c r="E1683" s="8" t="str">
        <f>E1682</f>
        <v>SUPP</v>
      </c>
      <c r="G1683" s="8" t="str">
        <f>G1682</f>
        <v>FLOO0001</v>
      </c>
      <c r="H1683" s="26"/>
      <c r="I1683" s="26"/>
      <c r="J1683" s="26"/>
      <c r="K1683" s="28">
        <f>+K1682</f>
        <v>42156</v>
      </c>
      <c r="L1683" s="26" t="str">
        <f>L1682</f>
        <v>10487</v>
      </c>
      <c r="M1683" s="26"/>
      <c r="N1683" s="26"/>
      <c r="O1683" s="26" t="str">
        <f>"""GP Direct"",""Fabrikam, Inc."",""UPR30300"",""PAYRATE"",""0.00000"",""PAYROLCD"",""INS"",""STATECD"","""",""CHEKDATE"",""6/1/2015"",""UPRTRXAM"",""49.36000"""</f>
        <v>"GP Direct","Fabrikam, Inc.","UPR30300","PAYRATE","0.00000","PAYROLCD","INS","STATECD","","CHEKDATE","6/1/2015","UPRTRXAM","49.36000"</v>
      </c>
      <c r="P1683" s="29">
        <v>0</v>
      </c>
      <c r="Q1683" s="26" t="str">
        <f>"INS"</f>
        <v>INS</v>
      </c>
      <c r="R1683" s="26"/>
      <c r="S1683" s="28">
        <v>42156</v>
      </c>
      <c r="T1683" s="29">
        <v>49.36</v>
      </c>
    </row>
    <row r="1684" spans="1:20" s="7" customFormat="1" hidden="1" outlineLevel="3" x14ac:dyDescent="0.2">
      <c r="A1684" s="7" t="s">
        <v>92</v>
      </c>
      <c r="C1684" s="7" t="str">
        <f t="shared" si="253"/>
        <v>Kathie</v>
      </c>
      <c r="D1684" s="7" t="str">
        <f>+D1683</f>
        <v>Flood</v>
      </c>
      <c r="E1684" s="8" t="str">
        <f>E1683</f>
        <v>SUPP</v>
      </c>
      <c r="G1684" s="8" t="str">
        <f>G1683</f>
        <v>FLOO0001</v>
      </c>
      <c r="H1684" s="26"/>
      <c r="I1684" s="26"/>
      <c r="J1684" s="26"/>
      <c r="K1684" s="28">
        <f>+K1683</f>
        <v>42156</v>
      </c>
      <c r="L1684" s="26" t="str">
        <f>L1683</f>
        <v>10487</v>
      </c>
      <c r="M1684" s="26"/>
      <c r="N1684" s="26"/>
      <c r="O1684" s="26" t="str">
        <f>"""GP Direct"",""Fabrikam, Inc."",""UPR30300"",""PAYRATE"",""0.00000"",""PAYROLCD"",""INS2"",""STATECD"","""",""CHEKDATE"",""6/1/2015"",""UPRTRXAM"",""72.95000"""</f>
        <v>"GP Direct","Fabrikam, Inc.","UPR30300","PAYRATE","0.00000","PAYROLCD","INS2","STATECD","","CHEKDATE","6/1/2015","UPRTRXAM","72.95000"</v>
      </c>
      <c r="P1684" s="29">
        <v>0</v>
      </c>
      <c r="Q1684" s="26" t="str">
        <f>"INS2"</f>
        <v>INS2</v>
      </c>
      <c r="R1684" s="26"/>
      <c r="S1684" s="28">
        <v>42156</v>
      </c>
      <c r="T1684" s="29">
        <v>72.95</v>
      </c>
    </row>
    <row r="1685" spans="1:20" s="7" customFormat="1" hidden="1" outlineLevel="3" x14ac:dyDescent="0.2">
      <c r="A1685" s="7" t="s">
        <v>92</v>
      </c>
      <c r="C1685" s="7" t="str">
        <f t="shared" si="253"/>
        <v>Kathie</v>
      </c>
      <c r="D1685" s="7" t="str">
        <f>+D1684</f>
        <v>Flood</v>
      </c>
      <c r="E1685" s="8" t="str">
        <f>E1684</f>
        <v>SUPP</v>
      </c>
      <c r="G1685" s="8" t="str">
        <f>G1684</f>
        <v>FLOO0001</v>
      </c>
      <c r="H1685" s="26"/>
      <c r="I1685" s="26"/>
      <c r="J1685" s="26"/>
      <c r="K1685" s="28">
        <f>+K1684</f>
        <v>42156</v>
      </c>
      <c r="L1685" s="26" t="str">
        <f>L1684</f>
        <v>10487</v>
      </c>
      <c r="M1685" s="26"/>
      <c r="N1685" s="26"/>
      <c r="O1685" s="26" t="str">
        <f>"""GP Direct"",""Fabrikam, Inc."",""UPR30300"",""PAYRATE"",""0.00000"",""PAYROLCD"",""MED"",""STATECD"","""",""CHEKDATE"",""6/1/2015"",""UPRTRXAM"",""20.00000"""</f>
        <v>"GP Direct","Fabrikam, Inc.","UPR30300","PAYRATE","0.00000","PAYROLCD","MED","STATECD","","CHEKDATE","6/1/2015","UPRTRXAM","20.00000"</v>
      </c>
      <c r="P1685" s="29">
        <v>0</v>
      </c>
      <c r="Q1685" s="26" t="str">
        <f>"MED"</f>
        <v>MED</v>
      </c>
      <c r="R1685" s="26"/>
      <c r="S1685" s="28">
        <v>42156</v>
      </c>
      <c r="T1685" s="29">
        <v>20</v>
      </c>
    </row>
    <row r="1686" spans="1:20" s="7" customFormat="1" hidden="1" outlineLevel="3" x14ac:dyDescent="0.2">
      <c r="A1686" s="7" t="s">
        <v>92</v>
      </c>
      <c r="C1686" s="7" t="str">
        <f t="shared" si="253"/>
        <v>Kathie</v>
      </c>
      <c r="D1686" s="7" t="str">
        <f>+D1685</f>
        <v>Flood</v>
      </c>
      <c r="E1686" s="8" t="str">
        <f>E1685</f>
        <v>SUPP</v>
      </c>
      <c r="G1686" s="8" t="str">
        <f>G1685</f>
        <v>FLOO0001</v>
      </c>
      <c r="H1686" s="26"/>
      <c r="I1686" s="26"/>
      <c r="J1686" s="26"/>
      <c r="K1686" s="28">
        <f>+K1685</f>
        <v>42156</v>
      </c>
      <c r="L1686" s="26" t="str">
        <f>L1685</f>
        <v>10487</v>
      </c>
      <c r="M1686" s="26"/>
      <c r="N1686" s="26"/>
      <c r="O1686" s="26" t="str">
        <f>"""GP Direct"",""Fabrikam, Inc."",""UPR30300"",""PAYRATE"",""21900.00000"",""PAYROLCD"",""SALY"",""STATECD"",""IL"",""CHEKDATE"",""6/1/2015"",""UPRTRXAM"",""912.50000"""</f>
        <v>"GP Direct","Fabrikam, Inc.","UPR30300","PAYRATE","21900.00000","PAYROLCD","SALY","STATECD","IL","CHEKDATE","6/1/2015","UPRTRXAM","912.50000"</v>
      </c>
      <c r="P1686" s="29">
        <v>21900</v>
      </c>
      <c r="Q1686" s="26" t="str">
        <f>"SALY"</f>
        <v>SALY</v>
      </c>
      <c r="R1686" s="26" t="str">
        <f>"IL"</f>
        <v>IL</v>
      </c>
      <c r="S1686" s="28">
        <v>42156</v>
      </c>
      <c r="T1686" s="29">
        <v>912.5</v>
      </c>
    </row>
    <row r="1687" spans="1:20" s="7" customFormat="1" hidden="1" outlineLevel="3" x14ac:dyDescent="0.2">
      <c r="A1687" s="7" t="s">
        <v>92</v>
      </c>
      <c r="C1687" s="7" t="str">
        <f>+C1680</f>
        <v>Kathie</v>
      </c>
      <c r="D1687" s="7" t="str">
        <f>+D1680</f>
        <v>Flood</v>
      </c>
      <c r="E1687" s="8" t="str">
        <f>E1680</f>
        <v>SUPP</v>
      </c>
      <c r="G1687" s="8" t="str">
        <f>G1680</f>
        <v>FLOO0001</v>
      </c>
      <c r="K1687" s="12">
        <f>+K1680</f>
        <v>42156</v>
      </c>
      <c r="L1687" s="8" t="str">
        <f>L1680</f>
        <v>10487</v>
      </c>
      <c r="O1687" s="8"/>
      <c r="T1687" s="20"/>
    </row>
    <row r="1688" spans="1:20" s="7" customFormat="1" hidden="1" outlineLevel="2" collapsed="1" x14ac:dyDescent="0.2">
      <c r="A1688" s="7" t="s">
        <v>92</v>
      </c>
      <c r="C1688" s="7" t="str">
        <f t="shared" si="248"/>
        <v>Kathie</v>
      </c>
      <c r="D1688" s="7" t="str">
        <f>+D1687</f>
        <v>Flood</v>
      </c>
      <c r="E1688" s="8" t="str">
        <f>E1687</f>
        <v>SUPP</v>
      </c>
      <c r="G1688" s="8" t="str">
        <f>G1687</f>
        <v>FLOO0001</v>
      </c>
      <c r="K1688" s="12">
        <f>+K1687</f>
        <v>42156</v>
      </c>
      <c r="L1688" s="8" t="str">
        <f>L1687</f>
        <v>10487</v>
      </c>
      <c r="M1688" s="33" t="str">
        <f>"Total for " &amp; $L1688</f>
        <v>Total for 10487</v>
      </c>
      <c r="N1688" s="34">
        <f>+K1688</f>
        <v>42156</v>
      </c>
      <c r="O1688" s="35"/>
      <c r="P1688" s="33"/>
      <c r="Q1688" s="33"/>
      <c r="R1688" s="33"/>
      <c r="S1688" s="33"/>
      <c r="T1688" s="36">
        <f>SUBTOTAL(9,T1680:T1687)</f>
        <v>1118.44</v>
      </c>
    </row>
    <row r="1689" spans="1:20" s="7" customFormat="1" hidden="1" outlineLevel="2" x14ac:dyDescent="0.2">
      <c r="A1689" s="7" t="s">
        <v>92</v>
      </c>
      <c r="C1689" s="7" t="str">
        <f>+C1637</f>
        <v>Kathie</v>
      </c>
      <c r="D1689" s="7" t="str">
        <f>+D1637</f>
        <v>Flood</v>
      </c>
      <c r="E1689" s="8" t="str">
        <f>E1637</f>
        <v>SUPP</v>
      </c>
      <c r="G1689" s="8" t="str">
        <f>G1637</f>
        <v>FLOO0001</v>
      </c>
      <c r="L1689" s="8"/>
      <c r="O1689" s="8"/>
      <c r="T1689" s="20"/>
    </row>
    <row r="1690" spans="1:20" s="7" customFormat="1" hidden="1" outlineLevel="1" collapsed="1" x14ac:dyDescent="0.2">
      <c r="A1690" s="7" t="s">
        <v>92</v>
      </c>
      <c r="C1690" s="7" t="str">
        <f t="shared" si="246"/>
        <v>Kathie</v>
      </c>
      <c r="D1690" s="7" t="str">
        <f>+D1689</f>
        <v>Flood</v>
      </c>
      <c r="E1690" s="8" t="str">
        <f>E1689</f>
        <v>SUPP</v>
      </c>
      <c r="G1690" s="8" t="str">
        <f>G1689</f>
        <v>FLOO0001</v>
      </c>
      <c r="H1690" s="30" t="str">
        <f>"Total for " &amp; $G1690</f>
        <v>Total for FLOO0001</v>
      </c>
      <c r="I1690" s="30" t="str">
        <f>+C1690</f>
        <v>Kathie</v>
      </c>
      <c r="J1690" s="30" t="str">
        <f>+D1690</f>
        <v>Flood</v>
      </c>
      <c r="K1690" s="30"/>
      <c r="L1690" s="31"/>
      <c r="M1690" s="30"/>
      <c r="N1690" s="30"/>
      <c r="O1690" s="31"/>
      <c r="P1690" s="30"/>
      <c r="Q1690" s="30"/>
      <c r="R1690" s="30"/>
      <c r="S1690" s="30"/>
      <c r="T1690" s="32">
        <f>SUBTOTAL(9,T1629:T1689)</f>
        <v>6528.5299999999988</v>
      </c>
    </row>
    <row r="1691" spans="1:20" s="7" customFormat="1" hidden="1" outlineLevel="2" x14ac:dyDescent="0.2">
      <c r="A1691" s="7" t="s">
        <v>92</v>
      </c>
      <c r="C1691" s="7" t="str">
        <f t="shared" ref="C1691" si="254">+I1691</f>
        <v>Diane</v>
      </c>
      <c r="D1691" s="7" t="str">
        <f>+J1691</f>
        <v>Tibbott</v>
      </c>
      <c r="E1691" s="8" t="str">
        <f>E1690</f>
        <v>SUPP</v>
      </c>
      <c r="G1691" s="8" t="str">
        <f>H1691</f>
        <v>TIBB0001</v>
      </c>
      <c r="H1691" s="24" t="str">
        <f>"TIBB0001"</f>
        <v>TIBB0001</v>
      </c>
      <c r="I1691" s="25" t="str">
        <f>"Diane"</f>
        <v>Diane</v>
      </c>
      <c r="J1691" s="25" t="str">
        <f>"Tibbott"</f>
        <v>Tibbott</v>
      </c>
      <c r="K1691" s="26"/>
      <c r="L1691" s="26"/>
      <c r="M1691" s="26"/>
      <c r="N1691" s="26"/>
      <c r="O1691" s="26"/>
      <c r="P1691" s="26"/>
      <c r="Q1691" s="26"/>
      <c r="R1691" s="26"/>
      <c r="S1691" s="26"/>
      <c r="T1691" s="27"/>
    </row>
    <row r="1692" spans="1:20" s="7" customFormat="1" hidden="1" outlineLevel="3" x14ac:dyDescent="0.2">
      <c r="A1692" s="7" t="s">
        <v>92</v>
      </c>
      <c r="C1692" s="7" t="str">
        <f t="shared" ref="C1692:C1754" si="255">+C1691</f>
        <v>Diane</v>
      </c>
      <c r="D1692" s="7" t="str">
        <f>+D1691</f>
        <v>Tibbott</v>
      </c>
      <c r="E1692" s="8" t="str">
        <f>E1691</f>
        <v>SUPP</v>
      </c>
      <c r="G1692" s="8" t="str">
        <f>G1691</f>
        <v>TIBB0001</v>
      </c>
      <c r="H1692" s="26"/>
      <c r="I1692" s="26"/>
      <c r="J1692" s="26"/>
      <c r="K1692" s="28">
        <f>+N1692</f>
        <v>42005</v>
      </c>
      <c r="L1692" s="26" t="str">
        <f>M1692</f>
        <v>10376</v>
      </c>
      <c r="M1692" s="26" t="str">
        <f>"10376"</f>
        <v>10376</v>
      </c>
      <c r="N1692" s="28">
        <v>42005</v>
      </c>
      <c r="O1692" s="26"/>
      <c r="P1692" s="26"/>
      <c r="Q1692" s="26"/>
      <c r="R1692" s="26"/>
      <c r="S1692" s="26"/>
      <c r="T1692" s="27"/>
    </row>
    <row r="1693" spans="1:20" s="7" customFormat="1" hidden="1" outlineLevel="3" x14ac:dyDescent="0.2">
      <c r="A1693" s="7" t="s">
        <v>92</v>
      </c>
      <c r="C1693" s="7" t="str">
        <f t="shared" si="255"/>
        <v>Diane</v>
      </c>
      <c r="D1693" s="7" t="str">
        <f>+D1692</f>
        <v>Tibbott</v>
      </c>
      <c r="E1693" s="8" t="str">
        <f>E1692</f>
        <v>SUPP</v>
      </c>
      <c r="G1693" s="8" t="str">
        <f>G1692</f>
        <v>TIBB0001</v>
      </c>
      <c r="H1693" s="26"/>
      <c r="I1693" s="26"/>
      <c r="J1693" s="26"/>
      <c r="K1693" s="28">
        <f>+K1692</f>
        <v>42005</v>
      </c>
      <c r="L1693" s="26" t="str">
        <f>L1692</f>
        <v>10376</v>
      </c>
      <c r="M1693" s="26"/>
      <c r="N1693" s="26"/>
      <c r="O1693" s="26" t="str">
        <f>"""GP Direct"",""Fabrikam, Inc."",""UPR30300"",""PAYRATE"",""0.00000"",""PAYROLCD"",""401K"",""STATECD"","""",""CHEKDATE"",""1/1/2015"",""UPRTRXAM"",""1.21000"""</f>
        <v>"GP Direct","Fabrikam, Inc.","UPR30300","PAYRATE","0.00000","PAYROLCD","401K","STATECD","","CHEKDATE","1/1/2015","UPRTRXAM","1.21000"</v>
      </c>
      <c r="P1693" s="29">
        <v>0</v>
      </c>
      <c r="Q1693" s="26" t="str">
        <f>"401K"</f>
        <v>401K</v>
      </c>
      <c r="R1693" s="26"/>
      <c r="S1693" s="28">
        <v>42005</v>
      </c>
      <c r="T1693" s="29">
        <v>1.21</v>
      </c>
    </row>
    <row r="1694" spans="1:20" s="7" customFormat="1" hidden="1" outlineLevel="3" x14ac:dyDescent="0.2">
      <c r="A1694" s="7" t="s">
        <v>92</v>
      </c>
      <c r="C1694" s="7" t="str">
        <f t="shared" ref="C1694:C1700" si="256">+C1693</f>
        <v>Diane</v>
      </c>
      <c r="D1694" s="7" t="str">
        <f>+D1693</f>
        <v>Tibbott</v>
      </c>
      <c r="E1694" s="8" t="str">
        <f>E1693</f>
        <v>SUPP</v>
      </c>
      <c r="G1694" s="8" t="str">
        <f>G1693</f>
        <v>TIBB0001</v>
      </c>
      <c r="H1694" s="26"/>
      <c r="I1694" s="26"/>
      <c r="J1694" s="26"/>
      <c r="K1694" s="28">
        <f>+K1693</f>
        <v>42005</v>
      </c>
      <c r="L1694" s="26" t="str">
        <f>L1693</f>
        <v>10376</v>
      </c>
      <c r="M1694" s="26"/>
      <c r="N1694" s="26"/>
      <c r="O1694" s="26" t="str">
        <f>"""GP Direct"",""Fabrikam, Inc."",""UPR30300"",""PAYRATE"",""0.00000"",""PAYROLCD"",""401K"",""STATECD"","""",""CHEKDATE"",""1/1/2015"",""UPRTRXAM"",""24.22000"""</f>
        <v>"GP Direct","Fabrikam, Inc.","UPR30300","PAYRATE","0.00000","PAYROLCD","401K","STATECD","","CHEKDATE","1/1/2015","UPRTRXAM","24.22000"</v>
      </c>
      <c r="P1694" s="29">
        <v>0</v>
      </c>
      <c r="Q1694" s="26" t="str">
        <f>"401K"</f>
        <v>401K</v>
      </c>
      <c r="R1694" s="26"/>
      <c r="S1694" s="28">
        <v>42005</v>
      </c>
      <c r="T1694" s="29">
        <v>24.22</v>
      </c>
    </row>
    <row r="1695" spans="1:20" s="7" customFormat="1" hidden="1" outlineLevel="3" x14ac:dyDescent="0.2">
      <c r="A1695" s="7" t="s">
        <v>92</v>
      </c>
      <c r="C1695" s="7" t="str">
        <f t="shared" si="256"/>
        <v>Diane</v>
      </c>
      <c r="D1695" s="7" t="str">
        <f>+D1694</f>
        <v>Tibbott</v>
      </c>
      <c r="E1695" s="8" t="str">
        <f>E1694</f>
        <v>SUPP</v>
      </c>
      <c r="G1695" s="8" t="str">
        <f>G1694</f>
        <v>TIBB0001</v>
      </c>
      <c r="H1695" s="26"/>
      <c r="I1695" s="26"/>
      <c r="J1695" s="26"/>
      <c r="K1695" s="28">
        <f>+K1694</f>
        <v>42005</v>
      </c>
      <c r="L1695" s="26" t="str">
        <f>L1694</f>
        <v>10376</v>
      </c>
      <c r="M1695" s="26"/>
      <c r="N1695" s="26"/>
      <c r="O1695" s="26" t="str">
        <f>"""GP Direct"",""Fabrikam, Inc."",""UPR30300"",""PAYRATE"",""0.00000"",""PAYROLCD"",""HOLI"",""STATECD"",""IL"",""CHEKDATE"",""1/1/2015"",""UPRTRXAM"",""0.00000"""</f>
        <v>"GP Direct","Fabrikam, Inc.","UPR30300","PAYRATE","0.00000","PAYROLCD","HOLI","STATECD","IL","CHEKDATE","1/1/2015","UPRTRXAM","0.00000"</v>
      </c>
      <c r="P1695" s="29">
        <v>0</v>
      </c>
      <c r="Q1695" s="26" t="str">
        <f>"HOLI"</f>
        <v>HOLI</v>
      </c>
      <c r="R1695" s="26" t="str">
        <f>"IL"</f>
        <v>IL</v>
      </c>
      <c r="S1695" s="28">
        <v>42005</v>
      </c>
      <c r="T1695" s="29">
        <v>0</v>
      </c>
    </row>
    <row r="1696" spans="1:20" s="7" customFormat="1" hidden="1" outlineLevel="3" x14ac:dyDescent="0.2">
      <c r="A1696" s="7" t="s">
        <v>92</v>
      </c>
      <c r="C1696" s="7" t="str">
        <f t="shared" si="256"/>
        <v>Diane</v>
      </c>
      <c r="D1696" s="7" t="str">
        <f>+D1695</f>
        <v>Tibbott</v>
      </c>
      <c r="E1696" s="8" t="str">
        <f>E1695</f>
        <v>SUPP</v>
      </c>
      <c r="G1696" s="8" t="str">
        <f>G1695</f>
        <v>TIBB0001</v>
      </c>
      <c r="H1696" s="26"/>
      <c r="I1696" s="26"/>
      <c r="J1696" s="26"/>
      <c r="K1696" s="28">
        <f>+K1695</f>
        <v>42005</v>
      </c>
      <c r="L1696" s="26" t="str">
        <f>L1695</f>
        <v>10376</v>
      </c>
      <c r="M1696" s="26"/>
      <c r="N1696" s="26"/>
      <c r="O1696" s="26" t="str">
        <f>"""GP Direct"",""Fabrikam, Inc."",""UPR30300"",""PAYRATE"",""0.00000"",""PAYROLCD"",""IL"",""STATECD"","""",""CHEKDATE"",""1/1/2015"",""UPRTRXAM"",""19.90000"""</f>
        <v>"GP Direct","Fabrikam, Inc.","UPR30300","PAYRATE","0.00000","PAYROLCD","IL","STATECD","","CHEKDATE","1/1/2015","UPRTRXAM","19.90000"</v>
      </c>
      <c r="P1696" s="29">
        <v>0</v>
      </c>
      <c r="Q1696" s="26" t="str">
        <f>"IL"</f>
        <v>IL</v>
      </c>
      <c r="R1696" s="26"/>
      <c r="S1696" s="28">
        <v>42005</v>
      </c>
      <c r="T1696" s="29">
        <v>19.899999999999999</v>
      </c>
    </row>
    <row r="1697" spans="1:20" s="7" customFormat="1" hidden="1" outlineLevel="3" x14ac:dyDescent="0.2">
      <c r="A1697" s="7" t="s">
        <v>92</v>
      </c>
      <c r="C1697" s="7" t="str">
        <f t="shared" si="256"/>
        <v>Diane</v>
      </c>
      <c r="D1697" s="7" t="str">
        <f>+D1696</f>
        <v>Tibbott</v>
      </c>
      <c r="E1697" s="8" t="str">
        <f>E1696</f>
        <v>SUPP</v>
      </c>
      <c r="G1697" s="8" t="str">
        <f>G1696</f>
        <v>TIBB0001</v>
      </c>
      <c r="H1697" s="26"/>
      <c r="I1697" s="26"/>
      <c r="J1697" s="26"/>
      <c r="K1697" s="28">
        <f>+K1696</f>
        <v>42005</v>
      </c>
      <c r="L1697" s="26" t="str">
        <f>L1696</f>
        <v>10376</v>
      </c>
      <c r="M1697" s="26"/>
      <c r="N1697" s="26"/>
      <c r="O1697" s="26" t="str">
        <f>"""GP Direct"",""Fabrikam, Inc."",""UPR30300"",""PAYRATE"",""0.00000"",""PAYROLCD"",""INS"",""STATECD"","""",""CHEKDATE"",""1/1/2015"",""UPRTRXAM"",""49.36000"""</f>
        <v>"GP Direct","Fabrikam, Inc.","UPR30300","PAYRATE","0.00000","PAYROLCD","INS","STATECD","","CHEKDATE","1/1/2015","UPRTRXAM","49.36000"</v>
      </c>
      <c r="P1697" s="29">
        <v>0</v>
      </c>
      <c r="Q1697" s="26" t="str">
        <f>"INS"</f>
        <v>INS</v>
      </c>
      <c r="R1697" s="26"/>
      <c r="S1697" s="28">
        <v>42005</v>
      </c>
      <c r="T1697" s="29">
        <v>49.36</v>
      </c>
    </row>
    <row r="1698" spans="1:20" s="7" customFormat="1" hidden="1" outlineLevel="3" x14ac:dyDescent="0.2">
      <c r="A1698" s="7" t="s">
        <v>92</v>
      </c>
      <c r="C1698" s="7" t="str">
        <f t="shared" si="256"/>
        <v>Diane</v>
      </c>
      <c r="D1698" s="7" t="str">
        <f>+D1697</f>
        <v>Tibbott</v>
      </c>
      <c r="E1698" s="8" t="str">
        <f>E1697</f>
        <v>SUPP</v>
      </c>
      <c r="G1698" s="8" t="str">
        <f>G1697</f>
        <v>TIBB0001</v>
      </c>
      <c r="H1698" s="26"/>
      <c r="I1698" s="26"/>
      <c r="J1698" s="26"/>
      <c r="K1698" s="28">
        <f>+K1697</f>
        <v>42005</v>
      </c>
      <c r="L1698" s="26" t="str">
        <f>L1697</f>
        <v>10376</v>
      </c>
      <c r="M1698" s="26"/>
      <c r="N1698" s="26"/>
      <c r="O1698" s="26" t="str">
        <f>"""GP Direct"",""Fabrikam, Inc."",""UPR30300"",""PAYRATE"",""0.00000"",""PAYROLCD"",""INS2"",""STATECD"","""",""CHEKDATE"",""1/1/2015"",""UPRTRXAM"",""72.95000"""</f>
        <v>"GP Direct","Fabrikam, Inc.","UPR30300","PAYRATE","0.00000","PAYROLCD","INS2","STATECD","","CHEKDATE","1/1/2015","UPRTRXAM","72.95000"</v>
      </c>
      <c r="P1698" s="29">
        <v>0</v>
      </c>
      <c r="Q1698" s="26" t="str">
        <f>"INS2"</f>
        <v>INS2</v>
      </c>
      <c r="R1698" s="26"/>
      <c r="S1698" s="28">
        <v>42005</v>
      </c>
      <c r="T1698" s="29">
        <v>72.95</v>
      </c>
    </row>
    <row r="1699" spans="1:20" s="7" customFormat="1" hidden="1" outlineLevel="3" x14ac:dyDescent="0.2">
      <c r="A1699" s="7" t="s">
        <v>92</v>
      </c>
      <c r="C1699" s="7" t="str">
        <f t="shared" si="256"/>
        <v>Diane</v>
      </c>
      <c r="D1699" s="7" t="str">
        <f>+D1698</f>
        <v>Tibbott</v>
      </c>
      <c r="E1699" s="8" t="str">
        <f>E1698</f>
        <v>SUPP</v>
      </c>
      <c r="G1699" s="8" t="str">
        <f>G1698</f>
        <v>TIBB0001</v>
      </c>
      <c r="H1699" s="26"/>
      <c r="I1699" s="26"/>
      <c r="J1699" s="26"/>
      <c r="K1699" s="28">
        <f>+K1698</f>
        <v>42005</v>
      </c>
      <c r="L1699" s="26" t="str">
        <f>L1698</f>
        <v>10376</v>
      </c>
      <c r="M1699" s="26"/>
      <c r="N1699" s="26"/>
      <c r="O1699" s="26" t="str">
        <f>"""GP Direct"",""Fabrikam, Inc."",""UPR30300"",""PAYRATE"",""0.00000"",""PAYROLCD"",""MED"",""STATECD"","""",""CHEKDATE"",""1/1/2015"",""UPRTRXAM"",""5.00000"""</f>
        <v>"GP Direct","Fabrikam, Inc.","UPR30300","PAYRATE","0.00000","PAYROLCD","MED","STATECD","","CHEKDATE","1/1/2015","UPRTRXAM","5.00000"</v>
      </c>
      <c r="P1699" s="29">
        <v>0</v>
      </c>
      <c r="Q1699" s="26" t="str">
        <f>"MED"</f>
        <v>MED</v>
      </c>
      <c r="R1699" s="26"/>
      <c r="S1699" s="28">
        <v>42005</v>
      </c>
      <c r="T1699" s="29">
        <v>5</v>
      </c>
    </row>
    <row r="1700" spans="1:20" s="7" customFormat="1" hidden="1" outlineLevel="3" x14ac:dyDescent="0.2">
      <c r="A1700" s="7" t="s">
        <v>92</v>
      </c>
      <c r="C1700" s="7" t="str">
        <f t="shared" si="256"/>
        <v>Diane</v>
      </c>
      <c r="D1700" s="7" t="str">
        <f>+D1699</f>
        <v>Tibbott</v>
      </c>
      <c r="E1700" s="8" t="str">
        <f>E1699</f>
        <v>SUPP</v>
      </c>
      <c r="G1700" s="8" t="str">
        <f>G1699</f>
        <v>TIBB0001</v>
      </c>
      <c r="H1700" s="26"/>
      <c r="I1700" s="26"/>
      <c r="J1700" s="26"/>
      <c r="K1700" s="28">
        <f>+K1699</f>
        <v>42005</v>
      </c>
      <c r="L1700" s="26" t="str">
        <f>L1699</f>
        <v>10376</v>
      </c>
      <c r="M1700" s="26"/>
      <c r="N1700" s="26"/>
      <c r="O1700" s="26" t="str">
        <f>"""GP Direct"",""Fabrikam, Inc."",""UPR30300"",""PAYRATE"",""11.42308"",""PAYROLCD"",""SALY"",""STATECD"",""IL"",""CHEKDATE"",""1/1/2015"",""UPRTRXAM"",""807.23000"""</f>
        <v>"GP Direct","Fabrikam, Inc.","UPR30300","PAYRATE","11.42308","PAYROLCD","SALY","STATECD","IL","CHEKDATE","1/1/2015","UPRTRXAM","807.23000"</v>
      </c>
      <c r="P1700" s="29">
        <v>11.4231</v>
      </c>
      <c r="Q1700" s="26" t="str">
        <f>"SALY"</f>
        <v>SALY</v>
      </c>
      <c r="R1700" s="26" t="str">
        <f>"IL"</f>
        <v>IL</v>
      </c>
      <c r="S1700" s="28">
        <v>42005</v>
      </c>
      <c r="T1700" s="29">
        <v>807.23</v>
      </c>
    </row>
    <row r="1701" spans="1:20" s="7" customFormat="1" hidden="1" outlineLevel="3" x14ac:dyDescent="0.2">
      <c r="A1701" s="7" t="s">
        <v>92</v>
      </c>
      <c r="C1701" s="7" t="str">
        <f>+C1693</f>
        <v>Diane</v>
      </c>
      <c r="D1701" s="7" t="str">
        <f>+D1693</f>
        <v>Tibbott</v>
      </c>
      <c r="E1701" s="8" t="str">
        <f>E1693</f>
        <v>SUPP</v>
      </c>
      <c r="G1701" s="8" t="str">
        <f>G1693</f>
        <v>TIBB0001</v>
      </c>
      <c r="K1701" s="12">
        <f>+K1693</f>
        <v>42005</v>
      </c>
      <c r="L1701" s="8" t="str">
        <f>L1693</f>
        <v>10376</v>
      </c>
      <c r="O1701" s="8"/>
      <c r="T1701" s="20"/>
    </row>
    <row r="1702" spans="1:20" s="7" customFormat="1" hidden="1" outlineLevel="2" collapsed="1" x14ac:dyDescent="0.2">
      <c r="A1702" s="7" t="s">
        <v>92</v>
      </c>
      <c r="C1702" s="7" t="str">
        <f t="shared" si="255"/>
        <v>Diane</v>
      </c>
      <c r="D1702" s="7" t="str">
        <f>+D1701</f>
        <v>Tibbott</v>
      </c>
      <c r="E1702" s="8" t="str">
        <f>E1701</f>
        <v>SUPP</v>
      </c>
      <c r="G1702" s="8" t="str">
        <f>G1701</f>
        <v>TIBB0001</v>
      </c>
      <c r="K1702" s="12">
        <f>+K1701</f>
        <v>42005</v>
      </c>
      <c r="L1702" s="8" t="str">
        <f>L1701</f>
        <v>10376</v>
      </c>
      <c r="M1702" s="33" t="str">
        <f>"Total for " &amp; $L1702</f>
        <v>Total for 10376</v>
      </c>
      <c r="N1702" s="34">
        <f>+K1702</f>
        <v>42005</v>
      </c>
      <c r="O1702" s="35"/>
      <c r="P1702" s="33"/>
      <c r="Q1702" s="33"/>
      <c r="R1702" s="33"/>
      <c r="S1702" s="33"/>
      <c r="T1702" s="36">
        <f>SUBTOTAL(9,T1693:T1701)</f>
        <v>979.87</v>
      </c>
    </row>
    <row r="1703" spans="1:20" s="7" customFormat="1" hidden="1" outlineLevel="3" x14ac:dyDescent="0.2">
      <c r="A1703" s="7" t="s">
        <v>92</v>
      </c>
      <c r="C1703" s="7" t="str">
        <f t="shared" ref="C1703:C1752" si="257">+C1702</f>
        <v>Diane</v>
      </c>
      <c r="D1703" s="7" t="str">
        <f>+D1702</f>
        <v>Tibbott</v>
      </c>
      <c r="E1703" s="8" t="str">
        <f>E1702</f>
        <v>SUPP</v>
      </c>
      <c r="G1703" s="8" t="str">
        <f>G1702</f>
        <v>TIBB0001</v>
      </c>
      <c r="H1703" s="26"/>
      <c r="I1703" s="26"/>
      <c r="J1703" s="26"/>
      <c r="K1703" s="28">
        <f>+N1703</f>
        <v>42036</v>
      </c>
      <c r="L1703" s="26" t="str">
        <f>M1703</f>
        <v>10401</v>
      </c>
      <c r="M1703" s="26" t="str">
        <f>"10401"</f>
        <v>10401</v>
      </c>
      <c r="N1703" s="28">
        <v>42036</v>
      </c>
      <c r="O1703" s="26"/>
      <c r="P1703" s="26"/>
      <c r="Q1703" s="26"/>
      <c r="R1703" s="26"/>
      <c r="S1703" s="26"/>
      <c r="T1703" s="27"/>
    </row>
    <row r="1704" spans="1:20" s="7" customFormat="1" hidden="1" outlineLevel="3" x14ac:dyDescent="0.2">
      <c r="A1704" s="7" t="s">
        <v>92</v>
      </c>
      <c r="C1704" s="7" t="str">
        <f t="shared" si="257"/>
        <v>Diane</v>
      </c>
      <c r="D1704" s="7" t="str">
        <f>+D1703</f>
        <v>Tibbott</v>
      </c>
      <c r="E1704" s="8" t="str">
        <f>E1703</f>
        <v>SUPP</v>
      </c>
      <c r="G1704" s="8" t="str">
        <f>G1703</f>
        <v>TIBB0001</v>
      </c>
      <c r="H1704" s="26"/>
      <c r="I1704" s="26"/>
      <c r="J1704" s="26"/>
      <c r="K1704" s="28">
        <f>+K1703</f>
        <v>42036</v>
      </c>
      <c r="L1704" s="26" t="str">
        <f>L1703</f>
        <v>10401</v>
      </c>
      <c r="M1704" s="26"/>
      <c r="N1704" s="26"/>
      <c r="O1704" s="26" t="str">
        <f>"""GP Direct"",""Fabrikam, Inc."",""UPR30300"",""PAYRATE"",""0.00000"",""PAYROLCD"",""401K"",""STATECD"","""",""CHEKDATE"",""2/1/2015"",""UPRTRXAM"",""1.49000"""</f>
        <v>"GP Direct","Fabrikam, Inc.","UPR30300","PAYRATE","0.00000","PAYROLCD","401K","STATECD","","CHEKDATE","2/1/2015","UPRTRXAM","1.49000"</v>
      </c>
      <c r="P1704" s="29">
        <v>0</v>
      </c>
      <c r="Q1704" s="26" t="str">
        <f>"401K"</f>
        <v>401K</v>
      </c>
      <c r="R1704" s="26"/>
      <c r="S1704" s="28">
        <v>42036</v>
      </c>
      <c r="T1704" s="29">
        <v>1.49</v>
      </c>
    </row>
    <row r="1705" spans="1:20" s="7" customFormat="1" hidden="1" outlineLevel="3" x14ac:dyDescent="0.2">
      <c r="A1705" s="7" t="s">
        <v>92</v>
      </c>
      <c r="C1705" s="7" t="str">
        <f t="shared" ref="C1705:C1710" si="258">+C1704</f>
        <v>Diane</v>
      </c>
      <c r="D1705" s="7" t="str">
        <f>+D1704</f>
        <v>Tibbott</v>
      </c>
      <c r="E1705" s="8" t="str">
        <f>E1704</f>
        <v>SUPP</v>
      </c>
      <c r="G1705" s="8" t="str">
        <f>G1704</f>
        <v>TIBB0001</v>
      </c>
      <c r="H1705" s="26"/>
      <c r="I1705" s="26"/>
      <c r="J1705" s="26"/>
      <c r="K1705" s="28">
        <f>+K1704</f>
        <v>42036</v>
      </c>
      <c r="L1705" s="26" t="str">
        <f>L1704</f>
        <v>10401</v>
      </c>
      <c r="M1705" s="26"/>
      <c r="N1705" s="26"/>
      <c r="O1705" s="26" t="str">
        <f>"""GP Direct"",""Fabrikam, Inc."",""UPR30300"",""PAYRATE"",""0.00000"",""PAYROLCD"",""401K"",""STATECD"","""",""CHEKDATE"",""2/1/2015"",""UPRTRXAM"",""29.70000"""</f>
        <v>"GP Direct","Fabrikam, Inc.","UPR30300","PAYRATE","0.00000","PAYROLCD","401K","STATECD","","CHEKDATE","2/1/2015","UPRTRXAM","29.70000"</v>
      </c>
      <c r="P1705" s="29">
        <v>0</v>
      </c>
      <c r="Q1705" s="26" t="str">
        <f>"401K"</f>
        <v>401K</v>
      </c>
      <c r="R1705" s="26"/>
      <c r="S1705" s="28">
        <v>42036</v>
      </c>
      <c r="T1705" s="29">
        <v>29.7</v>
      </c>
    </row>
    <row r="1706" spans="1:20" s="7" customFormat="1" hidden="1" outlineLevel="3" x14ac:dyDescent="0.2">
      <c r="A1706" s="7" t="s">
        <v>92</v>
      </c>
      <c r="C1706" s="7" t="str">
        <f t="shared" si="258"/>
        <v>Diane</v>
      </c>
      <c r="D1706" s="7" t="str">
        <f>+D1705</f>
        <v>Tibbott</v>
      </c>
      <c r="E1706" s="8" t="str">
        <f>E1705</f>
        <v>SUPP</v>
      </c>
      <c r="G1706" s="8" t="str">
        <f>G1705</f>
        <v>TIBB0001</v>
      </c>
      <c r="H1706" s="26"/>
      <c r="I1706" s="26"/>
      <c r="J1706" s="26"/>
      <c r="K1706" s="28">
        <f>+K1705</f>
        <v>42036</v>
      </c>
      <c r="L1706" s="26" t="str">
        <f>L1705</f>
        <v>10401</v>
      </c>
      <c r="M1706" s="26"/>
      <c r="N1706" s="26"/>
      <c r="O1706" s="26" t="str">
        <f>"""GP Direct"",""Fabrikam, Inc."",""UPR30300"",""PAYRATE"",""0.00000"",""PAYROLCD"",""IL"",""STATECD"","""",""CHEKDATE"",""2/1/2015"",""UPRTRXAM"",""25.22000"""</f>
        <v>"GP Direct","Fabrikam, Inc.","UPR30300","PAYRATE","0.00000","PAYROLCD","IL","STATECD","","CHEKDATE","2/1/2015","UPRTRXAM","25.22000"</v>
      </c>
      <c r="P1706" s="29">
        <v>0</v>
      </c>
      <c r="Q1706" s="26" t="str">
        <f>"IL"</f>
        <v>IL</v>
      </c>
      <c r="R1706" s="26"/>
      <c r="S1706" s="28">
        <v>42036</v>
      </c>
      <c r="T1706" s="29">
        <v>25.22</v>
      </c>
    </row>
    <row r="1707" spans="1:20" s="7" customFormat="1" hidden="1" outlineLevel="3" x14ac:dyDescent="0.2">
      <c r="A1707" s="7" t="s">
        <v>92</v>
      </c>
      <c r="C1707" s="7" t="str">
        <f t="shared" si="258"/>
        <v>Diane</v>
      </c>
      <c r="D1707" s="7" t="str">
        <f>+D1706</f>
        <v>Tibbott</v>
      </c>
      <c r="E1707" s="8" t="str">
        <f>E1706</f>
        <v>SUPP</v>
      </c>
      <c r="G1707" s="8" t="str">
        <f>G1706</f>
        <v>TIBB0001</v>
      </c>
      <c r="H1707" s="26"/>
      <c r="I1707" s="26"/>
      <c r="J1707" s="26"/>
      <c r="K1707" s="28">
        <f>+K1706</f>
        <v>42036</v>
      </c>
      <c r="L1707" s="26" t="str">
        <f>L1706</f>
        <v>10401</v>
      </c>
      <c r="M1707" s="26"/>
      <c r="N1707" s="26"/>
      <c r="O1707" s="26" t="str">
        <f>"""GP Direct"",""Fabrikam, Inc."",""UPR30300"",""PAYRATE"",""0.00000"",""PAYROLCD"",""INS"",""STATECD"","""",""CHEKDATE"",""2/1/2015"",""UPRTRXAM"",""49.36000"""</f>
        <v>"GP Direct","Fabrikam, Inc.","UPR30300","PAYRATE","0.00000","PAYROLCD","INS","STATECD","","CHEKDATE","2/1/2015","UPRTRXAM","49.36000"</v>
      </c>
      <c r="P1707" s="29">
        <v>0</v>
      </c>
      <c r="Q1707" s="26" t="str">
        <f>"INS"</f>
        <v>INS</v>
      </c>
      <c r="R1707" s="26"/>
      <c r="S1707" s="28">
        <v>42036</v>
      </c>
      <c r="T1707" s="29">
        <v>49.36</v>
      </c>
    </row>
    <row r="1708" spans="1:20" s="7" customFormat="1" hidden="1" outlineLevel="3" x14ac:dyDescent="0.2">
      <c r="A1708" s="7" t="s">
        <v>92</v>
      </c>
      <c r="C1708" s="7" t="str">
        <f t="shared" si="258"/>
        <v>Diane</v>
      </c>
      <c r="D1708" s="7" t="str">
        <f>+D1707</f>
        <v>Tibbott</v>
      </c>
      <c r="E1708" s="8" t="str">
        <f>E1707</f>
        <v>SUPP</v>
      </c>
      <c r="G1708" s="8" t="str">
        <f>G1707</f>
        <v>TIBB0001</v>
      </c>
      <c r="H1708" s="26"/>
      <c r="I1708" s="26"/>
      <c r="J1708" s="26"/>
      <c r="K1708" s="28">
        <f>+K1707</f>
        <v>42036</v>
      </c>
      <c r="L1708" s="26" t="str">
        <f>L1707</f>
        <v>10401</v>
      </c>
      <c r="M1708" s="26"/>
      <c r="N1708" s="26"/>
      <c r="O1708" s="26" t="str">
        <f>"""GP Direct"",""Fabrikam, Inc."",""UPR30300"",""PAYRATE"",""0.00000"",""PAYROLCD"",""INS2"",""STATECD"","""",""CHEKDATE"",""2/1/2015"",""UPRTRXAM"",""72.95000"""</f>
        <v>"GP Direct","Fabrikam, Inc.","UPR30300","PAYRATE","0.00000","PAYROLCD","INS2","STATECD","","CHEKDATE","2/1/2015","UPRTRXAM","72.95000"</v>
      </c>
      <c r="P1708" s="29">
        <v>0</v>
      </c>
      <c r="Q1708" s="26" t="str">
        <f>"INS2"</f>
        <v>INS2</v>
      </c>
      <c r="R1708" s="26"/>
      <c r="S1708" s="28">
        <v>42036</v>
      </c>
      <c r="T1708" s="29">
        <v>72.95</v>
      </c>
    </row>
    <row r="1709" spans="1:20" s="7" customFormat="1" hidden="1" outlineLevel="3" x14ac:dyDescent="0.2">
      <c r="A1709" s="7" t="s">
        <v>92</v>
      </c>
      <c r="C1709" s="7" t="str">
        <f t="shared" si="258"/>
        <v>Diane</v>
      </c>
      <c r="D1709" s="7" t="str">
        <f>+D1708</f>
        <v>Tibbott</v>
      </c>
      <c r="E1709" s="8" t="str">
        <f>E1708</f>
        <v>SUPP</v>
      </c>
      <c r="G1709" s="8" t="str">
        <f>G1708</f>
        <v>TIBB0001</v>
      </c>
      <c r="H1709" s="26"/>
      <c r="I1709" s="26"/>
      <c r="J1709" s="26"/>
      <c r="K1709" s="28">
        <f>+K1708</f>
        <v>42036</v>
      </c>
      <c r="L1709" s="26" t="str">
        <f>L1708</f>
        <v>10401</v>
      </c>
      <c r="M1709" s="26"/>
      <c r="N1709" s="26"/>
      <c r="O1709" s="26" t="str">
        <f>"""GP Direct"",""Fabrikam, Inc."",""UPR30300"",""PAYRATE"",""0.00000"",""PAYROLCD"",""MED"",""STATECD"","""",""CHEKDATE"",""2/1/2015"",""UPRTRXAM"",""5.00000"""</f>
        <v>"GP Direct","Fabrikam, Inc.","UPR30300","PAYRATE","0.00000","PAYROLCD","MED","STATECD","","CHEKDATE","2/1/2015","UPRTRXAM","5.00000"</v>
      </c>
      <c r="P1709" s="29">
        <v>0</v>
      </c>
      <c r="Q1709" s="26" t="str">
        <f>"MED"</f>
        <v>MED</v>
      </c>
      <c r="R1709" s="26"/>
      <c r="S1709" s="28">
        <v>42036</v>
      </c>
      <c r="T1709" s="29">
        <v>5</v>
      </c>
    </row>
    <row r="1710" spans="1:20" s="7" customFormat="1" hidden="1" outlineLevel="3" x14ac:dyDescent="0.2">
      <c r="A1710" s="7" t="s">
        <v>92</v>
      </c>
      <c r="C1710" s="7" t="str">
        <f t="shared" si="258"/>
        <v>Diane</v>
      </c>
      <c r="D1710" s="7" t="str">
        <f>+D1709</f>
        <v>Tibbott</v>
      </c>
      <c r="E1710" s="8" t="str">
        <f>E1709</f>
        <v>SUPP</v>
      </c>
      <c r="G1710" s="8" t="str">
        <f>G1709</f>
        <v>TIBB0001</v>
      </c>
      <c r="H1710" s="26"/>
      <c r="I1710" s="26"/>
      <c r="J1710" s="26"/>
      <c r="K1710" s="28">
        <f>+K1709</f>
        <v>42036</v>
      </c>
      <c r="L1710" s="26" t="str">
        <f>L1709</f>
        <v>10401</v>
      </c>
      <c r="M1710" s="26"/>
      <c r="N1710" s="26"/>
      <c r="O1710" s="26" t="str">
        <f>"""GP Direct"",""Fabrikam, Inc."",""UPR30300"",""PAYRATE"",""23760.00000"",""PAYROLCD"",""SALY"",""STATECD"",""IL"",""CHEKDATE"",""2/1/2015"",""UPRTRXAM"",""990.00000"""</f>
        <v>"GP Direct","Fabrikam, Inc.","UPR30300","PAYRATE","23760.00000","PAYROLCD","SALY","STATECD","IL","CHEKDATE","2/1/2015","UPRTRXAM","990.00000"</v>
      </c>
      <c r="P1710" s="29">
        <v>23760</v>
      </c>
      <c r="Q1710" s="26" t="str">
        <f>"SALY"</f>
        <v>SALY</v>
      </c>
      <c r="R1710" s="26" t="str">
        <f>"IL"</f>
        <v>IL</v>
      </c>
      <c r="S1710" s="28">
        <v>42036</v>
      </c>
      <c r="T1710" s="29">
        <v>990</v>
      </c>
    </row>
    <row r="1711" spans="1:20" s="7" customFormat="1" hidden="1" outlineLevel="3" x14ac:dyDescent="0.2">
      <c r="A1711" s="7" t="s">
        <v>92</v>
      </c>
      <c r="C1711" s="7" t="str">
        <f>+C1704</f>
        <v>Diane</v>
      </c>
      <c r="D1711" s="7" t="str">
        <f>+D1704</f>
        <v>Tibbott</v>
      </c>
      <c r="E1711" s="8" t="str">
        <f>E1704</f>
        <v>SUPP</v>
      </c>
      <c r="G1711" s="8" t="str">
        <f>G1704</f>
        <v>TIBB0001</v>
      </c>
      <c r="K1711" s="12">
        <f>+K1704</f>
        <v>42036</v>
      </c>
      <c r="L1711" s="8" t="str">
        <f>L1704</f>
        <v>10401</v>
      </c>
      <c r="O1711" s="8"/>
      <c r="T1711" s="20"/>
    </row>
    <row r="1712" spans="1:20" s="7" customFormat="1" hidden="1" outlineLevel="2" collapsed="1" x14ac:dyDescent="0.2">
      <c r="A1712" s="7" t="s">
        <v>92</v>
      </c>
      <c r="C1712" s="7" t="str">
        <f t="shared" si="257"/>
        <v>Diane</v>
      </c>
      <c r="D1712" s="7" t="str">
        <f>+D1711</f>
        <v>Tibbott</v>
      </c>
      <c r="E1712" s="8" t="str">
        <f>E1711</f>
        <v>SUPP</v>
      </c>
      <c r="G1712" s="8" t="str">
        <f>G1711</f>
        <v>TIBB0001</v>
      </c>
      <c r="K1712" s="12">
        <f>+K1711</f>
        <v>42036</v>
      </c>
      <c r="L1712" s="8" t="str">
        <f>L1711</f>
        <v>10401</v>
      </c>
      <c r="M1712" s="33" t="str">
        <f>"Total for " &amp; $L1712</f>
        <v>Total for 10401</v>
      </c>
      <c r="N1712" s="34">
        <f>+K1712</f>
        <v>42036</v>
      </c>
      <c r="O1712" s="35"/>
      <c r="P1712" s="33"/>
      <c r="Q1712" s="33"/>
      <c r="R1712" s="33"/>
      <c r="S1712" s="33"/>
      <c r="T1712" s="36">
        <f>SUBTOTAL(9,T1704:T1711)</f>
        <v>1173.72</v>
      </c>
    </row>
    <row r="1713" spans="1:20" s="7" customFormat="1" hidden="1" outlineLevel="3" x14ac:dyDescent="0.2">
      <c r="A1713" s="7" t="s">
        <v>92</v>
      </c>
      <c r="C1713" s="7" t="str">
        <f t="shared" si="257"/>
        <v>Diane</v>
      </c>
      <c r="D1713" s="7" t="str">
        <f>+D1712</f>
        <v>Tibbott</v>
      </c>
      <c r="E1713" s="8" t="str">
        <f>E1712</f>
        <v>SUPP</v>
      </c>
      <c r="G1713" s="8" t="str">
        <f>G1712</f>
        <v>TIBB0001</v>
      </c>
      <c r="H1713" s="26"/>
      <c r="I1713" s="26"/>
      <c r="J1713" s="26"/>
      <c r="K1713" s="28">
        <f>+N1713</f>
        <v>42064</v>
      </c>
      <c r="L1713" s="26" t="str">
        <f>M1713</f>
        <v>10426</v>
      </c>
      <c r="M1713" s="26" t="str">
        <f>"10426"</f>
        <v>10426</v>
      </c>
      <c r="N1713" s="28">
        <v>42064</v>
      </c>
      <c r="O1713" s="26"/>
      <c r="P1713" s="26"/>
      <c r="Q1713" s="26"/>
      <c r="R1713" s="26"/>
      <c r="S1713" s="26"/>
      <c r="T1713" s="27"/>
    </row>
    <row r="1714" spans="1:20" s="7" customFormat="1" hidden="1" outlineLevel="3" x14ac:dyDescent="0.2">
      <c r="A1714" s="7" t="s">
        <v>92</v>
      </c>
      <c r="C1714" s="7" t="str">
        <f t="shared" si="257"/>
        <v>Diane</v>
      </c>
      <c r="D1714" s="7" t="str">
        <f>+D1713</f>
        <v>Tibbott</v>
      </c>
      <c r="E1714" s="8" t="str">
        <f>E1713</f>
        <v>SUPP</v>
      </c>
      <c r="G1714" s="8" t="str">
        <f>G1713</f>
        <v>TIBB0001</v>
      </c>
      <c r="H1714" s="26"/>
      <c r="I1714" s="26"/>
      <c r="J1714" s="26"/>
      <c r="K1714" s="28">
        <f>+K1713</f>
        <v>42064</v>
      </c>
      <c r="L1714" s="26" t="str">
        <f>L1713</f>
        <v>10426</v>
      </c>
      <c r="M1714" s="26"/>
      <c r="N1714" s="26"/>
      <c r="O1714" s="26" t="str">
        <f>"""GP Direct"",""Fabrikam, Inc."",""UPR30300"",""PAYRATE"",""0.00000"",""PAYROLCD"",""401K"",""STATECD"","""",""CHEKDATE"",""3/1/2015"",""UPRTRXAM"",""1.49000"""</f>
        <v>"GP Direct","Fabrikam, Inc.","UPR30300","PAYRATE","0.00000","PAYROLCD","401K","STATECD","","CHEKDATE","3/1/2015","UPRTRXAM","1.49000"</v>
      </c>
      <c r="P1714" s="29">
        <v>0</v>
      </c>
      <c r="Q1714" s="26" t="str">
        <f>"401K"</f>
        <v>401K</v>
      </c>
      <c r="R1714" s="26"/>
      <c r="S1714" s="28">
        <v>42064</v>
      </c>
      <c r="T1714" s="29">
        <v>1.49</v>
      </c>
    </row>
    <row r="1715" spans="1:20" s="7" customFormat="1" hidden="1" outlineLevel="3" x14ac:dyDescent="0.2">
      <c r="A1715" s="7" t="s">
        <v>92</v>
      </c>
      <c r="C1715" s="7" t="str">
        <f t="shared" ref="C1715:C1720" si="259">+C1714</f>
        <v>Diane</v>
      </c>
      <c r="D1715" s="7" t="str">
        <f>+D1714</f>
        <v>Tibbott</v>
      </c>
      <c r="E1715" s="8" t="str">
        <f>E1714</f>
        <v>SUPP</v>
      </c>
      <c r="G1715" s="8" t="str">
        <f>G1714</f>
        <v>TIBB0001</v>
      </c>
      <c r="H1715" s="26"/>
      <c r="I1715" s="26"/>
      <c r="J1715" s="26"/>
      <c r="K1715" s="28">
        <f>+K1714</f>
        <v>42064</v>
      </c>
      <c r="L1715" s="26" t="str">
        <f>L1714</f>
        <v>10426</v>
      </c>
      <c r="M1715" s="26"/>
      <c r="N1715" s="26"/>
      <c r="O1715" s="26" t="str">
        <f>"""GP Direct"",""Fabrikam, Inc."",""UPR30300"",""PAYRATE"",""0.00000"",""PAYROLCD"",""401K"",""STATECD"","""",""CHEKDATE"",""3/1/2015"",""UPRTRXAM"",""29.70000"""</f>
        <v>"GP Direct","Fabrikam, Inc.","UPR30300","PAYRATE","0.00000","PAYROLCD","401K","STATECD","","CHEKDATE","3/1/2015","UPRTRXAM","29.70000"</v>
      </c>
      <c r="P1715" s="29">
        <v>0</v>
      </c>
      <c r="Q1715" s="26" t="str">
        <f>"401K"</f>
        <v>401K</v>
      </c>
      <c r="R1715" s="26"/>
      <c r="S1715" s="28">
        <v>42064</v>
      </c>
      <c r="T1715" s="29">
        <v>29.7</v>
      </c>
    </row>
    <row r="1716" spans="1:20" s="7" customFormat="1" hidden="1" outlineLevel="3" x14ac:dyDescent="0.2">
      <c r="A1716" s="7" t="s">
        <v>92</v>
      </c>
      <c r="C1716" s="7" t="str">
        <f t="shared" si="259"/>
        <v>Diane</v>
      </c>
      <c r="D1716" s="7" t="str">
        <f>+D1715</f>
        <v>Tibbott</v>
      </c>
      <c r="E1716" s="8" t="str">
        <f>E1715</f>
        <v>SUPP</v>
      </c>
      <c r="G1716" s="8" t="str">
        <f>G1715</f>
        <v>TIBB0001</v>
      </c>
      <c r="H1716" s="26"/>
      <c r="I1716" s="26"/>
      <c r="J1716" s="26"/>
      <c r="K1716" s="28">
        <f>+K1715</f>
        <v>42064</v>
      </c>
      <c r="L1716" s="26" t="str">
        <f>L1715</f>
        <v>10426</v>
      </c>
      <c r="M1716" s="26"/>
      <c r="N1716" s="26"/>
      <c r="O1716" s="26" t="str">
        <f>"""GP Direct"",""Fabrikam, Inc."",""UPR30300"",""PAYRATE"",""0.00000"",""PAYROLCD"",""IL"",""STATECD"","""",""CHEKDATE"",""3/1/2015"",""UPRTRXAM"",""25.22000"""</f>
        <v>"GP Direct","Fabrikam, Inc.","UPR30300","PAYRATE","0.00000","PAYROLCD","IL","STATECD","","CHEKDATE","3/1/2015","UPRTRXAM","25.22000"</v>
      </c>
      <c r="P1716" s="29">
        <v>0</v>
      </c>
      <c r="Q1716" s="26" t="str">
        <f>"IL"</f>
        <v>IL</v>
      </c>
      <c r="R1716" s="26"/>
      <c r="S1716" s="28">
        <v>42064</v>
      </c>
      <c r="T1716" s="29">
        <v>25.22</v>
      </c>
    </row>
    <row r="1717" spans="1:20" s="7" customFormat="1" hidden="1" outlineLevel="3" x14ac:dyDescent="0.2">
      <c r="A1717" s="7" t="s">
        <v>92</v>
      </c>
      <c r="C1717" s="7" t="str">
        <f t="shared" si="259"/>
        <v>Diane</v>
      </c>
      <c r="D1717" s="7" t="str">
        <f>+D1716</f>
        <v>Tibbott</v>
      </c>
      <c r="E1717" s="8" t="str">
        <f>E1716</f>
        <v>SUPP</v>
      </c>
      <c r="G1717" s="8" t="str">
        <f>G1716</f>
        <v>TIBB0001</v>
      </c>
      <c r="H1717" s="26"/>
      <c r="I1717" s="26"/>
      <c r="J1717" s="26"/>
      <c r="K1717" s="28">
        <f>+K1716</f>
        <v>42064</v>
      </c>
      <c r="L1717" s="26" t="str">
        <f>L1716</f>
        <v>10426</v>
      </c>
      <c r="M1717" s="26"/>
      <c r="N1717" s="26"/>
      <c r="O1717" s="26" t="str">
        <f>"""GP Direct"",""Fabrikam, Inc."",""UPR30300"",""PAYRATE"",""0.00000"",""PAYROLCD"",""INS"",""STATECD"","""",""CHEKDATE"",""3/1/2015"",""UPRTRXAM"",""49.36000"""</f>
        <v>"GP Direct","Fabrikam, Inc.","UPR30300","PAYRATE","0.00000","PAYROLCD","INS","STATECD","","CHEKDATE","3/1/2015","UPRTRXAM","49.36000"</v>
      </c>
      <c r="P1717" s="29">
        <v>0</v>
      </c>
      <c r="Q1717" s="26" t="str">
        <f>"INS"</f>
        <v>INS</v>
      </c>
      <c r="R1717" s="26"/>
      <c r="S1717" s="28">
        <v>42064</v>
      </c>
      <c r="T1717" s="29">
        <v>49.36</v>
      </c>
    </row>
    <row r="1718" spans="1:20" s="7" customFormat="1" hidden="1" outlineLevel="3" x14ac:dyDescent="0.2">
      <c r="A1718" s="7" t="s">
        <v>92</v>
      </c>
      <c r="C1718" s="7" t="str">
        <f t="shared" si="259"/>
        <v>Diane</v>
      </c>
      <c r="D1718" s="7" t="str">
        <f>+D1717</f>
        <v>Tibbott</v>
      </c>
      <c r="E1718" s="8" t="str">
        <f>E1717</f>
        <v>SUPP</v>
      </c>
      <c r="G1718" s="8" t="str">
        <f>G1717</f>
        <v>TIBB0001</v>
      </c>
      <c r="H1718" s="26"/>
      <c r="I1718" s="26"/>
      <c r="J1718" s="26"/>
      <c r="K1718" s="28">
        <f>+K1717</f>
        <v>42064</v>
      </c>
      <c r="L1718" s="26" t="str">
        <f>L1717</f>
        <v>10426</v>
      </c>
      <c r="M1718" s="26"/>
      <c r="N1718" s="26"/>
      <c r="O1718" s="26" t="str">
        <f>"""GP Direct"",""Fabrikam, Inc."",""UPR30300"",""PAYRATE"",""0.00000"",""PAYROLCD"",""INS2"",""STATECD"","""",""CHEKDATE"",""3/1/2015"",""UPRTRXAM"",""72.95000"""</f>
        <v>"GP Direct","Fabrikam, Inc.","UPR30300","PAYRATE","0.00000","PAYROLCD","INS2","STATECD","","CHEKDATE","3/1/2015","UPRTRXAM","72.95000"</v>
      </c>
      <c r="P1718" s="29">
        <v>0</v>
      </c>
      <c r="Q1718" s="26" t="str">
        <f>"INS2"</f>
        <v>INS2</v>
      </c>
      <c r="R1718" s="26"/>
      <c r="S1718" s="28">
        <v>42064</v>
      </c>
      <c r="T1718" s="29">
        <v>72.95</v>
      </c>
    </row>
    <row r="1719" spans="1:20" s="7" customFormat="1" hidden="1" outlineLevel="3" x14ac:dyDescent="0.2">
      <c r="A1719" s="7" t="s">
        <v>92</v>
      </c>
      <c r="C1719" s="7" t="str">
        <f t="shared" si="259"/>
        <v>Diane</v>
      </c>
      <c r="D1719" s="7" t="str">
        <f>+D1718</f>
        <v>Tibbott</v>
      </c>
      <c r="E1719" s="8" t="str">
        <f>E1718</f>
        <v>SUPP</v>
      </c>
      <c r="G1719" s="8" t="str">
        <f>G1718</f>
        <v>TIBB0001</v>
      </c>
      <c r="H1719" s="26"/>
      <c r="I1719" s="26"/>
      <c r="J1719" s="26"/>
      <c r="K1719" s="28">
        <f>+K1718</f>
        <v>42064</v>
      </c>
      <c r="L1719" s="26" t="str">
        <f>L1718</f>
        <v>10426</v>
      </c>
      <c r="M1719" s="26"/>
      <c r="N1719" s="26"/>
      <c r="O1719" s="26" t="str">
        <f>"""GP Direct"",""Fabrikam, Inc."",""UPR30300"",""PAYRATE"",""0.00000"",""PAYROLCD"",""MED"",""STATECD"","""",""CHEKDATE"",""3/1/2015"",""UPRTRXAM"",""5.00000"""</f>
        <v>"GP Direct","Fabrikam, Inc.","UPR30300","PAYRATE","0.00000","PAYROLCD","MED","STATECD","","CHEKDATE","3/1/2015","UPRTRXAM","5.00000"</v>
      </c>
      <c r="P1719" s="29">
        <v>0</v>
      </c>
      <c r="Q1719" s="26" t="str">
        <f>"MED"</f>
        <v>MED</v>
      </c>
      <c r="R1719" s="26"/>
      <c r="S1719" s="28">
        <v>42064</v>
      </c>
      <c r="T1719" s="29">
        <v>5</v>
      </c>
    </row>
    <row r="1720" spans="1:20" s="7" customFormat="1" hidden="1" outlineLevel="3" x14ac:dyDescent="0.2">
      <c r="A1720" s="7" t="s">
        <v>92</v>
      </c>
      <c r="C1720" s="7" t="str">
        <f t="shared" si="259"/>
        <v>Diane</v>
      </c>
      <c r="D1720" s="7" t="str">
        <f>+D1719</f>
        <v>Tibbott</v>
      </c>
      <c r="E1720" s="8" t="str">
        <f>E1719</f>
        <v>SUPP</v>
      </c>
      <c r="G1720" s="8" t="str">
        <f>G1719</f>
        <v>TIBB0001</v>
      </c>
      <c r="H1720" s="26"/>
      <c r="I1720" s="26"/>
      <c r="J1720" s="26"/>
      <c r="K1720" s="28">
        <f>+K1719</f>
        <v>42064</v>
      </c>
      <c r="L1720" s="26" t="str">
        <f>L1719</f>
        <v>10426</v>
      </c>
      <c r="M1720" s="26"/>
      <c r="N1720" s="26"/>
      <c r="O1720" s="26" t="str">
        <f>"""GP Direct"",""Fabrikam, Inc."",""UPR30300"",""PAYRATE"",""23760.00000"",""PAYROLCD"",""SALY"",""STATECD"",""IL"",""CHEKDATE"",""3/1/2015"",""UPRTRXAM"",""990.00000"""</f>
        <v>"GP Direct","Fabrikam, Inc.","UPR30300","PAYRATE","23760.00000","PAYROLCD","SALY","STATECD","IL","CHEKDATE","3/1/2015","UPRTRXAM","990.00000"</v>
      </c>
      <c r="P1720" s="29">
        <v>23760</v>
      </c>
      <c r="Q1720" s="26" t="str">
        <f>"SALY"</f>
        <v>SALY</v>
      </c>
      <c r="R1720" s="26" t="str">
        <f>"IL"</f>
        <v>IL</v>
      </c>
      <c r="S1720" s="28">
        <v>42064</v>
      </c>
      <c r="T1720" s="29">
        <v>990</v>
      </c>
    </row>
    <row r="1721" spans="1:20" s="7" customFormat="1" hidden="1" outlineLevel="3" x14ac:dyDescent="0.2">
      <c r="A1721" s="7" t="s">
        <v>92</v>
      </c>
      <c r="C1721" s="7" t="str">
        <f>+C1714</f>
        <v>Diane</v>
      </c>
      <c r="D1721" s="7" t="str">
        <f>+D1714</f>
        <v>Tibbott</v>
      </c>
      <c r="E1721" s="8" t="str">
        <f>E1714</f>
        <v>SUPP</v>
      </c>
      <c r="G1721" s="8" t="str">
        <f>G1714</f>
        <v>TIBB0001</v>
      </c>
      <c r="K1721" s="12">
        <f>+K1714</f>
        <v>42064</v>
      </c>
      <c r="L1721" s="8" t="str">
        <f>L1714</f>
        <v>10426</v>
      </c>
      <c r="O1721" s="8"/>
      <c r="T1721" s="20"/>
    </row>
    <row r="1722" spans="1:20" s="7" customFormat="1" hidden="1" outlineLevel="2" collapsed="1" x14ac:dyDescent="0.2">
      <c r="A1722" s="7" t="s">
        <v>92</v>
      </c>
      <c r="C1722" s="7" t="str">
        <f t="shared" si="257"/>
        <v>Diane</v>
      </c>
      <c r="D1722" s="7" t="str">
        <f>+D1721</f>
        <v>Tibbott</v>
      </c>
      <c r="E1722" s="8" t="str">
        <f>E1721</f>
        <v>SUPP</v>
      </c>
      <c r="G1722" s="8" t="str">
        <f>G1721</f>
        <v>TIBB0001</v>
      </c>
      <c r="K1722" s="12">
        <f>+K1721</f>
        <v>42064</v>
      </c>
      <c r="L1722" s="8" t="str">
        <f>L1721</f>
        <v>10426</v>
      </c>
      <c r="M1722" s="33" t="str">
        <f>"Total for " &amp; $L1722</f>
        <v>Total for 10426</v>
      </c>
      <c r="N1722" s="34">
        <f>+K1722</f>
        <v>42064</v>
      </c>
      <c r="O1722" s="35"/>
      <c r="P1722" s="33"/>
      <c r="Q1722" s="33"/>
      <c r="R1722" s="33"/>
      <c r="S1722" s="33"/>
      <c r="T1722" s="36">
        <f>SUBTOTAL(9,T1714:T1721)</f>
        <v>1173.72</v>
      </c>
    </row>
    <row r="1723" spans="1:20" s="7" customFormat="1" hidden="1" outlineLevel="3" x14ac:dyDescent="0.2">
      <c r="A1723" s="7" t="s">
        <v>92</v>
      </c>
      <c r="C1723" s="7" t="str">
        <f t="shared" si="257"/>
        <v>Diane</v>
      </c>
      <c r="D1723" s="7" t="str">
        <f>+D1722</f>
        <v>Tibbott</v>
      </c>
      <c r="E1723" s="8" t="str">
        <f>E1722</f>
        <v>SUPP</v>
      </c>
      <c r="G1723" s="8" t="str">
        <f>G1722</f>
        <v>TIBB0001</v>
      </c>
      <c r="H1723" s="26"/>
      <c r="I1723" s="26"/>
      <c r="J1723" s="26"/>
      <c r="K1723" s="28">
        <f>+N1723</f>
        <v>42095</v>
      </c>
      <c r="L1723" s="26" t="str">
        <f>M1723</f>
        <v>10451</v>
      </c>
      <c r="M1723" s="26" t="str">
        <f>"10451"</f>
        <v>10451</v>
      </c>
      <c r="N1723" s="28">
        <v>42095</v>
      </c>
      <c r="O1723" s="26"/>
      <c r="P1723" s="26"/>
      <c r="Q1723" s="26"/>
      <c r="R1723" s="26"/>
      <c r="S1723" s="26"/>
      <c r="T1723" s="27"/>
    </row>
    <row r="1724" spans="1:20" s="7" customFormat="1" hidden="1" outlineLevel="3" x14ac:dyDescent="0.2">
      <c r="A1724" s="7" t="s">
        <v>92</v>
      </c>
      <c r="C1724" s="7" t="str">
        <f t="shared" si="257"/>
        <v>Diane</v>
      </c>
      <c r="D1724" s="7" t="str">
        <f>+D1723</f>
        <v>Tibbott</v>
      </c>
      <c r="E1724" s="8" t="str">
        <f>E1723</f>
        <v>SUPP</v>
      </c>
      <c r="G1724" s="8" t="str">
        <f>G1723</f>
        <v>TIBB0001</v>
      </c>
      <c r="H1724" s="26"/>
      <c r="I1724" s="26"/>
      <c r="J1724" s="26"/>
      <c r="K1724" s="28">
        <f>+K1723</f>
        <v>42095</v>
      </c>
      <c r="L1724" s="26" t="str">
        <f>L1723</f>
        <v>10451</v>
      </c>
      <c r="M1724" s="26"/>
      <c r="N1724" s="26"/>
      <c r="O1724" s="26" t="str">
        <f>"""GP Direct"",""Fabrikam, Inc."",""UPR30300"",""PAYRATE"",""0.00000"",""PAYROLCD"",""401K"",""STATECD"","""",""CHEKDATE"",""4/1/2015"",""UPRTRXAM"",""1.49000"""</f>
        <v>"GP Direct","Fabrikam, Inc.","UPR30300","PAYRATE","0.00000","PAYROLCD","401K","STATECD","","CHEKDATE","4/1/2015","UPRTRXAM","1.49000"</v>
      </c>
      <c r="P1724" s="29">
        <v>0</v>
      </c>
      <c r="Q1724" s="26" t="str">
        <f>"401K"</f>
        <v>401K</v>
      </c>
      <c r="R1724" s="26"/>
      <c r="S1724" s="28">
        <v>42095</v>
      </c>
      <c r="T1724" s="29">
        <v>1.49</v>
      </c>
    </row>
    <row r="1725" spans="1:20" s="7" customFormat="1" hidden="1" outlineLevel="3" x14ac:dyDescent="0.2">
      <c r="A1725" s="7" t="s">
        <v>92</v>
      </c>
      <c r="C1725" s="7" t="str">
        <f t="shared" ref="C1725:C1730" si="260">+C1724</f>
        <v>Diane</v>
      </c>
      <c r="D1725" s="7" t="str">
        <f>+D1724</f>
        <v>Tibbott</v>
      </c>
      <c r="E1725" s="8" t="str">
        <f>E1724</f>
        <v>SUPP</v>
      </c>
      <c r="G1725" s="8" t="str">
        <f>G1724</f>
        <v>TIBB0001</v>
      </c>
      <c r="H1725" s="26"/>
      <c r="I1725" s="26"/>
      <c r="J1725" s="26"/>
      <c r="K1725" s="28">
        <f>+K1724</f>
        <v>42095</v>
      </c>
      <c r="L1725" s="26" t="str">
        <f>L1724</f>
        <v>10451</v>
      </c>
      <c r="M1725" s="26"/>
      <c r="N1725" s="26"/>
      <c r="O1725" s="26" t="str">
        <f>"""GP Direct"",""Fabrikam, Inc."",""UPR30300"",""PAYRATE"",""0.00000"",""PAYROLCD"",""401K"",""STATECD"","""",""CHEKDATE"",""4/1/2015"",""UPRTRXAM"",""29.70000"""</f>
        <v>"GP Direct","Fabrikam, Inc.","UPR30300","PAYRATE","0.00000","PAYROLCD","401K","STATECD","","CHEKDATE","4/1/2015","UPRTRXAM","29.70000"</v>
      </c>
      <c r="P1725" s="29">
        <v>0</v>
      </c>
      <c r="Q1725" s="26" t="str">
        <f>"401K"</f>
        <v>401K</v>
      </c>
      <c r="R1725" s="26"/>
      <c r="S1725" s="28">
        <v>42095</v>
      </c>
      <c r="T1725" s="29">
        <v>29.7</v>
      </c>
    </row>
    <row r="1726" spans="1:20" s="7" customFormat="1" hidden="1" outlineLevel="3" x14ac:dyDescent="0.2">
      <c r="A1726" s="7" t="s">
        <v>92</v>
      </c>
      <c r="C1726" s="7" t="str">
        <f t="shared" si="260"/>
        <v>Diane</v>
      </c>
      <c r="D1726" s="7" t="str">
        <f>+D1725</f>
        <v>Tibbott</v>
      </c>
      <c r="E1726" s="8" t="str">
        <f>E1725</f>
        <v>SUPP</v>
      </c>
      <c r="G1726" s="8" t="str">
        <f>G1725</f>
        <v>TIBB0001</v>
      </c>
      <c r="H1726" s="26"/>
      <c r="I1726" s="26"/>
      <c r="J1726" s="26"/>
      <c r="K1726" s="28">
        <f>+K1725</f>
        <v>42095</v>
      </c>
      <c r="L1726" s="26" t="str">
        <f>L1725</f>
        <v>10451</v>
      </c>
      <c r="M1726" s="26"/>
      <c r="N1726" s="26"/>
      <c r="O1726" s="26" t="str">
        <f>"""GP Direct"",""Fabrikam, Inc."",""UPR30300"",""PAYRATE"",""0.00000"",""PAYROLCD"",""IL"",""STATECD"","""",""CHEKDATE"",""4/1/2015"",""UPRTRXAM"",""25.22000"""</f>
        <v>"GP Direct","Fabrikam, Inc.","UPR30300","PAYRATE","0.00000","PAYROLCD","IL","STATECD","","CHEKDATE","4/1/2015","UPRTRXAM","25.22000"</v>
      </c>
      <c r="P1726" s="29">
        <v>0</v>
      </c>
      <c r="Q1726" s="26" t="str">
        <f>"IL"</f>
        <v>IL</v>
      </c>
      <c r="R1726" s="26"/>
      <c r="S1726" s="28">
        <v>42095</v>
      </c>
      <c r="T1726" s="29">
        <v>25.22</v>
      </c>
    </row>
    <row r="1727" spans="1:20" s="7" customFormat="1" hidden="1" outlineLevel="3" x14ac:dyDescent="0.2">
      <c r="A1727" s="7" t="s">
        <v>92</v>
      </c>
      <c r="C1727" s="7" t="str">
        <f t="shared" si="260"/>
        <v>Diane</v>
      </c>
      <c r="D1727" s="7" t="str">
        <f>+D1726</f>
        <v>Tibbott</v>
      </c>
      <c r="E1727" s="8" t="str">
        <f>E1726</f>
        <v>SUPP</v>
      </c>
      <c r="G1727" s="8" t="str">
        <f>G1726</f>
        <v>TIBB0001</v>
      </c>
      <c r="H1727" s="26"/>
      <c r="I1727" s="26"/>
      <c r="J1727" s="26"/>
      <c r="K1727" s="28">
        <f>+K1726</f>
        <v>42095</v>
      </c>
      <c r="L1727" s="26" t="str">
        <f>L1726</f>
        <v>10451</v>
      </c>
      <c r="M1727" s="26"/>
      <c r="N1727" s="26"/>
      <c r="O1727" s="26" t="str">
        <f>"""GP Direct"",""Fabrikam, Inc."",""UPR30300"",""PAYRATE"",""0.00000"",""PAYROLCD"",""INS"",""STATECD"","""",""CHEKDATE"",""4/1/2015"",""UPRTRXAM"",""49.36000"""</f>
        <v>"GP Direct","Fabrikam, Inc.","UPR30300","PAYRATE","0.00000","PAYROLCD","INS","STATECD","","CHEKDATE","4/1/2015","UPRTRXAM","49.36000"</v>
      </c>
      <c r="P1727" s="29">
        <v>0</v>
      </c>
      <c r="Q1727" s="26" t="str">
        <f>"INS"</f>
        <v>INS</v>
      </c>
      <c r="R1727" s="26"/>
      <c r="S1727" s="28">
        <v>42095</v>
      </c>
      <c r="T1727" s="29">
        <v>49.36</v>
      </c>
    </row>
    <row r="1728" spans="1:20" s="7" customFormat="1" hidden="1" outlineLevel="3" x14ac:dyDescent="0.2">
      <c r="A1728" s="7" t="s">
        <v>92</v>
      </c>
      <c r="C1728" s="7" t="str">
        <f t="shared" si="260"/>
        <v>Diane</v>
      </c>
      <c r="D1728" s="7" t="str">
        <f>+D1727</f>
        <v>Tibbott</v>
      </c>
      <c r="E1728" s="8" t="str">
        <f>E1727</f>
        <v>SUPP</v>
      </c>
      <c r="G1728" s="8" t="str">
        <f>G1727</f>
        <v>TIBB0001</v>
      </c>
      <c r="H1728" s="26"/>
      <c r="I1728" s="26"/>
      <c r="J1728" s="26"/>
      <c r="K1728" s="28">
        <f>+K1727</f>
        <v>42095</v>
      </c>
      <c r="L1728" s="26" t="str">
        <f>L1727</f>
        <v>10451</v>
      </c>
      <c r="M1728" s="26"/>
      <c r="N1728" s="26"/>
      <c r="O1728" s="26" t="str">
        <f>"""GP Direct"",""Fabrikam, Inc."",""UPR30300"",""PAYRATE"",""0.00000"",""PAYROLCD"",""INS2"",""STATECD"","""",""CHEKDATE"",""4/1/2015"",""UPRTRXAM"",""72.95000"""</f>
        <v>"GP Direct","Fabrikam, Inc.","UPR30300","PAYRATE","0.00000","PAYROLCD","INS2","STATECD","","CHEKDATE","4/1/2015","UPRTRXAM","72.95000"</v>
      </c>
      <c r="P1728" s="29">
        <v>0</v>
      </c>
      <c r="Q1728" s="26" t="str">
        <f>"INS2"</f>
        <v>INS2</v>
      </c>
      <c r="R1728" s="26"/>
      <c r="S1728" s="28">
        <v>42095</v>
      </c>
      <c r="T1728" s="29">
        <v>72.95</v>
      </c>
    </row>
    <row r="1729" spans="1:20" s="7" customFormat="1" hidden="1" outlineLevel="3" x14ac:dyDescent="0.2">
      <c r="A1729" s="7" t="s">
        <v>92</v>
      </c>
      <c r="C1729" s="7" t="str">
        <f t="shared" si="260"/>
        <v>Diane</v>
      </c>
      <c r="D1729" s="7" t="str">
        <f>+D1728</f>
        <v>Tibbott</v>
      </c>
      <c r="E1729" s="8" t="str">
        <f>E1728</f>
        <v>SUPP</v>
      </c>
      <c r="G1729" s="8" t="str">
        <f>G1728</f>
        <v>TIBB0001</v>
      </c>
      <c r="H1729" s="26"/>
      <c r="I1729" s="26"/>
      <c r="J1729" s="26"/>
      <c r="K1729" s="28">
        <f>+K1728</f>
        <v>42095</v>
      </c>
      <c r="L1729" s="26" t="str">
        <f>L1728</f>
        <v>10451</v>
      </c>
      <c r="M1729" s="26"/>
      <c r="N1729" s="26"/>
      <c r="O1729" s="26" t="str">
        <f>"""GP Direct"",""Fabrikam, Inc."",""UPR30300"",""PAYRATE"",""0.00000"",""PAYROLCD"",""MED"",""STATECD"","""",""CHEKDATE"",""4/1/2015"",""UPRTRXAM"",""5.00000"""</f>
        <v>"GP Direct","Fabrikam, Inc.","UPR30300","PAYRATE","0.00000","PAYROLCD","MED","STATECD","","CHEKDATE","4/1/2015","UPRTRXAM","5.00000"</v>
      </c>
      <c r="P1729" s="29">
        <v>0</v>
      </c>
      <c r="Q1729" s="26" t="str">
        <f>"MED"</f>
        <v>MED</v>
      </c>
      <c r="R1729" s="26"/>
      <c r="S1729" s="28">
        <v>42095</v>
      </c>
      <c r="T1729" s="29">
        <v>5</v>
      </c>
    </row>
    <row r="1730" spans="1:20" s="7" customFormat="1" hidden="1" outlineLevel="3" x14ac:dyDescent="0.2">
      <c r="A1730" s="7" t="s">
        <v>92</v>
      </c>
      <c r="C1730" s="7" t="str">
        <f t="shared" si="260"/>
        <v>Diane</v>
      </c>
      <c r="D1730" s="7" t="str">
        <f>+D1729</f>
        <v>Tibbott</v>
      </c>
      <c r="E1730" s="8" t="str">
        <f>E1729</f>
        <v>SUPP</v>
      </c>
      <c r="G1730" s="8" t="str">
        <f>G1729</f>
        <v>TIBB0001</v>
      </c>
      <c r="H1730" s="26"/>
      <c r="I1730" s="26"/>
      <c r="J1730" s="26"/>
      <c r="K1730" s="28">
        <f>+K1729</f>
        <v>42095</v>
      </c>
      <c r="L1730" s="26" t="str">
        <f>L1729</f>
        <v>10451</v>
      </c>
      <c r="M1730" s="26"/>
      <c r="N1730" s="26"/>
      <c r="O1730" s="26" t="str">
        <f>"""GP Direct"",""Fabrikam, Inc."",""UPR30300"",""PAYRATE"",""23760.00000"",""PAYROLCD"",""SALY"",""STATECD"",""IL"",""CHEKDATE"",""4/1/2015"",""UPRTRXAM"",""990.00000"""</f>
        <v>"GP Direct","Fabrikam, Inc.","UPR30300","PAYRATE","23760.00000","PAYROLCD","SALY","STATECD","IL","CHEKDATE","4/1/2015","UPRTRXAM","990.00000"</v>
      </c>
      <c r="P1730" s="29">
        <v>23760</v>
      </c>
      <c r="Q1730" s="26" t="str">
        <f>"SALY"</f>
        <v>SALY</v>
      </c>
      <c r="R1730" s="26" t="str">
        <f>"IL"</f>
        <v>IL</v>
      </c>
      <c r="S1730" s="28">
        <v>42095</v>
      </c>
      <c r="T1730" s="29">
        <v>990</v>
      </c>
    </row>
    <row r="1731" spans="1:20" s="7" customFormat="1" hidden="1" outlineLevel="3" x14ac:dyDescent="0.2">
      <c r="A1731" s="7" t="s">
        <v>92</v>
      </c>
      <c r="C1731" s="7" t="str">
        <f>+C1724</f>
        <v>Diane</v>
      </c>
      <c r="D1731" s="7" t="str">
        <f>+D1724</f>
        <v>Tibbott</v>
      </c>
      <c r="E1731" s="8" t="str">
        <f>E1724</f>
        <v>SUPP</v>
      </c>
      <c r="G1731" s="8" t="str">
        <f>G1724</f>
        <v>TIBB0001</v>
      </c>
      <c r="K1731" s="12">
        <f>+K1724</f>
        <v>42095</v>
      </c>
      <c r="L1731" s="8" t="str">
        <f>L1724</f>
        <v>10451</v>
      </c>
      <c r="O1731" s="8"/>
      <c r="T1731" s="20"/>
    </row>
    <row r="1732" spans="1:20" s="7" customFormat="1" hidden="1" outlineLevel="2" collapsed="1" x14ac:dyDescent="0.2">
      <c r="A1732" s="7" t="s">
        <v>92</v>
      </c>
      <c r="C1732" s="7" t="str">
        <f t="shared" si="257"/>
        <v>Diane</v>
      </c>
      <c r="D1732" s="7" t="str">
        <f>+D1731</f>
        <v>Tibbott</v>
      </c>
      <c r="E1732" s="8" t="str">
        <f>E1731</f>
        <v>SUPP</v>
      </c>
      <c r="G1732" s="8" t="str">
        <f>G1731</f>
        <v>TIBB0001</v>
      </c>
      <c r="K1732" s="12">
        <f>+K1731</f>
        <v>42095</v>
      </c>
      <c r="L1732" s="8" t="str">
        <f>L1731</f>
        <v>10451</v>
      </c>
      <c r="M1732" s="33" t="str">
        <f>"Total for " &amp; $L1732</f>
        <v>Total for 10451</v>
      </c>
      <c r="N1732" s="34">
        <f>+K1732</f>
        <v>42095</v>
      </c>
      <c r="O1732" s="35"/>
      <c r="P1732" s="33"/>
      <c r="Q1732" s="33"/>
      <c r="R1732" s="33"/>
      <c r="S1732" s="33"/>
      <c r="T1732" s="36">
        <f>SUBTOTAL(9,T1724:T1731)</f>
        <v>1173.72</v>
      </c>
    </row>
    <row r="1733" spans="1:20" s="7" customFormat="1" hidden="1" outlineLevel="3" x14ac:dyDescent="0.2">
      <c r="A1733" s="7" t="s">
        <v>92</v>
      </c>
      <c r="C1733" s="7" t="str">
        <f t="shared" si="257"/>
        <v>Diane</v>
      </c>
      <c r="D1733" s="7" t="str">
        <f>+D1732</f>
        <v>Tibbott</v>
      </c>
      <c r="E1733" s="8" t="str">
        <f>E1732</f>
        <v>SUPP</v>
      </c>
      <c r="G1733" s="8" t="str">
        <f>G1732</f>
        <v>TIBB0001</v>
      </c>
      <c r="H1733" s="26"/>
      <c r="I1733" s="26"/>
      <c r="J1733" s="26"/>
      <c r="K1733" s="28">
        <f>+N1733</f>
        <v>42125</v>
      </c>
      <c r="L1733" s="26" t="str">
        <f>M1733</f>
        <v>10476</v>
      </c>
      <c r="M1733" s="26" t="str">
        <f>"10476"</f>
        <v>10476</v>
      </c>
      <c r="N1733" s="28">
        <v>42125</v>
      </c>
      <c r="O1733" s="26"/>
      <c r="P1733" s="26"/>
      <c r="Q1733" s="26"/>
      <c r="R1733" s="26"/>
      <c r="S1733" s="26"/>
      <c r="T1733" s="27"/>
    </row>
    <row r="1734" spans="1:20" s="7" customFormat="1" hidden="1" outlineLevel="3" x14ac:dyDescent="0.2">
      <c r="A1734" s="7" t="s">
        <v>92</v>
      </c>
      <c r="C1734" s="7" t="str">
        <f t="shared" si="257"/>
        <v>Diane</v>
      </c>
      <c r="D1734" s="7" t="str">
        <f>+D1733</f>
        <v>Tibbott</v>
      </c>
      <c r="E1734" s="8" t="str">
        <f>E1733</f>
        <v>SUPP</v>
      </c>
      <c r="G1734" s="8" t="str">
        <f>G1733</f>
        <v>TIBB0001</v>
      </c>
      <c r="H1734" s="26"/>
      <c r="I1734" s="26"/>
      <c r="J1734" s="26"/>
      <c r="K1734" s="28">
        <f>+K1733</f>
        <v>42125</v>
      </c>
      <c r="L1734" s="26" t="str">
        <f>L1733</f>
        <v>10476</v>
      </c>
      <c r="M1734" s="26"/>
      <c r="N1734" s="26"/>
      <c r="O1734" s="26" t="str">
        <f>"""GP Direct"",""Fabrikam, Inc."",""UPR30300"",""PAYRATE"",""0.00000"",""PAYROLCD"",""401K"",""STATECD"","""",""CHEKDATE"",""5/1/2015"",""UPRTRXAM"",""1.49000"""</f>
        <v>"GP Direct","Fabrikam, Inc.","UPR30300","PAYRATE","0.00000","PAYROLCD","401K","STATECD","","CHEKDATE","5/1/2015","UPRTRXAM","1.49000"</v>
      </c>
      <c r="P1734" s="29">
        <v>0</v>
      </c>
      <c r="Q1734" s="26" t="str">
        <f>"401K"</f>
        <v>401K</v>
      </c>
      <c r="R1734" s="26"/>
      <c r="S1734" s="28">
        <v>42125</v>
      </c>
      <c r="T1734" s="29">
        <v>1.49</v>
      </c>
    </row>
    <row r="1735" spans="1:20" s="7" customFormat="1" hidden="1" outlineLevel="3" x14ac:dyDescent="0.2">
      <c r="A1735" s="7" t="s">
        <v>92</v>
      </c>
      <c r="C1735" s="7" t="str">
        <f t="shared" ref="C1735:C1740" si="261">+C1734</f>
        <v>Diane</v>
      </c>
      <c r="D1735" s="7" t="str">
        <f>+D1734</f>
        <v>Tibbott</v>
      </c>
      <c r="E1735" s="8" t="str">
        <f>E1734</f>
        <v>SUPP</v>
      </c>
      <c r="G1735" s="8" t="str">
        <f>G1734</f>
        <v>TIBB0001</v>
      </c>
      <c r="H1735" s="26"/>
      <c r="I1735" s="26"/>
      <c r="J1735" s="26"/>
      <c r="K1735" s="28">
        <f>+K1734</f>
        <v>42125</v>
      </c>
      <c r="L1735" s="26" t="str">
        <f>L1734</f>
        <v>10476</v>
      </c>
      <c r="M1735" s="26"/>
      <c r="N1735" s="26"/>
      <c r="O1735" s="26" t="str">
        <f>"""GP Direct"",""Fabrikam, Inc."",""UPR30300"",""PAYRATE"",""0.00000"",""PAYROLCD"",""401K"",""STATECD"","""",""CHEKDATE"",""5/1/2015"",""UPRTRXAM"",""29.70000"""</f>
        <v>"GP Direct","Fabrikam, Inc.","UPR30300","PAYRATE","0.00000","PAYROLCD","401K","STATECD","","CHEKDATE","5/1/2015","UPRTRXAM","29.70000"</v>
      </c>
      <c r="P1735" s="29">
        <v>0</v>
      </c>
      <c r="Q1735" s="26" t="str">
        <f>"401K"</f>
        <v>401K</v>
      </c>
      <c r="R1735" s="26"/>
      <c r="S1735" s="28">
        <v>42125</v>
      </c>
      <c r="T1735" s="29">
        <v>29.7</v>
      </c>
    </row>
    <row r="1736" spans="1:20" s="7" customFormat="1" hidden="1" outlineLevel="3" x14ac:dyDescent="0.2">
      <c r="A1736" s="7" t="s">
        <v>92</v>
      </c>
      <c r="C1736" s="7" t="str">
        <f t="shared" si="261"/>
        <v>Diane</v>
      </c>
      <c r="D1736" s="7" t="str">
        <f>+D1735</f>
        <v>Tibbott</v>
      </c>
      <c r="E1736" s="8" t="str">
        <f>E1735</f>
        <v>SUPP</v>
      </c>
      <c r="G1736" s="8" t="str">
        <f>G1735</f>
        <v>TIBB0001</v>
      </c>
      <c r="H1736" s="26"/>
      <c r="I1736" s="26"/>
      <c r="J1736" s="26"/>
      <c r="K1736" s="28">
        <f>+K1735</f>
        <v>42125</v>
      </c>
      <c r="L1736" s="26" t="str">
        <f>L1735</f>
        <v>10476</v>
      </c>
      <c r="M1736" s="26"/>
      <c r="N1736" s="26"/>
      <c r="O1736" s="26" t="str">
        <f>"""GP Direct"",""Fabrikam, Inc."",""UPR30300"",""PAYRATE"",""0.00000"",""PAYROLCD"",""IL"",""STATECD"","""",""CHEKDATE"",""5/1/2015"",""UPRTRXAM"",""25.22000"""</f>
        <v>"GP Direct","Fabrikam, Inc.","UPR30300","PAYRATE","0.00000","PAYROLCD","IL","STATECD","","CHEKDATE","5/1/2015","UPRTRXAM","25.22000"</v>
      </c>
      <c r="P1736" s="29">
        <v>0</v>
      </c>
      <c r="Q1736" s="26" t="str">
        <f>"IL"</f>
        <v>IL</v>
      </c>
      <c r="R1736" s="26"/>
      <c r="S1736" s="28">
        <v>42125</v>
      </c>
      <c r="T1736" s="29">
        <v>25.22</v>
      </c>
    </row>
    <row r="1737" spans="1:20" s="7" customFormat="1" hidden="1" outlineLevel="3" x14ac:dyDescent="0.2">
      <c r="A1737" s="7" t="s">
        <v>92</v>
      </c>
      <c r="C1737" s="7" t="str">
        <f t="shared" si="261"/>
        <v>Diane</v>
      </c>
      <c r="D1737" s="7" t="str">
        <f>+D1736</f>
        <v>Tibbott</v>
      </c>
      <c r="E1737" s="8" t="str">
        <f>E1736</f>
        <v>SUPP</v>
      </c>
      <c r="G1737" s="8" t="str">
        <f>G1736</f>
        <v>TIBB0001</v>
      </c>
      <c r="H1737" s="26"/>
      <c r="I1737" s="26"/>
      <c r="J1737" s="26"/>
      <c r="K1737" s="28">
        <f>+K1736</f>
        <v>42125</v>
      </c>
      <c r="L1737" s="26" t="str">
        <f>L1736</f>
        <v>10476</v>
      </c>
      <c r="M1737" s="26"/>
      <c r="N1737" s="26"/>
      <c r="O1737" s="26" t="str">
        <f>"""GP Direct"",""Fabrikam, Inc."",""UPR30300"",""PAYRATE"",""0.00000"",""PAYROLCD"",""INS"",""STATECD"","""",""CHEKDATE"",""5/1/2015"",""UPRTRXAM"",""49.36000"""</f>
        <v>"GP Direct","Fabrikam, Inc.","UPR30300","PAYRATE","0.00000","PAYROLCD","INS","STATECD","","CHEKDATE","5/1/2015","UPRTRXAM","49.36000"</v>
      </c>
      <c r="P1737" s="29">
        <v>0</v>
      </c>
      <c r="Q1737" s="26" t="str">
        <f>"INS"</f>
        <v>INS</v>
      </c>
      <c r="R1737" s="26"/>
      <c r="S1737" s="28">
        <v>42125</v>
      </c>
      <c r="T1737" s="29">
        <v>49.36</v>
      </c>
    </row>
    <row r="1738" spans="1:20" s="7" customFormat="1" hidden="1" outlineLevel="3" x14ac:dyDescent="0.2">
      <c r="A1738" s="7" t="s">
        <v>92</v>
      </c>
      <c r="C1738" s="7" t="str">
        <f t="shared" si="261"/>
        <v>Diane</v>
      </c>
      <c r="D1738" s="7" t="str">
        <f>+D1737</f>
        <v>Tibbott</v>
      </c>
      <c r="E1738" s="8" t="str">
        <f>E1737</f>
        <v>SUPP</v>
      </c>
      <c r="G1738" s="8" t="str">
        <f>G1737</f>
        <v>TIBB0001</v>
      </c>
      <c r="H1738" s="26"/>
      <c r="I1738" s="26"/>
      <c r="J1738" s="26"/>
      <c r="K1738" s="28">
        <f>+K1737</f>
        <v>42125</v>
      </c>
      <c r="L1738" s="26" t="str">
        <f>L1737</f>
        <v>10476</v>
      </c>
      <c r="M1738" s="26"/>
      <c r="N1738" s="26"/>
      <c r="O1738" s="26" t="str">
        <f>"""GP Direct"",""Fabrikam, Inc."",""UPR30300"",""PAYRATE"",""0.00000"",""PAYROLCD"",""INS2"",""STATECD"","""",""CHEKDATE"",""5/1/2015"",""UPRTRXAM"",""72.95000"""</f>
        <v>"GP Direct","Fabrikam, Inc.","UPR30300","PAYRATE","0.00000","PAYROLCD","INS2","STATECD","","CHEKDATE","5/1/2015","UPRTRXAM","72.95000"</v>
      </c>
      <c r="P1738" s="29">
        <v>0</v>
      </c>
      <c r="Q1738" s="26" t="str">
        <f>"INS2"</f>
        <v>INS2</v>
      </c>
      <c r="R1738" s="26"/>
      <c r="S1738" s="28">
        <v>42125</v>
      </c>
      <c r="T1738" s="29">
        <v>72.95</v>
      </c>
    </row>
    <row r="1739" spans="1:20" s="7" customFormat="1" hidden="1" outlineLevel="3" x14ac:dyDescent="0.2">
      <c r="A1739" s="7" t="s">
        <v>92</v>
      </c>
      <c r="C1739" s="7" t="str">
        <f t="shared" si="261"/>
        <v>Diane</v>
      </c>
      <c r="D1739" s="7" t="str">
        <f>+D1738</f>
        <v>Tibbott</v>
      </c>
      <c r="E1739" s="8" t="str">
        <f>E1738</f>
        <v>SUPP</v>
      </c>
      <c r="G1739" s="8" t="str">
        <f>G1738</f>
        <v>TIBB0001</v>
      </c>
      <c r="H1739" s="26"/>
      <c r="I1739" s="26"/>
      <c r="J1739" s="26"/>
      <c r="K1739" s="28">
        <f>+K1738</f>
        <v>42125</v>
      </c>
      <c r="L1739" s="26" t="str">
        <f>L1738</f>
        <v>10476</v>
      </c>
      <c r="M1739" s="26"/>
      <c r="N1739" s="26"/>
      <c r="O1739" s="26" t="str">
        <f>"""GP Direct"",""Fabrikam, Inc."",""UPR30300"",""PAYRATE"",""0.00000"",""PAYROLCD"",""MED"",""STATECD"","""",""CHEKDATE"",""5/1/2015"",""UPRTRXAM"",""5.00000"""</f>
        <v>"GP Direct","Fabrikam, Inc.","UPR30300","PAYRATE","0.00000","PAYROLCD","MED","STATECD","","CHEKDATE","5/1/2015","UPRTRXAM","5.00000"</v>
      </c>
      <c r="P1739" s="29">
        <v>0</v>
      </c>
      <c r="Q1739" s="26" t="str">
        <f>"MED"</f>
        <v>MED</v>
      </c>
      <c r="R1739" s="26"/>
      <c r="S1739" s="28">
        <v>42125</v>
      </c>
      <c r="T1739" s="29">
        <v>5</v>
      </c>
    </row>
    <row r="1740" spans="1:20" s="7" customFormat="1" hidden="1" outlineLevel="3" x14ac:dyDescent="0.2">
      <c r="A1740" s="7" t="s">
        <v>92</v>
      </c>
      <c r="C1740" s="7" t="str">
        <f t="shared" si="261"/>
        <v>Diane</v>
      </c>
      <c r="D1740" s="7" t="str">
        <f>+D1739</f>
        <v>Tibbott</v>
      </c>
      <c r="E1740" s="8" t="str">
        <f>E1739</f>
        <v>SUPP</v>
      </c>
      <c r="G1740" s="8" t="str">
        <f>G1739</f>
        <v>TIBB0001</v>
      </c>
      <c r="H1740" s="26"/>
      <c r="I1740" s="26"/>
      <c r="J1740" s="26"/>
      <c r="K1740" s="28">
        <f>+K1739</f>
        <v>42125</v>
      </c>
      <c r="L1740" s="26" t="str">
        <f>L1739</f>
        <v>10476</v>
      </c>
      <c r="M1740" s="26"/>
      <c r="N1740" s="26"/>
      <c r="O1740" s="26" t="str">
        <f>"""GP Direct"",""Fabrikam, Inc."",""UPR30300"",""PAYRATE"",""23760.00000"",""PAYROLCD"",""SALY"",""STATECD"",""IL"",""CHEKDATE"",""5/1/2015"",""UPRTRXAM"",""990.00000"""</f>
        <v>"GP Direct","Fabrikam, Inc.","UPR30300","PAYRATE","23760.00000","PAYROLCD","SALY","STATECD","IL","CHEKDATE","5/1/2015","UPRTRXAM","990.00000"</v>
      </c>
      <c r="P1740" s="29">
        <v>23760</v>
      </c>
      <c r="Q1740" s="26" t="str">
        <f>"SALY"</f>
        <v>SALY</v>
      </c>
      <c r="R1740" s="26" t="str">
        <f>"IL"</f>
        <v>IL</v>
      </c>
      <c r="S1740" s="28">
        <v>42125</v>
      </c>
      <c r="T1740" s="29">
        <v>990</v>
      </c>
    </row>
    <row r="1741" spans="1:20" s="7" customFormat="1" hidden="1" outlineLevel="3" x14ac:dyDescent="0.2">
      <c r="A1741" s="7" t="s">
        <v>92</v>
      </c>
      <c r="C1741" s="7" t="str">
        <f>+C1734</f>
        <v>Diane</v>
      </c>
      <c r="D1741" s="7" t="str">
        <f>+D1734</f>
        <v>Tibbott</v>
      </c>
      <c r="E1741" s="8" t="str">
        <f>E1734</f>
        <v>SUPP</v>
      </c>
      <c r="G1741" s="8" t="str">
        <f>G1734</f>
        <v>TIBB0001</v>
      </c>
      <c r="K1741" s="12">
        <f>+K1734</f>
        <v>42125</v>
      </c>
      <c r="L1741" s="8" t="str">
        <f>L1734</f>
        <v>10476</v>
      </c>
      <c r="O1741" s="8"/>
      <c r="T1741" s="20"/>
    </row>
    <row r="1742" spans="1:20" s="7" customFormat="1" hidden="1" outlineLevel="2" collapsed="1" x14ac:dyDescent="0.2">
      <c r="A1742" s="7" t="s">
        <v>92</v>
      </c>
      <c r="C1742" s="7" t="str">
        <f t="shared" si="257"/>
        <v>Diane</v>
      </c>
      <c r="D1742" s="7" t="str">
        <f>+D1741</f>
        <v>Tibbott</v>
      </c>
      <c r="E1742" s="8" t="str">
        <f>E1741</f>
        <v>SUPP</v>
      </c>
      <c r="G1742" s="8" t="str">
        <f>G1741</f>
        <v>TIBB0001</v>
      </c>
      <c r="K1742" s="12">
        <f>+K1741</f>
        <v>42125</v>
      </c>
      <c r="L1742" s="8" t="str">
        <f>L1741</f>
        <v>10476</v>
      </c>
      <c r="M1742" s="33" t="str">
        <f>"Total for " &amp; $L1742</f>
        <v>Total for 10476</v>
      </c>
      <c r="N1742" s="34">
        <f>+K1742</f>
        <v>42125</v>
      </c>
      <c r="O1742" s="35"/>
      <c r="P1742" s="33"/>
      <c r="Q1742" s="33"/>
      <c r="R1742" s="33"/>
      <c r="S1742" s="33"/>
      <c r="T1742" s="36">
        <f>SUBTOTAL(9,T1734:T1741)</f>
        <v>1173.72</v>
      </c>
    </row>
    <row r="1743" spans="1:20" s="7" customFormat="1" hidden="1" outlineLevel="3" x14ac:dyDescent="0.2">
      <c r="A1743" s="7" t="s">
        <v>92</v>
      </c>
      <c r="C1743" s="7" t="str">
        <f t="shared" si="257"/>
        <v>Diane</v>
      </c>
      <c r="D1743" s="7" t="str">
        <f>+D1742</f>
        <v>Tibbott</v>
      </c>
      <c r="E1743" s="8" t="str">
        <f>E1742</f>
        <v>SUPP</v>
      </c>
      <c r="G1743" s="8" t="str">
        <f>G1742</f>
        <v>TIBB0001</v>
      </c>
      <c r="H1743" s="26"/>
      <c r="I1743" s="26"/>
      <c r="J1743" s="26"/>
      <c r="K1743" s="28">
        <f>+N1743</f>
        <v>42156</v>
      </c>
      <c r="L1743" s="26" t="str">
        <f>M1743</f>
        <v>10501</v>
      </c>
      <c r="M1743" s="26" t="str">
        <f>"10501"</f>
        <v>10501</v>
      </c>
      <c r="N1743" s="28">
        <v>42156</v>
      </c>
      <c r="O1743" s="26"/>
      <c r="P1743" s="26"/>
      <c r="Q1743" s="26"/>
      <c r="R1743" s="26"/>
      <c r="S1743" s="26"/>
      <c r="T1743" s="27"/>
    </row>
    <row r="1744" spans="1:20" s="7" customFormat="1" hidden="1" outlineLevel="3" x14ac:dyDescent="0.2">
      <c r="A1744" s="7" t="s">
        <v>92</v>
      </c>
      <c r="C1744" s="7" t="str">
        <f t="shared" si="257"/>
        <v>Diane</v>
      </c>
      <c r="D1744" s="7" t="str">
        <f>+D1743</f>
        <v>Tibbott</v>
      </c>
      <c r="E1744" s="8" t="str">
        <f>E1743</f>
        <v>SUPP</v>
      </c>
      <c r="G1744" s="8" t="str">
        <f>G1743</f>
        <v>TIBB0001</v>
      </c>
      <c r="H1744" s="26"/>
      <c r="I1744" s="26"/>
      <c r="J1744" s="26"/>
      <c r="K1744" s="28">
        <f>+K1743</f>
        <v>42156</v>
      </c>
      <c r="L1744" s="26" t="str">
        <f>L1743</f>
        <v>10501</v>
      </c>
      <c r="M1744" s="26"/>
      <c r="N1744" s="26"/>
      <c r="O1744" s="26" t="str">
        <f>"""GP Direct"",""Fabrikam, Inc."",""UPR30300"",""PAYRATE"",""0.00000"",""PAYROLCD"",""401K"",""STATECD"","""",""CHEKDATE"",""6/1/2015"",""UPRTRXAM"",""1.49000"""</f>
        <v>"GP Direct","Fabrikam, Inc.","UPR30300","PAYRATE","0.00000","PAYROLCD","401K","STATECD","","CHEKDATE","6/1/2015","UPRTRXAM","1.49000"</v>
      </c>
      <c r="P1744" s="29">
        <v>0</v>
      </c>
      <c r="Q1744" s="26" t="str">
        <f>"401K"</f>
        <v>401K</v>
      </c>
      <c r="R1744" s="26"/>
      <c r="S1744" s="28">
        <v>42156</v>
      </c>
      <c r="T1744" s="29">
        <v>1.49</v>
      </c>
    </row>
    <row r="1745" spans="1:20" s="7" customFormat="1" hidden="1" outlineLevel="3" x14ac:dyDescent="0.2">
      <c r="A1745" s="7" t="s">
        <v>92</v>
      </c>
      <c r="C1745" s="7" t="str">
        <f t="shared" ref="C1745:C1750" si="262">+C1744</f>
        <v>Diane</v>
      </c>
      <c r="D1745" s="7" t="str">
        <f>+D1744</f>
        <v>Tibbott</v>
      </c>
      <c r="E1745" s="8" t="str">
        <f>E1744</f>
        <v>SUPP</v>
      </c>
      <c r="G1745" s="8" t="str">
        <f>G1744</f>
        <v>TIBB0001</v>
      </c>
      <c r="H1745" s="26"/>
      <c r="I1745" s="26"/>
      <c r="J1745" s="26"/>
      <c r="K1745" s="28">
        <f>+K1744</f>
        <v>42156</v>
      </c>
      <c r="L1745" s="26" t="str">
        <f>L1744</f>
        <v>10501</v>
      </c>
      <c r="M1745" s="26"/>
      <c r="N1745" s="26"/>
      <c r="O1745" s="26" t="str">
        <f>"""GP Direct"",""Fabrikam, Inc."",""UPR30300"",""PAYRATE"",""0.00000"",""PAYROLCD"",""401K"",""STATECD"","""",""CHEKDATE"",""6/1/2015"",""UPRTRXAM"",""29.70000"""</f>
        <v>"GP Direct","Fabrikam, Inc.","UPR30300","PAYRATE","0.00000","PAYROLCD","401K","STATECD","","CHEKDATE","6/1/2015","UPRTRXAM","29.70000"</v>
      </c>
      <c r="P1745" s="29">
        <v>0</v>
      </c>
      <c r="Q1745" s="26" t="str">
        <f>"401K"</f>
        <v>401K</v>
      </c>
      <c r="R1745" s="26"/>
      <c r="S1745" s="28">
        <v>42156</v>
      </c>
      <c r="T1745" s="29">
        <v>29.7</v>
      </c>
    </row>
    <row r="1746" spans="1:20" s="7" customFormat="1" hidden="1" outlineLevel="3" x14ac:dyDescent="0.2">
      <c r="A1746" s="7" t="s">
        <v>92</v>
      </c>
      <c r="C1746" s="7" t="str">
        <f t="shared" si="262"/>
        <v>Diane</v>
      </c>
      <c r="D1746" s="7" t="str">
        <f>+D1745</f>
        <v>Tibbott</v>
      </c>
      <c r="E1746" s="8" t="str">
        <f>E1745</f>
        <v>SUPP</v>
      </c>
      <c r="G1746" s="8" t="str">
        <f>G1745</f>
        <v>TIBB0001</v>
      </c>
      <c r="H1746" s="26"/>
      <c r="I1746" s="26"/>
      <c r="J1746" s="26"/>
      <c r="K1746" s="28">
        <f>+K1745</f>
        <v>42156</v>
      </c>
      <c r="L1746" s="26" t="str">
        <f>L1745</f>
        <v>10501</v>
      </c>
      <c r="M1746" s="26"/>
      <c r="N1746" s="26"/>
      <c r="O1746" s="26" t="str">
        <f>"""GP Direct"",""Fabrikam, Inc."",""UPR30300"",""PAYRATE"",""0.00000"",""PAYROLCD"",""IL"",""STATECD"","""",""CHEKDATE"",""6/1/2015"",""UPRTRXAM"",""25.22000"""</f>
        <v>"GP Direct","Fabrikam, Inc.","UPR30300","PAYRATE","0.00000","PAYROLCD","IL","STATECD","","CHEKDATE","6/1/2015","UPRTRXAM","25.22000"</v>
      </c>
      <c r="P1746" s="29">
        <v>0</v>
      </c>
      <c r="Q1746" s="26" t="str">
        <f>"IL"</f>
        <v>IL</v>
      </c>
      <c r="R1746" s="26"/>
      <c r="S1746" s="28">
        <v>42156</v>
      </c>
      <c r="T1746" s="29">
        <v>25.22</v>
      </c>
    </row>
    <row r="1747" spans="1:20" s="7" customFormat="1" hidden="1" outlineLevel="3" x14ac:dyDescent="0.2">
      <c r="A1747" s="7" t="s">
        <v>92</v>
      </c>
      <c r="C1747" s="7" t="str">
        <f t="shared" si="262"/>
        <v>Diane</v>
      </c>
      <c r="D1747" s="7" t="str">
        <f>+D1746</f>
        <v>Tibbott</v>
      </c>
      <c r="E1747" s="8" t="str">
        <f>E1746</f>
        <v>SUPP</v>
      </c>
      <c r="G1747" s="8" t="str">
        <f>G1746</f>
        <v>TIBB0001</v>
      </c>
      <c r="H1747" s="26"/>
      <c r="I1747" s="26"/>
      <c r="J1747" s="26"/>
      <c r="K1747" s="28">
        <f>+K1746</f>
        <v>42156</v>
      </c>
      <c r="L1747" s="26" t="str">
        <f>L1746</f>
        <v>10501</v>
      </c>
      <c r="M1747" s="26"/>
      <c r="N1747" s="26"/>
      <c r="O1747" s="26" t="str">
        <f>"""GP Direct"",""Fabrikam, Inc."",""UPR30300"",""PAYRATE"",""0.00000"",""PAYROLCD"",""INS"",""STATECD"","""",""CHEKDATE"",""6/1/2015"",""UPRTRXAM"",""49.36000"""</f>
        <v>"GP Direct","Fabrikam, Inc.","UPR30300","PAYRATE","0.00000","PAYROLCD","INS","STATECD","","CHEKDATE","6/1/2015","UPRTRXAM","49.36000"</v>
      </c>
      <c r="P1747" s="29">
        <v>0</v>
      </c>
      <c r="Q1747" s="26" t="str">
        <f>"INS"</f>
        <v>INS</v>
      </c>
      <c r="R1747" s="26"/>
      <c r="S1747" s="28">
        <v>42156</v>
      </c>
      <c r="T1747" s="29">
        <v>49.36</v>
      </c>
    </row>
    <row r="1748" spans="1:20" s="7" customFormat="1" hidden="1" outlineLevel="3" x14ac:dyDescent="0.2">
      <c r="A1748" s="7" t="s">
        <v>92</v>
      </c>
      <c r="C1748" s="7" t="str">
        <f t="shared" si="262"/>
        <v>Diane</v>
      </c>
      <c r="D1748" s="7" t="str">
        <f>+D1747</f>
        <v>Tibbott</v>
      </c>
      <c r="E1748" s="8" t="str">
        <f>E1747</f>
        <v>SUPP</v>
      </c>
      <c r="G1748" s="8" t="str">
        <f>G1747</f>
        <v>TIBB0001</v>
      </c>
      <c r="H1748" s="26"/>
      <c r="I1748" s="26"/>
      <c r="J1748" s="26"/>
      <c r="K1748" s="28">
        <f>+K1747</f>
        <v>42156</v>
      </c>
      <c r="L1748" s="26" t="str">
        <f>L1747</f>
        <v>10501</v>
      </c>
      <c r="M1748" s="26"/>
      <c r="N1748" s="26"/>
      <c r="O1748" s="26" t="str">
        <f>"""GP Direct"",""Fabrikam, Inc."",""UPR30300"",""PAYRATE"",""0.00000"",""PAYROLCD"",""INS2"",""STATECD"","""",""CHEKDATE"",""6/1/2015"",""UPRTRXAM"",""72.95000"""</f>
        <v>"GP Direct","Fabrikam, Inc.","UPR30300","PAYRATE","0.00000","PAYROLCD","INS2","STATECD","","CHEKDATE","6/1/2015","UPRTRXAM","72.95000"</v>
      </c>
      <c r="P1748" s="29">
        <v>0</v>
      </c>
      <c r="Q1748" s="26" t="str">
        <f>"INS2"</f>
        <v>INS2</v>
      </c>
      <c r="R1748" s="26"/>
      <c r="S1748" s="28">
        <v>42156</v>
      </c>
      <c r="T1748" s="29">
        <v>72.95</v>
      </c>
    </row>
    <row r="1749" spans="1:20" s="7" customFormat="1" hidden="1" outlineLevel="3" x14ac:dyDescent="0.2">
      <c r="A1749" s="7" t="s">
        <v>92</v>
      </c>
      <c r="C1749" s="7" t="str">
        <f t="shared" si="262"/>
        <v>Diane</v>
      </c>
      <c r="D1749" s="7" t="str">
        <f>+D1748</f>
        <v>Tibbott</v>
      </c>
      <c r="E1749" s="8" t="str">
        <f>E1748</f>
        <v>SUPP</v>
      </c>
      <c r="G1749" s="8" t="str">
        <f>G1748</f>
        <v>TIBB0001</v>
      </c>
      <c r="H1749" s="26"/>
      <c r="I1749" s="26"/>
      <c r="J1749" s="26"/>
      <c r="K1749" s="28">
        <f>+K1748</f>
        <v>42156</v>
      </c>
      <c r="L1749" s="26" t="str">
        <f>L1748</f>
        <v>10501</v>
      </c>
      <c r="M1749" s="26"/>
      <c r="N1749" s="26"/>
      <c r="O1749" s="26" t="str">
        <f>"""GP Direct"",""Fabrikam, Inc."",""UPR30300"",""PAYRATE"",""0.00000"",""PAYROLCD"",""MED"",""STATECD"","""",""CHEKDATE"",""6/1/2015"",""UPRTRXAM"",""5.00000"""</f>
        <v>"GP Direct","Fabrikam, Inc.","UPR30300","PAYRATE","0.00000","PAYROLCD","MED","STATECD","","CHEKDATE","6/1/2015","UPRTRXAM","5.00000"</v>
      </c>
      <c r="P1749" s="29">
        <v>0</v>
      </c>
      <c r="Q1749" s="26" t="str">
        <f>"MED"</f>
        <v>MED</v>
      </c>
      <c r="R1749" s="26"/>
      <c r="S1749" s="28">
        <v>42156</v>
      </c>
      <c r="T1749" s="29">
        <v>5</v>
      </c>
    </row>
    <row r="1750" spans="1:20" s="7" customFormat="1" hidden="1" outlineLevel="3" x14ac:dyDescent="0.2">
      <c r="A1750" s="7" t="s">
        <v>92</v>
      </c>
      <c r="C1750" s="7" t="str">
        <f t="shared" si="262"/>
        <v>Diane</v>
      </c>
      <c r="D1750" s="7" t="str">
        <f>+D1749</f>
        <v>Tibbott</v>
      </c>
      <c r="E1750" s="8" t="str">
        <f>E1749</f>
        <v>SUPP</v>
      </c>
      <c r="G1750" s="8" t="str">
        <f>G1749</f>
        <v>TIBB0001</v>
      </c>
      <c r="H1750" s="26"/>
      <c r="I1750" s="26"/>
      <c r="J1750" s="26"/>
      <c r="K1750" s="28">
        <f>+K1749</f>
        <v>42156</v>
      </c>
      <c r="L1750" s="26" t="str">
        <f>L1749</f>
        <v>10501</v>
      </c>
      <c r="M1750" s="26"/>
      <c r="N1750" s="26"/>
      <c r="O1750" s="26" t="str">
        <f>"""GP Direct"",""Fabrikam, Inc."",""UPR30300"",""PAYRATE"",""23760.00000"",""PAYROLCD"",""SALY"",""STATECD"",""IL"",""CHEKDATE"",""6/1/2015"",""UPRTRXAM"",""990.00000"""</f>
        <v>"GP Direct","Fabrikam, Inc.","UPR30300","PAYRATE","23760.00000","PAYROLCD","SALY","STATECD","IL","CHEKDATE","6/1/2015","UPRTRXAM","990.00000"</v>
      </c>
      <c r="P1750" s="29">
        <v>23760</v>
      </c>
      <c r="Q1750" s="26" t="str">
        <f>"SALY"</f>
        <v>SALY</v>
      </c>
      <c r="R1750" s="26" t="str">
        <f>"IL"</f>
        <v>IL</v>
      </c>
      <c r="S1750" s="28">
        <v>42156</v>
      </c>
      <c r="T1750" s="29">
        <v>990</v>
      </c>
    </row>
    <row r="1751" spans="1:20" s="7" customFormat="1" hidden="1" outlineLevel="3" x14ac:dyDescent="0.2">
      <c r="A1751" s="7" t="s">
        <v>92</v>
      </c>
      <c r="C1751" s="7" t="str">
        <f>+C1744</f>
        <v>Diane</v>
      </c>
      <c r="D1751" s="7" t="str">
        <f>+D1744</f>
        <v>Tibbott</v>
      </c>
      <c r="E1751" s="8" t="str">
        <f>E1744</f>
        <v>SUPP</v>
      </c>
      <c r="G1751" s="8" t="str">
        <f>G1744</f>
        <v>TIBB0001</v>
      </c>
      <c r="K1751" s="12">
        <f>+K1744</f>
        <v>42156</v>
      </c>
      <c r="L1751" s="8" t="str">
        <f>L1744</f>
        <v>10501</v>
      </c>
      <c r="O1751" s="8"/>
      <c r="T1751" s="20"/>
    </row>
    <row r="1752" spans="1:20" s="7" customFormat="1" hidden="1" outlineLevel="2" collapsed="1" x14ac:dyDescent="0.2">
      <c r="A1752" s="7" t="s">
        <v>92</v>
      </c>
      <c r="C1752" s="7" t="str">
        <f t="shared" si="257"/>
        <v>Diane</v>
      </c>
      <c r="D1752" s="7" t="str">
        <f>+D1751</f>
        <v>Tibbott</v>
      </c>
      <c r="E1752" s="8" t="str">
        <f>E1751</f>
        <v>SUPP</v>
      </c>
      <c r="G1752" s="8" t="str">
        <f>G1751</f>
        <v>TIBB0001</v>
      </c>
      <c r="K1752" s="12">
        <f>+K1751</f>
        <v>42156</v>
      </c>
      <c r="L1752" s="8" t="str">
        <f>L1751</f>
        <v>10501</v>
      </c>
      <c r="M1752" s="33" t="str">
        <f>"Total for " &amp; $L1752</f>
        <v>Total for 10501</v>
      </c>
      <c r="N1752" s="34">
        <f>+K1752</f>
        <v>42156</v>
      </c>
      <c r="O1752" s="35"/>
      <c r="P1752" s="33"/>
      <c r="Q1752" s="33"/>
      <c r="R1752" s="33"/>
      <c r="S1752" s="33"/>
      <c r="T1752" s="36">
        <f>SUBTOTAL(9,T1744:T1751)</f>
        <v>1173.72</v>
      </c>
    </row>
    <row r="1753" spans="1:20" s="7" customFormat="1" hidden="1" outlineLevel="2" x14ac:dyDescent="0.2">
      <c r="A1753" s="7" t="s">
        <v>92</v>
      </c>
      <c r="C1753" s="7" t="str">
        <f>+C1702</f>
        <v>Diane</v>
      </c>
      <c r="D1753" s="7" t="str">
        <f>+D1702</f>
        <v>Tibbott</v>
      </c>
      <c r="E1753" s="8" t="str">
        <f>E1702</f>
        <v>SUPP</v>
      </c>
      <c r="G1753" s="8" t="str">
        <f>G1702</f>
        <v>TIBB0001</v>
      </c>
      <c r="L1753" s="8"/>
      <c r="O1753" s="8"/>
      <c r="T1753" s="20"/>
    </row>
    <row r="1754" spans="1:20" s="7" customFormat="1" hidden="1" outlineLevel="1" collapsed="1" x14ac:dyDescent="0.2">
      <c r="A1754" s="7" t="s">
        <v>92</v>
      </c>
      <c r="C1754" s="7" t="str">
        <f t="shared" si="255"/>
        <v>Diane</v>
      </c>
      <c r="D1754" s="7" t="str">
        <f>+D1753</f>
        <v>Tibbott</v>
      </c>
      <c r="E1754" s="8" t="str">
        <f>E1753</f>
        <v>SUPP</v>
      </c>
      <c r="G1754" s="8" t="str">
        <f>G1753</f>
        <v>TIBB0001</v>
      </c>
      <c r="H1754" s="30" t="str">
        <f>"Total for " &amp; $G1754</f>
        <v>Total for TIBB0001</v>
      </c>
      <c r="I1754" s="30" t="str">
        <f>+C1754</f>
        <v>Diane</v>
      </c>
      <c r="J1754" s="30" t="str">
        <f>+D1754</f>
        <v>Tibbott</v>
      </c>
      <c r="K1754" s="30"/>
      <c r="L1754" s="31"/>
      <c r="M1754" s="30"/>
      <c r="N1754" s="30"/>
      <c r="O1754" s="31"/>
      <c r="P1754" s="30"/>
      <c r="Q1754" s="30"/>
      <c r="R1754" s="30"/>
      <c r="S1754" s="30"/>
      <c r="T1754" s="32">
        <f>SUBTOTAL(9,T1693:T1753)</f>
        <v>6848.4699999999975</v>
      </c>
    </row>
    <row r="1755" spans="1:20" s="7" customFormat="1" hidden="1" outlineLevel="2" x14ac:dyDescent="0.2">
      <c r="A1755" s="7" t="s">
        <v>92</v>
      </c>
      <c r="C1755" s="7" t="str">
        <f t="shared" ref="C1755" si="263">+I1755</f>
        <v>Rob</v>
      </c>
      <c r="D1755" s="7" t="str">
        <f>+J1755</f>
        <v>Young</v>
      </c>
      <c r="E1755" s="8" t="str">
        <f>E1754</f>
        <v>SUPP</v>
      </c>
      <c r="G1755" s="8" t="str">
        <f>H1755</f>
        <v>YOUN0001</v>
      </c>
      <c r="H1755" s="24" t="str">
        <f>"YOUN0001"</f>
        <v>YOUN0001</v>
      </c>
      <c r="I1755" s="25" t="str">
        <f>"Rob"</f>
        <v>Rob</v>
      </c>
      <c r="J1755" s="25" t="str">
        <f>"Young"</f>
        <v>Young</v>
      </c>
      <c r="K1755" s="26"/>
      <c r="L1755" s="26"/>
      <c r="M1755" s="26"/>
      <c r="N1755" s="26"/>
      <c r="O1755" s="26"/>
      <c r="P1755" s="26"/>
      <c r="Q1755" s="26"/>
      <c r="R1755" s="26"/>
      <c r="S1755" s="26"/>
      <c r="T1755" s="27"/>
    </row>
    <row r="1756" spans="1:20" s="7" customFormat="1" hidden="1" outlineLevel="3" x14ac:dyDescent="0.2">
      <c r="A1756" s="7" t="s">
        <v>92</v>
      </c>
      <c r="C1756" s="7" t="str">
        <f t="shared" ref="C1756:C1818" si="264">+C1755</f>
        <v>Rob</v>
      </c>
      <c r="D1756" s="7" t="str">
        <f>+D1755</f>
        <v>Young</v>
      </c>
      <c r="E1756" s="8" t="str">
        <f>E1755</f>
        <v>SUPP</v>
      </c>
      <c r="G1756" s="8" t="str">
        <f>G1755</f>
        <v>YOUN0001</v>
      </c>
      <c r="H1756" s="26"/>
      <c r="I1756" s="26"/>
      <c r="J1756" s="26"/>
      <c r="K1756" s="28">
        <f>+N1756</f>
        <v>42005</v>
      </c>
      <c r="L1756" s="26" t="str">
        <f>M1756</f>
        <v>10378</v>
      </c>
      <c r="M1756" s="26" t="str">
        <f>"10378"</f>
        <v>10378</v>
      </c>
      <c r="N1756" s="28">
        <v>42005</v>
      </c>
      <c r="O1756" s="26"/>
      <c r="P1756" s="26"/>
      <c r="Q1756" s="26"/>
      <c r="R1756" s="26"/>
      <c r="S1756" s="26"/>
      <c r="T1756" s="27"/>
    </row>
    <row r="1757" spans="1:20" s="7" customFormat="1" hidden="1" outlineLevel="3" x14ac:dyDescent="0.2">
      <c r="A1757" s="7" t="s">
        <v>92</v>
      </c>
      <c r="C1757" s="7" t="str">
        <f t="shared" si="264"/>
        <v>Rob</v>
      </c>
      <c r="D1757" s="7" t="str">
        <f>+D1756</f>
        <v>Young</v>
      </c>
      <c r="E1757" s="8" t="str">
        <f>E1756</f>
        <v>SUPP</v>
      </c>
      <c r="G1757" s="8" t="str">
        <f>G1756</f>
        <v>YOUN0001</v>
      </c>
      <c r="H1757" s="26"/>
      <c r="I1757" s="26"/>
      <c r="J1757" s="26"/>
      <c r="K1757" s="28">
        <f>+K1756</f>
        <v>42005</v>
      </c>
      <c r="L1757" s="26" t="str">
        <f>L1756</f>
        <v>10378</v>
      </c>
      <c r="M1757" s="26"/>
      <c r="N1757" s="26"/>
      <c r="O1757" s="26" t="str">
        <f>"""GP Direct"",""Fabrikam, Inc."",""UPR30300"",""PAYRATE"",""0.00000"",""PAYROLCD"",""401K"",""STATECD"","""",""CHEKDATE"",""1/1/2015"",""UPRTRXAM"",""1.21000"""</f>
        <v>"GP Direct","Fabrikam, Inc.","UPR30300","PAYRATE","0.00000","PAYROLCD","401K","STATECD","","CHEKDATE","1/1/2015","UPRTRXAM","1.21000"</v>
      </c>
      <c r="P1757" s="29">
        <v>0</v>
      </c>
      <c r="Q1757" s="26" t="str">
        <f>"401K"</f>
        <v>401K</v>
      </c>
      <c r="R1757" s="26"/>
      <c r="S1757" s="28">
        <v>42005</v>
      </c>
      <c r="T1757" s="29">
        <v>1.21</v>
      </c>
    </row>
    <row r="1758" spans="1:20" s="7" customFormat="1" hidden="1" outlineLevel="3" x14ac:dyDescent="0.2">
      <c r="A1758" s="7" t="s">
        <v>92</v>
      </c>
      <c r="C1758" s="7" t="str">
        <f t="shared" ref="C1758:C1764" si="265">+C1757</f>
        <v>Rob</v>
      </c>
      <c r="D1758" s="7" t="str">
        <f>+D1757</f>
        <v>Young</v>
      </c>
      <c r="E1758" s="8" t="str">
        <f>E1757</f>
        <v>SUPP</v>
      </c>
      <c r="G1758" s="8" t="str">
        <f>G1757</f>
        <v>YOUN0001</v>
      </c>
      <c r="H1758" s="26"/>
      <c r="I1758" s="26"/>
      <c r="J1758" s="26"/>
      <c r="K1758" s="28">
        <f>+K1757</f>
        <v>42005</v>
      </c>
      <c r="L1758" s="26" t="str">
        <f>L1757</f>
        <v>10378</v>
      </c>
      <c r="M1758" s="26"/>
      <c r="N1758" s="26"/>
      <c r="O1758" s="26" t="str">
        <f>"""GP Direct"",""Fabrikam, Inc."",""UPR30300"",""PAYRATE"",""0.00000"",""PAYROLCD"",""401K"",""STATECD"","""",""CHEKDATE"",""1/1/2015"",""UPRTRXAM"",""24.17000"""</f>
        <v>"GP Direct","Fabrikam, Inc.","UPR30300","PAYRATE","0.00000","PAYROLCD","401K","STATECD","","CHEKDATE","1/1/2015","UPRTRXAM","24.17000"</v>
      </c>
      <c r="P1758" s="29">
        <v>0</v>
      </c>
      <c r="Q1758" s="26" t="str">
        <f>"401K"</f>
        <v>401K</v>
      </c>
      <c r="R1758" s="26"/>
      <c r="S1758" s="28">
        <v>42005</v>
      </c>
      <c r="T1758" s="29">
        <v>24.17</v>
      </c>
    </row>
    <row r="1759" spans="1:20" s="7" customFormat="1" hidden="1" outlineLevel="3" x14ac:dyDescent="0.2">
      <c r="A1759" s="7" t="s">
        <v>92</v>
      </c>
      <c r="C1759" s="7" t="str">
        <f t="shared" si="265"/>
        <v>Rob</v>
      </c>
      <c r="D1759" s="7" t="str">
        <f>+D1758</f>
        <v>Young</v>
      </c>
      <c r="E1759" s="8" t="str">
        <f>E1758</f>
        <v>SUPP</v>
      </c>
      <c r="G1759" s="8" t="str">
        <f>G1758</f>
        <v>YOUN0001</v>
      </c>
      <c r="H1759" s="26"/>
      <c r="I1759" s="26"/>
      <c r="J1759" s="26"/>
      <c r="K1759" s="28">
        <f>+K1758</f>
        <v>42005</v>
      </c>
      <c r="L1759" s="26" t="str">
        <f>L1758</f>
        <v>10378</v>
      </c>
      <c r="M1759" s="26"/>
      <c r="N1759" s="26"/>
      <c r="O1759" s="26" t="str">
        <f>"""GP Direct"",""Fabrikam, Inc."",""UPR30300"",""PAYRATE"",""0.00000"",""PAYROLCD"",""HOLI"",""STATECD"",""IL"",""CHEKDATE"",""1/1/2015"",""UPRTRXAM"",""0.00000"""</f>
        <v>"GP Direct","Fabrikam, Inc.","UPR30300","PAYRATE","0.00000","PAYROLCD","HOLI","STATECD","IL","CHEKDATE","1/1/2015","UPRTRXAM","0.00000"</v>
      </c>
      <c r="P1759" s="29">
        <v>0</v>
      </c>
      <c r="Q1759" s="26" t="str">
        <f>"HOLI"</f>
        <v>HOLI</v>
      </c>
      <c r="R1759" s="26" t="str">
        <f>"IL"</f>
        <v>IL</v>
      </c>
      <c r="S1759" s="28">
        <v>42005</v>
      </c>
      <c r="T1759" s="29">
        <v>0</v>
      </c>
    </row>
    <row r="1760" spans="1:20" s="7" customFormat="1" hidden="1" outlineLevel="3" x14ac:dyDescent="0.2">
      <c r="A1760" s="7" t="s">
        <v>92</v>
      </c>
      <c r="C1760" s="7" t="str">
        <f t="shared" si="265"/>
        <v>Rob</v>
      </c>
      <c r="D1760" s="7" t="str">
        <f>+D1759</f>
        <v>Young</v>
      </c>
      <c r="E1760" s="8" t="str">
        <f>E1759</f>
        <v>SUPP</v>
      </c>
      <c r="G1760" s="8" t="str">
        <f>G1759</f>
        <v>YOUN0001</v>
      </c>
      <c r="H1760" s="26"/>
      <c r="I1760" s="26"/>
      <c r="J1760" s="26"/>
      <c r="K1760" s="28">
        <f>+K1759</f>
        <v>42005</v>
      </c>
      <c r="L1760" s="26" t="str">
        <f>L1759</f>
        <v>10378</v>
      </c>
      <c r="M1760" s="26"/>
      <c r="N1760" s="26"/>
      <c r="O1760" s="26" t="str">
        <f>"""GP Direct"",""Fabrikam, Inc."",""UPR30300"",""PAYRATE"",""0.00000"",""PAYROLCD"",""IL"",""STATECD"","""",""CHEKDATE"",""1/1/2015"",""UPRTRXAM"",""13.15000"""</f>
        <v>"GP Direct","Fabrikam, Inc.","UPR30300","PAYRATE","0.00000","PAYROLCD","IL","STATECD","","CHEKDATE","1/1/2015","UPRTRXAM","13.15000"</v>
      </c>
      <c r="P1760" s="29">
        <v>0</v>
      </c>
      <c r="Q1760" s="26" t="str">
        <f>"IL"</f>
        <v>IL</v>
      </c>
      <c r="R1760" s="26"/>
      <c r="S1760" s="28">
        <v>42005</v>
      </c>
      <c r="T1760" s="29">
        <v>13.15</v>
      </c>
    </row>
    <row r="1761" spans="1:20" s="7" customFormat="1" hidden="1" outlineLevel="3" x14ac:dyDescent="0.2">
      <c r="A1761" s="7" t="s">
        <v>92</v>
      </c>
      <c r="C1761" s="7" t="str">
        <f t="shared" si="265"/>
        <v>Rob</v>
      </c>
      <c r="D1761" s="7" t="str">
        <f>+D1760</f>
        <v>Young</v>
      </c>
      <c r="E1761" s="8" t="str">
        <f>E1760</f>
        <v>SUPP</v>
      </c>
      <c r="G1761" s="8" t="str">
        <f>G1760</f>
        <v>YOUN0001</v>
      </c>
      <c r="H1761" s="26"/>
      <c r="I1761" s="26"/>
      <c r="J1761" s="26"/>
      <c r="K1761" s="28">
        <f>+K1760</f>
        <v>42005</v>
      </c>
      <c r="L1761" s="26" t="str">
        <f>L1760</f>
        <v>10378</v>
      </c>
      <c r="M1761" s="26"/>
      <c r="N1761" s="26"/>
      <c r="O1761" s="26" t="str">
        <f>"""GP Direct"",""Fabrikam, Inc."",""UPR30300"",""PAYRATE"",""0.00000"",""PAYROLCD"",""INS"",""STATECD"","""",""CHEKDATE"",""1/1/2015"",""UPRTRXAM"",""49.36000"""</f>
        <v>"GP Direct","Fabrikam, Inc.","UPR30300","PAYRATE","0.00000","PAYROLCD","INS","STATECD","","CHEKDATE","1/1/2015","UPRTRXAM","49.36000"</v>
      </c>
      <c r="P1761" s="29">
        <v>0</v>
      </c>
      <c r="Q1761" s="26" t="str">
        <f>"INS"</f>
        <v>INS</v>
      </c>
      <c r="R1761" s="26"/>
      <c r="S1761" s="28">
        <v>42005</v>
      </c>
      <c r="T1761" s="29">
        <v>49.36</v>
      </c>
    </row>
    <row r="1762" spans="1:20" s="7" customFormat="1" hidden="1" outlineLevel="3" x14ac:dyDescent="0.2">
      <c r="A1762" s="7" t="s">
        <v>92</v>
      </c>
      <c r="C1762" s="7" t="str">
        <f t="shared" si="265"/>
        <v>Rob</v>
      </c>
      <c r="D1762" s="7" t="str">
        <f>+D1761</f>
        <v>Young</v>
      </c>
      <c r="E1762" s="8" t="str">
        <f>E1761</f>
        <v>SUPP</v>
      </c>
      <c r="G1762" s="8" t="str">
        <f>G1761</f>
        <v>YOUN0001</v>
      </c>
      <c r="H1762" s="26"/>
      <c r="I1762" s="26"/>
      <c r="J1762" s="26"/>
      <c r="K1762" s="28">
        <f>+K1761</f>
        <v>42005</v>
      </c>
      <c r="L1762" s="26" t="str">
        <f>L1761</f>
        <v>10378</v>
      </c>
      <c r="M1762" s="26"/>
      <c r="N1762" s="26"/>
      <c r="O1762" s="26" t="str">
        <f>"""GP Direct"",""Fabrikam, Inc."",""UPR30300"",""PAYRATE"",""0.00000"",""PAYROLCD"",""INS2"",""STATECD"","""",""CHEKDATE"",""1/1/2015"",""UPRTRXAM"",""72.95000"""</f>
        <v>"GP Direct","Fabrikam, Inc.","UPR30300","PAYRATE","0.00000","PAYROLCD","INS2","STATECD","","CHEKDATE","1/1/2015","UPRTRXAM","72.95000"</v>
      </c>
      <c r="P1762" s="29">
        <v>0</v>
      </c>
      <c r="Q1762" s="26" t="str">
        <f>"INS2"</f>
        <v>INS2</v>
      </c>
      <c r="R1762" s="26"/>
      <c r="S1762" s="28">
        <v>42005</v>
      </c>
      <c r="T1762" s="29">
        <v>72.95</v>
      </c>
    </row>
    <row r="1763" spans="1:20" s="7" customFormat="1" hidden="1" outlineLevel="3" x14ac:dyDescent="0.2">
      <c r="A1763" s="7" t="s">
        <v>92</v>
      </c>
      <c r="C1763" s="7" t="str">
        <f t="shared" si="265"/>
        <v>Rob</v>
      </c>
      <c r="D1763" s="7" t="str">
        <f>+D1762</f>
        <v>Young</v>
      </c>
      <c r="E1763" s="8" t="str">
        <f>E1762</f>
        <v>SUPP</v>
      </c>
      <c r="G1763" s="8" t="str">
        <f>G1762</f>
        <v>YOUN0001</v>
      </c>
      <c r="H1763" s="26"/>
      <c r="I1763" s="26"/>
      <c r="J1763" s="26"/>
      <c r="K1763" s="28">
        <f>+K1762</f>
        <v>42005</v>
      </c>
      <c r="L1763" s="26" t="str">
        <f>L1762</f>
        <v>10378</v>
      </c>
      <c r="M1763" s="26"/>
      <c r="N1763" s="26"/>
      <c r="O1763" s="26" t="str">
        <f>"""GP Direct"",""Fabrikam, Inc."",""UPR30300"",""PAYRATE"",""0.00000"",""PAYROLCD"",""MED"",""STATECD"","""",""CHEKDATE"",""1/1/2015"",""UPRTRXAM"",""20.00000"""</f>
        <v>"GP Direct","Fabrikam, Inc.","UPR30300","PAYRATE","0.00000","PAYROLCD","MED","STATECD","","CHEKDATE","1/1/2015","UPRTRXAM","20.00000"</v>
      </c>
      <c r="P1763" s="29">
        <v>0</v>
      </c>
      <c r="Q1763" s="26" t="str">
        <f>"MED"</f>
        <v>MED</v>
      </c>
      <c r="R1763" s="26"/>
      <c r="S1763" s="28">
        <v>42005</v>
      </c>
      <c r="T1763" s="29">
        <v>20</v>
      </c>
    </row>
    <row r="1764" spans="1:20" s="7" customFormat="1" hidden="1" outlineLevel="3" x14ac:dyDescent="0.2">
      <c r="A1764" s="7" t="s">
        <v>92</v>
      </c>
      <c r="C1764" s="7" t="str">
        <f t="shared" si="265"/>
        <v>Rob</v>
      </c>
      <c r="D1764" s="7" t="str">
        <f>+D1763</f>
        <v>Young</v>
      </c>
      <c r="E1764" s="8" t="str">
        <f>E1763</f>
        <v>SUPP</v>
      </c>
      <c r="G1764" s="8" t="str">
        <f>G1763</f>
        <v>YOUN0001</v>
      </c>
      <c r="H1764" s="26"/>
      <c r="I1764" s="26"/>
      <c r="J1764" s="26"/>
      <c r="K1764" s="28">
        <f>+K1763</f>
        <v>42005</v>
      </c>
      <c r="L1764" s="26" t="str">
        <f>L1763</f>
        <v>10378</v>
      </c>
      <c r="M1764" s="26"/>
      <c r="N1764" s="26"/>
      <c r="O1764" s="26" t="str">
        <f>"""GP Direct"",""Fabrikam, Inc."",""UPR30300"",""PAYRATE"",""10.24038"",""PAYROLCD"",""SALY"",""STATECD"",""IL"",""CHEKDATE"",""1/1/2015"",""UPRTRXAM"",""805.58000"""</f>
        <v>"GP Direct","Fabrikam, Inc.","UPR30300","PAYRATE","10.24038","PAYROLCD","SALY","STATECD","IL","CHEKDATE","1/1/2015","UPRTRXAM","805.58000"</v>
      </c>
      <c r="P1764" s="29">
        <v>10.240399999999999</v>
      </c>
      <c r="Q1764" s="26" t="str">
        <f>"SALY"</f>
        <v>SALY</v>
      </c>
      <c r="R1764" s="26" t="str">
        <f>"IL"</f>
        <v>IL</v>
      </c>
      <c r="S1764" s="28">
        <v>42005</v>
      </c>
      <c r="T1764" s="29">
        <v>805.58</v>
      </c>
    </row>
    <row r="1765" spans="1:20" s="7" customFormat="1" hidden="1" outlineLevel="3" x14ac:dyDescent="0.2">
      <c r="A1765" s="7" t="s">
        <v>92</v>
      </c>
      <c r="C1765" s="7" t="str">
        <f>+C1757</f>
        <v>Rob</v>
      </c>
      <c r="D1765" s="7" t="str">
        <f>+D1757</f>
        <v>Young</v>
      </c>
      <c r="E1765" s="8" t="str">
        <f>E1757</f>
        <v>SUPP</v>
      </c>
      <c r="G1765" s="8" t="str">
        <f>G1757</f>
        <v>YOUN0001</v>
      </c>
      <c r="K1765" s="12">
        <f>+K1757</f>
        <v>42005</v>
      </c>
      <c r="L1765" s="8" t="str">
        <f>L1757</f>
        <v>10378</v>
      </c>
      <c r="O1765" s="8"/>
      <c r="T1765" s="20"/>
    </row>
    <row r="1766" spans="1:20" s="7" customFormat="1" hidden="1" outlineLevel="2" collapsed="1" x14ac:dyDescent="0.2">
      <c r="A1766" s="7" t="s">
        <v>92</v>
      </c>
      <c r="C1766" s="7" t="str">
        <f t="shared" si="264"/>
        <v>Rob</v>
      </c>
      <c r="D1766" s="7" t="str">
        <f>+D1765</f>
        <v>Young</v>
      </c>
      <c r="E1766" s="8" t="str">
        <f>E1765</f>
        <v>SUPP</v>
      </c>
      <c r="G1766" s="8" t="str">
        <f>G1765</f>
        <v>YOUN0001</v>
      </c>
      <c r="K1766" s="12">
        <f>+K1765</f>
        <v>42005</v>
      </c>
      <c r="L1766" s="8" t="str">
        <f>L1765</f>
        <v>10378</v>
      </c>
      <c r="M1766" s="33" t="str">
        <f>"Total for " &amp; $L1766</f>
        <v>Total for 10378</v>
      </c>
      <c r="N1766" s="34">
        <f>+K1766</f>
        <v>42005</v>
      </c>
      <c r="O1766" s="35"/>
      <c r="P1766" s="33"/>
      <c r="Q1766" s="33"/>
      <c r="R1766" s="33"/>
      <c r="S1766" s="33"/>
      <c r="T1766" s="36">
        <f>SUBTOTAL(9,T1757:T1765)</f>
        <v>986.42000000000007</v>
      </c>
    </row>
    <row r="1767" spans="1:20" s="7" customFormat="1" hidden="1" outlineLevel="3" x14ac:dyDescent="0.2">
      <c r="A1767" s="7" t="s">
        <v>92</v>
      </c>
      <c r="C1767" s="7" t="str">
        <f t="shared" ref="C1767:C1816" si="266">+C1766</f>
        <v>Rob</v>
      </c>
      <c r="D1767" s="7" t="str">
        <f>+D1766</f>
        <v>Young</v>
      </c>
      <c r="E1767" s="8" t="str">
        <f>E1766</f>
        <v>SUPP</v>
      </c>
      <c r="G1767" s="8" t="str">
        <f>G1766</f>
        <v>YOUN0001</v>
      </c>
      <c r="H1767" s="26"/>
      <c r="I1767" s="26"/>
      <c r="J1767" s="26"/>
      <c r="K1767" s="28">
        <f>+N1767</f>
        <v>42036</v>
      </c>
      <c r="L1767" s="26" t="str">
        <f>M1767</f>
        <v>10403</v>
      </c>
      <c r="M1767" s="26" t="str">
        <f>"10403"</f>
        <v>10403</v>
      </c>
      <c r="N1767" s="28">
        <v>42036</v>
      </c>
      <c r="O1767" s="26"/>
      <c r="P1767" s="26"/>
      <c r="Q1767" s="26"/>
      <c r="R1767" s="26"/>
      <c r="S1767" s="26"/>
      <c r="T1767" s="27"/>
    </row>
    <row r="1768" spans="1:20" s="7" customFormat="1" hidden="1" outlineLevel="3" x14ac:dyDescent="0.2">
      <c r="A1768" s="7" t="s">
        <v>92</v>
      </c>
      <c r="C1768" s="7" t="str">
        <f t="shared" si="266"/>
        <v>Rob</v>
      </c>
      <c r="D1768" s="7" t="str">
        <f>+D1767</f>
        <v>Young</v>
      </c>
      <c r="E1768" s="8" t="str">
        <f>E1767</f>
        <v>SUPP</v>
      </c>
      <c r="G1768" s="8" t="str">
        <f>G1767</f>
        <v>YOUN0001</v>
      </c>
      <c r="H1768" s="26"/>
      <c r="I1768" s="26"/>
      <c r="J1768" s="26"/>
      <c r="K1768" s="28">
        <f>+K1767</f>
        <v>42036</v>
      </c>
      <c r="L1768" s="26" t="str">
        <f>L1767</f>
        <v>10403</v>
      </c>
      <c r="M1768" s="26"/>
      <c r="N1768" s="26"/>
      <c r="O1768" s="26" t="str">
        <f>"""GP Direct"",""Fabrikam, Inc."",""UPR30300"",""PAYRATE"",""0.00000"",""PAYROLCD"",""401K"",""STATECD"","""",""CHEKDATE"",""2/1/2015"",""UPRTRXAM"",""1.33000"""</f>
        <v>"GP Direct","Fabrikam, Inc.","UPR30300","PAYRATE","0.00000","PAYROLCD","401K","STATECD","","CHEKDATE","2/1/2015","UPRTRXAM","1.33000"</v>
      </c>
      <c r="P1768" s="29">
        <v>0</v>
      </c>
      <c r="Q1768" s="26" t="str">
        <f>"401K"</f>
        <v>401K</v>
      </c>
      <c r="R1768" s="26"/>
      <c r="S1768" s="28">
        <v>42036</v>
      </c>
      <c r="T1768" s="29">
        <v>1.33</v>
      </c>
    </row>
    <row r="1769" spans="1:20" s="7" customFormat="1" hidden="1" outlineLevel="3" x14ac:dyDescent="0.2">
      <c r="A1769" s="7" t="s">
        <v>92</v>
      </c>
      <c r="C1769" s="7" t="str">
        <f t="shared" ref="C1769:C1774" si="267">+C1768</f>
        <v>Rob</v>
      </c>
      <c r="D1769" s="7" t="str">
        <f>+D1768</f>
        <v>Young</v>
      </c>
      <c r="E1769" s="8" t="str">
        <f>E1768</f>
        <v>SUPP</v>
      </c>
      <c r="G1769" s="8" t="str">
        <f>G1768</f>
        <v>YOUN0001</v>
      </c>
      <c r="H1769" s="26"/>
      <c r="I1769" s="26"/>
      <c r="J1769" s="26"/>
      <c r="K1769" s="28">
        <f>+K1768</f>
        <v>42036</v>
      </c>
      <c r="L1769" s="26" t="str">
        <f>L1768</f>
        <v>10403</v>
      </c>
      <c r="M1769" s="26"/>
      <c r="N1769" s="26"/>
      <c r="O1769" s="26" t="str">
        <f>"""GP Direct"",""Fabrikam, Inc."",""UPR30300"",""PAYRATE"",""0.00000"",""PAYROLCD"",""401K"",""STATECD"","""",""CHEKDATE"",""2/1/2015"",""UPRTRXAM"",""26.63000"""</f>
        <v>"GP Direct","Fabrikam, Inc.","UPR30300","PAYRATE","0.00000","PAYROLCD","401K","STATECD","","CHEKDATE","2/1/2015","UPRTRXAM","26.63000"</v>
      </c>
      <c r="P1769" s="29">
        <v>0</v>
      </c>
      <c r="Q1769" s="26" t="str">
        <f>"401K"</f>
        <v>401K</v>
      </c>
      <c r="R1769" s="26"/>
      <c r="S1769" s="28">
        <v>42036</v>
      </c>
      <c r="T1769" s="29">
        <v>26.63</v>
      </c>
    </row>
    <row r="1770" spans="1:20" s="7" customFormat="1" hidden="1" outlineLevel="3" x14ac:dyDescent="0.2">
      <c r="A1770" s="7" t="s">
        <v>92</v>
      </c>
      <c r="C1770" s="7" t="str">
        <f t="shared" si="267"/>
        <v>Rob</v>
      </c>
      <c r="D1770" s="7" t="str">
        <f>+D1769</f>
        <v>Young</v>
      </c>
      <c r="E1770" s="8" t="str">
        <f>E1769</f>
        <v>SUPP</v>
      </c>
      <c r="G1770" s="8" t="str">
        <f>G1769</f>
        <v>YOUN0001</v>
      </c>
      <c r="H1770" s="26"/>
      <c r="I1770" s="26"/>
      <c r="J1770" s="26"/>
      <c r="K1770" s="28">
        <f>+K1769</f>
        <v>42036</v>
      </c>
      <c r="L1770" s="26" t="str">
        <f>L1769</f>
        <v>10403</v>
      </c>
      <c r="M1770" s="26"/>
      <c r="N1770" s="26"/>
      <c r="O1770" s="26" t="str">
        <f>"""GP Direct"",""Fabrikam, Inc."",""UPR30300"",""PAYRATE"",""0.00000"",""PAYROLCD"",""IL"",""STATECD"","""",""CHEKDATE"",""2/1/2015"",""UPRTRXAM"",""15.54000"""</f>
        <v>"GP Direct","Fabrikam, Inc.","UPR30300","PAYRATE","0.00000","PAYROLCD","IL","STATECD","","CHEKDATE","2/1/2015","UPRTRXAM","15.54000"</v>
      </c>
      <c r="P1770" s="29">
        <v>0</v>
      </c>
      <c r="Q1770" s="26" t="str">
        <f>"IL"</f>
        <v>IL</v>
      </c>
      <c r="R1770" s="26"/>
      <c r="S1770" s="28">
        <v>42036</v>
      </c>
      <c r="T1770" s="29">
        <v>15.54</v>
      </c>
    </row>
    <row r="1771" spans="1:20" s="7" customFormat="1" hidden="1" outlineLevel="3" x14ac:dyDescent="0.2">
      <c r="A1771" s="7" t="s">
        <v>92</v>
      </c>
      <c r="C1771" s="7" t="str">
        <f t="shared" si="267"/>
        <v>Rob</v>
      </c>
      <c r="D1771" s="7" t="str">
        <f>+D1770</f>
        <v>Young</v>
      </c>
      <c r="E1771" s="8" t="str">
        <f>E1770</f>
        <v>SUPP</v>
      </c>
      <c r="G1771" s="8" t="str">
        <f>G1770</f>
        <v>YOUN0001</v>
      </c>
      <c r="H1771" s="26"/>
      <c r="I1771" s="26"/>
      <c r="J1771" s="26"/>
      <c r="K1771" s="28">
        <f>+K1770</f>
        <v>42036</v>
      </c>
      <c r="L1771" s="26" t="str">
        <f>L1770</f>
        <v>10403</v>
      </c>
      <c r="M1771" s="26"/>
      <c r="N1771" s="26"/>
      <c r="O1771" s="26" t="str">
        <f>"""GP Direct"",""Fabrikam, Inc."",""UPR30300"",""PAYRATE"",""0.00000"",""PAYROLCD"",""INS"",""STATECD"","""",""CHEKDATE"",""2/1/2015"",""UPRTRXAM"",""49.36000"""</f>
        <v>"GP Direct","Fabrikam, Inc.","UPR30300","PAYRATE","0.00000","PAYROLCD","INS","STATECD","","CHEKDATE","2/1/2015","UPRTRXAM","49.36000"</v>
      </c>
      <c r="P1771" s="29">
        <v>0</v>
      </c>
      <c r="Q1771" s="26" t="str">
        <f>"INS"</f>
        <v>INS</v>
      </c>
      <c r="R1771" s="26"/>
      <c r="S1771" s="28">
        <v>42036</v>
      </c>
      <c r="T1771" s="29">
        <v>49.36</v>
      </c>
    </row>
    <row r="1772" spans="1:20" s="7" customFormat="1" hidden="1" outlineLevel="3" x14ac:dyDescent="0.2">
      <c r="A1772" s="7" t="s">
        <v>92</v>
      </c>
      <c r="C1772" s="7" t="str">
        <f t="shared" si="267"/>
        <v>Rob</v>
      </c>
      <c r="D1772" s="7" t="str">
        <f>+D1771</f>
        <v>Young</v>
      </c>
      <c r="E1772" s="8" t="str">
        <f>E1771</f>
        <v>SUPP</v>
      </c>
      <c r="G1772" s="8" t="str">
        <f>G1771</f>
        <v>YOUN0001</v>
      </c>
      <c r="H1772" s="26"/>
      <c r="I1772" s="26"/>
      <c r="J1772" s="26"/>
      <c r="K1772" s="28">
        <f>+K1771</f>
        <v>42036</v>
      </c>
      <c r="L1772" s="26" t="str">
        <f>L1771</f>
        <v>10403</v>
      </c>
      <c r="M1772" s="26"/>
      <c r="N1772" s="26"/>
      <c r="O1772" s="26" t="str">
        <f>"""GP Direct"",""Fabrikam, Inc."",""UPR30300"",""PAYRATE"",""0.00000"",""PAYROLCD"",""INS2"",""STATECD"","""",""CHEKDATE"",""2/1/2015"",""UPRTRXAM"",""72.95000"""</f>
        <v>"GP Direct","Fabrikam, Inc.","UPR30300","PAYRATE","0.00000","PAYROLCD","INS2","STATECD","","CHEKDATE","2/1/2015","UPRTRXAM","72.95000"</v>
      </c>
      <c r="P1772" s="29">
        <v>0</v>
      </c>
      <c r="Q1772" s="26" t="str">
        <f>"INS2"</f>
        <v>INS2</v>
      </c>
      <c r="R1772" s="26"/>
      <c r="S1772" s="28">
        <v>42036</v>
      </c>
      <c r="T1772" s="29">
        <v>72.95</v>
      </c>
    </row>
    <row r="1773" spans="1:20" s="7" customFormat="1" hidden="1" outlineLevel="3" x14ac:dyDescent="0.2">
      <c r="A1773" s="7" t="s">
        <v>92</v>
      </c>
      <c r="C1773" s="7" t="str">
        <f t="shared" si="267"/>
        <v>Rob</v>
      </c>
      <c r="D1773" s="7" t="str">
        <f>+D1772</f>
        <v>Young</v>
      </c>
      <c r="E1773" s="8" t="str">
        <f>E1772</f>
        <v>SUPP</v>
      </c>
      <c r="G1773" s="8" t="str">
        <f>G1772</f>
        <v>YOUN0001</v>
      </c>
      <c r="H1773" s="26"/>
      <c r="I1773" s="26"/>
      <c r="J1773" s="26"/>
      <c r="K1773" s="28">
        <f>+K1772</f>
        <v>42036</v>
      </c>
      <c r="L1773" s="26" t="str">
        <f>L1772</f>
        <v>10403</v>
      </c>
      <c r="M1773" s="26"/>
      <c r="N1773" s="26"/>
      <c r="O1773" s="26" t="str">
        <f>"""GP Direct"",""Fabrikam, Inc."",""UPR30300"",""PAYRATE"",""0.00000"",""PAYROLCD"",""MED"",""STATECD"","""",""CHEKDATE"",""2/1/2015"",""UPRTRXAM"",""20.00000"""</f>
        <v>"GP Direct","Fabrikam, Inc.","UPR30300","PAYRATE","0.00000","PAYROLCD","MED","STATECD","","CHEKDATE","2/1/2015","UPRTRXAM","20.00000"</v>
      </c>
      <c r="P1773" s="29">
        <v>0</v>
      </c>
      <c r="Q1773" s="26" t="str">
        <f>"MED"</f>
        <v>MED</v>
      </c>
      <c r="R1773" s="26"/>
      <c r="S1773" s="28">
        <v>42036</v>
      </c>
      <c r="T1773" s="29">
        <v>20</v>
      </c>
    </row>
    <row r="1774" spans="1:20" s="7" customFormat="1" hidden="1" outlineLevel="3" x14ac:dyDescent="0.2">
      <c r="A1774" s="7" t="s">
        <v>92</v>
      </c>
      <c r="C1774" s="7" t="str">
        <f t="shared" si="267"/>
        <v>Rob</v>
      </c>
      <c r="D1774" s="7" t="str">
        <f>+D1773</f>
        <v>Young</v>
      </c>
      <c r="E1774" s="8" t="str">
        <f>E1773</f>
        <v>SUPP</v>
      </c>
      <c r="G1774" s="8" t="str">
        <f>G1773</f>
        <v>YOUN0001</v>
      </c>
      <c r="H1774" s="26"/>
      <c r="I1774" s="26"/>
      <c r="J1774" s="26"/>
      <c r="K1774" s="28">
        <f>+K1773</f>
        <v>42036</v>
      </c>
      <c r="L1774" s="26" t="str">
        <f>L1773</f>
        <v>10403</v>
      </c>
      <c r="M1774" s="26"/>
      <c r="N1774" s="26"/>
      <c r="O1774" s="26" t="str">
        <f>"""GP Direct"",""Fabrikam, Inc."",""UPR30300"",""PAYRATE"",""21300.00000"",""PAYROLCD"",""SALY"",""STATECD"",""IL"",""CHEKDATE"",""2/1/2015"",""UPRTRXAM"",""887.50000"""</f>
        <v>"GP Direct","Fabrikam, Inc.","UPR30300","PAYRATE","21300.00000","PAYROLCD","SALY","STATECD","IL","CHEKDATE","2/1/2015","UPRTRXAM","887.50000"</v>
      </c>
      <c r="P1774" s="29">
        <v>21300</v>
      </c>
      <c r="Q1774" s="26" t="str">
        <f>"SALY"</f>
        <v>SALY</v>
      </c>
      <c r="R1774" s="26" t="str">
        <f>"IL"</f>
        <v>IL</v>
      </c>
      <c r="S1774" s="28">
        <v>42036</v>
      </c>
      <c r="T1774" s="29">
        <v>887.5</v>
      </c>
    </row>
    <row r="1775" spans="1:20" s="7" customFormat="1" hidden="1" outlineLevel="3" x14ac:dyDescent="0.2">
      <c r="A1775" s="7" t="s">
        <v>92</v>
      </c>
      <c r="C1775" s="7" t="str">
        <f>+C1768</f>
        <v>Rob</v>
      </c>
      <c r="D1775" s="7" t="str">
        <f>+D1768</f>
        <v>Young</v>
      </c>
      <c r="E1775" s="8" t="str">
        <f>E1768</f>
        <v>SUPP</v>
      </c>
      <c r="G1775" s="8" t="str">
        <f>G1768</f>
        <v>YOUN0001</v>
      </c>
      <c r="K1775" s="12">
        <f>+K1768</f>
        <v>42036</v>
      </c>
      <c r="L1775" s="8" t="str">
        <f>L1768</f>
        <v>10403</v>
      </c>
      <c r="O1775" s="8"/>
      <c r="T1775" s="20"/>
    </row>
    <row r="1776" spans="1:20" s="7" customFormat="1" hidden="1" outlineLevel="2" collapsed="1" x14ac:dyDescent="0.2">
      <c r="A1776" s="7" t="s">
        <v>92</v>
      </c>
      <c r="C1776" s="7" t="str">
        <f t="shared" si="266"/>
        <v>Rob</v>
      </c>
      <c r="D1776" s="7" t="str">
        <f>+D1775</f>
        <v>Young</v>
      </c>
      <c r="E1776" s="8" t="str">
        <f>E1775</f>
        <v>SUPP</v>
      </c>
      <c r="G1776" s="8" t="str">
        <f>G1775</f>
        <v>YOUN0001</v>
      </c>
      <c r="K1776" s="12">
        <f>+K1775</f>
        <v>42036</v>
      </c>
      <c r="L1776" s="8" t="str">
        <f>L1775</f>
        <v>10403</v>
      </c>
      <c r="M1776" s="33" t="str">
        <f>"Total for " &amp; $L1776</f>
        <v>Total for 10403</v>
      </c>
      <c r="N1776" s="34">
        <f>+K1776</f>
        <v>42036</v>
      </c>
      <c r="O1776" s="35"/>
      <c r="P1776" s="33"/>
      <c r="Q1776" s="33"/>
      <c r="R1776" s="33"/>
      <c r="S1776" s="33"/>
      <c r="T1776" s="36">
        <f>SUBTOTAL(9,T1768:T1775)</f>
        <v>1073.31</v>
      </c>
    </row>
    <row r="1777" spans="1:20" s="7" customFormat="1" hidden="1" outlineLevel="3" x14ac:dyDescent="0.2">
      <c r="A1777" s="7" t="s">
        <v>92</v>
      </c>
      <c r="C1777" s="7" t="str">
        <f t="shared" si="266"/>
        <v>Rob</v>
      </c>
      <c r="D1777" s="7" t="str">
        <f>+D1776</f>
        <v>Young</v>
      </c>
      <c r="E1777" s="8" t="str">
        <f>E1776</f>
        <v>SUPP</v>
      </c>
      <c r="G1777" s="8" t="str">
        <f>G1776</f>
        <v>YOUN0001</v>
      </c>
      <c r="H1777" s="26"/>
      <c r="I1777" s="26"/>
      <c r="J1777" s="26"/>
      <c r="K1777" s="28">
        <f>+N1777</f>
        <v>42064</v>
      </c>
      <c r="L1777" s="26" t="str">
        <f>M1777</f>
        <v>10428</v>
      </c>
      <c r="M1777" s="26" t="str">
        <f>"10428"</f>
        <v>10428</v>
      </c>
      <c r="N1777" s="28">
        <v>42064</v>
      </c>
      <c r="O1777" s="26"/>
      <c r="P1777" s="26"/>
      <c r="Q1777" s="26"/>
      <c r="R1777" s="26"/>
      <c r="S1777" s="26"/>
      <c r="T1777" s="27"/>
    </row>
    <row r="1778" spans="1:20" s="7" customFormat="1" hidden="1" outlineLevel="3" x14ac:dyDescent="0.2">
      <c r="A1778" s="7" t="s">
        <v>92</v>
      </c>
      <c r="C1778" s="7" t="str">
        <f t="shared" si="266"/>
        <v>Rob</v>
      </c>
      <c r="D1778" s="7" t="str">
        <f>+D1777</f>
        <v>Young</v>
      </c>
      <c r="E1778" s="8" t="str">
        <f>E1777</f>
        <v>SUPP</v>
      </c>
      <c r="G1778" s="8" t="str">
        <f>G1777</f>
        <v>YOUN0001</v>
      </c>
      <c r="H1778" s="26"/>
      <c r="I1778" s="26"/>
      <c r="J1778" s="26"/>
      <c r="K1778" s="28">
        <f>+K1777</f>
        <v>42064</v>
      </c>
      <c r="L1778" s="26" t="str">
        <f>L1777</f>
        <v>10428</v>
      </c>
      <c r="M1778" s="26"/>
      <c r="N1778" s="26"/>
      <c r="O1778" s="26" t="str">
        <f>"""GP Direct"",""Fabrikam, Inc."",""UPR30300"",""PAYRATE"",""0.00000"",""PAYROLCD"",""401K"",""STATECD"","""",""CHEKDATE"",""3/1/2015"",""UPRTRXAM"",""1.33000"""</f>
        <v>"GP Direct","Fabrikam, Inc.","UPR30300","PAYRATE","0.00000","PAYROLCD","401K","STATECD","","CHEKDATE","3/1/2015","UPRTRXAM","1.33000"</v>
      </c>
      <c r="P1778" s="29">
        <v>0</v>
      </c>
      <c r="Q1778" s="26" t="str">
        <f>"401K"</f>
        <v>401K</v>
      </c>
      <c r="R1778" s="26"/>
      <c r="S1778" s="28">
        <v>42064</v>
      </c>
      <c r="T1778" s="29">
        <v>1.33</v>
      </c>
    </row>
    <row r="1779" spans="1:20" s="7" customFormat="1" hidden="1" outlineLevel="3" x14ac:dyDescent="0.2">
      <c r="A1779" s="7" t="s">
        <v>92</v>
      </c>
      <c r="C1779" s="7" t="str">
        <f t="shared" ref="C1779:C1784" si="268">+C1778</f>
        <v>Rob</v>
      </c>
      <c r="D1779" s="7" t="str">
        <f>+D1778</f>
        <v>Young</v>
      </c>
      <c r="E1779" s="8" t="str">
        <f>E1778</f>
        <v>SUPP</v>
      </c>
      <c r="G1779" s="8" t="str">
        <f>G1778</f>
        <v>YOUN0001</v>
      </c>
      <c r="H1779" s="26"/>
      <c r="I1779" s="26"/>
      <c r="J1779" s="26"/>
      <c r="K1779" s="28">
        <f>+K1778</f>
        <v>42064</v>
      </c>
      <c r="L1779" s="26" t="str">
        <f>L1778</f>
        <v>10428</v>
      </c>
      <c r="M1779" s="26"/>
      <c r="N1779" s="26"/>
      <c r="O1779" s="26" t="str">
        <f>"""GP Direct"",""Fabrikam, Inc."",""UPR30300"",""PAYRATE"",""0.00000"",""PAYROLCD"",""401K"",""STATECD"","""",""CHEKDATE"",""3/1/2015"",""UPRTRXAM"",""26.63000"""</f>
        <v>"GP Direct","Fabrikam, Inc.","UPR30300","PAYRATE","0.00000","PAYROLCD","401K","STATECD","","CHEKDATE","3/1/2015","UPRTRXAM","26.63000"</v>
      </c>
      <c r="P1779" s="29">
        <v>0</v>
      </c>
      <c r="Q1779" s="26" t="str">
        <f>"401K"</f>
        <v>401K</v>
      </c>
      <c r="R1779" s="26"/>
      <c r="S1779" s="28">
        <v>42064</v>
      </c>
      <c r="T1779" s="29">
        <v>26.63</v>
      </c>
    </row>
    <row r="1780" spans="1:20" s="7" customFormat="1" hidden="1" outlineLevel="3" x14ac:dyDescent="0.2">
      <c r="A1780" s="7" t="s">
        <v>92</v>
      </c>
      <c r="C1780" s="7" t="str">
        <f t="shared" si="268"/>
        <v>Rob</v>
      </c>
      <c r="D1780" s="7" t="str">
        <f>+D1779</f>
        <v>Young</v>
      </c>
      <c r="E1780" s="8" t="str">
        <f>E1779</f>
        <v>SUPP</v>
      </c>
      <c r="G1780" s="8" t="str">
        <f>G1779</f>
        <v>YOUN0001</v>
      </c>
      <c r="H1780" s="26"/>
      <c r="I1780" s="26"/>
      <c r="J1780" s="26"/>
      <c r="K1780" s="28">
        <f>+K1779</f>
        <v>42064</v>
      </c>
      <c r="L1780" s="26" t="str">
        <f>L1779</f>
        <v>10428</v>
      </c>
      <c r="M1780" s="26"/>
      <c r="N1780" s="26"/>
      <c r="O1780" s="26" t="str">
        <f>"""GP Direct"",""Fabrikam, Inc."",""UPR30300"",""PAYRATE"",""0.00000"",""PAYROLCD"",""IL"",""STATECD"","""",""CHEKDATE"",""3/1/2015"",""UPRTRXAM"",""15.54000"""</f>
        <v>"GP Direct","Fabrikam, Inc.","UPR30300","PAYRATE","0.00000","PAYROLCD","IL","STATECD","","CHEKDATE","3/1/2015","UPRTRXAM","15.54000"</v>
      </c>
      <c r="P1780" s="29">
        <v>0</v>
      </c>
      <c r="Q1780" s="26" t="str">
        <f>"IL"</f>
        <v>IL</v>
      </c>
      <c r="R1780" s="26"/>
      <c r="S1780" s="28">
        <v>42064</v>
      </c>
      <c r="T1780" s="29">
        <v>15.54</v>
      </c>
    </row>
    <row r="1781" spans="1:20" s="7" customFormat="1" hidden="1" outlineLevel="3" x14ac:dyDescent="0.2">
      <c r="A1781" s="7" t="s">
        <v>92</v>
      </c>
      <c r="C1781" s="7" t="str">
        <f t="shared" si="268"/>
        <v>Rob</v>
      </c>
      <c r="D1781" s="7" t="str">
        <f>+D1780</f>
        <v>Young</v>
      </c>
      <c r="E1781" s="8" t="str">
        <f>E1780</f>
        <v>SUPP</v>
      </c>
      <c r="G1781" s="8" t="str">
        <f>G1780</f>
        <v>YOUN0001</v>
      </c>
      <c r="H1781" s="26"/>
      <c r="I1781" s="26"/>
      <c r="J1781" s="26"/>
      <c r="K1781" s="28">
        <f>+K1780</f>
        <v>42064</v>
      </c>
      <c r="L1781" s="26" t="str">
        <f>L1780</f>
        <v>10428</v>
      </c>
      <c r="M1781" s="26"/>
      <c r="N1781" s="26"/>
      <c r="O1781" s="26" t="str">
        <f>"""GP Direct"",""Fabrikam, Inc."",""UPR30300"",""PAYRATE"",""0.00000"",""PAYROLCD"",""INS"",""STATECD"","""",""CHEKDATE"",""3/1/2015"",""UPRTRXAM"",""49.36000"""</f>
        <v>"GP Direct","Fabrikam, Inc.","UPR30300","PAYRATE","0.00000","PAYROLCD","INS","STATECD","","CHEKDATE","3/1/2015","UPRTRXAM","49.36000"</v>
      </c>
      <c r="P1781" s="29">
        <v>0</v>
      </c>
      <c r="Q1781" s="26" t="str">
        <f>"INS"</f>
        <v>INS</v>
      </c>
      <c r="R1781" s="26"/>
      <c r="S1781" s="28">
        <v>42064</v>
      </c>
      <c r="T1781" s="29">
        <v>49.36</v>
      </c>
    </row>
    <row r="1782" spans="1:20" s="7" customFormat="1" hidden="1" outlineLevel="3" x14ac:dyDescent="0.2">
      <c r="A1782" s="7" t="s">
        <v>92</v>
      </c>
      <c r="C1782" s="7" t="str">
        <f t="shared" si="268"/>
        <v>Rob</v>
      </c>
      <c r="D1782" s="7" t="str">
        <f>+D1781</f>
        <v>Young</v>
      </c>
      <c r="E1782" s="8" t="str">
        <f>E1781</f>
        <v>SUPP</v>
      </c>
      <c r="G1782" s="8" t="str">
        <f>G1781</f>
        <v>YOUN0001</v>
      </c>
      <c r="H1782" s="26"/>
      <c r="I1782" s="26"/>
      <c r="J1782" s="26"/>
      <c r="K1782" s="28">
        <f>+K1781</f>
        <v>42064</v>
      </c>
      <c r="L1782" s="26" t="str">
        <f>L1781</f>
        <v>10428</v>
      </c>
      <c r="M1782" s="26"/>
      <c r="N1782" s="26"/>
      <c r="O1782" s="26" t="str">
        <f>"""GP Direct"",""Fabrikam, Inc."",""UPR30300"",""PAYRATE"",""0.00000"",""PAYROLCD"",""INS2"",""STATECD"","""",""CHEKDATE"",""3/1/2015"",""UPRTRXAM"",""72.95000"""</f>
        <v>"GP Direct","Fabrikam, Inc.","UPR30300","PAYRATE","0.00000","PAYROLCD","INS2","STATECD","","CHEKDATE","3/1/2015","UPRTRXAM","72.95000"</v>
      </c>
      <c r="P1782" s="29">
        <v>0</v>
      </c>
      <c r="Q1782" s="26" t="str">
        <f>"INS2"</f>
        <v>INS2</v>
      </c>
      <c r="R1782" s="26"/>
      <c r="S1782" s="28">
        <v>42064</v>
      </c>
      <c r="T1782" s="29">
        <v>72.95</v>
      </c>
    </row>
    <row r="1783" spans="1:20" s="7" customFormat="1" hidden="1" outlineLevel="3" x14ac:dyDescent="0.2">
      <c r="A1783" s="7" t="s">
        <v>92</v>
      </c>
      <c r="C1783" s="7" t="str">
        <f t="shared" si="268"/>
        <v>Rob</v>
      </c>
      <c r="D1783" s="7" t="str">
        <f>+D1782</f>
        <v>Young</v>
      </c>
      <c r="E1783" s="8" t="str">
        <f>E1782</f>
        <v>SUPP</v>
      </c>
      <c r="G1783" s="8" t="str">
        <f>G1782</f>
        <v>YOUN0001</v>
      </c>
      <c r="H1783" s="26"/>
      <c r="I1783" s="26"/>
      <c r="J1783" s="26"/>
      <c r="K1783" s="28">
        <f>+K1782</f>
        <v>42064</v>
      </c>
      <c r="L1783" s="26" t="str">
        <f>L1782</f>
        <v>10428</v>
      </c>
      <c r="M1783" s="26"/>
      <c r="N1783" s="26"/>
      <c r="O1783" s="26" t="str">
        <f>"""GP Direct"",""Fabrikam, Inc."",""UPR30300"",""PAYRATE"",""0.00000"",""PAYROLCD"",""MED"",""STATECD"","""",""CHEKDATE"",""3/1/2015"",""UPRTRXAM"",""20.00000"""</f>
        <v>"GP Direct","Fabrikam, Inc.","UPR30300","PAYRATE","0.00000","PAYROLCD","MED","STATECD","","CHEKDATE","3/1/2015","UPRTRXAM","20.00000"</v>
      </c>
      <c r="P1783" s="29">
        <v>0</v>
      </c>
      <c r="Q1783" s="26" t="str">
        <f>"MED"</f>
        <v>MED</v>
      </c>
      <c r="R1783" s="26"/>
      <c r="S1783" s="28">
        <v>42064</v>
      </c>
      <c r="T1783" s="29">
        <v>20</v>
      </c>
    </row>
    <row r="1784" spans="1:20" s="7" customFormat="1" hidden="1" outlineLevel="3" x14ac:dyDescent="0.2">
      <c r="A1784" s="7" t="s">
        <v>92</v>
      </c>
      <c r="C1784" s="7" t="str">
        <f t="shared" si="268"/>
        <v>Rob</v>
      </c>
      <c r="D1784" s="7" t="str">
        <f>+D1783</f>
        <v>Young</v>
      </c>
      <c r="E1784" s="8" t="str">
        <f>E1783</f>
        <v>SUPP</v>
      </c>
      <c r="G1784" s="8" t="str">
        <f>G1783</f>
        <v>YOUN0001</v>
      </c>
      <c r="H1784" s="26"/>
      <c r="I1784" s="26"/>
      <c r="J1784" s="26"/>
      <c r="K1784" s="28">
        <f>+K1783</f>
        <v>42064</v>
      </c>
      <c r="L1784" s="26" t="str">
        <f>L1783</f>
        <v>10428</v>
      </c>
      <c r="M1784" s="26"/>
      <c r="N1784" s="26"/>
      <c r="O1784" s="26" t="str">
        <f>"""GP Direct"",""Fabrikam, Inc."",""UPR30300"",""PAYRATE"",""21300.00000"",""PAYROLCD"",""SALY"",""STATECD"",""IL"",""CHEKDATE"",""3/1/2015"",""UPRTRXAM"",""887.50000"""</f>
        <v>"GP Direct","Fabrikam, Inc.","UPR30300","PAYRATE","21300.00000","PAYROLCD","SALY","STATECD","IL","CHEKDATE","3/1/2015","UPRTRXAM","887.50000"</v>
      </c>
      <c r="P1784" s="29">
        <v>21300</v>
      </c>
      <c r="Q1784" s="26" t="str">
        <f>"SALY"</f>
        <v>SALY</v>
      </c>
      <c r="R1784" s="26" t="str">
        <f>"IL"</f>
        <v>IL</v>
      </c>
      <c r="S1784" s="28">
        <v>42064</v>
      </c>
      <c r="T1784" s="29">
        <v>887.5</v>
      </c>
    </row>
    <row r="1785" spans="1:20" s="7" customFormat="1" hidden="1" outlineLevel="3" x14ac:dyDescent="0.2">
      <c r="A1785" s="7" t="s">
        <v>92</v>
      </c>
      <c r="C1785" s="7" t="str">
        <f>+C1778</f>
        <v>Rob</v>
      </c>
      <c r="D1785" s="7" t="str">
        <f>+D1778</f>
        <v>Young</v>
      </c>
      <c r="E1785" s="8" t="str">
        <f>E1778</f>
        <v>SUPP</v>
      </c>
      <c r="G1785" s="8" t="str">
        <f>G1778</f>
        <v>YOUN0001</v>
      </c>
      <c r="K1785" s="12">
        <f>+K1778</f>
        <v>42064</v>
      </c>
      <c r="L1785" s="8" t="str">
        <f>L1778</f>
        <v>10428</v>
      </c>
      <c r="O1785" s="8"/>
      <c r="T1785" s="20"/>
    </row>
    <row r="1786" spans="1:20" s="7" customFormat="1" hidden="1" outlineLevel="2" collapsed="1" x14ac:dyDescent="0.2">
      <c r="A1786" s="7" t="s">
        <v>92</v>
      </c>
      <c r="C1786" s="7" t="str">
        <f t="shared" si="266"/>
        <v>Rob</v>
      </c>
      <c r="D1786" s="7" t="str">
        <f>+D1785</f>
        <v>Young</v>
      </c>
      <c r="E1786" s="8" t="str">
        <f>E1785</f>
        <v>SUPP</v>
      </c>
      <c r="G1786" s="8" t="str">
        <f>G1785</f>
        <v>YOUN0001</v>
      </c>
      <c r="K1786" s="12">
        <f>+K1785</f>
        <v>42064</v>
      </c>
      <c r="L1786" s="8" t="str">
        <f>L1785</f>
        <v>10428</v>
      </c>
      <c r="M1786" s="33" t="str">
        <f>"Total for " &amp; $L1786</f>
        <v>Total for 10428</v>
      </c>
      <c r="N1786" s="34">
        <f>+K1786</f>
        <v>42064</v>
      </c>
      <c r="O1786" s="35"/>
      <c r="P1786" s="33"/>
      <c r="Q1786" s="33"/>
      <c r="R1786" s="33"/>
      <c r="S1786" s="33"/>
      <c r="T1786" s="36">
        <f>SUBTOTAL(9,T1778:T1785)</f>
        <v>1073.31</v>
      </c>
    </row>
    <row r="1787" spans="1:20" s="7" customFormat="1" hidden="1" outlineLevel="3" x14ac:dyDescent="0.2">
      <c r="A1787" s="7" t="s">
        <v>92</v>
      </c>
      <c r="C1787" s="7" t="str">
        <f t="shared" si="266"/>
        <v>Rob</v>
      </c>
      <c r="D1787" s="7" t="str">
        <f>+D1786</f>
        <v>Young</v>
      </c>
      <c r="E1787" s="8" t="str">
        <f>E1786</f>
        <v>SUPP</v>
      </c>
      <c r="G1787" s="8" t="str">
        <f>G1786</f>
        <v>YOUN0001</v>
      </c>
      <c r="H1787" s="26"/>
      <c r="I1787" s="26"/>
      <c r="J1787" s="26"/>
      <c r="K1787" s="28">
        <f>+N1787</f>
        <v>42095</v>
      </c>
      <c r="L1787" s="26" t="str">
        <f>M1787</f>
        <v>10453</v>
      </c>
      <c r="M1787" s="26" t="str">
        <f>"10453"</f>
        <v>10453</v>
      </c>
      <c r="N1787" s="28">
        <v>42095</v>
      </c>
      <c r="O1787" s="26"/>
      <c r="P1787" s="26"/>
      <c r="Q1787" s="26"/>
      <c r="R1787" s="26"/>
      <c r="S1787" s="26"/>
      <c r="T1787" s="27"/>
    </row>
    <row r="1788" spans="1:20" s="7" customFormat="1" hidden="1" outlineLevel="3" x14ac:dyDescent="0.2">
      <c r="A1788" s="7" t="s">
        <v>92</v>
      </c>
      <c r="C1788" s="7" t="str">
        <f t="shared" si="266"/>
        <v>Rob</v>
      </c>
      <c r="D1788" s="7" t="str">
        <f>+D1787</f>
        <v>Young</v>
      </c>
      <c r="E1788" s="8" t="str">
        <f>E1787</f>
        <v>SUPP</v>
      </c>
      <c r="G1788" s="8" t="str">
        <f>G1787</f>
        <v>YOUN0001</v>
      </c>
      <c r="H1788" s="26"/>
      <c r="I1788" s="26"/>
      <c r="J1788" s="26"/>
      <c r="K1788" s="28">
        <f>+K1787</f>
        <v>42095</v>
      </c>
      <c r="L1788" s="26" t="str">
        <f>L1787</f>
        <v>10453</v>
      </c>
      <c r="M1788" s="26"/>
      <c r="N1788" s="26"/>
      <c r="O1788" s="26" t="str">
        <f>"""GP Direct"",""Fabrikam, Inc."",""UPR30300"",""PAYRATE"",""0.00000"",""PAYROLCD"",""401K"",""STATECD"","""",""CHEKDATE"",""4/1/2015"",""UPRTRXAM"",""1.33000"""</f>
        <v>"GP Direct","Fabrikam, Inc.","UPR30300","PAYRATE","0.00000","PAYROLCD","401K","STATECD","","CHEKDATE","4/1/2015","UPRTRXAM","1.33000"</v>
      </c>
      <c r="P1788" s="29">
        <v>0</v>
      </c>
      <c r="Q1788" s="26" t="str">
        <f>"401K"</f>
        <v>401K</v>
      </c>
      <c r="R1788" s="26"/>
      <c r="S1788" s="28">
        <v>42095</v>
      </c>
      <c r="T1788" s="29">
        <v>1.33</v>
      </c>
    </row>
    <row r="1789" spans="1:20" s="7" customFormat="1" hidden="1" outlineLevel="3" x14ac:dyDescent="0.2">
      <c r="A1789" s="7" t="s">
        <v>92</v>
      </c>
      <c r="C1789" s="7" t="str">
        <f t="shared" ref="C1789:C1794" si="269">+C1788</f>
        <v>Rob</v>
      </c>
      <c r="D1789" s="7" t="str">
        <f>+D1788</f>
        <v>Young</v>
      </c>
      <c r="E1789" s="8" t="str">
        <f>E1788</f>
        <v>SUPP</v>
      </c>
      <c r="G1789" s="8" t="str">
        <f>G1788</f>
        <v>YOUN0001</v>
      </c>
      <c r="H1789" s="26"/>
      <c r="I1789" s="26"/>
      <c r="J1789" s="26"/>
      <c r="K1789" s="28">
        <f>+K1788</f>
        <v>42095</v>
      </c>
      <c r="L1789" s="26" t="str">
        <f>L1788</f>
        <v>10453</v>
      </c>
      <c r="M1789" s="26"/>
      <c r="N1789" s="26"/>
      <c r="O1789" s="26" t="str">
        <f>"""GP Direct"",""Fabrikam, Inc."",""UPR30300"",""PAYRATE"",""0.00000"",""PAYROLCD"",""401K"",""STATECD"","""",""CHEKDATE"",""4/1/2015"",""UPRTRXAM"",""26.63000"""</f>
        <v>"GP Direct","Fabrikam, Inc.","UPR30300","PAYRATE","0.00000","PAYROLCD","401K","STATECD","","CHEKDATE","4/1/2015","UPRTRXAM","26.63000"</v>
      </c>
      <c r="P1789" s="29">
        <v>0</v>
      </c>
      <c r="Q1789" s="26" t="str">
        <f>"401K"</f>
        <v>401K</v>
      </c>
      <c r="R1789" s="26"/>
      <c r="S1789" s="28">
        <v>42095</v>
      </c>
      <c r="T1789" s="29">
        <v>26.63</v>
      </c>
    </row>
    <row r="1790" spans="1:20" s="7" customFormat="1" hidden="1" outlineLevel="3" x14ac:dyDescent="0.2">
      <c r="A1790" s="7" t="s">
        <v>92</v>
      </c>
      <c r="C1790" s="7" t="str">
        <f t="shared" si="269"/>
        <v>Rob</v>
      </c>
      <c r="D1790" s="7" t="str">
        <f>+D1789</f>
        <v>Young</v>
      </c>
      <c r="E1790" s="8" t="str">
        <f>E1789</f>
        <v>SUPP</v>
      </c>
      <c r="G1790" s="8" t="str">
        <f>G1789</f>
        <v>YOUN0001</v>
      </c>
      <c r="H1790" s="26"/>
      <c r="I1790" s="26"/>
      <c r="J1790" s="26"/>
      <c r="K1790" s="28">
        <f>+K1789</f>
        <v>42095</v>
      </c>
      <c r="L1790" s="26" t="str">
        <f>L1789</f>
        <v>10453</v>
      </c>
      <c r="M1790" s="26"/>
      <c r="N1790" s="26"/>
      <c r="O1790" s="26" t="str">
        <f>"""GP Direct"",""Fabrikam, Inc."",""UPR30300"",""PAYRATE"",""0.00000"",""PAYROLCD"",""IL"",""STATECD"","""",""CHEKDATE"",""4/1/2015"",""UPRTRXAM"",""15.54000"""</f>
        <v>"GP Direct","Fabrikam, Inc.","UPR30300","PAYRATE","0.00000","PAYROLCD","IL","STATECD","","CHEKDATE","4/1/2015","UPRTRXAM","15.54000"</v>
      </c>
      <c r="P1790" s="29">
        <v>0</v>
      </c>
      <c r="Q1790" s="26" t="str">
        <f>"IL"</f>
        <v>IL</v>
      </c>
      <c r="R1790" s="26"/>
      <c r="S1790" s="28">
        <v>42095</v>
      </c>
      <c r="T1790" s="29">
        <v>15.54</v>
      </c>
    </row>
    <row r="1791" spans="1:20" s="7" customFormat="1" hidden="1" outlineLevel="3" x14ac:dyDescent="0.2">
      <c r="A1791" s="7" t="s">
        <v>92</v>
      </c>
      <c r="C1791" s="7" t="str">
        <f t="shared" si="269"/>
        <v>Rob</v>
      </c>
      <c r="D1791" s="7" t="str">
        <f>+D1790</f>
        <v>Young</v>
      </c>
      <c r="E1791" s="8" t="str">
        <f>E1790</f>
        <v>SUPP</v>
      </c>
      <c r="G1791" s="8" t="str">
        <f>G1790</f>
        <v>YOUN0001</v>
      </c>
      <c r="H1791" s="26"/>
      <c r="I1791" s="26"/>
      <c r="J1791" s="26"/>
      <c r="K1791" s="28">
        <f>+K1790</f>
        <v>42095</v>
      </c>
      <c r="L1791" s="26" t="str">
        <f>L1790</f>
        <v>10453</v>
      </c>
      <c r="M1791" s="26"/>
      <c r="N1791" s="26"/>
      <c r="O1791" s="26" t="str">
        <f>"""GP Direct"",""Fabrikam, Inc."",""UPR30300"",""PAYRATE"",""0.00000"",""PAYROLCD"",""INS"",""STATECD"","""",""CHEKDATE"",""4/1/2015"",""UPRTRXAM"",""49.36000"""</f>
        <v>"GP Direct","Fabrikam, Inc.","UPR30300","PAYRATE","0.00000","PAYROLCD","INS","STATECD","","CHEKDATE","4/1/2015","UPRTRXAM","49.36000"</v>
      </c>
      <c r="P1791" s="29">
        <v>0</v>
      </c>
      <c r="Q1791" s="26" t="str">
        <f>"INS"</f>
        <v>INS</v>
      </c>
      <c r="R1791" s="26"/>
      <c r="S1791" s="28">
        <v>42095</v>
      </c>
      <c r="T1791" s="29">
        <v>49.36</v>
      </c>
    </row>
    <row r="1792" spans="1:20" s="7" customFormat="1" hidden="1" outlineLevel="3" x14ac:dyDescent="0.2">
      <c r="A1792" s="7" t="s">
        <v>92</v>
      </c>
      <c r="C1792" s="7" t="str">
        <f t="shared" si="269"/>
        <v>Rob</v>
      </c>
      <c r="D1792" s="7" t="str">
        <f>+D1791</f>
        <v>Young</v>
      </c>
      <c r="E1792" s="8" t="str">
        <f>E1791</f>
        <v>SUPP</v>
      </c>
      <c r="G1792" s="8" t="str">
        <f>G1791</f>
        <v>YOUN0001</v>
      </c>
      <c r="H1792" s="26"/>
      <c r="I1792" s="26"/>
      <c r="J1792" s="26"/>
      <c r="K1792" s="28">
        <f>+K1791</f>
        <v>42095</v>
      </c>
      <c r="L1792" s="26" t="str">
        <f>L1791</f>
        <v>10453</v>
      </c>
      <c r="M1792" s="26"/>
      <c r="N1792" s="26"/>
      <c r="O1792" s="26" t="str">
        <f>"""GP Direct"",""Fabrikam, Inc."",""UPR30300"",""PAYRATE"",""0.00000"",""PAYROLCD"",""INS2"",""STATECD"","""",""CHEKDATE"",""4/1/2015"",""UPRTRXAM"",""72.95000"""</f>
        <v>"GP Direct","Fabrikam, Inc.","UPR30300","PAYRATE","0.00000","PAYROLCD","INS2","STATECD","","CHEKDATE","4/1/2015","UPRTRXAM","72.95000"</v>
      </c>
      <c r="P1792" s="29">
        <v>0</v>
      </c>
      <c r="Q1792" s="26" t="str">
        <f>"INS2"</f>
        <v>INS2</v>
      </c>
      <c r="R1792" s="26"/>
      <c r="S1792" s="28">
        <v>42095</v>
      </c>
      <c r="T1792" s="29">
        <v>72.95</v>
      </c>
    </row>
    <row r="1793" spans="1:20" s="7" customFormat="1" hidden="1" outlineLevel="3" x14ac:dyDescent="0.2">
      <c r="A1793" s="7" t="s">
        <v>92</v>
      </c>
      <c r="C1793" s="7" t="str">
        <f t="shared" si="269"/>
        <v>Rob</v>
      </c>
      <c r="D1793" s="7" t="str">
        <f>+D1792</f>
        <v>Young</v>
      </c>
      <c r="E1793" s="8" t="str">
        <f>E1792</f>
        <v>SUPP</v>
      </c>
      <c r="G1793" s="8" t="str">
        <f>G1792</f>
        <v>YOUN0001</v>
      </c>
      <c r="H1793" s="26"/>
      <c r="I1793" s="26"/>
      <c r="J1793" s="26"/>
      <c r="K1793" s="28">
        <f>+K1792</f>
        <v>42095</v>
      </c>
      <c r="L1793" s="26" t="str">
        <f>L1792</f>
        <v>10453</v>
      </c>
      <c r="M1793" s="26"/>
      <c r="N1793" s="26"/>
      <c r="O1793" s="26" t="str">
        <f>"""GP Direct"",""Fabrikam, Inc."",""UPR30300"",""PAYRATE"",""0.00000"",""PAYROLCD"",""MED"",""STATECD"","""",""CHEKDATE"",""4/1/2015"",""UPRTRXAM"",""20.00000"""</f>
        <v>"GP Direct","Fabrikam, Inc.","UPR30300","PAYRATE","0.00000","PAYROLCD","MED","STATECD","","CHEKDATE","4/1/2015","UPRTRXAM","20.00000"</v>
      </c>
      <c r="P1793" s="29">
        <v>0</v>
      </c>
      <c r="Q1793" s="26" t="str">
        <f>"MED"</f>
        <v>MED</v>
      </c>
      <c r="R1793" s="26"/>
      <c r="S1793" s="28">
        <v>42095</v>
      </c>
      <c r="T1793" s="29">
        <v>20</v>
      </c>
    </row>
    <row r="1794" spans="1:20" s="7" customFormat="1" hidden="1" outlineLevel="3" x14ac:dyDescent="0.2">
      <c r="A1794" s="7" t="s">
        <v>92</v>
      </c>
      <c r="C1794" s="7" t="str">
        <f t="shared" si="269"/>
        <v>Rob</v>
      </c>
      <c r="D1794" s="7" t="str">
        <f>+D1793</f>
        <v>Young</v>
      </c>
      <c r="E1794" s="8" t="str">
        <f>E1793</f>
        <v>SUPP</v>
      </c>
      <c r="G1794" s="8" t="str">
        <f>G1793</f>
        <v>YOUN0001</v>
      </c>
      <c r="H1794" s="26"/>
      <c r="I1794" s="26"/>
      <c r="J1794" s="26"/>
      <c r="K1794" s="28">
        <f>+K1793</f>
        <v>42095</v>
      </c>
      <c r="L1794" s="26" t="str">
        <f>L1793</f>
        <v>10453</v>
      </c>
      <c r="M1794" s="26"/>
      <c r="N1794" s="26"/>
      <c r="O1794" s="26" t="str">
        <f>"""GP Direct"",""Fabrikam, Inc."",""UPR30300"",""PAYRATE"",""21300.00000"",""PAYROLCD"",""SALY"",""STATECD"",""IL"",""CHEKDATE"",""4/1/2015"",""UPRTRXAM"",""887.50000"""</f>
        <v>"GP Direct","Fabrikam, Inc.","UPR30300","PAYRATE","21300.00000","PAYROLCD","SALY","STATECD","IL","CHEKDATE","4/1/2015","UPRTRXAM","887.50000"</v>
      </c>
      <c r="P1794" s="29">
        <v>21300</v>
      </c>
      <c r="Q1794" s="26" t="str">
        <f>"SALY"</f>
        <v>SALY</v>
      </c>
      <c r="R1794" s="26" t="str">
        <f>"IL"</f>
        <v>IL</v>
      </c>
      <c r="S1794" s="28">
        <v>42095</v>
      </c>
      <c r="T1794" s="29">
        <v>887.5</v>
      </c>
    </row>
    <row r="1795" spans="1:20" s="7" customFormat="1" hidden="1" outlineLevel="3" x14ac:dyDescent="0.2">
      <c r="A1795" s="7" t="s">
        <v>92</v>
      </c>
      <c r="C1795" s="7" t="str">
        <f>+C1788</f>
        <v>Rob</v>
      </c>
      <c r="D1795" s="7" t="str">
        <f>+D1788</f>
        <v>Young</v>
      </c>
      <c r="E1795" s="8" t="str">
        <f>E1788</f>
        <v>SUPP</v>
      </c>
      <c r="G1795" s="8" t="str">
        <f>G1788</f>
        <v>YOUN0001</v>
      </c>
      <c r="K1795" s="12">
        <f>+K1788</f>
        <v>42095</v>
      </c>
      <c r="L1795" s="8" t="str">
        <f>L1788</f>
        <v>10453</v>
      </c>
      <c r="O1795" s="8"/>
      <c r="T1795" s="20"/>
    </row>
    <row r="1796" spans="1:20" s="7" customFormat="1" hidden="1" outlineLevel="2" collapsed="1" x14ac:dyDescent="0.2">
      <c r="A1796" s="7" t="s">
        <v>92</v>
      </c>
      <c r="C1796" s="7" t="str">
        <f t="shared" si="266"/>
        <v>Rob</v>
      </c>
      <c r="D1796" s="7" t="str">
        <f>+D1795</f>
        <v>Young</v>
      </c>
      <c r="E1796" s="8" t="str">
        <f>E1795</f>
        <v>SUPP</v>
      </c>
      <c r="G1796" s="8" t="str">
        <f>G1795</f>
        <v>YOUN0001</v>
      </c>
      <c r="K1796" s="12">
        <f>+K1795</f>
        <v>42095</v>
      </c>
      <c r="L1796" s="8" t="str">
        <f>L1795</f>
        <v>10453</v>
      </c>
      <c r="M1796" s="33" t="str">
        <f>"Total for " &amp; $L1796</f>
        <v>Total for 10453</v>
      </c>
      <c r="N1796" s="34">
        <f>+K1796</f>
        <v>42095</v>
      </c>
      <c r="O1796" s="35"/>
      <c r="P1796" s="33"/>
      <c r="Q1796" s="33"/>
      <c r="R1796" s="33"/>
      <c r="S1796" s="33"/>
      <c r="T1796" s="36">
        <f>SUBTOTAL(9,T1788:T1795)</f>
        <v>1073.31</v>
      </c>
    </row>
    <row r="1797" spans="1:20" s="7" customFormat="1" hidden="1" outlineLevel="3" x14ac:dyDescent="0.2">
      <c r="A1797" s="7" t="s">
        <v>92</v>
      </c>
      <c r="C1797" s="7" t="str">
        <f t="shared" si="266"/>
        <v>Rob</v>
      </c>
      <c r="D1797" s="7" t="str">
        <f>+D1796</f>
        <v>Young</v>
      </c>
      <c r="E1797" s="8" t="str">
        <f>E1796</f>
        <v>SUPP</v>
      </c>
      <c r="G1797" s="8" t="str">
        <f>G1796</f>
        <v>YOUN0001</v>
      </c>
      <c r="H1797" s="26"/>
      <c r="I1797" s="26"/>
      <c r="J1797" s="26"/>
      <c r="K1797" s="28">
        <f>+N1797</f>
        <v>42125</v>
      </c>
      <c r="L1797" s="26" t="str">
        <f>M1797</f>
        <v>10478</v>
      </c>
      <c r="M1797" s="26" t="str">
        <f>"10478"</f>
        <v>10478</v>
      </c>
      <c r="N1797" s="28">
        <v>42125</v>
      </c>
      <c r="O1797" s="26"/>
      <c r="P1797" s="26"/>
      <c r="Q1797" s="26"/>
      <c r="R1797" s="26"/>
      <c r="S1797" s="26"/>
      <c r="T1797" s="27"/>
    </row>
    <row r="1798" spans="1:20" s="7" customFormat="1" hidden="1" outlineLevel="3" x14ac:dyDescent="0.2">
      <c r="A1798" s="7" t="s">
        <v>92</v>
      </c>
      <c r="C1798" s="7" t="str">
        <f t="shared" si="266"/>
        <v>Rob</v>
      </c>
      <c r="D1798" s="7" t="str">
        <f>+D1797</f>
        <v>Young</v>
      </c>
      <c r="E1798" s="8" t="str">
        <f>E1797</f>
        <v>SUPP</v>
      </c>
      <c r="G1798" s="8" t="str">
        <f>G1797</f>
        <v>YOUN0001</v>
      </c>
      <c r="H1798" s="26"/>
      <c r="I1798" s="26"/>
      <c r="J1798" s="26"/>
      <c r="K1798" s="28">
        <f>+K1797</f>
        <v>42125</v>
      </c>
      <c r="L1798" s="26" t="str">
        <f>L1797</f>
        <v>10478</v>
      </c>
      <c r="M1798" s="26"/>
      <c r="N1798" s="26"/>
      <c r="O1798" s="26" t="str">
        <f>"""GP Direct"",""Fabrikam, Inc."",""UPR30300"",""PAYRATE"",""0.00000"",""PAYROLCD"",""401K"",""STATECD"","""",""CHEKDATE"",""5/1/2015"",""UPRTRXAM"",""1.33000"""</f>
        <v>"GP Direct","Fabrikam, Inc.","UPR30300","PAYRATE","0.00000","PAYROLCD","401K","STATECD","","CHEKDATE","5/1/2015","UPRTRXAM","1.33000"</v>
      </c>
      <c r="P1798" s="29">
        <v>0</v>
      </c>
      <c r="Q1798" s="26" t="str">
        <f>"401K"</f>
        <v>401K</v>
      </c>
      <c r="R1798" s="26"/>
      <c r="S1798" s="28">
        <v>42125</v>
      </c>
      <c r="T1798" s="29">
        <v>1.33</v>
      </c>
    </row>
    <row r="1799" spans="1:20" s="7" customFormat="1" hidden="1" outlineLevel="3" x14ac:dyDescent="0.2">
      <c r="A1799" s="7" t="s">
        <v>92</v>
      </c>
      <c r="C1799" s="7" t="str">
        <f t="shared" ref="C1799:C1804" si="270">+C1798</f>
        <v>Rob</v>
      </c>
      <c r="D1799" s="7" t="str">
        <f>+D1798</f>
        <v>Young</v>
      </c>
      <c r="E1799" s="8" t="str">
        <f>E1798</f>
        <v>SUPP</v>
      </c>
      <c r="G1799" s="8" t="str">
        <f>G1798</f>
        <v>YOUN0001</v>
      </c>
      <c r="H1799" s="26"/>
      <c r="I1799" s="26"/>
      <c r="J1799" s="26"/>
      <c r="K1799" s="28">
        <f>+K1798</f>
        <v>42125</v>
      </c>
      <c r="L1799" s="26" t="str">
        <f>L1798</f>
        <v>10478</v>
      </c>
      <c r="M1799" s="26"/>
      <c r="N1799" s="26"/>
      <c r="O1799" s="26" t="str">
        <f>"""GP Direct"",""Fabrikam, Inc."",""UPR30300"",""PAYRATE"",""0.00000"",""PAYROLCD"",""401K"",""STATECD"","""",""CHEKDATE"",""5/1/2015"",""UPRTRXAM"",""26.63000"""</f>
        <v>"GP Direct","Fabrikam, Inc.","UPR30300","PAYRATE","0.00000","PAYROLCD","401K","STATECD","","CHEKDATE","5/1/2015","UPRTRXAM","26.63000"</v>
      </c>
      <c r="P1799" s="29">
        <v>0</v>
      </c>
      <c r="Q1799" s="26" t="str">
        <f>"401K"</f>
        <v>401K</v>
      </c>
      <c r="R1799" s="26"/>
      <c r="S1799" s="28">
        <v>42125</v>
      </c>
      <c r="T1799" s="29">
        <v>26.63</v>
      </c>
    </row>
    <row r="1800" spans="1:20" s="7" customFormat="1" hidden="1" outlineLevel="3" x14ac:dyDescent="0.2">
      <c r="A1800" s="7" t="s">
        <v>92</v>
      </c>
      <c r="C1800" s="7" t="str">
        <f t="shared" si="270"/>
        <v>Rob</v>
      </c>
      <c r="D1800" s="7" t="str">
        <f>+D1799</f>
        <v>Young</v>
      </c>
      <c r="E1800" s="8" t="str">
        <f>E1799</f>
        <v>SUPP</v>
      </c>
      <c r="G1800" s="8" t="str">
        <f>G1799</f>
        <v>YOUN0001</v>
      </c>
      <c r="H1800" s="26"/>
      <c r="I1800" s="26"/>
      <c r="J1800" s="26"/>
      <c r="K1800" s="28">
        <f>+K1799</f>
        <v>42125</v>
      </c>
      <c r="L1800" s="26" t="str">
        <f>L1799</f>
        <v>10478</v>
      </c>
      <c r="M1800" s="26"/>
      <c r="N1800" s="26"/>
      <c r="O1800" s="26" t="str">
        <f>"""GP Direct"",""Fabrikam, Inc."",""UPR30300"",""PAYRATE"",""0.00000"",""PAYROLCD"",""IL"",""STATECD"","""",""CHEKDATE"",""5/1/2015"",""UPRTRXAM"",""15.54000"""</f>
        <v>"GP Direct","Fabrikam, Inc.","UPR30300","PAYRATE","0.00000","PAYROLCD","IL","STATECD","","CHEKDATE","5/1/2015","UPRTRXAM","15.54000"</v>
      </c>
      <c r="P1800" s="29">
        <v>0</v>
      </c>
      <c r="Q1800" s="26" t="str">
        <f>"IL"</f>
        <v>IL</v>
      </c>
      <c r="R1800" s="26"/>
      <c r="S1800" s="28">
        <v>42125</v>
      </c>
      <c r="T1800" s="29">
        <v>15.54</v>
      </c>
    </row>
    <row r="1801" spans="1:20" s="7" customFormat="1" hidden="1" outlineLevel="3" x14ac:dyDescent="0.2">
      <c r="A1801" s="7" t="s">
        <v>92</v>
      </c>
      <c r="C1801" s="7" t="str">
        <f t="shared" si="270"/>
        <v>Rob</v>
      </c>
      <c r="D1801" s="7" t="str">
        <f>+D1800</f>
        <v>Young</v>
      </c>
      <c r="E1801" s="8" t="str">
        <f>E1800</f>
        <v>SUPP</v>
      </c>
      <c r="G1801" s="8" t="str">
        <f>G1800</f>
        <v>YOUN0001</v>
      </c>
      <c r="H1801" s="26"/>
      <c r="I1801" s="26"/>
      <c r="J1801" s="26"/>
      <c r="K1801" s="28">
        <f>+K1800</f>
        <v>42125</v>
      </c>
      <c r="L1801" s="26" t="str">
        <f>L1800</f>
        <v>10478</v>
      </c>
      <c r="M1801" s="26"/>
      <c r="N1801" s="26"/>
      <c r="O1801" s="26" t="str">
        <f>"""GP Direct"",""Fabrikam, Inc."",""UPR30300"",""PAYRATE"",""0.00000"",""PAYROLCD"",""INS"",""STATECD"","""",""CHEKDATE"",""5/1/2015"",""UPRTRXAM"",""49.36000"""</f>
        <v>"GP Direct","Fabrikam, Inc.","UPR30300","PAYRATE","0.00000","PAYROLCD","INS","STATECD","","CHEKDATE","5/1/2015","UPRTRXAM","49.36000"</v>
      </c>
      <c r="P1801" s="29">
        <v>0</v>
      </c>
      <c r="Q1801" s="26" t="str">
        <f>"INS"</f>
        <v>INS</v>
      </c>
      <c r="R1801" s="26"/>
      <c r="S1801" s="28">
        <v>42125</v>
      </c>
      <c r="T1801" s="29">
        <v>49.36</v>
      </c>
    </row>
    <row r="1802" spans="1:20" s="7" customFormat="1" hidden="1" outlineLevel="3" x14ac:dyDescent="0.2">
      <c r="A1802" s="7" t="s">
        <v>92</v>
      </c>
      <c r="C1802" s="7" t="str">
        <f t="shared" si="270"/>
        <v>Rob</v>
      </c>
      <c r="D1802" s="7" t="str">
        <f>+D1801</f>
        <v>Young</v>
      </c>
      <c r="E1802" s="8" t="str">
        <f>E1801</f>
        <v>SUPP</v>
      </c>
      <c r="G1802" s="8" t="str">
        <f>G1801</f>
        <v>YOUN0001</v>
      </c>
      <c r="H1802" s="26"/>
      <c r="I1802" s="26"/>
      <c r="J1802" s="26"/>
      <c r="K1802" s="28">
        <f>+K1801</f>
        <v>42125</v>
      </c>
      <c r="L1802" s="26" t="str">
        <f>L1801</f>
        <v>10478</v>
      </c>
      <c r="M1802" s="26"/>
      <c r="N1802" s="26"/>
      <c r="O1802" s="26" t="str">
        <f>"""GP Direct"",""Fabrikam, Inc."",""UPR30300"",""PAYRATE"",""0.00000"",""PAYROLCD"",""INS2"",""STATECD"","""",""CHEKDATE"",""5/1/2015"",""UPRTRXAM"",""72.95000"""</f>
        <v>"GP Direct","Fabrikam, Inc.","UPR30300","PAYRATE","0.00000","PAYROLCD","INS2","STATECD","","CHEKDATE","5/1/2015","UPRTRXAM","72.95000"</v>
      </c>
      <c r="P1802" s="29">
        <v>0</v>
      </c>
      <c r="Q1802" s="26" t="str">
        <f>"INS2"</f>
        <v>INS2</v>
      </c>
      <c r="R1802" s="26"/>
      <c r="S1802" s="28">
        <v>42125</v>
      </c>
      <c r="T1802" s="29">
        <v>72.95</v>
      </c>
    </row>
    <row r="1803" spans="1:20" s="7" customFormat="1" hidden="1" outlineLevel="3" x14ac:dyDescent="0.2">
      <c r="A1803" s="7" t="s">
        <v>92</v>
      </c>
      <c r="C1803" s="7" t="str">
        <f t="shared" si="270"/>
        <v>Rob</v>
      </c>
      <c r="D1803" s="7" t="str">
        <f>+D1802</f>
        <v>Young</v>
      </c>
      <c r="E1803" s="8" t="str">
        <f>E1802</f>
        <v>SUPP</v>
      </c>
      <c r="G1803" s="8" t="str">
        <f>G1802</f>
        <v>YOUN0001</v>
      </c>
      <c r="H1803" s="26"/>
      <c r="I1803" s="26"/>
      <c r="J1803" s="26"/>
      <c r="K1803" s="28">
        <f>+K1802</f>
        <v>42125</v>
      </c>
      <c r="L1803" s="26" t="str">
        <f>L1802</f>
        <v>10478</v>
      </c>
      <c r="M1803" s="26"/>
      <c r="N1803" s="26"/>
      <c r="O1803" s="26" t="str">
        <f>"""GP Direct"",""Fabrikam, Inc."",""UPR30300"",""PAYRATE"",""0.00000"",""PAYROLCD"",""MED"",""STATECD"","""",""CHEKDATE"",""5/1/2015"",""UPRTRXAM"",""20.00000"""</f>
        <v>"GP Direct","Fabrikam, Inc.","UPR30300","PAYRATE","0.00000","PAYROLCD","MED","STATECD","","CHEKDATE","5/1/2015","UPRTRXAM","20.00000"</v>
      </c>
      <c r="P1803" s="29">
        <v>0</v>
      </c>
      <c r="Q1803" s="26" t="str">
        <f>"MED"</f>
        <v>MED</v>
      </c>
      <c r="R1803" s="26"/>
      <c r="S1803" s="28">
        <v>42125</v>
      </c>
      <c r="T1803" s="29">
        <v>20</v>
      </c>
    </row>
    <row r="1804" spans="1:20" s="7" customFormat="1" hidden="1" outlineLevel="3" x14ac:dyDescent="0.2">
      <c r="A1804" s="7" t="s">
        <v>92</v>
      </c>
      <c r="C1804" s="7" t="str">
        <f t="shared" si="270"/>
        <v>Rob</v>
      </c>
      <c r="D1804" s="7" t="str">
        <f>+D1803</f>
        <v>Young</v>
      </c>
      <c r="E1804" s="8" t="str">
        <f>E1803</f>
        <v>SUPP</v>
      </c>
      <c r="G1804" s="8" t="str">
        <f>G1803</f>
        <v>YOUN0001</v>
      </c>
      <c r="H1804" s="26"/>
      <c r="I1804" s="26"/>
      <c r="J1804" s="26"/>
      <c r="K1804" s="28">
        <f>+K1803</f>
        <v>42125</v>
      </c>
      <c r="L1804" s="26" t="str">
        <f>L1803</f>
        <v>10478</v>
      </c>
      <c r="M1804" s="26"/>
      <c r="N1804" s="26"/>
      <c r="O1804" s="26" t="str">
        <f>"""GP Direct"",""Fabrikam, Inc."",""UPR30300"",""PAYRATE"",""21300.00000"",""PAYROLCD"",""SALY"",""STATECD"",""IL"",""CHEKDATE"",""5/1/2015"",""UPRTRXAM"",""887.50000"""</f>
        <v>"GP Direct","Fabrikam, Inc.","UPR30300","PAYRATE","21300.00000","PAYROLCD","SALY","STATECD","IL","CHEKDATE","5/1/2015","UPRTRXAM","887.50000"</v>
      </c>
      <c r="P1804" s="29">
        <v>21300</v>
      </c>
      <c r="Q1804" s="26" t="str">
        <f>"SALY"</f>
        <v>SALY</v>
      </c>
      <c r="R1804" s="26" t="str">
        <f>"IL"</f>
        <v>IL</v>
      </c>
      <c r="S1804" s="28">
        <v>42125</v>
      </c>
      <c r="T1804" s="29">
        <v>887.5</v>
      </c>
    </row>
    <row r="1805" spans="1:20" s="7" customFormat="1" hidden="1" outlineLevel="3" x14ac:dyDescent="0.2">
      <c r="A1805" s="7" t="s">
        <v>92</v>
      </c>
      <c r="C1805" s="7" t="str">
        <f>+C1798</f>
        <v>Rob</v>
      </c>
      <c r="D1805" s="7" t="str">
        <f>+D1798</f>
        <v>Young</v>
      </c>
      <c r="E1805" s="8" t="str">
        <f>E1798</f>
        <v>SUPP</v>
      </c>
      <c r="G1805" s="8" t="str">
        <f>G1798</f>
        <v>YOUN0001</v>
      </c>
      <c r="K1805" s="12">
        <f>+K1798</f>
        <v>42125</v>
      </c>
      <c r="L1805" s="8" t="str">
        <f>L1798</f>
        <v>10478</v>
      </c>
      <c r="O1805" s="8"/>
      <c r="T1805" s="20"/>
    </row>
    <row r="1806" spans="1:20" s="7" customFormat="1" hidden="1" outlineLevel="2" collapsed="1" x14ac:dyDescent="0.2">
      <c r="A1806" s="7" t="s">
        <v>92</v>
      </c>
      <c r="C1806" s="7" t="str">
        <f t="shared" si="266"/>
        <v>Rob</v>
      </c>
      <c r="D1806" s="7" t="str">
        <f>+D1805</f>
        <v>Young</v>
      </c>
      <c r="E1806" s="8" t="str">
        <f>E1805</f>
        <v>SUPP</v>
      </c>
      <c r="G1806" s="8" t="str">
        <f>G1805</f>
        <v>YOUN0001</v>
      </c>
      <c r="K1806" s="12">
        <f>+K1805</f>
        <v>42125</v>
      </c>
      <c r="L1806" s="8" t="str">
        <f>L1805</f>
        <v>10478</v>
      </c>
      <c r="M1806" s="33" t="str">
        <f>"Total for " &amp; $L1806</f>
        <v>Total for 10478</v>
      </c>
      <c r="N1806" s="34">
        <f>+K1806</f>
        <v>42125</v>
      </c>
      <c r="O1806" s="35"/>
      <c r="P1806" s="33"/>
      <c r="Q1806" s="33"/>
      <c r="R1806" s="33"/>
      <c r="S1806" s="33"/>
      <c r="T1806" s="36">
        <f>SUBTOTAL(9,T1798:T1805)</f>
        <v>1073.31</v>
      </c>
    </row>
    <row r="1807" spans="1:20" s="7" customFormat="1" hidden="1" outlineLevel="3" x14ac:dyDescent="0.2">
      <c r="A1807" s="7" t="s">
        <v>92</v>
      </c>
      <c r="C1807" s="7" t="str">
        <f t="shared" si="266"/>
        <v>Rob</v>
      </c>
      <c r="D1807" s="7" t="str">
        <f>+D1806</f>
        <v>Young</v>
      </c>
      <c r="E1807" s="8" t="str">
        <f>E1806</f>
        <v>SUPP</v>
      </c>
      <c r="G1807" s="8" t="str">
        <f>G1806</f>
        <v>YOUN0001</v>
      </c>
      <c r="H1807" s="26"/>
      <c r="I1807" s="26"/>
      <c r="J1807" s="26"/>
      <c r="K1807" s="28">
        <f>+N1807</f>
        <v>42156</v>
      </c>
      <c r="L1807" s="26" t="str">
        <f>M1807</f>
        <v>10503</v>
      </c>
      <c r="M1807" s="26" t="str">
        <f>"10503"</f>
        <v>10503</v>
      </c>
      <c r="N1807" s="28">
        <v>42156</v>
      </c>
      <c r="O1807" s="26"/>
      <c r="P1807" s="26"/>
      <c r="Q1807" s="26"/>
      <c r="R1807" s="26"/>
      <c r="S1807" s="26"/>
      <c r="T1807" s="27"/>
    </row>
    <row r="1808" spans="1:20" s="7" customFormat="1" hidden="1" outlineLevel="3" x14ac:dyDescent="0.2">
      <c r="A1808" s="7" t="s">
        <v>92</v>
      </c>
      <c r="C1808" s="7" t="str">
        <f t="shared" si="266"/>
        <v>Rob</v>
      </c>
      <c r="D1808" s="7" t="str">
        <f>+D1807</f>
        <v>Young</v>
      </c>
      <c r="E1808" s="8" t="str">
        <f>E1807</f>
        <v>SUPP</v>
      </c>
      <c r="G1808" s="8" t="str">
        <f>G1807</f>
        <v>YOUN0001</v>
      </c>
      <c r="H1808" s="26"/>
      <c r="I1808" s="26"/>
      <c r="J1808" s="26"/>
      <c r="K1808" s="28">
        <f>+K1807</f>
        <v>42156</v>
      </c>
      <c r="L1808" s="26" t="str">
        <f>L1807</f>
        <v>10503</v>
      </c>
      <c r="M1808" s="26"/>
      <c r="N1808" s="26"/>
      <c r="O1808" s="26" t="str">
        <f>"""GP Direct"",""Fabrikam, Inc."",""UPR30300"",""PAYRATE"",""0.00000"",""PAYROLCD"",""401K"",""STATECD"","""",""CHEKDATE"",""6/1/2015"",""UPRTRXAM"",""1.33000"""</f>
        <v>"GP Direct","Fabrikam, Inc.","UPR30300","PAYRATE","0.00000","PAYROLCD","401K","STATECD","","CHEKDATE","6/1/2015","UPRTRXAM","1.33000"</v>
      </c>
      <c r="P1808" s="29">
        <v>0</v>
      </c>
      <c r="Q1808" s="26" t="str">
        <f>"401K"</f>
        <v>401K</v>
      </c>
      <c r="R1808" s="26"/>
      <c r="S1808" s="28">
        <v>42156</v>
      </c>
      <c r="T1808" s="29">
        <v>1.33</v>
      </c>
    </row>
    <row r="1809" spans="1:20" s="7" customFormat="1" hidden="1" outlineLevel="3" x14ac:dyDescent="0.2">
      <c r="A1809" s="7" t="s">
        <v>92</v>
      </c>
      <c r="C1809" s="7" t="str">
        <f t="shared" ref="C1809:C1814" si="271">+C1808</f>
        <v>Rob</v>
      </c>
      <c r="D1809" s="7" t="str">
        <f>+D1808</f>
        <v>Young</v>
      </c>
      <c r="E1809" s="8" t="str">
        <f>E1808</f>
        <v>SUPP</v>
      </c>
      <c r="G1809" s="8" t="str">
        <f>G1808</f>
        <v>YOUN0001</v>
      </c>
      <c r="H1809" s="26"/>
      <c r="I1809" s="26"/>
      <c r="J1809" s="26"/>
      <c r="K1809" s="28">
        <f>+K1808</f>
        <v>42156</v>
      </c>
      <c r="L1809" s="26" t="str">
        <f>L1808</f>
        <v>10503</v>
      </c>
      <c r="M1809" s="26"/>
      <c r="N1809" s="26"/>
      <c r="O1809" s="26" t="str">
        <f>"""GP Direct"",""Fabrikam, Inc."",""UPR30300"",""PAYRATE"",""0.00000"",""PAYROLCD"",""401K"",""STATECD"","""",""CHEKDATE"",""6/1/2015"",""UPRTRXAM"",""26.63000"""</f>
        <v>"GP Direct","Fabrikam, Inc.","UPR30300","PAYRATE","0.00000","PAYROLCD","401K","STATECD","","CHEKDATE","6/1/2015","UPRTRXAM","26.63000"</v>
      </c>
      <c r="P1809" s="29">
        <v>0</v>
      </c>
      <c r="Q1809" s="26" t="str">
        <f>"401K"</f>
        <v>401K</v>
      </c>
      <c r="R1809" s="26"/>
      <c r="S1809" s="28">
        <v>42156</v>
      </c>
      <c r="T1809" s="29">
        <v>26.63</v>
      </c>
    </row>
    <row r="1810" spans="1:20" s="7" customFormat="1" hidden="1" outlineLevel="3" x14ac:dyDescent="0.2">
      <c r="A1810" s="7" t="s">
        <v>92</v>
      </c>
      <c r="C1810" s="7" t="str">
        <f t="shared" si="271"/>
        <v>Rob</v>
      </c>
      <c r="D1810" s="7" t="str">
        <f>+D1809</f>
        <v>Young</v>
      </c>
      <c r="E1810" s="8" t="str">
        <f>E1809</f>
        <v>SUPP</v>
      </c>
      <c r="G1810" s="8" t="str">
        <f>G1809</f>
        <v>YOUN0001</v>
      </c>
      <c r="H1810" s="26"/>
      <c r="I1810" s="26"/>
      <c r="J1810" s="26"/>
      <c r="K1810" s="28">
        <f>+K1809</f>
        <v>42156</v>
      </c>
      <c r="L1810" s="26" t="str">
        <f>L1809</f>
        <v>10503</v>
      </c>
      <c r="M1810" s="26"/>
      <c r="N1810" s="26"/>
      <c r="O1810" s="26" t="str">
        <f>"""GP Direct"",""Fabrikam, Inc."",""UPR30300"",""PAYRATE"",""0.00000"",""PAYROLCD"",""IL"",""STATECD"","""",""CHEKDATE"",""6/1/2015"",""UPRTRXAM"",""15.54000"""</f>
        <v>"GP Direct","Fabrikam, Inc.","UPR30300","PAYRATE","0.00000","PAYROLCD","IL","STATECD","","CHEKDATE","6/1/2015","UPRTRXAM","15.54000"</v>
      </c>
      <c r="P1810" s="29">
        <v>0</v>
      </c>
      <c r="Q1810" s="26" t="str">
        <f>"IL"</f>
        <v>IL</v>
      </c>
      <c r="R1810" s="26"/>
      <c r="S1810" s="28">
        <v>42156</v>
      </c>
      <c r="T1810" s="29">
        <v>15.54</v>
      </c>
    </row>
    <row r="1811" spans="1:20" s="7" customFormat="1" hidden="1" outlineLevel="3" x14ac:dyDescent="0.2">
      <c r="A1811" s="7" t="s">
        <v>92</v>
      </c>
      <c r="C1811" s="7" t="str">
        <f t="shared" si="271"/>
        <v>Rob</v>
      </c>
      <c r="D1811" s="7" t="str">
        <f>+D1810</f>
        <v>Young</v>
      </c>
      <c r="E1811" s="8" t="str">
        <f>E1810</f>
        <v>SUPP</v>
      </c>
      <c r="G1811" s="8" t="str">
        <f>G1810</f>
        <v>YOUN0001</v>
      </c>
      <c r="H1811" s="26"/>
      <c r="I1811" s="26"/>
      <c r="J1811" s="26"/>
      <c r="K1811" s="28">
        <f>+K1810</f>
        <v>42156</v>
      </c>
      <c r="L1811" s="26" t="str">
        <f>L1810</f>
        <v>10503</v>
      </c>
      <c r="M1811" s="26"/>
      <c r="N1811" s="26"/>
      <c r="O1811" s="26" t="str">
        <f>"""GP Direct"",""Fabrikam, Inc."",""UPR30300"",""PAYRATE"",""0.00000"",""PAYROLCD"",""INS"",""STATECD"","""",""CHEKDATE"",""6/1/2015"",""UPRTRXAM"",""49.36000"""</f>
        <v>"GP Direct","Fabrikam, Inc.","UPR30300","PAYRATE","0.00000","PAYROLCD","INS","STATECD","","CHEKDATE","6/1/2015","UPRTRXAM","49.36000"</v>
      </c>
      <c r="P1811" s="29">
        <v>0</v>
      </c>
      <c r="Q1811" s="26" t="str">
        <f>"INS"</f>
        <v>INS</v>
      </c>
      <c r="R1811" s="26"/>
      <c r="S1811" s="28">
        <v>42156</v>
      </c>
      <c r="T1811" s="29">
        <v>49.36</v>
      </c>
    </row>
    <row r="1812" spans="1:20" s="7" customFormat="1" hidden="1" outlineLevel="3" x14ac:dyDescent="0.2">
      <c r="A1812" s="7" t="s">
        <v>92</v>
      </c>
      <c r="C1812" s="7" t="str">
        <f t="shared" si="271"/>
        <v>Rob</v>
      </c>
      <c r="D1812" s="7" t="str">
        <f>+D1811</f>
        <v>Young</v>
      </c>
      <c r="E1812" s="8" t="str">
        <f>E1811</f>
        <v>SUPP</v>
      </c>
      <c r="G1812" s="8" t="str">
        <f>G1811</f>
        <v>YOUN0001</v>
      </c>
      <c r="H1812" s="26"/>
      <c r="I1812" s="26"/>
      <c r="J1812" s="26"/>
      <c r="K1812" s="28">
        <f>+K1811</f>
        <v>42156</v>
      </c>
      <c r="L1812" s="26" t="str">
        <f>L1811</f>
        <v>10503</v>
      </c>
      <c r="M1812" s="26"/>
      <c r="N1812" s="26"/>
      <c r="O1812" s="26" t="str">
        <f>"""GP Direct"",""Fabrikam, Inc."",""UPR30300"",""PAYRATE"",""0.00000"",""PAYROLCD"",""INS2"",""STATECD"","""",""CHEKDATE"",""6/1/2015"",""UPRTRXAM"",""72.95000"""</f>
        <v>"GP Direct","Fabrikam, Inc.","UPR30300","PAYRATE","0.00000","PAYROLCD","INS2","STATECD","","CHEKDATE","6/1/2015","UPRTRXAM","72.95000"</v>
      </c>
      <c r="P1812" s="29">
        <v>0</v>
      </c>
      <c r="Q1812" s="26" t="str">
        <f>"INS2"</f>
        <v>INS2</v>
      </c>
      <c r="R1812" s="26"/>
      <c r="S1812" s="28">
        <v>42156</v>
      </c>
      <c r="T1812" s="29">
        <v>72.95</v>
      </c>
    </row>
    <row r="1813" spans="1:20" s="7" customFormat="1" hidden="1" outlineLevel="3" x14ac:dyDescent="0.2">
      <c r="A1813" s="7" t="s">
        <v>92</v>
      </c>
      <c r="C1813" s="7" t="str">
        <f t="shared" si="271"/>
        <v>Rob</v>
      </c>
      <c r="D1813" s="7" t="str">
        <f>+D1812</f>
        <v>Young</v>
      </c>
      <c r="E1813" s="8" t="str">
        <f>E1812</f>
        <v>SUPP</v>
      </c>
      <c r="G1813" s="8" t="str">
        <f>G1812</f>
        <v>YOUN0001</v>
      </c>
      <c r="H1813" s="26"/>
      <c r="I1813" s="26"/>
      <c r="J1813" s="26"/>
      <c r="K1813" s="28">
        <f>+K1812</f>
        <v>42156</v>
      </c>
      <c r="L1813" s="26" t="str">
        <f>L1812</f>
        <v>10503</v>
      </c>
      <c r="M1813" s="26"/>
      <c r="N1813" s="26"/>
      <c r="O1813" s="26" t="str">
        <f>"""GP Direct"",""Fabrikam, Inc."",""UPR30300"",""PAYRATE"",""0.00000"",""PAYROLCD"",""MED"",""STATECD"","""",""CHEKDATE"",""6/1/2015"",""UPRTRXAM"",""20.00000"""</f>
        <v>"GP Direct","Fabrikam, Inc.","UPR30300","PAYRATE","0.00000","PAYROLCD","MED","STATECD","","CHEKDATE","6/1/2015","UPRTRXAM","20.00000"</v>
      </c>
      <c r="P1813" s="29">
        <v>0</v>
      </c>
      <c r="Q1813" s="26" t="str">
        <f>"MED"</f>
        <v>MED</v>
      </c>
      <c r="R1813" s="26"/>
      <c r="S1813" s="28">
        <v>42156</v>
      </c>
      <c r="T1813" s="29">
        <v>20</v>
      </c>
    </row>
    <row r="1814" spans="1:20" s="7" customFormat="1" hidden="1" outlineLevel="3" x14ac:dyDescent="0.2">
      <c r="A1814" s="7" t="s">
        <v>92</v>
      </c>
      <c r="C1814" s="7" t="str">
        <f t="shared" si="271"/>
        <v>Rob</v>
      </c>
      <c r="D1814" s="7" t="str">
        <f>+D1813</f>
        <v>Young</v>
      </c>
      <c r="E1814" s="8" t="str">
        <f>E1813</f>
        <v>SUPP</v>
      </c>
      <c r="G1814" s="8" t="str">
        <f>G1813</f>
        <v>YOUN0001</v>
      </c>
      <c r="H1814" s="26"/>
      <c r="I1814" s="26"/>
      <c r="J1814" s="26"/>
      <c r="K1814" s="28">
        <f>+K1813</f>
        <v>42156</v>
      </c>
      <c r="L1814" s="26" t="str">
        <f>L1813</f>
        <v>10503</v>
      </c>
      <c r="M1814" s="26"/>
      <c r="N1814" s="26"/>
      <c r="O1814" s="26" t="str">
        <f>"""GP Direct"",""Fabrikam, Inc."",""UPR30300"",""PAYRATE"",""21300.00000"",""PAYROLCD"",""SALY"",""STATECD"",""IL"",""CHEKDATE"",""6/1/2015"",""UPRTRXAM"",""887.50000"""</f>
        <v>"GP Direct","Fabrikam, Inc.","UPR30300","PAYRATE","21300.00000","PAYROLCD","SALY","STATECD","IL","CHEKDATE","6/1/2015","UPRTRXAM","887.50000"</v>
      </c>
      <c r="P1814" s="29">
        <v>21300</v>
      </c>
      <c r="Q1814" s="26" t="str">
        <f>"SALY"</f>
        <v>SALY</v>
      </c>
      <c r="R1814" s="26" t="str">
        <f>"IL"</f>
        <v>IL</v>
      </c>
      <c r="S1814" s="28">
        <v>42156</v>
      </c>
      <c r="T1814" s="29">
        <v>887.5</v>
      </c>
    </row>
    <row r="1815" spans="1:20" s="7" customFormat="1" hidden="1" outlineLevel="3" x14ac:dyDescent="0.2">
      <c r="A1815" s="7" t="s">
        <v>92</v>
      </c>
      <c r="C1815" s="7" t="str">
        <f>+C1808</f>
        <v>Rob</v>
      </c>
      <c r="D1815" s="7" t="str">
        <f>+D1808</f>
        <v>Young</v>
      </c>
      <c r="E1815" s="8" t="str">
        <f>E1808</f>
        <v>SUPP</v>
      </c>
      <c r="G1815" s="8" t="str">
        <f>G1808</f>
        <v>YOUN0001</v>
      </c>
      <c r="K1815" s="12">
        <f>+K1808</f>
        <v>42156</v>
      </c>
      <c r="L1815" s="8" t="str">
        <f>L1808</f>
        <v>10503</v>
      </c>
      <c r="O1815" s="8"/>
      <c r="T1815" s="20"/>
    </row>
    <row r="1816" spans="1:20" s="7" customFormat="1" hidden="1" outlineLevel="2" collapsed="1" x14ac:dyDescent="0.2">
      <c r="A1816" s="7" t="s">
        <v>92</v>
      </c>
      <c r="C1816" s="7" t="str">
        <f t="shared" si="266"/>
        <v>Rob</v>
      </c>
      <c r="D1816" s="7" t="str">
        <f t="shared" ref="D1767:D1816" si="272">+D1815</f>
        <v>Young</v>
      </c>
      <c r="E1816" s="8" t="str">
        <f t="shared" ref="E1767:E1816" si="273">E1815</f>
        <v>SUPP</v>
      </c>
      <c r="G1816" s="8" t="str">
        <f t="shared" ref="G1767:G1816" si="274">G1815</f>
        <v>YOUN0001</v>
      </c>
      <c r="K1816" s="12">
        <f t="shared" ref="K1808:K1816" si="275">+K1815</f>
        <v>42156</v>
      </c>
      <c r="L1816" s="8" t="str">
        <f t="shared" ref="L1808:L1816" si="276">L1815</f>
        <v>10503</v>
      </c>
      <c r="M1816" s="33" t="str">
        <f>"Total for " &amp; $L1816</f>
        <v>Total for 10503</v>
      </c>
      <c r="N1816" s="34">
        <f t="shared" ref="N1816" si="277">+K1816</f>
        <v>42156</v>
      </c>
      <c r="O1816" s="35"/>
      <c r="P1816" s="33"/>
      <c r="Q1816" s="33"/>
      <c r="R1816" s="33"/>
      <c r="S1816" s="33"/>
      <c r="T1816" s="36">
        <f t="shared" ref="T1816" si="278">SUBTOTAL(9,T1808:T1815)</f>
        <v>1073.31</v>
      </c>
    </row>
    <row r="1817" spans="1:20" s="7" customFormat="1" hidden="1" outlineLevel="2" x14ac:dyDescent="0.2">
      <c r="A1817" s="7" t="s">
        <v>92</v>
      </c>
      <c r="C1817" s="7" t="str">
        <f>+C1766</f>
        <v>Rob</v>
      </c>
      <c r="D1817" s="7" t="str">
        <f>+D1766</f>
        <v>Young</v>
      </c>
      <c r="E1817" s="8" t="str">
        <f>E1766</f>
        <v>SUPP</v>
      </c>
      <c r="G1817" s="8" t="str">
        <f>G1766</f>
        <v>YOUN0001</v>
      </c>
      <c r="L1817" s="8"/>
      <c r="O1817" s="8"/>
      <c r="T1817" s="20"/>
    </row>
    <row r="1818" spans="1:20" s="7" customFormat="1" hidden="1" outlineLevel="1" collapsed="1" x14ac:dyDescent="0.2">
      <c r="A1818" s="7" t="s">
        <v>92</v>
      </c>
      <c r="C1818" s="7" t="str">
        <f t="shared" si="264"/>
        <v>Rob</v>
      </c>
      <c r="D1818" s="7" t="str">
        <f t="shared" ref="D1756:D1818" si="279">+D1817</f>
        <v>Young</v>
      </c>
      <c r="E1818" s="8" t="str">
        <f t="shared" ref="E1627:E1818" si="280">E1817</f>
        <v>SUPP</v>
      </c>
      <c r="G1818" s="8" t="str">
        <f t="shared" ref="G1756:G1818" si="281">G1817</f>
        <v>YOUN0001</v>
      </c>
      <c r="H1818" s="30" t="str">
        <f>"Total for " &amp; $G1818</f>
        <v>Total for YOUN0001</v>
      </c>
      <c r="I1818" s="30" t="str">
        <f t="shared" ref="I1818" si="282">+C1818</f>
        <v>Rob</v>
      </c>
      <c r="J1818" s="30" t="str">
        <f t="shared" ref="J1818" si="283">+D1818</f>
        <v>Young</v>
      </c>
      <c r="K1818" s="30"/>
      <c r="L1818" s="31"/>
      <c r="M1818" s="30"/>
      <c r="N1818" s="30"/>
      <c r="O1818" s="31"/>
      <c r="P1818" s="30"/>
      <c r="Q1818" s="30"/>
      <c r="R1818" s="30"/>
      <c r="S1818" s="30"/>
      <c r="T1818" s="32">
        <f t="shared" ref="T1818" si="284">SUBTOTAL(9,T1757:T1817)</f>
        <v>6352.9699999999993</v>
      </c>
    </row>
    <row r="1819" spans="1:20" s="7" customFormat="1" hidden="1" outlineLevel="1" x14ac:dyDescent="0.2">
      <c r="A1819" s="7" t="s">
        <v>92</v>
      </c>
      <c r="E1819" s="8" t="str">
        <f>E1626</f>
        <v>SUPP</v>
      </c>
      <c r="G1819" s="8"/>
      <c r="L1819" s="8"/>
      <c r="O1819" s="8"/>
      <c r="T1819" s="20"/>
    </row>
    <row r="1820" spans="1:20" s="7" customFormat="1" collapsed="1" x14ac:dyDescent="0.2">
      <c r="A1820" s="7" t="s">
        <v>92</v>
      </c>
      <c r="E1820" s="8" t="str">
        <f t="shared" ref="E1554:E1820" si="285">E1819</f>
        <v>SUPP</v>
      </c>
      <c r="F1820" s="13" t="str">
        <f t="shared" ref="F1820" si="286">"Total for " &amp; F1553</f>
        <v>Total for Support</v>
      </c>
      <c r="G1820" s="13"/>
      <c r="H1820" s="13"/>
      <c r="I1820" s="13"/>
      <c r="J1820" s="13"/>
      <c r="K1820" s="13"/>
      <c r="L1820" s="13"/>
      <c r="M1820" s="13"/>
      <c r="N1820" s="13"/>
      <c r="O1820" s="13"/>
      <c r="P1820" s="13"/>
      <c r="Q1820" s="13"/>
      <c r="R1820" s="13"/>
      <c r="S1820" s="13"/>
      <c r="T1820" s="21">
        <f t="shared" ref="T1820" si="287">SUBTOTAL(9,T1556:T1819)</f>
        <v>27913.170000000046</v>
      </c>
    </row>
    <row r="1821" spans="1:20" s="7" customFormat="1" x14ac:dyDescent="0.2">
      <c r="E1821" s="8"/>
      <c r="G1821" s="8"/>
      <c r="L1821" s="8"/>
      <c r="O1821" s="8"/>
      <c r="T1821" s="20"/>
    </row>
    <row r="1822" spans="1:20" s="7" customFormat="1" ht="13.5" thickBot="1" x14ac:dyDescent="0.25">
      <c r="E1822" s="8"/>
      <c r="F1822" s="14" t="s">
        <v>15</v>
      </c>
      <c r="G1822" s="15"/>
      <c r="H1822" s="14"/>
      <c r="I1822" s="14"/>
      <c r="J1822" s="14"/>
      <c r="K1822" s="14"/>
      <c r="L1822" s="15"/>
      <c r="M1822" s="14"/>
      <c r="N1822" s="14"/>
      <c r="O1822" s="15"/>
      <c r="P1822" s="14"/>
      <c r="Q1822" s="14"/>
      <c r="R1822" s="14"/>
      <c r="S1822" s="14"/>
      <c r="T1822" s="22">
        <f>SUBTOTAL(9,T15:T1821)</f>
        <v>270137.87999999971</v>
      </c>
    </row>
    <row r="1823" spans="1:20" s="7" customFormat="1" ht="13.5" thickTop="1" x14ac:dyDescent="0.2">
      <c r="E1823" s="8"/>
      <c r="G1823" s="8"/>
      <c r="L1823" s="8"/>
      <c r="O1823" s="8"/>
      <c r="T1823" s="10"/>
    </row>
    <row r="1824" spans="1:20" s="7" customFormat="1" x14ac:dyDescent="0.2">
      <c r="E1824" s="8"/>
      <c r="G1824" s="8"/>
      <c r="L1824" s="8"/>
      <c r="O1824" s="8"/>
      <c r="T1824" s="10"/>
    </row>
    <row r="1825" spans="5:20" s="7" customFormat="1" x14ac:dyDescent="0.2">
      <c r="E1825" s="8"/>
      <c r="G1825" s="8"/>
      <c r="L1825" s="8"/>
      <c r="O1825" s="8"/>
      <c r="T1825" s="10"/>
    </row>
    <row r="1826" spans="5:20" s="7" customFormat="1" x14ac:dyDescent="0.2">
      <c r="E1826" s="8"/>
      <c r="G1826" s="8"/>
      <c r="L1826" s="8"/>
      <c r="O1826" s="8"/>
      <c r="T1826" s="10"/>
    </row>
    <row r="1827" spans="5:20" s="7" customFormat="1" x14ac:dyDescent="0.2">
      <c r="E1827" s="8"/>
      <c r="G1827" s="8"/>
      <c r="L1827" s="8"/>
      <c r="O1827" s="8"/>
      <c r="T1827" s="10"/>
    </row>
    <row r="1828" spans="5:20" s="7" customFormat="1" x14ac:dyDescent="0.2">
      <c r="E1828" s="8"/>
      <c r="G1828" s="8"/>
      <c r="L1828" s="8"/>
      <c r="O1828" s="8"/>
      <c r="T1828" s="10"/>
    </row>
    <row r="1829" spans="5:20" s="7" customFormat="1" x14ac:dyDescent="0.2">
      <c r="E1829" s="8"/>
      <c r="G1829" s="8"/>
      <c r="L1829" s="8"/>
      <c r="O1829" s="8"/>
      <c r="T1829" s="10"/>
    </row>
    <row r="1830" spans="5:20" s="7" customFormat="1" x14ac:dyDescent="0.2">
      <c r="E1830" s="8"/>
      <c r="G1830" s="8"/>
      <c r="L1830" s="8"/>
      <c r="O1830" s="8"/>
      <c r="T1830" s="10"/>
    </row>
    <row r="1831" spans="5:20" s="7" customFormat="1" x14ac:dyDescent="0.2">
      <c r="E1831" s="8"/>
      <c r="G1831" s="8"/>
      <c r="L1831" s="8"/>
      <c r="O1831" s="8"/>
      <c r="T1831" s="10"/>
    </row>
    <row r="1832" spans="5:20" s="7" customFormat="1" x14ac:dyDescent="0.2">
      <c r="E1832" s="8"/>
      <c r="G1832" s="8"/>
      <c r="L1832" s="8"/>
      <c r="O1832" s="8"/>
      <c r="T1832" s="10"/>
    </row>
    <row r="1833" spans="5:20" s="7" customFormat="1" x14ac:dyDescent="0.2">
      <c r="E1833" s="8"/>
      <c r="G1833" s="8"/>
      <c r="L1833" s="8"/>
      <c r="O1833" s="8"/>
      <c r="T1833" s="10"/>
    </row>
    <row r="1834" spans="5:20" s="7" customFormat="1" x14ac:dyDescent="0.2">
      <c r="E1834" s="8"/>
      <c r="G1834" s="8"/>
      <c r="L1834" s="8"/>
      <c r="O1834" s="8"/>
      <c r="T1834" s="10"/>
    </row>
    <row r="1835" spans="5:20" s="7" customFormat="1" x14ac:dyDescent="0.2">
      <c r="E1835" s="8"/>
      <c r="G1835" s="8"/>
      <c r="L1835" s="8"/>
      <c r="O1835" s="8"/>
      <c r="T1835" s="10"/>
    </row>
    <row r="1836" spans="5:20" s="7" customFormat="1" x14ac:dyDescent="0.2">
      <c r="E1836" s="8"/>
      <c r="G1836" s="8"/>
      <c r="L1836" s="8"/>
      <c r="O1836" s="8"/>
      <c r="T1836" s="10"/>
    </row>
    <row r="1837" spans="5:20" s="7" customFormat="1" x14ac:dyDescent="0.2">
      <c r="E1837" s="8"/>
      <c r="G1837" s="8"/>
      <c r="L1837" s="8"/>
      <c r="O1837" s="8"/>
      <c r="T1837" s="10"/>
    </row>
    <row r="1838" spans="5:20" s="7" customFormat="1" x14ac:dyDescent="0.2">
      <c r="E1838" s="8"/>
      <c r="G1838" s="8"/>
      <c r="L1838" s="8"/>
      <c r="O1838" s="8"/>
      <c r="T1838" s="10"/>
    </row>
    <row r="1839" spans="5:20" s="7" customFormat="1" x14ac:dyDescent="0.2">
      <c r="E1839" s="8"/>
      <c r="G1839" s="8"/>
      <c r="L1839" s="8"/>
      <c r="O1839" s="8"/>
      <c r="T1839" s="10"/>
    </row>
    <row r="1840" spans="5:20" s="7" customFormat="1" x14ac:dyDescent="0.2">
      <c r="E1840" s="8"/>
      <c r="G1840" s="8"/>
      <c r="L1840" s="8"/>
      <c r="O1840" s="8"/>
      <c r="T1840" s="10"/>
    </row>
    <row r="1841" spans="5:20" s="7" customFormat="1" x14ac:dyDescent="0.2">
      <c r="E1841" s="8"/>
      <c r="G1841" s="8"/>
      <c r="L1841" s="8"/>
      <c r="O1841" s="8"/>
      <c r="T1841" s="10"/>
    </row>
    <row r="1842" spans="5:20" s="7" customFormat="1" x14ac:dyDescent="0.2">
      <c r="E1842" s="8"/>
      <c r="G1842" s="8"/>
      <c r="L1842" s="8"/>
      <c r="O1842" s="8"/>
      <c r="T1842" s="10"/>
    </row>
    <row r="1843" spans="5:20" s="7" customFormat="1" x14ac:dyDescent="0.2">
      <c r="E1843" s="8"/>
      <c r="G1843" s="8"/>
      <c r="L1843" s="8"/>
      <c r="O1843" s="8"/>
      <c r="T1843" s="10"/>
    </row>
    <row r="1844" spans="5:20" s="7" customFormat="1" x14ac:dyDescent="0.2">
      <c r="E1844" s="8"/>
      <c r="G1844" s="8"/>
      <c r="L1844" s="8"/>
      <c r="O1844" s="8"/>
      <c r="T1844" s="10"/>
    </row>
    <row r="1845" spans="5:20" s="7" customFormat="1" x14ac:dyDescent="0.2">
      <c r="E1845" s="8"/>
      <c r="G1845" s="8"/>
      <c r="L1845" s="8"/>
      <c r="O1845" s="8"/>
      <c r="T1845" s="10"/>
    </row>
    <row r="1846" spans="5:20" s="7" customFormat="1" x14ac:dyDescent="0.2">
      <c r="E1846" s="8"/>
      <c r="G1846" s="8"/>
      <c r="L1846" s="8"/>
      <c r="O1846" s="8"/>
      <c r="T1846" s="10"/>
    </row>
    <row r="1847" spans="5:20" s="7" customFormat="1" x14ac:dyDescent="0.2">
      <c r="E1847" s="8"/>
      <c r="G1847" s="8"/>
      <c r="L1847" s="8"/>
      <c r="O1847" s="8"/>
      <c r="T1847" s="10"/>
    </row>
    <row r="1848" spans="5:20" s="7" customFormat="1" x14ac:dyDescent="0.2">
      <c r="E1848" s="8"/>
      <c r="G1848" s="8"/>
      <c r="L1848" s="8"/>
      <c r="O1848" s="8"/>
      <c r="T1848" s="10"/>
    </row>
    <row r="1849" spans="5:20" s="7" customFormat="1" x14ac:dyDescent="0.2">
      <c r="E1849" s="8"/>
      <c r="G1849" s="8"/>
      <c r="L1849" s="8"/>
      <c r="O1849" s="8"/>
      <c r="T1849" s="10"/>
    </row>
    <row r="1850" spans="5:20" s="7" customFormat="1" x14ac:dyDescent="0.2">
      <c r="E1850" s="8"/>
      <c r="G1850" s="8"/>
      <c r="L1850" s="8"/>
      <c r="O1850" s="8"/>
      <c r="T1850" s="10"/>
    </row>
    <row r="1851" spans="5:20" s="7" customFormat="1" x14ac:dyDescent="0.2">
      <c r="E1851" s="8"/>
      <c r="G1851" s="8"/>
      <c r="L1851" s="8"/>
      <c r="O1851" s="8"/>
      <c r="T1851" s="10"/>
    </row>
    <row r="1852" spans="5:20" s="7" customFormat="1" x14ac:dyDescent="0.2">
      <c r="E1852" s="8"/>
      <c r="G1852" s="8"/>
      <c r="L1852" s="8"/>
      <c r="O1852" s="8"/>
      <c r="T1852" s="10"/>
    </row>
    <row r="1853" spans="5:20" s="7" customFormat="1" x14ac:dyDescent="0.2">
      <c r="E1853" s="8"/>
      <c r="G1853" s="8"/>
      <c r="L1853" s="8"/>
      <c r="O1853" s="8"/>
      <c r="T1853" s="10"/>
    </row>
    <row r="1854" spans="5:20" s="7" customFormat="1" x14ac:dyDescent="0.2">
      <c r="E1854" s="8"/>
      <c r="G1854" s="8"/>
      <c r="L1854" s="8"/>
      <c r="O1854" s="8"/>
      <c r="T1854" s="10"/>
    </row>
    <row r="1855" spans="5:20" s="7" customFormat="1" x14ac:dyDescent="0.2">
      <c r="E1855" s="8"/>
      <c r="G1855" s="8"/>
      <c r="L1855" s="8"/>
      <c r="O1855" s="8"/>
      <c r="T1855" s="10"/>
    </row>
    <row r="1856" spans="5:20" s="7" customFormat="1" x14ac:dyDescent="0.2">
      <c r="E1856" s="8"/>
      <c r="G1856" s="8"/>
      <c r="L1856" s="8"/>
      <c r="O1856" s="8"/>
      <c r="T1856" s="10"/>
    </row>
    <row r="1857" spans="5:20" s="7" customFormat="1" x14ac:dyDescent="0.2">
      <c r="E1857" s="8"/>
      <c r="G1857" s="8"/>
      <c r="L1857" s="8"/>
      <c r="O1857" s="8"/>
      <c r="T1857" s="10"/>
    </row>
    <row r="1858" spans="5:20" s="7" customFormat="1" x14ac:dyDescent="0.2">
      <c r="E1858" s="8"/>
      <c r="G1858" s="8"/>
      <c r="L1858" s="8"/>
      <c r="O1858" s="8"/>
      <c r="T1858" s="10"/>
    </row>
    <row r="1859" spans="5:20" s="7" customFormat="1" x14ac:dyDescent="0.2">
      <c r="E1859" s="8"/>
      <c r="G1859" s="8"/>
      <c r="L1859" s="8"/>
      <c r="O1859" s="8"/>
      <c r="T1859" s="10"/>
    </row>
    <row r="1860" spans="5:20" s="7" customFormat="1" x14ac:dyDescent="0.2">
      <c r="E1860" s="8"/>
      <c r="G1860" s="8"/>
      <c r="L1860" s="8"/>
      <c r="O1860" s="8"/>
      <c r="T1860" s="10"/>
    </row>
    <row r="1861" spans="5:20" s="7" customFormat="1" x14ac:dyDescent="0.2">
      <c r="E1861" s="8"/>
      <c r="G1861" s="8"/>
      <c r="L1861" s="8"/>
      <c r="O1861" s="8"/>
      <c r="T1861" s="10"/>
    </row>
    <row r="1862" spans="5:20" s="7" customFormat="1" x14ac:dyDescent="0.2">
      <c r="E1862" s="8"/>
      <c r="G1862" s="8"/>
      <c r="L1862" s="8"/>
      <c r="O1862" s="8"/>
      <c r="T1862" s="10"/>
    </row>
    <row r="1863" spans="5:20" s="7" customFormat="1" x14ac:dyDescent="0.2">
      <c r="E1863" s="8"/>
      <c r="G1863" s="8"/>
      <c r="L1863" s="8"/>
      <c r="O1863" s="8"/>
      <c r="T1863" s="10"/>
    </row>
    <row r="1864" spans="5:20" s="7" customFormat="1" x14ac:dyDescent="0.2">
      <c r="E1864" s="8"/>
      <c r="G1864" s="8"/>
      <c r="L1864" s="8"/>
      <c r="O1864" s="8"/>
      <c r="T1864" s="10"/>
    </row>
    <row r="1865" spans="5:20" s="7" customFormat="1" x14ac:dyDescent="0.2">
      <c r="E1865" s="8"/>
      <c r="G1865" s="8"/>
      <c r="L1865" s="8"/>
      <c r="O1865" s="8"/>
      <c r="T1865" s="10"/>
    </row>
    <row r="1866" spans="5:20" s="7" customFormat="1" x14ac:dyDescent="0.2">
      <c r="E1866" s="8"/>
      <c r="G1866" s="8"/>
      <c r="L1866" s="8"/>
      <c r="O1866" s="8"/>
      <c r="T1866" s="10"/>
    </row>
    <row r="1867" spans="5:20" s="7" customFormat="1" x14ac:dyDescent="0.2">
      <c r="E1867" s="8"/>
      <c r="G1867" s="8"/>
      <c r="L1867" s="8"/>
      <c r="O1867" s="8"/>
      <c r="T1867" s="10"/>
    </row>
    <row r="1868" spans="5:20" s="7" customFormat="1" x14ac:dyDescent="0.2">
      <c r="E1868" s="8"/>
      <c r="G1868" s="8"/>
      <c r="L1868" s="8"/>
      <c r="O1868" s="8"/>
      <c r="T1868" s="10"/>
    </row>
    <row r="1869" spans="5:20" s="7" customFormat="1" x14ac:dyDescent="0.2">
      <c r="E1869" s="8"/>
      <c r="G1869" s="8"/>
      <c r="L1869" s="8"/>
      <c r="O1869" s="8"/>
      <c r="T1869" s="10"/>
    </row>
    <row r="1870" spans="5:20" s="7" customFormat="1" x14ac:dyDescent="0.2">
      <c r="E1870" s="8"/>
      <c r="G1870" s="8"/>
      <c r="L1870" s="8"/>
      <c r="O1870" s="8"/>
      <c r="T1870" s="10"/>
    </row>
    <row r="1871" spans="5:20" s="7" customFormat="1" x14ac:dyDescent="0.2">
      <c r="E1871" s="8"/>
      <c r="G1871" s="8"/>
      <c r="L1871" s="8"/>
      <c r="O1871" s="8"/>
      <c r="T1871" s="10"/>
    </row>
    <row r="1872" spans="5:20" s="7" customFormat="1" x14ac:dyDescent="0.2">
      <c r="E1872" s="8"/>
      <c r="G1872" s="8"/>
      <c r="L1872" s="8"/>
      <c r="O1872" s="8"/>
      <c r="T1872" s="10"/>
    </row>
    <row r="1873" spans="5:20" s="7" customFormat="1" x14ac:dyDescent="0.2">
      <c r="E1873" s="8"/>
      <c r="G1873" s="8"/>
      <c r="L1873" s="8"/>
      <c r="O1873" s="8"/>
      <c r="T1873" s="10"/>
    </row>
    <row r="1874" spans="5:20" s="7" customFormat="1" x14ac:dyDescent="0.2">
      <c r="E1874" s="8"/>
      <c r="G1874" s="8"/>
      <c r="L1874" s="8"/>
      <c r="O1874" s="8"/>
      <c r="T1874" s="10"/>
    </row>
    <row r="1875" spans="5:20" s="7" customFormat="1" x14ac:dyDescent="0.2">
      <c r="E1875" s="8"/>
      <c r="G1875" s="8"/>
      <c r="L1875" s="8"/>
      <c r="O1875" s="8"/>
      <c r="T1875" s="10"/>
    </row>
    <row r="1876" spans="5:20" s="7" customFormat="1" x14ac:dyDescent="0.2">
      <c r="E1876" s="8"/>
      <c r="G1876" s="8"/>
      <c r="L1876" s="8"/>
      <c r="O1876" s="8"/>
      <c r="T1876" s="10"/>
    </row>
    <row r="1877" spans="5:20" s="7" customFormat="1" x14ac:dyDescent="0.2">
      <c r="E1877" s="8"/>
      <c r="G1877" s="8"/>
      <c r="L1877" s="8"/>
      <c r="O1877" s="8"/>
      <c r="T1877" s="10"/>
    </row>
    <row r="1878" spans="5:20" s="7" customFormat="1" x14ac:dyDescent="0.2">
      <c r="E1878" s="8"/>
      <c r="G1878" s="8"/>
      <c r="L1878" s="8"/>
      <c r="O1878" s="8"/>
      <c r="T1878" s="10"/>
    </row>
    <row r="1879" spans="5:20" s="7" customFormat="1" x14ac:dyDescent="0.2">
      <c r="E1879" s="8"/>
      <c r="G1879" s="8"/>
      <c r="L1879" s="8"/>
      <c r="O1879" s="8"/>
      <c r="T1879" s="10"/>
    </row>
    <row r="1880" spans="5:20" s="7" customFormat="1" x14ac:dyDescent="0.2">
      <c r="E1880" s="8"/>
      <c r="G1880" s="8"/>
      <c r="L1880" s="8"/>
      <c r="O1880" s="8"/>
      <c r="T1880" s="10"/>
    </row>
    <row r="1881" spans="5:20" s="7" customFormat="1" x14ac:dyDescent="0.2">
      <c r="E1881" s="8"/>
      <c r="G1881" s="8"/>
      <c r="L1881" s="8"/>
      <c r="O1881" s="8"/>
      <c r="T1881" s="10"/>
    </row>
    <row r="1882" spans="5:20" s="7" customFormat="1" x14ac:dyDescent="0.2">
      <c r="E1882" s="8"/>
      <c r="G1882" s="8"/>
      <c r="L1882" s="8"/>
      <c r="O1882" s="8"/>
      <c r="T1882" s="10"/>
    </row>
    <row r="1883" spans="5:20" s="7" customFormat="1" x14ac:dyDescent="0.2">
      <c r="E1883" s="8"/>
      <c r="G1883" s="8"/>
      <c r="L1883" s="8"/>
      <c r="O1883" s="8"/>
      <c r="T1883" s="10"/>
    </row>
    <row r="1884" spans="5:20" s="7" customFormat="1" x14ac:dyDescent="0.2">
      <c r="E1884" s="8"/>
      <c r="G1884" s="8"/>
      <c r="L1884" s="8"/>
      <c r="O1884" s="8"/>
      <c r="T1884" s="10"/>
    </row>
    <row r="1885" spans="5:20" s="7" customFormat="1" x14ac:dyDescent="0.2">
      <c r="E1885" s="8"/>
      <c r="G1885" s="8"/>
      <c r="L1885" s="8"/>
      <c r="O1885" s="8"/>
      <c r="T1885" s="10"/>
    </row>
    <row r="1886" spans="5:20" s="7" customFormat="1" x14ac:dyDescent="0.2">
      <c r="E1886" s="8"/>
      <c r="G1886" s="8"/>
      <c r="L1886" s="8"/>
      <c r="O1886" s="8"/>
      <c r="T1886" s="10"/>
    </row>
    <row r="1887" spans="5:20" s="7" customFormat="1" x14ac:dyDescent="0.2">
      <c r="E1887" s="8"/>
      <c r="G1887" s="8"/>
      <c r="L1887" s="8"/>
      <c r="O1887" s="8"/>
      <c r="T1887" s="10"/>
    </row>
    <row r="1888" spans="5:20" s="7" customFormat="1" x14ac:dyDescent="0.2">
      <c r="E1888" s="8"/>
      <c r="G1888" s="8"/>
      <c r="L1888" s="8"/>
      <c r="O1888" s="8"/>
      <c r="T1888" s="10"/>
    </row>
    <row r="1889" spans="5:20" s="7" customFormat="1" x14ac:dyDescent="0.2">
      <c r="E1889" s="8"/>
      <c r="G1889" s="8"/>
      <c r="L1889" s="8"/>
      <c r="O1889" s="8"/>
      <c r="T1889" s="10"/>
    </row>
    <row r="1890" spans="5:20" s="7" customFormat="1" x14ac:dyDescent="0.2">
      <c r="E1890" s="8"/>
      <c r="G1890" s="8"/>
      <c r="L1890" s="8"/>
      <c r="O1890" s="8"/>
      <c r="T1890" s="10"/>
    </row>
    <row r="1891" spans="5:20" s="7" customFormat="1" x14ac:dyDescent="0.2">
      <c r="E1891" s="8"/>
      <c r="G1891" s="8"/>
      <c r="L1891" s="8"/>
      <c r="O1891" s="8"/>
      <c r="T1891" s="10"/>
    </row>
    <row r="1892" spans="5:20" s="7" customFormat="1" x14ac:dyDescent="0.2">
      <c r="E1892" s="8"/>
      <c r="G1892" s="8"/>
      <c r="L1892" s="8"/>
      <c r="O1892" s="8"/>
      <c r="T1892" s="10"/>
    </row>
    <row r="1893" spans="5:20" s="7" customFormat="1" x14ac:dyDescent="0.2">
      <c r="E1893" s="8"/>
      <c r="G1893" s="8"/>
      <c r="L1893" s="8"/>
      <c r="O1893" s="8"/>
      <c r="T1893" s="10"/>
    </row>
    <row r="1894" spans="5:20" s="7" customFormat="1" x14ac:dyDescent="0.2">
      <c r="E1894" s="8"/>
      <c r="G1894" s="8"/>
      <c r="L1894" s="8"/>
      <c r="O1894" s="8"/>
      <c r="T1894" s="10"/>
    </row>
    <row r="1895" spans="5:20" s="7" customFormat="1" x14ac:dyDescent="0.2">
      <c r="E1895" s="8"/>
      <c r="G1895" s="8"/>
      <c r="L1895" s="8"/>
      <c r="O1895" s="8"/>
      <c r="T1895" s="10"/>
    </row>
    <row r="1896" spans="5:20" s="7" customFormat="1" x14ac:dyDescent="0.2">
      <c r="E1896" s="8"/>
      <c r="G1896" s="8"/>
      <c r="L1896" s="8"/>
      <c r="O1896" s="8"/>
      <c r="T1896" s="10"/>
    </row>
    <row r="1897" spans="5:20" s="7" customFormat="1" x14ac:dyDescent="0.2">
      <c r="E1897" s="8"/>
      <c r="G1897" s="8"/>
      <c r="L1897" s="8"/>
      <c r="O1897" s="8"/>
      <c r="T1897" s="10"/>
    </row>
    <row r="1898" spans="5:20" s="7" customFormat="1" x14ac:dyDescent="0.2">
      <c r="E1898" s="8"/>
      <c r="G1898" s="8"/>
      <c r="L1898" s="8"/>
      <c r="O1898" s="8"/>
      <c r="T1898" s="10"/>
    </row>
    <row r="1899" spans="5:20" s="7" customFormat="1" x14ac:dyDescent="0.2">
      <c r="E1899" s="8"/>
      <c r="G1899" s="8"/>
      <c r="L1899" s="8"/>
      <c r="O1899" s="8"/>
      <c r="T1899" s="10"/>
    </row>
    <row r="1900" spans="5:20" s="7" customFormat="1" x14ac:dyDescent="0.2">
      <c r="E1900" s="8"/>
      <c r="G1900" s="8"/>
      <c r="L1900" s="8"/>
      <c r="O1900" s="8"/>
      <c r="T1900" s="10"/>
    </row>
    <row r="1901" spans="5:20" s="7" customFormat="1" x14ac:dyDescent="0.2">
      <c r="E1901" s="8"/>
      <c r="G1901" s="8"/>
      <c r="L1901" s="8"/>
      <c r="O1901" s="8"/>
      <c r="T1901" s="10"/>
    </row>
    <row r="1902" spans="5:20" s="7" customFormat="1" x14ac:dyDescent="0.2">
      <c r="E1902" s="8"/>
      <c r="G1902" s="8"/>
      <c r="L1902" s="8"/>
      <c r="O1902" s="8"/>
      <c r="T1902" s="10"/>
    </row>
    <row r="1903" spans="5:20" s="7" customFormat="1" x14ac:dyDescent="0.2">
      <c r="E1903" s="8"/>
      <c r="G1903" s="8"/>
      <c r="L1903" s="8"/>
      <c r="O1903" s="8"/>
      <c r="T1903" s="10"/>
    </row>
    <row r="1904" spans="5:20" s="7" customFormat="1" x14ac:dyDescent="0.2">
      <c r="E1904" s="8"/>
      <c r="G1904" s="8"/>
      <c r="L1904" s="8"/>
      <c r="O1904" s="8"/>
      <c r="T1904" s="10"/>
    </row>
    <row r="1905" spans="5:20" s="7" customFormat="1" x14ac:dyDescent="0.2">
      <c r="E1905" s="8"/>
      <c r="G1905" s="8"/>
      <c r="L1905" s="8"/>
      <c r="O1905" s="8"/>
      <c r="T1905" s="10"/>
    </row>
    <row r="1906" spans="5:20" s="7" customFormat="1" x14ac:dyDescent="0.2">
      <c r="E1906" s="8"/>
      <c r="G1906" s="8"/>
      <c r="L1906" s="8"/>
      <c r="O1906" s="8"/>
      <c r="T1906" s="10"/>
    </row>
    <row r="1907" spans="5:20" s="7" customFormat="1" x14ac:dyDescent="0.2">
      <c r="E1907" s="8"/>
      <c r="G1907" s="8"/>
      <c r="L1907" s="8"/>
      <c r="O1907" s="8"/>
      <c r="T1907" s="10"/>
    </row>
    <row r="1908" spans="5:20" s="7" customFormat="1" x14ac:dyDescent="0.2">
      <c r="E1908" s="8"/>
      <c r="G1908" s="8"/>
      <c r="L1908" s="8"/>
      <c r="O1908" s="8"/>
      <c r="T1908" s="10"/>
    </row>
    <row r="1909" spans="5:20" s="7" customFormat="1" x14ac:dyDescent="0.2">
      <c r="E1909" s="8"/>
      <c r="G1909" s="8"/>
      <c r="L1909" s="8"/>
      <c r="O1909" s="8"/>
      <c r="T1909" s="10"/>
    </row>
    <row r="1910" spans="5:20" s="7" customFormat="1" x14ac:dyDescent="0.2">
      <c r="E1910" s="8"/>
      <c r="G1910" s="8"/>
      <c r="L1910" s="8"/>
      <c r="O1910" s="8"/>
      <c r="T1910" s="10"/>
    </row>
    <row r="1911" spans="5:20" s="7" customFormat="1" x14ac:dyDescent="0.2">
      <c r="E1911" s="8"/>
      <c r="G1911" s="8"/>
      <c r="L1911" s="8"/>
      <c r="O1911" s="8"/>
      <c r="T1911" s="10"/>
    </row>
    <row r="1912" spans="5:20" s="7" customFormat="1" x14ac:dyDescent="0.2">
      <c r="E1912" s="8"/>
      <c r="G1912" s="8"/>
      <c r="L1912" s="8"/>
      <c r="O1912" s="8"/>
      <c r="T1912" s="10"/>
    </row>
    <row r="1913" spans="5:20" s="7" customFormat="1" x14ac:dyDescent="0.2">
      <c r="E1913" s="8"/>
      <c r="G1913" s="8"/>
      <c r="L1913" s="8"/>
      <c r="O1913" s="8"/>
      <c r="T1913" s="10"/>
    </row>
    <row r="1914" spans="5:20" s="7" customFormat="1" x14ac:dyDescent="0.2">
      <c r="E1914" s="8"/>
      <c r="G1914" s="8"/>
      <c r="L1914" s="8"/>
      <c r="O1914" s="8"/>
      <c r="T1914" s="10"/>
    </row>
    <row r="1915" spans="5:20" s="7" customFormat="1" x14ac:dyDescent="0.2">
      <c r="E1915" s="8"/>
      <c r="G1915" s="8"/>
      <c r="L1915" s="8"/>
      <c r="O1915" s="8"/>
      <c r="T1915" s="10"/>
    </row>
    <row r="1916" spans="5:20" s="7" customFormat="1" x14ac:dyDescent="0.2">
      <c r="E1916" s="8"/>
      <c r="G1916" s="8"/>
      <c r="L1916" s="8"/>
      <c r="O1916" s="8"/>
      <c r="T1916" s="10"/>
    </row>
    <row r="1917" spans="5:20" s="7" customFormat="1" x14ac:dyDescent="0.2">
      <c r="E1917" s="8"/>
      <c r="G1917" s="8"/>
      <c r="L1917" s="8"/>
      <c r="O1917" s="8"/>
      <c r="T1917" s="10"/>
    </row>
    <row r="1918" spans="5:20" s="7" customFormat="1" x14ac:dyDescent="0.2">
      <c r="E1918" s="8"/>
      <c r="G1918" s="8"/>
      <c r="L1918" s="8"/>
      <c r="O1918" s="8"/>
      <c r="T1918" s="10"/>
    </row>
    <row r="1919" spans="5:20" s="7" customFormat="1" x14ac:dyDescent="0.2">
      <c r="E1919" s="8"/>
      <c r="G1919" s="8"/>
      <c r="L1919" s="8"/>
      <c r="O1919" s="8"/>
      <c r="T1919" s="10"/>
    </row>
    <row r="1920" spans="5:20" s="7" customFormat="1" x14ac:dyDescent="0.2">
      <c r="E1920" s="8"/>
      <c r="G1920" s="8"/>
      <c r="L1920" s="8"/>
      <c r="O1920" s="8"/>
      <c r="T1920" s="10"/>
    </row>
    <row r="1921" spans="5:20" s="7" customFormat="1" x14ac:dyDescent="0.2">
      <c r="E1921" s="8"/>
      <c r="G1921" s="8"/>
      <c r="L1921" s="8"/>
      <c r="O1921" s="8"/>
      <c r="T1921" s="10"/>
    </row>
    <row r="1922" spans="5:20" s="7" customFormat="1" x14ac:dyDescent="0.2">
      <c r="E1922" s="8"/>
      <c r="G1922" s="8"/>
      <c r="L1922" s="8"/>
      <c r="O1922" s="8"/>
      <c r="T1922" s="10"/>
    </row>
    <row r="1923" spans="5:20" s="7" customFormat="1" x14ac:dyDescent="0.2">
      <c r="E1923" s="8"/>
      <c r="G1923" s="8"/>
      <c r="L1923" s="8"/>
      <c r="O1923" s="8"/>
      <c r="T1923" s="10"/>
    </row>
    <row r="1924" spans="5:20" s="7" customFormat="1" x14ac:dyDescent="0.2">
      <c r="E1924" s="8"/>
      <c r="G1924" s="8"/>
      <c r="L1924" s="8"/>
      <c r="O1924" s="8"/>
      <c r="T1924" s="10"/>
    </row>
    <row r="1925" spans="5:20" s="7" customFormat="1" x14ac:dyDescent="0.2">
      <c r="E1925" s="8"/>
      <c r="G1925" s="8"/>
      <c r="L1925" s="8"/>
      <c r="O1925" s="8"/>
      <c r="T1925" s="10"/>
    </row>
    <row r="1926" spans="5:20" s="7" customFormat="1" x14ac:dyDescent="0.2">
      <c r="E1926" s="8"/>
      <c r="G1926" s="8"/>
      <c r="L1926" s="8"/>
      <c r="O1926" s="8"/>
      <c r="T1926" s="10"/>
    </row>
    <row r="1927" spans="5:20" s="7" customFormat="1" x14ac:dyDescent="0.2">
      <c r="E1927" s="8"/>
      <c r="G1927" s="8"/>
      <c r="L1927" s="8"/>
      <c r="O1927" s="8"/>
      <c r="T1927" s="10"/>
    </row>
    <row r="1928" spans="5:20" s="7" customFormat="1" x14ac:dyDescent="0.2">
      <c r="E1928" s="8"/>
      <c r="G1928" s="8"/>
      <c r="L1928" s="8"/>
      <c r="O1928" s="8"/>
      <c r="T1928" s="10"/>
    </row>
    <row r="1929" spans="5:20" s="7" customFormat="1" x14ac:dyDescent="0.2">
      <c r="E1929" s="8"/>
      <c r="G1929" s="8"/>
      <c r="L1929" s="8"/>
      <c r="O1929" s="8"/>
      <c r="T1929" s="10"/>
    </row>
    <row r="1930" spans="5:20" s="7" customFormat="1" x14ac:dyDescent="0.2">
      <c r="E1930" s="8"/>
      <c r="G1930" s="8"/>
      <c r="L1930" s="8"/>
      <c r="O1930" s="8"/>
      <c r="T1930" s="10"/>
    </row>
    <row r="1931" spans="5:20" s="7" customFormat="1" x14ac:dyDescent="0.2">
      <c r="E1931" s="8"/>
      <c r="G1931" s="8"/>
      <c r="L1931" s="8"/>
      <c r="O1931" s="8"/>
      <c r="T1931" s="10"/>
    </row>
    <row r="1932" spans="5:20" s="7" customFormat="1" x14ac:dyDescent="0.2">
      <c r="E1932" s="8"/>
      <c r="G1932" s="8"/>
      <c r="L1932" s="8"/>
      <c r="O1932" s="8"/>
      <c r="T1932" s="10"/>
    </row>
    <row r="1933" spans="5:20" s="7" customFormat="1" x14ac:dyDescent="0.2">
      <c r="E1933" s="8"/>
      <c r="G1933" s="8"/>
      <c r="L1933" s="8"/>
      <c r="O1933" s="8"/>
      <c r="T1933" s="10"/>
    </row>
    <row r="1934" spans="5:20" s="7" customFormat="1" x14ac:dyDescent="0.2">
      <c r="E1934" s="8"/>
      <c r="G1934" s="8"/>
      <c r="L1934" s="8"/>
      <c r="O1934" s="8"/>
      <c r="T1934" s="10"/>
    </row>
    <row r="1935" spans="5:20" s="7" customFormat="1" x14ac:dyDescent="0.2">
      <c r="E1935" s="8"/>
      <c r="G1935" s="8"/>
      <c r="L1935" s="8"/>
      <c r="O1935" s="8"/>
      <c r="T1935" s="10"/>
    </row>
    <row r="1936" spans="5:20" s="7" customFormat="1" x14ac:dyDescent="0.2">
      <c r="E1936" s="8"/>
      <c r="G1936" s="8"/>
      <c r="L1936" s="8"/>
      <c r="O1936" s="8"/>
      <c r="T1936" s="10"/>
    </row>
    <row r="1937" spans="5:20" s="7" customFormat="1" x14ac:dyDescent="0.2">
      <c r="E1937" s="8"/>
      <c r="G1937" s="8"/>
      <c r="L1937" s="8"/>
      <c r="O1937" s="8"/>
      <c r="T1937" s="10"/>
    </row>
    <row r="1938" spans="5:20" s="7" customFormat="1" x14ac:dyDescent="0.2">
      <c r="E1938" s="8"/>
      <c r="G1938" s="8"/>
      <c r="L1938" s="8"/>
      <c r="O1938" s="8"/>
      <c r="T1938" s="10"/>
    </row>
    <row r="1939" spans="5:20" s="7" customFormat="1" x14ac:dyDescent="0.2">
      <c r="E1939" s="8"/>
      <c r="G1939" s="8"/>
      <c r="L1939" s="8"/>
      <c r="O1939" s="8"/>
      <c r="T1939" s="10"/>
    </row>
    <row r="1940" spans="5:20" s="7" customFormat="1" x14ac:dyDescent="0.2">
      <c r="E1940" s="8"/>
      <c r="G1940" s="8"/>
      <c r="L1940" s="8"/>
      <c r="O1940" s="8"/>
      <c r="T1940" s="10"/>
    </row>
    <row r="1941" spans="5:20" s="7" customFormat="1" x14ac:dyDescent="0.2">
      <c r="E1941" s="8"/>
      <c r="G1941" s="8"/>
      <c r="L1941" s="8"/>
      <c r="O1941" s="8"/>
      <c r="T1941" s="10"/>
    </row>
    <row r="1942" spans="5:20" s="7" customFormat="1" x14ac:dyDescent="0.2">
      <c r="E1942" s="8"/>
      <c r="G1942" s="8"/>
      <c r="L1942" s="8"/>
      <c r="O1942" s="8"/>
      <c r="T1942" s="10"/>
    </row>
    <row r="1943" spans="5:20" s="7" customFormat="1" x14ac:dyDescent="0.2">
      <c r="E1943" s="8"/>
      <c r="G1943" s="8"/>
      <c r="L1943" s="8"/>
      <c r="O1943" s="8"/>
      <c r="T1943" s="10"/>
    </row>
    <row r="1944" spans="5:20" s="7" customFormat="1" x14ac:dyDescent="0.2">
      <c r="E1944" s="8"/>
      <c r="G1944" s="8"/>
      <c r="L1944" s="8"/>
      <c r="O1944" s="8"/>
      <c r="T1944" s="10"/>
    </row>
    <row r="1945" spans="5:20" s="7" customFormat="1" x14ac:dyDescent="0.2">
      <c r="E1945" s="8"/>
      <c r="G1945" s="8"/>
      <c r="L1945" s="8"/>
      <c r="O1945" s="8"/>
      <c r="T1945" s="10"/>
    </row>
    <row r="1946" spans="5:20" s="7" customFormat="1" x14ac:dyDescent="0.2">
      <c r="E1946" s="8"/>
      <c r="G1946" s="8"/>
      <c r="L1946" s="8"/>
      <c r="O1946" s="8"/>
      <c r="T1946" s="10"/>
    </row>
    <row r="1947" spans="5:20" s="7" customFormat="1" x14ac:dyDescent="0.2">
      <c r="E1947" s="8"/>
      <c r="G1947" s="8"/>
      <c r="L1947" s="8"/>
      <c r="O1947" s="8"/>
      <c r="T1947" s="10"/>
    </row>
    <row r="1948" spans="5:20" s="7" customFormat="1" x14ac:dyDescent="0.2">
      <c r="E1948" s="8"/>
      <c r="G1948" s="8"/>
      <c r="L1948" s="8"/>
      <c r="O1948" s="8"/>
      <c r="T1948" s="10"/>
    </row>
    <row r="1949" spans="5:20" s="7" customFormat="1" x14ac:dyDescent="0.2">
      <c r="E1949" s="8"/>
      <c r="G1949" s="8"/>
      <c r="L1949" s="8"/>
      <c r="O1949" s="8"/>
      <c r="T1949" s="10"/>
    </row>
    <row r="1950" spans="5:20" s="7" customFormat="1" x14ac:dyDescent="0.2">
      <c r="E1950" s="8"/>
      <c r="G1950" s="8"/>
      <c r="L1950" s="8"/>
      <c r="O1950" s="8"/>
      <c r="T1950" s="10"/>
    </row>
  </sheetData>
  <mergeCells count="1">
    <mergeCell ref="F3:J3"/>
  </mergeCells>
  <phoneticPr fontId="7"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2.75" x14ac:dyDescent="0.2"/>
  <sheetData>
    <row r="1" spans="1:5" x14ac:dyDescent="0.2">
      <c r="A1" s="23" t="s">
        <v>11501</v>
      </c>
      <c r="C1" s="23" t="s">
        <v>10</v>
      </c>
      <c r="D1" s="23" t="s">
        <v>9</v>
      </c>
      <c r="E1" s="23" t="s">
        <v>7</v>
      </c>
    </row>
    <row r="5" spans="1:5" x14ac:dyDescent="0.2">
      <c r="A5" s="23" t="s">
        <v>11</v>
      </c>
      <c r="C5" s="23" t="s">
        <v>3</v>
      </c>
      <c r="D5" s="23" t="s">
        <v>1259</v>
      </c>
    </row>
    <row r="6" spans="1:5" x14ac:dyDescent="0.2">
      <c r="A6" s="23" t="s">
        <v>11</v>
      </c>
      <c r="C6" s="23" t="s">
        <v>30</v>
      </c>
      <c r="D6" s="23" t="s">
        <v>8</v>
      </c>
      <c r="E6" s="23" t="s">
        <v>31</v>
      </c>
    </row>
    <row r="7" spans="1:5" x14ac:dyDescent="0.2">
      <c r="A7" s="23" t="s">
        <v>11</v>
      </c>
      <c r="C7" s="23" t="s">
        <v>20</v>
      </c>
      <c r="D7" s="23" t="s">
        <v>1260</v>
      </c>
      <c r="E7" s="23" t="s">
        <v>32</v>
      </c>
    </row>
    <row r="8" spans="1:5" x14ac:dyDescent="0.2">
      <c r="A8" s="23" t="s">
        <v>11</v>
      </c>
      <c r="C8" s="23" t="s">
        <v>1</v>
      </c>
      <c r="D8" s="23" t="s">
        <v>8</v>
      </c>
      <c r="E8" s="23" t="s">
        <v>33</v>
      </c>
    </row>
    <row r="9" spans="1:5" x14ac:dyDescent="0.2">
      <c r="A9" s="23" t="s">
        <v>11</v>
      </c>
      <c r="C9" s="23" t="s">
        <v>2</v>
      </c>
      <c r="D9" s="23" t="s">
        <v>8</v>
      </c>
      <c r="E9" s="23" t="s">
        <v>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2.75" x14ac:dyDescent="0.2"/>
  <sheetData>
    <row r="1" spans="1:5" x14ac:dyDescent="0.2">
      <c r="A1" s="23" t="s">
        <v>11501</v>
      </c>
      <c r="C1" s="23" t="s">
        <v>10</v>
      </c>
      <c r="D1" s="23" t="s">
        <v>9</v>
      </c>
      <c r="E1" s="23" t="s">
        <v>7</v>
      </c>
    </row>
    <row r="5" spans="1:5" x14ac:dyDescent="0.2">
      <c r="A5" s="23" t="s">
        <v>11</v>
      </c>
      <c r="C5" s="23" t="s">
        <v>3</v>
      </c>
      <c r="D5" s="23" t="s">
        <v>1259</v>
      </c>
    </row>
    <row r="6" spans="1:5" x14ac:dyDescent="0.2">
      <c r="A6" s="23" t="s">
        <v>11</v>
      </c>
      <c r="C6" s="23" t="s">
        <v>30</v>
      </c>
      <c r="D6" s="23" t="s">
        <v>8</v>
      </c>
      <c r="E6" s="23" t="s">
        <v>31</v>
      </c>
    </row>
    <row r="7" spans="1:5" x14ac:dyDescent="0.2">
      <c r="A7" s="23" t="s">
        <v>11</v>
      </c>
      <c r="C7" s="23" t="s">
        <v>20</v>
      </c>
      <c r="D7" s="23" t="s">
        <v>1260</v>
      </c>
      <c r="E7" s="23" t="s">
        <v>32</v>
      </c>
    </row>
    <row r="8" spans="1:5" x14ac:dyDescent="0.2">
      <c r="A8" s="23" t="s">
        <v>11</v>
      </c>
      <c r="C8" s="23" t="s">
        <v>1</v>
      </c>
      <c r="D8" s="23" t="s">
        <v>8</v>
      </c>
      <c r="E8" s="23" t="s">
        <v>33</v>
      </c>
    </row>
    <row r="9" spans="1:5" x14ac:dyDescent="0.2">
      <c r="A9" s="23" t="s">
        <v>11</v>
      </c>
      <c r="C9" s="23" t="s">
        <v>2</v>
      </c>
      <c r="D9" s="23" t="s">
        <v>8</v>
      </c>
      <c r="E9" s="23" t="s">
        <v>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RowHeight="12.75" x14ac:dyDescent="0.2"/>
  <sheetData>
    <row r="1" spans="1:20" x14ac:dyDescent="0.2">
      <c r="A1" s="23" t="s">
        <v>11511</v>
      </c>
      <c r="C1" s="23" t="s">
        <v>5</v>
      </c>
      <c r="D1" s="23" t="s">
        <v>5</v>
      </c>
      <c r="E1" s="23" t="s">
        <v>13</v>
      </c>
      <c r="F1" s="23" t="s">
        <v>12</v>
      </c>
      <c r="G1" s="23" t="s">
        <v>13</v>
      </c>
      <c r="H1" s="23" t="s">
        <v>12</v>
      </c>
      <c r="I1" s="23" t="s">
        <v>12</v>
      </c>
      <c r="J1" s="23" t="s">
        <v>12</v>
      </c>
      <c r="K1" s="23" t="s">
        <v>5</v>
      </c>
      <c r="L1" s="23" t="s">
        <v>13</v>
      </c>
      <c r="M1" s="23" t="s">
        <v>12</v>
      </c>
      <c r="N1" s="23" t="s">
        <v>16</v>
      </c>
      <c r="O1" s="23" t="s">
        <v>13</v>
      </c>
      <c r="P1" s="23" t="s">
        <v>12</v>
      </c>
      <c r="Q1" s="23" t="s">
        <v>12</v>
      </c>
      <c r="R1" s="23" t="s">
        <v>12</v>
      </c>
      <c r="S1" s="23" t="s">
        <v>17</v>
      </c>
      <c r="T1" s="23" t="s">
        <v>12</v>
      </c>
    </row>
    <row r="3" spans="1:20" x14ac:dyDescent="0.2">
      <c r="F3" s="23" t="s">
        <v>6</v>
      </c>
    </row>
    <row r="4" spans="1:20" x14ac:dyDescent="0.2">
      <c r="F4" s="23" t="s">
        <v>3</v>
      </c>
      <c r="H4" s="23" t="s">
        <v>11502</v>
      </c>
    </row>
    <row r="5" spans="1:20" x14ac:dyDescent="0.2">
      <c r="F5" s="23" t="s">
        <v>30</v>
      </c>
      <c r="H5" s="23" t="s">
        <v>11503</v>
      </c>
    </row>
    <row r="6" spans="1:20" x14ac:dyDescent="0.2">
      <c r="F6" s="23" t="s">
        <v>20</v>
      </c>
      <c r="H6" s="23" t="s">
        <v>11504</v>
      </c>
    </row>
    <row r="7" spans="1:20" x14ac:dyDescent="0.2">
      <c r="F7" s="23" t="s">
        <v>1</v>
      </c>
      <c r="H7" s="23" t="s">
        <v>11505</v>
      </c>
    </row>
    <row r="8" spans="1:20" x14ac:dyDescent="0.2">
      <c r="F8" s="23" t="s">
        <v>2</v>
      </c>
      <c r="H8" s="23" t="s">
        <v>11506</v>
      </c>
    </row>
    <row r="11" spans="1:20" x14ac:dyDescent="0.2">
      <c r="F11" s="23" t="s">
        <v>21</v>
      </c>
      <c r="H11" s="23" t="s">
        <v>20</v>
      </c>
      <c r="I11" s="23" t="s">
        <v>18</v>
      </c>
      <c r="J11" s="23" t="s">
        <v>19</v>
      </c>
      <c r="M11" s="23" t="s">
        <v>22</v>
      </c>
      <c r="N11" s="23" t="s">
        <v>3</v>
      </c>
      <c r="O11" s="23" t="s">
        <v>14</v>
      </c>
      <c r="P11" s="23" t="s">
        <v>0</v>
      </c>
      <c r="Q11" s="23" t="s">
        <v>1</v>
      </c>
      <c r="R11" s="23" t="s">
        <v>2</v>
      </c>
      <c r="S11" s="23" t="s">
        <v>3</v>
      </c>
      <c r="T11" s="23" t="s">
        <v>4</v>
      </c>
    </row>
    <row r="12" spans="1:20" x14ac:dyDescent="0.2">
      <c r="D12" s="23" t="s">
        <v>11507</v>
      </c>
      <c r="E12" s="23" t="s">
        <v>35</v>
      </c>
      <c r="F12" s="23" t="s">
        <v>36</v>
      </c>
    </row>
    <row r="13" spans="1:20" x14ac:dyDescent="0.2">
      <c r="C13" s="23" t="s">
        <v>37</v>
      </c>
      <c r="D13" s="23" t="s">
        <v>38</v>
      </c>
      <c r="E13" s="23" t="s">
        <v>39</v>
      </c>
      <c r="G13" s="23" t="s">
        <v>40</v>
      </c>
      <c r="H13" s="23" t="s">
        <v>11508</v>
      </c>
      <c r="I13" s="23" t="s">
        <v>41</v>
      </c>
      <c r="J13" s="23" t="s">
        <v>42</v>
      </c>
    </row>
    <row r="14" spans="1:20" x14ac:dyDescent="0.2">
      <c r="C14" s="23" t="s">
        <v>43</v>
      </c>
      <c r="D14" s="23" t="s">
        <v>44</v>
      </c>
      <c r="E14" s="23" t="s">
        <v>45</v>
      </c>
      <c r="G14" s="23" t="s">
        <v>46</v>
      </c>
      <c r="K14" s="23" t="s">
        <v>47</v>
      </c>
      <c r="L14" s="23" t="s">
        <v>48</v>
      </c>
      <c r="M14" s="23" t="s">
        <v>11509</v>
      </c>
      <c r="N14" s="23" t="s">
        <v>49</v>
      </c>
    </row>
    <row r="15" spans="1:20" x14ac:dyDescent="0.2">
      <c r="C15" s="23" t="s">
        <v>50</v>
      </c>
      <c r="D15" s="23" t="s">
        <v>51</v>
      </c>
      <c r="E15" s="23" t="s">
        <v>52</v>
      </c>
      <c r="G15" s="23" t="s">
        <v>53</v>
      </c>
      <c r="K15" s="23" t="s">
        <v>54</v>
      </c>
      <c r="L15" s="23" t="s">
        <v>55</v>
      </c>
      <c r="O15" s="23" t="s">
        <v>11510</v>
      </c>
      <c r="P15" s="23" t="s">
        <v>56</v>
      </c>
      <c r="Q15" s="23" t="s">
        <v>57</v>
      </c>
      <c r="R15" s="23" t="s">
        <v>58</v>
      </c>
      <c r="S15" s="23" t="s">
        <v>59</v>
      </c>
      <c r="T15" s="23" t="s">
        <v>60</v>
      </c>
    </row>
    <row r="16" spans="1:20" x14ac:dyDescent="0.2">
      <c r="C16" s="23" t="s">
        <v>61</v>
      </c>
      <c r="D16" s="23" t="s">
        <v>62</v>
      </c>
      <c r="E16" s="23" t="s">
        <v>63</v>
      </c>
      <c r="G16" s="23" t="s">
        <v>64</v>
      </c>
      <c r="K16" s="23" t="s">
        <v>65</v>
      </c>
      <c r="L16" s="23" t="s">
        <v>66</v>
      </c>
    </row>
    <row r="17" spans="3:20" x14ac:dyDescent="0.2">
      <c r="C17" s="23" t="s">
        <v>67</v>
      </c>
      <c r="D17" s="23" t="s">
        <v>68</v>
      </c>
      <c r="E17" s="23" t="s">
        <v>69</v>
      </c>
      <c r="G17" s="23" t="s">
        <v>70</v>
      </c>
      <c r="K17" s="23" t="s">
        <v>71</v>
      </c>
      <c r="L17" s="23" t="s">
        <v>72</v>
      </c>
      <c r="M17" s="23" t="s">
        <v>73</v>
      </c>
      <c r="N17" s="23" t="s">
        <v>74</v>
      </c>
      <c r="T17" s="23" t="s">
        <v>75</v>
      </c>
    </row>
    <row r="18" spans="3:20" x14ac:dyDescent="0.2">
      <c r="C18" s="23" t="s">
        <v>76</v>
      </c>
      <c r="D18" s="23" t="s">
        <v>77</v>
      </c>
      <c r="E18" s="23" t="s">
        <v>78</v>
      </c>
      <c r="G18" s="23" t="s">
        <v>79</v>
      </c>
    </row>
    <row r="19" spans="3:20" x14ac:dyDescent="0.2">
      <c r="C19" s="23" t="s">
        <v>80</v>
      </c>
      <c r="D19" s="23" t="s">
        <v>81</v>
      </c>
      <c r="E19" s="23" t="s">
        <v>82</v>
      </c>
      <c r="G19" s="23" t="s">
        <v>83</v>
      </c>
      <c r="H19" s="23" t="s">
        <v>84</v>
      </c>
      <c r="I19" s="23" t="s">
        <v>85</v>
      </c>
      <c r="J19" s="23" t="s">
        <v>86</v>
      </c>
      <c r="T19" s="23" t="s">
        <v>87</v>
      </c>
    </row>
    <row r="20" spans="3:20" x14ac:dyDescent="0.2">
      <c r="E20" s="23" t="s">
        <v>88</v>
      </c>
    </row>
    <row r="21" spans="3:20" x14ac:dyDescent="0.2">
      <c r="E21" s="23" t="s">
        <v>89</v>
      </c>
      <c r="F21" s="23" t="s">
        <v>365</v>
      </c>
      <c r="T21" s="23" t="s">
        <v>90</v>
      </c>
    </row>
    <row r="23" spans="3:20" x14ac:dyDescent="0.2">
      <c r="F23" s="23" t="s">
        <v>15</v>
      </c>
      <c r="T23" s="23" t="s">
        <v>91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RowHeight="12.75" x14ac:dyDescent="0.2"/>
  <sheetData>
    <row r="1" spans="1:20" x14ac:dyDescent="0.2">
      <c r="A1" s="23" t="s">
        <v>11511</v>
      </c>
      <c r="C1" s="23" t="s">
        <v>5</v>
      </c>
      <c r="D1" s="23" t="s">
        <v>5</v>
      </c>
      <c r="E1" s="23" t="s">
        <v>13</v>
      </c>
      <c r="F1" s="23" t="s">
        <v>12</v>
      </c>
      <c r="G1" s="23" t="s">
        <v>13</v>
      </c>
      <c r="H1" s="23" t="s">
        <v>12</v>
      </c>
      <c r="I1" s="23" t="s">
        <v>12</v>
      </c>
      <c r="J1" s="23" t="s">
        <v>12</v>
      </c>
      <c r="K1" s="23" t="s">
        <v>5</v>
      </c>
      <c r="L1" s="23" t="s">
        <v>13</v>
      </c>
      <c r="M1" s="23" t="s">
        <v>12</v>
      </c>
      <c r="N1" s="23" t="s">
        <v>16</v>
      </c>
      <c r="O1" s="23" t="s">
        <v>13</v>
      </c>
      <c r="P1" s="23" t="s">
        <v>12</v>
      </c>
      <c r="Q1" s="23" t="s">
        <v>12</v>
      </c>
      <c r="R1" s="23" t="s">
        <v>12</v>
      </c>
      <c r="S1" s="23" t="s">
        <v>17</v>
      </c>
      <c r="T1" s="23" t="s">
        <v>12</v>
      </c>
    </row>
    <row r="3" spans="1:20" x14ac:dyDescent="0.2">
      <c r="F3" s="23" t="s">
        <v>6</v>
      </c>
    </row>
    <row r="4" spans="1:20" x14ac:dyDescent="0.2">
      <c r="F4" s="23" t="s">
        <v>3</v>
      </c>
      <c r="H4" s="23" t="s">
        <v>11502</v>
      </c>
    </row>
    <row r="5" spans="1:20" x14ac:dyDescent="0.2">
      <c r="F5" s="23" t="s">
        <v>30</v>
      </c>
      <c r="H5" s="23" t="s">
        <v>11503</v>
      </c>
    </row>
    <row r="6" spans="1:20" x14ac:dyDescent="0.2">
      <c r="F6" s="23" t="s">
        <v>20</v>
      </c>
      <c r="H6" s="23" t="s">
        <v>11504</v>
      </c>
    </row>
    <row r="7" spans="1:20" x14ac:dyDescent="0.2">
      <c r="F7" s="23" t="s">
        <v>1</v>
      </c>
      <c r="H7" s="23" t="s">
        <v>11505</v>
      </c>
    </row>
    <row r="8" spans="1:20" x14ac:dyDescent="0.2">
      <c r="F8" s="23" t="s">
        <v>2</v>
      </c>
      <c r="H8" s="23" t="s">
        <v>11506</v>
      </c>
    </row>
    <row r="11" spans="1:20" x14ac:dyDescent="0.2">
      <c r="F11" s="23" t="s">
        <v>21</v>
      </c>
      <c r="H11" s="23" t="s">
        <v>20</v>
      </c>
      <c r="I11" s="23" t="s">
        <v>18</v>
      </c>
      <c r="J11" s="23" t="s">
        <v>19</v>
      </c>
      <c r="M11" s="23" t="s">
        <v>22</v>
      </c>
      <c r="N11" s="23" t="s">
        <v>3</v>
      </c>
      <c r="O11" s="23" t="s">
        <v>14</v>
      </c>
      <c r="P11" s="23" t="s">
        <v>0</v>
      </c>
      <c r="Q11" s="23" t="s">
        <v>1</v>
      </c>
      <c r="R11" s="23" t="s">
        <v>2</v>
      </c>
      <c r="S11" s="23" t="s">
        <v>3</v>
      </c>
      <c r="T11" s="23" t="s">
        <v>4</v>
      </c>
    </row>
    <row r="12" spans="1:20" x14ac:dyDescent="0.2">
      <c r="D12" s="23" t="s">
        <v>11507</v>
      </c>
      <c r="E12" s="23" t="s">
        <v>35</v>
      </c>
      <c r="F12" s="23" t="s">
        <v>36</v>
      </c>
    </row>
    <row r="13" spans="1:20" x14ac:dyDescent="0.2">
      <c r="C13" s="23" t="s">
        <v>37</v>
      </c>
      <c r="D13" s="23" t="s">
        <v>38</v>
      </c>
      <c r="E13" s="23" t="s">
        <v>39</v>
      </c>
      <c r="G13" s="23" t="s">
        <v>40</v>
      </c>
      <c r="H13" s="23" t="s">
        <v>11508</v>
      </c>
      <c r="I13" s="23" t="s">
        <v>41</v>
      </c>
      <c r="J13" s="23" t="s">
        <v>42</v>
      </c>
    </row>
    <row r="14" spans="1:20" x14ac:dyDescent="0.2">
      <c r="C14" s="23" t="s">
        <v>43</v>
      </c>
      <c r="D14" s="23" t="s">
        <v>44</v>
      </c>
      <c r="E14" s="23" t="s">
        <v>45</v>
      </c>
      <c r="G14" s="23" t="s">
        <v>46</v>
      </c>
      <c r="K14" s="23" t="s">
        <v>47</v>
      </c>
      <c r="L14" s="23" t="s">
        <v>48</v>
      </c>
      <c r="M14" s="23" t="s">
        <v>11509</v>
      </c>
      <c r="N14" s="23" t="s">
        <v>49</v>
      </c>
    </row>
    <row r="15" spans="1:20" x14ac:dyDescent="0.2">
      <c r="C15" s="23" t="s">
        <v>50</v>
      </c>
      <c r="D15" s="23" t="s">
        <v>51</v>
      </c>
      <c r="E15" s="23" t="s">
        <v>52</v>
      </c>
      <c r="G15" s="23" t="s">
        <v>53</v>
      </c>
      <c r="K15" s="23" t="s">
        <v>54</v>
      </c>
      <c r="L15" s="23" t="s">
        <v>55</v>
      </c>
      <c r="O15" s="23" t="s">
        <v>11510</v>
      </c>
      <c r="P15" s="23" t="s">
        <v>56</v>
      </c>
      <c r="Q15" s="23" t="s">
        <v>57</v>
      </c>
      <c r="R15" s="23" t="s">
        <v>58</v>
      </c>
      <c r="S15" s="23" t="s">
        <v>59</v>
      </c>
      <c r="T15" s="23" t="s">
        <v>60</v>
      </c>
    </row>
    <row r="16" spans="1:20" x14ac:dyDescent="0.2">
      <c r="C16" s="23" t="s">
        <v>61</v>
      </c>
      <c r="D16" s="23" t="s">
        <v>62</v>
      </c>
      <c r="E16" s="23" t="s">
        <v>63</v>
      </c>
      <c r="G16" s="23" t="s">
        <v>64</v>
      </c>
      <c r="K16" s="23" t="s">
        <v>65</v>
      </c>
      <c r="L16" s="23" t="s">
        <v>66</v>
      </c>
    </row>
    <row r="17" spans="3:20" x14ac:dyDescent="0.2">
      <c r="C17" s="23" t="s">
        <v>67</v>
      </c>
      <c r="D17" s="23" t="s">
        <v>68</v>
      </c>
      <c r="E17" s="23" t="s">
        <v>69</v>
      </c>
      <c r="G17" s="23" t="s">
        <v>70</v>
      </c>
      <c r="K17" s="23" t="s">
        <v>71</v>
      </c>
      <c r="L17" s="23" t="s">
        <v>72</v>
      </c>
      <c r="M17" s="23" t="s">
        <v>73</v>
      </c>
      <c r="N17" s="23" t="s">
        <v>74</v>
      </c>
      <c r="T17" s="23" t="s">
        <v>75</v>
      </c>
    </row>
    <row r="18" spans="3:20" x14ac:dyDescent="0.2">
      <c r="C18" s="23" t="s">
        <v>76</v>
      </c>
      <c r="D18" s="23" t="s">
        <v>77</v>
      </c>
      <c r="E18" s="23" t="s">
        <v>78</v>
      </c>
      <c r="G18" s="23" t="s">
        <v>79</v>
      </c>
    </row>
    <row r="19" spans="3:20" x14ac:dyDescent="0.2">
      <c r="C19" s="23" t="s">
        <v>80</v>
      </c>
      <c r="D19" s="23" t="s">
        <v>81</v>
      </c>
      <c r="E19" s="23" t="s">
        <v>82</v>
      </c>
      <c r="G19" s="23" t="s">
        <v>83</v>
      </c>
      <c r="H19" s="23" t="s">
        <v>84</v>
      </c>
      <c r="I19" s="23" t="s">
        <v>85</v>
      </c>
      <c r="J19" s="23" t="s">
        <v>86</v>
      </c>
      <c r="T19" s="23" t="s">
        <v>87</v>
      </c>
    </row>
    <row r="20" spans="3:20" x14ac:dyDescent="0.2">
      <c r="E20" s="23" t="s">
        <v>88</v>
      </c>
    </row>
    <row r="21" spans="3:20" x14ac:dyDescent="0.2">
      <c r="E21" s="23" t="s">
        <v>89</v>
      </c>
      <c r="F21" s="23" t="s">
        <v>365</v>
      </c>
      <c r="T21" s="23" t="s">
        <v>90</v>
      </c>
    </row>
    <row r="23" spans="3:20" x14ac:dyDescent="0.2">
      <c r="F23" s="23" t="s">
        <v>15</v>
      </c>
      <c r="T23" s="23" t="s">
        <v>91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2.75" x14ac:dyDescent="0.2"/>
  <sheetData>
    <row r="1" spans="1:5" x14ac:dyDescent="0.2">
      <c r="A1" s="23" t="s">
        <v>11513</v>
      </c>
      <c r="C1" s="23" t="s">
        <v>10</v>
      </c>
      <c r="D1" s="23" t="s">
        <v>9</v>
      </c>
      <c r="E1" s="23" t="s">
        <v>7</v>
      </c>
    </row>
    <row r="5" spans="1:5" x14ac:dyDescent="0.2">
      <c r="A5" s="23" t="s">
        <v>11</v>
      </c>
      <c r="C5" s="23" t="s">
        <v>3</v>
      </c>
      <c r="D5" s="23" t="s">
        <v>1259</v>
      </c>
    </row>
    <row r="6" spans="1:5" x14ac:dyDescent="0.2">
      <c r="A6" s="23" t="s">
        <v>11</v>
      </c>
      <c r="C6" s="23" t="s">
        <v>30</v>
      </c>
      <c r="D6" s="23" t="s">
        <v>8</v>
      </c>
      <c r="E6" s="23" t="s">
        <v>31</v>
      </c>
    </row>
    <row r="7" spans="1:5" x14ac:dyDescent="0.2">
      <c r="A7" s="23" t="s">
        <v>11</v>
      </c>
      <c r="C7" s="23" t="s">
        <v>20</v>
      </c>
      <c r="D7" s="23" t="s">
        <v>1260</v>
      </c>
      <c r="E7" s="23" t="s">
        <v>32</v>
      </c>
    </row>
    <row r="8" spans="1:5" x14ac:dyDescent="0.2">
      <c r="A8" s="23" t="s">
        <v>11</v>
      </c>
      <c r="C8" s="23" t="s">
        <v>1</v>
      </c>
      <c r="D8" s="23" t="s">
        <v>8</v>
      </c>
      <c r="E8" s="23" t="s">
        <v>33</v>
      </c>
    </row>
    <row r="9" spans="1:5" x14ac:dyDescent="0.2">
      <c r="A9" s="23" t="s">
        <v>11</v>
      </c>
      <c r="C9" s="23" t="s">
        <v>2</v>
      </c>
      <c r="D9" s="23" t="s">
        <v>8</v>
      </c>
      <c r="E9" s="23" t="s">
        <v>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22"/>
  <sheetViews>
    <sheetView workbookViewId="0"/>
  </sheetViews>
  <sheetFormatPr defaultRowHeight="12.75" x14ac:dyDescent="0.2"/>
  <sheetData>
    <row r="1" spans="1:20" x14ac:dyDescent="0.2">
      <c r="A1" s="23" t="s">
        <v>17050</v>
      </c>
      <c r="C1" s="23" t="s">
        <v>5</v>
      </c>
      <c r="D1" s="23" t="s">
        <v>5</v>
      </c>
      <c r="E1" s="23" t="s">
        <v>13</v>
      </c>
      <c r="F1" s="23" t="s">
        <v>12</v>
      </c>
      <c r="G1" s="23" t="s">
        <v>13</v>
      </c>
      <c r="H1" s="23" t="s">
        <v>12</v>
      </c>
      <c r="I1" s="23" t="s">
        <v>12</v>
      </c>
      <c r="J1" s="23" t="s">
        <v>12</v>
      </c>
      <c r="K1" s="23" t="s">
        <v>5</v>
      </c>
      <c r="L1" s="23" t="s">
        <v>13</v>
      </c>
      <c r="M1" s="23" t="s">
        <v>12</v>
      </c>
      <c r="N1" s="23" t="s">
        <v>16</v>
      </c>
      <c r="O1" s="23" t="s">
        <v>13</v>
      </c>
      <c r="P1" s="23" t="s">
        <v>12</v>
      </c>
      <c r="Q1" s="23" t="s">
        <v>12</v>
      </c>
      <c r="R1" s="23" t="s">
        <v>12</v>
      </c>
      <c r="S1" s="23" t="s">
        <v>17</v>
      </c>
      <c r="T1" s="23" t="s">
        <v>12</v>
      </c>
    </row>
    <row r="3" spans="1:20" x14ac:dyDescent="0.2">
      <c r="F3" s="23" t="s">
        <v>6</v>
      </c>
    </row>
    <row r="4" spans="1:20" x14ac:dyDescent="0.2">
      <c r="F4" s="23" t="s">
        <v>3</v>
      </c>
      <c r="H4" s="23" t="s">
        <v>11502</v>
      </c>
    </row>
    <row r="5" spans="1:20" x14ac:dyDescent="0.2">
      <c r="F5" s="23" t="s">
        <v>30</v>
      </c>
      <c r="H5" s="23" t="s">
        <v>11503</v>
      </c>
    </row>
    <row r="6" spans="1:20" x14ac:dyDescent="0.2">
      <c r="F6" s="23" t="s">
        <v>20</v>
      </c>
      <c r="H6" s="23" t="s">
        <v>11504</v>
      </c>
    </row>
    <row r="7" spans="1:20" x14ac:dyDescent="0.2">
      <c r="F7" s="23" t="s">
        <v>1</v>
      </c>
      <c r="H7" s="23" t="s">
        <v>11505</v>
      </c>
    </row>
    <row r="8" spans="1:20" x14ac:dyDescent="0.2">
      <c r="F8" s="23" t="s">
        <v>2</v>
      </c>
      <c r="H8" s="23" t="s">
        <v>11506</v>
      </c>
    </row>
    <row r="11" spans="1:20" x14ac:dyDescent="0.2">
      <c r="F11" s="23" t="s">
        <v>21</v>
      </c>
      <c r="H11" s="23" t="s">
        <v>20</v>
      </c>
      <c r="I11" s="23" t="s">
        <v>18</v>
      </c>
      <c r="J11" s="23" t="s">
        <v>19</v>
      </c>
      <c r="M11" s="23" t="s">
        <v>22</v>
      </c>
      <c r="N11" s="23" t="s">
        <v>3</v>
      </c>
      <c r="O11" s="23" t="s">
        <v>14</v>
      </c>
      <c r="P11" s="23" t="s">
        <v>0</v>
      </c>
      <c r="Q11" s="23" t="s">
        <v>1</v>
      </c>
      <c r="R11" s="23" t="s">
        <v>2</v>
      </c>
      <c r="S11" s="23" t="s">
        <v>3</v>
      </c>
      <c r="T11" s="23" t="s">
        <v>4</v>
      </c>
    </row>
    <row r="12" spans="1:20" x14ac:dyDescent="0.2">
      <c r="D12" s="23" t="s">
        <v>11507</v>
      </c>
      <c r="E12" s="23" t="s">
        <v>35</v>
      </c>
      <c r="F12" s="23" t="s">
        <v>36</v>
      </c>
    </row>
    <row r="13" spans="1:20" x14ac:dyDescent="0.2">
      <c r="C13" s="23" t="s">
        <v>37</v>
      </c>
      <c r="D13" s="23" t="s">
        <v>38</v>
      </c>
      <c r="E13" s="23" t="s">
        <v>39</v>
      </c>
      <c r="G13" s="23" t="s">
        <v>40</v>
      </c>
      <c r="H13" s="23" t="s">
        <v>11508</v>
      </c>
      <c r="I13" s="23" t="s">
        <v>41</v>
      </c>
      <c r="J13" s="23" t="s">
        <v>42</v>
      </c>
    </row>
    <row r="14" spans="1:20" x14ac:dyDescent="0.2">
      <c r="C14" s="23" t="s">
        <v>43</v>
      </c>
      <c r="D14" s="23" t="s">
        <v>44</v>
      </c>
      <c r="E14" s="23" t="s">
        <v>45</v>
      </c>
      <c r="G14" s="23" t="s">
        <v>46</v>
      </c>
      <c r="K14" s="23" t="s">
        <v>47</v>
      </c>
      <c r="L14" s="23" t="s">
        <v>48</v>
      </c>
      <c r="M14" s="23" t="s">
        <v>11509</v>
      </c>
      <c r="N14" s="23" t="s">
        <v>49</v>
      </c>
    </row>
    <row r="15" spans="1:20" x14ac:dyDescent="0.2">
      <c r="C15" s="23" t="s">
        <v>50</v>
      </c>
      <c r="D15" s="23" t="s">
        <v>51</v>
      </c>
      <c r="E15" s="23" t="s">
        <v>52</v>
      </c>
      <c r="G15" s="23" t="s">
        <v>53</v>
      </c>
      <c r="K15" s="23" t="s">
        <v>54</v>
      </c>
      <c r="L15" s="23" t="s">
        <v>55</v>
      </c>
      <c r="O15" s="23" t="s">
        <v>11510</v>
      </c>
      <c r="P15" s="23" t="s">
        <v>56</v>
      </c>
      <c r="Q15" s="23" t="s">
        <v>57</v>
      </c>
      <c r="R15" s="23" t="s">
        <v>58</v>
      </c>
      <c r="S15" s="23" t="s">
        <v>59</v>
      </c>
      <c r="T15" s="23" t="s">
        <v>60</v>
      </c>
    </row>
    <row r="16" spans="1:20" x14ac:dyDescent="0.2">
      <c r="A16" s="23" t="s">
        <v>92</v>
      </c>
      <c r="C16" s="23" t="s">
        <v>61</v>
      </c>
      <c r="D16" s="23" t="s">
        <v>62</v>
      </c>
      <c r="E16" s="23" t="s">
        <v>63</v>
      </c>
      <c r="G16" s="23" t="s">
        <v>64</v>
      </c>
      <c r="K16" s="23" t="s">
        <v>65</v>
      </c>
      <c r="L16" s="23" t="s">
        <v>66</v>
      </c>
      <c r="O16" s="23" t="s">
        <v>11515</v>
      </c>
      <c r="P16" s="23" t="s">
        <v>12410</v>
      </c>
      <c r="Q16" s="23" t="s">
        <v>12416</v>
      </c>
      <c r="R16" s="23" t="s">
        <v>12422</v>
      </c>
      <c r="S16" s="23" t="s">
        <v>12428</v>
      </c>
      <c r="T16" s="23" t="s">
        <v>12434</v>
      </c>
    </row>
    <row r="17" spans="1:20" x14ac:dyDescent="0.2">
      <c r="A17" s="23" t="s">
        <v>92</v>
      </c>
      <c r="C17" s="23" t="s">
        <v>67</v>
      </c>
      <c r="D17" s="23" t="s">
        <v>68</v>
      </c>
      <c r="E17" s="23" t="s">
        <v>69</v>
      </c>
      <c r="G17" s="23" t="s">
        <v>70</v>
      </c>
      <c r="K17" s="23" t="s">
        <v>71</v>
      </c>
      <c r="L17" s="23" t="s">
        <v>72</v>
      </c>
      <c r="O17" s="23" t="s">
        <v>11516</v>
      </c>
      <c r="P17" s="23" t="s">
        <v>12411</v>
      </c>
      <c r="Q17" s="23" t="s">
        <v>12417</v>
      </c>
      <c r="R17" s="23" t="s">
        <v>12423</v>
      </c>
      <c r="S17" s="23" t="s">
        <v>12429</v>
      </c>
      <c r="T17" s="23" t="s">
        <v>12435</v>
      </c>
    </row>
    <row r="18" spans="1:20" x14ac:dyDescent="0.2">
      <c r="A18" s="23" t="s">
        <v>92</v>
      </c>
      <c r="C18" s="23" t="s">
        <v>76</v>
      </c>
      <c r="D18" s="23" t="s">
        <v>77</v>
      </c>
      <c r="E18" s="23" t="s">
        <v>78</v>
      </c>
      <c r="G18" s="23" t="s">
        <v>79</v>
      </c>
      <c r="K18" s="23" t="s">
        <v>74</v>
      </c>
      <c r="L18" s="23" t="s">
        <v>93</v>
      </c>
      <c r="O18" s="23" t="s">
        <v>11517</v>
      </c>
      <c r="P18" s="23" t="s">
        <v>12412</v>
      </c>
      <c r="Q18" s="23" t="s">
        <v>12418</v>
      </c>
      <c r="R18" s="23" t="s">
        <v>12424</v>
      </c>
      <c r="S18" s="23" t="s">
        <v>12430</v>
      </c>
      <c r="T18" s="23" t="s">
        <v>12436</v>
      </c>
    </row>
    <row r="19" spans="1:20" x14ac:dyDescent="0.2">
      <c r="A19" s="23" t="s">
        <v>92</v>
      </c>
      <c r="C19" s="23" t="s">
        <v>80</v>
      </c>
      <c r="D19" s="23" t="s">
        <v>81</v>
      </c>
      <c r="E19" s="23" t="s">
        <v>82</v>
      </c>
      <c r="G19" s="23" t="s">
        <v>83</v>
      </c>
      <c r="K19" s="23" t="s">
        <v>94</v>
      </c>
      <c r="L19" s="23" t="s">
        <v>95</v>
      </c>
      <c r="O19" s="23" t="s">
        <v>11518</v>
      </c>
      <c r="P19" s="23" t="s">
        <v>12413</v>
      </c>
      <c r="Q19" s="23" t="s">
        <v>12419</v>
      </c>
      <c r="R19" s="23" t="s">
        <v>12425</v>
      </c>
      <c r="S19" s="23" t="s">
        <v>12431</v>
      </c>
      <c r="T19" s="23" t="s">
        <v>12437</v>
      </c>
    </row>
    <row r="20" spans="1:20" x14ac:dyDescent="0.2">
      <c r="A20" s="23" t="s">
        <v>92</v>
      </c>
      <c r="C20" s="23" t="s">
        <v>85</v>
      </c>
      <c r="D20" s="23" t="s">
        <v>86</v>
      </c>
      <c r="E20" s="23" t="s">
        <v>88</v>
      </c>
      <c r="G20" s="23" t="s">
        <v>96</v>
      </c>
      <c r="K20" s="23" t="s">
        <v>97</v>
      </c>
      <c r="L20" s="23" t="s">
        <v>98</v>
      </c>
      <c r="O20" s="23" t="s">
        <v>11519</v>
      </c>
      <c r="P20" s="23" t="s">
        <v>12414</v>
      </c>
      <c r="Q20" s="23" t="s">
        <v>12420</v>
      </c>
      <c r="R20" s="23" t="s">
        <v>12426</v>
      </c>
      <c r="S20" s="23" t="s">
        <v>12432</v>
      </c>
      <c r="T20" s="23" t="s">
        <v>12438</v>
      </c>
    </row>
    <row r="21" spans="1:20" x14ac:dyDescent="0.2">
      <c r="A21" s="23" t="s">
        <v>92</v>
      </c>
      <c r="C21" s="23" t="s">
        <v>1261</v>
      </c>
      <c r="D21" s="23" t="s">
        <v>1262</v>
      </c>
      <c r="E21" s="23" t="s">
        <v>89</v>
      </c>
      <c r="G21" s="23" t="s">
        <v>1263</v>
      </c>
      <c r="K21" s="23" t="s">
        <v>1264</v>
      </c>
      <c r="L21" s="23" t="s">
        <v>1265</v>
      </c>
      <c r="O21" s="23" t="s">
        <v>11520</v>
      </c>
      <c r="P21" s="23" t="s">
        <v>12415</v>
      </c>
      <c r="Q21" s="23" t="s">
        <v>12421</v>
      </c>
      <c r="R21" s="23" t="s">
        <v>12427</v>
      </c>
      <c r="S21" s="23" t="s">
        <v>12433</v>
      </c>
      <c r="T21" s="23" t="s">
        <v>12439</v>
      </c>
    </row>
    <row r="22" spans="1:20" x14ac:dyDescent="0.2">
      <c r="C22" s="23" t="s">
        <v>61</v>
      </c>
      <c r="D22" s="23" t="s">
        <v>62</v>
      </c>
      <c r="E22" s="23" t="s">
        <v>63</v>
      </c>
      <c r="G22" s="23" t="s">
        <v>64</v>
      </c>
      <c r="K22" s="23" t="s">
        <v>65</v>
      </c>
      <c r="L22" s="23" t="s">
        <v>66</v>
      </c>
    </row>
    <row r="23" spans="1:20" x14ac:dyDescent="0.2">
      <c r="C23" s="23" t="s">
        <v>99</v>
      </c>
      <c r="D23" s="23" t="s">
        <v>100</v>
      </c>
      <c r="E23" s="23" t="s">
        <v>101</v>
      </c>
      <c r="G23" s="23" t="s">
        <v>102</v>
      </c>
      <c r="K23" s="23" t="s">
        <v>103</v>
      </c>
      <c r="L23" s="23" t="s">
        <v>1266</v>
      </c>
      <c r="M23" s="23" t="s">
        <v>1267</v>
      </c>
      <c r="N23" s="23" t="s">
        <v>104</v>
      </c>
      <c r="T23" s="23" t="s">
        <v>91</v>
      </c>
    </row>
    <row r="24" spans="1:20" x14ac:dyDescent="0.2">
      <c r="A24" s="23" t="s">
        <v>92</v>
      </c>
      <c r="C24" s="23" t="s">
        <v>105</v>
      </c>
      <c r="D24" s="23" t="s">
        <v>106</v>
      </c>
      <c r="E24" s="23" t="s">
        <v>107</v>
      </c>
      <c r="G24" s="23" t="s">
        <v>108</v>
      </c>
      <c r="K24" s="23" t="s">
        <v>1268</v>
      </c>
      <c r="L24" s="23" t="s">
        <v>1269</v>
      </c>
      <c r="M24" s="23" t="s">
        <v>1270</v>
      </c>
      <c r="N24" s="23" t="s">
        <v>1271</v>
      </c>
    </row>
    <row r="25" spans="1:20" x14ac:dyDescent="0.2">
      <c r="A25" s="23" t="s">
        <v>92</v>
      </c>
      <c r="C25" s="23" t="s">
        <v>109</v>
      </c>
      <c r="D25" s="23" t="s">
        <v>110</v>
      </c>
      <c r="E25" s="23" t="s">
        <v>111</v>
      </c>
      <c r="G25" s="23" t="s">
        <v>112</v>
      </c>
      <c r="K25" s="23" t="s">
        <v>113</v>
      </c>
      <c r="L25" s="23" t="s">
        <v>114</v>
      </c>
      <c r="O25" s="23" t="s">
        <v>11521</v>
      </c>
      <c r="P25" s="23" t="s">
        <v>115</v>
      </c>
      <c r="Q25" s="23" t="s">
        <v>116</v>
      </c>
      <c r="R25" s="23" t="s">
        <v>117</v>
      </c>
      <c r="S25" s="23" t="s">
        <v>118</v>
      </c>
      <c r="T25" s="23" t="s">
        <v>119</v>
      </c>
    </row>
    <row r="26" spans="1:20" x14ac:dyDescent="0.2">
      <c r="A26" s="23" t="s">
        <v>92</v>
      </c>
      <c r="C26" s="23" t="s">
        <v>120</v>
      </c>
      <c r="D26" s="23" t="s">
        <v>121</v>
      </c>
      <c r="E26" s="23" t="s">
        <v>122</v>
      </c>
      <c r="G26" s="23" t="s">
        <v>123</v>
      </c>
      <c r="K26" s="23" t="s">
        <v>124</v>
      </c>
      <c r="L26" s="23" t="s">
        <v>125</v>
      </c>
      <c r="O26" s="23" t="s">
        <v>11522</v>
      </c>
      <c r="P26" s="23" t="s">
        <v>12570</v>
      </c>
      <c r="Q26" s="23" t="s">
        <v>12576</v>
      </c>
      <c r="R26" s="23" t="s">
        <v>12582</v>
      </c>
      <c r="S26" s="23" t="s">
        <v>12588</v>
      </c>
      <c r="T26" s="23" t="s">
        <v>12594</v>
      </c>
    </row>
    <row r="27" spans="1:20" x14ac:dyDescent="0.2">
      <c r="A27" s="23" t="s">
        <v>92</v>
      </c>
      <c r="C27" s="23" t="s">
        <v>126</v>
      </c>
      <c r="D27" s="23" t="s">
        <v>127</v>
      </c>
      <c r="E27" s="23" t="s">
        <v>128</v>
      </c>
      <c r="G27" s="23" t="s">
        <v>129</v>
      </c>
      <c r="K27" s="23" t="s">
        <v>130</v>
      </c>
      <c r="L27" s="23" t="s">
        <v>131</v>
      </c>
      <c r="O27" s="23" t="s">
        <v>11523</v>
      </c>
      <c r="P27" s="23" t="s">
        <v>12571</v>
      </c>
      <c r="Q27" s="23" t="s">
        <v>12577</v>
      </c>
      <c r="R27" s="23" t="s">
        <v>12583</v>
      </c>
      <c r="S27" s="23" t="s">
        <v>12589</v>
      </c>
      <c r="T27" s="23" t="s">
        <v>12595</v>
      </c>
    </row>
    <row r="28" spans="1:20" x14ac:dyDescent="0.2">
      <c r="A28" s="23" t="s">
        <v>92</v>
      </c>
      <c r="C28" s="23" t="s">
        <v>132</v>
      </c>
      <c r="D28" s="23" t="s">
        <v>133</v>
      </c>
      <c r="E28" s="23" t="s">
        <v>134</v>
      </c>
      <c r="G28" s="23" t="s">
        <v>135</v>
      </c>
      <c r="K28" s="23" t="s">
        <v>136</v>
      </c>
      <c r="L28" s="23" t="s">
        <v>137</v>
      </c>
      <c r="O28" s="23" t="s">
        <v>11524</v>
      </c>
      <c r="P28" s="23" t="s">
        <v>12572</v>
      </c>
      <c r="Q28" s="23" t="s">
        <v>12578</v>
      </c>
      <c r="R28" s="23" t="s">
        <v>12584</v>
      </c>
      <c r="S28" s="23" t="s">
        <v>12590</v>
      </c>
      <c r="T28" s="23" t="s">
        <v>12596</v>
      </c>
    </row>
    <row r="29" spans="1:20" x14ac:dyDescent="0.2">
      <c r="A29" s="23" t="s">
        <v>92</v>
      </c>
      <c r="C29" s="23" t="s">
        <v>138</v>
      </c>
      <c r="D29" s="23" t="s">
        <v>139</v>
      </c>
      <c r="E29" s="23" t="s">
        <v>140</v>
      </c>
      <c r="G29" s="23" t="s">
        <v>141</v>
      </c>
      <c r="K29" s="23" t="s">
        <v>142</v>
      </c>
      <c r="L29" s="23" t="s">
        <v>143</v>
      </c>
      <c r="O29" s="23" t="s">
        <v>11525</v>
      </c>
      <c r="P29" s="23" t="s">
        <v>12573</v>
      </c>
      <c r="Q29" s="23" t="s">
        <v>12579</v>
      </c>
      <c r="R29" s="23" t="s">
        <v>12585</v>
      </c>
      <c r="S29" s="23" t="s">
        <v>12591</v>
      </c>
      <c r="T29" s="23" t="s">
        <v>12597</v>
      </c>
    </row>
    <row r="30" spans="1:20" x14ac:dyDescent="0.2">
      <c r="A30" s="23" t="s">
        <v>92</v>
      </c>
      <c r="C30" s="23" t="s">
        <v>1272</v>
      </c>
      <c r="D30" s="23" t="s">
        <v>1273</v>
      </c>
      <c r="E30" s="23" t="s">
        <v>1274</v>
      </c>
      <c r="G30" s="23" t="s">
        <v>1275</v>
      </c>
      <c r="K30" s="23" t="s">
        <v>1276</v>
      </c>
      <c r="L30" s="23" t="s">
        <v>1277</v>
      </c>
      <c r="O30" s="23" t="s">
        <v>11526</v>
      </c>
      <c r="P30" s="23" t="s">
        <v>12574</v>
      </c>
      <c r="Q30" s="23" t="s">
        <v>12580</v>
      </c>
      <c r="R30" s="23" t="s">
        <v>12586</v>
      </c>
      <c r="S30" s="23" t="s">
        <v>12592</v>
      </c>
      <c r="T30" s="23" t="s">
        <v>12598</v>
      </c>
    </row>
    <row r="31" spans="1:20" x14ac:dyDescent="0.2">
      <c r="A31" s="23" t="s">
        <v>92</v>
      </c>
      <c r="C31" s="23" t="s">
        <v>144</v>
      </c>
      <c r="D31" s="23" t="s">
        <v>145</v>
      </c>
      <c r="E31" s="23" t="s">
        <v>146</v>
      </c>
      <c r="G31" s="23" t="s">
        <v>147</v>
      </c>
      <c r="K31" s="23" t="s">
        <v>148</v>
      </c>
      <c r="L31" s="23" t="s">
        <v>149</v>
      </c>
      <c r="O31" s="23" t="s">
        <v>11527</v>
      </c>
      <c r="P31" s="23" t="s">
        <v>12575</v>
      </c>
      <c r="Q31" s="23" t="s">
        <v>12581</v>
      </c>
      <c r="R31" s="23" t="s">
        <v>12587</v>
      </c>
      <c r="S31" s="23" t="s">
        <v>12593</v>
      </c>
      <c r="T31" s="23" t="s">
        <v>12599</v>
      </c>
    </row>
    <row r="32" spans="1:20" x14ac:dyDescent="0.2">
      <c r="A32" s="23" t="s">
        <v>92</v>
      </c>
      <c r="C32" s="23" t="s">
        <v>120</v>
      </c>
      <c r="D32" s="23" t="s">
        <v>121</v>
      </c>
      <c r="E32" s="23" t="s">
        <v>122</v>
      </c>
      <c r="G32" s="23" t="s">
        <v>123</v>
      </c>
      <c r="K32" s="23" t="s">
        <v>124</v>
      </c>
      <c r="L32" s="23" t="s">
        <v>125</v>
      </c>
    </row>
    <row r="33" spans="1:20" x14ac:dyDescent="0.2">
      <c r="A33" s="23" t="s">
        <v>92</v>
      </c>
      <c r="C33" s="23" t="s">
        <v>150</v>
      </c>
      <c r="D33" s="23" t="s">
        <v>151</v>
      </c>
      <c r="E33" s="23" t="s">
        <v>152</v>
      </c>
      <c r="G33" s="23" t="s">
        <v>153</v>
      </c>
      <c r="K33" s="23" t="s">
        <v>154</v>
      </c>
      <c r="L33" s="23" t="s">
        <v>155</v>
      </c>
      <c r="M33" s="23" t="s">
        <v>1278</v>
      </c>
      <c r="N33" s="23" t="s">
        <v>156</v>
      </c>
      <c r="T33" s="23" t="s">
        <v>1279</v>
      </c>
    </row>
    <row r="34" spans="1:20" x14ac:dyDescent="0.2">
      <c r="A34" s="23" t="s">
        <v>92</v>
      </c>
      <c r="C34" s="23" t="s">
        <v>157</v>
      </c>
      <c r="D34" s="23" t="s">
        <v>158</v>
      </c>
      <c r="E34" s="23" t="s">
        <v>159</v>
      </c>
      <c r="G34" s="23" t="s">
        <v>160</v>
      </c>
      <c r="K34" s="23" t="s">
        <v>1280</v>
      </c>
      <c r="L34" s="23" t="s">
        <v>1281</v>
      </c>
      <c r="M34" s="23" t="s">
        <v>1282</v>
      </c>
      <c r="N34" s="23" t="s">
        <v>1283</v>
      </c>
    </row>
    <row r="35" spans="1:20" x14ac:dyDescent="0.2">
      <c r="A35" s="23" t="s">
        <v>92</v>
      </c>
      <c r="C35" s="23" t="s">
        <v>161</v>
      </c>
      <c r="D35" s="23" t="s">
        <v>162</v>
      </c>
      <c r="E35" s="23" t="s">
        <v>163</v>
      </c>
      <c r="G35" s="23" t="s">
        <v>164</v>
      </c>
      <c r="K35" s="23" t="s">
        <v>165</v>
      </c>
      <c r="L35" s="23" t="s">
        <v>166</v>
      </c>
      <c r="O35" s="23" t="s">
        <v>11528</v>
      </c>
      <c r="P35" s="23" t="s">
        <v>167</v>
      </c>
      <c r="Q35" s="23" t="s">
        <v>168</v>
      </c>
      <c r="R35" s="23" t="s">
        <v>169</v>
      </c>
      <c r="S35" s="23" t="s">
        <v>170</v>
      </c>
      <c r="T35" s="23" t="s">
        <v>171</v>
      </c>
    </row>
    <row r="36" spans="1:20" x14ac:dyDescent="0.2">
      <c r="A36" s="23" t="s">
        <v>92</v>
      </c>
      <c r="C36" s="23" t="s">
        <v>172</v>
      </c>
      <c r="D36" s="23" t="s">
        <v>173</v>
      </c>
      <c r="E36" s="23" t="s">
        <v>174</v>
      </c>
      <c r="G36" s="23" t="s">
        <v>175</v>
      </c>
      <c r="K36" s="23" t="s">
        <v>176</v>
      </c>
      <c r="L36" s="23" t="s">
        <v>177</v>
      </c>
      <c r="O36" s="23" t="s">
        <v>11529</v>
      </c>
      <c r="P36" s="23" t="s">
        <v>12540</v>
      </c>
      <c r="Q36" s="23" t="s">
        <v>12546</v>
      </c>
      <c r="R36" s="23" t="s">
        <v>12552</v>
      </c>
      <c r="S36" s="23" t="s">
        <v>12558</v>
      </c>
      <c r="T36" s="23" t="s">
        <v>12564</v>
      </c>
    </row>
    <row r="37" spans="1:20" x14ac:dyDescent="0.2">
      <c r="A37" s="23" t="s">
        <v>92</v>
      </c>
      <c r="C37" s="23" t="s">
        <v>178</v>
      </c>
      <c r="D37" s="23" t="s">
        <v>179</v>
      </c>
      <c r="E37" s="23" t="s">
        <v>180</v>
      </c>
      <c r="G37" s="23" t="s">
        <v>181</v>
      </c>
      <c r="K37" s="23" t="s">
        <v>182</v>
      </c>
      <c r="L37" s="23" t="s">
        <v>183</v>
      </c>
      <c r="O37" s="23" t="s">
        <v>11530</v>
      </c>
      <c r="P37" s="23" t="s">
        <v>12541</v>
      </c>
      <c r="Q37" s="23" t="s">
        <v>12547</v>
      </c>
      <c r="R37" s="23" t="s">
        <v>12553</v>
      </c>
      <c r="S37" s="23" t="s">
        <v>12559</v>
      </c>
      <c r="T37" s="23" t="s">
        <v>12565</v>
      </c>
    </row>
    <row r="38" spans="1:20" x14ac:dyDescent="0.2">
      <c r="A38" s="23" t="s">
        <v>92</v>
      </c>
      <c r="C38" s="23" t="s">
        <v>184</v>
      </c>
      <c r="D38" s="23" t="s">
        <v>185</v>
      </c>
      <c r="E38" s="23" t="s">
        <v>186</v>
      </c>
      <c r="G38" s="23" t="s">
        <v>187</v>
      </c>
      <c r="K38" s="23" t="s">
        <v>188</v>
      </c>
      <c r="L38" s="23" t="s">
        <v>189</v>
      </c>
      <c r="O38" s="23" t="s">
        <v>11531</v>
      </c>
      <c r="P38" s="23" t="s">
        <v>12542</v>
      </c>
      <c r="Q38" s="23" t="s">
        <v>12548</v>
      </c>
      <c r="R38" s="23" t="s">
        <v>12554</v>
      </c>
      <c r="S38" s="23" t="s">
        <v>12560</v>
      </c>
      <c r="T38" s="23" t="s">
        <v>12566</v>
      </c>
    </row>
    <row r="39" spans="1:20" x14ac:dyDescent="0.2">
      <c r="A39" s="23" t="s">
        <v>92</v>
      </c>
      <c r="C39" s="23" t="s">
        <v>1284</v>
      </c>
      <c r="D39" s="23" t="s">
        <v>1285</v>
      </c>
      <c r="E39" s="23" t="s">
        <v>1286</v>
      </c>
      <c r="G39" s="23" t="s">
        <v>1287</v>
      </c>
      <c r="K39" s="23" t="s">
        <v>1288</v>
      </c>
      <c r="L39" s="23" t="s">
        <v>1289</v>
      </c>
      <c r="O39" s="23" t="s">
        <v>11532</v>
      </c>
      <c r="P39" s="23" t="s">
        <v>12543</v>
      </c>
      <c r="Q39" s="23" t="s">
        <v>12549</v>
      </c>
      <c r="R39" s="23" t="s">
        <v>12555</v>
      </c>
      <c r="S39" s="23" t="s">
        <v>12561</v>
      </c>
      <c r="T39" s="23" t="s">
        <v>12567</v>
      </c>
    </row>
    <row r="40" spans="1:20" x14ac:dyDescent="0.2">
      <c r="A40" s="23" t="s">
        <v>92</v>
      </c>
      <c r="C40" s="23" t="s">
        <v>190</v>
      </c>
      <c r="D40" s="23" t="s">
        <v>191</v>
      </c>
      <c r="E40" s="23" t="s">
        <v>192</v>
      </c>
      <c r="G40" s="23" t="s">
        <v>193</v>
      </c>
      <c r="K40" s="23" t="s">
        <v>194</v>
      </c>
      <c r="L40" s="23" t="s">
        <v>195</v>
      </c>
      <c r="O40" s="23" t="s">
        <v>11533</v>
      </c>
      <c r="P40" s="23" t="s">
        <v>12544</v>
      </c>
      <c r="Q40" s="23" t="s">
        <v>12550</v>
      </c>
      <c r="R40" s="23" t="s">
        <v>12556</v>
      </c>
      <c r="S40" s="23" t="s">
        <v>12562</v>
      </c>
      <c r="T40" s="23" t="s">
        <v>12568</v>
      </c>
    </row>
    <row r="41" spans="1:20" x14ac:dyDescent="0.2">
      <c r="A41" s="23" t="s">
        <v>92</v>
      </c>
      <c r="C41" s="23" t="s">
        <v>196</v>
      </c>
      <c r="D41" s="23" t="s">
        <v>197</v>
      </c>
      <c r="E41" s="23" t="s">
        <v>198</v>
      </c>
      <c r="G41" s="23" t="s">
        <v>199</v>
      </c>
      <c r="K41" s="23" t="s">
        <v>200</v>
      </c>
      <c r="L41" s="23" t="s">
        <v>1290</v>
      </c>
      <c r="O41" s="23" t="s">
        <v>11534</v>
      </c>
      <c r="P41" s="23" t="s">
        <v>12545</v>
      </c>
      <c r="Q41" s="23" t="s">
        <v>12551</v>
      </c>
      <c r="R41" s="23" t="s">
        <v>12557</v>
      </c>
      <c r="S41" s="23" t="s">
        <v>12563</v>
      </c>
      <c r="T41" s="23" t="s">
        <v>12569</v>
      </c>
    </row>
    <row r="42" spans="1:20" x14ac:dyDescent="0.2">
      <c r="A42" s="23" t="s">
        <v>92</v>
      </c>
      <c r="C42" s="23" t="s">
        <v>172</v>
      </c>
      <c r="D42" s="23" t="s">
        <v>173</v>
      </c>
      <c r="E42" s="23" t="s">
        <v>174</v>
      </c>
      <c r="G42" s="23" t="s">
        <v>175</v>
      </c>
      <c r="K42" s="23" t="s">
        <v>176</v>
      </c>
      <c r="L42" s="23" t="s">
        <v>177</v>
      </c>
    </row>
    <row r="43" spans="1:20" x14ac:dyDescent="0.2">
      <c r="A43" s="23" t="s">
        <v>92</v>
      </c>
      <c r="C43" s="23" t="s">
        <v>201</v>
      </c>
      <c r="D43" s="23" t="s">
        <v>202</v>
      </c>
      <c r="E43" s="23" t="s">
        <v>203</v>
      </c>
      <c r="G43" s="23" t="s">
        <v>204</v>
      </c>
      <c r="K43" s="23" t="s">
        <v>205</v>
      </c>
      <c r="L43" s="23" t="s">
        <v>206</v>
      </c>
      <c r="M43" s="23" t="s">
        <v>1291</v>
      </c>
      <c r="N43" s="23" t="s">
        <v>207</v>
      </c>
      <c r="T43" s="23" t="s">
        <v>1292</v>
      </c>
    </row>
    <row r="44" spans="1:20" x14ac:dyDescent="0.2">
      <c r="A44" s="23" t="s">
        <v>92</v>
      </c>
      <c r="C44" s="23" t="s">
        <v>208</v>
      </c>
      <c r="D44" s="23" t="s">
        <v>209</v>
      </c>
      <c r="E44" s="23" t="s">
        <v>210</v>
      </c>
      <c r="G44" s="23" t="s">
        <v>211</v>
      </c>
      <c r="K44" s="23" t="s">
        <v>1293</v>
      </c>
      <c r="L44" s="23" t="s">
        <v>1294</v>
      </c>
      <c r="M44" s="23" t="s">
        <v>1295</v>
      </c>
      <c r="N44" s="23" t="s">
        <v>1296</v>
      </c>
    </row>
    <row r="45" spans="1:20" x14ac:dyDescent="0.2">
      <c r="A45" s="23" t="s">
        <v>92</v>
      </c>
      <c r="C45" s="23" t="s">
        <v>212</v>
      </c>
      <c r="D45" s="23" t="s">
        <v>213</v>
      </c>
      <c r="E45" s="23" t="s">
        <v>214</v>
      </c>
      <c r="G45" s="23" t="s">
        <v>215</v>
      </c>
      <c r="K45" s="23" t="s">
        <v>216</v>
      </c>
      <c r="L45" s="23" t="s">
        <v>217</v>
      </c>
      <c r="O45" s="23" t="s">
        <v>11535</v>
      </c>
      <c r="P45" s="23" t="s">
        <v>218</v>
      </c>
      <c r="Q45" s="23" t="s">
        <v>219</v>
      </c>
      <c r="R45" s="23" t="s">
        <v>220</v>
      </c>
      <c r="S45" s="23" t="s">
        <v>221</v>
      </c>
      <c r="T45" s="23" t="s">
        <v>222</v>
      </c>
    </row>
    <row r="46" spans="1:20" x14ac:dyDescent="0.2">
      <c r="A46" s="23" t="s">
        <v>92</v>
      </c>
      <c r="C46" s="23" t="s">
        <v>223</v>
      </c>
      <c r="D46" s="23" t="s">
        <v>224</v>
      </c>
      <c r="E46" s="23" t="s">
        <v>225</v>
      </c>
      <c r="G46" s="23" t="s">
        <v>226</v>
      </c>
      <c r="K46" s="23" t="s">
        <v>227</v>
      </c>
      <c r="L46" s="23" t="s">
        <v>228</v>
      </c>
      <c r="O46" s="23" t="s">
        <v>11536</v>
      </c>
      <c r="P46" s="23" t="s">
        <v>12505</v>
      </c>
      <c r="Q46" s="23" t="s">
        <v>12512</v>
      </c>
      <c r="R46" s="23" t="s">
        <v>12519</v>
      </c>
      <c r="S46" s="23" t="s">
        <v>12526</v>
      </c>
      <c r="T46" s="23" t="s">
        <v>12533</v>
      </c>
    </row>
    <row r="47" spans="1:20" x14ac:dyDescent="0.2">
      <c r="A47" s="23" t="s">
        <v>92</v>
      </c>
      <c r="C47" s="23" t="s">
        <v>229</v>
      </c>
      <c r="D47" s="23" t="s">
        <v>230</v>
      </c>
      <c r="E47" s="23" t="s">
        <v>231</v>
      </c>
      <c r="G47" s="23" t="s">
        <v>232</v>
      </c>
      <c r="K47" s="23" t="s">
        <v>233</v>
      </c>
      <c r="L47" s="23" t="s">
        <v>234</v>
      </c>
      <c r="O47" s="23" t="s">
        <v>11537</v>
      </c>
      <c r="P47" s="23" t="s">
        <v>12506</v>
      </c>
      <c r="Q47" s="23" t="s">
        <v>12513</v>
      </c>
      <c r="R47" s="23" t="s">
        <v>12520</v>
      </c>
      <c r="S47" s="23" t="s">
        <v>12527</v>
      </c>
      <c r="T47" s="23" t="s">
        <v>12534</v>
      </c>
    </row>
    <row r="48" spans="1:20" x14ac:dyDescent="0.2">
      <c r="A48" s="23" t="s">
        <v>92</v>
      </c>
      <c r="C48" s="23" t="s">
        <v>1297</v>
      </c>
      <c r="D48" s="23" t="s">
        <v>1298</v>
      </c>
      <c r="E48" s="23" t="s">
        <v>1299</v>
      </c>
      <c r="G48" s="23" t="s">
        <v>1300</v>
      </c>
      <c r="K48" s="23" t="s">
        <v>1301</v>
      </c>
      <c r="L48" s="23" t="s">
        <v>1302</v>
      </c>
      <c r="O48" s="23" t="s">
        <v>11538</v>
      </c>
      <c r="P48" s="23" t="s">
        <v>12507</v>
      </c>
      <c r="Q48" s="23" t="s">
        <v>12514</v>
      </c>
      <c r="R48" s="23" t="s">
        <v>12521</v>
      </c>
      <c r="S48" s="23" t="s">
        <v>12528</v>
      </c>
      <c r="T48" s="23" t="s">
        <v>12535</v>
      </c>
    </row>
    <row r="49" spans="1:20" x14ac:dyDescent="0.2">
      <c r="A49" s="23" t="s">
        <v>92</v>
      </c>
      <c r="C49" s="23" t="s">
        <v>235</v>
      </c>
      <c r="D49" s="23" t="s">
        <v>236</v>
      </c>
      <c r="E49" s="23" t="s">
        <v>237</v>
      </c>
      <c r="G49" s="23" t="s">
        <v>238</v>
      </c>
      <c r="K49" s="23" t="s">
        <v>239</v>
      </c>
      <c r="L49" s="23" t="s">
        <v>240</v>
      </c>
      <c r="O49" s="23" t="s">
        <v>11539</v>
      </c>
      <c r="P49" s="23" t="s">
        <v>12508</v>
      </c>
      <c r="Q49" s="23" t="s">
        <v>12515</v>
      </c>
      <c r="R49" s="23" t="s">
        <v>12522</v>
      </c>
      <c r="S49" s="23" t="s">
        <v>12529</v>
      </c>
      <c r="T49" s="23" t="s">
        <v>12536</v>
      </c>
    </row>
    <row r="50" spans="1:20" x14ac:dyDescent="0.2">
      <c r="A50" s="23" t="s">
        <v>92</v>
      </c>
      <c r="C50" s="23" t="s">
        <v>241</v>
      </c>
      <c r="D50" s="23" t="s">
        <v>242</v>
      </c>
      <c r="E50" s="23" t="s">
        <v>243</v>
      </c>
      <c r="G50" s="23" t="s">
        <v>244</v>
      </c>
      <c r="K50" s="23" t="s">
        <v>245</v>
      </c>
      <c r="L50" s="23" t="s">
        <v>1303</v>
      </c>
      <c r="O50" s="23" t="s">
        <v>11540</v>
      </c>
      <c r="P50" s="23" t="s">
        <v>12509</v>
      </c>
      <c r="Q50" s="23" t="s">
        <v>12516</v>
      </c>
      <c r="R50" s="23" t="s">
        <v>12523</v>
      </c>
      <c r="S50" s="23" t="s">
        <v>12530</v>
      </c>
      <c r="T50" s="23" t="s">
        <v>12537</v>
      </c>
    </row>
    <row r="51" spans="1:20" x14ac:dyDescent="0.2">
      <c r="A51" s="23" t="s">
        <v>92</v>
      </c>
      <c r="C51" s="23" t="s">
        <v>246</v>
      </c>
      <c r="D51" s="23" t="s">
        <v>247</v>
      </c>
      <c r="E51" s="23" t="s">
        <v>248</v>
      </c>
      <c r="G51" s="23" t="s">
        <v>249</v>
      </c>
      <c r="K51" s="23" t="s">
        <v>250</v>
      </c>
      <c r="L51" s="23" t="s">
        <v>251</v>
      </c>
      <c r="O51" s="23" t="s">
        <v>11541</v>
      </c>
      <c r="P51" s="23" t="s">
        <v>12510</v>
      </c>
      <c r="Q51" s="23" t="s">
        <v>12517</v>
      </c>
      <c r="R51" s="23" t="s">
        <v>12524</v>
      </c>
      <c r="S51" s="23" t="s">
        <v>12531</v>
      </c>
      <c r="T51" s="23" t="s">
        <v>12538</v>
      </c>
    </row>
    <row r="52" spans="1:20" x14ac:dyDescent="0.2">
      <c r="A52" s="23" t="s">
        <v>92</v>
      </c>
      <c r="C52" s="23" t="s">
        <v>252</v>
      </c>
      <c r="D52" s="23" t="s">
        <v>253</v>
      </c>
      <c r="E52" s="23" t="s">
        <v>254</v>
      </c>
      <c r="G52" s="23" t="s">
        <v>255</v>
      </c>
      <c r="K52" s="23" t="s">
        <v>256</v>
      </c>
      <c r="L52" s="23" t="s">
        <v>257</v>
      </c>
      <c r="O52" s="23" t="s">
        <v>11542</v>
      </c>
      <c r="P52" s="23" t="s">
        <v>12511</v>
      </c>
      <c r="Q52" s="23" t="s">
        <v>12518</v>
      </c>
      <c r="R52" s="23" t="s">
        <v>12525</v>
      </c>
      <c r="S52" s="23" t="s">
        <v>12532</v>
      </c>
      <c r="T52" s="23" t="s">
        <v>12539</v>
      </c>
    </row>
    <row r="53" spans="1:20" x14ac:dyDescent="0.2">
      <c r="A53" s="23" t="s">
        <v>92</v>
      </c>
      <c r="C53" s="23" t="s">
        <v>223</v>
      </c>
      <c r="D53" s="23" t="s">
        <v>224</v>
      </c>
      <c r="E53" s="23" t="s">
        <v>225</v>
      </c>
      <c r="G53" s="23" t="s">
        <v>226</v>
      </c>
      <c r="K53" s="23" t="s">
        <v>227</v>
      </c>
      <c r="L53" s="23" t="s">
        <v>228</v>
      </c>
    </row>
    <row r="54" spans="1:20" x14ac:dyDescent="0.2">
      <c r="A54" s="23" t="s">
        <v>92</v>
      </c>
      <c r="C54" s="23" t="s">
        <v>258</v>
      </c>
      <c r="D54" s="23" t="s">
        <v>259</v>
      </c>
      <c r="E54" s="23" t="s">
        <v>260</v>
      </c>
      <c r="G54" s="23" t="s">
        <v>261</v>
      </c>
      <c r="K54" s="23" t="s">
        <v>262</v>
      </c>
      <c r="L54" s="23" t="s">
        <v>263</v>
      </c>
      <c r="M54" s="23" t="s">
        <v>1304</v>
      </c>
      <c r="N54" s="23" t="s">
        <v>264</v>
      </c>
      <c r="T54" s="23" t="s">
        <v>1305</v>
      </c>
    </row>
    <row r="55" spans="1:20" x14ac:dyDescent="0.2">
      <c r="A55" s="23" t="s">
        <v>92</v>
      </c>
      <c r="C55" s="23" t="s">
        <v>265</v>
      </c>
      <c r="D55" s="23" t="s">
        <v>266</v>
      </c>
      <c r="E55" s="23" t="s">
        <v>267</v>
      </c>
      <c r="G55" s="23" t="s">
        <v>268</v>
      </c>
      <c r="K55" s="23" t="s">
        <v>1306</v>
      </c>
      <c r="L55" s="23" t="s">
        <v>1307</v>
      </c>
      <c r="M55" s="23" t="s">
        <v>1308</v>
      </c>
      <c r="N55" s="23" t="s">
        <v>1309</v>
      </c>
    </row>
    <row r="56" spans="1:20" x14ac:dyDescent="0.2">
      <c r="A56" s="23" t="s">
        <v>92</v>
      </c>
      <c r="C56" s="23" t="s">
        <v>269</v>
      </c>
      <c r="D56" s="23" t="s">
        <v>270</v>
      </c>
      <c r="E56" s="23" t="s">
        <v>271</v>
      </c>
      <c r="G56" s="23" t="s">
        <v>272</v>
      </c>
      <c r="K56" s="23" t="s">
        <v>273</v>
      </c>
      <c r="L56" s="23" t="s">
        <v>274</v>
      </c>
      <c r="O56" s="23" t="s">
        <v>11543</v>
      </c>
      <c r="P56" s="23" t="s">
        <v>275</v>
      </c>
      <c r="Q56" s="23" t="s">
        <v>276</v>
      </c>
      <c r="R56" s="23" t="s">
        <v>277</v>
      </c>
      <c r="S56" s="23" t="s">
        <v>278</v>
      </c>
      <c r="T56" s="23" t="s">
        <v>279</v>
      </c>
    </row>
    <row r="57" spans="1:20" x14ac:dyDescent="0.2">
      <c r="A57" s="23" t="s">
        <v>92</v>
      </c>
      <c r="C57" s="23" t="s">
        <v>280</v>
      </c>
      <c r="D57" s="23" t="s">
        <v>281</v>
      </c>
      <c r="E57" s="23" t="s">
        <v>282</v>
      </c>
      <c r="G57" s="23" t="s">
        <v>283</v>
      </c>
      <c r="K57" s="23" t="s">
        <v>284</v>
      </c>
      <c r="L57" s="23" t="s">
        <v>285</v>
      </c>
      <c r="O57" s="23" t="s">
        <v>11544</v>
      </c>
      <c r="P57" s="23" t="s">
        <v>12470</v>
      </c>
      <c r="Q57" s="23" t="s">
        <v>12477</v>
      </c>
      <c r="R57" s="23" t="s">
        <v>12484</v>
      </c>
      <c r="S57" s="23" t="s">
        <v>12491</v>
      </c>
      <c r="T57" s="23" t="s">
        <v>12498</v>
      </c>
    </row>
    <row r="58" spans="1:20" x14ac:dyDescent="0.2">
      <c r="A58" s="23" t="s">
        <v>92</v>
      </c>
      <c r="C58" s="23" t="s">
        <v>1310</v>
      </c>
      <c r="D58" s="23" t="s">
        <v>1311</v>
      </c>
      <c r="E58" s="23" t="s">
        <v>1312</v>
      </c>
      <c r="G58" s="23" t="s">
        <v>1313</v>
      </c>
      <c r="K58" s="23" t="s">
        <v>1314</v>
      </c>
      <c r="L58" s="23" t="s">
        <v>1315</v>
      </c>
      <c r="O58" s="23" t="s">
        <v>11545</v>
      </c>
      <c r="P58" s="23" t="s">
        <v>12471</v>
      </c>
      <c r="Q58" s="23" t="s">
        <v>12478</v>
      </c>
      <c r="R58" s="23" t="s">
        <v>12485</v>
      </c>
      <c r="S58" s="23" t="s">
        <v>12492</v>
      </c>
      <c r="T58" s="23" t="s">
        <v>12499</v>
      </c>
    </row>
    <row r="59" spans="1:20" x14ac:dyDescent="0.2">
      <c r="A59" s="23" t="s">
        <v>92</v>
      </c>
      <c r="C59" s="23" t="s">
        <v>286</v>
      </c>
      <c r="D59" s="23" t="s">
        <v>287</v>
      </c>
      <c r="E59" s="23" t="s">
        <v>288</v>
      </c>
      <c r="G59" s="23" t="s">
        <v>289</v>
      </c>
      <c r="K59" s="23" t="s">
        <v>290</v>
      </c>
      <c r="L59" s="23" t="s">
        <v>291</v>
      </c>
      <c r="O59" s="23" t="s">
        <v>11546</v>
      </c>
      <c r="P59" s="23" t="s">
        <v>12472</v>
      </c>
      <c r="Q59" s="23" t="s">
        <v>12479</v>
      </c>
      <c r="R59" s="23" t="s">
        <v>12486</v>
      </c>
      <c r="S59" s="23" t="s">
        <v>12493</v>
      </c>
      <c r="T59" s="23" t="s">
        <v>12500</v>
      </c>
    </row>
    <row r="60" spans="1:20" x14ac:dyDescent="0.2">
      <c r="A60" s="23" t="s">
        <v>92</v>
      </c>
      <c r="C60" s="23" t="s">
        <v>292</v>
      </c>
      <c r="D60" s="23" t="s">
        <v>293</v>
      </c>
      <c r="E60" s="23" t="s">
        <v>294</v>
      </c>
      <c r="G60" s="23" t="s">
        <v>295</v>
      </c>
      <c r="K60" s="23" t="s">
        <v>296</v>
      </c>
      <c r="L60" s="23" t="s">
        <v>1316</v>
      </c>
      <c r="O60" s="23" t="s">
        <v>11547</v>
      </c>
      <c r="P60" s="23" t="s">
        <v>12473</v>
      </c>
      <c r="Q60" s="23" t="s">
        <v>12480</v>
      </c>
      <c r="R60" s="23" t="s">
        <v>12487</v>
      </c>
      <c r="S60" s="23" t="s">
        <v>12494</v>
      </c>
      <c r="T60" s="23" t="s">
        <v>12501</v>
      </c>
    </row>
    <row r="61" spans="1:20" x14ac:dyDescent="0.2">
      <c r="A61" s="23" t="s">
        <v>92</v>
      </c>
      <c r="C61" s="23" t="s">
        <v>297</v>
      </c>
      <c r="D61" s="23" t="s">
        <v>298</v>
      </c>
      <c r="E61" s="23" t="s">
        <v>299</v>
      </c>
      <c r="G61" s="23" t="s">
        <v>300</v>
      </c>
      <c r="K61" s="23" t="s">
        <v>301</v>
      </c>
      <c r="L61" s="23" t="s">
        <v>302</v>
      </c>
      <c r="O61" s="23" t="s">
        <v>11548</v>
      </c>
      <c r="P61" s="23" t="s">
        <v>12474</v>
      </c>
      <c r="Q61" s="23" t="s">
        <v>12481</v>
      </c>
      <c r="R61" s="23" t="s">
        <v>12488</v>
      </c>
      <c r="S61" s="23" t="s">
        <v>12495</v>
      </c>
      <c r="T61" s="23" t="s">
        <v>12502</v>
      </c>
    </row>
    <row r="62" spans="1:20" x14ac:dyDescent="0.2">
      <c r="A62" s="23" t="s">
        <v>92</v>
      </c>
      <c r="C62" s="23" t="s">
        <v>303</v>
      </c>
      <c r="D62" s="23" t="s">
        <v>304</v>
      </c>
      <c r="E62" s="23" t="s">
        <v>305</v>
      </c>
      <c r="G62" s="23" t="s">
        <v>306</v>
      </c>
      <c r="K62" s="23" t="s">
        <v>307</v>
      </c>
      <c r="L62" s="23" t="s">
        <v>308</v>
      </c>
      <c r="O62" s="23" t="s">
        <v>11549</v>
      </c>
      <c r="P62" s="23" t="s">
        <v>12475</v>
      </c>
      <c r="Q62" s="23" t="s">
        <v>12482</v>
      </c>
      <c r="R62" s="23" t="s">
        <v>12489</v>
      </c>
      <c r="S62" s="23" t="s">
        <v>12496</v>
      </c>
      <c r="T62" s="23" t="s">
        <v>12503</v>
      </c>
    </row>
    <row r="63" spans="1:20" x14ac:dyDescent="0.2">
      <c r="A63" s="23" t="s">
        <v>92</v>
      </c>
      <c r="C63" s="23" t="s">
        <v>309</v>
      </c>
      <c r="D63" s="23" t="s">
        <v>310</v>
      </c>
      <c r="E63" s="23" t="s">
        <v>311</v>
      </c>
      <c r="G63" s="23" t="s">
        <v>312</v>
      </c>
      <c r="K63" s="23" t="s">
        <v>313</v>
      </c>
      <c r="L63" s="23" t="s">
        <v>314</v>
      </c>
      <c r="O63" s="23" t="s">
        <v>11550</v>
      </c>
      <c r="P63" s="23" t="s">
        <v>12476</v>
      </c>
      <c r="Q63" s="23" t="s">
        <v>12483</v>
      </c>
      <c r="R63" s="23" t="s">
        <v>12490</v>
      </c>
      <c r="S63" s="23" t="s">
        <v>12497</v>
      </c>
      <c r="T63" s="23" t="s">
        <v>12504</v>
      </c>
    </row>
    <row r="64" spans="1:20" x14ac:dyDescent="0.2">
      <c r="A64" s="23" t="s">
        <v>92</v>
      </c>
      <c r="C64" s="23" t="s">
        <v>280</v>
      </c>
      <c r="D64" s="23" t="s">
        <v>281</v>
      </c>
      <c r="E64" s="23" t="s">
        <v>282</v>
      </c>
      <c r="G64" s="23" t="s">
        <v>283</v>
      </c>
      <c r="K64" s="23" t="s">
        <v>284</v>
      </c>
      <c r="L64" s="23" t="s">
        <v>285</v>
      </c>
    </row>
    <row r="65" spans="1:20" x14ac:dyDescent="0.2">
      <c r="A65" s="23" t="s">
        <v>92</v>
      </c>
      <c r="C65" s="23" t="s">
        <v>315</v>
      </c>
      <c r="D65" s="23" t="s">
        <v>316</v>
      </c>
      <c r="E65" s="23" t="s">
        <v>317</v>
      </c>
      <c r="G65" s="23" t="s">
        <v>318</v>
      </c>
      <c r="K65" s="23" t="s">
        <v>319</v>
      </c>
      <c r="L65" s="23" t="s">
        <v>320</v>
      </c>
      <c r="M65" s="23" t="s">
        <v>1317</v>
      </c>
      <c r="N65" s="23" t="s">
        <v>321</v>
      </c>
      <c r="T65" s="23" t="s">
        <v>1318</v>
      </c>
    </row>
    <row r="66" spans="1:20" x14ac:dyDescent="0.2">
      <c r="A66" s="23" t="s">
        <v>92</v>
      </c>
      <c r="C66" s="23" t="s">
        <v>322</v>
      </c>
      <c r="D66" s="23" t="s">
        <v>323</v>
      </c>
      <c r="E66" s="23" t="s">
        <v>324</v>
      </c>
      <c r="G66" s="23" t="s">
        <v>325</v>
      </c>
      <c r="K66" s="23" t="s">
        <v>1319</v>
      </c>
      <c r="L66" s="23" t="s">
        <v>1320</v>
      </c>
      <c r="M66" s="23" t="s">
        <v>1321</v>
      </c>
      <c r="N66" s="23" t="s">
        <v>1322</v>
      </c>
    </row>
    <row r="67" spans="1:20" x14ac:dyDescent="0.2">
      <c r="A67" s="23" t="s">
        <v>92</v>
      </c>
      <c r="C67" s="23" t="s">
        <v>1323</v>
      </c>
      <c r="D67" s="23" t="s">
        <v>1324</v>
      </c>
      <c r="E67" s="23" t="s">
        <v>1325</v>
      </c>
      <c r="G67" s="23" t="s">
        <v>1326</v>
      </c>
      <c r="K67" s="23" t="s">
        <v>1327</v>
      </c>
      <c r="L67" s="23" t="s">
        <v>1328</v>
      </c>
      <c r="O67" s="23" t="s">
        <v>11551</v>
      </c>
      <c r="P67" s="23" t="s">
        <v>1329</v>
      </c>
      <c r="Q67" s="23" t="s">
        <v>1330</v>
      </c>
      <c r="R67" s="23" t="s">
        <v>1331</v>
      </c>
      <c r="S67" s="23" t="s">
        <v>1332</v>
      </c>
      <c r="T67" s="23" t="s">
        <v>1333</v>
      </c>
    </row>
    <row r="68" spans="1:20" x14ac:dyDescent="0.2">
      <c r="A68" s="23" t="s">
        <v>92</v>
      </c>
      <c r="C68" s="23" t="s">
        <v>326</v>
      </c>
      <c r="D68" s="23" t="s">
        <v>327</v>
      </c>
      <c r="E68" s="23" t="s">
        <v>328</v>
      </c>
      <c r="G68" s="23" t="s">
        <v>329</v>
      </c>
      <c r="K68" s="23" t="s">
        <v>330</v>
      </c>
      <c r="L68" s="23" t="s">
        <v>331</v>
      </c>
      <c r="O68" s="23" t="s">
        <v>11552</v>
      </c>
      <c r="P68" s="23" t="s">
        <v>12440</v>
      </c>
      <c r="Q68" s="23" t="s">
        <v>12446</v>
      </c>
      <c r="R68" s="23" t="s">
        <v>12452</v>
      </c>
      <c r="S68" s="23" t="s">
        <v>12458</v>
      </c>
      <c r="T68" s="23" t="s">
        <v>12464</v>
      </c>
    </row>
    <row r="69" spans="1:20" x14ac:dyDescent="0.2">
      <c r="A69" s="23" t="s">
        <v>92</v>
      </c>
      <c r="C69" s="23" t="s">
        <v>332</v>
      </c>
      <c r="D69" s="23" t="s">
        <v>333</v>
      </c>
      <c r="E69" s="23" t="s">
        <v>334</v>
      </c>
      <c r="G69" s="23" t="s">
        <v>335</v>
      </c>
      <c r="K69" s="23" t="s">
        <v>336</v>
      </c>
      <c r="L69" s="23" t="s">
        <v>1334</v>
      </c>
      <c r="O69" s="23" t="s">
        <v>11553</v>
      </c>
      <c r="P69" s="23" t="s">
        <v>12441</v>
      </c>
      <c r="Q69" s="23" t="s">
        <v>12447</v>
      </c>
      <c r="R69" s="23" t="s">
        <v>12453</v>
      </c>
      <c r="S69" s="23" t="s">
        <v>12459</v>
      </c>
      <c r="T69" s="23" t="s">
        <v>12465</v>
      </c>
    </row>
    <row r="70" spans="1:20" x14ac:dyDescent="0.2">
      <c r="A70" s="23" t="s">
        <v>92</v>
      </c>
      <c r="C70" s="23" t="s">
        <v>337</v>
      </c>
      <c r="D70" s="23" t="s">
        <v>338</v>
      </c>
      <c r="E70" s="23" t="s">
        <v>339</v>
      </c>
      <c r="G70" s="23" t="s">
        <v>340</v>
      </c>
      <c r="K70" s="23" t="s">
        <v>341</v>
      </c>
      <c r="L70" s="23" t="s">
        <v>342</v>
      </c>
      <c r="O70" s="23" t="s">
        <v>11554</v>
      </c>
      <c r="P70" s="23" t="s">
        <v>12442</v>
      </c>
      <c r="Q70" s="23" t="s">
        <v>12448</v>
      </c>
      <c r="R70" s="23" t="s">
        <v>12454</v>
      </c>
      <c r="S70" s="23" t="s">
        <v>12460</v>
      </c>
      <c r="T70" s="23" t="s">
        <v>12466</v>
      </c>
    </row>
    <row r="71" spans="1:20" x14ac:dyDescent="0.2">
      <c r="A71" s="23" t="s">
        <v>92</v>
      </c>
      <c r="C71" s="23" t="s">
        <v>343</v>
      </c>
      <c r="D71" s="23" t="s">
        <v>344</v>
      </c>
      <c r="E71" s="23" t="s">
        <v>345</v>
      </c>
      <c r="G71" s="23" t="s">
        <v>346</v>
      </c>
      <c r="K71" s="23" t="s">
        <v>347</v>
      </c>
      <c r="L71" s="23" t="s">
        <v>348</v>
      </c>
      <c r="O71" s="23" t="s">
        <v>11555</v>
      </c>
      <c r="P71" s="23" t="s">
        <v>12443</v>
      </c>
      <c r="Q71" s="23" t="s">
        <v>12449</v>
      </c>
      <c r="R71" s="23" t="s">
        <v>12455</v>
      </c>
      <c r="S71" s="23" t="s">
        <v>12461</v>
      </c>
      <c r="T71" s="23" t="s">
        <v>12467</v>
      </c>
    </row>
    <row r="72" spans="1:20" x14ac:dyDescent="0.2">
      <c r="A72" s="23" t="s">
        <v>92</v>
      </c>
      <c r="C72" s="23" t="s">
        <v>1335</v>
      </c>
      <c r="D72" s="23" t="s">
        <v>1336</v>
      </c>
      <c r="E72" s="23" t="s">
        <v>1337</v>
      </c>
      <c r="G72" s="23" t="s">
        <v>1338</v>
      </c>
      <c r="K72" s="23" t="s">
        <v>1339</v>
      </c>
      <c r="L72" s="23" t="s">
        <v>1340</v>
      </c>
      <c r="O72" s="23" t="s">
        <v>11556</v>
      </c>
      <c r="P72" s="23" t="s">
        <v>12444</v>
      </c>
      <c r="Q72" s="23" t="s">
        <v>12450</v>
      </c>
      <c r="R72" s="23" t="s">
        <v>12456</v>
      </c>
      <c r="S72" s="23" t="s">
        <v>12462</v>
      </c>
      <c r="T72" s="23" t="s">
        <v>12468</v>
      </c>
    </row>
    <row r="73" spans="1:20" x14ac:dyDescent="0.2">
      <c r="A73" s="23" t="s">
        <v>92</v>
      </c>
      <c r="C73" s="23" t="s">
        <v>349</v>
      </c>
      <c r="D73" s="23" t="s">
        <v>350</v>
      </c>
      <c r="E73" s="23" t="s">
        <v>351</v>
      </c>
      <c r="G73" s="23" t="s">
        <v>352</v>
      </c>
      <c r="K73" s="23" t="s">
        <v>353</v>
      </c>
      <c r="L73" s="23" t="s">
        <v>354</v>
      </c>
      <c r="O73" s="23" t="s">
        <v>11557</v>
      </c>
      <c r="P73" s="23" t="s">
        <v>12445</v>
      </c>
      <c r="Q73" s="23" t="s">
        <v>12451</v>
      </c>
      <c r="R73" s="23" t="s">
        <v>12457</v>
      </c>
      <c r="S73" s="23" t="s">
        <v>12463</v>
      </c>
      <c r="T73" s="23" t="s">
        <v>12469</v>
      </c>
    </row>
    <row r="74" spans="1:20" x14ac:dyDescent="0.2">
      <c r="A74" s="23" t="s">
        <v>92</v>
      </c>
      <c r="C74" s="23" t="s">
        <v>326</v>
      </c>
      <c r="D74" s="23" t="s">
        <v>327</v>
      </c>
      <c r="E74" s="23" t="s">
        <v>328</v>
      </c>
      <c r="G74" s="23" t="s">
        <v>329</v>
      </c>
      <c r="K74" s="23" t="s">
        <v>330</v>
      </c>
      <c r="L74" s="23" t="s">
        <v>331</v>
      </c>
    </row>
    <row r="75" spans="1:20" x14ac:dyDescent="0.2">
      <c r="A75" s="23" t="s">
        <v>92</v>
      </c>
      <c r="C75" s="23" t="s">
        <v>355</v>
      </c>
      <c r="D75" s="23" t="s">
        <v>356</v>
      </c>
      <c r="E75" s="23" t="s">
        <v>357</v>
      </c>
      <c r="G75" s="23" t="s">
        <v>358</v>
      </c>
      <c r="K75" s="23" t="s">
        <v>359</v>
      </c>
      <c r="L75" s="23" t="s">
        <v>360</v>
      </c>
      <c r="M75" s="23" t="s">
        <v>1341</v>
      </c>
      <c r="N75" s="23" t="s">
        <v>361</v>
      </c>
      <c r="T75" s="23" t="s">
        <v>1342</v>
      </c>
    </row>
    <row r="76" spans="1:20" x14ac:dyDescent="0.2">
      <c r="C76" s="23" t="s">
        <v>105</v>
      </c>
      <c r="D76" s="23" t="s">
        <v>106</v>
      </c>
      <c r="E76" s="23" t="s">
        <v>107</v>
      </c>
      <c r="G76" s="23" t="s">
        <v>108</v>
      </c>
    </row>
    <row r="77" spans="1:20" x14ac:dyDescent="0.2">
      <c r="C77" s="23" t="s">
        <v>1343</v>
      </c>
      <c r="D77" s="23" t="s">
        <v>1344</v>
      </c>
      <c r="E77" s="23" t="s">
        <v>1345</v>
      </c>
      <c r="G77" s="23" t="s">
        <v>1346</v>
      </c>
      <c r="H77" s="23" t="s">
        <v>1347</v>
      </c>
      <c r="I77" s="23" t="s">
        <v>362</v>
      </c>
      <c r="J77" s="23" t="s">
        <v>363</v>
      </c>
      <c r="T77" s="23" t="s">
        <v>1348</v>
      </c>
    </row>
    <row r="78" spans="1:20" x14ac:dyDescent="0.2">
      <c r="A78" s="23" t="s">
        <v>92</v>
      </c>
      <c r="C78" s="23" t="s">
        <v>1349</v>
      </c>
      <c r="D78" s="23" t="s">
        <v>1350</v>
      </c>
      <c r="E78" s="23" t="s">
        <v>364</v>
      </c>
      <c r="G78" s="23" t="s">
        <v>1351</v>
      </c>
      <c r="H78" s="23" t="s">
        <v>1352</v>
      </c>
      <c r="I78" s="23" t="s">
        <v>1353</v>
      </c>
      <c r="J78" s="23" t="s">
        <v>1354</v>
      </c>
    </row>
    <row r="79" spans="1:20" x14ac:dyDescent="0.2">
      <c r="A79" s="23" t="s">
        <v>92</v>
      </c>
      <c r="C79" s="23" t="s">
        <v>1355</v>
      </c>
      <c r="D79" s="23" t="s">
        <v>1356</v>
      </c>
      <c r="E79" s="23" t="s">
        <v>1357</v>
      </c>
      <c r="G79" s="23" t="s">
        <v>1358</v>
      </c>
      <c r="K79" s="23" t="s">
        <v>1359</v>
      </c>
      <c r="L79" s="23" t="s">
        <v>1360</v>
      </c>
      <c r="M79" s="23" t="s">
        <v>11558</v>
      </c>
      <c r="N79" s="23" t="s">
        <v>1361</v>
      </c>
    </row>
    <row r="80" spans="1:20" x14ac:dyDescent="0.2">
      <c r="A80" s="23" t="s">
        <v>92</v>
      </c>
      <c r="C80" s="23" t="s">
        <v>373</v>
      </c>
      <c r="D80" s="23" t="s">
        <v>374</v>
      </c>
      <c r="E80" s="23" t="s">
        <v>375</v>
      </c>
      <c r="G80" s="23" t="s">
        <v>376</v>
      </c>
      <c r="K80" s="23" t="s">
        <v>1362</v>
      </c>
      <c r="L80" s="23" t="s">
        <v>1363</v>
      </c>
      <c r="O80" s="23" t="s">
        <v>11559</v>
      </c>
      <c r="P80" s="23" t="s">
        <v>1364</v>
      </c>
      <c r="Q80" s="23" t="s">
        <v>1365</v>
      </c>
      <c r="R80" s="23" t="s">
        <v>1366</v>
      </c>
      <c r="S80" s="23" t="s">
        <v>1367</v>
      </c>
      <c r="T80" s="23" t="s">
        <v>1368</v>
      </c>
    </row>
    <row r="81" spans="1:20" x14ac:dyDescent="0.2">
      <c r="A81" s="23" t="s">
        <v>92</v>
      </c>
      <c r="C81" s="23" t="s">
        <v>377</v>
      </c>
      <c r="D81" s="23" t="s">
        <v>378</v>
      </c>
      <c r="E81" s="23" t="s">
        <v>379</v>
      </c>
      <c r="G81" s="23" t="s">
        <v>1369</v>
      </c>
      <c r="K81" s="23" t="s">
        <v>1370</v>
      </c>
      <c r="L81" s="23" t="s">
        <v>1371</v>
      </c>
      <c r="O81" s="23" t="s">
        <v>11560</v>
      </c>
      <c r="P81" s="23" t="s">
        <v>12935</v>
      </c>
      <c r="Q81" s="23" t="s">
        <v>12940</v>
      </c>
      <c r="R81" s="23" t="s">
        <v>12945</v>
      </c>
      <c r="S81" s="23" t="s">
        <v>12950</v>
      </c>
      <c r="T81" s="23" t="s">
        <v>12955</v>
      </c>
    </row>
    <row r="82" spans="1:20" x14ac:dyDescent="0.2">
      <c r="A82" s="23" t="s">
        <v>92</v>
      </c>
      <c r="C82" s="23" t="s">
        <v>381</v>
      </c>
      <c r="D82" s="23" t="s">
        <v>382</v>
      </c>
      <c r="E82" s="23" t="s">
        <v>383</v>
      </c>
      <c r="G82" s="23" t="s">
        <v>384</v>
      </c>
      <c r="K82" s="23" t="s">
        <v>1372</v>
      </c>
      <c r="L82" s="23" t="s">
        <v>1373</v>
      </c>
      <c r="O82" s="23" t="s">
        <v>11561</v>
      </c>
      <c r="P82" s="23" t="s">
        <v>12936</v>
      </c>
      <c r="Q82" s="23" t="s">
        <v>12941</v>
      </c>
      <c r="R82" s="23" t="s">
        <v>12946</v>
      </c>
      <c r="S82" s="23" t="s">
        <v>12951</v>
      </c>
      <c r="T82" s="23" t="s">
        <v>12956</v>
      </c>
    </row>
    <row r="83" spans="1:20" x14ac:dyDescent="0.2">
      <c r="A83" s="23" t="s">
        <v>92</v>
      </c>
      <c r="C83" s="23" t="s">
        <v>385</v>
      </c>
      <c r="D83" s="23" t="s">
        <v>386</v>
      </c>
      <c r="E83" s="23" t="s">
        <v>387</v>
      </c>
      <c r="G83" s="23" t="s">
        <v>388</v>
      </c>
      <c r="K83" s="23" t="s">
        <v>389</v>
      </c>
      <c r="L83" s="23" t="s">
        <v>390</v>
      </c>
      <c r="O83" s="23" t="s">
        <v>11517</v>
      </c>
      <c r="P83" s="23" t="s">
        <v>12937</v>
      </c>
      <c r="Q83" s="23" t="s">
        <v>12942</v>
      </c>
      <c r="R83" s="23" t="s">
        <v>12947</v>
      </c>
      <c r="S83" s="23" t="s">
        <v>12952</v>
      </c>
      <c r="T83" s="23" t="s">
        <v>12957</v>
      </c>
    </row>
    <row r="84" spans="1:20" x14ac:dyDescent="0.2">
      <c r="A84" s="23" t="s">
        <v>92</v>
      </c>
      <c r="C84" s="23" t="s">
        <v>391</v>
      </c>
      <c r="D84" s="23" t="s">
        <v>392</v>
      </c>
      <c r="E84" s="23" t="s">
        <v>393</v>
      </c>
      <c r="G84" s="23" t="s">
        <v>394</v>
      </c>
      <c r="K84" s="23" t="s">
        <v>395</v>
      </c>
      <c r="L84" s="23" t="s">
        <v>396</v>
      </c>
      <c r="O84" s="23" t="s">
        <v>11562</v>
      </c>
      <c r="P84" s="23" t="s">
        <v>12938</v>
      </c>
      <c r="Q84" s="23" t="s">
        <v>12943</v>
      </c>
      <c r="R84" s="23" t="s">
        <v>12948</v>
      </c>
      <c r="S84" s="23" t="s">
        <v>12953</v>
      </c>
      <c r="T84" s="23" t="s">
        <v>12958</v>
      </c>
    </row>
    <row r="85" spans="1:20" x14ac:dyDescent="0.2">
      <c r="A85" s="23" t="s">
        <v>92</v>
      </c>
      <c r="C85" s="23" t="s">
        <v>397</v>
      </c>
      <c r="D85" s="23" t="s">
        <v>398</v>
      </c>
      <c r="E85" s="23" t="s">
        <v>399</v>
      </c>
      <c r="G85" s="23" t="s">
        <v>400</v>
      </c>
      <c r="K85" s="23" t="s">
        <v>401</v>
      </c>
      <c r="L85" s="23" t="s">
        <v>402</v>
      </c>
      <c r="O85" s="23" t="s">
        <v>11563</v>
      </c>
      <c r="P85" s="23" t="s">
        <v>12939</v>
      </c>
      <c r="Q85" s="23" t="s">
        <v>12944</v>
      </c>
      <c r="R85" s="23" t="s">
        <v>12949</v>
      </c>
      <c r="S85" s="23" t="s">
        <v>12954</v>
      </c>
      <c r="T85" s="23" t="s">
        <v>12959</v>
      </c>
    </row>
    <row r="86" spans="1:20" x14ac:dyDescent="0.2">
      <c r="A86" s="23" t="s">
        <v>92</v>
      </c>
      <c r="C86" s="23" t="s">
        <v>377</v>
      </c>
      <c r="D86" s="23" t="s">
        <v>378</v>
      </c>
      <c r="E86" s="23" t="s">
        <v>379</v>
      </c>
      <c r="G86" s="23" t="s">
        <v>1369</v>
      </c>
      <c r="K86" s="23" t="s">
        <v>1370</v>
      </c>
      <c r="L86" s="23" t="s">
        <v>1371</v>
      </c>
    </row>
    <row r="87" spans="1:20" x14ac:dyDescent="0.2">
      <c r="A87" s="23" t="s">
        <v>92</v>
      </c>
      <c r="C87" s="23" t="s">
        <v>403</v>
      </c>
      <c r="D87" s="23" t="s">
        <v>404</v>
      </c>
      <c r="E87" s="23" t="s">
        <v>405</v>
      </c>
      <c r="G87" s="23" t="s">
        <v>406</v>
      </c>
      <c r="K87" s="23" t="s">
        <v>407</v>
      </c>
      <c r="L87" s="23" t="s">
        <v>408</v>
      </c>
      <c r="M87" s="23" t="s">
        <v>1374</v>
      </c>
      <c r="N87" s="23" t="s">
        <v>413</v>
      </c>
      <c r="T87" s="23" t="s">
        <v>1375</v>
      </c>
    </row>
    <row r="88" spans="1:20" x14ac:dyDescent="0.2">
      <c r="A88" s="23" t="s">
        <v>92</v>
      </c>
      <c r="C88" s="23" t="s">
        <v>409</v>
      </c>
      <c r="D88" s="23" t="s">
        <v>410</v>
      </c>
      <c r="E88" s="23" t="s">
        <v>411</v>
      </c>
      <c r="G88" s="23" t="s">
        <v>412</v>
      </c>
      <c r="K88" s="23" t="s">
        <v>1376</v>
      </c>
      <c r="L88" s="23" t="s">
        <v>1377</v>
      </c>
      <c r="M88" s="23" t="s">
        <v>1378</v>
      </c>
      <c r="N88" s="23" t="s">
        <v>1379</v>
      </c>
    </row>
    <row r="89" spans="1:20" x14ac:dyDescent="0.2">
      <c r="A89" s="23" t="s">
        <v>92</v>
      </c>
      <c r="C89" s="23" t="s">
        <v>1380</v>
      </c>
      <c r="D89" s="23" t="s">
        <v>1381</v>
      </c>
      <c r="E89" s="23" t="s">
        <v>1382</v>
      </c>
      <c r="G89" s="23" t="s">
        <v>1383</v>
      </c>
      <c r="K89" s="23" t="s">
        <v>1384</v>
      </c>
      <c r="L89" s="23" t="s">
        <v>1385</v>
      </c>
      <c r="O89" s="23" t="s">
        <v>11564</v>
      </c>
      <c r="P89" s="23" t="s">
        <v>1386</v>
      </c>
      <c r="Q89" s="23" t="s">
        <v>1387</v>
      </c>
      <c r="R89" s="23" t="s">
        <v>1388</v>
      </c>
      <c r="S89" s="23" t="s">
        <v>1389</v>
      </c>
      <c r="T89" s="23" t="s">
        <v>1390</v>
      </c>
    </row>
    <row r="90" spans="1:20" x14ac:dyDescent="0.2">
      <c r="A90" s="23" t="s">
        <v>92</v>
      </c>
      <c r="C90" s="23" t="s">
        <v>414</v>
      </c>
      <c r="D90" s="23" t="s">
        <v>415</v>
      </c>
      <c r="E90" s="23" t="s">
        <v>416</v>
      </c>
      <c r="G90" s="23" t="s">
        <v>417</v>
      </c>
      <c r="K90" s="23" t="s">
        <v>418</v>
      </c>
      <c r="L90" s="23" t="s">
        <v>419</v>
      </c>
      <c r="O90" s="23" t="s">
        <v>11565</v>
      </c>
      <c r="P90" s="23" t="s">
        <v>13065</v>
      </c>
      <c r="Q90" s="23" t="s">
        <v>13070</v>
      </c>
      <c r="R90" s="23" t="s">
        <v>13075</v>
      </c>
      <c r="S90" s="23" t="s">
        <v>13080</v>
      </c>
      <c r="T90" s="23" t="s">
        <v>13085</v>
      </c>
    </row>
    <row r="91" spans="1:20" x14ac:dyDescent="0.2">
      <c r="A91" s="23" t="s">
        <v>92</v>
      </c>
      <c r="C91" s="23" t="s">
        <v>421</v>
      </c>
      <c r="D91" s="23" t="s">
        <v>422</v>
      </c>
      <c r="E91" s="23" t="s">
        <v>423</v>
      </c>
      <c r="G91" s="23" t="s">
        <v>424</v>
      </c>
      <c r="K91" s="23" t="s">
        <v>420</v>
      </c>
      <c r="L91" s="23" t="s">
        <v>1391</v>
      </c>
      <c r="O91" s="23" t="s">
        <v>11566</v>
      </c>
      <c r="P91" s="23" t="s">
        <v>13066</v>
      </c>
      <c r="Q91" s="23" t="s">
        <v>13071</v>
      </c>
      <c r="R91" s="23" t="s">
        <v>13076</v>
      </c>
      <c r="S91" s="23" t="s">
        <v>13081</v>
      </c>
      <c r="T91" s="23" t="s">
        <v>13086</v>
      </c>
    </row>
    <row r="92" spans="1:20" x14ac:dyDescent="0.2">
      <c r="A92" s="23" t="s">
        <v>92</v>
      </c>
      <c r="C92" s="23" t="s">
        <v>426</v>
      </c>
      <c r="D92" s="23" t="s">
        <v>427</v>
      </c>
      <c r="E92" s="23" t="s">
        <v>428</v>
      </c>
      <c r="G92" s="23" t="s">
        <v>429</v>
      </c>
      <c r="K92" s="23" t="s">
        <v>430</v>
      </c>
      <c r="L92" s="23" t="s">
        <v>431</v>
      </c>
      <c r="O92" s="23" t="s">
        <v>11524</v>
      </c>
      <c r="P92" s="23" t="s">
        <v>13067</v>
      </c>
      <c r="Q92" s="23" t="s">
        <v>13072</v>
      </c>
      <c r="R92" s="23" t="s">
        <v>13077</v>
      </c>
      <c r="S92" s="23" t="s">
        <v>13082</v>
      </c>
      <c r="T92" s="23" t="s">
        <v>13087</v>
      </c>
    </row>
    <row r="93" spans="1:20" x14ac:dyDescent="0.2">
      <c r="A93" s="23" t="s">
        <v>92</v>
      </c>
      <c r="C93" s="23" t="s">
        <v>432</v>
      </c>
      <c r="D93" s="23" t="s">
        <v>433</v>
      </c>
      <c r="E93" s="23" t="s">
        <v>434</v>
      </c>
      <c r="G93" s="23" t="s">
        <v>435</v>
      </c>
      <c r="K93" s="23" t="s">
        <v>436</v>
      </c>
      <c r="L93" s="23" t="s">
        <v>437</v>
      </c>
      <c r="O93" s="23" t="s">
        <v>11567</v>
      </c>
      <c r="P93" s="23" t="s">
        <v>13068</v>
      </c>
      <c r="Q93" s="23" t="s">
        <v>13073</v>
      </c>
      <c r="R93" s="23" t="s">
        <v>13078</v>
      </c>
      <c r="S93" s="23" t="s">
        <v>13083</v>
      </c>
      <c r="T93" s="23" t="s">
        <v>13088</v>
      </c>
    </row>
    <row r="94" spans="1:20" x14ac:dyDescent="0.2">
      <c r="A94" s="23" t="s">
        <v>92</v>
      </c>
      <c r="C94" s="23" t="s">
        <v>438</v>
      </c>
      <c r="D94" s="23" t="s">
        <v>439</v>
      </c>
      <c r="E94" s="23" t="s">
        <v>440</v>
      </c>
      <c r="G94" s="23" t="s">
        <v>441</v>
      </c>
      <c r="K94" s="23" t="s">
        <v>442</v>
      </c>
      <c r="L94" s="23" t="s">
        <v>443</v>
      </c>
      <c r="O94" s="23" t="s">
        <v>11568</v>
      </c>
      <c r="P94" s="23" t="s">
        <v>13069</v>
      </c>
      <c r="Q94" s="23" t="s">
        <v>13074</v>
      </c>
      <c r="R94" s="23" t="s">
        <v>13079</v>
      </c>
      <c r="S94" s="23" t="s">
        <v>13084</v>
      </c>
      <c r="T94" s="23" t="s">
        <v>13089</v>
      </c>
    </row>
    <row r="95" spans="1:20" x14ac:dyDescent="0.2">
      <c r="A95" s="23" t="s">
        <v>92</v>
      </c>
      <c r="C95" s="23" t="s">
        <v>414</v>
      </c>
      <c r="D95" s="23" t="s">
        <v>415</v>
      </c>
      <c r="E95" s="23" t="s">
        <v>416</v>
      </c>
      <c r="G95" s="23" t="s">
        <v>417</v>
      </c>
      <c r="K95" s="23" t="s">
        <v>418</v>
      </c>
      <c r="L95" s="23" t="s">
        <v>419</v>
      </c>
    </row>
    <row r="96" spans="1:20" x14ac:dyDescent="0.2">
      <c r="A96" s="23" t="s">
        <v>92</v>
      </c>
      <c r="C96" s="23" t="s">
        <v>444</v>
      </c>
      <c r="D96" s="23" t="s">
        <v>445</v>
      </c>
      <c r="E96" s="23" t="s">
        <v>446</v>
      </c>
      <c r="G96" s="23" t="s">
        <v>447</v>
      </c>
      <c r="K96" s="23" t="s">
        <v>448</v>
      </c>
      <c r="L96" s="23" t="s">
        <v>449</v>
      </c>
      <c r="M96" s="23" t="s">
        <v>1392</v>
      </c>
      <c r="N96" s="23" t="s">
        <v>454</v>
      </c>
      <c r="T96" s="23" t="s">
        <v>1393</v>
      </c>
    </row>
    <row r="97" spans="1:20" x14ac:dyDescent="0.2">
      <c r="A97" s="23" t="s">
        <v>92</v>
      </c>
      <c r="C97" s="23" t="s">
        <v>450</v>
      </c>
      <c r="D97" s="23" t="s">
        <v>451</v>
      </c>
      <c r="E97" s="23" t="s">
        <v>452</v>
      </c>
      <c r="G97" s="23" t="s">
        <v>453</v>
      </c>
      <c r="K97" s="23" t="s">
        <v>1394</v>
      </c>
      <c r="L97" s="23" t="s">
        <v>1395</v>
      </c>
      <c r="M97" s="23" t="s">
        <v>1396</v>
      </c>
      <c r="N97" s="23" t="s">
        <v>1397</v>
      </c>
    </row>
    <row r="98" spans="1:20" x14ac:dyDescent="0.2">
      <c r="A98" s="23" t="s">
        <v>92</v>
      </c>
      <c r="C98" s="23" t="s">
        <v>1398</v>
      </c>
      <c r="D98" s="23" t="s">
        <v>1399</v>
      </c>
      <c r="E98" s="23" t="s">
        <v>1400</v>
      </c>
      <c r="G98" s="23" t="s">
        <v>1401</v>
      </c>
      <c r="K98" s="23" t="s">
        <v>1402</v>
      </c>
      <c r="L98" s="23" t="s">
        <v>1403</v>
      </c>
      <c r="O98" s="23" t="s">
        <v>11569</v>
      </c>
      <c r="P98" s="23" t="s">
        <v>1404</v>
      </c>
      <c r="Q98" s="23" t="s">
        <v>1405</v>
      </c>
      <c r="R98" s="23" t="s">
        <v>1406</v>
      </c>
      <c r="S98" s="23" t="s">
        <v>1407</v>
      </c>
      <c r="T98" s="23" t="s">
        <v>1408</v>
      </c>
    </row>
    <row r="99" spans="1:20" x14ac:dyDescent="0.2">
      <c r="A99" s="23" t="s">
        <v>92</v>
      </c>
      <c r="C99" s="23" t="s">
        <v>455</v>
      </c>
      <c r="D99" s="23" t="s">
        <v>456</v>
      </c>
      <c r="E99" s="23" t="s">
        <v>457</v>
      </c>
      <c r="G99" s="23" t="s">
        <v>458</v>
      </c>
      <c r="K99" s="23" t="s">
        <v>459</v>
      </c>
      <c r="L99" s="23" t="s">
        <v>460</v>
      </c>
      <c r="O99" s="23" t="s">
        <v>11570</v>
      </c>
      <c r="P99" s="23" t="s">
        <v>13035</v>
      </c>
      <c r="Q99" s="23" t="s">
        <v>13041</v>
      </c>
      <c r="R99" s="23" t="s">
        <v>13047</v>
      </c>
      <c r="S99" s="23" t="s">
        <v>13053</v>
      </c>
      <c r="T99" s="23" t="s">
        <v>13059</v>
      </c>
    </row>
    <row r="100" spans="1:20" x14ac:dyDescent="0.2">
      <c r="A100" s="23" t="s">
        <v>92</v>
      </c>
      <c r="C100" s="23" t="s">
        <v>462</v>
      </c>
      <c r="D100" s="23" t="s">
        <v>463</v>
      </c>
      <c r="E100" s="23" t="s">
        <v>464</v>
      </c>
      <c r="G100" s="23" t="s">
        <v>465</v>
      </c>
      <c r="K100" s="23" t="s">
        <v>461</v>
      </c>
      <c r="L100" s="23" t="s">
        <v>1409</v>
      </c>
      <c r="O100" s="23" t="s">
        <v>11571</v>
      </c>
      <c r="P100" s="23" t="s">
        <v>13036</v>
      </c>
      <c r="Q100" s="23" t="s">
        <v>13042</v>
      </c>
      <c r="R100" s="23" t="s">
        <v>13048</v>
      </c>
      <c r="S100" s="23" t="s">
        <v>13054</v>
      </c>
      <c r="T100" s="23" t="s">
        <v>13060</v>
      </c>
    </row>
    <row r="101" spans="1:20" x14ac:dyDescent="0.2">
      <c r="A101" s="23" t="s">
        <v>92</v>
      </c>
      <c r="C101" s="23" t="s">
        <v>467</v>
      </c>
      <c r="D101" s="23" t="s">
        <v>468</v>
      </c>
      <c r="E101" s="23" t="s">
        <v>469</v>
      </c>
      <c r="G101" s="23" t="s">
        <v>470</v>
      </c>
      <c r="K101" s="23" t="s">
        <v>471</v>
      </c>
      <c r="L101" s="23" t="s">
        <v>472</v>
      </c>
      <c r="O101" s="23" t="s">
        <v>11572</v>
      </c>
      <c r="P101" s="23" t="s">
        <v>13037</v>
      </c>
      <c r="Q101" s="23" t="s">
        <v>13043</v>
      </c>
      <c r="R101" s="23" t="s">
        <v>13049</v>
      </c>
      <c r="S101" s="23" t="s">
        <v>13055</v>
      </c>
      <c r="T101" s="23" t="s">
        <v>13061</v>
      </c>
    </row>
    <row r="102" spans="1:20" x14ac:dyDescent="0.2">
      <c r="A102" s="23" t="s">
        <v>92</v>
      </c>
      <c r="C102" s="23" t="s">
        <v>473</v>
      </c>
      <c r="D102" s="23" t="s">
        <v>474</v>
      </c>
      <c r="E102" s="23" t="s">
        <v>475</v>
      </c>
      <c r="G102" s="23" t="s">
        <v>476</v>
      </c>
      <c r="K102" s="23" t="s">
        <v>477</v>
      </c>
      <c r="L102" s="23" t="s">
        <v>478</v>
      </c>
      <c r="O102" s="23" t="s">
        <v>11531</v>
      </c>
      <c r="P102" s="23" t="s">
        <v>13038</v>
      </c>
      <c r="Q102" s="23" t="s">
        <v>13044</v>
      </c>
      <c r="R102" s="23" t="s">
        <v>13050</v>
      </c>
      <c r="S102" s="23" t="s">
        <v>13056</v>
      </c>
      <c r="T102" s="23" t="s">
        <v>13062</v>
      </c>
    </row>
    <row r="103" spans="1:20" x14ac:dyDescent="0.2">
      <c r="A103" s="23" t="s">
        <v>92</v>
      </c>
      <c r="C103" s="23" t="s">
        <v>479</v>
      </c>
      <c r="D103" s="23" t="s">
        <v>480</v>
      </c>
      <c r="E103" s="23" t="s">
        <v>481</v>
      </c>
      <c r="G103" s="23" t="s">
        <v>482</v>
      </c>
      <c r="K103" s="23" t="s">
        <v>483</v>
      </c>
      <c r="L103" s="23" t="s">
        <v>484</v>
      </c>
      <c r="O103" s="23" t="s">
        <v>11573</v>
      </c>
      <c r="P103" s="23" t="s">
        <v>13039</v>
      </c>
      <c r="Q103" s="23" t="s">
        <v>13045</v>
      </c>
      <c r="R103" s="23" t="s">
        <v>13051</v>
      </c>
      <c r="S103" s="23" t="s">
        <v>13057</v>
      </c>
      <c r="T103" s="23" t="s">
        <v>13063</v>
      </c>
    </row>
    <row r="104" spans="1:20" x14ac:dyDescent="0.2">
      <c r="A104" s="23" t="s">
        <v>92</v>
      </c>
      <c r="C104" s="23" t="s">
        <v>485</v>
      </c>
      <c r="D104" s="23" t="s">
        <v>486</v>
      </c>
      <c r="E104" s="23" t="s">
        <v>487</v>
      </c>
      <c r="G104" s="23" t="s">
        <v>488</v>
      </c>
      <c r="K104" s="23" t="s">
        <v>489</v>
      </c>
      <c r="L104" s="23" t="s">
        <v>490</v>
      </c>
      <c r="O104" s="23" t="s">
        <v>11574</v>
      </c>
      <c r="P104" s="23" t="s">
        <v>13040</v>
      </c>
      <c r="Q104" s="23" t="s">
        <v>13046</v>
      </c>
      <c r="R104" s="23" t="s">
        <v>13052</v>
      </c>
      <c r="S104" s="23" t="s">
        <v>13058</v>
      </c>
      <c r="T104" s="23" t="s">
        <v>13064</v>
      </c>
    </row>
    <row r="105" spans="1:20" x14ac:dyDescent="0.2">
      <c r="A105" s="23" t="s">
        <v>92</v>
      </c>
      <c r="C105" s="23" t="s">
        <v>455</v>
      </c>
      <c r="D105" s="23" t="s">
        <v>456</v>
      </c>
      <c r="E105" s="23" t="s">
        <v>457</v>
      </c>
      <c r="G105" s="23" t="s">
        <v>458</v>
      </c>
      <c r="K105" s="23" t="s">
        <v>459</v>
      </c>
      <c r="L105" s="23" t="s">
        <v>460</v>
      </c>
    </row>
    <row r="106" spans="1:20" x14ac:dyDescent="0.2">
      <c r="A106" s="23" t="s">
        <v>92</v>
      </c>
      <c r="C106" s="23" t="s">
        <v>491</v>
      </c>
      <c r="D106" s="23" t="s">
        <v>492</v>
      </c>
      <c r="E106" s="23" t="s">
        <v>493</v>
      </c>
      <c r="G106" s="23" t="s">
        <v>494</v>
      </c>
      <c r="K106" s="23" t="s">
        <v>495</v>
      </c>
      <c r="L106" s="23" t="s">
        <v>496</v>
      </c>
      <c r="M106" s="23" t="s">
        <v>1410</v>
      </c>
      <c r="N106" s="23" t="s">
        <v>1411</v>
      </c>
      <c r="T106" s="23" t="s">
        <v>1412</v>
      </c>
    </row>
    <row r="107" spans="1:20" x14ac:dyDescent="0.2">
      <c r="A107" s="23" t="s">
        <v>92</v>
      </c>
      <c r="C107" s="23" t="s">
        <v>1413</v>
      </c>
      <c r="D107" s="23" t="s">
        <v>1414</v>
      </c>
      <c r="E107" s="23" t="s">
        <v>1415</v>
      </c>
      <c r="G107" s="23" t="s">
        <v>1416</v>
      </c>
      <c r="K107" s="23" t="s">
        <v>1417</v>
      </c>
      <c r="L107" s="23" t="s">
        <v>1418</v>
      </c>
      <c r="M107" s="23" t="s">
        <v>1419</v>
      </c>
      <c r="N107" s="23" t="s">
        <v>1420</v>
      </c>
    </row>
    <row r="108" spans="1:20" x14ac:dyDescent="0.2">
      <c r="A108" s="23" t="s">
        <v>92</v>
      </c>
      <c r="C108" s="23" t="s">
        <v>497</v>
      </c>
      <c r="D108" s="23" t="s">
        <v>498</v>
      </c>
      <c r="E108" s="23" t="s">
        <v>499</v>
      </c>
      <c r="G108" s="23" t="s">
        <v>500</v>
      </c>
      <c r="K108" s="23" t="s">
        <v>501</v>
      </c>
      <c r="L108" s="23" t="s">
        <v>502</v>
      </c>
      <c r="O108" s="23" t="s">
        <v>11575</v>
      </c>
      <c r="P108" s="23" t="s">
        <v>1421</v>
      </c>
      <c r="Q108" s="23" t="s">
        <v>1422</v>
      </c>
      <c r="R108" s="23" t="s">
        <v>1423</v>
      </c>
      <c r="S108" s="23" t="s">
        <v>1424</v>
      </c>
      <c r="T108" s="23" t="s">
        <v>1425</v>
      </c>
    </row>
    <row r="109" spans="1:20" x14ac:dyDescent="0.2">
      <c r="A109" s="23" t="s">
        <v>92</v>
      </c>
      <c r="C109" s="23" t="s">
        <v>504</v>
      </c>
      <c r="D109" s="23" t="s">
        <v>505</v>
      </c>
      <c r="E109" s="23" t="s">
        <v>506</v>
      </c>
      <c r="G109" s="23" t="s">
        <v>507</v>
      </c>
      <c r="K109" s="23" t="s">
        <v>503</v>
      </c>
      <c r="L109" s="23" t="s">
        <v>1426</v>
      </c>
      <c r="O109" s="23" t="s">
        <v>11576</v>
      </c>
      <c r="P109" s="23" t="s">
        <v>13010</v>
      </c>
      <c r="Q109" s="23" t="s">
        <v>13015</v>
      </c>
      <c r="R109" s="23" t="s">
        <v>13020</v>
      </c>
      <c r="S109" s="23" t="s">
        <v>13025</v>
      </c>
      <c r="T109" s="23" t="s">
        <v>13030</v>
      </c>
    </row>
    <row r="110" spans="1:20" x14ac:dyDescent="0.2">
      <c r="A110" s="23" t="s">
        <v>92</v>
      </c>
      <c r="C110" s="23" t="s">
        <v>509</v>
      </c>
      <c r="D110" s="23" t="s">
        <v>510</v>
      </c>
      <c r="E110" s="23" t="s">
        <v>511</v>
      </c>
      <c r="G110" s="23" t="s">
        <v>512</v>
      </c>
      <c r="K110" s="23" t="s">
        <v>513</v>
      </c>
      <c r="L110" s="23" t="s">
        <v>514</v>
      </c>
      <c r="O110" s="23" t="s">
        <v>11577</v>
      </c>
      <c r="P110" s="23" t="s">
        <v>13011</v>
      </c>
      <c r="Q110" s="23" t="s">
        <v>13016</v>
      </c>
      <c r="R110" s="23" t="s">
        <v>13021</v>
      </c>
      <c r="S110" s="23" t="s">
        <v>13026</v>
      </c>
      <c r="T110" s="23" t="s">
        <v>13031</v>
      </c>
    </row>
    <row r="111" spans="1:20" x14ac:dyDescent="0.2">
      <c r="A111" s="23" t="s">
        <v>92</v>
      </c>
      <c r="C111" s="23" t="s">
        <v>515</v>
      </c>
      <c r="D111" s="23" t="s">
        <v>516</v>
      </c>
      <c r="E111" s="23" t="s">
        <v>517</v>
      </c>
      <c r="G111" s="23" t="s">
        <v>518</v>
      </c>
      <c r="K111" s="23" t="s">
        <v>519</v>
      </c>
      <c r="L111" s="23" t="s">
        <v>520</v>
      </c>
      <c r="O111" s="23" t="s">
        <v>11538</v>
      </c>
      <c r="P111" s="23" t="s">
        <v>13012</v>
      </c>
      <c r="Q111" s="23" t="s">
        <v>13017</v>
      </c>
      <c r="R111" s="23" t="s">
        <v>13022</v>
      </c>
      <c r="S111" s="23" t="s">
        <v>13027</v>
      </c>
      <c r="T111" s="23" t="s">
        <v>13032</v>
      </c>
    </row>
    <row r="112" spans="1:20" x14ac:dyDescent="0.2">
      <c r="A112" s="23" t="s">
        <v>92</v>
      </c>
      <c r="C112" s="23" t="s">
        <v>521</v>
      </c>
      <c r="D112" s="23" t="s">
        <v>522</v>
      </c>
      <c r="E112" s="23" t="s">
        <v>523</v>
      </c>
      <c r="G112" s="23" t="s">
        <v>524</v>
      </c>
      <c r="K112" s="23" t="s">
        <v>525</v>
      </c>
      <c r="L112" s="23" t="s">
        <v>526</v>
      </c>
      <c r="O112" s="23" t="s">
        <v>11578</v>
      </c>
      <c r="P112" s="23" t="s">
        <v>13013</v>
      </c>
      <c r="Q112" s="23" t="s">
        <v>13018</v>
      </c>
      <c r="R112" s="23" t="s">
        <v>13023</v>
      </c>
      <c r="S112" s="23" t="s">
        <v>13028</v>
      </c>
      <c r="T112" s="23" t="s">
        <v>13033</v>
      </c>
    </row>
    <row r="113" spans="1:20" x14ac:dyDescent="0.2">
      <c r="A113" s="23" t="s">
        <v>92</v>
      </c>
      <c r="C113" s="23" t="s">
        <v>527</v>
      </c>
      <c r="D113" s="23" t="s">
        <v>528</v>
      </c>
      <c r="E113" s="23" t="s">
        <v>529</v>
      </c>
      <c r="G113" s="23" t="s">
        <v>530</v>
      </c>
      <c r="K113" s="23" t="s">
        <v>531</v>
      </c>
      <c r="L113" s="23" t="s">
        <v>532</v>
      </c>
      <c r="O113" s="23" t="s">
        <v>11579</v>
      </c>
      <c r="P113" s="23" t="s">
        <v>13014</v>
      </c>
      <c r="Q113" s="23" t="s">
        <v>13019</v>
      </c>
      <c r="R113" s="23" t="s">
        <v>13024</v>
      </c>
      <c r="S113" s="23" t="s">
        <v>13029</v>
      </c>
      <c r="T113" s="23" t="s">
        <v>13034</v>
      </c>
    </row>
    <row r="114" spans="1:20" x14ac:dyDescent="0.2">
      <c r="A114" s="23" t="s">
        <v>92</v>
      </c>
      <c r="C114" s="23" t="s">
        <v>504</v>
      </c>
      <c r="D114" s="23" t="s">
        <v>505</v>
      </c>
      <c r="E114" s="23" t="s">
        <v>506</v>
      </c>
      <c r="G114" s="23" t="s">
        <v>507</v>
      </c>
      <c r="K114" s="23" t="s">
        <v>503</v>
      </c>
      <c r="L114" s="23" t="s">
        <v>1426</v>
      </c>
    </row>
    <row r="115" spans="1:20" x14ac:dyDescent="0.2">
      <c r="A115" s="23" t="s">
        <v>92</v>
      </c>
      <c r="C115" s="23" t="s">
        <v>533</v>
      </c>
      <c r="D115" s="23" t="s">
        <v>534</v>
      </c>
      <c r="E115" s="23" t="s">
        <v>535</v>
      </c>
      <c r="G115" s="23" t="s">
        <v>536</v>
      </c>
      <c r="K115" s="23" t="s">
        <v>537</v>
      </c>
      <c r="L115" s="23" t="s">
        <v>538</v>
      </c>
      <c r="M115" s="23" t="s">
        <v>1427</v>
      </c>
      <c r="N115" s="23" t="s">
        <v>1428</v>
      </c>
      <c r="T115" s="23" t="s">
        <v>1429</v>
      </c>
    </row>
    <row r="116" spans="1:20" x14ac:dyDescent="0.2">
      <c r="A116" s="23" t="s">
        <v>92</v>
      </c>
      <c r="C116" s="23" t="s">
        <v>1430</v>
      </c>
      <c r="D116" s="23" t="s">
        <v>1431</v>
      </c>
      <c r="E116" s="23" t="s">
        <v>1432</v>
      </c>
      <c r="G116" s="23" t="s">
        <v>1433</v>
      </c>
      <c r="K116" s="23" t="s">
        <v>1434</v>
      </c>
      <c r="L116" s="23" t="s">
        <v>1435</v>
      </c>
      <c r="M116" s="23" t="s">
        <v>1436</v>
      </c>
      <c r="N116" s="23" t="s">
        <v>1437</v>
      </c>
    </row>
    <row r="117" spans="1:20" x14ac:dyDescent="0.2">
      <c r="A117" s="23" t="s">
        <v>92</v>
      </c>
      <c r="C117" s="23" t="s">
        <v>539</v>
      </c>
      <c r="D117" s="23" t="s">
        <v>540</v>
      </c>
      <c r="E117" s="23" t="s">
        <v>541</v>
      </c>
      <c r="G117" s="23" t="s">
        <v>542</v>
      </c>
      <c r="K117" s="23" t="s">
        <v>543</v>
      </c>
      <c r="L117" s="23" t="s">
        <v>544</v>
      </c>
      <c r="O117" s="23" t="s">
        <v>11580</v>
      </c>
      <c r="P117" s="23" t="s">
        <v>1438</v>
      </c>
      <c r="Q117" s="23" t="s">
        <v>1439</v>
      </c>
      <c r="R117" s="23" t="s">
        <v>1440</v>
      </c>
      <c r="S117" s="23" t="s">
        <v>1441</v>
      </c>
      <c r="T117" s="23" t="s">
        <v>1442</v>
      </c>
    </row>
    <row r="118" spans="1:20" x14ac:dyDescent="0.2">
      <c r="A118" s="23" t="s">
        <v>92</v>
      </c>
      <c r="C118" s="23" t="s">
        <v>546</v>
      </c>
      <c r="D118" s="23" t="s">
        <v>547</v>
      </c>
      <c r="E118" s="23" t="s">
        <v>548</v>
      </c>
      <c r="G118" s="23" t="s">
        <v>549</v>
      </c>
      <c r="K118" s="23" t="s">
        <v>545</v>
      </c>
      <c r="L118" s="23" t="s">
        <v>1443</v>
      </c>
      <c r="O118" s="23" t="s">
        <v>11581</v>
      </c>
      <c r="P118" s="23" t="s">
        <v>12985</v>
      </c>
      <c r="Q118" s="23" t="s">
        <v>12990</v>
      </c>
      <c r="R118" s="23" t="s">
        <v>12995</v>
      </c>
      <c r="S118" s="23" t="s">
        <v>13000</v>
      </c>
      <c r="T118" s="23" t="s">
        <v>13005</v>
      </c>
    </row>
    <row r="119" spans="1:20" x14ac:dyDescent="0.2">
      <c r="A119" s="23" t="s">
        <v>92</v>
      </c>
      <c r="C119" s="23" t="s">
        <v>551</v>
      </c>
      <c r="D119" s="23" t="s">
        <v>552</v>
      </c>
      <c r="E119" s="23" t="s">
        <v>553</v>
      </c>
      <c r="G119" s="23" t="s">
        <v>554</v>
      </c>
      <c r="K119" s="23" t="s">
        <v>555</v>
      </c>
      <c r="L119" s="23" t="s">
        <v>556</v>
      </c>
      <c r="O119" s="23" t="s">
        <v>11582</v>
      </c>
      <c r="P119" s="23" t="s">
        <v>12986</v>
      </c>
      <c r="Q119" s="23" t="s">
        <v>12991</v>
      </c>
      <c r="R119" s="23" t="s">
        <v>12996</v>
      </c>
      <c r="S119" s="23" t="s">
        <v>13001</v>
      </c>
      <c r="T119" s="23" t="s">
        <v>13006</v>
      </c>
    </row>
    <row r="120" spans="1:20" x14ac:dyDescent="0.2">
      <c r="A120" s="23" t="s">
        <v>92</v>
      </c>
      <c r="C120" s="23" t="s">
        <v>557</v>
      </c>
      <c r="D120" s="23" t="s">
        <v>558</v>
      </c>
      <c r="E120" s="23" t="s">
        <v>559</v>
      </c>
      <c r="G120" s="23" t="s">
        <v>560</v>
      </c>
      <c r="K120" s="23" t="s">
        <v>561</v>
      </c>
      <c r="L120" s="23" t="s">
        <v>562</v>
      </c>
      <c r="O120" s="23" t="s">
        <v>11546</v>
      </c>
      <c r="P120" s="23" t="s">
        <v>12987</v>
      </c>
      <c r="Q120" s="23" t="s">
        <v>12992</v>
      </c>
      <c r="R120" s="23" t="s">
        <v>12997</v>
      </c>
      <c r="S120" s="23" t="s">
        <v>13002</v>
      </c>
      <c r="T120" s="23" t="s">
        <v>13007</v>
      </c>
    </row>
    <row r="121" spans="1:20" x14ac:dyDescent="0.2">
      <c r="A121" s="23" t="s">
        <v>92</v>
      </c>
      <c r="C121" s="23" t="s">
        <v>563</v>
      </c>
      <c r="D121" s="23" t="s">
        <v>564</v>
      </c>
      <c r="E121" s="23" t="s">
        <v>565</v>
      </c>
      <c r="G121" s="23" t="s">
        <v>566</v>
      </c>
      <c r="K121" s="23" t="s">
        <v>567</v>
      </c>
      <c r="L121" s="23" t="s">
        <v>568</v>
      </c>
      <c r="O121" s="23" t="s">
        <v>11583</v>
      </c>
      <c r="P121" s="23" t="s">
        <v>12988</v>
      </c>
      <c r="Q121" s="23" t="s">
        <v>12993</v>
      </c>
      <c r="R121" s="23" t="s">
        <v>12998</v>
      </c>
      <c r="S121" s="23" t="s">
        <v>13003</v>
      </c>
      <c r="T121" s="23" t="s">
        <v>13008</v>
      </c>
    </row>
    <row r="122" spans="1:20" x14ac:dyDescent="0.2">
      <c r="A122" s="23" t="s">
        <v>92</v>
      </c>
      <c r="C122" s="23" t="s">
        <v>569</v>
      </c>
      <c r="D122" s="23" t="s">
        <v>570</v>
      </c>
      <c r="E122" s="23" t="s">
        <v>571</v>
      </c>
      <c r="G122" s="23" t="s">
        <v>572</v>
      </c>
      <c r="K122" s="23" t="s">
        <v>573</v>
      </c>
      <c r="L122" s="23" t="s">
        <v>574</v>
      </c>
      <c r="O122" s="23" t="s">
        <v>11584</v>
      </c>
      <c r="P122" s="23" t="s">
        <v>12989</v>
      </c>
      <c r="Q122" s="23" t="s">
        <v>12994</v>
      </c>
      <c r="R122" s="23" t="s">
        <v>12999</v>
      </c>
      <c r="S122" s="23" t="s">
        <v>13004</v>
      </c>
      <c r="T122" s="23" t="s">
        <v>13009</v>
      </c>
    </row>
    <row r="123" spans="1:20" x14ac:dyDescent="0.2">
      <c r="A123" s="23" t="s">
        <v>92</v>
      </c>
      <c r="C123" s="23" t="s">
        <v>546</v>
      </c>
      <c r="D123" s="23" t="s">
        <v>547</v>
      </c>
      <c r="E123" s="23" t="s">
        <v>548</v>
      </c>
      <c r="G123" s="23" t="s">
        <v>549</v>
      </c>
      <c r="K123" s="23" t="s">
        <v>545</v>
      </c>
      <c r="L123" s="23" t="s">
        <v>1443</v>
      </c>
    </row>
    <row r="124" spans="1:20" x14ac:dyDescent="0.2">
      <c r="A124" s="23" t="s">
        <v>92</v>
      </c>
      <c r="C124" s="23" t="s">
        <v>575</v>
      </c>
      <c r="D124" s="23" t="s">
        <v>576</v>
      </c>
      <c r="E124" s="23" t="s">
        <v>577</v>
      </c>
      <c r="G124" s="23" t="s">
        <v>578</v>
      </c>
      <c r="K124" s="23" t="s">
        <v>579</v>
      </c>
      <c r="L124" s="23" t="s">
        <v>580</v>
      </c>
      <c r="M124" s="23" t="s">
        <v>1444</v>
      </c>
      <c r="N124" s="23" t="s">
        <v>585</v>
      </c>
      <c r="T124" s="23" t="s">
        <v>1445</v>
      </c>
    </row>
    <row r="125" spans="1:20" x14ac:dyDescent="0.2">
      <c r="A125" s="23" t="s">
        <v>92</v>
      </c>
      <c r="C125" s="23" t="s">
        <v>581</v>
      </c>
      <c r="D125" s="23" t="s">
        <v>582</v>
      </c>
      <c r="E125" s="23" t="s">
        <v>583</v>
      </c>
      <c r="G125" s="23" t="s">
        <v>584</v>
      </c>
      <c r="K125" s="23" t="s">
        <v>1446</v>
      </c>
      <c r="L125" s="23" t="s">
        <v>1447</v>
      </c>
      <c r="M125" s="23" t="s">
        <v>1448</v>
      </c>
      <c r="N125" s="23" t="s">
        <v>1449</v>
      </c>
    </row>
    <row r="126" spans="1:20" x14ac:dyDescent="0.2">
      <c r="A126" s="23" t="s">
        <v>92</v>
      </c>
      <c r="C126" s="23" t="s">
        <v>1450</v>
      </c>
      <c r="D126" s="23" t="s">
        <v>1451</v>
      </c>
      <c r="E126" s="23" t="s">
        <v>1452</v>
      </c>
      <c r="G126" s="23" t="s">
        <v>1453</v>
      </c>
      <c r="K126" s="23" t="s">
        <v>1454</v>
      </c>
      <c r="L126" s="23" t="s">
        <v>1455</v>
      </c>
      <c r="O126" s="23" t="s">
        <v>11585</v>
      </c>
      <c r="P126" s="23" t="s">
        <v>1456</v>
      </c>
      <c r="Q126" s="23" t="s">
        <v>1457</v>
      </c>
      <c r="R126" s="23" t="s">
        <v>1458</v>
      </c>
      <c r="S126" s="23" t="s">
        <v>1459</v>
      </c>
      <c r="T126" s="23" t="s">
        <v>1460</v>
      </c>
    </row>
    <row r="127" spans="1:20" x14ac:dyDescent="0.2">
      <c r="A127" s="23" t="s">
        <v>92</v>
      </c>
      <c r="C127" s="23" t="s">
        <v>586</v>
      </c>
      <c r="D127" s="23" t="s">
        <v>587</v>
      </c>
      <c r="E127" s="23" t="s">
        <v>588</v>
      </c>
      <c r="G127" s="23" t="s">
        <v>589</v>
      </c>
      <c r="K127" s="23" t="s">
        <v>590</v>
      </c>
      <c r="L127" s="23" t="s">
        <v>591</v>
      </c>
      <c r="O127" s="23" t="s">
        <v>11586</v>
      </c>
      <c r="P127" s="23" t="s">
        <v>12960</v>
      </c>
      <c r="Q127" s="23" t="s">
        <v>12965</v>
      </c>
      <c r="R127" s="23" t="s">
        <v>12970</v>
      </c>
      <c r="S127" s="23" t="s">
        <v>12975</v>
      </c>
      <c r="T127" s="23" t="s">
        <v>12980</v>
      </c>
    </row>
    <row r="128" spans="1:20" x14ac:dyDescent="0.2">
      <c r="A128" s="23" t="s">
        <v>92</v>
      </c>
      <c r="C128" s="23" t="s">
        <v>593</v>
      </c>
      <c r="D128" s="23" t="s">
        <v>594</v>
      </c>
      <c r="E128" s="23" t="s">
        <v>595</v>
      </c>
      <c r="G128" s="23" t="s">
        <v>596</v>
      </c>
      <c r="K128" s="23" t="s">
        <v>592</v>
      </c>
      <c r="L128" s="23" t="s">
        <v>1461</v>
      </c>
      <c r="O128" s="23" t="s">
        <v>11587</v>
      </c>
      <c r="P128" s="23" t="s">
        <v>12961</v>
      </c>
      <c r="Q128" s="23" t="s">
        <v>12966</v>
      </c>
      <c r="R128" s="23" t="s">
        <v>12971</v>
      </c>
      <c r="S128" s="23" t="s">
        <v>12976</v>
      </c>
      <c r="T128" s="23" t="s">
        <v>12981</v>
      </c>
    </row>
    <row r="129" spans="1:20" x14ac:dyDescent="0.2">
      <c r="A129" s="23" t="s">
        <v>92</v>
      </c>
      <c r="C129" s="23" t="s">
        <v>598</v>
      </c>
      <c r="D129" s="23" t="s">
        <v>599</v>
      </c>
      <c r="E129" s="23" t="s">
        <v>600</v>
      </c>
      <c r="G129" s="23" t="s">
        <v>601</v>
      </c>
      <c r="K129" s="23" t="s">
        <v>602</v>
      </c>
      <c r="L129" s="23" t="s">
        <v>603</v>
      </c>
      <c r="O129" s="23" t="s">
        <v>11554</v>
      </c>
      <c r="P129" s="23" t="s">
        <v>12962</v>
      </c>
      <c r="Q129" s="23" t="s">
        <v>12967</v>
      </c>
      <c r="R129" s="23" t="s">
        <v>12972</v>
      </c>
      <c r="S129" s="23" t="s">
        <v>12977</v>
      </c>
      <c r="T129" s="23" t="s">
        <v>12982</v>
      </c>
    </row>
    <row r="130" spans="1:20" x14ac:dyDescent="0.2">
      <c r="A130" s="23" t="s">
        <v>92</v>
      </c>
      <c r="C130" s="23" t="s">
        <v>604</v>
      </c>
      <c r="D130" s="23" t="s">
        <v>605</v>
      </c>
      <c r="E130" s="23" t="s">
        <v>606</v>
      </c>
      <c r="G130" s="23" t="s">
        <v>607</v>
      </c>
      <c r="K130" s="23" t="s">
        <v>608</v>
      </c>
      <c r="L130" s="23" t="s">
        <v>609</v>
      </c>
      <c r="O130" s="23" t="s">
        <v>11588</v>
      </c>
      <c r="P130" s="23" t="s">
        <v>12963</v>
      </c>
      <c r="Q130" s="23" t="s">
        <v>12968</v>
      </c>
      <c r="R130" s="23" t="s">
        <v>12973</v>
      </c>
      <c r="S130" s="23" t="s">
        <v>12978</v>
      </c>
      <c r="T130" s="23" t="s">
        <v>12983</v>
      </c>
    </row>
    <row r="131" spans="1:20" x14ac:dyDescent="0.2">
      <c r="A131" s="23" t="s">
        <v>92</v>
      </c>
      <c r="C131" s="23" t="s">
        <v>610</v>
      </c>
      <c r="D131" s="23" t="s">
        <v>611</v>
      </c>
      <c r="E131" s="23" t="s">
        <v>612</v>
      </c>
      <c r="G131" s="23" t="s">
        <v>613</v>
      </c>
      <c r="K131" s="23" t="s">
        <v>614</v>
      </c>
      <c r="L131" s="23" t="s">
        <v>615</v>
      </c>
      <c r="O131" s="23" t="s">
        <v>11589</v>
      </c>
      <c r="P131" s="23" t="s">
        <v>12964</v>
      </c>
      <c r="Q131" s="23" t="s">
        <v>12969</v>
      </c>
      <c r="R131" s="23" t="s">
        <v>12974</v>
      </c>
      <c r="S131" s="23" t="s">
        <v>12979</v>
      </c>
      <c r="T131" s="23" t="s">
        <v>12984</v>
      </c>
    </row>
    <row r="132" spans="1:20" x14ac:dyDescent="0.2">
      <c r="A132" s="23" t="s">
        <v>92</v>
      </c>
      <c r="C132" s="23" t="s">
        <v>586</v>
      </c>
      <c r="D132" s="23" t="s">
        <v>587</v>
      </c>
      <c r="E132" s="23" t="s">
        <v>588</v>
      </c>
      <c r="G132" s="23" t="s">
        <v>589</v>
      </c>
      <c r="K132" s="23" t="s">
        <v>590</v>
      </c>
      <c r="L132" s="23" t="s">
        <v>591</v>
      </c>
    </row>
    <row r="133" spans="1:20" x14ac:dyDescent="0.2">
      <c r="A133" s="23" t="s">
        <v>92</v>
      </c>
      <c r="C133" s="23" t="s">
        <v>616</v>
      </c>
      <c r="D133" s="23" t="s">
        <v>617</v>
      </c>
      <c r="E133" s="23" t="s">
        <v>618</v>
      </c>
      <c r="G133" s="23" t="s">
        <v>619</v>
      </c>
      <c r="K133" s="23" t="s">
        <v>620</v>
      </c>
      <c r="L133" s="23" t="s">
        <v>621</v>
      </c>
      <c r="M133" s="23" t="s">
        <v>1462</v>
      </c>
      <c r="N133" s="23" t="s">
        <v>622</v>
      </c>
      <c r="T133" s="23" t="s">
        <v>1463</v>
      </c>
    </row>
    <row r="134" spans="1:20" x14ac:dyDescent="0.2">
      <c r="A134" s="23" t="s">
        <v>92</v>
      </c>
      <c r="C134" s="23" t="s">
        <v>409</v>
      </c>
      <c r="D134" s="23" t="s">
        <v>410</v>
      </c>
      <c r="E134" s="23" t="s">
        <v>411</v>
      </c>
      <c r="G134" s="23" t="s">
        <v>412</v>
      </c>
    </row>
    <row r="135" spans="1:20" x14ac:dyDescent="0.2">
      <c r="A135" s="23" t="s">
        <v>92</v>
      </c>
      <c r="C135" s="23" t="s">
        <v>1464</v>
      </c>
      <c r="D135" s="23" t="s">
        <v>1465</v>
      </c>
      <c r="E135" s="23" t="s">
        <v>1466</v>
      </c>
      <c r="G135" s="23" t="s">
        <v>1467</v>
      </c>
      <c r="H135" s="23" t="s">
        <v>1468</v>
      </c>
      <c r="I135" s="23" t="s">
        <v>623</v>
      </c>
      <c r="J135" s="23" t="s">
        <v>624</v>
      </c>
      <c r="T135" s="23" t="s">
        <v>1469</v>
      </c>
    </row>
    <row r="136" spans="1:20" x14ac:dyDescent="0.2">
      <c r="A136" s="23" t="s">
        <v>92</v>
      </c>
      <c r="C136" s="23" t="s">
        <v>1470</v>
      </c>
      <c r="D136" s="23" t="s">
        <v>1471</v>
      </c>
      <c r="E136" s="23" t="s">
        <v>625</v>
      </c>
      <c r="G136" s="23" t="s">
        <v>1472</v>
      </c>
      <c r="H136" s="23" t="s">
        <v>1473</v>
      </c>
      <c r="I136" s="23" t="s">
        <v>1474</v>
      </c>
      <c r="J136" s="23" t="s">
        <v>1475</v>
      </c>
    </row>
    <row r="137" spans="1:20" x14ac:dyDescent="0.2">
      <c r="A137" s="23" t="s">
        <v>92</v>
      </c>
      <c r="C137" s="23" t="s">
        <v>626</v>
      </c>
      <c r="D137" s="23" t="s">
        <v>627</v>
      </c>
      <c r="E137" s="23" t="s">
        <v>628</v>
      </c>
      <c r="G137" s="23" t="s">
        <v>629</v>
      </c>
      <c r="K137" s="23" t="s">
        <v>630</v>
      </c>
      <c r="L137" s="23" t="s">
        <v>631</v>
      </c>
      <c r="M137" s="23" t="s">
        <v>11590</v>
      </c>
      <c r="N137" s="23" t="s">
        <v>633</v>
      </c>
    </row>
    <row r="138" spans="1:20" x14ac:dyDescent="0.2">
      <c r="A138" s="23" t="s">
        <v>92</v>
      </c>
      <c r="C138" s="23" t="s">
        <v>634</v>
      </c>
      <c r="D138" s="23" t="s">
        <v>635</v>
      </c>
      <c r="E138" s="23" t="s">
        <v>636</v>
      </c>
      <c r="G138" s="23" t="s">
        <v>637</v>
      </c>
      <c r="K138" s="23" t="s">
        <v>638</v>
      </c>
      <c r="L138" s="23" t="s">
        <v>639</v>
      </c>
      <c r="O138" s="23" t="s">
        <v>11591</v>
      </c>
      <c r="P138" s="23" t="s">
        <v>640</v>
      </c>
      <c r="Q138" s="23" t="s">
        <v>641</v>
      </c>
      <c r="R138" s="23" t="s">
        <v>642</v>
      </c>
      <c r="S138" s="23" t="s">
        <v>643</v>
      </c>
      <c r="T138" s="23" t="s">
        <v>644</v>
      </c>
    </row>
    <row r="139" spans="1:20" x14ac:dyDescent="0.2">
      <c r="A139" s="23" t="s">
        <v>92</v>
      </c>
      <c r="C139" s="23" t="s">
        <v>645</v>
      </c>
      <c r="D139" s="23" t="s">
        <v>646</v>
      </c>
      <c r="E139" s="23" t="s">
        <v>647</v>
      </c>
      <c r="G139" s="23" t="s">
        <v>648</v>
      </c>
      <c r="K139" s="23" t="s">
        <v>649</v>
      </c>
      <c r="L139" s="23" t="s">
        <v>650</v>
      </c>
      <c r="O139" s="23" t="s">
        <v>11592</v>
      </c>
      <c r="P139" s="23" t="s">
        <v>12755</v>
      </c>
      <c r="Q139" s="23" t="s">
        <v>12761</v>
      </c>
      <c r="R139" s="23" t="s">
        <v>12767</v>
      </c>
      <c r="S139" s="23" t="s">
        <v>12773</v>
      </c>
      <c r="T139" s="23" t="s">
        <v>12779</v>
      </c>
    </row>
    <row r="140" spans="1:20" x14ac:dyDescent="0.2">
      <c r="A140" s="23" t="s">
        <v>92</v>
      </c>
      <c r="C140" s="23" t="s">
        <v>1476</v>
      </c>
      <c r="D140" s="23" t="s">
        <v>1477</v>
      </c>
      <c r="E140" s="23" t="s">
        <v>1478</v>
      </c>
      <c r="G140" s="23" t="s">
        <v>1479</v>
      </c>
      <c r="K140" s="23" t="s">
        <v>1480</v>
      </c>
      <c r="L140" s="23" t="s">
        <v>1481</v>
      </c>
      <c r="O140" s="23" t="s">
        <v>11593</v>
      </c>
      <c r="P140" s="23" t="s">
        <v>12756</v>
      </c>
      <c r="Q140" s="23" t="s">
        <v>12762</v>
      </c>
      <c r="R140" s="23" t="s">
        <v>12768</v>
      </c>
      <c r="S140" s="23" t="s">
        <v>12774</v>
      </c>
      <c r="T140" s="23" t="s">
        <v>12780</v>
      </c>
    </row>
    <row r="141" spans="1:20" x14ac:dyDescent="0.2">
      <c r="A141" s="23" t="s">
        <v>92</v>
      </c>
      <c r="C141" s="23" t="s">
        <v>651</v>
      </c>
      <c r="D141" s="23" t="s">
        <v>652</v>
      </c>
      <c r="E141" s="23" t="s">
        <v>653</v>
      </c>
      <c r="G141" s="23" t="s">
        <v>654</v>
      </c>
      <c r="K141" s="23" t="s">
        <v>655</v>
      </c>
      <c r="L141" s="23" t="s">
        <v>656</v>
      </c>
      <c r="O141" s="23" t="s">
        <v>11517</v>
      </c>
      <c r="P141" s="23" t="s">
        <v>12757</v>
      </c>
      <c r="Q141" s="23" t="s">
        <v>12763</v>
      </c>
      <c r="R141" s="23" t="s">
        <v>12769</v>
      </c>
      <c r="S141" s="23" t="s">
        <v>12775</v>
      </c>
      <c r="T141" s="23" t="s">
        <v>12781</v>
      </c>
    </row>
    <row r="142" spans="1:20" x14ac:dyDescent="0.2">
      <c r="A142" s="23" t="s">
        <v>92</v>
      </c>
      <c r="C142" s="23" t="s">
        <v>658</v>
      </c>
      <c r="D142" s="23" t="s">
        <v>659</v>
      </c>
      <c r="E142" s="23" t="s">
        <v>660</v>
      </c>
      <c r="G142" s="23" t="s">
        <v>661</v>
      </c>
      <c r="K142" s="23" t="s">
        <v>657</v>
      </c>
      <c r="L142" s="23" t="s">
        <v>1482</v>
      </c>
      <c r="O142" s="23" t="s">
        <v>11518</v>
      </c>
      <c r="P142" s="23" t="s">
        <v>12758</v>
      </c>
      <c r="Q142" s="23" t="s">
        <v>12764</v>
      </c>
      <c r="R142" s="23" t="s">
        <v>12770</v>
      </c>
      <c r="S142" s="23" t="s">
        <v>12776</v>
      </c>
      <c r="T142" s="23" t="s">
        <v>12782</v>
      </c>
    </row>
    <row r="143" spans="1:20" x14ac:dyDescent="0.2">
      <c r="A143" s="23" t="s">
        <v>92</v>
      </c>
      <c r="C143" s="23" t="s">
        <v>663</v>
      </c>
      <c r="D143" s="23" t="s">
        <v>664</v>
      </c>
      <c r="E143" s="23" t="s">
        <v>665</v>
      </c>
      <c r="G143" s="23" t="s">
        <v>666</v>
      </c>
      <c r="K143" s="23" t="s">
        <v>667</v>
      </c>
      <c r="L143" s="23" t="s">
        <v>668</v>
      </c>
      <c r="O143" s="23" t="s">
        <v>11519</v>
      </c>
      <c r="P143" s="23" t="s">
        <v>12759</v>
      </c>
      <c r="Q143" s="23" t="s">
        <v>12765</v>
      </c>
      <c r="R143" s="23" t="s">
        <v>12771</v>
      </c>
      <c r="S143" s="23" t="s">
        <v>12777</v>
      </c>
      <c r="T143" s="23" t="s">
        <v>12783</v>
      </c>
    </row>
    <row r="144" spans="1:20" x14ac:dyDescent="0.2">
      <c r="A144" s="23" t="s">
        <v>92</v>
      </c>
      <c r="C144" s="23" t="s">
        <v>669</v>
      </c>
      <c r="D144" s="23" t="s">
        <v>670</v>
      </c>
      <c r="E144" s="23" t="s">
        <v>671</v>
      </c>
      <c r="G144" s="23" t="s">
        <v>672</v>
      </c>
      <c r="K144" s="23" t="s">
        <v>673</v>
      </c>
      <c r="L144" s="23" t="s">
        <v>674</v>
      </c>
      <c r="O144" s="23" t="s">
        <v>11594</v>
      </c>
      <c r="P144" s="23" t="s">
        <v>12760</v>
      </c>
      <c r="Q144" s="23" t="s">
        <v>12766</v>
      </c>
      <c r="R144" s="23" t="s">
        <v>12772</v>
      </c>
      <c r="S144" s="23" t="s">
        <v>12778</v>
      </c>
      <c r="T144" s="23" t="s">
        <v>12784</v>
      </c>
    </row>
    <row r="145" spans="1:20" x14ac:dyDescent="0.2">
      <c r="A145" s="23" t="s">
        <v>92</v>
      </c>
      <c r="C145" s="23" t="s">
        <v>645</v>
      </c>
      <c r="D145" s="23" t="s">
        <v>646</v>
      </c>
      <c r="E145" s="23" t="s">
        <v>647</v>
      </c>
      <c r="G145" s="23" t="s">
        <v>648</v>
      </c>
      <c r="K145" s="23" t="s">
        <v>649</v>
      </c>
      <c r="L145" s="23" t="s">
        <v>650</v>
      </c>
    </row>
    <row r="146" spans="1:20" x14ac:dyDescent="0.2">
      <c r="A146" s="23" t="s">
        <v>92</v>
      </c>
      <c r="C146" s="23" t="s">
        <v>675</v>
      </c>
      <c r="D146" s="23" t="s">
        <v>676</v>
      </c>
      <c r="E146" s="23" t="s">
        <v>677</v>
      </c>
      <c r="G146" s="23" t="s">
        <v>678</v>
      </c>
      <c r="K146" s="23" t="s">
        <v>679</v>
      </c>
      <c r="L146" s="23" t="s">
        <v>680</v>
      </c>
      <c r="M146" s="23" t="s">
        <v>681</v>
      </c>
      <c r="N146" s="23" t="s">
        <v>682</v>
      </c>
      <c r="T146" s="23" t="s">
        <v>1483</v>
      </c>
    </row>
    <row r="147" spans="1:20" x14ac:dyDescent="0.2">
      <c r="A147" s="23" t="s">
        <v>92</v>
      </c>
      <c r="C147" s="23" t="s">
        <v>1484</v>
      </c>
      <c r="D147" s="23" t="s">
        <v>1485</v>
      </c>
      <c r="E147" s="23" t="s">
        <v>1486</v>
      </c>
      <c r="G147" s="23" t="s">
        <v>1487</v>
      </c>
      <c r="K147" s="23" t="s">
        <v>1488</v>
      </c>
      <c r="L147" s="23" t="s">
        <v>1489</v>
      </c>
      <c r="M147" s="23" t="s">
        <v>1490</v>
      </c>
      <c r="N147" s="23" t="s">
        <v>1491</v>
      </c>
    </row>
    <row r="148" spans="1:20" x14ac:dyDescent="0.2">
      <c r="A148" s="23" t="s">
        <v>92</v>
      </c>
      <c r="C148" s="23" t="s">
        <v>683</v>
      </c>
      <c r="D148" s="23" t="s">
        <v>684</v>
      </c>
      <c r="E148" s="23" t="s">
        <v>685</v>
      </c>
      <c r="G148" s="23" t="s">
        <v>686</v>
      </c>
      <c r="K148" s="23" t="s">
        <v>1492</v>
      </c>
      <c r="L148" s="23" t="s">
        <v>1493</v>
      </c>
      <c r="O148" s="23" t="s">
        <v>11595</v>
      </c>
      <c r="P148" s="23" t="s">
        <v>1494</v>
      </c>
      <c r="Q148" s="23" t="s">
        <v>1495</v>
      </c>
      <c r="R148" s="23" t="s">
        <v>1496</v>
      </c>
      <c r="S148" s="23" t="s">
        <v>1497</v>
      </c>
      <c r="T148" s="23" t="s">
        <v>1498</v>
      </c>
    </row>
    <row r="149" spans="1:20" x14ac:dyDescent="0.2">
      <c r="A149" s="23" t="s">
        <v>92</v>
      </c>
      <c r="C149" s="23" t="s">
        <v>687</v>
      </c>
      <c r="D149" s="23" t="s">
        <v>688</v>
      </c>
      <c r="E149" s="23" t="s">
        <v>1499</v>
      </c>
      <c r="G149" s="23" t="s">
        <v>1500</v>
      </c>
      <c r="K149" s="23" t="s">
        <v>1501</v>
      </c>
      <c r="L149" s="23" t="s">
        <v>1502</v>
      </c>
      <c r="O149" s="23" t="s">
        <v>11596</v>
      </c>
      <c r="P149" s="23" t="s">
        <v>12905</v>
      </c>
      <c r="Q149" s="23" t="s">
        <v>12911</v>
      </c>
      <c r="R149" s="23" t="s">
        <v>12917</v>
      </c>
      <c r="S149" s="23" t="s">
        <v>12923</v>
      </c>
      <c r="T149" s="23" t="s">
        <v>12929</v>
      </c>
    </row>
    <row r="150" spans="1:20" x14ac:dyDescent="0.2">
      <c r="A150" s="23" t="s">
        <v>92</v>
      </c>
      <c r="C150" s="23" t="s">
        <v>1503</v>
      </c>
      <c r="D150" s="23" t="s">
        <v>1504</v>
      </c>
      <c r="E150" s="23" t="s">
        <v>689</v>
      </c>
      <c r="G150" s="23" t="s">
        <v>1505</v>
      </c>
      <c r="K150" s="23" t="s">
        <v>1506</v>
      </c>
      <c r="L150" s="23" t="s">
        <v>1507</v>
      </c>
      <c r="O150" s="23" t="s">
        <v>11597</v>
      </c>
      <c r="P150" s="23" t="s">
        <v>12906</v>
      </c>
      <c r="Q150" s="23" t="s">
        <v>12912</v>
      </c>
      <c r="R150" s="23" t="s">
        <v>12918</v>
      </c>
      <c r="S150" s="23" t="s">
        <v>12924</v>
      </c>
      <c r="T150" s="23" t="s">
        <v>12930</v>
      </c>
    </row>
    <row r="151" spans="1:20" x14ac:dyDescent="0.2">
      <c r="A151" s="23" t="s">
        <v>92</v>
      </c>
      <c r="C151" s="23" t="s">
        <v>1508</v>
      </c>
      <c r="D151" s="23" t="s">
        <v>1509</v>
      </c>
      <c r="E151" s="23" t="s">
        <v>1510</v>
      </c>
      <c r="G151" s="23" t="s">
        <v>1511</v>
      </c>
      <c r="K151" s="23" t="s">
        <v>1512</v>
      </c>
      <c r="L151" s="23" t="s">
        <v>1513</v>
      </c>
      <c r="O151" s="23" t="s">
        <v>11524</v>
      </c>
      <c r="P151" s="23" t="s">
        <v>12907</v>
      </c>
      <c r="Q151" s="23" t="s">
        <v>12913</v>
      </c>
      <c r="R151" s="23" t="s">
        <v>12919</v>
      </c>
      <c r="S151" s="23" t="s">
        <v>12925</v>
      </c>
      <c r="T151" s="23" t="s">
        <v>12931</v>
      </c>
    </row>
    <row r="152" spans="1:20" x14ac:dyDescent="0.2">
      <c r="A152" s="23" t="s">
        <v>92</v>
      </c>
      <c r="C152" s="23" t="s">
        <v>1514</v>
      </c>
      <c r="D152" s="23" t="s">
        <v>1515</v>
      </c>
      <c r="E152" s="23" t="s">
        <v>691</v>
      </c>
      <c r="G152" s="23" t="s">
        <v>1516</v>
      </c>
      <c r="K152" s="23" t="s">
        <v>1517</v>
      </c>
      <c r="L152" s="23" t="s">
        <v>1518</v>
      </c>
      <c r="O152" s="23" t="s">
        <v>11525</v>
      </c>
      <c r="P152" s="23" t="s">
        <v>12908</v>
      </c>
      <c r="Q152" s="23" t="s">
        <v>12914</v>
      </c>
      <c r="R152" s="23" t="s">
        <v>12920</v>
      </c>
      <c r="S152" s="23" t="s">
        <v>12926</v>
      </c>
      <c r="T152" s="23" t="s">
        <v>12932</v>
      </c>
    </row>
    <row r="153" spans="1:20" x14ac:dyDescent="0.2">
      <c r="A153" s="23" t="s">
        <v>92</v>
      </c>
      <c r="C153" s="23" t="s">
        <v>692</v>
      </c>
      <c r="D153" s="23" t="s">
        <v>693</v>
      </c>
      <c r="E153" s="23" t="s">
        <v>694</v>
      </c>
      <c r="G153" s="23" t="s">
        <v>695</v>
      </c>
      <c r="K153" s="23" t="s">
        <v>1519</v>
      </c>
      <c r="L153" s="23" t="s">
        <v>1520</v>
      </c>
      <c r="O153" s="23" t="s">
        <v>11526</v>
      </c>
      <c r="P153" s="23" t="s">
        <v>12909</v>
      </c>
      <c r="Q153" s="23" t="s">
        <v>12915</v>
      </c>
      <c r="R153" s="23" t="s">
        <v>12921</v>
      </c>
      <c r="S153" s="23" t="s">
        <v>12927</v>
      </c>
      <c r="T153" s="23" t="s">
        <v>12933</v>
      </c>
    </row>
    <row r="154" spans="1:20" x14ac:dyDescent="0.2">
      <c r="A154" s="23" t="s">
        <v>92</v>
      </c>
      <c r="C154" s="23" t="s">
        <v>696</v>
      </c>
      <c r="D154" s="23" t="s">
        <v>697</v>
      </c>
      <c r="E154" s="23" t="s">
        <v>698</v>
      </c>
      <c r="G154" s="23" t="s">
        <v>699</v>
      </c>
      <c r="K154" s="23" t="s">
        <v>700</v>
      </c>
      <c r="L154" s="23" t="s">
        <v>701</v>
      </c>
      <c r="O154" s="23" t="s">
        <v>11598</v>
      </c>
      <c r="P154" s="23" t="s">
        <v>12910</v>
      </c>
      <c r="Q154" s="23" t="s">
        <v>12916</v>
      </c>
      <c r="R154" s="23" t="s">
        <v>12922</v>
      </c>
      <c r="S154" s="23" t="s">
        <v>12928</v>
      </c>
      <c r="T154" s="23" t="s">
        <v>12934</v>
      </c>
    </row>
    <row r="155" spans="1:20" x14ac:dyDescent="0.2">
      <c r="A155" s="23" t="s">
        <v>92</v>
      </c>
      <c r="C155" s="23" t="s">
        <v>687</v>
      </c>
      <c r="D155" s="23" t="s">
        <v>688</v>
      </c>
      <c r="E155" s="23" t="s">
        <v>1499</v>
      </c>
      <c r="G155" s="23" t="s">
        <v>1500</v>
      </c>
      <c r="K155" s="23" t="s">
        <v>1501</v>
      </c>
      <c r="L155" s="23" t="s">
        <v>1502</v>
      </c>
    </row>
    <row r="156" spans="1:20" x14ac:dyDescent="0.2">
      <c r="A156" s="23" t="s">
        <v>92</v>
      </c>
      <c r="C156" s="23" t="s">
        <v>702</v>
      </c>
      <c r="D156" s="23" t="s">
        <v>703</v>
      </c>
      <c r="E156" s="23" t="s">
        <v>704</v>
      </c>
      <c r="G156" s="23" t="s">
        <v>705</v>
      </c>
      <c r="K156" s="23" t="s">
        <v>706</v>
      </c>
      <c r="L156" s="23" t="s">
        <v>707</v>
      </c>
      <c r="M156" s="23" t="s">
        <v>1521</v>
      </c>
      <c r="N156" s="23" t="s">
        <v>712</v>
      </c>
      <c r="T156" s="23" t="s">
        <v>1522</v>
      </c>
    </row>
    <row r="157" spans="1:20" x14ac:dyDescent="0.2">
      <c r="A157" s="23" t="s">
        <v>92</v>
      </c>
      <c r="C157" s="23" t="s">
        <v>708</v>
      </c>
      <c r="D157" s="23" t="s">
        <v>709</v>
      </c>
      <c r="E157" s="23" t="s">
        <v>710</v>
      </c>
      <c r="G157" s="23" t="s">
        <v>711</v>
      </c>
      <c r="K157" s="23" t="s">
        <v>1523</v>
      </c>
      <c r="L157" s="23" t="s">
        <v>1524</v>
      </c>
      <c r="M157" s="23" t="s">
        <v>1525</v>
      </c>
      <c r="N157" s="23" t="s">
        <v>1526</v>
      </c>
    </row>
    <row r="158" spans="1:20" x14ac:dyDescent="0.2">
      <c r="A158" s="23" t="s">
        <v>92</v>
      </c>
      <c r="C158" s="23" t="s">
        <v>713</v>
      </c>
      <c r="D158" s="23" t="s">
        <v>714</v>
      </c>
      <c r="E158" s="23" t="s">
        <v>715</v>
      </c>
      <c r="G158" s="23" t="s">
        <v>716</v>
      </c>
      <c r="K158" s="23" t="s">
        <v>717</v>
      </c>
      <c r="L158" s="23" t="s">
        <v>718</v>
      </c>
      <c r="O158" s="23" t="s">
        <v>11599</v>
      </c>
      <c r="P158" s="23" t="s">
        <v>719</v>
      </c>
      <c r="Q158" s="23" t="s">
        <v>720</v>
      </c>
      <c r="R158" s="23" t="s">
        <v>721</v>
      </c>
      <c r="S158" s="23" t="s">
        <v>722</v>
      </c>
      <c r="T158" s="23" t="s">
        <v>723</v>
      </c>
    </row>
    <row r="159" spans="1:20" x14ac:dyDescent="0.2">
      <c r="A159" s="23" t="s">
        <v>92</v>
      </c>
      <c r="C159" s="23" t="s">
        <v>724</v>
      </c>
      <c r="D159" s="23" t="s">
        <v>725</v>
      </c>
      <c r="E159" s="23" t="s">
        <v>726</v>
      </c>
      <c r="G159" s="23" t="s">
        <v>727</v>
      </c>
      <c r="K159" s="23" t="s">
        <v>728</v>
      </c>
      <c r="L159" s="23" t="s">
        <v>729</v>
      </c>
      <c r="O159" s="23" t="s">
        <v>11600</v>
      </c>
      <c r="P159" s="23" t="s">
        <v>12875</v>
      </c>
      <c r="Q159" s="23" t="s">
        <v>12881</v>
      </c>
      <c r="R159" s="23" t="s">
        <v>12887</v>
      </c>
      <c r="S159" s="23" t="s">
        <v>12893</v>
      </c>
      <c r="T159" s="23" t="s">
        <v>12899</v>
      </c>
    </row>
    <row r="160" spans="1:20" x14ac:dyDescent="0.2">
      <c r="A160" s="23" t="s">
        <v>92</v>
      </c>
      <c r="C160" s="23" t="s">
        <v>1527</v>
      </c>
      <c r="D160" s="23" t="s">
        <v>1528</v>
      </c>
      <c r="E160" s="23" t="s">
        <v>1529</v>
      </c>
      <c r="G160" s="23" t="s">
        <v>1530</v>
      </c>
      <c r="K160" s="23" t="s">
        <v>1531</v>
      </c>
      <c r="L160" s="23" t="s">
        <v>1532</v>
      </c>
      <c r="O160" s="23" t="s">
        <v>11601</v>
      </c>
      <c r="P160" s="23" t="s">
        <v>12876</v>
      </c>
      <c r="Q160" s="23" t="s">
        <v>12882</v>
      </c>
      <c r="R160" s="23" t="s">
        <v>12888</v>
      </c>
      <c r="S160" s="23" t="s">
        <v>12894</v>
      </c>
      <c r="T160" s="23" t="s">
        <v>12900</v>
      </c>
    </row>
    <row r="161" spans="1:20" x14ac:dyDescent="0.2">
      <c r="A161" s="23" t="s">
        <v>92</v>
      </c>
      <c r="C161" s="23" t="s">
        <v>730</v>
      </c>
      <c r="D161" s="23" t="s">
        <v>731</v>
      </c>
      <c r="E161" s="23" t="s">
        <v>732</v>
      </c>
      <c r="G161" s="23" t="s">
        <v>733</v>
      </c>
      <c r="K161" s="23" t="s">
        <v>734</v>
      </c>
      <c r="L161" s="23" t="s">
        <v>735</v>
      </c>
      <c r="O161" s="23" t="s">
        <v>11531</v>
      </c>
      <c r="P161" s="23" t="s">
        <v>12877</v>
      </c>
      <c r="Q161" s="23" t="s">
        <v>12883</v>
      </c>
      <c r="R161" s="23" t="s">
        <v>12889</v>
      </c>
      <c r="S161" s="23" t="s">
        <v>12895</v>
      </c>
      <c r="T161" s="23" t="s">
        <v>12901</v>
      </c>
    </row>
    <row r="162" spans="1:20" x14ac:dyDescent="0.2">
      <c r="A162" s="23" t="s">
        <v>92</v>
      </c>
      <c r="C162" s="23" t="s">
        <v>737</v>
      </c>
      <c r="D162" s="23" t="s">
        <v>738</v>
      </c>
      <c r="E162" s="23" t="s">
        <v>739</v>
      </c>
      <c r="G162" s="23" t="s">
        <v>740</v>
      </c>
      <c r="K162" s="23" t="s">
        <v>736</v>
      </c>
      <c r="L162" s="23" t="s">
        <v>1533</v>
      </c>
      <c r="O162" s="23" t="s">
        <v>11532</v>
      </c>
      <c r="P162" s="23" t="s">
        <v>12878</v>
      </c>
      <c r="Q162" s="23" t="s">
        <v>12884</v>
      </c>
      <c r="R162" s="23" t="s">
        <v>12890</v>
      </c>
      <c r="S162" s="23" t="s">
        <v>12896</v>
      </c>
      <c r="T162" s="23" t="s">
        <v>12902</v>
      </c>
    </row>
    <row r="163" spans="1:20" x14ac:dyDescent="0.2">
      <c r="A163" s="23" t="s">
        <v>92</v>
      </c>
      <c r="C163" s="23" t="s">
        <v>742</v>
      </c>
      <c r="D163" s="23" t="s">
        <v>743</v>
      </c>
      <c r="E163" s="23" t="s">
        <v>744</v>
      </c>
      <c r="G163" s="23" t="s">
        <v>745</v>
      </c>
      <c r="K163" s="23" t="s">
        <v>746</v>
      </c>
      <c r="L163" s="23" t="s">
        <v>747</v>
      </c>
      <c r="O163" s="23" t="s">
        <v>11533</v>
      </c>
      <c r="P163" s="23" t="s">
        <v>12879</v>
      </c>
      <c r="Q163" s="23" t="s">
        <v>12885</v>
      </c>
      <c r="R163" s="23" t="s">
        <v>12891</v>
      </c>
      <c r="S163" s="23" t="s">
        <v>12897</v>
      </c>
      <c r="T163" s="23" t="s">
        <v>12903</v>
      </c>
    </row>
    <row r="164" spans="1:20" x14ac:dyDescent="0.2">
      <c r="A164" s="23" t="s">
        <v>92</v>
      </c>
      <c r="C164" s="23" t="s">
        <v>748</v>
      </c>
      <c r="D164" s="23" t="s">
        <v>749</v>
      </c>
      <c r="E164" s="23" t="s">
        <v>750</v>
      </c>
      <c r="G164" s="23" t="s">
        <v>751</v>
      </c>
      <c r="K164" s="23" t="s">
        <v>752</v>
      </c>
      <c r="L164" s="23" t="s">
        <v>753</v>
      </c>
      <c r="O164" s="23" t="s">
        <v>11602</v>
      </c>
      <c r="P164" s="23" t="s">
        <v>12880</v>
      </c>
      <c r="Q164" s="23" t="s">
        <v>12886</v>
      </c>
      <c r="R164" s="23" t="s">
        <v>12892</v>
      </c>
      <c r="S164" s="23" t="s">
        <v>12898</v>
      </c>
      <c r="T164" s="23" t="s">
        <v>12904</v>
      </c>
    </row>
    <row r="165" spans="1:20" x14ac:dyDescent="0.2">
      <c r="A165" s="23" t="s">
        <v>92</v>
      </c>
      <c r="C165" s="23" t="s">
        <v>724</v>
      </c>
      <c r="D165" s="23" t="s">
        <v>725</v>
      </c>
      <c r="E165" s="23" t="s">
        <v>726</v>
      </c>
      <c r="G165" s="23" t="s">
        <v>727</v>
      </c>
      <c r="K165" s="23" t="s">
        <v>728</v>
      </c>
      <c r="L165" s="23" t="s">
        <v>729</v>
      </c>
    </row>
    <row r="166" spans="1:20" x14ac:dyDescent="0.2">
      <c r="A166" s="23" t="s">
        <v>92</v>
      </c>
      <c r="C166" s="23" t="s">
        <v>754</v>
      </c>
      <c r="D166" s="23" t="s">
        <v>755</v>
      </c>
      <c r="E166" s="23" t="s">
        <v>756</v>
      </c>
      <c r="G166" s="23" t="s">
        <v>757</v>
      </c>
      <c r="K166" s="23" t="s">
        <v>758</v>
      </c>
      <c r="L166" s="23" t="s">
        <v>759</v>
      </c>
      <c r="M166" s="23" t="s">
        <v>1534</v>
      </c>
      <c r="N166" s="23" t="s">
        <v>764</v>
      </c>
      <c r="T166" s="23" t="s">
        <v>1535</v>
      </c>
    </row>
    <row r="167" spans="1:20" x14ac:dyDescent="0.2">
      <c r="A167" s="23" t="s">
        <v>92</v>
      </c>
      <c r="C167" s="23" t="s">
        <v>760</v>
      </c>
      <c r="D167" s="23" t="s">
        <v>761</v>
      </c>
      <c r="E167" s="23" t="s">
        <v>762</v>
      </c>
      <c r="G167" s="23" t="s">
        <v>763</v>
      </c>
      <c r="K167" s="23" t="s">
        <v>1536</v>
      </c>
      <c r="L167" s="23" t="s">
        <v>1537</v>
      </c>
      <c r="M167" s="23" t="s">
        <v>1538</v>
      </c>
      <c r="N167" s="23" t="s">
        <v>1539</v>
      </c>
    </row>
    <row r="168" spans="1:20" x14ac:dyDescent="0.2">
      <c r="A168" s="23" t="s">
        <v>92</v>
      </c>
      <c r="C168" s="23" t="s">
        <v>765</v>
      </c>
      <c r="D168" s="23" t="s">
        <v>766</v>
      </c>
      <c r="E168" s="23" t="s">
        <v>767</v>
      </c>
      <c r="G168" s="23" t="s">
        <v>768</v>
      </c>
      <c r="K168" s="23" t="s">
        <v>769</v>
      </c>
      <c r="L168" s="23" t="s">
        <v>770</v>
      </c>
      <c r="O168" s="23" t="s">
        <v>11603</v>
      </c>
      <c r="P168" s="23" t="s">
        <v>771</v>
      </c>
      <c r="Q168" s="23" t="s">
        <v>772</v>
      </c>
      <c r="R168" s="23" t="s">
        <v>773</v>
      </c>
      <c r="S168" s="23" t="s">
        <v>774</v>
      </c>
      <c r="T168" s="23" t="s">
        <v>775</v>
      </c>
    </row>
    <row r="169" spans="1:20" x14ac:dyDescent="0.2">
      <c r="A169" s="23" t="s">
        <v>92</v>
      </c>
      <c r="C169" s="23" t="s">
        <v>1540</v>
      </c>
      <c r="D169" s="23" t="s">
        <v>1541</v>
      </c>
      <c r="E169" s="23" t="s">
        <v>1542</v>
      </c>
      <c r="G169" s="23" t="s">
        <v>1543</v>
      </c>
      <c r="K169" s="23" t="s">
        <v>1544</v>
      </c>
      <c r="L169" s="23" t="s">
        <v>1545</v>
      </c>
      <c r="O169" s="23" t="s">
        <v>11604</v>
      </c>
      <c r="P169" s="23" t="s">
        <v>12845</v>
      </c>
      <c r="Q169" s="23" t="s">
        <v>12851</v>
      </c>
      <c r="R169" s="23" t="s">
        <v>12857</v>
      </c>
      <c r="S169" s="23" t="s">
        <v>12863</v>
      </c>
      <c r="T169" s="23" t="s">
        <v>12869</v>
      </c>
    </row>
    <row r="170" spans="1:20" x14ac:dyDescent="0.2">
      <c r="A170" s="23" t="s">
        <v>92</v>
      </c>
      <c r="C170" s="23" t="s">
        <v>776</v>
      </c>
      <c r="D170" s="23" t="s">
        <v>777</v>
      </c>
      <c r="E170" s="23" t="s">
        <v>778</v>
      </c>
      <c r="G170" s="23" t="s">
        <v>779</v>
      </c>
      <c r="K170" s="23" t="s">
        <v>780</v>
      </c>
      <c r="L170" s="23" t="s">
        <v>781</v>
      </c>
      <c r="O170" s="23" t="s">
        <v>11605</v>
      </c>
      <c r="P170" s="23" t="s">
        <v>12846</v>
      </c>
      <c r="Q170" s="23" t="s">
        <v>12852</v>
      </c>
      <c r="R170" s="23" t="s">
        <v>12858</v>
      </c>
      <c r="S170" s="23" t="s">
        <v>12864</v>
      </c>
      <c r="T170" s="23" t="s">
        <v>12870</v>
      </c>
    </row>
    <row r="171" spans="1:20" x14ac:dyDescent="0.2">
      <c r="A171" s="23" t="s">
        <v>92</v>
      </c>
      <c r="C171" s="23" t="s">
        <v>783</v>
      </c>
      <c r="D171" s="23" t="s">
        <v>784</v>
      </c>
      <c r="E171" s="23" t="s">
        <v>785</v>
      </c>
      <c r="G171" s="23" t="s">
        <v>786</v>
      </c>
      <c r="K171" s="23" t="s">
        <v>782</v>
      </c>
      <c r="L171" s="23" t="s">
        <v>1546</v>
      </c>
      <c r="O171" s="23" t="s">
        <v>11538</v>
      </c>
      <c r="P171" s="23" t="s">
        <v>12847</v>
      </c>
      <c r="Q171" s="23" t="s">
        <v>12853</v>
      </c>
      <c r="R171" s="23" t="s">
        <v>12859</v>
      </c>
      <c r="S171" s="23" t="s">
        <v>12865</v>
      </c>
      <c r="T171" s="23" t="s">
        <v>12871</v>
      </c>
    </row>
    <row r="172" spans="1:20" x14ac:dyDescent="0.2">
      <c r="A172" s="23" t="s">
        <v>92</v>
      </c>
      <c r="C172" s="23" t="s">
        <v>788</v>
      </c>
      <c r="D172" s="23" t="s">
        <v>789</v>
      </c>
      <c r="E172" s="23" t="s">
        <v>790</v>
      </c>
      <c r="G172" s="23" t="s">
        <v>791</v>
      </c>
      <c r="K172" s="23" t="s">
        <v>792</v>
      </c>
      <c r="L172" s="23" t="s">
        <v>793</v>
      </c>
      <c r="O172" s="23" t="s">
        <v>11539</v>
      </c>
      <c r="P172" s="23" t="s">
        <v>12848</v>
      </c>
      <c r="Q172" s="23" t="s">
        <v>12854</v>
      </c>
      <c r="R172" s="23" t="s">
        <v>12860</v>
      </c>
      <c r="S172" s="23" t="s">
        <v>12866</v>
      </c>
      <c r="T172" s="23" t="s">
        <v>12872</v>
      </c>
    </row>
    <row r="173" spans="1:20" x14ac:dyDescent="0.2">
      <c r="A173" s="23" t="s">
        <v>92</v>
      </c>
      <c r="C173" s="23" t="s">
        <v>794</v>
      </c>
      <c r="D173" s="23" t="s">
        <v>795</v>
      </c>
      <c r="E173" s="23" t="s">
        <v>796</v>
      </c>
      <c r="G173" s="23" t="s">
        <v>797</v>
      </c>
      <c r="K173" s="23" t="s">
        <v>798</v>
      </c>
      <c r="L173" s="23" t="s">
        <v>799</v>
      </c>
      <c r="O173" s="23" t="s">
        <v>11540</v>
      </c>
      <c r="P173" s="23" t="s">
        <v>12849</v>
      </c>
      <c r="Q173" s="23" t="s">
        <v>12855</v>
      </c>
      <c r="R173" s="23" t="s">
        <v>12861</v>
      </c>
      <c r="S173" s="23" t="s">
        <v>12867</v>
      </c>
      <c r="T173" s="23" t="s">
        <v>12873</v>
      </c>
    </row>
    <row r="174" spans="1:20" x14ac:dyDescent="0.2">
      <c r="A174" s="23" t="s">
        <v>92</v>
      </c>
      <c r="C174" s="23" t="s">
        <v>800</v>
      </c>
      <c r="D174" s="23" t="s">
        <v>801</v>
      </c>
      <c r="E174" s="23" t="s">
        <v>802</v>
      </c>
      <c r="G174" s="23" t="s">
        <v>803</v>
      </c>
      <c r="K174" s="23" t="s">
        <v>804</v>
      </c>
      <c r="L174" s="23" t="s">
        <v>805</v>
      </c>
      <c r="O174" s="23" t="s">
        <v>11606</v>
      </c>
      <c r="P174" s="23" t="s">
        <v>12850</v>
      </c>
      <c r="Q174" s="23" t="s">
        <v>12856</v>
      </c>
      <c r="R174" s="23" t="s">
        <v>12862</v>
      </c>
      <c r="S174" s="23" t="s">
        <v>12868</v>
      </c>
      <c r="T174" s="23" t="s">
        <v>12874</v>
      </c>
    </row>
    <row r="175" spans="1:20" x14ac:dyDescent="0.2">
      <c r="A175" s="23" t="s">
        <v>92</v>
      </c>
      <c r="C175" s="23" t="s">
        <v>1540</v>
      </c>
      <c r="D175" s="23" t="s">
        <v>1541</v>
      </c>
      <c r="E175" s="23" t="s">
        <v>1542</v>
      </c>
      <c r="G175" s="23" t="s">
        <v>1543</v>
      </c>
      <c r="K175" s="23" t="s">
        <v>1544</v>
      </c>
      <c r="L175" s="23" t="s">
        <v>1545</v>
      </c>
    </row>
    <row r="176" spans="1:20" x14ac:dyDescent="0.2">
      <c r="A176" s="23" t="s">
        <v>92</v>
      </c>
      <c r="C176" s="23" t="s">
        <v>806</v>
      </c>
      <c r="D176" s="23" t="s">
        <v>807</v>
      </c>
      <c r="E176" s="23" t="s">
        <v>808</v>
      </c>
      <c r="G176" s="23" t="s">
        <v>809</v>
      </c>
      <c r="K176" s="23" t="s">
        <v>810</v>
      </c>
      <c r="L176" s="23" t="s">
        <v>811</v>
      </c>
      <c r="M176" s="23" t="s">
        <v>1547</v>
      </c>
      <c r="N176" s="23" t="s">
        <v>816</v>
      </c>
      <c r="T176" s="23" t="s">
        <v>1548</v>
      </c>
    </row>
    <row r="177" spans="1:20" x14ac:dyDescent="0.2">
      <c r="A177" s="23" t="s">
        <v>92</v>
      </c>
      <c r="C177" s="23" t="s">
        <v>812</v>
      </c>
      <c r="D177" s="23" t="s">
        <v>813</v>
      </c>
      <c r="E177" s="23" t="s">
        <v>814</v>
      </c>
      <c r="G177" s="23" t="s">
        <v>815</v>
      </c>
      <c r="K177" s="23" t="s">
        <v>1549</v>
      </c>
      <c r="L177" s="23" t="s">
        <v>1550</v>
      </c>
      <c r="M177" s="23" t="s">
        <v>1551</v>
      </c>
      <c r="N177" s="23" t="s">
        <v>1552</v>
      </c>
    </row>
    <row r="178" spans="1:20" x14ac:dyDescent="0.2">
      <c r="A178" s="23" t="s">
        <v>92</v>
      </c>
      <c r="C178" s="23" t="s">
        <v>1553</v>
      </c>
      <c r="D178" s="23" t="s">
        <v>1554</v>
      </c>
      <c r="E178" s="23" t="s">
        <v>1555</v>
      </c>
      <c r="G178" s="23" t="s">
        <v>1556</v>
      </c>
      <c r="K178" s="23" t="s">
        <v>1557</v>
      </c>
      <c r="L178" s="23" t="s">
        <v>1558</v>
      </c>
      <c r="O178" s="23" t="s">
        <v>11607</v>
      </c>
      <c r="P178" s="23" t="s">
        <v>1559</v>
      </c>
      <c r="Q178" s="23" t="s">
        <v>1560</v>
      </c>
      <c r="R178" s="23" t="s">
        <v>1561</v>
      </c>
      <c r="S178" s="23" t="s">
        <v>1562</v>
      </c>
      <c r="T178" s="23" t="s">
        <v>1563</v>
      </c>
    </row>
    <row r="179" spans="1:20" x14ac:dyDescent="0.2">
      <c r="A179" s="23" t="s">
        <v>92</v>
      </c>
      <c r="C179" s="23" t="s">
        <v>817</v>
      </c>
      <c r="D179" s="23" t="s">
        <v>818</v>
      </c>
      <c r="E179" s="23" t="s">
        <v>819</v>
      </c>
      <c r="G179" s="23" t="s">
        <v>820</v>
      </c>
      <c r="K179" s="23" t="s">
        <v>821</v>
      </c>
      <c r="L179" s="23" t="s">
        <v>822</v>
      </c>
      <c r="O179" s="23" t="s">
        <v>11608</v>
      </c>
      <c r="P179" s="23" t="s">
        <v>12815</v>
      </c>
      <c r="Q179" s="23" t="s">
        <v>12821</v>
      </c>
      <c r="R179" s="23" t="s">
        <v>12827</v>
      </c>
      <c r="S179" s="23" t="s">
        <v>12833</v>
      </c>
      <c r="T179" s="23" t="s">
        <v>12839</v>
      </c>
    </row>
    <row r="180" spans="1:20" x14ac:dyDescent="0.2">
      <c r="A180" s="23" t="s">
        <v>92</v>
      </c>
      <c r="C180" s="23" t="s">
        <v>824</v>
      </c>
      <c r="D180" s="23" t="s">
        <v>825</v>
      </c>
      <c r="E180" s="23" t="s">
        <v>826</v>
      </c>
      <c r="G180" s="23" t="s">
        <v>827</v>
      </c>
      <c r="K180" s="23" t="s">
        <v>823</v>
      </c>
      <c r="L180" s="23" t="s">
        <v>1564</v>
      </c>
      <c r="O180" s="23" t="s">
        <v>11609</v>
      </c>
      <c r="P180" s="23" t="s">
        <v>12816</v>
      </c>
      <c r="Q180" s="23" t="s">
        <v>12822</v>
      </c>
      <c r="R180" s="23" t="s">
        <v>12828</v>
      </c>
      <c r="S180" s="23" t="s">
        <v>12834</v>
      </c>
      <c r="T180" s="23" t="s">
        <v>12840</v>
      </c>
    </row>
    <row r="181" spans="1:20" x14ac:dyDescent="0.2">
      <c r="A181" s="23" t="s">
        <v>92</v>
      </c>
      <c r="C181" s="23" t="s">
        <v>829</v>
      </c>
      <c r="D181" s="23" t="s">
        <v>830</v>
      </c>
      <c r="E181" s="23" t="s">
        <v>831</v>
      </c>
      <c r="G181" s="23" t="s">
        <v>832</v>
      </c>
      <c r="K181" s="23" t="s">
        <v>833</v>
      </c>
      <c r="L181" s="23" t="s">
        <v>834</v>
      </c>
      <c r="O181" s="23" t="s">
        <v>11546</v>
      </c>
      <c r="P181" s="23" t="s">
        <v>12817</v>
      </c>
      <c r="Q181" s="23" t="s">
        <v>12823</v>
      </c>
      <c r="R181" s="23" t="s">
        <v>12829</v>
      </c>
      <c r="S181" s="23" t="s">
        <v>12835</v>
      </c>
      <c r="T181" s="23" t="s">
        <v>12841</v>
      </c>
    </row>
    <row r="182" spans="1:20" x14ac:dyDescent="0.2">
      <c r="A182" s="23" t="s">
        <v>92</v>
      </c>
      <c r="C182" s="23" t="s">
        <v>835</v>
      </c>
      <c r="D182" s="23" t="s">
        <v>836</v>
      </c>
      <c r="E182" s="23" t="s">
        <v>837</v>
      </c>
      <c r="G182" s="23" t="s">
        <v>838</v>
      </c>
      <c r="K182" s="23" t="s">
        <v>839</v>
      </c>
      <c r="L182" s="23" t="s">
        <v>840</v>
      </c>
      <c r="O182" s="23" t="s">
        <v>11547</v>
      </c>
      <c r="P182" s="23" t="s">
        <v>12818</v>
      </c>
      <c r="Q182" s="23" t="s">
        <v>12824</v>
      </c>
      <c r="R182" s="23" t="s">
        <v>12830</v>
      </c>
      <c r="S182" s="23" t="s">
        <v>12836</v>
      </c>
      <c r="T182" s="23" t="s">
        <v>12842</v>
      </c>
    </row>
    <row r="183" spans="1:20" x14ac:dyDescent="0.2">
      <c r="A183" s="23" t="s">
        <v>92</v>
      </c>
      <c r="C183" s="23" t="s">
        <v>841</v>
      </c>
      <c r="D183" s="23" t="s">
        <v>842</v>
      </c>
      <c r="E183" s="23" t="s">
        <v>843</v>
      </c>
      <c r="G183" s="23" t="s">
        <v>844</v>
      </c>
      <c r="K183" s="23" t="s">
        <v>845</v>
      </c>
      <c r="L183" s="23" t="s">
        <v>846</v>
      </c>
      <c r="O183" s="23" t="s">
        <v>11548</v>
      </c>
      <c r="P183" s="23" t="s">
        <v>12819</v>
      </c>
      <c r="Q183" s="23" t="s">
        <v>12825</v>
      </c>
      <c r="R183" s="23" t="s">
        <v>12831</v>
      </c>
      <c r="S183" s="23" t="s">
        <v>12837</v>
      </c>
      <c r="T183" s="23" t="s">
        <v>12843</v>
      </c>
    </row>
    <row r="184" spans="1:20" x14ac:dyDescent="0.2">
      <c r="A184" s="23" t="s">
        <v>92</v>
      </c>
      <c r="C184" s="23" t="s">
        <v>847</v>
      </c>
      <c r="D184" s="23" t="s">
        <v>848</v>
      </c>
      <c r="E184" s="23" t="s">
        <v>849</v>
      </c>
      <c r="G184" s="23" t="s">
        <v>850</v>
      </c>
      <c r="K184" s="23" t="s">
        <v>851</v>
      </c>
      <c r="L184" s="23" t="s">
        <v>852</v>
      </c>
      <c r="O184" s="23" t="s">
        <v>11610</v>
      </c>
      <c r="P184" s="23" t="s">
        <v>12820</v>
      </c>
      <c r="Q184" s="23" t="s">
        <v>12826</v>
      </c>
      <c r="R184" s="23" t="s">
        <v>12832</v>
      </c>
      <c r="S184" s="23" t="s">
        <v>12838</v>
      </c>
      <c r="T184" s="23" t="s">
        <v>12844</v>
      </c>
    </row>
    <row r="185" spans="1:20" x14ac:dyDescent="0.2">
      <c r="A185" s="23" t="s">
        <v>92</v>
      </c>
      <c r="C185" s="23" t="s">
        <v>817</v>
      </c>
      <c r="D185" s="23" t="s">
        <v>818</v>
      </c>
      <c r="E185" s="23" t="s">
        <v>819</v>
      </c>
      <c r="G185" s="23" t="s">
        <v>820</v>
      </c>
      <c r="K185" s="23" t="s">
        <v>821</v>
      </c>
      <c r="L185" s="23" t="s">
        <v>822</v>
      </c>
    </row>
    <row r="186" spans="1:20" x14ac:dyDescent="0.2">
      <c r="A186" s="23" t="s">
        <v>92</v>
      </c>
      <c r="C186" s="23" t="s">
        <v>853</v>
      </c>
      <c r="D186" s="23" t="s">
        <v>854</v>
      </c>
      <c r="E186" s="23" t="s">
        <v>855</v>
      </c>
      <c r="G186" s="23" t="s">
        <v>856</v>
      </c>
      <c r="K186" s="23" t="s">
        <v>857</v>
      </c>
      <c r="L186" s="23" t="s">
        <v>858</v>
      </c>
      <c r="M186" s="23" t="s">
        <v>1565</v>
      </c>
      <c r="N186" s="23" t="s">
        <v>863</v>
      </c>
      <c r="T186" s="23" t="s">
        <v>1566</v>
      </c>
    </row>
    <row r="187" spans="1:20" x14ac:dyDescent="0.2">
      <c r="A187" s="23" t="s">
        <v>92</v>
      </c>
      <c r="C187" s="23" t="s">
        <v>859</v>
      </c>
      <c r="D187" s="23" t="s">
        <v>860</v>
      </c>
      <c r="E187" s="23" t="s">
        <v>861</v>
      </c>
      <c r="G187" s="23" t="s">
        <v>862</v>
      </c>
      <c r="K187" s="23" t="s">
        <v>1567</v>
      </c>
      <c r="L187" s="23" t="s">
        <v>1568</v>
      </c>
      <c r="M187" s="23" t="s">
        <v>1569</v>
      </c>
      <c r="N187" s="23" t="s">
        <v>1570</v>
      </c>
    </row>
    <row r="188" spans="1:20" x14ac:dyDescent="0.2">
      <c r="A188" s="23" t="s">
        <v>92</v>
      </c>
      <c r="C188" s="23" t="s">
        <v>1571</v>
      </c>
      <c r="D188" s="23" t="s">
        <v>1572</v>
      </c>
      <c r="E188" s="23" t="s">
        <v>1573</v>
      </c>
      <c r="G188" s="23" t="s">
        <v>1574</v>
      </c>
      <c r="K188" s="23" t="s">
        <v>1575</v>
      </c>
      <c r="L188" s="23" t="s">
        <v>1576</v>
      </c>
      <c r="O188" s="23" t="s">
        <v>11611</v>
      </c>
      <c r="P188" s="23" t="s">
        <v>1577</v>
      </c>
      <c r="Q188" s="23" t="s">
        <v>1578</v>
      </c>
      <c r="R188" s="23" t="s">
        <v>1579</v>
      </c>
      <c r="S188" s="23" t="s">
        <v>1580</v>
      </c>
      <c r="T188" s="23" t="s">
        <v>1581</v>
      </c>
    </row>
    <row r="189" spans="1:20" x14ac:dyDescent="0.2">
      <c r="A189" s="23" t="s">
        <v>92</v>
      </c>
      <c r="C189" s="23" t="s">
        <v>864</v>
      </c>
      <c r="D189" s="23" t="s">
        <v>865</v>
      </c>
      <c r="E189" s="23" t="s">
        <v>866</v>
      </c>
      <c r="G189" s="23" t="s">
        <v>867</v>
      </c>
      <c r="K189" s="23" t="s">
        <v>868</v>
      </c>
      <c r="L189" s="23" t="s">
        <v>869</v>
      </c>
      <c r="O189" s="23" t="s">
        <v>11612</v>
      </c>
      <c r="P189" s="23" t="s">
        <v>12785</v>
      </c>
      <c r="Q189" s="23" t="s">
        <v>12791</v>
      </c>
      <c r="R189" s="23" t="s">
        <v>12797</v>
      </c>
      <c r="S189" s="23" t="s">
        <v>12803</v>
      </c>
      <c r="T189" s="23" t="s">
        <v>12809</v>
      </c>
    </row>
    <row r="190" spans="1:20" x14ac:dyDescent="0.2">
      <c r="A190" s="23" t="s">
        <v>92</v>
      </c>
      <c r="C190" s="23" t="s">
        <v>871</v>
      </c>
      <c r="D190" s="23" t="s">
        <v>872</v>
      </c>
      <c r="E190" s="23" t="s">
        <v>873</v>
      </c>
      <c r="G190" s="23" t="s">
        <v>874</v>
      </c>
      <c r="K190" s="23" t="s">
        <v>870</v>
      </c>
      <c r="L190" s="23" t="s">
        <v>1582</v>
      </c>
      <c r="O190" s="23" t="s">
        <v>11613</v>
      </c>
      <c r="P190" s="23" t="s">
        <v>12786</v>
      </c>
      <c r="Q190" s="23" t="s">
        <v>12792</v>
      </c>
      <c r="R190" s="23" t="s">
        <v>12798</v>
      </c>
      <c r="S190" s="23" t="s">
        <v>12804</v>
      </c>
      <c r="T190" s="23" t="s">
        <v>12810</v>
      </c>
    </row>
    <row r="191" spans="1:20" x14ac:dyDescent="0.2">
      <c r="A191" s="23" t="s">
        <v>92</v>
      </c>
      <c r="C191" s="23" t="s">
        <v>876</v>
      </c>
      <c r="D191" s="23" t="s">
        <v>877</v>
      </c>
      <c r="E191" s="23" t="s">
        <v>878</v>
      </c>
      <c r="G191" s="23" t="s">
        <v>879</v>
      </c>
      <c r="K191" s="23" t="s">
        <v>880</v>
      </c>
      <c r="L191" s="23" t="s">
        <v>881</v>
      </c>
      <c r="O191" s="23" t="s">
        <v>11554</v>
      </c>
      <c r="P191" s="23" t="s">
        <v>12787</v>
      </c>
      <c r="Q191" s="23" t="s">
        <v>12793</v>
      </c>
      <c r="R191" s="23" t="s">
        <v>12799</v>
      </c>
      <c r="S191" s="23" t="s">
        <v>12805</v>
      </c>
      <c r="T191" s="23" t="s">
        <v>12811</v>
      </c>
    </row>
    <row r="192" spans="1:20" x14ac:dyDescent="0.2">
      <c r="A192" s="23" t="s">
        <v>92</v>
      </c>
      <c r="C192" s="23" t="s">
        <v>882</v>
      </c>
      <c r="D192" s="23" t="s">
        <v>883</v>
      </c>
      <c r="E192" s="23" t="s">
        <v>884</v>
      </c>
      <c r="G192" s="23" t="s">
        <v>885</v>
      </c>
      <c r="K192" s="23" t="s">
        <v>886</v>
      </c>
      <c r="L192" s="23" t="s">
        <v>887</v>
      </c>
      <c r="O192" s="23" t="s">
        <v>11555</v>
      </c>
      <c r="P192" s="23" t="s">
        <v>12788</v>
      </c>
      <c r="Q192" s="23" t="s">
        <v>12794</v>
      </c>
      <c r="R192" s="23" t="s">
        <v>12800</v>
      </c>
      <c r="S192" s="23" t="s">
        <v>12806</v>
      </c>
      <c r="T192" s="23" t="s">
        <v>12812</v>
      </c>
    </row>
    <row r="193" spans="1:20" x14ac:dyDescent="0.2">
      <c r="A193" s="23" t="s">
        <v>92</v>
      </c>
      <c r="C193" s="23" t="s">
        <v>888</v>
      </c>
      <c r="D193" s="23" t="s">
        <v>889</v>
      </c>
      <c r="E193" s="23" t="s">
        <v>890</v>
      </c>
      <c r="G193" s="23" t="s">
        <v>891</v>
      </c>
      <c r="K193" s="23" t="s">
        <v>892</v>
      </c>
      <c r="L193" s="23" t="s">
        <v>893</v>
      </c>
      <c r="O193" s="23" t="s">
        <v>11556</v>
      </c>
      <c r="P193" s="23" t="s">
        <v>12789</v>
      </c>
      <c r="Q193" s="23" t="s">
        <v>12795</v>
      </c>
      <c r="R193" s="23" t="s">
        <v>12801</v>
      </c>
      <c r="S193" s="23" t="s">
        <v>12807</v>
      </c>
      <c r="T193" s="23" t="s">
        <v>12813</v>
      </c>
    </row>
    <row r="194" spans="1:20" x14ac:dyDescent="0.2">
      <c r="A194" s="23" t="s">
        <v>92</v>
      </c>
      <c r="C194" s="23" t="s">
        <v>894</v>
      </c>
      <c r="D194" s="23" t="s">
        <v>895</v>
      </c>
      <c r="E194" s="23" t="s">
        <v>896</v>
      </c>
      <c r="G194" s="23" t="s">
        <v>897</v>
      </c>
      <c r="K194" s="23" t="s">
        <v>898</v>
      </c>
      <c r="L194" s="23" t="s">
        <v>899</v>
      </c>
      <c r="O194" s="23" t="s">
        <v>11614</v>
      </c>
      <c r="P194" s="23" t="s">
        <v>12790</v>
      </c>
      <c r="Q194" s="23" t="s">
        <v>12796</v>
      </c>
      <c r="R194" s="23" t="s">
        <v>12802</v>
      </c>
      <c r="S194" s="23" t="s">
        <v>12808</v>
      </c>
      <c r="T194" s="23" t="s">
        <v>12814</v>
      </c>
    </row>
    <row r="195" spans="1:20" x14ac:dyDescent="0.2">
      <c r="A195" s="23" t="s">
        <v>92</v>
      </c>
      <c r="C195" s="23" t="s">
        <v>864</v>
      </c>
      <c r="D195" s="23" t="s">
        <v>865</v>
      </c>
      <c r="E195" s="23" t="s">
        <v>866</v>
      </c>
      <c r="G195" s="23" t="s">
        <v>867</v>
      </c>
      <c r="K195" s="23" t="s">
        <v>868</v>
      </c>
      <c r="L195" s="23" t="s">
        <v>869</v>
      </c>
    </row>
    <row r="196" spans="1:20" x14ac:dyDescent="0.2">
      <c r="A196" s="23" t="s">
        <v>92</v>
      </c>
      <c r="C196" s="23" t="s">
        <v>900</v>
      </c>
      <c r="D196" s="23" t="s">
        <v>901</v>
      </c>
      <c r="E196" s="23" t="s">
        <v>902</v>
      </c>
      <c r="G196" s="23" t="s">
        <v>903</v>
      </c>
      <c r="K196" s="23" t="s">
        <v>904</v>
      </c>
      <c r="L196" s="23" t="s">
        <v>905</v>
      </c>
      <c r="M196" s="23" t="s">
        <v>1583</v>
      </c>
      <c r="N196" s="23" t="s">
        <v>906</v>
      </c>
      <c r="T196" s="23" t="s">
        <v>1584</v>
      </c>
    </row>
    <row r="197" spans="1:20" x14ac:dyDescent="0.2">
      <c r="A197" s="23" t="s">
        <v>92</v>
      </c>
      <c r="C197" s="23" t="s">
        <v>1484</v>
      </c>
      <c r="D197" s="23" t="s">
        <v>1485</v>
      </c>
      <c r="E197" s="23" t="s">
        <v>1486</v>
      </c>
      <c r="G197" s="23" t="s">
        <v>1487</v>
      </c>
    </row>
    <row r="198" spans="1:20" x14ac:dyDescent="0.2">
      <c r="A198" s="23" t="s">
        <v>92</v>
      </c>
      <c r="C198" s="23" t="s">
        <v>1585</v>
      </c>
      <c r="D198" s="23" t="s">
        <v>1586</v>
      </c>
      <c r="E198" s="23" t="s">
        <v>1587</v>
      </c>
      <c r="G198" s="23" t="s">
        <v>1588</v>
      </c>
      <c r="H198" s="23" t="s">
        <v>1589</v>
      </c>
      <c r="I198" s="23" t="s">
        <v>907</v>
      </c>
      <c r="J198" s="23" t="s">
        <v>908</v>
      </c>
      <c r="T198" s="23" t="s">
        <v>1590</v>
      </c>
    </row>
    <row r="199" spans="1:20" x14ac:dyDescent="0.2">
      <c r="A199" s="23" t="s">
        <v>92</v>
      </c>
      <c r="C199" s="23" t="s">
        <v>1591</v>
      </c>
      <c r="D199" s="23" t="s">
        <v>1592</v>
      </c>
      <c r="E199" s="23" t="s">
        <v>909</v>
      </c>
      <c r="G199" s="23" t="s">
        <v>1593</v>
      </c>
      <c r="H199" s="23" t="s">
        <v>1594</v>
      </c>
      <c r="I199" s="23" t="s">
        <v>1595</v>
      </c>
      <c r="J199" s="23" t="s">
        <v>1596</v>
      </c>
    </row>
    <row r="200" spans="1:20" x14ac:dyDescent="0.2">
      <c r="A200" s="23" t="s">
        <v>92</v>
      </c>
      <c r="C200" s="23" t="s">
        <v>910</v>
      </c>
      <c r="D200" s="23" t="s">
        <v>911</v>
      </c>
      <c r="E200" s="23" t="s">
        <v>912</v>
      </c>
      <c r="G200" s="23" t="s">
        <v>913</v>
      </c>
      <c r="K200" s="23" t="s">
        <v>914</v>
      </c>
      <c r="L200" s="23" t="s">
        <v>915</v>
      </c>
      <c r="M200" s="23" t="s">
        <v>11615</v>
      </c>
      <c r="N200" s="23" t="s">
        <v>917</v>
      </c>
    </row>
    <row r="201" spans="1:20" x14ac:dyDescent="0.2">
      <c r="A201" s="23" t="s">
        <v>92</v>
      </c>
      <c r="C201" s="23" t="s">
        <v>918</v>
      </c>
      <c r="D201" s="23" t="s">
        <v>919</v>
      </c>
      <c r="E201" s="23" t="s">
        <v>920</v>
      </c>
      <c r="G201" s="23" t="s">
        <v>921</v>
      </c>
      <c r="K201" s="23" t="s">
        <v>922</v>
      </c>
      <c r="L201" s="23" t="s">
        <v>923</v>
      </c>
      <c r="O201" s="23" t="s">
        <v>11616</v>
      </c>
      <c r="P201" s="23" t="s">
        <v>924</v>
      </c>
      <c r="Q201" s="23" t="s">
        <v>925</v>
      </c>
      <c r="R201" s="23" t="s">
        <v>926</v>
      </c>
      <c r="S201" s="23" t="s">
        <v>927</v>
      </c>
      <c r="T201" s="23" t="s">
        <v>928</v>
      </c>
    </row>
    <row r="202" spans="1:20" x14ac:dyDescent="0.2">
      <c r="A202" s="23" t="s">
        <v>92</v>
      </c>
      <c r="C202" s="23" t="s">
        <v>929</v>
      </c>
      <c r="D202" s="23" t="s">
        <v>930</v>
      </c>
      <c r="E202" s="23" t="s">
        <v>931</v>
      </c>
      <c r="G202" s="23" t="s">
        <v>932</v>
      </c>
      <c r="K202" s="23" t="s">
        <v>933</v>
      </c>
      <c r="L202" s="23" t="s">
        <v>934</v>
      </c>
      <c r="O202" s="23" t="s">
        <v>11617</v>
      </c>
      <c r="P202" s="23" t="s">
        <v>12600</v>
      </c>
      <c r="Q202" s="23" t="s">
        <v>12605</v>
      </c>
      <c r="R202" s="23" t="s">
        <v>12610</v>
      </c>
      <c r="S202" s="23" t="s">
        <v>12615</v>
      </c>
      <c r="T202" s="23" t="s">
        <v>12620</v>
      </c>
    </row>
    <row r="203" spans="1:20" x14ac:dyDescent="0.2">
      <c r="A203" s="23" t="s">
        <v>92</v>
      </c>
      <c r="C203" s="23" t="s">
        <v>935</v>
      </c>
      <c r="D203" s="23" t="s">
        <v>936</v>
      </c>
      <c r="E203" s="23" t="s">
        <v>937</v>
      </c>
      <c r="G203" s="23" t="s">
        <v>938</v>
      </c>
      <c r="K203" s="23" t="s">
        <v>939</v>
      </c>
      <c r="L203" s="23" t="s">
        <v>940</v>
      </c>
      <c r="O203" s="23" t="s">
        <v>11618</v>
      </c>
      <c r="P203" s="23" t="s">
        <v>12601</v>
      </c>
      <c r="Q203" s="23" t="s">
        <v>12606</v>
      </c>
      <c r="R203" s="23" t="s">
        <v>12611</v>
      </c>
      <c r="S203" s="23" t="s">
        <v>12616</v>
      </c>
      <c r="T203" s="23" t="s">
        <v>12621</v>
      </c>
    </row>
    <row r="204" spans="1:20" x14ac:dyDescent="0.2">
      <c r="A204" s="23" t="s">
        <v>92</v>
      </c>
      <c r="C204" s="23" t="s">
        <v>941</v>
      </c>
      <c r="D204" s="23" t="s">
        <v>942</v>
      </c>
      <c r="E204" s="23" t="s">
        <v>943</v>
      </c>
      <c r="G204" s="23" t="s">
        <v>944</v>
      </c>
      <c r="K204" s="23" t="s">
        <v>945</v>
      </c>
      <c r="L204" s="23" t="s">
        <v>946</v>
      </c>
      <c r="O204" s="23" t="s">
        <v>11517</v>
      </c>
      <c r="P204" s="23" t="s">
        <v>12602</v>
      </c>
      <c r="Q204" s="23" t="s">
        <v>12607</v>
      </c>
      <c r="R204" s="23" t="s">
        <v>12612</v>
      </c>
      <c r="S204" s="23" t="s">
        <v>12617</v>
      </c>
      <c r="T204" s="23" t="s">
        <v>12622</v>
      </c>
    </row>
    <row r="205" spans="1:20" x14ac:dyDescent="0.2">
      <c r="A205" s="23" t="s">
        <v>92</v>
      </c>
      <c r="C205" s="23" t="s">
        <v>947</v>
      </c>
      <c r="D205" s="23" t="s">
        <v>948</v>
      </c>
      <c r="E205" s="23" t="s">
        <v>949</v>
      </c>
      <c r="G205" s="23" t="s">
        <v>950</v>
      </c>
      <c r="K205" s="23" t="s">
        <v>951</v>
      </c>
      <c r="L205" s="23" t="s">
        <v>952</v>
      </c>
      <c r="O205" s="23" t="s">
        <v>11562</v>
      </c>
      <c r="P205" s="23" t="s">
        <v>12603</v>
      </c>
      <c r="Q205" s="23" t="s">
        <v>12608</v>
      </c>
      <c r="R205" s="23" t="s">
        <v>12613</v>
      </c>
      <c r="S205" s="23" t="s">
        <v>12618</v>
      </c>
      <c r="T205" s="23" t="s">
        <v>12623</v>
      </c>
    </row>
    <row r="206" spans="1:20" x14ac:dyDescent="0.2">
      <c r="A206" s="23" t="s">
        <v>92</v>
      </c>
      <c r="C206" s="23" t="s">
        <v>953</v>
      </c>
      <c r="D206" s="23" t="s">
        <v>954</v>
      </c>
      <c r="E206" s="23" t="s">
        <v>955</v>
      </c>
      <c r="G206" s="23" t="s">
        <v>956</v>
      </c>
      <c r="K206" s="23" t="s">
        <v>957</v>
      </c>
      <c r="L206" s="23" t="s">
        <v>958</v>
      </c>
      <c r="O206" s="23" t="s">
        <v>11619</v>
      </c>
      <c r="P206" s="23" t="s">
        <v>12604</v>
      </c>
      <c r="Q206" s="23" t="s">
        <v>12609</v>
      </c>
      <c r="R206" s="23" t="s">
        <v>12614</v>
      </c>
      <c r="S206" s="23" t="s">
        <v>12619</v>
      </c>
      <c r="T206" s="23" t="s">
        <v>12624</v>
      </c>
    </row>
    <row r="207" spans="1:20" x14ac:dyDescent="0.2">
      <c r="A207" s="23" t="s">
        <v>92</v>
      </c>
      <c r="C207" s="23" t="s">
        <v>929</v>
      </c>
      <c r="D207" s="23" t="s">
        <v>930</v>
      </c>
      <c r="E207" s="23" t="s">
        <v>931</v>
      </c>
      <c r="G207" s="23" t="s">
        <v>932</v>
      </c>
      <c r="K207" s="23" t="s">
        <v>933</v>
      </c>
      <c r="L207" s="23" t="s">
        <v>934</v>
      </c>
    </row>
    <row r="208" spans="1:20" x14ac:dyDescent="0.2">
      <c r="A208" s="23" t="s">
        <v>92</v>
      </c>
      <c r="C208" s="23" t="s">
        <v>959</v>
      </c>
      <c r="D208" s="23" t="s">
        <v>960</v>
      </c>
      <c r="E208" s="23" t="s">
        <v>961</v>
      </c>
      <c r="G208" s="23" t="s">
        <v>962</v>
      </c>
      <c r="K208" s="23" t="s">
        <v>963</v>
      </c>
      <c r="L208" s="23" t="s">
        <v>964</v>
      </c>
      <c r="M208" s="23" t="s">
        <v>965</v>
      </c>
      <c r="N208" s="23" t="s">
        <v>966</v>
      </c>
      <c r="T208" s="23" t="s">
        <v>967</v>
      </c>
    </row>
    <row r="209" spans="1:20" x14ac:dyDescent="0.2">
      <c r="A209" s="23" t="s">
        <v>92</v>
      </c>
      <c r="C209" s="23" t="s">
        <v>1597</v>
      </c>
      <c r="D209" s="23" t="s">
        <v>1598</v>
      </c>
      <c r="E209" s="23" t="s">
        <v>1599</v>
      </c>
      <c r="G209" s="23" t="s">
        <v>1600</v>
      </c>
      <c r="K209" s="23" t="s">
        <v>1601</v>
      </c>
      <c r="L209" s="23" t="s">
        <v>1602</v>
      </c>
      <c r="M209" s="23" t="s">
        <v>1603</v>
      </c>
      <c r="N209" s="23" t="s">
        <v>1604</v>
      </c>
    </row>
    <row r="210" spans="1:20" x14ac:dyDescent="0.2">
      <c r="A210" s="23" t="s">
        <v>92</v>
      </c>
      <c r="C210" s="23" t="s">
        <v>968</v>
      </c>
      <c r="D210" s="23" t="s">
        <v>969</v>
      </c>
      <c r="E210" s="23" t="s">
        <v>970</v>
      </c>
      <c r="G210" s="23" t="s">
        <v>971</v>
      </c>
      <c r="K210" s="23" t="s">
        <v>1605</v>
      </c>
      <c r="L210" s="23" t="s">
        <v>1606</v>
      </c>
      <c r="O210" s="23" t="s">
        <v>11620</v>
      </c>
      <c r="P210" s="23" t="s">
        <v>1607</v>
      </c>
      <c r="Q210" s="23" t="s">
        <v>1608</v>
      </c>
      <c r="R210" s="23" t="s">
        <v>1609</v>
      </c>
      <c r="S210" s="23" t="s">
        <v>1610</v>
      </c>
      <c r="T210" s="23" t="s">
        <v>1611</v>
      </c>
    </row>
    <row r="211" spans="1:20" x14ac:dyDescent="0.2">
      <c r="A211" s="23" t="s">
        <v>92</v>
      </c>
      <c r="C211" s="23" t="s">
        <v>972</v>
      </c>
      <c r="D211" s="23" t="s">
        <v>973</v>
      </c>
      <c r="E211" s="23" t="s">
        <v>974</v>
      </c>
      <c r="G211" s="23" t="s">
        <v>1612</v>
      </c>
      <c r="K211" s="23" t="s">
        <v>1613</v>
      </c>
      <c r="L211" s="23" t="s">
        <v>1614</v>
      </c>
      <c r="O211" s="23" t="s">
        <v>11621</v>
      </c>
      <c r="P211" s="23" t="s">
        <v>12725</v>
      </c>
      <c r="Q211" s="23" t="s">
        <v>12731</v>
      </c>
      <c r="R211" s="23" t="s">
        <v>12737</v>
      </c>
      <c r="S211" s="23" t="s">
        <v>12743</v>
      </c>
      <c r="T211" s="23" t="s">
        <v>12749</v>
      </c>
    </row>
    <row r="212" spans="1:20" x14ac:dyDescent="0.2">
      <c r="A212" s="23" t="s">
        <v>92</v>
      </c>
      <c r="C212" s="23" t="s">
        <v>976</v>
      </c>
      <c r="D212" s="23" t="s">
        <v>977</v>
      </c>
      <c r="E212" s="23" t="s">
        <v>978</v>
      </c>
      <c r="G212" s="23" t="s">
        <v>979</v>
      </c>
      <c r="K212" s="23" t="s">
        <v>1615</v>
      </c>
      <c r="L212" s="23" t="s">
        <v>1616</v>
      </c>
      <c r="O212" s="23" t="s">
        <v>11622</v>
      </c>
      <c r="P212" s="23" t="s">
        <v>12726</v>
      </c>
      <c r="Q212" s="23" t="s">
        <v>12732</v>
      </c>
      <c r="R212" s="23" t="s">
        <v>12738</v>
      </c>
      <c r="S212" s="23" t="s">
        <v>12744</v>
      </c>
      <c r="T212" s="23" t="s">
        <v>12750</v>
      </c>
    </row>
    <row r="213" spans="1:20" x14ac:dyDescent="0.2">
      <c r="A213" s="23" t="s">
        <v>92</v>
      </c>
      <c r="C213" s="23" t="s">
        <v>980</v>
      </c>
      <c r="D213" s="23" t="s">
        <v>981</v>
      </c>
      <c r="E213" s="23" t="s">
        <v>982</v>
      </c>
      <c r="G213" s="23" t="s">
        <v>983</v>
      </c>
      <c r="K213" s="23" t="s">
        <v>984</v>
      </c>
      <c r="L213" s="23" t="s">
        <v>985</v>
      </c>
      <c r="O213" s="23" t="s">
        <v>11623</v>
      </c>
      <c r="P213" s="23" t="s">
        <v>12727</v>
      </c>
      <c r="Q213" s="23" t="s">
        <v>12733</v>
      </c>
      <c r="R213" s="23" t="s">
        <v>12739</v>
      </c>
      <c r="S213" s="23" t="s">
        <v>12745</v>
      </c>
      <c r="T213" s="23" t="s">
        <v>12751</v>
      </c>
    </row>
    <row r="214" spans="1:20" x14ac:dyDescent="0.2">
      <c r="A214" s="23" t="s">
        <v>92</v>
      </c>
      <c r="C214" s="23" t="s">
        <v>986</v>
      </c>
      <c r="D214" s="23" t="s">
        <v>987</v>
      </c>
      <c r="E214" s="23" t="s">
        <v>988</v>
      </c>
      <c r="G214" s="23" t="s">
        <v>989</v>
      </c>
      <c r="K214" s="23" t="s">
        <v>990</v>
      </c>
      <c r="L214" s="23" t="s">
        <v>991</v>
      </c>
      <c r="O214" s="23" t="s">
        <v>11524</v>
      </c>
      <c r="P214" s="23" t="s">
        <v>12728</v>
      </c>
      <c r="Q214" s="23" t="s">
        <v>12734</v>
      </c>
      <c r="R214" s="23" t="s">
        <v>12740</v>
      </c>
      <c r="S214" s="23" t="s">
        <v>12746</v>
      </c>
      <c r="T214" s="23" t="s">
        <v>12752</v>
      </c>
    </row>
    <row r="215" spans="1:20" x14ac:dyDescent="0.2">
      <c r="A215" s="23" t="s">
        <v>92</v>
      </c>
      <c r="C215" s="23" t="s">
        <v>992</v>
      </c>
      <c r="D215" s="23" t="s">
        <v>993</v>
      </c>
      <c r="E215" s="23" t="s">
        <v>994</v>
      </c>
      <c r="G215" s="23" t="s">
        <v>995</v>
      </c>
      <c r="K215" s="23" t="s">
        <v>996</v>
      </c>
      <c r="L215" s="23" t="s">
        <v>997</v>
      </c>
      <c r="O215" s="23" t="s">
        <v>11567</v>
      </c>
      <c r="P215" s="23" t="s">
        <v>12729</v>
      </c>
      <c r="Q215" s="23" t="s">
        <v>12735</v>
      </c>
      <c r="R215" s="23" t="s">
        <v>12741</v>
      </c>
      <c r="S215" s="23" t="s">
        <v>12747</v>
      </c>
      <c r="T215" s="23" t="s">
        <v>12753</v>
      </c>
    </row>
    <row r="216" spans="1:20" x14ac:dyDescent="0.2">
      <c r="A216" s="23" t="s">
        <v>92</v>
      </c>
      <c r="C216" s="23" t="s">
        <v>998</v>
      </c>
      <c r="D216" s="23" t="s">
        <v>999</v>
      </c>
      <c r="E216" s="23" t="s">
        <v>1000</v>
      </c>
      <c r="G216" s="23" t="s">
        <v>1001</v>
      </c>
      <c r="K216" s="23" t="s">
        <v>1002</v>
      </c>
      <c r="L216" s="23" t="s">
        <v>1003</v>
      </c>
      <c r="O216" s="23" t="s">
        <v>11624</v>
      </c>
      <c r="P216" s="23" t="s">
        <v>12730</v>
      </c>
      <c r="Q216" s="23" t="s">
        <v>12736</v>
      </c>
      <c r="R216" s="23" t="s">
        <v>12742</v>
      </c>
      <c r="S216" s="23" t="s">
        <v>12748</v>
      </c>
      <c r="T216" s="23" t="s">
        <v>12754</v>
      </c>
    </row>
    <row r="217" spans="1:20" x14ac:dyDescent="0.2">
      <c r="A217" s="23" t="s">
        <v>92</v>
      </c>
      <c r="C217" s="23" t="s">
        <v>972</v>
      </c>
      <c r="D217" s="23" t="s">
        <v>973</v>
      </c>
      <c r="E217" s="23" t="s">
        <v>974</v>
      </c>
      <c r="G217" s="23" t="s">
        <v>1612</v>
      </c>
      <c r="K217" s="23" t="s">
        <v>1613</v>
      </c>
      <c r="L217" s="23" t="s">
        <v>1614</v>
      </c>
    </row>
    <row r="218" spans="1:20" x14ac:dyDescent="0.2">
      <c r="A218" s="23" t="s">
        <v>92</v>
      </c>
      <c r="C218" s="23" t="s">
        <v>1004</v>
      </c>
      <c r="D218" s="23" t="s">
        <v>1005</v>
      </c>
      <c r="E218" s="23" t="s">
        <v>1006</v>
      </c>
      <c r="G218" s="23" t="s">
        <v>1007</v>
      </c>
      <c r="K218" s="23" t="s">
        <v>1008</v>
      </c>
      <c r="L218" s="23" t="s">
        <v>1009</v>
      </c>
      <c r="M218" s="23" t="s">
        <v>1617</v>
      </c>
      <c r="N218" s="23" t="s">
        <v>1618</v>
      </c>
      <c r="T218" s="23" t="s">
        <v>1619</v>
      </c>
    </row>
    <row r="219" spans="1:20" x14ac:dyDescent="0.2">
      <c r="A219" s="23" t="s">
        <v>92</v>
      </c>
      <c r="C219" s="23" t="s">
        <v>1620</v>
      </c>
      <c r="D219" s="23" t="s">
        <v>1621</v>
      </c>
      <c r="E219" s="23" t="s">
        <v>1622</v>
      </c>
      <c r="G219" s="23" t="s">
        <v>1623</v>
      </c>
      <c r="K219" s="23" t="s">
        <v>1624</v>
      </c>
      <c r="L219" s="23" t="s">
        <v>1625</v>
      </c>
      <c r="M219" s="23" t="s">
        <v>1626</v>
      </c>
      <c r="N219" s="23" t="s">
        <v>1627</v>
      </c>
    </row>
    <row r="220" spans="1:20" x14ac:dyDescent="0.2">
      <c r="A220" s="23" t="s">
        <v>92</v>
      </c>
      <c r="C220" s="23" t="s">
        <v>1010</v>
      </c>
      <c r="D220" s="23" t="s">
        <v>1011</v>
      </c>
      <c r="E220" s="23" t="s">
        <v>1012</v>
      </c>
      <c r="G220" s="23" t="s">
        <v>1013</v>
      </c>
      <c r="K220" s="23" t="s">
        <v>1014</v>
      </c>
      <c r="L220" s="23" t="s">
        <v>1015</v>
      </c>
      <c r="O220" s="23" t="s">
        <v>11625</v>
      </c>
      <c r="P220" s="23" t="s">
        <v>1628</v>
      </c>
      <c r="Q220" s="23" t="s">
        <v>1629</v>
      </c>
      <c r="R220" s="23" t="s">
        <v>1630</v>
      </c>
      <c r="S220" s="23" t="s">
        <v>1631</v>
      </c>
      <c r="T220" s="23" t="s">
        <v>1632</v>
      </c>
    </row>
    <row r="221" spans="1:20" x14ac:dyDescent="0.2">
      <c r="A221" s="23" t="s">
        <v>92</v>
      </c>
      <c r="C221" s="23" t="s">
        <v>1017</v>
      </c>
      <c r="D221" s="23" t="s">
        <v>1018</v>
      </c>
      <c r="E221" s="23" t="s">
        <v>1019</v>
      </c>
      <c r="G221" s="23" t="s">
        <v>1020</v>
      </c>
      <c r="K221" s="23" t="s">
        <v>1016</v>
      </c>
      <c r="L221" s="23" t="s">
        <v>1633</v>
      </c>
      <c r="O221" s="23" t="s">
        <v>11626</v>
      </c>
      <c r="P221" s="23" t="s">
        <v>12700</v>
      </c>
      <c r="Q221" s="23" t="s">
        <v>12705</v>
      </c>
      <c r="R221" s="23" t="s">
        <v>12710</v>
      </c>
      <c r="S221" s="23" t="s">
        <v>12715</v>
      </c>
      <c r="T221" s="23" t="s">
        <v>12720</v>
      </c>
    </row>
    <row r="222" spans="1:20" x14ac:dyDescent="0.2">
      <c r="A222" s="23" t="s">
        <v>92</v>
      </c>
      <c r="C222" s="23" t="s">
        <v>1022</v>
      </c>
      <c r="D222" s="23" t="s">
        <v>1023</v>
      </c>
      <c r="E222" s="23" t="s">
        <v>1024</v>
      </c>
      <c r="G222" s="23" t="s">
        <v>1025</v>
      </c>
      <c r="K222" s="23" t="s">
        <v>1026</v>
      </c>
      <c r="L222" s="23" t="s">
        <v>1027</v>
      </c>
      <c r="O222" s="23" t="s">
        <v>11627</v>
      </c>
      <c r="P222" s="23" t="s">
        <v>12701</v>
      </c>
      <c r="Q222" s="23" t="s">
        <v>12706</v>
      </c>
      <c r="R222" s="23" t="s">
        <v>12711</v>
      </c>
      <c r="S222" s="23" t="s">
        <v>12716</v>
      </c>
      <c r="T222" s="23" t="s">
        <v>12721</v>
      </c>
    </row>
    <row r="223" spans="1:20" x14ac:dyDescent="0.2">
      <c r="A223" s="23" t="s">
        <v>92</v>
      </c>
      <c r="C223" s="23" t="s">
        <v>1028</v>
      </c>
      <c r="D223" s="23" t="s">
        <v>1029</v>
      </c>
      <c r="E223" s="23" t="s">
        <v>1030</v>
      </c>
      <c r="G223" s="23" t="s">
        <v>1031</v>
      </c>
      <c r="K223" s="23" t="s">
        <v>1032</v>
      </c>
      <c r="L223" s="23" t="s">
        <v>1033</v>
      </c>
      <c r="O223" s="23" t="s">
        <v>11531</v>
      </c>
      <c r="P223" s="23" t="s">
        <v>12702</v>
      </c>
      <c r="Q223" s="23" t="s">
        <v>12707</v>
      </c>
      <c r="R223" s="23" t="s">
        <v>12712</v>
      </c>
      <c r="S223" s="23" t="s">
        <v>12717</v>
      </c>
      <c r="T223" s="23" t="s">
        <v>12722</v>
      </c>
    </row>
    <row r="224" spans="1:20" x14ac:dyDescent="0.2">
      <c r="A224" s="23" t="s">
        <v>92</v>
      </c>
      <c r="C224" s="23" t="s">
        <v>1034</v>
      </c>
      <c r="D224" s="23" t="s">
        <v>1035</v>
      </c>
      <c r="E224" s="23" t="s">
        <v>1036</v>
      </c>
      <c r="G224" s="23" t="s">
        <v>1037</v>
      </c>
      <c r="K224" s="23" t="s">
        <v>1038</v>
      </c>
      <c r="L224" s="23" t="s">
        <v>1039</v>
      </c>
      <c r="O224" s="23" t="s">
        <v>11573</v>
      </c>
      <c r="P224" s="23" t="s">
        <v>12703</v>
      </c>
      <c r="Q224" s="23" t="s">
        <v>12708</v>
      </c>
      <c r="R224" s="23" t="s">
        <v>12713</v>
      </c>
      <c r="S224" s="23" t="s">
        <v>12718</v>
      </c>
      <c r="T224" s="23" t="s">
        <v>12723</v>
      </c>
    </row>
    <row r="225" spans="1:20" x14ac:dyDescent="0.2">
      <c r="A225" s="23" t="s">
        <v>92</v>
      </c>
      <c r="C225" s="23" t="s">
        <v>1040</v>
      </c>
      <c r="D225" s="23" t="s">
        <v>1041</v>
      </c>
      <c r="E225" s="23" t="s">
        <v>1042</v>
      </c>
      <c r="G225" s="23" t="s">
        <v>1043</v>
      </c>
      <c r="K225" s="23" t="s">
        <v>1044</v>
      </c>
      <c r="L225" s="23" t="s">
        <v>1045</v>
      </c>
      <c r="O225" s="23" t="s">
        <v>11628</v>
      </c>
      <c r="P225" s="23" t="s">
        <v>12704</v>
      </c>
      <c r="Q225" s="23" t="s">
        <v>12709</v>
      </c>
      <c r="R225" s="23" t="s">
        <v>12714</v>
      </c>
      <c r="S225" s="23" t="s">
        <v>12719</v>
      </c>
      <c r="T225" s="23" t="s">
        <v>12724</v>
      </c>
    </row>
    <row r="226" spans="1:20" x14ac:dyDescent="0.2">
      <c r="A226" s="23" t="s">
        <v>92</v>
      </c>
      <c r="C226" s="23" t="s">
        <v>1017</v>
      </c>
      <c r="D226" s="23" t="s">
        <v>1018</v>
      </c>
      <c r="E226" s="23" t="s">
        <v>1019</v>
      </c>
      <c r="G226" s="23" t="s">
        <v>1020</v>
      </c>
      <c r="K226" s="23" t="s">
        <v>1016</v>
      </c>
      <c r="L226" s="23" t="s">
        <v>1633</v>
      </c>
    </row>
    <row r="227" spans="1:20" x14ac:dyDescent="0.2">
      <c r="A227" s="23" t="s">
        <v>92</v>
      </c>
      <c r="C227" s="23" t="s">
        <v>1046</v>
      </c>
      <c r="D227" s="23" t="s">
        <v>1047</v>
      </c>
      <c r="E227" s="23" t="s">
        <v>1048</v>
      </c>
      <c r="G227" s="23" t="s">
        <v>1049</v>
      </c>
      <c r="K227" s="23" t="s">
        <v>1050</v>
      </c>
      <c r="L227" s="23" t="s">
        <v>1051</v>
      </c>
      <c r="M227" s="23" t="s">
        <v>1634</v>
      </c>
      <c r="N227" s="23" t="s">
        <v>1635</v>
      </c>
      <c r="T227" s="23" t="s">
        <v>1636</v>
      </c>
    </row>
    <row r="228" spans="1:20" x14ac:dyDescent="0.2">
      <c r="A228" s="23" t="s">
        <v>92</v>
      </c>
      <c r="C228" s="23" t="s">
        <v>1637</v>
      </c>
      <c r="D228" s="23" t="s">
        <v>1638</v>
      </c>
      <c r="E228" s="23" t="s">
        <v>1639</v>
      </c>
      <c r="G228" s="23" t="s">
        <v>1640</v>
      </c>
      <c r="K228" s="23" t="s">
        <v>1641</v>
      </c>
      <c r="L228" s="23" t="s">
        <v>1642</v>
      </c>
      <c r="M228" s="23" t="s">
        <v>1643</v>
      </c>
      <c r="N228" s="23" t="s">
        <v>1644</v>
      </c>
    </row>
    <row r="229" spans="1:20" x14ac:dyDescent="0.2">
      <c r="A229" s="23" t="s">
        <v>92</v>
      </c>
      <c r="C229" s="23" t="s">
        <v>1052</v>
      </c>
      <c r="D229" s="23" t="s">
        <v>1053</v>
      </c>
      <c r="E229" s="23" t="s">
        <v>1054</v>
      </c>
      <c r="G229" s="23" t="s">
        <v>1055</v>
      </c>
      <c r="K229" s="23" t="s">
        <v>1056</v>
      </c>
      <c r="L229" s="23" t="s">
        <v>1057</v>
      </c>
      <c r="O229" s="23" t="s">
        <v>11629</v>
      </c>
      <c r="P229" s="23" t="s">
        <v>1645</v>
      </c>
      <c r="Q229" s="23" t="s">
        <v>1646</v>
      </c>
      <c r="R229" s="23" t="s">
        <v>1647</v>
      </c>
      <c r="S229" s="23" t="s">
        <v>1648</v>
      </c>
      <c r="T229" s="23" t="s">
        <v>1649</v>
      </c>
    </row>
    <row r="230" spans="1:20" x14ac:dyDescent="0.2">
      <c r="A230" s="23" t="s">
        <v>92</v>
      </c>
      <c r="C230" s="23" t="s">
        <v>1059</v>
      </c>
      <c r="D230" s="23" t="s">
        <v>1060</v>
      </c>
      <c r="E230" s="23" t="s">
        <v>1061</v>
      </c>
      <c r="G230" s="23" t="s">
        <v>1062</v>
      </c>
      <c r="K230" s="23" t="s">
        <v>1058</v>
      </c>
      <c r="L230" s="23" t="s">
        <v>1650</v>
      </c>
      <c r="O230" s="23" t="s">
        <v>11630</v>
      </c>
      <c r="P230" s="23" t="s">
        <v>12675</v>
      </c>
      <c r="Q230" s="23" t="s">
        <v>12680</v>
      </c>
      <c r="R230" s="23" t="s">
        <v>12685</v>
      </c>
      <c r="S230" s="23" t="s">
        <v>12690</v>
      </c>
      <c r="T230" s="23" t="s">
        <v>12695</v>
      </c>
    </row>
    <row r="231" spans="1:20" x14ac:dyDescent="0.2">
      <c r="A231" s="23" t="s">
        <v>92</v>
      </c>
      <c r="C231" s="23" t="s">
        <v>1064</v>
      </c>
      <c r="D231" s="23" t="s">
        <v>1065</v>
      </c>
      <c r="E231" s="23" t="s">
        <v>1066</v>
      </c>
      <c r="G231" s="23" t="s">
        <v>1067</v>
      </c>
      <c r="K231" s="23" t="s">
        <v>1068</v>
      </c>
      <c r="L231" s="23" t="s">
        <v>1069</v>
      </c>
      <c r="O231" s="23" t="s">
        <v>11631</v>
      </c>
      <c r="P231" s="23" t="s">
        <v>12676</v>
      </c>
      <c r="Q231" s="23" t="s">
        <v>12681</v>
      </c>
      <c r="R231" s="23" t="s">
        <v>12686</v>
      </c>
      <c r="S231" s="23" t="s">
        <v>12691</v>
      </c>
      <c r="T231" s="23" t="s">
        <v>12696</v>
      </c>
    </row>
    <row r="232" spans="1:20" x14ac:dyDescent="0.2">
      <c r="A232" s="23" t="s">
        <v>92</v>
      </c>
      <c r="C232" s="23" t="s">
        <v>1070</v>
      </c>
      <c r="D232" s="23" t="s">
        <v>1071</v>
      </c>
      <c r="E232" s="23" t="s">
        <v>1072</v>
      </c>
      <c r="G232" s="23" t="s">
        <v>1073</v>
      </c>
      <c r="K232" s="23" t="s">
        <v>1074</v>
      </c>
      <c r="L232" s="23" t="s">
        <v>1075</v>
      </c>
      <c r="O232" s="23" t="s">
        <v>11538</v>
      </c>
      <c r="P232" s="23" t="s">
        <v>12677</v>
      </c>
      <c r="Q232" s="23" t="s">
        <v>12682</v>
      </c>
      <c r="R232" s="23" t="s">
        <v>12687</v>
      </c>
      <c r="S232" s="23" t="s">
        <v>12692</v>
      </c>
      <c r="T232" s="23" t="s">
        <v>12697</v>
      </c>
    </row>
    <row r="233" spans="1:20" x14ac:dyDescent="0.2">
      <c r="A233" s="23" t="s">
        <v>92</v>
      </c>
      <c r="C233" s="23" t="s">
        <v>1076</v>
      </c>
      <c r="D233" s="23" t="s">
        <v>1077</v>
      </c>
      <c r="E233" s="23" t="s">
        <v>1078</v>
      </c>
      <c r="G233" s="23" t="s">
        <v>1079</v>
      </c>
      <c r="K233" s="23" t="s">
        <v>1080</v>
      </c>
      <c r="L233" s="23" t="s">
        <v>1081</v>
      </c>
      <c r="O233" s="23" t="s">
        <v>11578</v>
      </c>
      <c r="P233" s="23" t="s">
        <v>12678</v>
      </c>
      <c r="Q233" s="23" t="s">
        <v>12683</v>
      </c>
      <c r="R233" s="23" t="s">
        <v>12688</v>
      </c>
      <c r="S233" s="23" t="s">
        <v>12693</v>
      </c>
      <c r="T233" s="23" t="s">
        <v>12698</v>
      </c>
    </row>
    <row r="234" spans="1:20" x14ac:dyDescent="0.2">
      <c r="A234" s="23" t="s">
        <v>92</v>
      </c>
      <c r="C234" s="23" t="s">
        <v>1082</v>
      </c>
      <c r="D234" s="23" t="s">
        <v>1083</v>
      </c>
      <c r="E234" s="23" t="s">
        <v>1084</v>
      </c>
      <c r="G234" s="23" t="s">
        <v>1085</v>
      </c>
      <c r="K234" s="23" t="s">
        <v>1086</v>
      </c>
      <c r="L234" s="23" t="s">
        <v>1087</v>
      </c>
      <c r="O234" s="23" t="s">
        <v>11632</v>
      </c>
      <c r="P234" s="23" t="s">
        <v>12679</v>
      </c>
      <c r="Q234" s="23" t="s">
        <v>12684</v>
      </c>
      <c r="R234" s="23" t="s">
        <v>12689</v>
      </c>
      <c r="S234" s="23" t="s">
        <v>12694</v>
      </c>
      <c r="T234" s="23" t="s">
        <v>12699</v>
      </c>
    </row>
    <row r="235" spans="1:20" x14ac:dyDescent="0.2">
      <c r="A235" s="23" t="s">
        <v>92</v>
      </c>
      <c r="C235" s="23" t="s">
        <v>1059</v>
      </c>
      <c r="D235" s="23" t="s">
        <v>1060</v>
      </c>
      <c r="E235" s="23" t="s">
        <v>1061</v>
      </c>
      <c r="G235" s="23" t="s">
        <v>1062</v>
      </c>
      <c r="K235" s="23" t="s">
        <v>1058</v>
      </c>
      <c r="L235" s="23" t="s">
        <v>1650</v>
      </c>
    </row>
    <row r="236" spans="1:20" x14ac:dyDescent="0.2">
      <c r="A236" s="23" t="s">
        <v>92</v>
      </c>
      <c r="C236" s="23" t="s">
        <v>1088</v>
      </c>
      <c r="D236" s="23" t="s">
        <v>1089</v>
      </c>
      <c r="E236" s="23" t="s">
        <v>1090</v>
      </c>
      <c r="G236" s="23" t="s">
        <v>1091</v>
      </c>
      <c r="K236" s="23" t="s">
        <v>1092</v>
      </c>
      <c r="L236" s="23" t="s">
        <v>1093</v>
      </c>
      <c r="M236" s="23" t="s">
        <v>1651</v>
      </c>
      <c r="N236" s="23" t="s">
        <v>1652</v>
      </c>
      <c r="T236" s="23" t="s">
        <v>1653</v>
      </c>
    </row>
    <row r="237" spans="1:20" x14ac:dyDescent="0.2">
      <c r="A237" s="23" t="s">
        <v>92</v>
      </c>
      <c r="C237" s="23" t="s">
        <v>1654</v>
      </c>
      <c r="D237" s="23" t="s">
        <v>1655</v>
      </c>
      <c r="E237" s="23" t="s">
        <v>1656</v>
      </c>
      <c r="G237" s="23" t="s">
        <v>1657</v>
      </c>
      <c r="K237" s="23" t="s">
        <v>1658</v>
      </c>
      <c r="L237" s="23" t="s">
        <v>1659</v>
      </c>
      <c r="M237" s="23" t="s">
        <v>1660</v>
      </c>
      <c r="N237" s="23" t="s">
        <v>1661</v>
      </c>
    </row>
    <row r="238" spans="1:20" x14ac:dyDescent="0.2">
      <c r="A238" s="23" t="s">
        <v>92</v>
      </c>
      <c r="C238" s="23" t="s">
        <v>1094</v>
      </c>
      <c r="D238" s="23" t="s">
        <v>1095</v>
      </c>
      <c r="E238" s="23" t="s">
        <v>1096</v>
      </c>
      <c r="G238" s="23" t="s">
        <v>1097</v>
      </c>
      <c r="K238" s="23" t="s">
        <v>1098</v>
      </c>
      <c r="L238" s="23" t="s">
        <v>1099</v>
      </c>
      <c r="O238" s="23" t="s">
        <v>11633</v>
      </c>
      <c r="P238" s="23" t="s">
        <v>1662</v>
      </c>
      <c r="Q238" s="23" t="s">
        <v>1663</v>
      </c>
      <c r="R238" s="23" t="s">
        <v>1664</v>
      </c>
      <c r="S238" s="23" t="s">
        <v>1665</v>
      </c>
      <c r="T238" s="23" t="s">
        <v>1666</v>
      </c>
    </row>
    <row r="239" spans="1:20" x14ac:dyDescent="0.2">
      <c r="A239" s="23" t="s">
        <v>92</v>
      </c>
      <c r="C239" s="23" t="s">
        <v>1101</v>
      </c>
      <c r="D239" s="23" t="s">
        <v>1102</v>
      </c>
      <c r="E239" s="23" t="s">
        <v>1103</v>
      </c>
      <c r="G239" s="23" t="s">
        <v>1104</v>
      </c>
      <c r="K239" s="23" t="s">
        <v>1100</v>
      </c>
      <c r="L239" s="23" t="s">
        <v>1667</v>
      </c>
      <c r="O239" s="23" t="s">
        <v>11634</v>
      </c>
      <c r="P239" s="23" t="s">
        <v>12650</v>
      </c>
      <c r="Q239" s="23" t="s">
        <v>12655</v>
      </c>
      <c r="R239" s="23" t="s">
        <v>12660</v>
      </c>
      <c r="S239" s="23" t="s">
        <v>12665</v>
      </c>
      <c r="T239" s="23" t="s">
        <v>12670</v>
      </c>
    </row>
    <row r="240" spans="1:20" x14ac:dyDescent="0.2">
      <c r="A240" s="23" t="s">
        <v>92</v>
      </c>
      <c r="C240" s="23" t="s">
        <v>1106</v>
      </c>
      <c r="D240" s="23" t="s">
        <v>1107</v>
      </c>
      <c r="E240" s="23" t="s">
        <v>1108</v>
      </c>
      <c r="G240" s="23" t="s">
        <v>1109</v>
      </c>
      <c r="K240" s="23" t="s">
        <v>1110</v>
      </c>
      <c r="L240" s="23" t="s">
        <v>1111</v>
      </c>
      <c r="O240" s="23" t="s">
        <v>11635</v>
      </c>
      <c r="P240" s="23" t="s">
        <v>12651</v>
      </c>
      <c r="Q240" s="23" t="s">
        <v>12656</v>
      </c>
      <c r="R240" s="23" t="s">
        <v>12661</v>
      </c>
      <c r="S240" s="23" t="s">
        <v>12666</v>
      </c>
      <c r="T240" s="23" t="s">
        <v>12671</v>
      </c>
    </row>
    <row r="241" spans="1:20" x14ac:dyDescent="0.2">
      <c r="A241" s="23" t="s">
        <v>92</v>
      </c>
      <c r="C241" s="23" t="s">
        <v>1112</v>
      </c>
      <c r="D241" s="23" t="s">
        <v>1113</v>
      </c>
      <c r="E241" s="23" t="s">
        <v>1114</v>
      </c>
      <c r="G241" s="23" t="s">
        <v>1115</v>
      </c>
      <c r="K241" s="23" t="s">
        <v>1116</v>
      </c>
      <c r="L241" s="23" t="s">
        <v>1117</v>
      </c>
      <c r="O241" s="23" t="s">
        <v>11546</v>
      </c>
      <c r="P241" s="23" t="s">
        <v>12652</v>
      </c>
      <c r="Q241" s="23" t="s">
        <v>12657</v>
      </c>
      <c r="R241" s="23" t="s">
        <v>12662</v>
      </c>
      <c r="S241" s="23" t="s">
        <v>12667</v>
      </c>
      <c r="T241" s="23" t="s">
        <v>12672</v>
      </c>
    </row>
    <row r="242" spans="1:20" x14ac:dyDescent="0.2">
      <c r="A242" s="23" t="s">
        <v>92</v>
      </c>
      <c r="C242" s="23" t="s">
        <v>1118</v>
      </c>
      <c r="D242" s="23" t="s">
        <v>1119</v>
      </c>
      <c r="E242" s="23" t="s">
        <v>1120</v>
      </c>
      <c r="G242" s="23" t="s">
        <v>1121</v>
      </c>
      <c r="K242" s="23" t="s">
        <v>1122</v>
      </c>
      <c r="L242" s="23" t="s">
        <v>1123</v>
      </c>
      <c r="O242" s="23" t="s">
        <v>11583</v>
      </c>
      <c r="P242" s="23" t="s">
        <v>12653</v>
      </c>
      <c r="Q242" s="23" t="s">
        <v>12658</v>
      </c>
      <c r="R242" s="23" t="s">
        <v>12663</v>
      </c>
      <c r="S242" s="23" t="s">
        <v>12668</v>
      </c>
      <c r="T242" s="23" t="s">
        <v>12673</v>
      </c>
    </row>
    <row r="243" spans="1:20" x14ac:dyDescent="0.2">
      <c r="A243" s="23" t="s">
        <v>92</v>
      </c>
      <c r="C243" s="23" t="s">
        <v>1124</v>
      </c>
      <c r="D243" s="23" t="s">
        <v>1125</v>
      </c>
      <c r="E243" s="23" t="s">
        <v>1126</v>
      </c>
      <c r="G243" s="23" t="s">
        <v>1127</v>
      </c>
      <c r="K243" s="23" t="s">
        <v>1128</v>
      </c>
      <c r="L243" s="23" t="s">
        <v>1129</v>
      </c>
      <c r="O243" s="23" t="s">
        <v>11636</v>
      </c>
      <c r="P243" s="23" t="s">
        <v>12654</v>
      </c>
      <c r="Q243" s="23" t="s">
        <v>12659</v>
      </c>
      <c r="R243" s="23" t="s">
        <v>12664</v>
      </c>
      <c r="S243" s="23" t="s">
        <v>12669</v>
      </c>
      <c r="T243" s="23" t="s">
        <v>12674</v>
      </c>
    </row>
    <row r="244" spans="1:20" x14ac:dyDescent="0.2">
      <c r="A244" s="23" t="s">
        <v>92</v>
      </c>
      <c r="C244" s="23" t="s">
        <v>1101</v>
      </c>
      <c r="D244" s="23" t="s">
        <v>1102</v>
      </c>
      <c r="E244" s="23" t="s">
        <v>1103</v>
      </c>
      <c r="G244" s="23" t="s">
        <v>1104</v>
      </c>
      <c r="K244" s="23" t="s">
        <v>1100</v>
      </c>
      <c r="L244" s="23" t="s">
        <v>1667</v>
      </c>
    </row>
    <row r="245" spans="1:20" x14ac:dyDescent="0.2">
      <c r="A245" s="23" t="s">
        <v>92</v>
      </c>
      <c r="C245" s="23" t="s">
        <v>1130</v>
      </c>
      <c r="D245" s="23" t="s">
        <v>1131</v>
      </c>
      <c r="E245" s="23" t="s">
        <v>1132</v>
      </c>
      <c r="G245" s="23" t="s">
        <v>1133</v>
      </c>
      <c r="K245" s="23" t="s">
        <v>1134</v>
      </c>
      <c r="L245" s="23" t="s">
        <v>1135</v>
      </c>
      <c r="M245" s="23" t="s">
        <v>1668</v>
      </c>
      <c r="N245" s="23" t="s">
        <v>1669</v>
      </c>
      <c r="T245" s="23" t="s">
        <v>1670</v>
      </c>
    </row>
    <row r="246" spans="1:20" x14ac:dyDescent="0.2">
      <c r="A246" s="23" t="s">
        <v>92</v>
      </c>
      <c r="C246" s="23" t="s">
        <v>1671</v>
      </c>
      <c r="D246" s="23" t="s">
        <v>1672</v>
      </c>
      <c r="E246" s="23" t="s">
        <v>1673</v>
      </c>
      <c r="G246" s="23" t="s">
        <v>1674</v>
      </c>
      <c r="K246" s="23" t="s">
        <v>1675</v>
      </c>
      <c r="L246" s="23" t="s">
        <v>1676</v>
      </c>
      <c r="M246" s="23" t="s">
        <v>1677</v>
      </c>
      <c r="N246" s="23" t="s">
        <v>1678</v>
      </c>
    </row>
    <row r="247" spans="1:20" x14ac:dyDescent="0.2">
      <c r="A247" s="23" t="s">
        <v>92</v>
      </c>
      <c r="C247" s="23" t="s">
        <v>1136</v>
      </c>
      <c r="D247" s="23" t="s">
        <v>1137</v>
      </c>
      <c r="E247" s="23" t="s">
        <v>1138</v>
      </c>
      <c r="G247" s="23" t="s">
        <v>1139</v>
      </c>
      <c r="K247" s="23" t="s">
        <v>1140</v>
      </c>
      <c r="L247" s="23" t="s">
        <v>1141</v>
      </c>
      <c r="O247" s="23" t="s">
        <v>11637</v>
      </c>
      <c r="P247" s="23" t="s">
        <v>1679</v>
      </c>
      <c r="Q247" s="23" t="s">
        <v>1680</v>
      </c>
      <c r="R247" s="23" t="s">
        <v>1681</v>
      </c>
      <c r="S247" s="23" t="s">
        <v>1682</v>
      </c>
      <c r="T247" s="23" t="s">
        <v>1683</v>
      </c>
    </row>
    <row r="248" spans="1:20" x14ac:dyDescent="0.2">
      <c r="A248" s="23" t="s">
        <v>92</v>
      </c>
      <c r="C248" s="23" t="s">
        <v>1143</v>
      </c>
      <c r="D248" s="23" t="s">
        <v>1144</v>
      </c>
      <c r="E248" s="23" t="s">
        <v>1145</v>
      </c>
      <c r="G248" s="23" t="s">
        <v>1146</v>
      </c>
      <c r="K248" s="23" t="s">
        <v>1142</v>
      </c>
      <c r="L248" s="23" t="s">
        <v>1684</v>
      </c>
      <c r="O248" s="23" t="s">
        <v>11638</v>
      </c>
      <c r="P248" s="23" t="s">
        <v>12625</v>
      </c>
      <c r="Q248" s="23" t="s">
        <v>12630</v>
      </c>
      <c r="R248" s="23" t="s">
        <v>12635</v>
      </c>
      <c r="S248" s="23" t="s">
        <v>12640</v>
      </c>
      <c r="T248" s="23" t="s">
        <v>12645</v>
      </c>
    </row>
    <row r="249" spans="1:20" x14ac:dyDescent="0.2">
      <c r="A249" s="23" t="s">
        <v>92</v>
      </c>
      <c r="C249" s="23" t="s">
        <v>1148</v>
      </c>
      <c r="D249" s="23" t="s">
        <v>1149</v>
      </c>
      <c r="E249" s="23" t="s">
        <v>1150</v>
      </c>
      <c r="G249" s="23" t="s">
        <v>1151</v>
      </c>
      <c r="K249" s="23" t="s">
        <v>1152</v>
      </c>
      <c r="L249" s="23" t="s">
        <v>1153</v>
      </c>
      <c r="O249" s="23" t="s">
        <v>11639</v>
      </c>
      <c r="P249" s="23" t="s">
        <v>12626</v>
      </c>
      <c r="Q249" s="23" t="s">
        <v>12631</v>
      </c>
      <c r="R249" s="23" t="s">
        <v>12636</v>
      </c>
      <c r="S249" s="23" t="s">
        <v>12641</v>
      </c>
      <c r="T249" s="23" t="s">
        <v>12646</v>
      </c>
    </row>
    <row r="250" spans="1:20" x14ac:dyDescent="0.2">
      <c r="A250" s="23" t="s">
        <v>92</v>
      </c>
      <c r="C250" s="23" t="s">
        <v>1154</v>
      </c>
      <c r="D250" s="23" t="s">
        <v>1155</v>
      </c>
      <c r="E250" s="23" t="s">
        <v>1156</v>
      </c>
      <c r="G250" s="23" t="s">
        <v>1157</v>
      </c>
      <c r="K250" s="23" t="s">
        <v>1158</v>
      </c>
      <c r="L250" s="23" t="s">
        <v>1159</v>
      </c>
      <c r="O250" s="23" t="s">
        <v>11554</v>
      </c>
      <c r="P250" s="23" t="s">
        <v>12627</v>
      </c>
      <c r="Q250" s="23" t="s">
        <v>12632</v>
      </c>
      <c r="R250" s="23" t="s">
        <v>12637</v>
      </c>
      <c r="S250" s="23" t="s">
        <v>12642</v>
      </c>
      <c r="T250" s="23" t="s">
        <v>12647</v>
      </c>
    </row>
    <row r="251" spans="1:20" x14ac:dyDescent="0.2">
      <c r="A251" s="23" t="s">
        <v>92</v>
      </c>
      <c r="C251" s="23" t="s">
        <v>1160</v>
      </c>
      <c r="D251" s="23" t="s">
        <v>1161</v>
      </c>
      <c r="E251" s="23" t="s">
        <v>1162</v>
      </c>
      <c r="G251" s="23" t="s">
        <v>1163</v>
      </c>
      <c r="K251" s="23" t="s">
        <v>1164</v>
      </c>
      <c r="L251" s="23" t="s">
        <v>1165</v>
      </c>
      <c r="O251" s="23" t="s">
        <v>11588</v>
      </c>
      <c r="P251" s="23" t="s">
        <v>12628</v>
      </c>
      <c r="Q251" s="23" t="s">
        <v>12633</v>
      </c>
      <c r="R251" s="23" t="s">
        <v>12638</v>
      </c>
      <c r="S251" s="23" t="s">
        <v>12643</v>
      </c>
      <c r="T251" s="23" t="s">
        <v>12648</v>
      </c>
    </row>
    <row r="252" spans="1:20" x14ac:dyDescent="0.2">
      <c r="A252" s="23" t="s">
        <v>92</v>
      </c>
      <c r="C252" s="23" t="s">
        <v>1166</v>
      </c>
      <c r="D252" s="23" t="s">
        <v>1167</v>
      </c>
      <c r="E252" s="23" t="s">
        <v>1168</v>
      </c>
      <c r="G252" s="23" t="s">
        <v>1169</v>
      </c>
      <c r="K252" s="23" t="s">
        <v>1170</v>
      </c>
      <c r="L252" s="23" t="s">
        <v>1171</v>
      </c>
      <c r="O252" s="23" t="s">
        <v>11640</v>
      </c>
      <c r="P252" s="23" t="s">
        <v>12629</v>
      </c>
      <c r="Q252" s="23" t="s">
        <v>12634</v>
      </c>
      <c r="R252" s="23" t="s">
        <v>12639</v>
      </c>
      <c r="S252" s="23" t="s">
        <v>12644</v>
      </c>
      <c r="T252" s="23" t="s">
        <v>12649</v>
      </c>
    </row>
    <row r="253" spans="1:20" x14ac:dyDescent="0.2">
      <c r="A253" s="23" t="s">
        <v>92</v>
      </c>
      <c r="C253" s="23" t="s">
        <v>1143</v>
      </c>
      <c r="D253" s="23" t="s">
        <v>1144</v>
      </c>
      <c r="E253" s="23" t="s">
        <v>1145</v>
      </c>
      <c r="G253" s="23" t="s">
        <v>1146</v>
      </c>
      <c r="K253" s="23" t="s">
        <v>1142</v>
      </c>
      <c r="L253" s="23" t="s">
        <v>1684</v>
      </c>
    </row>
    <row r="254" spans="1:20" x14ac:dyDescent="0.2">
      <c r="A254" s="23" t="s">
        <v>92</v>
      </c>
      <c r="C254" s="23" t="s">
        <v>1172</v>
      </c>
      <c r="D254" s="23" t="s">
        <v>1173</v>
      </c>
      <c r="E254" s="23" t="s">
        <v>1174</v>
      </c>
      <c r="G254" s="23" t="s">
        <v>1175</v>
      </c>
      <c r="K254" s="23" t="s">
        <v>1176</v>
      </c>
      <c r="L254" s="23" t="s">
        <v>1177</v>
      </c>
      <c r="M254" s="23" t="s">
        <v>1685</v>
      </c>
      <c r="N254" s="23" t="s">
        <v>1686</v>
      </c>
      <c r="T254" s="23" t="s">
        <v>1687</v>
      </c>
    </row>
    <row r="255" spans="1:20" x14ac:dyDescent="0.2">
      <c r="A255" s="23" t="s">
        <v>92</v>
      </c>
      <c r="C255" s="23" t="s">
        <v>1597</v>
      </c>
      <c r="D255" s="23" t="s">
        <v>1598</v>
      </c>
      <c r="E255" s="23" t="s">
        <v>1599</v>
      </c>
      <c r="G255" s="23" t="s">
        <v>1600</v>
      </c>
    </row>
    <row r="256" spans="1:20" x14ac:dyDescent="0.2">
      <c r="A256" s="23" t="s">
        <v>92</v>
      </c>
      <c r="C256" s="23" t="s">
        <v>1178</v>
      </c>
      <c r="D256" s="23" t="s">
        <v>1179</v>
      </c>
      <c r="E256" s="23" t="s">
        <v>1180</v>
      </c>
      <c r="G256" s="23" t="s">
        <v>1181</v>
      </c>
      <c r="H256" s="23" t="s">
        <v>1688</v>
      </c>
      <c r="I256" s="23" t="s">
        <v>1182</v>
      </c>
      <c r="J256" s="23" t="s">
        <v>1183</v>
      </c>
      <c r="T256" s="23" t="s">
        <v>1689</v>
      </c>
    </row>
    <row r="257" spans="1:20" x14ac:dyDescent="0.2">
      <c r="E257" s="23" t="s">
        <v>364</v>
      </c>
    </row>
    <row r="258" spans="1:20" x14ac:dyDescent="0.2">
      <c r="E258" s="23" t="s">
        <v>1185</v>
      </c>
      <c r="F258" s="23" t="s">
        <v>365</v>
      </c>
      <c r="T258" s="23" t="s">
        <v>1690</v>
      </c>
    </row>
    <row r="259" spans="1:20" x14ac:dyDescent="0.2">
      <c r="A259" s="23" t="s">
        <v>92</v>
      </c>
      <c r="D259" s="23" t="s">
        <v>1691</v>
      </c>
      <c r="E259" s="23" t="s">
        <v>1692</v>
      </c>
      <c r="F259" s="23" t="s">
        <v>1693</v>
      </c>
    </row>
    <row r="260" spans="1:20" x14ac:dyDescent="0.2">
      <c r="A260" s="23" t="s">
        <v>92</v>
      </c>
      <c r="C260" s="23" t="s">
        <v>1694</v>
      </c>
      <c r="D260" s="23" t="s">
        <v>1695</v>
      </c>
      <c r="E260" s="23" t="s">
        <v>1186</v>
      </c>
      <c r="G260" s="23" t="s">
        <v>1696</v>
      </c>
      <c r="H260" s="23" t="s">
        <v>11641</v>
      </c>
      <c r="I260" s="23" t="s">
        <v>1697</v>
      </c>
      <c r="J260" s="23" t="s">
        <v>1698</v>
      </c>
    </row>
    <row r="261" spans="1:20" x14ac:dyDescent="0.2">
      <c r="A261" s="23" t="s">
        <v>92</v>
      </c>
      <c r="C261" s="23" t="s">
        <v>1187</v>
      </c>
      <c r="D261" s="23" t="s">
        <v>1188</v>
      </c>
      <c r="E261" s="23" t="s">
        <v>1189</v>
      </c>
      <c r="G261" s="23" t="s">
        <v>1190</v>
      </c>
      <c r="K261" s="23" t="s">
        <v>1699</v>
      </c>
      <c r="L261" s="23" t="s">
        <v>1700</v>
      </c>
      <c r="M261" s="23" t="s">
        <v>11642</v>
      </c>
      <c r="N261" s="23" t="s">
        <v>1701</v>
      </c>
    </row>
    <row r="262" spans="1:20" x14ac:dyDescent="0.2">
      <c r="A262" s="23" t="s">
        <v>92</v>
      </c>
      <c r="C262" s="23" t="s">
        <v>1191</v>
      </c>
      <c r="D262" s="23" t="s">
        <v>1192</v>
      </c>
      <c r="E262" s="23" t="s">
        <v>1193</v>
      </c>
      <c r="G262" s="23" t="s">
        <v>1194</v>
      </c>
      <c r="K262" s="23" t="s">
        <v>1195</v>
      </c>
      <c r="L262" s="23" t="s">
        <v>1196</v>
      </c>
      <c r="O262" s="23" t="s">
        <v>11643</v>
      </c>
      <c r="P262" s="23" t="s">
        <v>1197</v>
      </c>
      <c r="Q262" s="23" t="s">
        <v>1198</v>
      </c>
      <c r="R262" s="23" t="s">
        <v>1199</v>
      </c>
      <c r="S262" s="23" t="s">
        <v>1200</v>
      </c>
      <c r="T262" s="23" t="s">
        <v>1201</v>
      </c>
    </row>
    <row r="263" spans="1:20" x14ac:dyDescent="0.2">
      <c r="A263" s="23" t="s">
        <v>92</v>
      </c>
      <c r="C263" s="23" t="s">
        <v>1202</v>
      </c>
      <c r="D263" s="23" t="s">
        <v>1203</v>
      </c>
      <c r="E263" s="23" t="s">
        <v>1204</v>
      </c>
      <c r="G263" s="23" t="s">
        <v>1205</v>
      </c>
      <c r="K263" s="23" t="s">
        <v>1206</v>
      </c>
      <c r="L263" s="23" t="s">
        <v>1207</v>
      </c>
      <c r="O263" s="23" t="s">
        <v>11644</v>
      </c>
      <c r="P263" s="23" t="s">
        <v>16400</v>
      </c>
      <c r="Q263" s="23" t="s">
        <v>16405</v>
      </c>
      <c r="R263" s="23" t="s">
        <v>16410</v>
      </c>
      <c r="S263" s="23" t="s">
        <v>16415</v>
      </c>
      <c r="T263" s="23" t="s">
        <v>16420</v>
      </c>
    </row>
    <row r="264" spans="1:20" x14ac:dyDescent="0.2">
      <c r="A264" s="23" t="s">
        <v>92</v>
      </c>
      <c r="C264" s="23" t="s">
        <v>1702</v>
      </c>
      <c r="D264" s="23" t="s">
        <v>1703</v>
      </c>
      <c r="E264" s="23" t="s">
        <v>1704</v>
      </c>
      <c r="G264" s="23" t="s">
        <v>1705</v>
      </c>
      <c r="K264" s="23" t="s">
        <v>1706</v>
      </c>
      <c r="L264" s="23" t="s">
        <v>1707</v>
      </c>
      <c r="O264" s="23" t="s">
        <v>11645</v>
      </c>
      <c r="P264" s="23" t="s">
        <v>16401</v>
      </c>
      <c r="Q264" s="23" t="s">
        <v>16406</v>
      </c>
      <c r="R264" s="23" t="s">
        <v>16411</v>
      </c>
      <c r="S264" s="23" t="s">
        <v>16416</v>
      </c>
      <c r="T264" s="23" t="s">
        <v>16421</v>
      </c>
    </row>
    <row r="265" spans="1:20" x14ac:dyDescent="0.2">
      <c r="A265" s="23" t="s">
        <v>92</v>
      </c>
      <c r="C265" s="23" t="s">
        <v>1208</v>
      </c>
      <c r="D265" s="23" t="s">
        <v>1209</v>
      </c>
      <c r="E265" s="23" t="s">
        <v>1210</v>
      </c>
      <c r="G265" s="23" t="s">
        <v>1211</v>
      </c>
      <c r="K265" s="23" t="s">
        <v>1212</v>
      </c>
      <c r="L265" s="23" t="s">
        <v>1213</v>
      </c>
      <c r="O265" s="23" t="s">
        <v>11517</v>
      </c>
      <c r="P265" s="23" t="s">
        <v>16402</v>
      </c>
      <c r="Q265" s="23" t="s">
        <v>16407</v>
      </c>
      <c r="R265" s="23" t="s">
        <v>16412</v>
      </c>
      <c r="S265" s="23" t="s">
        <v>16417</v>
      </c>
      <c r="T265" s="23" t="s">
        <v>16422</v>
      </c>
    </row>
    <row r="266" spans="1:20" x14ac:dyDescent="0.2">
      <c r="A266" s="23" t="s">
        <v>92</v>
      </c>
      <c r="C266" s="23" t="s">
        <v>1215</v>
      </c>
      <c r="D266" s="23" t="s">
        <v>1216</v>
      </c>
      <c r="E266" s="23" t="s">
        <v>1217</v>
      </c>
      <c r="G266" s="23" t="s">
        <v>1218</v>
      </c>
      <c r="K266" s="23" t="s">
        <v>1214</v>
      </c>
      <c r="L266" s="23" t="s">
        <v>1708</v>
      </c>
      <c r="O266" s="23" t="s">
        <v>11562</v>
      </c>
      <c r="P266" s="23" t="s">
        <v>16403</v>
      </c>
      <c r="Q266" s="23" t="s">
        <v>16408</v>
      </c>
      <c r="R266" s="23" t="s">
        <v>16413</v>
      </c>
      <c r="S266" s="23" t="s">
        <v>16418</v>
      </c>
      <c r="T266" s="23" t="s">
        <v>16423</v>
      </c>
    </row>
    <row r="267" spans="1:20" x14ac:dyDescent="0.2">
      <c r="A267" s="23" t="s">
        <v>92</v>
      </c>
      <c r="C267" s="23" t="s">
        <v>1220</v>
      </c>
      <c r="D267" s="23" t="s">
        <v>1221</v>
      </c>
      <c r="E267" s="23" t="s">
        <v>1222</v>
      </c>
      <c r="G267" s="23" t="s">
        <v>1223</v>
      </c>
      <c r="K267" s="23" t="s">
        <v>1224</v>
      </c>
      <c r="L267" s="23" t="s">
        <v>1225</v>
      </c>
      <c r="O267" s="23" t="s">
        <v>11646</v>
      </c>
      <c r="P267" s="23" t="s">
        <v>16404</v>
      </c>
      <c r="Q267" s="23" t="s">
        <v>16409</v>
      </c>
      <c r="R267" s="23" t="s">
        <v>16414</v>
      </c>
      <c r="S267" s="23" t="s">
        <v>16419</v>
      </c>
      <c r="T267" s="23" t="s">
        <v>16424</v>
      </c>
    </row>
    <row r="268" spans="1:20" x14ac:dyDescent="0.2">
      <c r="A268" s="23" t="s">
        <v>92</v>
      </c>
      <c r="C268" s="23" t="s">
        <v>1202</v>
      </c>
      <c r="D268" s="23" t="s">
        <v>1203</v>
      </c>
      <c r="E268" s="23" t="s">
        <v>1204</v>
      </c>
      <c r="G268" s="23" t="s">
        <v>1205</v>
      </c>
      <c r="K268" s="23" t="s">
        <v>1206</v>
      </c>
      <c r="L268" s="23" t="s">
        <v>1207</v>
      </c>
    </row>
    <row r="269" spans="1:20" x14ac:dyDescent="0.2">
      <c r="A269" s="23" t="s">
        <v>92</v>
      </c>
      <c r="C269" s="23" t="s">
        <v>1709</v>
      </c>
      <c r="D269" s="23" t="s">
        <v>1710</v>
      </c>
      <c r="E269" s="23" t="s">
        <v>1711</v>
      </c>
      <c r="G269" s="23" t="s">
        <v>1712</v>
      </c>
      <c r="K269" s="23" t="s">
        <v>1713</v>
      </c>
      <c r="L269" s="23" t="s">
        <v>1714</v>
      </c>
      <c r="M269" s="23" t="s">
        <v>1715</v>
      </c>
      <c r="N269" s="23" t="s">
        <v>1230</v>
      </c>
      <c r="T269" s="23" t="s">
        <v>1716</v>
      </c>
    </row>
    <row r="270" spans="1:20" x14ac:dyDescent="0.2">
      <c r="A270" s="23" t="s">
        <v>92</v>
      </c>
      <c r="C270" s="23" t="s">
        <v>1226</v>
      </c>
      <c r="D270" s="23" t="s">
        <v>1227</v>
      </c>
      <c r="E270" s="23" t="s">
        <v>1228</v>
      </c>
      <c r="G270" s="23" t="s">
        <v>1229</v>
      </c>
      <c r="K270" s="23" t="s">
        <v>1717</v>
      </c>
      <c r="L270" s="23" t="s">
        <v>1718</v>
      </c>
      <c r="M270" s="23" t="s">
        <v>1719</v>
      </c>
      <c r="N270" s="23" t="s">
        <v>1720</v>
      </c>
    </row>
    <row r="271" spans="1:20" x14ac:dyDescent="0.2">
      <c r="A271" s="23" t="s">
        <v>92</v>
      </c>
      <c r="C271" s="23" t="s">
        <v>1232</v>
      </c>
      <c r="D271" s="23" t="s">
        <v>1233</v>
      </c>
      <c r="E271" s="23" t="s">
        <v>1234</v>
      </c>
      <c r="G271" s="23" t="s">
        <v>1235</v>
      </c>
      <c r="K271" s="23" t="s">
        <v>1231</v>
      </c>
      <c r="L271" s="23" t="s">
        <v>1721</v>
      </c>
      <c r="O271" s="23" t="s">
        <v>11647</v>
      </c>
      <c r="P271" s="23" t="s">
        <v>1722</v>
      </c>
      <c r="Q271" s="23" t="s">
        <v>1723</v>
      </c>
      <c r="R271" s="23" t="s">
        <v>1724</v>
      </c>
      <c r="S271" s="23" t="s">
        <v>1725</v>
      </c>
      <c r="T271" s="23" t="s">
        <v>1726</v>
      </c>
    </row>
    <row r="272" spans="1:20" x14ac:dyDescent="0.2">
      <c r="A272" s="23" t="s">
        <v>92</v>
      </c>
      <c r="C272" s="23" t="s">
        <v>1237</v>
      </c>
      <c r="D272" s="23" t="s">
        <v>1238</v>
      </c>
      <c r="E272" s="23" t="s">
        <v>1239</v>
      </c>
      <c r="G272" s="23" t="s">
        <v>1240</v>
      </c>
      <c r="K272" s="23" t="s">
        <v>1241</v>
      </c>
      <c r="L272" s="23" t="s">
        <v>1242</v>
      </c>
      <c r="O272" s="23" t="s">
        <v>11648</v>
      </c>
      <c r="P272" s="23" t="s">
        <v>16530</v>
      </c>
      <c r="Q272" s="23" t="s">
        <v>16535</v>
      </c>
      <c r="R272" s="23" t="s">
        <v>16540</v>
      </c>
      <c r="S272" s="23" t="s">
        <v>16545</v>
      </c>
      <c r="T272" s="23" t="s">
        <v>16550</v>
      </c>
    </row>
    <row r="273" spans="1:20" x14ac:dyDescent="0.2">
      <c r="A273" s="23" t="s">
        <v>92</v>
      </c>
      <c r="C273" s="23" t="s">
        <v>1243</v>
      </c>
      <c r="D273" s="23" t="s">
        <v>1244</v>
      </c>
      <c r="E273" s="23" t="s">
        <v>1245</v>
      </c>
      <c r="G273" s="23" t="s">
        <v>1246</v>
      </c>
      <c r="K273" s="23" t="s">
        <v>1247</v>
      </c>
      <c r="L273" s="23" t="s">
        <v>1248</v>
      </c>
      <c r="O273" s="23" t="s">
        <v>11649</v>
      </c>
      <c r="P273" s="23" t="s">
        <v>16531</v>
      </c>
      <c r="Q273" s="23" t="s">
        <v>16536</v>
      </c>
      <c r="R273" s="23" t="s">
        <v>16541</v>
      </c>
      <c r="S273" s="23" t="s">
        <v>16546</v>
      </c>
      <c r="T273" s="23" t="s">
        <v>16551</v>
      </c>
    </row>
    <row r="274" spans="1:20" x14ac:dyDescent="0.2">
      <c r="A274" s="23" t="s">
        <v>92</v>
      </c>
      <c r="C274" s="23" t="s">
        <v>1727</v>
      </c>
      <c r="D274" s="23" t="s">
        <v>1728</v>
      </c>
      <c r="E274" s="23" t="s">
        <v>1729</v>
      </c>
      <c r="G274" s="23" t="s">
        <v>1730</v>
      </c>
      <c r="K274" s="23" t="s">
        <v>1731</v>
      </c>
      <c r="L274" s="23" t="s">
        <v>1732</v>
      </c>
      <c r="O274" s="23" t="s">
        <v>11524</v>
      </c>
      <c r="P274" s="23" t="s">
        <v>16532</v>
      </c>
      <c r="Q274" s="23" t="s">
        <v>16537</v>
      </c>
      <c r="R274" s="23" t="s">
        <v>16542</v>
      </c>
      <c r="S274" s="23" t="s">
        <v>16547</v>
      </c>
      <c r="T274" s="23" t="s">
        <v>16552</v>
      </c>
    </row>
    <row r="275" spans="1:20" x14ac:dyDescent="0.2">
      <c r="A275" s="23" t="s">
        <v>92</v>
      </c>
      <c r="C275" s="23" t="s">
        <v>1249</v>
      </c>
      <c r="D275" s="23" t="s">
        <v>1250</v>
      </c>
      <c r="E275" s="23" t="s">
        <v>1251</v>
      </c>
      <c r="G275" s="23" t="s">
        <v>1252</v>
      </c>
      <c r="K275" s="23" t="s">
        <v>1253</v>
      </c>
      <c r="L275" s="23" t="s">
        <v>1254</v>
      </c>
      <c r="O275" s="23" t="s">
        <v>11567</v>
      </c>
      <c r="P275" s="23" t="s">
        <v>16533</v>
      </c>
      <c r="Q275" s="23" t="s">
        <v>16538</v>
      </c>
      <c r="R275" s="23" t="s">
        <v>16543</v>
      </c>
      <c r="S275" s="23" t="s">
        <v>16548</v>
      </c>
      <c r="T275" s="23" t="s">
        <v>16553</v>
      </c>
    </row>
    <row r="276" spans="1:20" x14ac:dyDescent="0.2">
      <c r="A276" s="23" t="s">
        <v>92</v>
      </c>
      <c r="C276" s="23" t="s">
        <v>1733</v>
      </c>
      <c r="D276" s="23" t="s">
        <v>1734</v>
      </c>
      <c r="E276" s="23" t="s">
        <v>1735</v>
      </c>
      <c r="G276" s="23" t="s">
        <v>1736</v>
      </c>
      <c r="K276" s="23" t="s">
        <v>1255</v>
      </c>
      <c r="L276" s="23" t="s">
        <v>1737</v>
      </c>
      <c r="O276" s="23" t="s">
        <v>11650</v>
      </c>
      <c r="P276" s="23" t="s">
        <v>16534</v>
      </c>
      <c r="Q276" s="23" t="s">
        <v>16539</v>
      </c>
      <c r="R276" s="23" t="s">
        <v>16544</v>
      </c>
      <c r="S276" s="23" t="s">
        <v>16549</v>
      </c>
      <c r="T276" s="23" t="s">
        <v>16554</v>
      </c>
    </row>
    <row r="277" spans="1:20" x14ac:dyDescent="0.2">
      <c r="A277" s="23" t="s">
        <v>92</v>
      </c>
      <c r="C277" s="23" t="s">
        <v>1237</v>
      </c>
      <c r="D277" s="23" t="s">
        <v>1238</v>
      </c>
      <c r="E277" s="23" t="s">
        <v>1239</v>
      </c>
      <c r="G277" s="23" t="s">
        <v>1240</v>
      </c>
      <c r="K277" s="23" t="s">
        <v>1241</v>
      </c>
      <c r="L277" s="23" t="s">
        <v>1242</v>
      </c>
    </row>
    <row r="278" spans="1:20" x14ac:dyDescent="0.2">
      <c r="A278" s="23" t="s">
        <v>92</v>
      </c>
      <c r="C278" s="23" t="s">
        <v>1256</v>
      </c>
      <c r="D278" s="23" t="s">
        <v>1257</v>
      </c>
      <c r="E278" s="23" t="s">
        <v>1738</v>
      </c>
      <c r="G278" s="23" t="s">
        <v>1739</v>
      </c>
      <c r="K278" s="23" t="s">
        <v>1740</v>
      </c>
      <c r="L278" s="23" t="s">
        <v>1741</v>
      </c>
      <c r="M278" s="23" t="s">
        <v>1742</v>
      </c>
      <c r="N278" s="23" t="s">
        <v>1743</v>
      </c>
      <c r="T278" s="23" t="s">
        <v>1744</v>
      </c>
    </row>
    <row r="279" spans="1:20" x14ac:dyDescent="0.2">
      <c r="A279" s="23" t="s">
        <v>92</v>
      </c>
      <c r="C279" s="23" t="s">
        <v>1745</v>
      </c>
      <c r="D279" s="23" t="s">
        <v>1746</v>
      </c>
      <c r="E279" s="23" t="s">
        <v>1258</v>
      </c>
      <c r="G279" s="23" t="s">
        <v>1747</v>
      </c>
      <c r="K279" s="23" t="s">
        <v>1748</v>
      </c>
      <c r="L279" s="23" t="s">
        <v>1749</v>
      </c>
      <c r="M279" s="23" t="s">
        <v>1750</v>
      </c>
      <c r="N279" s="23" t="s">
        <v>1751</v>
      </c>
    </row>
    <row r="280" spans="1:20" x14ac:dyDescent="0.2">
      <c r="A280" s="23" t="s">
        <v>92</v>
      </c>
      <c r="C280" s="23" t="s">
        <v>1752</v>
      </c>
      <c r="D280" s="23" t="s">
        <v>1753</v>
      </c>
      <c r="E280" s="23" t="s">
        <v>1754</v>
      </c>
      <c r="G280" s="23" t="s">
        <v>1755</v>
      </c>
      <c r="K280" s="23" t="s">
        <v>1756</v>
      </c>
      <c r="L280" s="23" t="s">
        <v>1757</v>
      </c>
      <c r="O280" s="23" t="s">
        <v>11651</v>
      </c>
      <c r="P280" s="23" t="s">
        <v>1758</v>
      </c>
      <c r="Q280" s="23" t="s">
        <v>1759</v>
      </c>
      <c r="R280" s="23" t="s">
        <v>1760</v>
      </c>
      <c r="S280" s="23" t="s">
        <v>1761</v>
      </c>
      <c r="T280" s="23" t="s">
        <v>1762</v>
      </c>
    </row>
    <row r="281" spans="1:20" x14ac:dyDescent="0.2">
      <c r="A281" s="23" t="s">
        <v>92</v>
      </c>
      <c r="C281" s="23" t="s">
        <v>1763</v>
      </c>
      <c r="D281" s="23" t="s">
        <v>1764</v>
      </c>
      <c r="E281" s="23" t="s">
        <v>1765</v>
      </c>
      <c r="G281" s="23" t="s">
        <v>1766</v>
      </c>
      <c r="K281" s="23" t="s">
        <v>1767</v>
      </c>
      <c r="L281" s="23" t="s">
        <v>1768</v>
      </c>
      <c r="O281" s="23" t="s">
        <v>11652</v>
      </c>
      <c r="P281" s="23" t="s">
        <v>16500</v>
      </c>
      <c r="Q281" s="23" t="s">
        <v>16506</v>
      </c>
      <c r="R281" s="23" t="s">
        <v>16512</v>
      </c>
      <c r="S281" s="23" t="s">
        <v>16518</v>
      </c>
      <c r="T281" s="23" t="s">
        <v>16524</v>
      </c>
    </row>
    <row r="282" spans="1:20" x14ac:dyDescent="0.2">
      <c r="A282" s="23" t="s">
        <v>92</v>
      </c>
      <c r="C282" s="23" t="s">
        <v>1769</v>
      </c>
      <c r="D282" s="23" t="s">
        <v>1770</v>
      </c>
      <c r="E282" s="23" t="s">
        <v>1771</v>
      </c>
      <c r="G282" s="23" t="s">
        <v>1772</v>
      </c>
      <c r="K282" s="23" t="s">
        <v>1773</v>
      </c>
      <c r="L282" s="23" t="s">
        <v>1774</v>
      </c>
      <c r="O282" s="23" t="s">
        <v>11571</v>
      </c>
      <c r="P282" s="23" t="s">
        <v>16501</v>
      </c>
      <c r="Q282" s="23" t="s">
        <v>16507</v>
      </c>
      <c r="R282" s="23" t="s">
        <v>16513</v>
      </c>
      <c r="S282" s="23" t="s">
        <v>16519</v>
      </c>
      <c r="T282" s="23" t="s">
        <v>16525</v>
      </c>
    </row>
    <row r="283" spans="1:20" x14ac:dyDescent="0.2">
      <c r="A283" s="23" t="s">
        <v>92</v>
      </c>
      <c r="C283" s="23" t="s">
        <v>1775</v>
      </c>
      <c r="D283" s="23" t="s">
        <v>1776</v>
      </c>
      <c r="E283" s="23" t="s">
        <v>1777</v>
      </c>
      <c r="G283" s="23" t="s">
        <v>1778</v>
      </c>
      <c r="K283" s="23" t="s">
        <v>1779</v>
      </c>
      <c r="L283" s="23" t="s">
        <v>1780</v>
      </c>
      <c r="O283" s="23" t="s">
        <v>11653</v>
      </c>
      <c r="P283" s="23" t="s">
        <v>16502</v>
      </c>
      <c r="Q283" s="23" t="s">
        <v>16508</v>
      </c>
      <c r="R283" s="23" t="s">
        <v>16514</v>
      </c>
      <c r="S283" s="23" t="s">
        <v>16520</v>
      </c>
      <c r="T283" s="23" t="s">
        <v>16526</v>
      </c>
    </row>
    <row r="284" spans="1:20" x14ac:dyDescent="0.2">
      <c r="A284" s="23" t="s">
        <v>92</v>
      </c>
      <c r="C284" s="23" t="s">
        <v>1781</v>
      </c>
      <c r="D284" s="23" t="s">
        <v>1782</v>
      </c>
      <c r="E284" s="23" t="s">
        <v>1783</v>
      </c>
      <c r="G284" s="23" t="s">
        <v>1784</v>
      </c>
      <c r="K284" s="23" t="s">
        <v>1785</v>
      </c>
      <c r="L284" s="23" t="s">
        <v>1786</v>
      </c>
      <c r="O284" s="23" t="s">
        <v>11531</v>
      </c>
      <c r="P284" s="23" t="s">
        <v>16503</v>
      </c>
      <c r="Q284" s="23" t="s">
        <v>16509</v>
      </c>
      <c r="R284" s="23" t="s">
        <v>16515</v>
      </c>
      <c r="S284" s="23" t="s">
        <v>16521</v>
      </c>
      <c r="T284" s="23" t="s">
        <v>16527</v>
      </c>
    </row>
    <row r="285" spans="1:20" x14ac:dyDescent="0.2">
      <c r="A285" s="23" t="s">
        <v>92</v>
      </c>
      <c r="C285" s="23" t="s">
        <v>1787</v>
      </c>
      <c r="D285" s="23" t="s">
        <v>1788</v>
      </c>
      <c r="E285" s="23" t="s">
        <v>1789</v>
      </c>
      <c r="G285" s="23" t="s">
        <v>1790</v>
      </c>
      <c r="K285" s="23" t="s">
        <v>1791</v>
      </c>
      <c r="L285" s="23" t="s">
        <v>1792</v>
      </c>
      <c r="O285" s="23" t="s">
        <v>11573</v>
      </c>
      <c r="P285" s="23" t="s">
        <v>16504</v>
      </c>
      <c r="Q285" s="23" t="s">
        <v>16510</v>
      </c>
      <c r="R285" s="23" t="s">
        <v>16516</v>
      </c>
      <c r="S285" s="23" t="s">
        <v>16522</v>
      </c>
      <c r="T285" s="23" t="s">
        <v>16528</v>
      </c>
    </row>
    <row r="286" spans="1:20" x14ac:dyDescent="0.2">
      <c r="A286" s="23" t="s">
        <v>92</v>
      </c>
      <c r="C286" s="23" t="s">
        <v>1793</v>
      </c>
      <c r="D286" s="23" t="s">
        <v>1794</v>
      </c>
      <c r="E286" s="23" t="s">
        <v>1795</v>
      </c>
      <c r="G286" s="23" t="s">
        <v>1796</v>
      </c>
      <c r="K286" s="23" t="s">
        <v>1797</v>
      </c>
      <c r="L286" s="23" t="s">
        <v>1798</v>
      </c>
      <c r="O286" s="23" t="s">
        <v>11654</v>
      </c>
      <c r="P286" s="23" t="s">
        <v>16505</v>
      </c>
      <c r="Q286" s="23" t="s">
        <v>16511</v>
      </c>
      <c r="R286" s="23" t="s">
        <v>16517</v>
      </c>
      <c r="S286" s="23" t="s">
        <v>16523</v>
      </c>
      <c r="T286" s="23" t="s">
        <v>16529</v>
      </c>
    </row>
    <row r="287" spans="1:20" x14ac:dyDescent="0.2">
      <c r="A287" s="23" t="s">
        <v>92</v>
      </c>
      <c r="C287" s="23" t="s">
        <v>1763</v>
      </c>
      <c r="D287" s="23" t="s">
        <v>1764</v>
      </c>
      <c r="E287" s="23" t="s">
        <v>1765</v>
      </c>
      <c r="G287" s="23" t="s">
        <v>1766</v>
      </c>
      <c r="K287" s="23" t="s">
        <v>1767</v>
      </c>
      <c r="L287" s="23" t="s">
        <v>1768</v>
      </c>
    </row>
    <row r="288" spans="1:20" x14ac:dyDescent="0.2">
      <c r="A288" s="23" t="s">
        <v>92</v>
      </c>
      <c r="C288" s="23" t="s">
        <v>1799</v>
      </c>
      <c r="D288" s="23" t="s">
        <v>1800</v>
      </c>
      <c r="E288" s="23" t="s">
        <v>1801</v>
      </c>
      <c r="G288" s="23" t="s">
        <v>1802</v>
      </c>
      <c r="K288" s="23" t="s">
        <v>1803</v>
      </c>
      <c r="L288" s="23" t="s">
        <v>1804</v>
      </c>
      <c r="M288" s="23" t="s">
        <v>1805</v>
      </c>
      <c r="N288" s="23" t="s">
        <v>1806</v>
      </c>
      <c r="T288" s="23" t="s">
        <v>1807</v>
      </c>
    </row>
    <row r="289" spans="1:20" x14ac:dyDescent="0.2">
      <c r="A289" s="23" t="s">
        <v>92</v>
      </c>
      <c r="C289" s="23" t="s">
        <v>1808</v>
      </c>
      <c r="D289" s="23" t="s">
        <v>1809</v>
      </c>
      <c r="E289" s="23" t="s">
        <v>1810</v>
      </c>
      <c r="G289" s="23" t="s">
        <v>1811</v>
      </c>
      <c r="K289" s="23" t="s">
        <v>1812</v>
      </c>
      <c r="L289" s="23" t="s">
        <v>1813</v>
      </c>
      <c r="M289" s="23" t="s">
        <v>1814</v>
      </c>
      <c r="N289" s="23" t="s">
        <v>1815</v>
      </c>
    </row>
    <row r="290" spans="1:20" x14ac:dyDescent="0.2">
      <c r="A290" s="23" t="s">
        <v>92</v>
      </c>
      <c r="C290" s="23" t="s">
        <v>1816</v>
      </c>
      <c r="D290" s="23" t="s">
        <v>1817</v>
      </c>
      <c r="E290" s="23" t="s">
        <v>1818</v>
      </c>
      <c r="G290" s="23" t="s">
        <v>1819</v>
      </c>
      <c r="K290" s="23" t="s">
        <v>1820</v>
      </c>
      <c r="L290" s="23" t="s">
        <v>1821</v>
      </c>
      <c r="O290" s="23" t="s">
        <v>11655</v>
      </c>
      <c r="P290" s="23" t="s">
        <v>1822</v>
      </c>
      <c r="Q290" s="23" t="s">
        <v>1823</v>
      </c>
      <c r="R290" s="23" t="s">
        <v>1824</v>
      </c>
      <c r="S290" s="23" t="s">
        <v>1825</v>
      </c>
      <c r="T290" s="23" t="s">
        <v>1826</v>
      </c>
    </row>
    <row r="291" spans="1:20" x14ac:dyDescent="0.2">
      <c r="A291" s="23" t="s">
        <v>92</v>
      </c>
      <c r="C291" s="23" t="s">
        <v>1827</v>
      </c>
      <c r="D291" s="23" t="s">
        <v>1828</v>
      </c>
      <c r="E291" s="23" t="s">
        <v>1829</v>
      </c>
      <c r="G291" s="23" t="s">
        <v>1830</v>
      </c>
      <c r="K291" s="23" t="s">
        <v>1831</v>
      </c>
      <c r="L291" s="23" t="s">
        <v>1832</v>
      </c>
      <c r="O291" s="23" t="s">
        <v>11656</v>
      </c>
      <c r="P291" s="23" t="s">
        <v>16475</v>
      </c>
      <c r="Q291" s="23" t="s">
        <v>16480</v>
      </c>
      <c r="R291" s="23" t="s">
        <v>16485</v>
      </c>
      <c r="S291" s="23" t="s">
        <v>16490</v>
      </c>
      <c r="T291" s="23" t="s">
        <v>16495</v>
      </c>
    </row>
    <row r="292" spans="1:20" x14ac:dyDescent="0.2">
      <c r="A292" s="23" t="s">
        <v>92</v>
      </c>
      <c r="C292" s="23" t="s">
        <v>1833</v>
      </c>
      <c r="D292" s="23" t="s">
        <v>1834</v>
      </c>
      <c r="E292" s="23" t="s">
        <v>1835</v>
      </c>
      <c r="G292" s="23" t="s">
        <v>1836</v>
      </c>
      <c r="K292" s="23" t="s">
        <v>1837</v>
      </c>
      <c r="L292" s="23" t="s">
        <v>1838</v>
      </c>
      <c r="O292" s="23" t="s">
        <v>11657</v>
      </c>
      <c r="P292" s="23" t="s">
        <v>16476</v>
      </c>
      <c r="Q292" s="23" t="s">
        <v>16481</v>
      </c>
      <c r="R292" s="23" t="s">
        <v>16486</v>
      </c>
      <c r="S292" s="23" t="s">
        <v>16491</v>
      </c>
      <c r="T292" s="23" t="s">
        <v>16496</v>
      </c>
    </row>
    <row r="293" spans="1:20" x14ac:dyDescent="0.2">
      <c r="A293" s="23" t="s">
        <v>92</v>
      </c>
      <c r="C293" s="23" t="s">
        <v>1839</v>
      </c>
      <c r="D293" s="23" t="s">
        <v>1840</v>
      </c>
      <c r="E293" s="23" t="s">
        <v>1841</v>
      </c>
      <c r="G293" s="23" t="s">
        <v>1842</v>
      </c>
      <c r="K293" s="23" t="s">
        <v>1843</v>
      </c>
      <c r="L293" s="23" t="s">
        <v>1844</v>
      </c>
      <c r="O293" s="23" t="s">
        <v>11538</v>
      </c>
      <c r="P293" s="23" t="s">
        <v>16477</v>
      </c>
      <c r="Q293" s="23" t="s">
        <v>16482</v>
      </c>
      <c r="R293" s="23" t="s">
        <v>16487</v>
      </c>
      <c r="S293" s="23" t="s">
        <v>16492</v>
      </c>
      <c r="T293" s="23" t="s">
        <v>16497</v>
      </c>
    </row>
    <row r="294" spans="1:20" x14ac:dyDescent="0.2">
      <c r="A294" s="23" t="s">
        <v>92</v>
      </c>
      <c r="C294" s="23" t="s">
        <v>1845</v>
      </c>
      <c r="D294" s="23" t="s">
        <v>1846</v>
      </c>
      <c r="E294" s="23" t="s">
        <v>1847</v>
      </c>
      <c r="G294" s="23" t="s">
        <v>1848</v>
      </c>
      <c r="K294" s="23" t="s">
        <v>1849</v>
      </c>
      <c r="L294" s="23" t="s">
        <v>1850</v>
      </c>
      <c r="O294" s="23" t="s">
        <v>11578</v>
      </c>
      <c r="P294" s="23" t="s">
        <v>16478</v>
      </c>
      <c r="Q294" s="23" t="s">
        <v>16483</v>
      </c>
      <c r="R294" s="23" t="s">
        <v>16488</v>
      </c>
      <c r="S294" s="23" t="s">
        <v>16493</v>
      </c>
      <c r="T294" s="23" t="s">
        <v>16498</v>
      </c>
    </row>
    <row r="295" spans="1:20" x14ac:dyDescent="0.2">
      <c r="A295" s="23" t="s">
        <v>92</v>
      </c>
      <c r="C295" s="23" t="s">
        <v>1851</v>
      </c>
      <c r="D295" s="23" t="s">
        <v>1852</v>
      </c>
      <c r="E295" s="23" t="s">
        <v>1853</v>
      </c>
      <c r="G295" s="23" t="s">
        <v>1854</v>
      </c>
      <c r="K295" s="23" t="s">
        <v>1855</v>
      </c>
      <c r="L295" s="23" t="s">
        <v>1856</v>
      </c>
      <c r="O295" s="23" t="s">
        <v>11658</v>
      </c>
      <c r="P295" s="23" t="s">
        <v>16479</v>
      </c>
      <c r="Q295" s="23" t="s">
        <v>16484</v>
      </c>
      <c r="R295" s="23" t="s">
        <v>16489</v>
      </c>
      <c r="S295" s="23" t="s">
        <v>16494</v>
      </c>
      <c r="T295" s="23" t="s">
        <v>16499</v>
      </c>
    </row>
    <row r="296" spans="1:20" x14ac:dyDescent="0.2">
      <c r="A296" s="23" t="s">
        <v>92</v>
      </c>
      <c r="C296" s="23" t="s">
        <v>1827</v>
      </c>
      <c r="D296" s="23" t="s">
        <v>1828</v>
      </c>
      <c r="E296" s="23" t="s">
        <v>1829</v>
      </c>
      <c r="G296" s="23" t="s">
        <v>1830</v>
      </c>
      <c r="K296" s="23" t="s">
        <v>1831</v>
      </c>
      <c r="L296" s="23" t="s">
        <v>1832</v>
      </c>
    </row>
    <row r="297" spans="1:20" x14ac:dyDescent="0.2">
      <c r="A297" s="23" t="s">
        <v>92</v>
      </c>
      <c r="C297" s="23" t="s">
        <v>1857</v>
      </c>
      <c r="D297" s="23" t="s">
        <v>1858</v>
      </c>
      <c r="E297" s="23" t="s">
        <v>1859</v>
      </c>
      <c r="G297" s="23" t="s">
        <v>1860</v>
      </c>
      <c r="K297" s="23" t="s">
        <v>1861</v>
      </c>
      <c r="L297" s="23" t="s">
        <v>1862</v>
      </c>
      <c r="M297" s="23" t="s">
        <v>1863</v>
      </c>
      <c r="N297" s="23" t="s">
        <v>1864</v>
      </c>
      <c r="T297" s="23" t="s">
        <v>1865</v>
      </c>
    </row>
    <row r="298" spans="1:20" x14ac:dyDescent="0.2">
      <c r="A298" s="23" t="s">
        <v>92</v>
      </c>
      <c r="C298" s="23" t="s">
        <v>1866</v>
      </c>
      <c r="D298" s="23" t="s">
        <v>1867</v>
      </c>
      <c r="E298" s="23" t="s">
        <v>1868</v>
      </c>
      <c r="G298" s="23" t="s">
        <v>1869</v>
      </c>
      <c r="K298" s="23" t="s">
        <v>1870</v>
      </c>
      <c r="L298" s="23" t="s">
        <v>1871</v>
      </c>
      <c r="M298" s="23" t="s">
        <v>1872</v>
      </c>
      <c r="N298" s="23" t="s">
        <v>1873</v>
      </c>
    </row>
    <row r="299" spans="1:20" x14ac:dyDescent="0.2">
      <c r="A299" s="23" t="s">
        <v>92</v>
      </c>
      <c r="C299" s="23" t="s">
        <v>1874</v>
      </c>
      <c r="D299" s="23" t="s">
        <v>1875</v>
      </c>
      <c r="E299" s="23" t="s">
        <v>1876</v>
      </c>
      <c r="G299" s="23" t="s">
        <v>1877</v>
      </c>
      <c r="K299" s="23" t="s">
        <v>1878</v>
      </c>
      <c r="L299" s="23" t="s">
        <v>1879</v>
      </c>
      <c r="O299" s="23" t="s">
        <v>11659</v>
      </c>
      <c r="P299" s="23" t="s">
        <v>1880</v>
      </c>
      <c r="Q299" s="23" t="s">
        <v>1881</v>
      </c>
      <c r="R299" s="23" t="s">
        <v>1882</v>
      </c>
      <c r="S299" s="23" t="s">
        <v>1883</v>
      </c>
      <c r="T299" s="23" t="s">
        <v>1884</v>
      </c>
    </row>
    <row r="300" spans="1:20" x14ac:dyDescent="0.2">
      <c r="A300" s="23" t="s">
        <v>92</v>
      </c>
      <c r="C300" s="23" t="s">
        <v>1885</v>
      </c>
      <c r="D300" s="23" t="s">
        <v>1886</v>
      </c>
      <c r="E300" s="23" t="s">
        <v>1887</v>
      </c>
      <c r="G300" s="23" t="s">
        <v>1888</v>
      </c>
      <c r="K300" s="23" t="s">
        <v>1889</v>
      </c>
      <c r="L300" s="23" t="s">
        <v>1890</v>
      </c>
      <c r="O300" s="23" t="s">
        <v>11660</v>
      </c>
      <c r="P300" s="23" t="s">
        <v>16450</v>
      </c>
      <c r="Q300" s="23" t="s">
        <v>16455</v>
      </c>
      <c r="R300" s="23" t="s">
        <v>16460</v>
      </c>
      <c r="S300" s="23" t="s">
        <v>16465</v>
      </c>
      <c r="T300" s="23" t="s">
        <v>16470</v>
      </c>
    </row>
    <row r="301" spans="1:20" x14ac:dyDescent="0.2">
      <c r="A301" s="23" t="s">
        <v>92</v>
      </c>
      <c r="C301" s="23" t="s">
        <v>1891</v>
      </c>
      <c r="D301" s="23" t="s">
        <v>1892</v>
      </c>
      <c r="E301" s="23" t="s">
        <v>1893</v>
      </c>
      <c r="G301" s="23" t="s">
        <v>1894</v>
      </c>
      <c r="K301" s="23" t="s">
        <v>1895</v>
      </c>
      <c r="L301" s="23" t="s">
        <v>1896</v>
      </c>
      <c r="O301" s="23" t="s">
        <v>11661</v>
      </c>
      <c r="P301" s="23" t="s">
        <v>16451</v>
      </c>
      <c r="Q301" s="23" t="s">
        <v>16456</v>
      </c>
      <c r="R301" s="23" t="s">
        <v>16461</v>
      </c>
      <c r="S301" s="23" t="s">
        <v>16466</v>
      </c>
      <c r="T301" s="23" t="s">
        <v>16471</v>
      </c>
    </row>
    <row r="302" spans="1:20" x14ac:dyDescent="0.2">
      <c r="A302" s="23" t="s">
        <v>92</v>
      </c>
      <c r="C302" s="23" t="s">
        <v>1897</v>
      </c>
      <c r="D302" s="23" t="s">
        <v>1898</v>
      </c>
      <c r="E302" s="23" t="s">
        <v>1899</v>
      </c>
      <c r="G302" s="23" t="s">
        <v>1900</v>
      </c>
      <c r="K302" s="23" t="s">
        <v>1901</v>
      </c>
      <c r="L302" s="23" t="s">
        <v>1902</v>
      </c>
      <c r="O302" s="23" t="s">
        <v>11546</v>
      </c>
      <c r="P302" s="23" t="s">
        <v>16452</v>
      </c>
      <c r="Q302" s="23" t="s">
        <v>16457</v>
      </c>
      <c r="R302" s="23" t="s">
        <v>16462</v>
      </c>
      <c r="S302" s="23" t="s">
        <v>16467</v>
      </c>
      <c r="T302" s="23" t="s">
        <v>16472</v>
      </c>
    </row>
    <row r="303" spans="1:20" x14ac:dyDescent="0.2">
      <c r="A303" s="23" t="s">
        <v>92</v>
      </c>
      <c r="C303" s="23" t="s">
        <v>1903</v>
      </c>
      <c r="D303" s="23" t="s">
        <v>1904</v>
      </c>
      <c r="E303" s="23" t="s">
        <v>1905</v>
      </c>
      <c r="G303" s="23" t="s">
        <v>1906</v>
      </c>
      <c r="K303" s="23" t="s">
        <v>1907</v>
      </c>
      <c r="L303" s="23" t="s">
        <v>1908</v>
      </c>
      <c r="O303" s="23" t="s">
        <v>11583</v>
      </c>
      <c r="P303" s="23" t="s">
        <v>16453</v>
      </c>
      <c r="Q303" s="23" t="s">
        <v>16458</v>
      </c>
      <c r="R303" s="23" t="s">
        <v>16463</v>
      </c>
      <c r="S303" s="23" t="s">
        <v>16468</v>
      </c>
      <c r="T303" s="23" t="s">
        <v>16473</v>
      </c>
    </row>
    <row r="304" spans="1:20" x14ac:dyDescent="0.2">
      <c r="A304" s="23" t="s">
        <v>92</v>
      </c>
      <c r="C304" s="23" t="s">
        <v>1909</v>
      </c>
      <c r="D304" s="23" t="s">
        <v>1910</v>
      </c>
      <c r="E304" s="23" t="s">
        <v>1911</v>
      </c>
      <c r="G304" s="23" t="s">
        <v>1912</v>
      </c>
      <c r="K304" s="23" t="s">
        <v>1913</v>
      </c>
      <c r="L304" s="23" t="s">
        <v>1914</v>
      </c>
      <c r="O304" s="23" t="s">
        <v>11662</v>
      </c>
      <c r="P304" s="23" t="s">
        <v>16454</v>
      </c>
      <c r="Q304" s="23" t="s">
        <v>16459</v>
      </c>
      <c r="R304" s="23" t="s">
        <v>16464</v>
      </c>
      <c r="S304" s="23" t="s">
        <v>16469</v>
      </c>
      <c r="T304" s="23" t="s">
        <v>16474</v>
      </c>
    </row>
    <row r="305" spans="1:20" x14ac:dyDescent="0.2">
      <c r="A305" s="23" t="s">
        <v>92</v>
      </c>
      <c r="C305" s="23" t="s">
        <v>1885</v>
      </c>
      <c r="D305" s="23" t="s">
        <v>1886</v>
      </c>
      <c r="E305" s="23" t="s">
        <v>1887</v>
      </c>
      <c r="G305" s="23" t="s">
        <v>1888</v>
      </c>
      <c r="K305" s="23" t="s">
        <v>1889</v>
      </c>
      <c r="L305" s="23" t="s">
        <v>1890</v>
      </c>
    </row>
    <row r="306" spans="1:20" x14ac:dyDescent="0.2">
      <c r="A306" s="23" t="s">
        <v>92</v>
      </c>
      <c r="C306" s="23" t="s">
        <v>1915</v>
      </c>
      <c r="D306" s="23" t="s">
        <v>1916</v>
      </c>
      <c r="E306" s="23" t="s">
        <v>1917</v>
      </c>
      <c r="G306" s="23" t="s">
        <v>1918</v>
      </c>
      <c r="K306" s="23" t="s">
        <v>1919</v>
      </c>
      <c r="L306" s="23" t="s">
        <v>1920</v>
      </c>
      <c r="M306" s="23" t="s">
        <v>1921</v>
      </c>
      <c r="N306" s="23" t="s">
        <v>1922</v>
      </c>
      <c r="T306" s="23" t="s">
        <v>1923</v>
      </c>
    </row>
    <row r="307" spans="1:20" x14ac:dyDescent="0.2">
      <c r="A307" s="23" t="s">
        <v>92</v>
      </c>
      <c r="C307" s="23" t="s">
        <v>1924</v>
      </c>
      <c r="D307" s="23" t="s">
        <v>1925</v>
      </c>
      <c r="E307" s="23" t="s">
        <v>1926</v>
      </c>
      <c r="G307" s="23" t="s">
        <v>1927</v>
      </c>
      <c r="K307" s="23" t="s">
        <v>1928</v>
      </c>
      <c r="L307" s="23" t="s">
        <v>1929</v>
      </c>
      <c r="M307" s="23" t="s">
        <v>1930</v>
      </c>
      <c r="N307" s="23" t="s">
        <v>1931</v>
      </c>
    </row>
    <row r="308" spans="1:20" x14ac:dyDescent="0.2">
      <c r="A308" s="23" t="s">
        <v>92</v>
      </c>
      <c r="C308" s="23" t="s">
        <v>1932</v>
      </c>
      <c r="D308" s="23" t="s">
        <v>1933</v>
      </c>
      <c r="E308" s="23" t="s">
        <v>1934</v>
      </c>
      <c r="G308" s="23" t="s">
        <v>1935</v>
      </c>
      <c r="K308" s="23" t="s">
        <v>1936</v>
      </c>
      <c r="L308" s="23" t="s">
        <v>1937</v>
      </c>
      <c r="O308" s="23" t="s">
        <v>11663</v>
      </c>
      <c r="P308" s="23" t="s">
        <v>1938</v>
      </c>
      <c r="Q308" s="23" t="s">
        <v>1939</v>
      </c>
      <c r="R308" s="23" t="s">
        <v>1940</v>
      </c>
      <c r="S308" s="23" t="s">
        <v>1941</v>
      </c>
      <c r="T308" s="23" t="s">
        <v>1942</v>
      </c>
    </row>
    <row r="309" spans="1:20" x14ac:dyDescent="0.2">
      <c r="A309" s="23" t="s">
        <v>92</v>
      </c>
      <c r="C309" s="23" t="s">
        <v>1943</v>
      </c>
      <c r="D309" s="23" t="s">
        <v>1944</v>
      </c>
      <c r="E309" s="23" t="s">
        <v>1945</v>
      </c>
      <c r="G309" s="23" t="s">
        <v>1946</v>
      </c>
      <c r="K309" s="23" t="s">
        <v>1947</v>
      </c>
      <c r="L309" s="23" t="s">
        <v>1948</v>
      </c>
      <c r="O309" s="23" t="s">
        <v>11664</v>
      </c>
      <c r="P309" s="23" t="s">
        <v>16425</v>
      </c>
      <c r="Q309" s="23" t="s">
        <v>16430</v>
      </c>
      <c r="R309" s="23" t="s">
        <v>16435</v>
      </c>
      <c r="S309" s="23" t="s">
        <v>16440</v>
      </c>
      <c r="T309" s="23" t="s">
        <v>16445</v>
      </c>
    </row>
    <row r="310" spans="1:20" x14ac:dyDescent="0.2">
      <c r="A310" s="23" t="s">
        <v>92</v>
      </c>
      <c r="C310" s="23" t="s">
        <v>1949</v>
      </c>
      <c r="D310" s="23" t="s">
        <v>1950</v>
      </c>
      <c r="E310" s="23" t="s">
        <v>1951</v>
      </c>
      <c r="G310" s="23" t="s">
        <v>1952</v>
      </c>
      <c r="K310" s="23" t="s">
        <v>1953</v>
      </c>
      <c r="L310" s="23" t="s">
        <v>1954</v>
      </c>
      <c r="O310" s="23" t="s">
        <v>11665</v>
      </c>
      <c r="P310" s="23" t="s">
        <v>16426</v>
      </c>
      <c r="Q310" s="23" t="s">
        <v>16431</v>
      </c>
      <c r="R310" s="23" t="s">
        <v>16436</v>
      </c>
      <c r="S310" s="23" t="s">
        <v>16441</v>
      </c>
      <c r="T310" s="23" t="s">
        <v>16446</v>
      </c>
    </row>
    <row r="311" spans="1:20" x14ac:dyDescent="0.2">
      <c r="A311" s="23" t="s">
        <v>92</v>
      </c>
      <c r="C311" s="23" t="s">
        <v>1955</v>
      </c>
      <c r="D311" s="23" t="s">
        <v>1956</v>
      </c>
      <c r="E311" s="23" t="s">
        <v>1957</v>
      </c>
      <c r="G311" s="23" t="s">
        <v>1958</v>
      </c>
      <c r="K311" s="23" t="s">
        <v>1959</v>
      </c>
      <c r="L311" s="23" t="s">
        <v>1960</v>
      </c>
      <c r="O311" s="23" t="s">
        <v>11554</v>
      </c>
      <c r="P311" s="23" t="s">
        <v>16427</v>
      </c>
      <c r="Q311" s="23" t="s">
        <v>16432</v>
      </c>
      <c r="R311" s="23" t="s">
        <v>16437</v>
      </c>
      <c r="S311" s="23" t="s">
        <v>16442</v>
      </c>
      <c r="T311" s="23" t="s">
        <v>16447</v>
      </c>
    </row>
    <row r="312" spans="1:20" x14ac:dyDescent="0.2">
      <c r="A312" s="23" t="s">
        <v>92</v>
      </c>
      <c r="C312" s="23" t="s">
        <v>1961</v>
      </c>
      <c r="D312" s="23" t="s">
        <v>1962</v>
      </c>
      <c r="E312" s="23" t="s">
        <v>1963</v>
      </c>
      <c r="G312" s="23" t="s">
        <v>1964</v>
      </c>
      <c r="K312" s="23" t="s">
        <v>1965</v>
      </c>
      <c r="L312" s="23" t="s">
        <v>1966</v>
      </c>
      <c r="O312" s="23" t="s">
        <v>11588</v>
      </c>
      <c r="P312" s="23" t="s">
        <v>16428</v>
      </c>
      <c r="Q312" s="23" t="s">
        <v>16433</v>
      </c>
      <c r="R312" s="23" t="s">
        <v>16438</v>
      </c>
      <c r="S312" s="23" t="s">
        <v>16443</v>
      </c>
      <c r="T312" s="23" t="s">
        <v>16448</v>
      </c>
    </row>
    <row r="313" spans="1:20" x14ac:dyDescent="0.2">
      <c r="A313" s="23" t="s">
        <v>92</v>
      </c>
      <c r="C313" s="23" t="s">
        <v>1967</v>
      </c>
      <c r="D313" s="23" t="s">
        <v>1968</v>
      </c>
      <c r="E313" s="23" t="s">
        <v>1969</v>
      </c>
      <c r="G313" s="23" t="s">
        <v>1970</v>
      </c>
      <c r="K313" s="23" t="s">
        <v>1971</v>
      </c>
      <c r="L313" s="23" t="s">
        <v>1972</v>
      </c>
      <c r="O313" s="23" t="s">
        <v>11666</v>
      </c>
      <c r="P313" s="23" t="s">
        <v>16429</v>
      </c>
      <c r="Q313" s="23" t="s">
        <v>16434</v>
      </c>
      <c r="R313" s="23" t="s">
        <v>16439</v>
      </c>
      <c r="S313" s="23" t="s">
        <v>16444</v>
      </c>
      <c r="T313" s="23" t="s">
        <v>16449</v>
      </c>
    </row>
    <row r="314" spans="1:20" x14ac:dyDescent="0.2">
      <c r="A314" s="23" t="s">
        <v>92</v>
      </c>
      <c r="C314" s="23" t="s">
        <v>1943</v>
      </c>
      <c r="D314" s="23" t="s">
        <v>1944</v>
      </c>
      <c r="E314" s="23" t="s">
        <v>1945</v>
      </c>
      <c r="G314" s="23" t="s">
        <v>1946</v>
      </c>
      <c r="K314" s="23" t="s">
        <v>1947</v>
      </c>
      <c r="L314" s="23" t="s">
        <v>1948</v>
      </c>
    </row>
    <row r="315" spans="1:20" x14ac:dyDescent="0.2">
      <c r="A315" s="23" t="s">
        <v>92</v>
      </c>
      <c r="C315" s="23" t="s">
        <v>1973</v>
      </c>
      <c r="D315" s="23" t="s">
        <v>1974</v>
      </c>
      <c r="E315" s="23" t="s">
        <v>1975</v>
      </c>
      <c r="G315" s="23" t="s">
        <v>1976</v>
      </c>
      <c r="K315" s="23" t="s">
        <v>1977</v>
      </c>
      <c r="L315" s="23" t="s">
        <v>1978</v>
      </c>
      <c r="M315" s="23" t="s">
        <v>1979</v>
      </c>
      <c r="N315" s="23" t="s">
        <v>1980</v>
      </c>
      <c r="T315" s="23" t="s">
        <v>1981</v>
      </c>
    </row>
    <row r="316" spans="1:20" x14ac:dyDescent="0.2">
      <c r="A316" s="23" t="s">
        <v>92</v>
      </c>
      <c r="C316" s="23" t="s">
        <v>1226</v>
      </c>
      <c r="D316" s="23" t="s">
        <v>1227</v>
      </c>
      <c r="E316" s="23" t="s">
        <v>1228</v>
      </c>
      <c r="G316" s="23" t="s">
        <v>1229</v>
      </c>
    </row>
    <row r="317" spans="1:20" x14ac:dyDescent="0.2">
      <c r="A317" s="23" t="s">
        <v>92</v>
      </c>
      <c r="C317" s="23" t="s">
        <v>1982</v>
      </c>
      <c r="D317" s="23" t="s">
        <v>1983</v>
      </c>
      <c r="E317" s="23" t="s">
        <v>1984</v>
      </c>
      <c r="G317" s="23" t="s">
        <v>1985</v>
      </c>
      <c r="H317" s="23" t="s">
        <v>1986</v>
      </c>
      <c r="I317" s="23" t="s">
        <v>1987</v>
      </c>
      <c r="J317" s="23" t="s">
        <v>1988</v>
      </c>
      <c r="T317" s="23" t="s">
        <v>1989</v>
      </c>
    </row>
    <row r="318" spans="1:20" x14ac:dyDescent="0.2">
      <c r="A318" s="23" t="s">
        <v>92</v>
      </c>
      <c r="C318" s="23" t="s">
        <v>1990</v>
      </c>
      <c r="D318" s="23" t="s">
        <v>1991</v>
      </c>
      <c r="E318" s="23" t="s">
        <v>1992</v>
      </c>
      <c r="G318" s="23" t="s">
        <v>1993</v>
      </c>
      <c r="H318" s="23" t="s">
        <v>1994</v>
      </c>
      <c r="I318" s="23" t="s">
        <v>1995</v>
      </c>
      <c r="J318" s="23" t="s">
        <v>1996</v>
      </c>
    </row>
    <row r="319" spans="1:20" x14ac:dyDescent="0.2">
      <c r="A319" s="23" t="s">
        <v>92</v>
      </c>
      <c r="C319" s="23" t="s">
        <v>1997</v>
      </c>
      <c r="D319" s="23" t="s">
        <v>1998</v>
      </c>
      <c r="E319" s="23" t="s">
        <v>1999</v>
      </c>
      <c r="G319" s="23" t="s">
        <v>2000</v>
      </c>
      <c r="K319" s="23" t="s">
        <v>2001</v>
      </c>
      <c r="L319" s="23" t="s">
        <v>2002</v>
      </c>
      <c r="M319" s="23" t="s">
        <v>11667</v>
      </c>
      <c r="N319" s="23" t="s">
        <v>2003</v>
      </c>
    </row>
    <row r="320" spans="1:20" x14ac:dyDescent="0.2">
      <c r="A320" s="23" t="s">
        <v>92</v>
      </c>
      <c r="C320" s="23" t="s">
        <v>2004</v>
      </c>
      <c r="D320" s="23" t="s">
        <v>2005</v>
      </c>
      <c r="E320" s="23" t="s">
        <v>2006</v>
      </c>
      <c r="G320" s="23" t="s">
        <v>2007</v>
      </c>
      <c r="K320" s="23" t="s">
        <v>2008</v>
      </c>
      <c r="L320" s="23" t="s">
        <v>2009</v>
      </c>
      <c r="O320" s="23" t="s">
        <v>11668</v>
      </c>
      <c r="P320" s="23" t="s">
        <v>2010</v>
      </c>
      <c r="Q320" s="23" t="s">
        <v>2011</v>
      </c>
      <c r="R320" s="23" t="s">
        <v>2012</v>
      </c>
      <c r="S320" s="23" t="s">
        <v>2013</v>
      </c>
      <c r="T320" s="23" t="s">
        <v>2014</v>
      </c>
    </row>
    <row r="321" spans="1:20" x14ac:dyDescent="0.2">
      <c r="A321" s="23" t="s">
        <v>92</v>
      </c>
      <c r="C321" s="23" t="s">
        <v>2015</v>
      </c>
      <c r="D321" s="23" t="s">
        <v>2016</v>
      </c>
      <c r="E321" s="23" t="s">
        <v>2017</v>
      </c>
      <c r="G321" s="23" t="s">
        <v>2018</v>
      </c>
      <c r="K321" s="23" t="s">
        <v>2019</v>
      </c>
      <c r="L321" s="23" t="s">
        <v>2020</v>
      </c>
      <c r="O321" s="23" t="s">
        <v>11669</v>
      </c>
      <c r="P321" s="23" t="s">
        <v>16900</v>
      </c>
      <c r="Q321" s="23" t="s">
        <v>16905</v>
      </c>
      <c r="R321" s="23" t="s">
        <v>16910</v>
      </c>
      <c r="S321" s="23" t="s">
        <v>16915</v>
      </c>
      <c r="T321" s="23" t="s">
        <v>16920</v>
      </c>
    </row>
    <row r="322" spans="1:20" x14ac:dyDescent="0.2">
      <c r="A322" s="23" t="s">
        <v>92</v>
      </c>
      <c r="C322" s="23" t="s">
        <v>2021</v>
      </c>
      <c r="D322" s="23" t="s">
        <v>2022</v>
      </c>
      <c r="E322" s="23" t="s">
        <v>2023</v>
      </c>
      <c r="G322" s="23" t="s">
        <v>2024</v>
      </c>
      <c r="K322" s="23" t="s">
        <v>2025</v>
      </c>
      <c r="L322" s="23" t="s">
        <v>2026</v>
      </c>
      <c r="O322" s="23" t="s">
        <v>11670</v>
      </c>
      <c r="P322" s="23" t="s">
        <v>16901</v>
      </c>
      <c r="Q322" s="23" t="s">
        <v>16906</v>
      </c>
      <c r="R322" s="23" t="s">
        <v>16911</v>
      </c>
      <c r="S322" s="23" t="s">
        <v>16916</v>
      </c>
      <c r="T322" s="23" t="s">
        <v>16921</v>
      </c>
    </row>
    <row r="323" spans="1:20" x14ac:dyDescent="0.2">
      <c r="A323" s="23" t="s">
        <v>92</v>
      </c>
      <c r="C323" s="23" t="s">
        <v>2027</v>
      </c>
      <c r="D323" s="23" t="s">
        <v>2028</v>
      </c>
      <c r="E323" s="23" t="s">
        <v>2029</v>
      </c>
      <c r="G323" s="23" t="s">
        <v>2030</v>
      </c>
      <c r="K323" s="23" t="s">
        <v>2031</v>
      </c>
      <c r="L323" s="23" t="s">
        <v>2032</v>
      </c>
      <c r="O323" s="23" t="s">
        <v>11517</v>
      </c>
      <c r="P323" s="23" t="s">
        <v>16902</v>
      </c>
      <c r="Q323" s="23" t="s">
        <v>16907</v>
      </c>
      <c r="R323" s="23" t="s">
        <v>16912</v>
      </c>
      <c r="S323" s="23" t="s">
        <v>16917</v>
      </c>
      <c r="T323" s="23" t="s">
        <v>16922</v>
      </c>
    </row>
    <row r="324" spans="1:20" x14ac:dyDescent="0.2">
      <c r="A324" s="23" t="s">
        <v>92</v>
      </c>
      <c r="C324" s="23" t="s">
        <v>2033</v>
      </c>
      <c r="D324" s="23" t="s">
        <v>2034</v>
      </c>
      <c r="E324" s="23" t="s">
        <v>2035</v>
      </c>
      <c r="G324" s="23" t="s">
        <v>2036</v>
      </c>
      <c r="K324" s="23" t="s">
        <v>2037</v>
      </c>
      <c r="L324" s="23" t="s">
        <v>2038</v>
      </c>
      <c r="O324" s="23" t="s">
        <v>11562</v>
      </c>
      <c r="P324" s="23" t="s">
        <v>16903</v>
      </c>
      <c r="Q324" s="23" t="s">
        <v>16908</v>
      </c>
      <c r="R324" s="23" t="s">
        <v>16913</v>
      </c>
      <c r="S324" s="23" t="s">
        <v>16918</v>
      </c>
      <c r="T324" s="23" t="s">
        <v>16923</v>
      </c>
    </row>
    <row r="325" spans="1:20" x14ac:dyDescent="0.2">
      <c r="A325" s="23" t="s">
        <v>92</v>
      </c>
      <c r="C325" s="23" t="s">
        <v>2039</v>
      </c>
      <c r="D325" s="23" t="s">
        <v>2040</v>
      </c>
      <c r="E325" s="23" t="s">
        <v>2041</v>
      </c>
      <c r="G325" s="23" t="s">
        <v>2042</v>
      </c>
      <c r="K325" s="23" t="s">
        <v>2043</v>
      </c>
      <c r="L325" s="23" t="s">
        <v>2044</v>
      </c>
      <c r="O325" s="23" t="s">
        <v>11671</v>
      </c>
      <c r="P325" s="23" t="s">
        <v>16904</v>
      </c>
      <c r="Q325" s="23" t="s">
        <v>16909</v>
      </c>
      <c r="R325" s="23" t="s">
        <v>16914</v>
      </c>
      <c r="S325" s="23" t="s">
        <v>16919</v>
      </c>
      <c r="T325" s="23" t="s">
        <v>16924</v>
      </c>
    </row>
    <row r="326" spans="1:20" x14ac:dyDescent="0.2">
      <c r="A326" s="23" t="s">
        <v>92</v>
      </c>
      <c r="C326" s="23" t="s">
        <v>2015</v>
      </c>
      <c r="D326" s="23" t="s">
        <v>2016</v>
      </c>
      <c r="E326" s="23" t="s">
        <v>2017</v>
      </c>
      <c r="G326" s="23" t="s">
        <v>2018</v>
      </c>
      <c r="K326" s="23" t="s">
        <v>2019</v>
      </c>
      <c r="L326" s="23" t="s">
        <v>2020</v>
      </c>
    </row>
    <row r="327" spans="1:20" x14ac:dyDescent="0.2">
      <c r="A327" s="23" t="s">
        <v>92</v>
      </c>
      <c r="C327" s="23" t="s">
        <v>2045</v>
      </c>
      <c r="D327" s="23" t="s">
        <v>2046</v>
      </c>
      <c r="E327" s="23" t="s">
        <v>2047</v>
      </c>
      <c r="G327" s="23" t="s">
        <v>2048</v>
      </c>
      <c r="K327" s="23" t="s">
        <v>2049</v>
      </c>
      <c r="L327" s="23" t="s">
        <v>2050</v>
      </c>
      <c r="M327" s="23" t="s">
        <v>2051</v>
      </c>
      <c r="N327" s="23" t="s">
        <v>2052</v>
      </c>
      <c r="T327" s="23" t="s">
        <v>2053</v>
      </c>
    </row>
    <row r="328" spans="1:20" x14ac:dyDescent="0.2">
      <c r="A328" s="23" t="s">
        <v>92</v>
      </c>
      <c r="C328" s="23" t="s">
        <v>2054</v>
      </c>
      <c r="D328" s="23" t="s">
        <v>2055</v>
      </c>
      <c r="E328" s="23" t="s">
        <v>2056</v>
      </c>
      <c r="G328" s="23" t="s">
        <v>2057</v>
      </c>
      <c r="K328" s="23" t="s">
        <v>2058</v>
      </c>
      <c r="L328" s="23" t="s">
        <v>2059</v>
      </c>
      <c r="M328" s="23" t="s">
        <v>2060</v>
      </c>
      <c r="N328" s="23" t="s">
        <v>2061</v>
      </c>
    </row>
    <row r="329" spans="1:20" x14ac:dyDescent="0.2">
      <c r="A329" s="23" t="s">
        <v>92</v>
      </c>
      <c r="C329" s="23" t="s">
        <v>2062</v>
      </c>
      <c r="D329" s="23" t="s">
        <v>2063</v>
      </c>
      <c r="E329" s="23" t="s">
        <v>2064</v>
      </c>
      <c r="G329" s="23" t="s">
        <v>2065</v>
      </c>
      <c r="K329" s="23" t="s">
        <v>2066</v>
      </c>
      <c r="L329" s="23" t="s">
        <v>2067</v>
      </c>
      <c r="O329" s="23" t="s">
        <v>11672</v>
      </c>
      <c r="P329" s="23" t="s">
        <v>2068</v>
      </c>
      <c r="Q329" s="23" t="s">
        <v>2069</v>
      </c>
      <c r="R329" s="23" t="s">
        <v>2070</v>
      </c>
      <c r="S329" s="23" t="s">
        <v>2071</v>
      </c>
      <c r="T329" s="23" t="s">
        <v>2072</v>
      </c>
    </row>
    <row r="330" spans="1:20" x14ac:dyDescent="0.2">
      <c r="A330" s="23" t="s">
        <v>92</v>
      </c>
      <c r="C330" s="23" t="s">
        <v>2073</v>
      </c>
      <c r="D330" s="23" t="s">
        <v>2074</v>
      </c>
      <c r="E330" s="23" t="s">
        <v>2075</v>
      </c>
      <c r="G330" s="23" t="s">
        <v>2076</v>
      </c>
      <c r="K330" s="23" t="s">
        <v>2077</v>
      </c>
      <c r="L330" s="23" t="s">
        <v>2078</v>
      </c>
      <c r="O330" s="23" t="s">
        <v>11673</v>
      </c>
      <c r="P330" s="23" t="s">
        <v>17025</v>
      </c>
      <c r="Q330" s="23" t="s">
        <v>17030</v>
      </c>
      <c r="R330" s="23" t="s">
        <v>17035</v>
      </c>
      <c r="S330" s="23" t="s">
        <v>17040</v>
      </c>
      <c r="T330" s="23" t="s">
        <v>17045</v>
      </c>
    </row>
    <row r="331" spans="1:20" x14ac:dyDescent="0.2">
      <c r="A331" s="23" t="s">
        <v>92</v>
      </c>
      <c r="C331" s="23" t="s">
        <v>2079</v>
      </c>
      <c r="D331" s="23" t="s">
        <v>2080</v>
      </c>
      <c r="E331" s="23" t="s">
        <v>2081</v>
      </c>
      <c r="G331" s="23" t="s">
        <v>2082</v>
      </c>
      <c r="K331" s="23" t="s">
        <v>2083</v>
      </c>
      <c r="L331" s="23" t="s">
        <v>2084</v>
      </c>
      <c r="O331" s="23" t="s">
        <v>11674</v>
      </c>
      <c r="P331" s="23" t="s">
        <v>17026</v>
      </c>
      <c r="Q331" s="23" t="s">
        <v>17031</v>
      </c>
      <c r="R331" s="23" t="s">
        <v>17036</v>
      </c>
      <c r="S331" s="23" t="s">
        <v>17041</v>
      </c>
      <c r="T331" s="23" t="s">
        <v>17046</v>
      </c>
    </row>
    <row r="332" spans="1:20" x14ac:dyDescent="0.2">
      <c r="A332" s="23" t="s">
        <v>92</v>
      </c>
      <c r="C332" s="23" t="s">
        <v>2085</v>
      </c>
      <c r="D332" s="23" t="s">
        <v>2086</v>
      </c>
      <c r="E332" s="23" t="s">
        <v>2087</v>
      </c>
      <c r="G332" s="23" t="s">
        <v>2088</v>
      </c>
      <c r="K332" s="23" t="s">
        <v>2089</v>
      </c>
      <c r="L332" s="23" t="s">
        <v>2090</v>
      </c>
      <c r="O332" s="23" t="s">
        <v>11524</v>
      </c>
      <c r="P332" s="23" t="s">
        <v>17027</v>
      </c>
      <c r="Q332" s="23" t="s">
        <v>17032</v>
      </c>
      <c r="R332" s="23" t="s">
        <v>17037</v>
      </c>
      <c r="S332" s="23" t="s">
        <v>17042</v>
      </c>
      <c r="T332" s="23" t="s">
        <v>17047</v>
      </c>
    </row>
    <row r="333" spans="1:20" x14ac:dyDescent="0.2">
      <c r="A333" s="23" t="s">
        <v>92</v>
      </c>
      <c r="C333" s="23" t="s">
        <v>2091</v>
      </c>
      <c r="D333" s="23" t="s">
        <v>2092</v>
      </c>
      <c r="E333" s="23" t="s">
        <v>2093</v>
      </c>
      <c r="G333" s="23" t="s">
        <v>2094</v>
      </c>
      <c r="K333" s="23" t="s">
        <v>2095</v>
      </c>
      <c r="L333" s="23" t="s">
        <v>2096</v>
      </c>
      <c r="O333" s="23" t="s">
        <v>11567</v>
      </c>
      <c r="P333" s="23" t="s">
        <v>17028</v>
      </c>
      <c r="Q333" s="23" t="s">
        <v>17033</v>
      </c>
      <c r="R333" s="23" t="s">
        <v>17038</v>
      </c>
      <c r="S333" s="23" t="s">
        <v>17043</v>
      </c>
      <c r="T333" s="23" t="s">
        <v>17048</v>
      </c>
    </row>
    <row r="334" spans="1:20" x14ac:dyDescent="0.2">
      <c r="A334" s="23" t="s">
        <v>92</v>
      </c>
      <c r="C334" s="23" t="s">
        <v>2097</v>
      </c>
      <c r="D334" s="23" t="s">
        <v>2098</v>
      </c>
      <c r="E334" s="23" t="s">
        <v>2099</v>
      </c>
      <c r="G334" s="23" t="s">
        <v>2100</v>
      </c>
      <c r="K334" s="23" t="s">
        <v>2101</v>
      </c>
      <c r="L334" s="23" t="s">
        <v>2102</v>
      </c>
      <c r="O334" s="23" t="s">
        <v>11675</v>
      </c>
      <c r="P334" s="23" t="s">
        <v>17029</v>
      </c>
      <c r="Q334" s="23" t="s">
        <v>17034</v>
      </c>
      <c r="R334" s="23" t="s">
        <v>17039</v>
      </c>
      <c r="S334" s="23" t="s">
        <v>17044</v>
      </c>
      <c r="T334" s="23" t="s">
        <v>17049</v>
      </c>
    </row>
    <row r="335" spans="1:20" x14ac:dyDescent="0.2">
      <c r="A335" s="23" t="s">
        <v>92</v>
      </c>
      <c r="C335" s="23" t="s">
        <v>2073</v>
      </c>
      <c r="D335" s="23" t="s">
        <v>2074</v>
      </c>
      <c r="E335" s="23" t="s">
        <v>2075</v>
      </c>
      <c r="G335" s="23" t="s">
        <v>2076</v>
      </c>
      <c r="K335" s="23" t="s">
        <v>2077</v>
      </c>
      <c r="L335" s="23" t="s">
        <v>2078</v>
      </c>
    </row>
    <row r="336" spans="1:20" x14ac:dyDescent="0.2">
      <c r="A336" s="23" t="s">
        <v>92</v>
      </c>
      <c r="C336" s="23" t="s">
        <v>2103</v>
      </c>
      <c r="D336" s="23" t="s">
        <v>2104</v>
      </c>
      <c r="E336" s="23" t="s">
        <v>2105</v>
      </c>
      <c r="G336" s="23" t="s">
        <v>2106</v>
      </c>
      <c r="K336" s="23" t="s">
        <v>2107</v>
      </c>
      <c r="L336" s="23" t="s">
        <v>2108</v>
      </c>
      <c r="M336" s="23" t="s">
        <v>2109</v>
      </c>
      <c r="N336" s="23" t="s">
        <v>2110</v>
      </c>
      <c r="T336" s="23" t="s">
        <v>2111</v>
      </c>
    </row>
    <row r="337" spans="1:20" x14ac:dyDescent="0.2">
      <c r="A337" s="23" t="s">
        <v>92</v>
      </c>
      <c r="C337" s="23" t="s">
        <v>2112</v>
      </c>
      <c r="D337" s="23" t="s">
        <v>2113</v>
      </c>
      <c r="E337" s="23" t="s">
        <v>2114</v>
      </c>
      <c r="G337" s="23" t="s">
        <v>2115</v>
      </c>
      <c r="K337" s="23" t="s">
        <v>2116</v>
      </c>
      <c r="L337" s="23" t="s">
        <v>2117</v>
      </c>
      <c r="M337" s="23" t="s">
        <v>2118</v>
      </c>
      <c r="N337" s="23" t="s">
        <v>2119</v>
      </c>
    </row>
    <row r="338" spans="1:20" x14ac:dyDescent="0.2">
      <c r="A338" s="23" t="s">
        <v>92</v>
      </c>
      <c r="C338" s="23" t="s">
        <v>2120</v>
      </c>
      <c r="D338" s="23" t="s">
        <v>2121</v>
      </c>
      <c r="E338" s="23" t="s">
        <v>2122</v>
      </c>
      <c r="G338" s="23" t="s">
        <v>2123</v>
      </c>
      <c r="K338" s="23" t="s">
        <v>2124</v>
      </c>
      <c r="L338" s="23" t="s">
        <v>2125</v>
      </c>
      <c r="O338" s="23" t="s">
        <v>11676</v>
      </c>
      <c r="P338" s="23" t="s">
        <v>2126</v>
      </c>
      <c r="Q338" s="23" t="s">
        <v>2127</v>
      </c>
      <c r="R338" s="23" t="s">
        <v>2128</v>
      </c>
      <c r="S338" s="23" t="s">
        <v>2129</v>
      </c>
      <c r="T338" s="23" t="s">
        <v>2130</v>
      </c>
    </row>
    <row r="339" spans="1:20" x14ac:dyDescent="0.2">
      <c r="A339" s="23" t="s">
        <v>92</v>
      </c>
      <c r="C339" s="23" t="s">
        <v>2131</v>
      </c>
      <c r="D339" s="23" t="s">
        <v>2132</v>
      </c>
      <c r="E339" s="23" t="s">
        <v>2133</v>
      </c>
      <c r="G339" s="23" t="s">
        <v>2134</v>
      </c>
      <c r="K339" s="23" t="s">
        <v>2135</v>
      </c>
      <c r="L339" s="23" t="s">
        <v>2136</v>
      </c>
      <c r="O339" s="23" t="s">
        <v>11677</v>
      </c>
      <c r="P339" s="23" t="s">
        <v>17000</v>
      </c>
      <c r="Q339" s="23" t="s">
        <v>17005</v>
      </c>
      <c r="R339" s="23" t="s">
        <v>17010</v>
      </c>
      <c r="S339" s="23" t="s">
        <v>17015</v>
      </c>
      <c r="T339" s="23" t="s">
        <v>17020</v>
      </c>
    </row>
    <row r="340" spans="1:20" x14ac:dyDescent="0.2">
      <c r="A340" s="23" t="s">
        <v>92</v>
      </c>
      <c r="C340" s="23" t="s">
        <v>2137</v>
      </c>
      <c r="D340" s="23" t="s">
        <v>2138</v>
      </c>
      <c r="E340" s="23" t="s">
        <v>2139</v>
      </c>
      <c r="G340" s="23" t="s">
        <v>2140</v>
      </c>
      <c r="K340" s="23" t="s">
        <v>2141</v>
      </c>
      <c r="L340" s="23" t="s">
        <v>2142</v>
      </c>
      <c r="O340" s="23" t="s">
        <v>11678</v>
      </c>
      <c r="P340" s="23" t="s">
        <v>17001</v>
      </c>
      <c r="Q340" s="23" t="s">
        <v>17006</v>
      </c>
      <c r="R340" s="23" t="s">
        <v>17011</v>
      </c>
      <c r="S340" s="23" t="s">
        <v>17016</v>
      </c>
      <c r="T340" s="23" t="s">
        <v>17021</v>
      </c>
    </row>
    <row r="341" spans="1:20" x14ac:dyDescent="0.2">
      <c r="A341" s="23" t="s">
        <v>92</v>
      </c>
      <c r="C341" s="23" t="s">
        <v>2143</v>
      </c>
      <c r="D341" s="23" t="s">
        <v>2144</v>
      </c>
      <c r="E341" s="23" t="s">
        <v>2145</v>
      </c>
      <c r="G341" s="23" t="s">
        <v>2146</v>
      </c>
      <c r="K341" s="23" t="s">
        <v>2147</v>
      </c>
      <c r="L341" s="23" t="s">
        <v>2148</v>
      </c>
      <c r="O341" s="23" t="s">
        <v>11531</v>
      </c>
      <c r="P341" s="23" t="s">
        <v>17002</v>
      </c>
      <c r="Q341" s="23" t="s">
        <v>17007</v>
      </c>
      <c r="R341" s="23" t="s">
        <v>17012</v>
      </c>
      <c r="S341" s="23" t="s">
        <v>17017</v>
      </c>
      <c r="T341" s="23" t="s">
        <v>17022</v>
      </c>
    </row>
    <row r="342" spans="1:20" x14ac:dyDescent="0.2">
      <c r="A342" s="23" t="s">
        <v>92</v>
      </c>
      <c r="C342" s="23" t="s">
        <v>2149</v>
      </c>
      <c r="D342" s="23" t="s">
        <v>2150</v>
      </c>
      <c r="E342" s="23" t="s">
        <v>2151</v>
      </c>
      <c r="G342" s="23" t="s">
        <v>2152</v>
      </c>
      <c r="K342" s="23" t="s">
        <v>2153</v>
      </c>
      <c r="L342" s="23" t="s">
        <v>2154</v>
      </c>
      <c r="O342" s="23" t="s">
        <v>11573</v>
      </c>
      <c r="P342" s="23" t="s">
        <v>17003</v>
      </c>
      <c r="Q342" s="23" t="s">
        <v>17008</v>
      </c>
      <c r="R342" s="23" t="s">
        <v>17013</v>
      </c>
      <c r="S342" s="23" t="s">
        <v>17018</v>
      </c>
      <c r="T342" s="23" t="s">
        <v>17023</v>
      </c>
    </row>
    <row r="343" spans="1:20" x14ac:dyDescent="0.2">
      <c r="A343" s="23" t="s">
        <v>92</v>
      </c>
      <c r="C343" s="23" t="s">
        <v>2155</v>
      </c>
      <c r="D343" s="23" t="s">
        <v>2156</v>
      </c>
      <c r="E343" s="23" t="s">
        <v>2157</v>
      </c>
      <c r="G343" s="23" t="s">
        <v>2158</v>
      </c>
      <c r="K343" s="23" t="s">
        <v>2159</v>
      </c>
      <c r="L343" s="23" t="s">
        <v>2160</v>
      </c>
      <c r="O343" s="23" t="s">
        <v>11679</v>
      </c>
      <c r="P343" s="23" t="s">
        <v>17004</v>
      </c>
      <c r="Q343" s="23" t="s">
        <v>17009</v>
      </c>
      <c r="R343" s="23" t="s">
        <v>17014</v>
      </c>
      <c r="S343" s="23" t="s">
        <v>17019</v>
      </c>
      <c r="T343" s="23" t="s">
        <v>17024</v>
      </c>
    </row>
    <row r="344" spans="1:20" x14ac:dyDescent="0.2">
      <c r="A344" s="23" t="s">
        <v>92</v>
      </c>
      <c r="C344" s="23" t="s">
        <v>2131</v>
      </c>
      <c r="D344" s="23" t="s">
        <v>2132</v>
      </c>
      <c r="E344" s="23" t="s">
        <v>2133</v>
      </c>
      <c r="G344" s="23" t="s">
        <v>2134</v>
      </c>
      <c r="K344" s="23" t="s">
        <v>2135</v>
      </c>
      <c r="L344" s="23" t="s">
        <v>2136</v>
      </c>
    </row>
    <row r="345" spans="1:20" x14ac:dyDescent="0.2">
      <c r="A345" s="23" t="s">
        <v>92</v>
      </c>
      <c r="C345" s="23" t="s">
        <v>2161</v>
      </c>
      <c r="D345" s="23" t="s">
        <v>2162</v>
      </c>
      <c r="E345" s="23" t="s">
        <v>2163</v>
      </c>
      <c r="G345" s="23" t="s">
        <v>2164</v>
      </c>
      <c r="K345" s="23" t="s">
        <v>2165</v>
      </c>
      <c r="L345" s="23" t="s">
        <v>2166</v>
      </c>
      <c r="M345" s="23" t="s">
        <v>2167</v>
      </c>
      <c r="N345" s="23" t="s">
        <v>2168</v>
      </c>
      <c r="T345" s="23" t="s">
        <v>2169</v>
      </c>
    </row>
    <row r="346" spans="1:20" x14ac:dyDescent="0.2">
      <c r="A346" s="23" t="s">
        <v>92</v>
      </c>
      <c r="C346" s="23" t="s">
        <v>2170</v>
      </c>
      <c r="D346" s="23" t="s">
        <v>2171</v>
      </c>
      <c r="E346" s="23" t="s">
        <v>2172</v>
      </c>
      <c r="G346" s="23" t="s">
        <v>2173</v>
      </c>
      <c r="K346" s="23" t="s">
        <v>2174</v>
      </c>
      <c r="L346" s="23" t="s">
        <v>2175</v>
      </c>
      <c r="M346" s="23" t="s">
        <v>2176</v>
      </c>
      <c r="N346" s="23" t="s">
        <v>2177</v>
      </c>
    </row>
    <row r="347" spans="1:20" x14ac:dyDescent="0.2">
      <c r="A347" s="23" t="s">
        <v>92</v>
      </c>
      <c r="C347" s="23" t="s">
        <v>2178</v>
      </c>
      <c r="D347" s="23" t="s">
        <v>2179</v>
      </c>
      <c r="E347" s="23" t="s">
        <v>2180</v>
      </c>
      <c r="G347" s="23" t="s">
        <v>2181</v>
      </c>
      <c r="K347" s="23" t="s">
        <v>2182</v>
      </c>
      <c r="L347" s="23" t="s">
        <v>2183</v>
      </c>
      <c r="O347" s="23" t="s">
        <v>11680</v>
      </c>
      <c r="P347" s="23" t="s">
        <v>2184</v>
      </c>
      <c r="Q347" s="23" t="s">
        <v>2185</v>
      </c>
      <c r="R347" s="23" t="s">
        <v>2186</v>
      </c>
      <c r="S347" s="23" t="s">
        <v>2187</v>
      </c>
      <c r="T347" s="23" t="s">
        <v>2188</v>
      </c>
    </row>
    <row r="348" spans="1:20" x14ac:dyDescent="0.2">
      <c r="A348" s="23" t="s">
        <v>92</v>
      </c>
      <c r="C348" s="23" t="s">
        <v>2189</v>
      </c>
      <c r="D348" s="23" t="s">
        <v>2190</v>
      </c>
      <c r="E348" s="23" t="s">
        <v>2191</v>
      </c>
      <c r="G348" s="23" t="s">
        <v>2192</v>
      </c>
      <c r="K348" s="23" t="s">
        <v>2193</v>
      </c>
      <c r="L348" s="23" t="s">
        <v>2194</v>
      </c>
      <c r="O348" s="23" t="s">
        <v>11681</v>
      </c>
      <c r="P348" s="23" t="s">
        <v>16975</v>
      </c>
      <c r="Q348" s="23" t="s">
        <v>16980</v>
      </c>
      <c r="R348" s="23" t="s">
        <v>16985</v>
      </c>
      <c r="S348" s="23" t="s">
        <v>16990</v>
      </c>
      <c r="T348" s="23" t="s">
        <v>16995</v>
      </c>
    </row>
    <row r="349" spans="1:20" x14ac:dyDescent="0.2">
      <c r="A349" s="23" t="s">
        <v>92</v>
      </c>
      <c r="C349" s="23" t="s">
        <v>2195</v>
      </c>
      <c r="D349" s="23" t="s">
        <v>2196</v>
      </c>
      <c r="E349" s="23" t="s">
        <v>2197</v>
      </c>
      <c r="G349" s="23" t="s">
        <v>2198</v>
      </c>
      <c r="K349" s="23" t="s">
        <v>2199</v>
      </c>
      <c r="L349" s="23" t="s">
        <v>2200</v>
      </c>
      <c r="O349" s="23" t="s">
        <v>11682</v>
      </c>
      <c r="P349" s="23" t="s">
        <v>16976</v>
      </c>
      <c r="Q349" s="23" t="s">
        <v>16981</v>
      </c>
      <c r="R349" s="23" t="s">
        <v>16986</v>
      </c>
      <c r="S349" s="23" t="s">
        <v>16991</v>
      </c>
      <c r="T349" s="23" t="s">
        <v>16996</v>
      </c>
    </row>
    <row r="350" spans="1:20" x14ac:dyDescent="0.2">
      <c r="A350" s="23" t="s">
        <v>92</v>
      </c>
      <c r="C350" s="23" t="s">
        <v>2201</v>
      </c>
      <c r="D350" s="23" t="s">
        <v>2202</v>
      </c>
      <c r="E350" s="23" t="s">
        <v>2203</v>
      </c>
      <c r="G350" s="23" t="s">
        <v>2204</v>
      </c>
      <c r="K350" s="23" t="s">
        <v>2205</v>
      </c>
      <c r="L350" s="23" t="s">
        <v>2206</v>
      </c>
      <c r="O350" s="23" t="s">
        <v>11538</v>
      </c>
      <c r="P350" s="23" t="s">
        <v>16977</v>
      </c>
      <c r="Q350" s="23" t="s">
        <v>16982</v>
      </c>
      <c r="R350" s="23" t="s">
        <v>16987</v>
      </c>
      <c r="S350" s="23" t="s">
        <v>16992</v>
      </c>
      <c r="T350" s="23" t="s">
        <v>16997</v>
      </c>
    </row>
    <row r="351" spans="1:20" x14ac:dyDescent="0.2">
      <c r="A351" s="23" t="s">
        <v>92</v>
      </c>
      <c r="C351" s="23" t="s">
        <v>2207</v>
      </c>
      <c r="D351" s="23" t="s">
        <v>2208</v>
      </c>
      <c r="E351" s="23" t="s">
        <v>2209</v>
      </c>
      <c r="G351" s="23" t="s">
        <v>2210</v>
      </c>
      <c r="K351" s="23" t="s">
        <v>2211</v>
      </c>
      <c r="L351" s="23" t="s">
        <v>2212</v>
      </c>
      <c r="O351" s="23" t="s">
        <v>11578</v>
      </c>
      <c r="P351" s="23" t="s">
        <v>16978</v>
      </c>
      <c r="Q351" s="23" t="s">
        <v>16983</v>
      </c>
      <c r="R351" s="23" t="s">
        <v>16988</v>
      </c>
      <c r="S351" s="23" t="s">
        <v>16993</v>
      </c>
      <c r="T351" s="23" t="s">
        <v>16998</v>
      </c>
    </row>
    <row r="352" spans="1:20" x14ac:dyDescent="0.2">
      <c r="A352" s="23" t="s">
        <v>92</v>
      </c>
      <c r="C352" s="23" t="s">
        <v>2213</v>
      </c>
      <c r="D352" s="23" t="s">
        <v>2214</v>
      </c>
      <c r="E352" s="23" t="s">
        <v>2215</v>
      </c>
      <c r="G352" s="23" t="s">
        <v>2216</v>
      </c>
      <c r="K352" s="23" t="s">
        <v>2217</v>
      </c>
      <c r="L352" s="23" t="s">
        <v>2218</v>
      </c>
      <c r="O352" s="23" t="s">
        <v>11683</v>
      </c>
      <c r="P352" s="23" t="s">
        <v>16979</v>
      </c>
      <c r="Q352" s="23" t="s">
        <v>16984</v>
      </c>
      <c r="R352" s="23" t="s">
        <v>16989</v>
      </c>
      <c r="S352" s="23" t="s">
        <v>16994</v>
      </c>
      <c r="T352" s="23" t="s">
        <v>16999</v>
      </c>
    </row>
    <row r="353" spans="1:20" x14ac:dyDescent="0.2">
      <c r="A353" s="23" t="s">
        <v>92</v>
      </c>
      <c r="C353" s="23" t="s">
        <v>2189</v>
      </c>
      <c r="D353" s="23" t="s">
        <v>2190</v>
      </c>
      <c r="E353" s="23" t="s">
        <v>2191</v>
      </c>
      <c r="G353" s="23" t="s">
        <v>2192</v>
      </c>
      <c r="K353" s="23" t="s">
        <v>2193</v>
      </c>
      <c r="L353" s="23" t="s">
        <v>2194</v>
      </c>
    </row>
    <row r="354" spans="1:20" x14ac:dyDescent="0.2">
      <c r="A354" s="23" t="s">
        <v>92</v>
      </c>
      <c r="C354" s="23" t="s">
        <v>2219</v>
      </c>
      <c r="D354" s="23" t="s">
        <v>2220</v>
      </c>
      <c r="E354" s="23" t="s">
        <v>2221</v>
      </c>
      <c r="G354" s="23" t="s">
        <v>2222</v>
      </c>
      <c r="K354" s="23" t="s">
        <v>2223</v>
      </c>
      <c r="L354" s="23" t="s">
        <v>2224</v>
      </c>
      <c r="M354" s="23" t="s">
        <v>2225</v>
      </c>
      <c r="N354" s="23" t="s">
        <v>2226</v>
      </c>
      <c r="T354" s="23" t="s">
        <v>2227</v>
      </c>
    </row>
    <row r="355" spans="1:20" x14ac:dyDescent="0.2">
      <c r="A355" s="23" t="s">
        <v>92</v>
      </c>
      <c r="C355" s="23" t="s">
        <v>2228</v>
      </c>
      <c r="D355" s="23" t="s">
        <v>2229</v>
      </c>
      <c r="E355" s="23" t="s">
        <v>2230</v>
      </c>
      <c r="G355" s="23" t="s">
        <v>2231</v>
      </c>
      <c r="K355" s="23" t="s">
        <v>2232</v>
      </c>
      <c r="L355" s="23" t="s">
        <v>2233</v>
      </c>
      <c r="M355" s="23" t="s">
        <v>2234</v>
      </c>
      <c r="N355" s="23" t="s">
        <v>2235</v>
      </c>
    </row>
    <row r="356" spans="1:20" x14ac:dyDescent="0.2">
      <c r="A356" s="23" t="s">
        <v>92</v>
      </c>
      <c r="C356" s="23" t="s">
        <v>2236</v>
      </c>
      <c r="D356" s="23" t="s">
        <v>2237</v>
      </c>
      <c r="E356" s="23" t="s">
        <v>2238</v>
      </c>
      <c r="G356" s="23" t="s">
        <v>2239</v>
      </c>
      <c r="K356" s="23" t="s">
        <v>2240</v>
      </c>
      <c r="L356" s="23" t="s">
        <v>2241</v>
      </c>
      <c r="O356" s="23" t="s">
        <v>11684</v>
      </c>
      <c r="P356" s="23" t="s">
        <v>2242</v>
      </c>
      <c r="Q356" s="23" t="s">
        <v>2243</v>
      </c>
      <c r="R356" s="23" t="s">
        <v>2244</v>
      </c>
      <c r="S356" s="23" t="s">
        <v>2245</v>
      </c>
      <c r="T356" s="23" t="s">
        <v>2246</v>
      </c>
    </row>
    <row r="357" spans="1:20" x14ac:dyDescent="0.2">
      <c r="A357" s="23" t="s">
        <v>92</v>
      </c>
      <c r="C357" s="23" t="s">
        <v>2247</v>
      </c>
      <c r="D357" s="23" t="s">
        <v>2248</v>
      </c>
      <c r="E357" s="23" t="s">
        <v>2249</v>
      </c>
      <c r="G357" s="23" t="s">
        <v>2250</v>
      </c>
      <c r="K357" s="23" t="s">
        <v>2251</v>
      </c>
      <c r="L357" s="23" t="s">
        <v>2252</v>
      </c>
      <c r="O357" s="23" t="s">
        <v>11685</v>
      </c>
      <c r="P357" s="23" t="s">
        <v>16950</v>
      </c>
      <c r="Q357" s="23" t="s">
        <v>16955</v>
      </c>
      <c r="R357" s="23" t="s">
        <v>16960</v>
      </c>
      <c r="S357" s="23" t="s">
        <v>16965</v>
      </c>
      <c r="T357" s="23" t="s">
        <v>16970</v>
      </c>
    </row>
    <row r="358" spans="1:20" x14ac:dyDescent="0.2">
      <c r="A358" s="23" t="s">
        <v>92</v>
      </c>
      <c r="C358" s="23" t="s">
        <v>2253</v>
      </c>
      <c r="D358" s="23" t="s">
        <v>2254</v>
      </c>
      <c r="E358" s="23" t="s">
        <v>2255</v>
      </c>
      <c r="G358" s="23" t="s">
        <v>2256</v>
      </c>
      <c r="K358" s="23" t="s">
        <v>2257</v>
      </c>
      <c r="L358" s="23" t="s">
        <v>2258</v>
      </c>
      <c r="O358" s="23" t="s">
        <v>11686</v>
      </c>
      <c r="P358" s="23" t="s">
        <v>16951</v>
      </c>
      <c r="Q358" s="23" t="s">
        <v>16956</v>
      </c>
      <c r="R358" s="23" t="s">
        <v>16961</v>
      </c>
      <c r="S358" s="23" t="s">
        <v>16966</v>
      </c>
      <c r="T358" s="23" t="s">
        <v>16971</v>
      </c>
    </row>
    <row r="359" spans="1:20" x14ac:dyDescent="0.2">
      <c r="A359" s="23" t="s">
        <v>92</v>
      </c>
      <c r="C359" s="23" t="s">
        <v>2259</v>
      </c>
      <c r="D359" s="23" t="s">
        <v>2260</v>
      </c>
      <c r="E359" s="23" t="s">
        <v>2261</v>
      </c>
      <c r="G359" s="23" t="s">
        <v>2262</v>
      </c>
      <c r="K359" s="23" t="s">
        <v>2263</v>
      </c>
      <c r="L359" s="23" t="s">
        <v>2264</v>
      </c>
      <c r="O359" s="23" t="s">
        <v>11546</v>
      </c>
      <c r="P359" s="23" t="s">
        <v>16952</v>
      </c>
      <c r="Q359" s="23" t="s">
        <v>16957</v>
      </c>
      <c r="R359" s="23" t="s">
        <v>16962</v>
      </c>
      <c r="S359" s="23" t="s">
        <v>16967</v>
      </c>
      <c r="T359" s="23" t="s">
        <v>16972</v>
      </c>
    </row>
    <row r="360" spans="1:20" x14ac:dyDescent="0.2">
      <c r="A360" s="23" t="s">
        <v>92</v>
      </c>
      <c r="C360" s="23" t="s">
        <v>2265</v>
      </c>
      <c r="D360" s="23" t="s">
        <v>2266</v>
      </c>
      <c r="E360" s="23" t="s">
        <v>2267</v>
      </c>
      <c r="G360" s="23" t="s">
        <v>2268</v>
      </c>
      <c r="K360" s="23" t="s">
        <v>2269</v>
      </c>
      <c r="L360" s="23" t="s">
        <v>2270</v>
      </c>
      <c r="O360" s="23" t="s">
        <v>11583</v>
      </c>
      <c r="P360" s="23" t="s">
        <v>16953</v>
      </c>
      <c r="Q360" s="23" t="s">
        <v>16958</v>
      </c>
      <c r="R360" s="23" t="s">
        <v>16963</v>
      </c>
      <c r="S360" s="23" t="s">
        <v>16968</v>
      </c>
      <c r="T360" s="23" t="s">
        <v>16973</v>
      </c>
    </row>
    <row r="361" spans="1:20" x14ac:dyDescent="0.2">
      <c r="A361" s="23" t="s">
        <v>92</v>
      </c>
      <c r="C361" s="23" t="s">
        <v>2271</v>
      </c>
      <c r="D361" s="23" t="s">
        <v>2272</v>
      </c>
      <c r="E361" s="23" t="s">
        <v>2273</v>
      </c>
      <c r="G361" s="23" t="s">
        <v>2274</v>
      </c>
      <c r="K361" s="23" t="s">
        <v>2275</v>
      </c>
      <c r="L361" s="23" t="s">
        <v>2276</v>
      </c>
      <c r="O361" s="23" t="s">
        <v>11687</v>
      </c>
      <c r="P361" s="23" t="s">
        <v>16954</v>
      </c>
      <c r="Q361" s="23" t="s">
        <v>16959</v>
      </c>
      <c r="R361" s="23" t="s">
        <v>16964</v>
      </c>
      <c r="S361" s="23" t="s">
        <v>16969</v>
      </c>
      <c r="T361" s="23" t="s">
        <v>16974</v>
      </c>
    </row>
    <row r="362" spans="1:20" x14ac:dyDescent="0.2">
      <c r="A362" s="23" t="s">
        <v>92</v>
      </c>
      <c r="C362" s="23" t="s">
        <v>2247</v>
      </c>
      <c r="D362" s="23" t="s">
        <v>2248</v>
      </c>
      <c r="E362" s="23" t="s">
        <v>2249</v>
      </c>
      <c r="G362" s="23" t="s">
        <v>2250</v>
      </c>
      <c r="K362" s="23" t="s">
        <v>2251</v>
      </c>
      <c r="L362" s="23" t="s">
        <v>2252</v>
      </c>
    </row>
    <row r="363" spans="1:20" x14ac:dyDescent="0.2">
      <c r="A363" s="23" t="s">
        <v>92</v>
      </c>
      <c r="C363" s="23" t="s">
        <v>2277</v>
      </c>
      <c r="D363" s="23" t="s">
        <v>2278</v>
      </c>
      <c r="E363" s="23" t="s">
        <v>2279</v>
      </c>
      <c r="G363" s="23" t="s">
        <v>2280</v>
      </c>
      <c r="K363" s="23" t="s">
        <v>2281</v>
      </c>
      <c r="L363" s="23" t="s">
        <v>2282</v>
      </c>
      <c r="M363" s="23" t="s">
        <v>2283</v>
      </c>
      <c r="N363" s="23" t="s">
        <v>2284</v>
      </c>
      <c r="T363" s="23" t="s">
        <v>2285</v>
      </c>
    </row>
    <row r="364" spans="1:20" x14ac:dyDescent="0.2">
      <c r="A364" s="23" t="s">
        <v>92</v>
      </c>
      <c r="C364" s="23" t="s">
        <v>2286</v>
      </c>
      <c r="D364" s="23" t="s">
        <v>2287</v>
      </c>
      <c r="E364" s="23" t="s">
        <v>2288</v>
      </c>
      <c r="G364" s="23" t="s">
        <v>2289</v>
      </c>
      <c r="K364" s="23" t="s">
        <v>2290</v>
      </c>
      <c r="L364" s="23" t="s">
        <v>2291</v>
      </c>
      <c r="M364" s="23" t="s">
        <v>2292</v>
      </c>
      <c r="N364" s="23" t="s">
        <v>2293</v>
      </c>
    </row>
    <row r="365" spans="1:20" x14ac:dyDescent="0.2">
      <c r="A365" s="23" t="s">
        <v>92</v>
      </c>
      <c r="C365" s="23" t="s">
        <v>2294</v>
      </c>
      <c r="D365" s="23" t="s">
        <v>2295</v>
      </c>
      <c r="E365" s="23" t="s">
        <v>2296</v>
      </c>
      <c r="G365" s="23" t="s">
        <v>2297</v>
      </c>
      <c r="K365" s="23" t="s">
        <v>2298</v>
      </c>
      <c r="L365" s="23" t="s">
        <v>2299</v>
      </c>
      <c r="O365" s="23" t="s">
        <v>11688</v>
      </c>
      <c r="P365" s="23" t="s">
        <v>2300</v>
      </c>
      <c r="Q365" s="23" t="s">
        <v>2301</v>
      </c>
      <c r="R365" s="23" t="s">
        <v>2302</v>
      </c>
      <c r="S365" s="23" t="s">
        <v>2303</v>
      </c>
      <c r="T365" s="23" t="s">
        <v>2304</v>
      </c>
    </row>
    <row r="366" spans="1:20" x14ac:dyDescent="0.2">
      <c r="A366" s="23" t="s">
        <v>92</v>
      </c>
      <c r="C366" s="23" t="s">
        <v>2305</v>
      </c>
      <c r="D366" s="23" t="s">
        <v>2306</v>
      </c>
      <c r="E366" s="23" t="s">
        <v>2307</v>
      </c>
      <c r="G366" s="23" t="s">
        <v>2308</v>
      </c>
      <c r="K366" s="23" t="s">
        <v>2309</v>
      </c>
      <c r="L366" s="23" t="s">
        <v>2310</v>
      </c>
      <c r="O366" s="23" t="s">
        <v>11689</v>
      </c>
      <c r="P366" s="23" t="s">
        <v>16925</v>
      </c>
      <c r="Q366" s="23" t="s">
        <v>16930</v>
      </c>
      <c r="R366" s="23" t="s">
        <v>16935</v>
      </c>
      <c r="S366" s="23" t="s">
        <v>16940</v>
      </c>
      <c r="T366" s="23" t="s">
        <v>16945</v>
      </c>
    </row>
    <row r="367" spans="1:20" x14ac:dyDescent="0.2">
      <c r="A367" s="23" t="s">
        <v>92</v>
      </c>
      <c r="C367" s="23" t="s">
        <v>2311</v>
      </c>
      <c r="D367" s="23" t="s">
        <v>2312</v>
      </c>
      <c r="E367" s="23" t="s">
        <v>2313</v>
      </c>
      <c r="G367" s="23" t="s">
        <v>2314</v>
      </c>
      <c r="K367" s="23" t="s">
        <v>2315</v>
      </c>
      <c r="L367" s="23" t="s">
        <v>2316</v>
      </c>
      <c r="O367" s="23" t="s">
        <v>11690</v>
      </c>
      <c r="P367" s="23" t="s">
        <v>16926</v>
      </c>
      <c r="Q367" s="23" t="s">
        <v>16931</v>
      </c>
      <c r="R367" s="23" t="s">
        <v>16936</v>
      </c>
      <c r="S367" s="23" t="s">
        <v>16941</v>
      </c>
      <c r="T367" s="23" t="s">
        <v>16946</v>
      </c>
    </row>
    <row r="368" spans="1:20" x14ac:dyDescent="0.2">
      <c r="A368" s="23" t="s">
        <v>92</v>
      </c>
      <c r="C368" s="23" t="s">
        <v>2317</v>
      </c>
      <c r="D368" s="23" t="s">
        <v>2318</v>
      </c>
      <c r="E368" s="23" t="s">
        <v>2319</v>
      </c>
      <c r="G368" s="23" t="s">
        <v>2320</v>
      </c>
      <c r="K368" s="23" t="s">
        <v>2321</v>
      </c>
      <c r="L368" s="23" t="s">
        <v>2322</v>
      </c>
      <c r="O368" s="23" t="s">
        <v>11554</v>
      </c>
      <c r="P368" s="23" t="s">
        <v>16927</v>
      </c>
      <c r="Q368" s="23" t="s">
        <v>16932</v>
      </c>
      <c r="R368" s="23" t="s">
        <v>16937</v>
      </c>
      <c r="S368" s="23" t="s">
        <v>16942</v>
      </c>
      <c r="T368" s="23" t="s">
        <v>16947</v>
      </c>
    </row>
    <row r="369" spans="1:20" x14ac:dyDescent="0.2">
      <c r="A369" s="23" t="s">
        <v>92</v>
      </c>
      <c r="C369" s="23" t="s">
        <v>2323</v>
      </c>
      <c r="D369" s="23" t="s">
        <v>2324</v>
      </c>
      <c r="E369" s="23" t="s">
        <v>2325</v>
      </c>
      <c r="G369" s="23" t="s">
        <v>2326</v>
      </c>
      <c r="K369" s="23" t="s">
        <v>2327</v>
      </c>
      <c r="L369" s="23" t="s">
        <v>2328</v>
      </c>
      <c r="O369" s="23" t="s">
        <v>11588</v>
      </c>
      <c r="P369" s="23" t="s">
        <v>16928</v>
      </c>
      <c r="Q369" s="23" t="s">
        <v>16933</v>
      </c>
      <c r="R369" s="23" t="s">
        <v>16938</v>
      </c>
      <c r="S369" s="23" t="s">
        <v>16943</v>
      </c>
      <c r="T369" s="23" t="s">
        <v>16948</v>
      </c>
    </row>
    <row r="370" spans="1:20" x14ac:dyDescent="0.2">
      <c r="A370" s="23" t="s">
        <v>92</v>
      </c>
      <c r="C370" s="23" t="s">
        <v>2329</v>
      </c>
      <c r="D370" s="23" t="s">
        <v>2330</v>
      </c>
      <c r="E370" s="23" t="s">
        <v>2331</v>
      </c>
      <c r="G370" s="23" t="s">
        <v>2332</v>
      </c>
      <c r="K370" s="23" t="s">
        <v>2333</v>
      </c>
      <c r="L370" s="23" t="s">
        <v>2334</v>
      </c>
      <c r="O370" s="23" t="s">
        <v>11691</v>
      </c>
      <c r="P370" s="23" t="s">
        <v>16929</v>
      </c>
      <c r="Q370" s="23" t="s">
        <v>16934</v>
      </c>
      <c r="R370" s="23" t="s">
        <v>16939</v>
      </c>
      <c r="S370" s="23" t="s">
        <v>16944</v>
      </c>
      <c r="T370" s="23" t="s">
        <v>16949</v>
      </c>
    </row>
    <row r="371" spans="1:20" x14ac:dyDescent="0.2">
      <c r="A371" s="23" t="s">
        <v>92</v>
      </c>
      <c r="C371" s="23" t="s">
        <v>2305</v>
      </c>
      <c r="D371" s="23" t="s">
        <v>2306</v>
      </c>
      <c r="E371" s="23" t="s">
        <v>2307</v>
      </c>
      <c r="G371" s="23" t="s">
        <v>2308</v>
      </c>
      <c r="K371" s="23" t="s">
        <v>2309</v>
      </c>
      <c r="L371" s="23" t="s">
        <v>2310</v>
      </c>
    </row>
    <row r="372" spans="1:20" x14ac:dyDescent="0.2">
      <c r="A372" s="23" t="s">
        <v>92</v>
      </c>
      <c r="C372" s="23" t="s">
        <v>2335</v>
      </c>
      <c r="D372" s="23" t="s">
        <v>2336</v>
      </c>
      <c r="E372" s="23" t="s">
        <v>2337</v>
      </c>
      <c r="G372" s="23" t="s">
        <v>2338</v>
      </c>
      <c r="K372" s="23" t="s">
        <v>2339</v>
      </c>
      <c r="L372" s="23" t="s">
        <v>2340</v>
      </c>
      <c r="M372" s="23" t="s">
        <v>2341</v>
      </c>
      <c r="N372" s="23" t="s">
        <v>2342</v>
      </c>
      <c r="T372" s="23" t="s">
        <v>2343</v>
      </c>
    </row>
    <row r="373" spans="1:20" x14ac:dyDescent="0.2">
      <c r="A373" s="23" t="s">
        <v>92</v>
      </c>
      <c r="C373" s="23" t="s">
        <v>2344</v>
      </c>
      <c r="D373" s="23" t="s">
        <v>2345</v>
      </c>
      <c r="E373" s="23" t="s">
        <v>2346</v>
      </c>
      <c r="G373" s="23" t="s">
        <v>2347</v>
      </c>
      <c r="K373" s="23" t="s">
        <v>2348</v>
      </c>
      <c r="L373" s="23" t="s">
        <v>2349</v>
      </c>
      <c r="M373" s="23" t="s">
        <v>2350</v>
      </c>
      <c r="N373" s="23" t="s">
        <v>2351</v>
      </c>
    </row>
    <row r="374" spans="1:20" x14ac:dyDescent="0.2">
      <c r="A374" s="23" t="s">
        <v>92</v>
      </c>
      <c r="C374" s="23" t="s">
        <v>2352</v>
      </c>
      <c r="D374" s="23" t="s">
        <v>2353</v>
      </c>
      <c r="E374" s="23" t="s">
        <v>2354</v>
      </c>
      <c r="G374" s="23" t="s">
        <v>2355</v>
      </c>
      <c r="K374" s="23" t="s">
        <v>2356</v>
      </c>
      <c r="L374" s="23" t="s">
        <v>2357</v>
      </c>
      <c r="O374" s="23" t="s">
        <v>11692</v>
      </c>
      <c r="P374" s="23" t="s">
        <v>2358</v>
      </c>
      <c r="Q374" s="23" t="s">
        <v>2359</v>
      </c>
      <c r="R374" s="23" t="s">
        <v>2360</v>
      </c>
      <c r="S374" s="23" t="s">
        <v>2361</v>
      </c>
      <c r="T374" s="23" t="s">
        <v>2362</v>
      </c>
    </row>
    <row r="375" spans="1:20" x14ac:dyDescent="0.2">
      <c r="A375" s="23" t="s">
        <v>92</v>
      </c>
      <c r="C375" s="23" t="s">
        <v>2363</v>
      </c>
      <c r="D375" s="23" t="s">
        <v>2364</v>
      </c>
      <c r="E375" s="23" t="s">
        <v>2365</v>
      </c>
      <c r="G375" s="23" t="s">
        <v>2366</v>
      </c>
      <c r="K375" s="23" t="s">
        <v>2367</v>
      </c>
      <c r="L375" s="23" t="s">
        <v>2368</v>
      </c>
      <c r="O375" s="23" t="s">
        <v>11693</v>
      </c>
      <c r="P375" s="23" t="s">
        <v>11694</v>
      </c>
      <c r="Q375" s="23" t="s">
        <v>11695</v>
      </c>
      <c r="R375" s="23" t="s">
        <v>11696</v>
      </c>
      <c r="S375" s="23" t="s">
        <v>11697</v>
      </c>
      <c r="T375" s="23" t="s">
        <v>11698</v>
      </c>
    </row>
    <row r="376" spans="1:20" x14ac:dyDescent="0.2">
      <c r="A376" s="23" t="s">
        <v>92</v>
      </c>
      <c r="C376" s="23" t="s">
        <v>2363</v>
      </c>
      <c r="D376" s="23" t="s">
        <v>2364</v>
      </c>
      <c r="E376" s="23" t="s">
        <v>2365</v>
      </c>
      <c r="G376" s="23" t="s">
        <v>2366</v>
      </c>
      <c r="K376" s="23" t="s">
        <v>2367</v>
      </c>
      <c r="L376" s="23" t="s">
        <v>2368</v>
      </c>
    </row>
    <row r="377" spans="1:20" x14ac:dyDescent="0.2">
      <c r="A377" s="23" t="s">
        <v>92</v>
      </c>
      <c r="C377" s="23" t="s">
        <v>2369</v>
      </c>
      <c r="D377" s="23" t="s">
        <v>2370</v>
      </c>
      <c r="E377" s="23" t="s">
        <v>2371</v>
      </c>
      <c r="G377" s="23" t="s">
        <v>2372</v>
      </c>
      <c r="K377" s="23" t="s">
        <v>2373</v>
      </c>
      <c r="L377" s="23" t="s">
        <v>2374</v>
      </c>
      <c r="M377" s="23" t="s">
        <v>2375</v>
      </c>
      <c r="N377" s="23" t="s">
        <v>2376</v>
      </c>
      <c r="T377" s="23" t="s">
        <v>2377</v>
      </c>
    </row>
    <row r="378" spans="1:20" x14ac:dyDescent="0.2">
      <c r="A378" s="23" t="s">
        <v>92</v>
      </c>
      <c r="C378" s="23" t="s">
        <v>2378</v>
      </c>
      <c r="D378" s="23" t="s">
        <v>2379</v>
      </c>
      <c r="E378" s="23" t="s">
        <v>2380</v>
      </c>
      <c r="G378" s="23" t="s">
        <v>2381</v>
      </c>
      <c r="K378" s="23" t="s">
        <v>2382</v>
      </c>
      <c r="L378" s="23" t="s">
        <v>2383</v>
      </c>
      <c r="M378" s="23" t="s">
        <v>2384</v>
      </c>
      <c r="N378" s="23" t="s">
        <v>2385</v>
      </c>
    </row>
    <row r="379" spans="1:20" x14ac:dyDescent="0.2">
      <c r="A379" s="23" t="s">
        <v>92</v>
      </c>
      <c r="C379" s="23" t="s">
        <v>2386</v>
      </c>
      <c r="D379" s="23" t="s">
        <v>2387</v>
      </c>
      <c r="E379" s="23" t="s">
        <v>2388</v>
      </c>
      <c r="G379" s="23" t="s">
        <v>2389</v>
      </c>
      <c r="K379" s="23" t="s">
        <v>2390</v>
      </c>
      <c r="L379" s="23" t="s">
        <v>2391</v>
      </c>
      <c r="O379" s="23" t="s">
        <v>11699</v>
      </c>
      <c r="P379" s="23" t="s">
        <v>2392</v>
      </c>
      <c r="Q379" s="23" t="s">
        <v>2393</v>
      </c>
      <c r="R379" s="23" t="s">
        <v>2394</v>
      </c>
      <c r="S379" s="23" t="s">
        <v>2395</v>
      </c>
      <c r="T379" s="23" t="s">
        <v>2396</v>
      </c>
    </row>
    <row r="380" spans="1:20" x14ac:dyDescent="0.2">
      <c r="A380" s="23" t="s">
        <v>92</v>
      </c>
      <c r="C380" s="23" t="s">
        <v>2397</v>
      </c>
      <c r="D380" s="23" t="s">
        <v>2398</v>
      </c>
      <c r="E380" s="23" t="s">
        <v>2399</v>
      </c>
      <c r="G380" s="23" t="s">
        <v>2400</v>
      </c>
      <c r="K380" s="23" t="s">
        <v>2401</v>
      </c>
      <c r="L380" s="23" t="s">
        <v>2402</v>
      </c>
      <c r="O380" s="23" t="s">
        <v>11700</v>
      </c>
      <c r="P380" s="23" t="s">
        <v>11701</v>
      </c>
      <c r="Q380" s="23" t="s">
        <v>11702</v>
      </c>
      <c r="R380" s="23" t="s">
        <v>11703</v>
      </c>
      <c r="S380" s="23" t="s">
        <v>11704</v>
      </c>
      <c r="T380" s="23" t="s">
        <v>11705</v>
      </c>
    </row>
    <row r="381" spans="1:20" x14ac:dyDescent="0.2">
      <c r="A381" s="23" t="s">
        <v>92</v>
      </c>
      <c r="C381" s="23" t="s">
        <v>2397</v>
      </c>
      <c r="D381" s="23" t="s">
        <v>2398</v>
      </c>
      <c r="E381" s="23" t="s">
        <v>2399</v>
      </c>
      <c r="G381" s="23" t="s">
        <v>2400</v>
      </c>
      <c r="K381" s="23" t="s">
        <v>2401</v>
      </c>
      <c r="L381" s="23" t="s">
        <v>2402</v>
      </c>
    </row>
    <row r="382" spans="1:20" x14ac:dyDescent="0.2">
      <c r="A382" s="23" t="s">
        <v>92</v>
      </c>
      <c r="C382" s="23" t="s">
        <v>2403</v>
      </c>
      <c r="D382" s="23" t="s">
        <v>2404</v>
      </c>
      <c r="E382" s="23" t="s">
        <v>2405</v>
      </c>
      <c r="G382" s="23" t="s">
        <v>2406</v>
      </c>
      <c r="K382" s="23" t="s">
        <v>2407</v>
      </c>
      <c r="L382" s="23" t="s">
        <v>2408</v>
      </c>
      <c r="M382" s="23" t="s">
        <v>2409</v>
      </c>
      <c r="N382" s="23" t="s">
        <v>2410</v>
      </c>
      <c r="T382" s="23" t="s">
        <v>2411</v>
      </c>
    </row>
    <row r="383" spans="1:20" x14ac:dyDescent="0.2">
      <c r="A383" s="23" t="s">
        <v>92</v>
      </c>
      <c r="C383" s="23" t="s">
        <v>2054</v>
      </c>
      <c r="D383" s="23" t="s">
        <v>2055</v>
      </c>
      <c r="E383" s="23" t="s">
        <v>2056</v>
      </c>
      <c r="G383" s="23" t="s">
        <v>2057</v>
      </c>
    </row>
    <row r="384" spans="1:20" x14ac:dyDescent="0.2">
      <c r="A384" s="23" t="s">
        <v>92</v>
      </c>
      <c r="C384" s="23" t="s">
        <v>2412</v>
      </c>
      <c r="D384" s="23" t="s">
        <v>2413</v>
      </c>
      <c r="E384" s="23" t="s">
        <v>2414</v>
      </c>
      <c r="G384" s="23" t="s">
        <v>2415</v>
      </c>
      <c r="H384" s="23" t="s">
        <v>2416</v>
      </c>
      <c r="I384" s="23" t="s">
        <v>2417</v>
      </c>
      <c r="J384" s="23" t="s">
        <v>2418</v>
      </c>
      <c r="T384" s="23" t="s">
        <v>2419</v>
      </c>
    </row>
    <row r="385" spans="1:20" x14ac:dyDescent="0.2">
      <c r="A385" s="23" t="s">
        <v>92</v>
      </c>
      <c r="C385" s="23" t="s">
        <v>2420</v>
      </c>
      <c r="D385" s="23" t="s">
        <v>2421</v>
      </c>
      <c r="E385" s="23" t="s">
        <v>2422</v>
      </c>
      <c r="G385" s="23" t="s">
        <v>2423</v>
      </c>
      <c r="H385" s="23" t="s">
        <v>2424</v>
      </c>
      <c r="I385" s="23" t="s">
        <v>2425</v>
      </c>
      <c r="J385" s="23" t="s">
        <v>2426</v>
      </c>
    </row>
    <row r="386" spans="1:20" x14ac:dyDescent="0.2">
      <c r="A386" s="23" t="s">
        <v>92</v>
      </c>
      <c r="C386" s="23" t="s">
        <v>2427</v>
      </c>
      <c r="D386" s="23" t="s">
        <v>2428</v>
      </c>
      <c r="E386" s="23" t="s">
        <v>2429</v>
      </c>
      <c r="G386" s="23" t="s">
        <v>2430</v>
      </c>
      <c r="K386" s="23" t="s">
        <v>2431</v>
      </c>
      <c r="L386" s="23" t="s">
        <v>2432</v>
      </c>
      <c r="M386" s="23" t="s">
        <v>11706</v>
      </c>
      <c r="N386" s="23" t="s">
        <v>2433</v>
      </c>
    </row>
    <row r="387" spans="1:20" x14ac:dyDescent="0.2">
      <c r="A387" s="23" t="s">
        <v>92</v>
      </c>
      <c r="C387" s="23" t="s">
        <v>2434</v>
      </c>
      <c r="D387" s="23" t="s">
        <v>2435</v>
      </c>
      <c r="E387" s="23" t="s">
        <v>2436</v>
      </c>
      <c r="G387" s="23" t="s">
        <v>2437</v>
      </c>
      <c r="K387" s="23" t="s">
        <v>2438</v>
      </c>
      <c r="L387" s="23" t="s">
        <v>2439</v>
      </c>
      <c r="O387" s="23" t="s">
        <v>11707</v>
      </c>
      <c r="P387" s="23" t="s">
        <v>2440</v>
      </c>
      <c r="Q387" s="23" t="s">
        <v>2441</v>
      </c>
      <c r="R387" s="23" t="s">
        <v>2442</v>
      </c>
      <c r="S387" s="23" t="s">
        <v>2443</v>
      </c>
      <c r="T387" s="23" t="s">
        <v>2444</v>
      </c>
    </row>
    <row r="388" spans="1:20" x14ac:dyDescent="0.2">
      <c r="A388" s="23" t="s">
        <v>92</v>
      </c>
      <c r="C388" s="23" t="s">
        <v>2445</v>
      </c>
      <c r="D388" s="23" t="s">
        <v>2446</v>
      </c>
      <c r="E388" s="23" t="s">
        <v>2447</v>
      </c>
      <c r="G388" s="23" t="s">
        <v>2448</v>
      </c>
      <c r="K388" s="23" t="s">
        <v>2449</v>
      </c>
      <c r="L388" s="23" t="s">
        <v>2450</v>
      </c>
      <c r="O388" s="23" t="s">
        <v>11708</v>
      </c>
      <c r="P388" s="23" t="s">
        <v>16745</v>
      </c>
      <c r="Q388" s="23" t="s">
        <v>16750</v>
      </c>
      <c r="R388" s="23" t="s">
        <v>16755</v>
      </c>
      <c r="S388" s="23" t="s">
        <v>16760</v>
      </c>
      <c r="T388" s="23" t="s">
        <v>16765</v>
      </c>
    </row>
    <row r="389" spans="1:20" x14ac:dyDescent="0.2">
      <c r="A389" s="23" t="s">
        <v>92</v>
      </c>
      <c r="C389" s="23" t="s">
        <v>2451</v>
      </c>
      <c r="D389" s="23" t="s">
        <v>2452</v>
      </c>
      <c r="E389" s="23" t="s">
        <v>2453</v>
      </c>
      <c r="G389" s="23" t="s">
        <v>2454</v>
      </c>
      <c r="K389" s="23" t="s">
        <v>2455</v>
      </c>
      <c r="L389" s="23" t="s">
        <v>2456</v>
      </c>
      <c r="O389" s="23" t="s">
        <v>11709</v>
      </c>
      <c r="P389" s="23" t="s">
        <v>16746</v>
      </c>
      <c r="Q389" s="23" t="s">
        <v>16751</v>
      </c>
      <c r="R389" s="23" t="s">
        <v>16756</v>
      </c>
      <c r="S389" s="23" t="s">
        <v>16761</v>
      </c>
      <c r="T389" s="23" t="s">
        <v>16766</v>
      </c>
    </row>
    <row r="390" spans="1:20" x14ac:dyDescent="0.2">
      <c r="A390" s="23" t="s">
        <v>92</v>
      </c>
      <c r="C390" s="23" t="s">
        <v>2457</v>
      </c>
      <c r="D390" s="23" t="s">
        <v>2458</v>
      </c>
      <c r="E390" s="23" t="s">
        <v>2459</v>
      </c>
      <c r="G390" s="23" t="s">
        <v>2460</v>
      </c>
      <c r="K390" s="23" t="s">
        <v>2461</v>
      </c>
      <c r="L390" s="23" t="s">
        <v>2462</v>
      </c>
      <c r="O390" s="23" t="s">
        <v>11517</v>
      </c>
      <c r="P390" s="23" t="s">
        <v>16747</v>
      </c>
      <c r="Q390" s="23" t="s">
        <v>16752</v>
      </c>
      <c r="R390" s="23" t="s">
        <v>16757</v>
      </c>
      <c r="S390" s="23" t="s">
        <v>16762</v>
      </c>
      <c r="T390" s="23" t="s">
        <v>16767</v>
      </c>
    </row>
    <row r="391" spans="1:20" x14ac:dyDescent="0.2">
      <c r="A391" s="23" t="s">
        <v>92</v>
      </c>
      <c r="C391" s="23" t="s">
        <v>2463</v>
      </c>
      <c r="D391" s="23" t="s">
        <v>2464</v>
      </c>
      <c r="E391" s="23" t="s">
        <v>2465</v>
      </c>
      <c r="G391" s="23" t="s">
        <v>2466</v>
      </c>
      <c r="K391" s="23" t="s">
        <v>2467</v>
      </c>
      <c r="L391" s="23" t="s">
        <v>2468</v>
      </c>
      <c r="O391" s="23" t="s">
        <v>11562</v>
      </c>
      <c r="P391" s="23" t="s">
        <v>16748</v>
      </c>
      <c r="Q391" s="23" t="s">
        <v>16753</v>
      </c>
      <c r="R391" s="23" t="s">
        <v>16758</v>
      </c>
      <c r="S391" s="23" t="s">
        <v>16763</v>
      </c>
      <c r="T391" s="23" t="s">
        <v>16768</v>
      </c>
    </row>
    <row r="392" spans="1:20" x14ac:dyDescent="0.2">
      <c r="A392" s="23" t="s">
        <v>92</v>
      </c>
      <c r="C392" s="23" t="s">
        <v>2469</v>
      </c>
      <c r="D392" s="23" t="s">
        <v>2470</v>
      </c>
      <c r="E392" s="23" t="s">
        <v>2471</v>
      </c>
      <c r="G392" s="23" t="s">
        <v>2472</v>
      </c>
      <c r="K392" s="23" t="s">
        <v>2473</v>
      </c>
      <c r="L392" s="23" t="s">
        <v>2474</v>
      </c>
      <c r="O392" s="23" t="s">
        <v>11710</v>
      </c>
      <c r="P392" s="23" t="s">
        <v>16749</v>
      </c>
      <c r="Q392" s="23" t="s">
        <v>16754</v>
      </c>
      <c r="R392" s="23" t="s">
        <v>16759</v>
      </c>
      <c r="S392" s="23" t="s">
        <v>16764</v>
      </c>
      <c r="T392" s="23" t="s">
        <v>16769</v>
      </c>
    </row>
    <row r="393" spans="1:20" x14ac:dyDescent="0.2">
      <c r="A393" s="23" t="s">
        <v>92</v>
      </c>
      <c r="C393" s="23" t="s">
        <v>2445</v>
      </c>
      <c r="D393" s="23" t="s">
        <v>2446</v>
      </c>
      <c r="E393" s="23" t="s">
        <v>2447</v>
      </c>
      <c r="G393" s="23" t="s">
        <v>2448</v>
      </c>
      <c r="K393" s="23" t="s">
        <v>2449</v>
      </c>
      <c r="L393" s="23" t="s">
        <v>2450</v>
      </c>
    </row>
    <row r="394" spans="1:20" x14ac:dyDescent="0.2">
      <c r="A394" s="23" t="s">
        <v>92</v>
      </c>
      <c r="C394" s="23" t="s">
        <v>2475</v>
      </c>
      <c r="D394" s="23" t="s">
        <v>2476</v>
      </c>
      <c r="E394" s="23" t="s">
        <v>2477</v>
      </c>
      <c r="G394" s="23" t="s">
        <v>2478</v>
      </c>
      <c r="K394" s="23" t="s">
        <v>2479</v>
      </c>
      <c r="L394" s="23" t="s">
        <v>2480</v>
      </c>
      <c r="M394" s="23" t="s">
        <v>2481</v>
      </c>
      <c r="N394" s="23" t="s">
        <v>2482</v>
      </c>
      <c r="T394" s="23" t="s">
        <v>2483</v>
      </c>
    </row>
    <row r="395" spans="1:20" x14ac:dyDescent="0.2">
      <c r="A395" s="23" t="s">
        <v>92</v>
      </c>
      <c r="C395" s="23" t="s">
        <v>2484</v>
      </c>
      <c r="D395" s="23" t="s">
        <v>2485</v>
      </c>
      <c r="E395" s="23" t="s">
        <v>2486</v>
      </c>
      <c r="G395" s="23" t="s">
        <v>2487</v>
      </c>
      <c r="K395" s="23" t="s">
        <v>2488</v>
      </c>
      <c r="L395" s="23" t="s">
        <v>2489</v>
      </c>
      <c r="M395" s="23" t="s">
        <v>2490</v>
      </c>
      <c r="N395" s="23" t="s">
        <v>2491</v>
      </c>
    </row>
    <row r="396" spans="1:20" x14ac:dyDescent="0.2">
      <c r="A396" s="23" t="s">
        <v>92</v>
      </c>
      <c r="C396" s="23" t="s">
        <v>2492</v>
      </c>
      <c r="D396" s="23" t="s">
        <v>2493</v>
      </c>
      <c r="E396" s="23" t="s">
        <v>2494</v>
      </c>
      <c r="G396" s="23" t="s">
        <v>2495</v>
      </c>
      <c r="K396" s="23" t="s">
        <v>2496</v>
      </c>
      <c r="L396" s="23" t="s">
        <v>2497</v>
      </c>
      <c r="O396" s="23" t="s">
        <v>11711</v>
      </c>
      <c r="P396" s="23" t="s">
        <v>2498</v>
      </c>
      <c r="Q396" s="23" t="s">
        <v>2499</v>
      </c>
      <c r="R396" s="23" t="s">
        <v>2500</v>
      </c>
      <c r="S396" s="23" t="s">
        <v>2501</v>
      </c>
      <c r="T396" s="23" t="s">
        <v>2502</v>
      </c>
    </row>
    <row r="397" spans="1:20" x14ac:dyDescent="0.2">
      <c r="A397" s="23" t="s">
        <v>92</v>
      </c>
      <c r="C397" s="23" t="s">
        <v>2503</v>
      </c>
      <c r="D397" s="23" t="s">
        <v>2504</v>
      </c>
      <c r="E397" s="23" t="s">
        <v>2505</v>
      </c>
      <c r="G397" s="23" t="s">
        <v>2506</v>
      </c>
      <c r="K397" s="23" t="s">
        <v>2507</v>
      </c>
      <c r="L397" s="23" t="s">
        <v>2508</v>
      </c>
      <c r="O397" s="23" t="s">
        <v>11712</v>
      </c>
      <c r="P397" s="23" t="s">
        <v>16870</v>
      </c>
      <c r="Q397" s="23" t="s">
        <v>16876</v>
      </c>
      <c r="R397" s="23" t="s">
        <v>16882</v>
      </c>
      <c r="S397" s="23" t="s">
        <v>16888</v>
      </c>
      <c r="T397" s="23" t="s">
        <v>16894</v>
      </c>
    </row>
    <row r="398" spans="1:20" x14ac:dyDescent="0.2">
      <c r="A398" s="23" t="s">
        <v>92</v>
      </c>
      <c r="C398" s="23" t="s">
        <v>2509</v>
      </c>
      <c r="D398" s="23" t="s">
        <v>2510</v>
      </c>
      <c r="E398" s="23" t="s">
        <v>2511</v>
      </c>
      <c r="G398" s="23" t="s">
        <v>2512</v>
      </c>
      <c r="K398" s="23" t="s">
        <v>2513</v>
      </c>
      <c r="L398" s="23" t="s">
        <v>2514</v>
      </c>
      <c r="O398" s="23" t="s">
        <v>11622</v>
      </c>
      <c r="P398" s="23" t="s">
        <v>16871</v>
      </c>
      <c r="Q398" s="23" t="s">
        <v>16877</v>
      </c>
      <c r="R398" s="23" t="s">
        <v>16883</v>
      </c>
      <c r="S398" s="23" t="s">
        <v>16889</v>
      </c>
      <c r="T398" s="23" t="s">
        <v>16895</v>
      </c>
    </row>
    <row r="399" spans="1:20" x14ac:dyDescent="0.2">
      <c r="A399" s="23" t="s">
        <v>92</v>
      </c>
      <c r="C399" s="23" t="s">
        <v>2515</v>
      </c>
      <c r="D399" s="23" t="s">
        <v>2516</v>
      </c>
      <c r="E399" s="23" t="s">
        <v>2517</v>
      </c>
      <c r="G399" s="23" t="s">
        <v>2518</v>
      </c>
      <c r="K399" s="23" t="s">
        <v>2519</v>
      </c>
      <c r="L399" s="23" t="s">
        <v>2520</v>
      </c>
      <c r="O399" s="23" t="s">
        <v>11713</v>
      </c>
      <c r="P399" s="23" t="s">
        <v>16872</v>
      </c>
      <c r="Q399" s="23" t="s">
        <v>16878</v>
      </c>
      <c r="R399" s="23" t="s">
        <v>16884</v>
      </c>
      <c r="S399" s="23" t="s">
        <v>16890</v>
      </c>
      <c r="T399" s="23" t="s">
        <v>16896</v>
      </c>
    </row>
    <row r="400" spans="1:20" x14ac:dyDescent="0.2">
      <c r="A400" s="23" t="s">
        <v>92</v>
      </c>
      <c r="C400" s="23" t="s">
        <v>2521</v>
      </c>
      <c r="D400" s="23" t="s">
        <v>2522</v>
      </c>
      <c r="E400" s="23" t="s">
        <v>2523</v>
      </c>
      <c r="G400" s="23" t="s">
        <v>2524</v>
      </c>
      <c r="K400" s="23" t="s">
        <v>2525</v>
      </c>
      <c r="L400" s="23" t="s">
        <v>2526</v>
      </c>
      <c r="O400" s="23" t="s">
        <v>11524</v>
      </c>
      <c r="P400" s="23" t="s">
        <v>16873</v>
      </c>
      <c r="Q400" s="23" t="s">
        <v>16879</v>
      </c>
      <c r="R400" s="23" t="s">
        <v>16885</v>
      </c>
      <c r="S400" s="23" t="s">
        <v>16891</v>
      </c>
      <c r="T400" s="23" t="s">
        <v>16897</v>
      </c>
    </row>
    <row r="401" spans="1:20" x14ac:dyDescent="0.2">
      <c r="A401" s="23" t="s">
        <v>92</v>
      </c>
      <c r="C401" s="23" t="s">
        <v>2527</v>
      </c>
      <c r="D401" s="23" t="s">
        <v>2528</v>
      </c>
      <c r="E401" s="23" t="s">
        <v>2529</v>
      </c>
      <c r="G401" s="23" t="s">
        <v>2530</v>
      </c>
      <c r="K401" s="23" t="s">
        <v>2531</v>
      </c>
      <c r="L401" s="23" t="s">
        <v>2532</v>
      </c>
      <c r="O401" s="23" t="s">
        <v>11567</v>
      </c>
      <c r="P401" s="23" t="s">
        <v>16874</v>
      </c>
      <c r="Q401" s="23" t="s">
        <v>16880</v>
      </c>
      <c r="R401" s="23" t="s">
        <v>16886</v>
      </c>
      <c r="S401" s="23" t="s">
        <v>16892</v>
      </c>
      <c r="T401" s="23" t="s">
        <v>16898</v>
      </c>
    </row>
    <row r="402" spans="1:20" x14ac:dyDescent="0.2">
      <c r="A402" s="23" t="s">
        <v>92</v>
      </c>
      <c r="C402" s="23" t="s">
        <v>2533</v>
      </c>
      <c r="D402" s="23" t="s">
        <v>2534</v>
      </c>
      <c r="E402" s="23" t="s">
        <v>2535</v>
      </c>
      <c r="G402" s="23" t="s">
        <v>2536</v>
      </c>
      <c r="K402" s="23" t="s">
        <v>2537</v>
      </c>
      <c r="L402" s="23" t="s">
        <v>2538</v>
      </c>
      <c r="O402" s="23" t="s">
        <v>11714</v>
      </c>
      <c r="P402" s="23" t="s">
        <v>16875</v>
      </c>
      <c r="Q402" s="23" t="s">
        <v>16881</v>
      </c>
      <c r="R402" s="23" t="s">
        <v>16887</v>
      </c>
      <c r="S402" s="23" t="s">
        <v>16893</v>
      </c>
      <c r="T402" s="23" t="s">
        <v>16899</v>
      </c>
    </row>
    <row r="403" spans="1:20" x14ac:dyDescent="0.2">
      <c r="A403" s="23" t="s">
        <v>92</v>
      </c>
      <c r="C403" s="23" t="s">
        <v>2503</v>
      </c>
      <c r="D403" s="23" t="s">
        <v>2504</v>
      </c>
      <c r="E403" s="23" t="s">
        <v>2505</v>
      </c>
      <c r="G403" s="23" t="s">
        <v>2506</v>
      </c>
      <c r="K403" s="23" t="s">
        <v>2507</v>
      </c>
      <c r="L403" s="23" t="s">
        <v>2508</v>
      </c>
    </row>
    <row r="404" spans="1:20" x14ac:dyDescent="0.2">
      <c r="A404" s="23" t="s">
        <v>92</v>
      </c>
      <c r="C404" s="23" t="s">
        <v>2539</v>
      </c>
      <c r="D404" s="23" t="s">
        <v>2540</v>
      </c>
      <c r="E404" s="23" t="s">
        <v>2541</v>
      </c>
      <c r="G404" s="23" t="s">
        <v>2542</v>
      </c>
      <c r="K404" s="23" t="s">
        <v>2543</v>
      </c>
      <c r="L404" s="23" t="s">
        <v>2544</v>
      </c>
      <c r="M404" s="23" t="s">
        <v>2545</v>
      </c>
      <c r="N404" s="23" t="s">
        <v>2546</v>
      </c>
      <c r="T404" s="23" t="s">
        <v>2547</v>
      </c>
    </row>
    <row r="405" spans="1:20" x14ac:dyDescent="0.2">
      <c r="A405" s="23" t="s">
        <v>92</v>
      </c>
      <c r="C405" s="23" t="s">
        <v>2548</v>
      </c>
      <c r="D405" s="23" t="s">
        <v>2549</v>
      </c>
      <c r="E405" s="23" t="s">
        <v>2550</v>
      </c>
      <c r="G405" s="23" t="s">
        <v>2551</v>
      </c>
      <c r="K405" s="23" t="s">
        <v>2552</v>
      </c>
      <c r="L405" s="23" t="s">
        <v>2553</v>
      </c>
      <c r="M405" s="23" t="s">
        <v>2554</v>
      </c>
      <c r="N405" s="23" t="s">
        <v>2555</v>
      </c>
    </row>
    <row r="406" spans="1:20" x14ac:dyDescent="0.2">
      <c r="A406" s="23" t="s">
        <v>92</v>
      </c>
      <c r="C406" s="23" t="s">
        <v>2556</v>
      </c>
      <c r="D406" s="23" t="s">
        <v>2557</v>
      </c>
      <c r="E406" s="23" t="s">
        <v>2558</v>
      </c>
      <c r="G406" s="23" t="s">
        <v>2559</v>
      </c>
      <c r="K406" s="23" t="s">
        <v>2560</v>
      </c>
      <c r="L406" s="23" t="s">
        <v>2561</v>
      </c>
      <c r="O406" s="23" t="s">
        <v>11715</v>
      </c>
      <c r="P406" s="23" t="s">
        <v>2562</v>
      </c>
      <c r="Q406" s="23" t="s">
        <v>2563</v>
      </c>
      <c r="R406" s="23" t="s">
        <v>2564</v>
      </c>
      <c r="S406" s="23" t="s">
        <v>2565</v>
      </c>
      <c r="T406" s="23" t="s">
        <v>2566</v>
      </c>
    </row>
    <row r="407" spans="1:20" x14ac:dyDescent="0.2">
      <c r="A407" s="23" t="s">
        <v>92</v>
      </c>
      <c r="C407" s="23" t="s">
        <v>2567</v>
      </c>
      <c r="D407" s="23" t="s">
        <v>2568</v>
      </c>
      <c r="E407" s="23" t="s">
        <v>2569</v>
      </c>
      <c r="G407" s="23" t="s">
        <v>2570</v>
      </c>
      <c r="K407" s="23" t="s">
        <v>2571</v>
      </c>
      <c r="L407" s="23" t="s">
        <v>2572</v>
      </c>
      <c r="O407" s="23" t="s">
        <v>11716</v>
      </c>
      <c r="P407" s="23" t="s">
        <v>16845</v>
      </c>
      <c r="Q407" s="23" t="s">
        <v>16850</v>
      </c>
      <c r="R407" s="23" t="s">
        <v>16855</v>
      </c>
      <c r="S407" s="23" t="s">
        <v>16860</v>
      </c>
      <c r="T407" s="23" t="s">
        <v>16865</v>
      </c>
    </row>
    <row r="408" spans="1:20" x14ac:dyDescent="0.2">
      <c r="A408" s="23" t="s">
        <v>92</v>
      </c>
      <c r="C408" s="23" t="s">
        <v>2573</v>
      </c>
      <c r="D408" s="23" t="s">
        <v>2574</v>
      </c>
      <c r="E408" s="23" t="s">
        <v>2575</v>
      </c>
      <c r="G408" s="23" t="s">
        <v>2576</v>
      </c>
      <c r="K408" s="23" t="s">
        <v>2577</v>
      </c>
      <c r="L408" s="23" t="s">
        <v>2578</v>
      </c>
      <c r="O408" s="23" t="s">
        <v>11717</v>
      </c>
      <c r="P408" s="23" t="s">
        <v>16846</v>
      </c>
      <c r="Q408" s="23" t="s">
        <v>16851</v>
      </c>
      <c r="R408" s="23" t="s">
        <v>16856</v>
      </c>
      <c r="S408" s="23" t="s">
        <v>16861</v>
      </c>
      <c r="T408" s="23" t="s">
        <v>16866</v>
      </c>
    </row>
    <row r="409" spans="1:20" x14ac:dyDescent="0.2">
      <c r="A409" s="23" t="s">
        <v>92</v>
      </c>
      <c r="C409" s="23" t="s">
        <v>2579</v>
      </c>
      <c r="D409" s="23" t="s">
        <v>2580</v>
      </c>
      <c r="E409" s="23" t="s">
        <v>2581</v>
      </c>
      <c r="G409" s="23" t="s">
        <v>2582</v>
      </c>
      <c r="K409" s="23" t="s">
        <v>2583</v>
      </c>
      <c r="L409" s="23" t="s">
        <v>2584</v>
      </c>
      <c r="O409" s="23" t="s">
        <v>11531</v>
      </c>
      <c r="P409" s="23" t="s">
        <v>16847</v>
      </c>
      <c r="Q409" s="23" t="s">
        <v>16852</v>
      </c>
      <c r="R409" s="23" t="s">
        <v>16857</v>
      </c>
      <c r="S409" s="23" t="s">
        <v>16862</v>
      </c>
      <c r="T409" s="23" t="s">
        <v>16867</v>
      </c>
    </row>
    <row r="410" spans="1:20" x14ac:dyDescent="0.2">
      <c r="A410" s="23" t="s">
        <v>92</v>
      </c>
      <c r="C410" s="23" t="s">
        <v>2585</v>
      </c>
      <c r="D410" s="23" t="s">
        <v>2586</v>
      </c>
      <c r="E410" s="23" t="s">
        <v>2587</v>
      </c>
      <c r="G410" s="23" t="s">
        <v>2588</v>
      </c>
      <c r="K410" s="23" t="s">
        <v>2589</v>
      </c>
      <c r="L410" s="23" t="s">
        <v>2590</v>
      </c>
      <c r="O410" s="23" t="s">
        <v>11573</v>
      </c>
      <c r="P410" s="23" t="s">
        <v>16848</v>
      </c>
      <c r="Q410" s="23" t="s">
        <v>16853</v>
      </c>
      <c r="R410" s="23" t="s">
        <v>16858</v>
      </c>
      <c r="S410" s="23" t="s">
        <v>16863</v>
      </c>
      <c r="T410" s="23" t="s">
        <v>16868</v>
      </c>
    </row>
    <row r="411" spans="1:20" x14ac:dyDescent="0.2">
      <c r="A411" s="23" t="s">
        <v>92</v>
      </c>
      <c r="C411" s="23" t="s">
        <v>2591</v>
      </c>
      <c r="D411" s="23" t="s">
        <v>2592</v>
      </c>
      <c r="E411" s="23" t="s">
        <v>2593</v>
      </c>
      <c r="G411" s="23" t="s">
        <v>2594</v>
      </c>
      <c r="K411" s="23" t="s">
        <v>2595</v>
      </c>
      <c r="L411" s="23" t="s">
        <v>2596</v>
      </c>
      <c r="O411" s="23" t="s">
        <v>11718</v>
      </c>
      <c r="P411" s="23" t="s">
        <v>16849</v>
      </c>
      <c r="Q411" s="23" t="s">
        <v>16854</v>
      </c>
      <c r="R411" s="23" t="s">
        <v>16859</v>
      </c>
      <c r="S411" s="23" t="s">
        <v>16864</v>
      </c>
      <c r="T411" s="23" t="s">
        <v>16869</v>
      </c>
    </row>
    <row r="412" spans="1:20" x14ac:dyDescent="0.2">
      <c r="A412" s="23" t="s">
        <v>92</v>
      </c>
      <c r="C412" s="23" t="s">
        <v>2567</v>
      </c>
      <c r="D412" s="23" t="s">
        <v>2568</v>
      </c>
      <c r="E412" s="23" t="s">
        <v>2569</v>
      </c>
      <c r="G412" s="23" t="s">
        <v>2570</v>
      </c>
      <c r="K412" s="23" t="s">
        <v>2571</v>
      </c>
      <c r="L412" s="23" t="s">
        <v>2572</v>
      </c>
    </row>
    <row r="413" spans="1:20" x14ac:dyDescent="0.2">
      <c r="A413" s="23" t="s">
        <v>92</v>
      </c>
      <c r="C413" s="23" t="s">
        <v>2597</v>
      </c>
      <c r="D413" s="23" t="s">
        <v>2598</v>
      </c>
      <c r="E413" s="23" t="s">
        <v>2599</v>
      </c>
      <c r="G413" s="23" t="s">
        <v>2600</v>
      </c>
      <c r="K413" s="23" t="s">
        <v>2601</v>
      </c>
      <c r="L413" s="23" t="s">
        <v>2602</v>
      </c>
      <c r="M413" s="23" t="s">
        <v>2603</v>
      </c>
      <c r="N413" s="23" t="s">
        <v>2604</v>
      </c>
      <c r="T413" s="23" t="s">
        <v>2605</v>
      </c>
    </row>
    <row r="414" spans="1:20" x14ac:dyDescent="0.2">
      <c r="A414" s="23" t="s">
        <v>92</v>
      </c>
      <c r="C414" s="23" t="s">
        <v>2606</v>
      </c>
      <c r="D414" s="23" t="s">
        <v>2607</v>
      </c>
      <c r="E414" s="23" t="s">
        <v>2608</v>
      </c>
      <c r="G414" s="23" t="s">
        <v>2609</v>
      </c>
      <c r="K414" s="23" t="s">
        <v>2610</v>
      </c>
      <c r="L414" s="23" t="s">
        <v>2611</v>
      </c>
      <c r="M414" s="23" t="s">
        <v>2612</v>
      </c>
      <c r="N414" s="23" t="s">
        <v>2613</v>
      </c>
    </row>
    <row r="415" spans="1:20" x14ac:dyDescent="0.2">
      <c r="A415" s="23" t="s">
        <v>92</v>
      </c>
      <c r="C415" s="23" t="s">
        <v>2614</v>
      </c>
      <c r="D415" s="23" t="s">
        <v>2615</v>
      </c>
      <c r="E415" s="23" t="s">
        <v>2616</v>
      </c>
      <c r="G415" s="23" t="s">
        <v>2617</v>
      </c>
      <c r="K415" s="23" t="s">
        <v>2618</v>
      </c>
      <c r="L415" s="23" t="s">
        <v>2619</v>
      </c>
      <c r="O415" s="23" t="s">
        <v>11719</v>
      </c>
      <c r="P415" s="23" t="s">
        <v>2620</v>
      </c>
      <c r="Q415" s="23" t="s">
        <v>2621</v>
      </c>
      <c r="R415" s="23" t="s">
        <v>2622</v>
      </c>
      <c r="S415" s="23" t="s">
        <v>2623</v>
      </c>
      <c r="T415" s="23" t="s">
        <v>2624</v>
      </c>
    </row>
    <row r="416" spans="1:20" x14ac:dyDescent="0.2">
      <c r="A416" s="23" t="s">
        <v>92</v>
      </c>
      <c r="C416" s="23" t="s">
        <v>2625</v>
      </c>
      <c r="D416" s="23" t="s">
        <v>2626</v>
      </c>
      <c r="E416" s="23" t="s">
        <v>2627</v>
      </c>
      <c r="G416" s="23" t="s">
        <v>2628</v>
      </c>
      <c r="K416" s="23" t="s">
        <v>2629</v>
      </c>
      <c r="L416" s="23" t="s">
        <v>2630</v>
      </c>
      <c r="O416" s="23" t="s">
        <v>11720</v>
      </c>
      <c r="P416" s="23" t="s">
        <v>16820</v>
      </c>
      <c r="Q416" s="23" t="s">
        <v>16825</v>
      </c>
      <c r="R416" s="23" t="s">
        <v>16830</v>
      </c>
      <c r="S416" s="23" t="s">
        <v>16835</v>
      </c>
      <c r="T416" s="23" t="s">
        <v>16840</v>
      </c>
    </row>
    <row r="417" spans="1:20" x14ac:dyDescent="0.2">
      <c r="A417" s="23" t="s">
        <v>92</v>
      </c>
      <c r="C417" s="23" t="s">
        <v>2631</v>
      </c>
      <c r="D417" s="23" t="s">
        <v>2632</v>
      </c>
      <c r="E417" s="23" t="s">
        <v>2633</v>
      </c>
      <c r="G417" s="23" t="s">
        <v>2634</v>
      </c>
      <c r="K417" s="23" t="s">
        <v>2635</v>
      </c>
      <c r="L417" s="23" t="s">
        <v>2636</v>
      </c>
      <c r="O417" s="23" t="s">
        <v>11721</v>
      </c>
      <c r="P417" s="23" t="s">
        <v>16821</v>
      </c>
      <c r="Q417" s="23" t="s">
        <v>16826</v>
      </c>
      <c r="R417" s="23" t="s">
        <v>16831</v>
      </c>
      <c r="S417" s="23" t="s">
        <v>16836</v>
      </c>
      <c r="T417" s="23" t="s">
        <v>16841</v>
      </c>
    </row>
    <row r="418" spans="1:20" x14ac:dyDescent="0.2">
      <c r="A418" s="23" t="s">
        <v>92</v>
      </c>
      <c r="C418" s="23" t="s">
        <v>2637</v>
      </c>
      <c r="D418" s="23" t="s">
        <v>2638</v>
      </c>
      <c r="E418" s="23" t="s">
        <v>2639</v>
      </c>
      <c r="G418" s="23" t="s">
        <v>2640</v>
      </c>
      <c r="K418" s="23" t="s">
        <v>2641</v>
      </c>
      <c r="L418" s="23" t="s">
        <v>2642</v>
      </c>
      <c r="O418" s="23" t="s">
        <v>11538</v>
      </c>
      <c r="P418" s="23" t="s">
        <v>16822</v>
      </c>
      <c r="Q418" s="23" t="s">
        <v>16827</v>
      </c>
      <c r="R418" s="23" t="s">
        <v>16832</v>
      </c>
      <c r="S418" s="23" t="s">
        <v>16837</v>
      </c>
      <c r="T418" s="23" t="s">
        <v>16842</v>
      </c>
    </row>
    <row r="419" spans="1:20" x14ac:dyDescent="0.2">
      <c r="A419" s="23" t="s">
        <v>92</v>
      </c>
      <c r="C419" s="23" t="s">
        <v>2643</v>
      </c>
      <c r="D419" s="23" t="s">
        <v>2644</v>
      </c>
      <c r="E419" s="23" t="s">
        <v>2645</v>
      </c>
      <c r="G419" s="23" t="s">
        <v>2646</v>
      </c>
      <c r="K419" s="23" t="s">
        <v>2647</v>
      </c>
      <c r="L419" s="23" t="s">
        <v>2648</v>
      </c>
      <c r="O419" s="23" t="s">
        <v>11578</v>
      </c>
      <c r="P419" s="23" t="s">
        <v>16823</v>
      </c>
      <c r="Q419" s="23" t="s">
        <v>16828</v>
      </c>
      <c r="R419" s="23" t="s">
        <v>16833</v>
      </c>
      <c r="S419" s="23" t="s">
        <v>16838</v>
      </c>
      <c r="T419" s="23" t="s">
        <v>16843</v>
      </c>
    </row>
    <row r="420" spans="1:20" x14ac:dyDescent="0.2">
      <c r="A420" s="23" t="s">
        <v>92</v>
      </c>
      <c r="C420" s="23" t="s">
        <v>2649</v>
      </c>
      <c r="D420" s="23" t="s">
        <v>2650</v>
      </c>
      <c r="E420" s="23" t="s">
        <v>2651</v>
      </c>
      <c r="G420" s="23" t="s">
        <v>2652</v>
      </c>
      <c r="K420" s="23" t="s">
        <v>2653</v>
      </c>
      <c r="L420" s="23" t="s">
        <v>2654</v>
      </c>
      <c r="O420" s="23" t="s">
        <v>11722</v>
      </c>
      <c r="P420" s="23" t="s">
        <v>16824</v>
      </c>
      <c r="Q420" s="23" t="s">
        <v>16829</v>
      </c>
      <c r="R420" s="23" t="s">
        <v>16834</v>
      </c>
      <c r="S420" s="23" t="s">
        <v>16839</v>
      </c>
      <c r="T420" s="23" t="s">
        <v>16844</v>
      </c>
    </row>
    <row r="421" spans="1:20" x14ac:dyDescent="0.2">
      <c r="A421" s="23" t="s">
        <v>92</v>
      </c>
      <c r="C421" s="23" t="s">
        <v>2625</v>
      </c>
      <c r="D421" s="23" t="s">
        <v>2626</v>
      </c>
      <c r="E421" s="23" t="s">
        <v>2627</v>
      </c>
      <c r="G421" s="23" t="s">
        <v>2628</v>
      </c>
      <c r="K421" s="23" t="s">
        <v>2629</v>
      </c>
      <c r="L421" s="23" t="s">
        <v>2630</v>
      </c>
    </row>
    <row r="422" spans="1:20" x14ac:dyDescent="0.2">
      <c r="A422" s="23" t="s">
        <v>92</v>
      </c>
      <c r="C422" s="23" t="s">
        <v>2655</v>
      </c>
      <c r="D422" s="23" t="s">
        <v>2656</v>
      </c>
      <c r="E422" s="23" t="s">
        <v>2657</v>
      </c>
      <c r="G422" s="23" t="s">
        <v>2658</v>
      </c>
      <c r="K422" s="23" t="s">
        <v>2659</v>
      </c>
      <c r="L422" s="23" t="s">
        <v>2660</v>
      </c>
      <c r="M422" s="23" t="s">
        <v>2661</v>
      </c>
      <c r="N422" s="23" t="s">
        <v>2662</v>
      </c>
      <c r="T422" s="23" t="s">
        <v>2663</v>
      </c>
    </row>
    <row r="423" spans="1:20" x14ac:dyDescent="0.2">
      <c r="A423" s="23" t="s">
        <v>92</v>
      </c>
      <c r="C423" s="23" t="s">
        <v>2664</v>
      </c>
      <c r="D423" s="23" t="s">
        <v>2665</v>
      </c>
      <c r="E423" s="23" t="s">
        <v>2666</v>
      </c>
      <c r="G423" s="23" t="s">
        <v>2667</v>
      </c>
      <c r="K423" s="23" t="s">
        <v>2668</v>
      </c>
      <c r="L423" s="23" t="s">
        <v>2669</v>
      </c>
      <c r="M423" s="23" t="s">
        <v>2670</v>
      </c>
      <c r="N423" s="23" t="s">
        <v>2671</v>
      </c>
    </row>
    <row r="424" spans="1:20" x14ac:dyDescent="0.2">
      <c r="A424" s="23" t="s">
        <v>92</v>
      </c>
      <c r="C424" s="23" t="s">
        <v>2672</v>
      </c>
      <c r="D424" s="23" t="s">
        <v>2673</v>
      </c>
      <c r="E424" s="23" t="s">
        <v>2674</v>
      </c>
      <c r="G424" s="23" t="s">
        <v>2675</v>
      </c>
      <c r="K424" s="23" t="s">
        <v>2676</v>
      </c>
      <c r="L424" s="23" t="s">
        <v>2677</v>
      </c>
      <c r="O424" s="23" t="s">
        <v>11723</v>
      </c>
      <c r="P424" s="23" t="s">
        <v>2678</v>
      </c>
      <c r="Q424" s="23" t="s">
        <v>2679</v>
      </c>
      <c r="R424" s="23" t="s">
        <v>2680</v>
      </c>
      <c r="S424" s="23" t="s">
        <v>2681</v>
      </c>
      <c r="T424" s="23" t="s">
        <v>2682</v>
      </c>
    </row>
    <row r="425" spans="1:20" x14ac:dyDescent="0.2">
      <c r="A425" s="23" t="s">
        <v>92</v>
      </c>
      <c r="C425" s="23" t="s">
        <v>2683</v>
      </c>
      <c r="D425" s="23" t="s">
        <v>2684</v>
      </c>
      <c r="E425" s="23" t="s">
        <v>2685</v>
      </c>
      <c r="G425" s="23" t="s">
        <v>2686</v>
      </c>
      <c r="K425" s="23" t="s">
        <v>2687</v>
      </c>
      <c r="L425" s="23" t="s">
        <v>2688</v>
      </c>
      <c r="O425" s="23" t="s">
        <v>11724</v>
      </c>
      <c r="P425" s="23" t="s">
        <v>16795</v>
      </c>
      <c r="Q425" s="23" t="s">
        <v>16800</v>
      </c>
      <c r="R425" s="23" t="s">
        <v>16805</v>
      </c>
      <c r="S425" s="23" t="s">
        <v>16810</v>
      </c>
      <c r="T425" s="23" t="s">
        <v>16815</v>
      </c>
    </row>
    <row r="426" spans="1:20" x14ac:dyDescent="0.2">
      <c r="A426" s="23" t="s">
        <v>92</v>
      </c>
      <c r="C426" s="23" t="s">
        <v>2689</v>
      </c>
      <c r="D426" s="23" t="s">
        <v>2690</v>
      </c>
      <c r="E426" s="23" t="s">
        <v>2691</v>
      </c>
      <c r="G426" s="23" t="s">
        <v>2692</v>
      </c>
      <c r="K426" s="23" t="s">
        <v>2693</v>
      </c>
      <c r="L426" s="23" t="s">
        <v>2694</v>
      </c>
      <c r="O426" s="23" t="s">
        <v>11725</v>
      </c>
      <c r="P426" s="23" t="s">
        <v>16796</v>
      </c>
      <c r="Q426" s="23" t="s">
        <v>16801</v>
      </c>
      <c r="R426" s="23" t="s">
        <v>16806</v>
      </c>
      <c r="S426" s="23" t="s">
        <v>16811</v>
      </c>
      <c r="T426" s="23" t="s">
        <v>16816</v>
      </c>
    </row>
    <row r="427" spans="1:20" x14ac:dyDescent="0.2">
      <c r="A427" s="23" t="s">
        <v>92</v>
      </c>
      <c r="C427" s="23" t="s">
        <v>2695</v>
      </c>
      <c r="D427" s="23" t="s">
        <v>2696</v>
      </c>
      <c r="E427" s="23" t="s">
        <v>2697</v>
      </c>
      <c r="G427" s="23" t="s">
        <v>2698</v>
      </c>
      <c r="K427" s="23" t="s">
        <v>2699</v>
      </c>
      <c r="L427" s="23" t="s">
        <v>2700</v>
      </c>
      <c r="O427" s="23" t="s">
        <v>11546</v>
      </c>
      <c r="P427" s="23" t="s">
        <v>16797</v>
      </c>
      <c r="Q427" s="23" t="s">
        <v>16802</v>
      </c>
      <c r="R427" s="23" t="s">
        <v>16807</v>
      </c>
      <c r="S427" s="23" t="s">
        <v>16812</v>
      </c>
      <c r="T427" s="23" t="s">
        <v>16817</v>
      </c>
    </row>
    <row r="428" spans="1:20" x14ac:dyDescent="0.2">
      <c r="A428" s="23" t="s">
        <v>92</v>
      </c>
      <c r="C428" s="23" t="s">
        <v>2701</v>
      </c>
      <c r="D428" s="23" t="s">
        <v>2702</v>
      </c>
      <c r="E428" s="23" t="s">
        <v>2703</v>
      </c>
      <c r="G428" s="23" t="s">
        <v>2704</v>
      </c>
      <c r="K428" s="23" t="s">
        <v>2705</v>
      </c>
      <c r="L428" s="23" t="s">
        <v>2706</v>
      </c>
      <c r="O428" s="23" t="s">
        <v>11583</v>
      </c>
      <c r="P428" s="23" t="s">
        <v>16798</v>
      </c>
      <c r="Q428" s="23" t="s">
        <v>16803</v>
      </c>
      <c r="R428" s="23" t="s">
        <v>16808</v>
      </c>
      <c r="S428" s="23" t="s">
        <v>16813</v>
      </c>
      <c r="T428" s="23" t="s">
        <v>16818</v>
      </c>
    </row>
    <row r="429" spans="1:20" x14ac:dyDescent="0.2">
      <c r="A429" s="23" t="s">
        <v>92</v>
      </c>
      <c r="C429" s="23" t="s">
        <v>2707</v>
      </c>
      <c r="D429" s="23" t="s">
        <v>2708</v>
      </c>
      <c r="E429" s="23" t="s">
        <v>2709</v>
      </c>
      <c r="G429" s="23" t="s">
        <v>2710</v>
      </c>
      <c r="K429" s="23" t="s">
        <v>2711</v>
      </c>
      <c r="L429" s="23" t="s">
        <v>2712</v>
      </c>
      <c r="O429" s="23" t="s">
        <v>11726</v>
      </c>
      <c r="P429" s="23" t="s">
        <v>16799</v>
      </c>
      <c r="Q429" s="23" t="s">
        <v>16804</v>
      </c>
      <c r="R429" s="23" t="s">
        <v>16809</v>
      </c>
      <c r="S429" s="23" t="s">
        <v>16814</v>
      </c>
      <c r="T429" s="23" t="s">
        <v>16819</v>
      </c>
    </row>
    <row r="430" spans="1:20" x14ac:dyDescent="0.2">
      <c r="A430" s="23" t="s">
        <v>92</v>
      </c>
      <c r="C430" s="23" t="s">
        <v>2683</v>
      </c>
      <c r="D430" s="23" t="s">
        <v>2684</v>
      </c>
      <c r="E430" s="23" t="s">
        <v>2685</v>
      </c>
      <c r="G430" s="23" t="s">
        <v>2686</v>
      </c>
      <c r="K430" s="23" t="s">
        <v>2687</v>
      </c>
      <c r="L430" s="23" t="s">
        <v>2688</v>
      </c>
    </row>
    <row r="431" spans="1:20" x14ac:dyDescent="0.2">
      <c r="A431" s="23" t="s">
        <v>92</v>
      </c>
      <c r="C431" s="23" t="s">
        <v>2713</v>
      </c>
      <c r="D431" s="23" t="s">
        <v>2714</v>
      </c>
      <c r="E431" s="23" t="s">
        <v>2715</v>
      </c>
      <c r="G431" s="23" t="s">
        <v>2716</v>
      </c>
      <c r="K431" s="23" t="s">
        <v>2717</v>
      </c>
      <c r="L431" s="23" t="s">
        <v>2718</v>
      </c>
      <c r="M431" s="23" t="s">
        <v>2719</v>
      </c>
      <c r="N431" s="23" t="s">
        <v>2720</v>
      </c>
      <c r="T431" s="23" t="s">
        <v>2721</v>
      </c>
    </row>
    <row r="432" spans="1:20" x14ac:dyDescent="0.2">
      <c r="A432" s="23" t="s">
        <v>92</v>
      </c>
      <c r="C432" s="23" t="s">
        <v>2722</v>
      </c>
      <c r="D432" s="23" t="s">
        <v>2723</v>
      </c>
      <c r="E432" s="23" t="s">
        <v>2724</v>
      </c>
      <c r="G432" s="23" t="s">
        <v>2725</v>
      </c>
      <c r="K432" s="23" t="s">
        <v>2726</v>
      </c>
      <c r="L432" s="23" t="s">
        <v>2727</v>
      </c>
      <c r="M432" s="23" t="s">
        <v>2728</v>
      </c>
      <c r="N432" s="23" t="s">
        <v>2729</v>
      </c>
    </row>
    <row r="433" spans="1:20" x14ac:dyDescent="0.2">
      <c r="A433" s="23" t="s">
        <v>92</v>
      </c>
      <c r="C433" s="23" t="s">
        <v>2730</v>
      </c>
      <c r="D433" s="23" t="s">
        <v>2731</v>
      </c>
      <c r="E433" s="23" t="s">
        <v>2732</v>
      </c>
      <c r="G433" s="23" t="s">
        <v>2733</v>
      </c>
      <c r="K433" s="23" t="s">
        <v>2734</v>
      </c>
      <c r="L433" s="23" t="s">
        <v>2735</v>
      </c>
      <c r="O433" s="23" t="s">
        <v>11727</v>
      </c>
      <c r="P433" s="23" t="s">
        <v>2736</v>
      </c>
      <c r="Q433" s="23" t="s">
        <v>2737</v>
      </c>
      <c r="R433" s="23" t="s">
        <v>2738</v>
      </c>
      <c r="S433" s="23" t="s">
        <v>2739</v>
      </c>
      <c r="T433" s="23" t="s">
        <v>2740</v>
      </c>
    </row>
    <row r="434" spans="1:20" x14ac:dyDescent="0.2">
      <c r="A434" s="23" t="s">
        <v>92</v>
      </c>
      <c r="C434" s="23" t="s">
        <v>2741</v>
      </c>
      <c r="D434" s="23" t="s">
        <v>2742</v>
      </c>
      <c r="E434" s="23" t="s">
        <v>2743</v>
      </c>
      <c r="G434" s="23" t="s">
        <v>2744</v>
      </c>
      <c r="K434" s="23" t="s">
        <v>2745</v>
      </c>
      <c r="L434" s="23" t="s">
        <v>2746</v>
      </c>
      <c r="O434" s="23" t="s">
        <v>11728</v>
      </c>
      <c r="P434" s="23" t="s">
        <v>16770</v>
      </c>
      <c r="Q434" s="23" t="s">
        <v>16775</v>
      </c>
      <c r="R434" s="23" t="s">
        <v>16780</v>
      </c>
      <c r="S434" s="23" t="s">
        <v>16785</v>
      </c>
      <c r="T434" s="23" t="s">
        <v>16790</v>
      </c>
    </row>
    <row r="435" spans="1:20" x14ac:dyDescent="0.2">
      <c r="A435" s="23" t="s">
        <v>92</v>
      </c>
      <c r="C435" s="23" t="s">
        <v>2747</v>
      </c>
      <c r="D435" s="23" t="s">
        <v>2748</v>
      </c>
      <c r="E435" s="23" t="s">
        <v>2749</v>
      </c>
      <c r="G435" s="23" t="s">
        <v>2750</v>
      </c>
      <c r="K435" s="23" t="s">
        <v>2751</v>
      </c>
      <c r="L435" s="23" t="s">
        <v>2752</v>
      </c>
      <c r="O435" s="23" t="s">
        <v>11729</v>
      </c>
      <c r="P435" s="23" t="s">
        <v>16771</v>
      </c>
      <c r="Q435" s="23" t="s">
        <v>16776</v>
      </c>
      <c r="R435" s="23" t="s">
        <v>16781</v>
      </c>
      <c r="S435" s="23" t="s">
        <v>16786</v>
      </c>
      <c r="T435" s="23" t="s">
        <v>16791</v>
      </c>
    </row>
    <row r="436" spans="1:20" x14ac:dyDescent="0.2">
      <c r="A436" s="23" t="s">
        <v>92</v>
      </c>
      <c r="C436" s="23" t="s">
        <v>2753</v>
      </c>
      <c r="D436" s="23" t="s">
        <v>2754</v>
      </c>
      <c r="E436" s="23" t="s">
        <v>2755</v>
      </c>
      <c r="G436" s="23" t="s">
        <v>2756</v>
      </c>
      <c r="K436" s="23" t="s">
        <v>2757</v>
      </c>
      <c r="L436" s="23" t="s">
        <v>2758</v>
      </c>
      <c r="O436" s="23" t="s">
        <v>11554</v>
      </c>
      <c r="P436" s="23" t="s">
        <v>16772</v>
      </c>
      <c r="Q436" s="23" t="s">
        <v>16777</v>
      </c>
      <c r="R436" s="23" t="s">
        <v>16782</v>
      </c>
      <c r="S436" s="23" t="s">
        <v>16787</v>
      </c>
      <c r="T436" s="23" t="s">
        <v>16792</v>
      </c>
    </row>
    <row r="437" spans="1:20" x14ac:dyDescent="0.2">
      <c r="A437" s="23" t="s">
        <v>92</v>
      </c>
      <c r="C437" s="23" t="s">
        <v>2759</v>
      </c>
      <c r="D437" s="23" t="s">
        <v>2760</v>
      </c>
      <c r="E437" s="23" t="s">
        <v>2761</v>
      </c>
      <c r="G437" s="23" t="s">
        <v>2762</v>
      </c>
      <c r="K437" s="23" t="s">
        <v>2763</v>
      </c>
      <c r="L437" s="23" t="s">
        <v>2764</v>
      </c>
      <c r="O437" s="23" t="s">
        <v>11588</v>
      </c>
      <c r="P437" s="23" t="s">
        <v>16773</v>
      </c>
      <c r="Q437" s="23" t="s">
        <v>16778</v>
      </c>
      <c r="R437" s="23" t="s">
        <v>16783</v>
      </c>
      <c r="S437" s="23" t="s">
        <v>16788</v>
      </c>
      <c r="T437" s="23" t="s">
        <v>16793</v>
      </c>
    </row>
    <row r="438" spans="1:20" x14ac:dyDescent="0.2">
      <c r="A438" s="23" t="s">
        <v>92</v>
      </c>
      <c r="C438" s="23" t="s">
        <v>2765</v>
      </c>
      <c r="D438" s="23" t="s">
        <v>2766</v>
      </c>
      <c r="E438" s="23" t="s">
        <v>2767</v>
      </c>
      <c r="G438" s="23" t="s">
        <v>2768</v>
      </c>
      <c r="K438" s="23" t="s">
        <v>2769</v>
      </c>
      <c r="L438" s="23" t="s">
        <v>2770</v>
      </c>
      <c r="O438" s="23" t="s">
        <v>11730</v>
      </c>
      <c r="P438" s="23" t="s">
        <v>16774</v>
      </c>
      <c r="Q438" s="23" t="s">
        <v>16779</v>
      </c>
      <c r="R438" s="23" t="s">
        <v>16784</v>
      </c>
      <c r="S438" s="23" t="s">
        <v>16789</v>
      </c>
      <c r="T438" s="23" t="s">
        <v>16794</v>
      </c>
    </row>
    <row r="439" spans="1:20" x14ac:dyDescent="0.2">
      <c r="A439" s="23" t="s">
        <v>92</v>
      </c>
      <c r="C439" s="23" t="s">
        <v>2741</v>
      </c>
      <c r="D439" s="23" t="s">
        <v>2742</v>
      </c>
      <c r="E439" s="23" t="s">
        <v>2743</v>
      </c>
      <c r="G439" s="23" t="s">
        <v>2744</v>
      </c>
      <c r="K439" s="23" t="s">
        <v>2745</v>
      </c>
      <c r="L439" s="23" t="s">
        <v>2746</v>
      </c>
    </row>
    <row r="440" spans="1:20" x14ac:dyDescent="0.2">
      <c r="A440" s="23" t="s">
        <v>92</v>
      </c>
      <c r="C440" s="23" t="s">
        <v>2771</v>
      </c>
      <c r="D440" s="23" t="s">
        <v>2772</v>
      </c>
      <c r="E440" s="23" t="s">
        <v>2773</v>
      </c>
      <c r="G440" s="23" t="s">
        <v>2774</v>
      </c>
      <c r="K440" s="23" t="s">
        <v>2775</v>
      </c>
      <c r="L440" s="23" t="s">
        <v>2776</v>
      </c>
      <c r="M440" s="23" t="s">
        <v>2777</v>
      </c>
      <c r="N440" s="23" t="s">
        <v>2778</v>
      </c>
      <c r="T440" s="23" t="s">
        <v>2779</v>
      </c>
    </row>
    <row r="441" spans="1:20" x14ac:dyDescent="0.2">
      <c r="A441" s="23" t="s">
        <v>92</v>
      </c>
      <c r="C441" s="23" t="s">
        <v>2484</v>
      </c>
      <c r="D441" s="23" t="s">
        <v>2485</v>
      </c>
      <c r="E441" s="23" t="s">
        <v>2486</v>
      </c>
      <c r="G441" s="23" t="s">
        <v>2487</v>
      </c>
    </row>
    <row r="442" spans="1:20" x14ac:dyDescent="0.2">
      <c r="A442" s="23" t="s">
        <v>92</v>
      </c>
      <c r="C442" s="23" t="s">
        <v>2780</v>
      </c>
      <c r="D442" s="23" t="s">
        <v>2781</v>
      </c>
      <c r="E442" s="23" t="s">
        <v>2782</v>
      </c>
      <c r="G442" s="23" t="s">
        <v>2783</v>
      </c>
      <c r="H442" s="23" t="s">
        <v>2784</v>
      </c>
      <c r="I442" s="23" t="s">
        <v>2785</v>
      </c>
      <c r="J442" s="23" t="s">
        <v>2786</v>
      </c>
      <c r="T442" s="23" t="s">
        <v>2787</v>
      </c>
    </row>
    <row r="443" spans="1:20" x14ac:dyDescent="0.2">
      <c r="A443" s="23" t="s">
        <v>92</v>
      </c>
      <c r="C443" s="23" t="s">
        <v>2788</v>
      </c>
      <c r="D443" s="23" t="s">
        <v>2789</v>
      </c>
      <c r="E443" s="23" t="s">
        <v>2790</v>
      </c>
      <c r="G443" s="23" t="s">
        <v>2791</v>
      </c>
      <c r="H443" s="23" t="s">
        <v>2792</v>
      </c>
      <c r="I443" s="23" t="s">
        <v>2793</v>
      </c>
      <c r="J443" s="23" t="s">
        <v>2794</v>
      </c>
    </row>
    <row r="444" spans="1:20" x14ac:dyDescent="0.2">
      <c r="A444" s="23" t="s">
        <v>92</v>
      </c>
      <c r="C444" s="23" t="s">
        <v>2795</v>
      </c>
      <c r="D444" s="23" t="s">
        <v>2796</v>
      </c>
      <c r="E444" s="23" t="s">
        <v>2797</v>
      </c>
      <c r="G444" s="23" t="s">
        <v>2798</v>
      </c>
      <c r="K444" s="23" t="s">
        <v>2799</v>
      </c>
      <c r="L444" s="23" t="s">
        <v>2800</v>
      </c>
      <c r="M444" s="23" t="s">
        <v>11731</v>
      </c>
      <c r="N444" s="23" t="s">
        <v>2801</v>
      </c>
    </row>
    <row r="445" spans="1:20" x14ac:dyDescent="0.2">
      <c r="A445" s="23" t="s">
        <v>92</v>
      </c>
      <c r="C445" s="23" t="s">
        <v>2802</v>
      </c>
      <c r="D445" s="23" t="s">
        <v>2803</v>
      </c>
      <c r="E445" s="23" t="s">
        <v>2804</v>
      </c>
      <c r="G445" s="23" t="s">
        <v>2805</v>
      </c>
      <c r="K445" s="23" t="s">
        <v>2806</v>
      </c>
      <c r="L445" s="23" t="s">
        <v>2807</v>
      </c>
      <c r="O445" s="23" t="s">
        <v>11732</v>
      </c>
      <c r="P445" s="23" t="s">
        <v>2808</v>
      </c>
      <c r="Q445" s="23" t="s">
        <v>2809</v>
      </c>
      <c r="R445" s="23" t="s">
        <v>2810</v>
      </c>
      <c r="S445" s="23" t="s">
        <v>2811</v>
      </c>
      <c r="T445" s="23" t="s">
        <v>2812</v>
      </c>
    </row>
    <row r="446" spans="1:20" x14ac:dyDescent="0.2">
      <c r="A446" s="23" t="s">
        <v>92</v>
      </c>
      <c r="C446" s="23" t="s">
        <v>2813</v>
      </c>
      <c r="D446" s="23" t="s">
        <v>2814</v>
      </c>
      <c r="E446" s="23" t="s">
        <v>2815</v>
      </c>
      <c r="G446" s="23" t="s">
        <v>2816</v>
      </c>
      <c r="K446" s="23" t="s">
        <v>2817</v>
      </c>
      <c r="L446" s="23" t="s">
        <v>2818</v>
      </c>
      <c r="O446" s="23" t="s">
        <v>11733</v>
      </c>
      <c r="P446" s="23" t="s">
        <v>16555</v>
      </c>
      <c r="Q446" s="23" t="s">
        <v>16562</v>
      </c>
      <c r="R446" s="23" t="s">
        <v>16569</v>
      </c>
      <c r="S446" s="23" t="s">
        <v>16576</v>
      </c>
      <c r="T446" s="23" t="s">
        <v>16583</v>
      </c>
    </row>
    <row r="447" spans="1:20" x14ac:dyDescent="0.2">
      <c r="A447" s="23" t="s">
        <v>92</v>
      </c>
      <c r="C447" s="23" t="s">
        <v>2819</v>
      </c>
      <c r="D447" s="23" t="s">
        <v>2820</v>
      </c>
      <c r="E447" s="23" t="s">
        <v>2821</v>
      </c>
      <c r="G447" s="23" t="s">
        <v>2822</v>
      </c>
      <c r="K447" s="23" t="s">
        <v>2823</v>
      </c>
      <c r="L447" s="23" t="s">
        <v>2824</v>
      </c>
      <c r="O447" s="23" t="s">
        <v>11734</v>
      </c>
      <c r="P447" s="23" t="s">
        <v>16556</v>
      </c>
      <c r="Q447" s="23" t="s">
        <v>16563</v>
      </c>
      <c r="R447" s="23" t="s">
        <v>16570</v>
      </c>
      <c r="S447" s="23" t="s">
        <v>16577</v>
      </c>
      <c r="T447" s="23" t="s">
        <v>16584</v>
      </c>
    </row>
    <row r="448" spans="1:20" x14ac:dyDescent="0.2">
      <c r="A448" s="23" t="s">
        <v>92</v>
      </c>
      <c r="C448" s="23" t="s">
        <v>2825</v>
      </c>
      <c r="D448" s="23" t="s">
        <v>2826</v>
      </c>
      <c r="E448" s="23" t="s">
        <v>2827</v>
      </c>
      <c r="G448" s="23" t="s">
        <v>2828</v>
      </c>
      <c r="K448" s="23" t="s">
        <v>2829</v>
      </c>
      <c r="L448" s="23" t="s">
        <v>2830</v>
      </c>
      <c r="O448" s="23" t="s">
        <v>11735</v>
      </c>
      <c r="P448" s="23" t="s">
        <v>16557</v>
      </c>
      <c r="Q448" s="23" t="s">
        <v>16564</v>
      </c>
      <c r="R448" s="23" t="s">
        <v>16571</v>
      </c>
      <c r="S448" s="23" t="s">
        <v>16578</v>
      </c>
      <c r="T448" s="23" t="s">
        <v>16585</v>
      </c>
    </row>
    <row r="449" spans="1:20" x14ac:dyDescent="0.2">
      <c r="A449" s="23" t="s">
        <v>92</v>
      </c>
      <c r="C449" s="23" t="s">
        <v>2831</v>
      </c>
      <c r="D449" s="23" t="s">
        <v>2832</v>
      </c>
      <c r="E449" s="23" t="s">
        <v>2833</v>
      </c>
      <c r="G449" s="23" t="s">
        <v>2834</v>
      </c>
      <c r="K449" s="23" t="s">
        <v>2835</v>
      </c>
      <c r="L449" s="23" t="s">
        <v>2836</v>
      </c>
      <c r="O449" s="23" t="s">
        <v>11517</v>
      </c>
      <c r="P449" s="23" t="s">
        <v>16558</v>
      </c>
      <c r="Q449" s="23" t="s">
        <v>16565</v>
      </c>
      <c r="R449" s="23" t="s">
        <v>16572</v>
      </c>
      <c r="S449" s="23" t="s">
        <v>16579</v>
      </c>
      <c r="T449" s="23" t="s">
        <v>16586</v>
      </c>
    </row>
    <row r="450" spans="1:20" x14ac:dyDescent="0.2">
      <c r="A450" s="23" t="s">
        <v>92</v>
      </c>
      <c r="C450" s="23" t="s">
        <v>2837</v>
      </c>
      <c r="D450" s="23" t="s">
        <v>2838</v>
      </c>
      <c r="E450" s="23" t="s">
        <v>2839</v>
      </c>
      <c r="G450" s="23" t="s">
        <v>2840</v>
      </c>
      <c r="K450" s="23" t="s">
        <v>2841</v>
      </c>
      <c r="L450" s="23" t="s">
        <v>2842</v>
      </c>
      <c r="O450" s="23" t="s">
        <v>11518</v>
      </c>
      <c r="P450" s="23" t="s">
        <v>16559</v>
      </c>
      <c r="Q450" s="23" t="s">
        <v>16566</v>
      </c>
      <c r="R450" s="23" t="s">
        <v>16573</v>
      </c>
      <c r="S450" s="23" t="s">
        <v>16580</v>
      </c>
      <c r="T450" s="23" t="s">
        <v>16587</v>
      </c>
    </row>
    <row r="451" spans="1:20" x14ac:dyDescent="0.2">
      <c r="A451" s="23" t="s">
        <v>92</v>
      </c>
      <c r="C451" s="23" t="s">
        <v>2843</v>
      </c>
      <c r="D451" s="23" t="s">
        <v>2844</v>
      </c>
      <c r="E451" s="23" t="s">
        <v>2845</v>
      </c>
      <c r="G451" s="23" t="s">
        <v>2846</v>
      </c>
      <c r="K451" s="23" t="s">
        <v>2847</v>
      </c>
      <c r="L451" s="23" t="s">
        <v>2848</v>
      </c>
      <c r="O451" s="23" t="s">
        <v>11519</v>
      </c>
      <c r="P451" s="23" t="s">
        <v>16560</v>
      </c>
      <c r="Q451" s="23" t="s">
        <v>16567</v>
      </c>
      <c r="R451" s="23" t="s">
        <v>16574</v>
      </c>
      <c r="S451" s="23" t="s">
        <v>16581</v>
      </c>
      <c r="T451" s="23" t="s">
        <v>16588</v>
      </c>
    </row>
    <row r="452" spans="1:20" x14ac:dyDescent="0.2">
      <c r="A452" s="23" t="s">
        <v>92</v>
      </c>
      <c r="C452" s="23" t="s">
        <v>2849</v>
      </c>
      <c r="D452" s="23" t="s">
        <v>2850</v>
      </c>
      <c r="E452" s="23" t="s">
        <v>2851</v>
      </c>
      <c r="G452" s="23" t="s">
        <v>2852</v>
      </c>
      <c r="K452" s="23" t="s">
        <v>2853</v>
      </c>
      <c r="L452" s="23" t="s">
        <v>2854</v>
      </c>
      <c r="O452" s="23" t="s">
        <v>11736</v>
      </c>
      <c r="P452" s="23" t="s">
        <v>16561</v>
      </c>
      <c r="Q452" s="23" t="s">
        <v>16568</v>
      </c>
      <c r="R452" s="23" t="s">
        <v>16575</v>
      </c>
      <c r="S452" s="23" t="s">
        <v>16582</v>
      </c>
      <c r="T452" s="23" t="s">
        <v>16589</v>
      </c>
    </row>
    <row r="453" spans="1:20" x14ac:dyDescent="0.2">
      <c r="A453" s="23" t="s">
        <v>92</v>
      </c>
      <c r="C453" s="23" t="s">
        <v>2813</v>
      </c>
      <c r="D453" s="23" t="s">
        <v>2814</v>
      </c>
      <c r="E453" s="23" t="s">
        <v>2815</v>
      </c>
      <c r="G453" s="23" t="s">
        <v>2816</v>
      </c>
      <c r="K453" s="23" t="s">
        <v>2817</v>
      </c>
      <c r="L453" s="23" t="s">
        <v>2818</v>
      </c>
    </row>
    <row r="454" spans="1:20" x14ac:dyDescent="0.2">
      <c r="A454" s="23" t="s">
        <v>92</v>
      </c>
      <c r="C454" s="23" t="s">
        <v>2855</v>
      </c>
      <c r="D454" s="23" t="s">
        <v>2856</v>
      </c>
      <c r="E454" s="23" t="s">
        <v>2857</v>
      </c>
      <c r="G454" s="23" t="s">
        <v>2858</v>
      </c>
      <c r="K454" s="23" t="s">
        <v>2859</v>
      </c>
      <c r="L454" s="23" t="s">
        <v>2860</v>
      </c>
      <c r="M454" s="23" t="s">
        <v>2861</v>
      </c>
      <c r="N454" s="23" t="s">
        <v>2862</v>
      </c>
      <c r="T454" s="23" t="s">
        <v>2863</v>
      </c>
    </row>
    <row r="455" spans="1:20" x14ac:dyDescent="0.2">
      <c r="A455" s="23" t="s">
        <v>92</v>
      </c>
      <c r="C455" s="23" t="s">
        <v>2864</v>
      </c>
      <c r="D455" s="23" t="s">
        <v>2865</v>
      </c>
      <c r="E455" s="23" t="s">
        <v>2866</v>
      </c>
      <c r="G455" s="23" t="s">
        <v>2867</v>
      </c>
      <c r="K455" s="23" t="s">
        <v>2868</v>
      </c>
      <c r="L455" s="23" t="s">
        <v>2869</v>
      </c>
      <c r="M455" s="23" t="s">
        <v>2870</v>
      </c>
      <c r="N455" s="23" t="s">
        <v>2871</v>
      </c>
    </row>
    <row r="456" spans="1:20" x14ac:dyDescent="0.2">
      <c r="A456" s="23" t="s">
        <v>92</v>
      </c>
      <c r="C456" s="23" t="s">
        <v>2872</v>
      </c>
      <c r="D456" s="23" t="s">
        <v>2873</v>
      </c>
      <c r="E456" s="23" t="s">
        <v>2874</v>
      </c>
      <c r="G456" s="23" t="s">
        <v>2875</v>
      </c>
      <c r="K456" s="23" t="s">
        <v>2876</v>
      </c>
      <c r="L456" s="23" t="s">
        <v>2877</v>
      </c>
      <c r="O456" s="23" t="s">
        <v>11737</v>
      </c>
      <c r="P456" s="23" t="s">
        <v>2878</v>
      </c>
      <c r="Q456" s="23" t="s">
        <v>2879</v>
      </c>
      <c r="R456" s="23" t="s">
        <v>2880</v>
      </c>
      <c r="S456" s="23" t="s">
        <v>2881</v>
      </c>
      <c r="T456" s="23" t="s">
        <v>2882</v>
      </c>
    </row>
    <row r="457" spans="1:20" x14ac:dyDescent="0.2">
      <c r="A457" s="23" t="s">
        <v>92</v>
      </c>
      <c r="C457" s="23" t="s">
        <v>2883</v>
      </c>
      <c r="D457" s="23" t="s">
        <v>2884</v>
      </c>
      <c r="E457" s="23" t="s">
        <v>2885</v>
      </c>
      <c r="G457" s="23" t="s">
        <v>2886</v>
      </c>
      <c r="K457" s="23" t="s">
        <v>2887</v>
      </c>
      <c r="L457" s="23" t="s">
        <v>2888</v>
      </c>
      <c r="O457" s="23" t="s">
        <v>11738</v>
      </c>
      <c r="P457" s="23" t="s">
        <v>16715</v>
      </c>
      <c r="Q457" s="23" t="s">
        <v>16721</v>
      </c>
      <c r="R457" s="23" t="s">
        <v>16727</v>
      </c>
      <c r="S457" s="23" t="s">
        <v>16733</v>
      </c>
      <c r="T457" s="23" t="s">
        <v>16739</v>
      </c>
    </row>
    <row r="458" spans="1:20" x14ac:dyDescent="0.2">
      <c r="A458" s="23" t="s">
        <v>92</v>
      </c>
      <c r="C458" s="23" t="s">
        <v>2889</v>
      </c>
      <c r="D458" s="23" t="s">
        <v>2890</v>
      </c>
      <c r="E458" s="23" t="s">
        <v>2891</v>
      </c>
      <c r="G458" s="23" t="s">
        <v>2892</v>
      </c>
      <c r="K458" s="23" t="s">
        <v>2893</v>
      </c>
      <c r="L458" s="23" t="s">
        <v>2894</v>
      </c>
      <c r="O458" s="23" t="s">
        <v>11739</v>
      </c>
      <c r="P458" s="23" t="s">
        <v>16716</v>
      </c>
      <c r="Q458" s="23" t="s">
        <v>16722</v>
      </c>
      <c r="R458" s="23" t="s">
        <v>16728</v>
      </c>
      <c r="S458" s="23" t="s">
        <v>16734</v>
      </c>
      <c r="T458" s="23" t="s">
        <v>16740</v>
      </c>
    </row>
    <row r="459" spans="1:20" x14ac:dyDescent="0.2">
      <c r="A459" s="23" t="s">
        <v>92</v>
      </c>
      <c r="C459" s="23" t="s">
        <v>2895</v>
      </c>
      <c r="D459" s="23" t="s">
        <v>2896</v>
      </c>
      <c r="E459" s="23" t="s">
        <v>2897</v>
      </c>
      <c r="G459" s="23" t="s">
        <v>2898</v>
      </c>
      <c r="K459" s="23" t="s">
        <v>2899</v>
      </c>
      <c r="L459" s="23" t="s">
        <v>2900</v>
      </c>
      <c r="O459" s="23" t="s">
        <v>11524</v>
      </c>
      <c r="P459" s="23" t="s">
        <v>16717</v>
      </c>
      <c r="Q459" s="23" t="s">
        <v>16723</v>
      </c>
      <c r="R459" s="23" t="s">
        <v>16729</v>
      </c>
      <c r="S459" s="23" t="s">
        <v>16735</v>
      </c>
      <c r="T459" s="23" t="s">
        <v>16741</v>
      </c>
    </row>
    <row r="460" spans="1:20" x14ac:dyDescent="0.2">
      <c r="A460" s="23" t="s">
        <v>92</v>
      </c>
      <c r="C460" s="23" t="s">
        <v>2901</v>
      </c>
      <c r="D460" s="23" t="s">
        <v>2902</v>
      </c>
      <c r="E460" s="23" t="s">
        <v>2903</v>
      </c>
      <c r="G460" s="23" t="s">
        <v>2904</v>
      </c>
      <c r="K460" s="23" t="s">
        <v>2905</v>
      </c>
      <c r="L460" s="23" t="s">
        <v>2906</v>
      </c>
      <c r="O460" s="23" t="s">
        <v>11525</v>
      </c>
      <c r="P460" s="23" t="s">
        <v>16718</v>
      </c>
      <c r="Q460" s="23" t="s">
        <v>16724</v>
      </c>
      <c r="R460" s="23" t="s">
        <v>16730</v>
      </c>
      <c r="S460" s="23" t="s">
        <v>16736</v>
      </c>
      <c r="T460" s="23" t="s">
        <v>16742</v>
      </c>
    </row>
    <row r="461" spans="1:20" x14ac:dyDescent="0.2">
      <c r="A461" s="23" t="s">
        <v>92</v>
      </c>
      <c r="C461" s="23" t="s">
        <v>2907</v>
      </c>
      <c r="D461" s="23" t="s">
        <v>2908</v>
      </c>
      <c r="E461" s="23" t="s">
        <v>2909</v>
      </c>
      <c r="G461" s="23" t="s">
        <v>2910</v>
      </c>
      <c r="K461" s="23" t="s">
        <v>2911</v>
      </c>
      <c r="L461" s="23" t="s">
        <v>2912</v>
      </c>
      <c r="O461" s="23" t="s">
        <v>11526</v>
      </c>
      <c r="P461" s="23" t="s">
        <v>16719</v>
      </c>
      <c r="Q461" s="23" t="s">
        <v>16725</v>
      </c>
      <c r="R461" s="23" t="s">
        <v>16731</v>
      </c>
      <c r="S461" s="23" t="s">
        <v>16737</v>
      </c>
      <c r="T461" s="23" t="s">
        <v>16743</v>
      </c>
    </row>
    <row r="462" spans="1:20" x14ac:dyDescent="0.2">
      <c r="A462" s="23" t="s">
        <v>92</v>
      </c>
      <c r="C462" s="23" t="s">
        <v>2913</v>
      </c>
      <c r="D462" s="23" t="s">
        <v>2914</v>
      </c>
      <c r="E462" s="23" t="s">
        <v>2915</v>
      </c>
      <c r="G462" s="23" t="s">
        <v>2916</v>
      </c>
      <c r="K462" s="23" t="s">
        <v>2917</v>
      </c>
      <c r="L462" s="23" t="s">
        <v>2918</v>
      </c>
      <c r="O462" s="23" t="s">
        <v>11740</v>
      </c>
      <c r="P462" s="23" t="s">
        <v>16720</v>
      </c>
      <c r="Q462" s="23" t="s">
        <v>16726</v>
      </c>
      <c r="R462" s="23" t="s">
        <v>16732</v>
      </c>
      <c r="S462" s="23" t="s">
        <v>16738</v>
      </c>
      <c r="T462" s="23" t="s">
        <v>16744</v>
      </c>
    </row>
    <row r="463" spans="1:20" x14ac:dyDescent="0.2">
      <c r="A463" s="23" t="s">
        <v>92</v>
      </c>
      <c r="C463" s="23" t="s">
        <v>2883</v>
      </c>
      <c r="D463" s="23" t="s">
        <v>2884</v>
      </c>
      <c r="E463" s="23" t="s">
        <v>2885</v>
      </c>
      <c r="G463" s="23" t="s">
        <v>2886</v>
      </c>
      <c r="K463" s="23" t="s">
        <v>2887</v>
      </c>
      <c r="L463" s="23" t="s">
        <v>2888</v>
      </c>
    </row>
    <row r="464" spans="1:20" x14ac:dyDescent="0.2">
      <c r="A464" s="23" t="s">
        <v>92</v>
      </c>
      <c r="C464" s="23" t="s">
        <v>2919</v>
      </c>
      <c r="D464" s="23" t="s">
        <v>2920</v>
      </c>
      <c r="E464" s="23" t="s">
        <v>2921</v>
      </c>
      <c r="G464" s="23" t="s">
        <v>2922</v>
      </c>
      <c r="K464" s="23" t="s">
        <v>2923</v>
      </c>
      <c r="L464" s="23" t="s">
        <v>2924</v>
      </c>
      <c r="M464" s="23" t="s">
        <v>2925</v>
      </c>
      <c r="N464" s="23" t="s">
        <v>2926</v>
      </c>
      <c r="T464" s="23" t="s">
        <v>2927</v>
      </c>
    </row>
    <row r="465" spans="1:20" x14ac:dyDescent="0.2">
      <c r="A465" s="23" t="s">
        <v>92</v>
      </c>
      <c r="C465" s="23" t="s">
        <v>2928</v>
      </c>
      <c r="D465" s="23" t="s">
        <v>2929</v>
      </c>
      <c r="E465" s="23" t="s">
        <v>2930</v>
      </c>
      <c r="G465" s="23" t="s">
        <v>2931</v>
      </c>
      <c r="K465" s="23" t="s">
        <v>2932</v>
      </c>
      <c r="L465" s="23" t="s">
        <v>2933</v>
      </c>
      <c r="M465" s="23" t="s">
        <v>2934</v>
      </c>
      <c r="N465" s="23" t="s">
        <v>2935</v>
      </c>
    </row>
    <row r="466" spans="1:20" x14ac:dyDescent="0.2">
      <c r="A466" s="23" t="s">
        <v>92</v>
      </c>
      <c r="C466" s="23" t="s">
        <v>2936</v>
      </c>
      <c r="D466" s="23" t="s">
        <v>2937</v>
      </c>
      <c r="E466" s="23" t="s">
        <v>2938</v>
      </c>
      <c r="G466" s="23" t="s">
        <v>2939</v>
      </c>
      <c r="K466" s="23" t="s">
        <v>2940</v>
      </c>
      <c r="L466" s="23" t="s">
        <v>2941</v>
      </c>
      <c r="O466" s="23" t="s">
        <v>11741</v>
      </c>
      <c r="P466" s="23" t="s">
        <v>2942</v>
      </c>
      <c r="Q466" s="23" t="s">
        <v>2943</v>
      </c>
      <c r="R466" s="23" t="s">
        <v>2944</v>
      </c>
      <c r="S466" s="23" t="s">
        <v>2945</v>
      </c>
      <c r="T466" s="23" t="s">
        <v>2946</v>
      </c>
    </row>
    <row r="467" spans="1:20" x14ac:dyDescent="0.2">
      <c r="A467" s="23" t="s">
        <v>92</v>
      </c>
      <c r="C467" s="23" t="s">
        <v>2947</v>
      </c>
      <c r="D467" s="23" t="s">
        <v>2948</v>
      </c>
      <c r="E467" s="23" t="s">
        <v>2949</v>
      </c>
      <c r="G467" s="23" t="s">
        <v>2950</v>
      </c>
      <c r="K467" s="23" t="s">
        <v>2951</v>
      </c>
      <c r="L467" s="23" t="s">
        <v>2952</v>
      </c>
      <c r="O467" s="23" t="s">
        <v>11742</v>
      </c>
      <c r="P467" s="23" t="s">
        <v>16685</v>
      </c>
      <c r="Q467" s="23" t="s">
        <v>16691</v>
      </c>
      <c r="R467" s="23" t="s">
        <v>16697</v>
      </c>
      <c r="S467" s="23" t="s">
        <v>16703</v>
      </c>
      <c r="T467" s="23" t="s">
        <v>16709</v>
      </c>
    </row>
    <row r="468" spans="1:20" x14ac:dyDescent="0.2">
      <c r="A468" s="23" t="s">
        <v>92</v>
      </c>
      <c r="C468" s="23" t="s">
        <v>2953</v>
      </c>
      <c r="D468" s="23" t="s">
        <v>2954</v>
      </c>
      <c r="E468" s="23" t="s">
        <v>2955</v>
      </c>
      <c r="G468" s="23" t="s">
        <v>2956</v>
      </c>
      <c r="K468" s="23" t="s">
        <v>2957</v>
      </c>
      <c r="L468" s="23" t="s">
        <v>2958</v>
      </c>
      <c r="O468" s="23" t="s">
        <v>11743</v>
      </c>
      <c r="P468" s="23" t="s">
        <v>16686</v>
      </c>
      <c r="Q468" s="23" t="s">
        <v>16692</v>
      </c>
      <c r="R468" s="23" t="s">
        <v>16698</v>
      </c>
      <c r="S468" s="23" t="s">
        <v>16704</v>
      </c>
      <c r="T468" s="23" t="s">
        <v>16710</v>
      </c>
    </row>
    <row r="469" spans="1:20" x14ac:dyDescent="0.2">
      <c r="A469" s="23" t="s">
        <v>92</v>
      </c>
      <c r="C469" s="23" t="s">
        <v>2959</v>
      </c>
      <c r="D469" s="23" t="s">
        <v>2960</v>
      </c>
      <c r="E469" s="23" t="s">
        <v>2961</v>
      </c>
      <c r="G469" s="23" t="s">
        <v>2962</v>
      </c>
      <c r="K469" s="23" t="s">
        <v>2963</v>
      </c>
      <c r="L469" s="23" t="s">
        <v>2964</v>
      </c>
      <c r="O469" s="23" t="s">
        <v>11531</v>
      </c>
      <c r="P469" s="23" t="s">
        <v>16687</v>
      </c>
      <c r="Q469" s="23" t="s">
        <v>16693</v>
      </c>
      <c r="R469" s="23" t="s">
        <v>16699</v>
      </c>
      <c r="S469" s="23" t="s">
        <v>16705</v>
      </c>
      <c r="T469" s="23" t="s">
        <v>16711</v>
      </c>
    </row>
    <row r="470" spans="1:20" x14ac:dyDescent="0.2">
      <c r="A470" s="23" t="s">
        <v>92</v>
      </c>
      <c r="C470" s="23" t="s">
        <v>2965</v>
      </c>
      <c r="D470" s="23" t="s">
        <v>2966</v>
      </c>
      <c r="E470" s="23" t="s">
        <v>2967</v>
      </c>
      <c r="G470" s="23" t="s">
        <v>2968</v>
      </c>
      <c r="K470" s="23" t="s">
        <v>2969</v>
      </c>
      <c r="L470" s="23" t="s">
        <v>2970</v>
      </c>
      <c r="O470" s="23" t="s">
        <v>11532</v>
      </c>
      <c r="P470" s="23" t="s">
        <v>16688</v>
      </c>
      <c r="Q470" s="23" t="s">
        <v>16694</v>
      </c>
      <c r="R470" s="23" t="s">
        <v>16700</v>
      </c>
      <c r="S470" s="23" t="s">
        <v>16706</v>
      </c>
      <c r="T470" s="23" t="s">
        <v>16712</v>
      </c>
    </row>
    <row r="471" spans="1:20" x14ac:dyDescent="0.2">
      <c r="A471" s="23" t="s">
        <v>92</v>
      </c>
      <c r="C471" s="23" t="s">
        <v>2971</v>
      </c>
      <c r="D471" s="23" t="s">
        <v>2972</v>
      </c>
      <c r="E471" s="23" t="s">
        <v>2973</v>
      </c>
      <c r="G471" s="23" t="s">
        <v>2974</v>
      </c>
      <c r="K471" s="23" t="s">
        <v>2975</v>
      </c>
      <c r="L471" s="23" t="s">
        <v>2976</v>
      </c>
      <c r="O471" s="23" t="s">
        <v>11533</v>
      </c>
      <c r="P471" s="23" t="s">
        <v>16689</v>
      </c>
      <c r="Q471" s="23" t="s">
        <v>16695</v>
      </c>
      <c r="R471" s="23" t="s">
        <v>16701</v>
      </c>
      <c r="S471" s="23" t="s">
        <v>16707</v>
      </c>
      <c r="T471" s="23" t="s">
        <v>16713</v>
      </c>
    </row>
    <row r="472" spans="1:20" x14ac:dyDescent="0.2">
      <c r="A472" s="23" t="s">
        <v>92</v>
      </c>
      <c r="C472" s="23" t="s">
        <v>2977</v>
      </c>
      <c r="D472" s="23" t="s">
        <v>2978</v>
      </c>
      <c r="E472" s="23" t="s">
        <v>2979</v>
      </c>
      <c r="G472" s="23" t="s">
        <v>2980</v>
      </c>
      <c r="K472" s="23" t="s">
        <v>2981</v>
      </c>
      <c r="L472" s="23" t="s">
        <v>2982</v>
      </c>
      <c r="O472" s="23" t="s">
        <v>11744</v>
      </c>
      <c r="P472" s="23" t="s">
        <v>16690</v>
      </c>
      <c r="Q472" s="23" t="s">
        <v>16696</v>
      </c>
      <c r="R472" s="23" t="s">
        <v>16702</v>
      </c>
      <c r="S472" s="23" t="s">
        <v>16708</v>
      </c>
      <c r="T472" s="23" t="s">
        <v>16714</v>
      </c>
    </row>
    <row r="473" spans="1:20" x14ac:dyDescent="0.2">
      <c r="A473" s="23" t="s">
        <v>92</v>
      </c>
      <c r="C473" s="23" t="s">
        <v>2947</v>
      </c>
      <c r="D473" s="23" t="s">
        <v>2948</v>
      </c>
      <c r="E473" s="23" t="s">
        <v>2949</v>
      </c>
      <c r="G473" s="23" t="s">
        <v>2950</v>
      </c>
      <c r="K473" s="23" t="s">
        <v>2951</v>
      </c>
      <c r="L473" s="23" t="s">
        <v>2952</v>
      </c>
    </row>
    <row r="474" spans="1:20" x14ac:dyDescent="0.2">
      <c r="A474" s="23" t="s">
        <v>92</v>
      </c>
      <c r="C474" s="23" t="s">
        <v>2983</v>
      </c>
      <c r="D474" s="23" t="s">
        <v>2984</v>
      </c>
      <c r="E474" s="23" t="s">
        <v>2985</v>
      </c>
      <c r="G474" s="23" t="s">
        <v>2986</v>
      </c>
      <c r="K474" s="23" t="s">
        <v>2987</v>
      </c>
      <c r="L474" s="23" t="s">
        <v>2988</v>
      </c>
      <c r="M474" s="23" t="s">
        <v>2989</v>
      </c>
      <c r="N474" s="23" t="s">
        <v>2990</v>
      </c>
      <c r="T474" s="23" t="s">
        <v>2991</v>
      </c>
    </row>
    <row r="475" spans="1:20" x14ac:dyDescent="0.2">
      <c r="A475" s="23" t="s">
        <v>92</v>
      </c>
      <c r="C475" s="23" t="s">
        <v>2992</v>
      </c>
      <c r="D475" s="23" t="s">
        <v>2993</v>
      </c>
      <c r="E475" s="23" t="s">
        <v>2994</v>
      </c>
      <c r="G475" s="23" t="s">
        <v>2995</v>
      </c>
      <c r="K475" s="23" t="s">
        <v>2996</v>
      </c>
      <c r="L475" s="23" t="s">
        <v>2997</v>
      </c>
      <c r="M475" s="23" t="s">
        <v>2998</v>
      </c>
      <c r="N475" s="23" t="s">
        <v>2999</v>
      </c>
    </row>
    <row r="476" spans="1:20" x14ac:dyDescent="0.2">
      <c r="A476" s="23" t="s">
        <v>92</v>
      </c>
      <c r="C476" s="23" t="s">
        <v>3000</v>
      </c>
      <c r="D476" s="23" t="s">
        <v>3001</v>
      </c>
      <c r="E476" s="23" t="s">
        <v>3002</v>
      </c>
      <c r="G476" s="23" t="s">
        <v>3003</v>
      </c>
      <c r="K476" s="23" t="s">
        <v>3004</v>
      </c>
      <c r="L476" s="23" t="s">
        <v>3005</v>
      </c>
      <c r="O476" s="23" t="s">
        <v>11745</v>
      </c>
      <c r="P476" s="23" t="s">
        <v>3006</v>
      </c>
      <c r="Q476" s="23" t="s">
        <v>3007</v>
      </c>
      <c r="R476" s="23" t="s">
        <v>3008</v>
      </c>
      <c r="S476" s="23" t="s">
        <v>3009</v>
      </c>
      <c r="T476" s="23" t="s">
        <v>3010</v>
      </c>
    </row>
    <row r="477" spans="1:20" x14ac:dyDescent="0.2">
      <c r="A477" s="23" t="s">
        <v>92</v>
      </c>
      <c r="C477" s="23" t="s">
        <v>3011</v>
      </c>
      <c r="D477" s="23" t="s">
        <v>3012</v>
      </c>
      <c r="E477" s="23" t="s">
        <v>3013</v>
      </c>
      <c r="G477" s="23" t="s">
        <v>3014</v>
      </c>
      <c r="K477" s="23" t="s">
        <v>3015</v>
      </c>
      <c r="L477" s="23" t="s">
        <v>3016</v>
      </c>
      <c r="O477" s="23" t="s">
        <v>11746</v>
      </c>
      <c r="P477" s="23" t="s">
        <v>16655</v>
      </c>
      <c r="Q477" s="23" t="s">
        <v>16661</v>
      </c>
      <c r="R477" s="23" t="s">
        <v>16667</v>
      </c>
      <c r="S477" s="23" t="s">
        <v>16673</v>
      </c>
      <c r="T477" s="23" t="s">
        <v>16679</v>
      </c>
    </row>
    <row r="478" spans="1:20" x14ac:dyDescent="0.2">
      <c r="A478" s="23" t="s">
        <v>92</v>
      </c>
      <c r="C478" s="23" t="s">
        <v>3017</v>
      </c>
      <c r="D478" s="23" t="s">
        <v>3018</v>
      </c>
      <c r="E478" s="23" t="s">
        <v>3019</v>
      </c>
      <c r="G478" s="23" t="s">
        <v>3020</v>
      </c>
      <c r="K478" s="23" t="s">
        <v>3021</v>
      </c>
      <c r="L478" s="23" t="s">
        <v>3022</v>
      </c>
      <c r="O478" s="23" t="s">
        <v>11747</v>
      </c>
      <c r="P478" s="23" t="s">
        <v>16656</v>
      </c>
      <c r="Q478" s="23" t="s">
        <v>16662</v>
      </c>
      <c r="R478" s="23" t="s">
        <v>16668</v>
      </c>
      <c r="S478" s="23" t="s">
        <v>16674</v>
      </c>
      <c r="T478" s="23" t="s">
        <v>16680</v>
      </c>
    </row>
    <row r="479" spans="1:20" x14ac:dyDescent="0.2">
      <c r="A479" s="23" t="s">
        <v>92</v>
      </c>
      <c r="C479" s="23" t="s">
        <v>3023</v>
      </c>
      <c r="D479" s="23" t="s">
        <v>3024</v>
      </c>
      <c r="E479" s="23" t="s">
        <v>3025</v>
      </c>
      <c r="G479" s="23" t="s">
        <v>3026</v>
      </c>
      <c r="K479" s="23" t="s">
        <v>3027</v>
      </c>
      <c r="L479" s="23" t="s">
        <v>3028</v>
      </c>
      <c r="O479" s="23" t="s">
        <v>11538</v>
      </c>
      <c r="P479" s="23" t="s">
        <v>16657</v>
      </c>
      <c r="Q479" s="23" t="s">
        <v>16663</v>
      </c>
      <c r="R479" s="23" t="s">
        <v>16669</v>
      </c>
      <c r="S479" s="23" t="s">
        <v>16675</v>
      </c>
      <c r="T479" s="23" t="s">
        <v>16681</v>
      </c>
    </row>
    <row r="480" spans="1:20" x14ac:dyDescent="0.2">
      <c r="A480" s="23" t="s">
        <v>92</v>
      </c>
      <c r="C480" s="23" t="s">
        <v>3029</v>
      </c>
      <c r="D480" s="23" t="s">
        <v>3030</v>
      </c>
      <c r="E480" s="23" t="s">
        <v>3031</v>
      </c>
      <c r="G480" s="23" t="s">
        <v>3032</v>
      </c>
      <c r="K480" s="23" t="s">
        <v>3033</v>
      </c>
      <c r="L480" s="23" t="s">
        <v>3034</v>
      </c>
      <c r="O480" s="23" t="s">
        <v>11539</v>
      </c>
      <c r="P480" s="23" t="s">
        <v>16658</v>
      </c>
      <c r="Q480" s="23" t="s">
        <v>16664</v>
      </c>
      <c r="R480" s="23" t="s">
        <v>16670</v>
      </c>
      <c r="S480" s="23" t="s">
        <v>16676</v>
      </c>
      <c r="T480" s="23" t="s">
        <v>16682</v>
      </c>
    </row>
    <row r="481" spans="1:20" x14ac:dyDescent="0.2">
      <c r="A481" s="23" t="s">
        <v>92</v>
      </c>
      <c r="C481" s="23" t="s">
        <v>3035</v>
      </c>
      <c r="D481" s="23" t="s">
        <v>3036</v>
      </c>
      <c r="E481" s="23" t="s">
        <v>3037</v>
      </c>
      <c r="G481" s="23" t="s">
        <v>3038</v>
      </c>
      <c r="K481" s="23" t="s">
        <v>3039</v>
      </c>
      <c r="L481" s="23" t="s">
        <v>3040</v>
      </c>
      <c r="O481" s="23" t="s">
        <v>11540</v>
      </c>
      <c r="P481" s="23" t="s">
        <v>16659</v>
      </c>
      <c r="Q481" s="23" t="s">
        <v>16665</v>
      </c>
      <c r="R481" s="23" t="s">
        <v>16671</v>
      </c>
      <c r="S481" s="23" t="s">
        <v>16677</v>
      </c>
      <c r="T481" s="23" t="s">
        <v>16683</v>
      </c>
    </row>
    <row r="482" spans="1:20" x14ac:dyDescent="0.2">
      <c r="A482" s="23" t="s">
        <v>92</v>
      </c>
      <c r="C482" s="23" t="s">
        <v>3041</v>
      </c>
      <c r="D482" s="23" t="s">
        <v>3042</v>
      </c>
      <c r="E482" s="23" t="s">
        <v>3043</v>
      </c>
      <c r="G482" s="23" t="s">
        <v>3044</v>
      </c>
      <c r="K482" s="23" t="s">
        <v>3045</v>
      </c>
      <c r="L482" s="23" t="s">
        <v>3046</v>
      </c>
      <c r="O482" s="23" t="s">
        <v>11748</v>
      </c>
      <c r="P482" s="23" t="s">
        <v>16660</v>
      </c>
      <c r="Q482" s="23" t="s">
        <v>16666</v>
      </c>
      <c r="R482" s="23" t="s">
        <v>16672</v>
      </c>
      <c r="S482" s="23" t="s">
        <v>16678</v>
      </c>
      <c r="T482" s="23" t="s">
        <v>16684</v>
      </c>
    </row>
    <row r="483" spans="1:20" x14ac:dyDescent="0.2">
      <c r="A483" s="23" t="s">
        <v>92</v>
      </c>
      <c r="C483" s="23" t="s">
        <v>3011</v>
      </c>
      <c r="D483" s="23" t="s">
        <v>3012</v>
      </c>
      <c r="E483" s="23" t="s">
        <v>3013</v>
      </c>
      <c r="G483" s="23" t="s">
        <v>3014</v>
      </c>
      <c r="K483" s="23" t="s">
        <v>3015</v>
      </c>
      <c r="L483" s="23" t="s">
        <v>3016</v>
      </c>
    </row>
    <row r="484" spans="1:20" x14ac:dyDescent="0.2">
      <c r="A484" s="23" t="s">
        <v>92</v>
      </c>
      <c r="C484" s="23" t="s">
        <v>3047</v>
      </c>
      <c r="D484" s="23" t="s">
        <v>3048</v>
      </c>
      <c r="E484" s="23" t="s">
        <v>3049</v>
      </c>
      <c r="G484" s="23" t="s">
        <v>3050</v>
      </c>
      <c r="K484" s="23" t="s">
        <v>3051</v>
      </c>
      <c r="L484" s="23" t="s">
        <v>3052</v>
      </c>
      <c r="M484" s="23" t="s">
        <v>3053</v>
      </c>
      <c r="N484" s="23" t="s">
        <v>3054</v>
      </c>
      <c r="T484" s="23" t="s">
        <v>3055</v>
      </c>
    </row>
    <row r="485" spans="1:20" x14ac:dyDescent="0.2">
      <c r="A485" s="23" t="s">
        <v>92</v>
      </c>
      <c r="C485" s="23" t="s">
        <v>3056</v>
      </c>
      <c r="D485" s="23" t="s">
        <v>3057</v>
      </c>
      <c r="E485" s="23" t="s">
        <v>3058</v>
      </c>
      <c r="G485" s="23" t="s">
        <v>3059</v>
      </c>
      <c r="K485" s="23" t="s">
        <v>3060</v>
      </c>
      <c r="L485" s="23" t="s">
        <v>3061</v>
      </c>
      <c r="M485" s="23" t="s">
        <v>3062</v>
      </c>
      <c r="N485" s="23" t="s">
        <v>3063</v>
      </c>
    </row>
    <row r="486" spans="1:20" x14ac:dyDescent="0.2">
      <c r="A486" s="23" t="s">
        <v>92</v>
      </c>
      <c r="C486" s="23" t="s">
        <v>3064</v>
      </c>
      <c r="D486" s="23" t="s">
        <v>3065</v>
      </c>
      <c r="E486" s="23" t="s">
        <v>3066</v>
      </c>
      <c r="G486" s="23" t="s">
        <v>3067</v>
      </c>
      <c r="K486" s="23" t="s">
        <v>3068</v>
      </c>
      <c r="L486" s="23" t="s">
        <v>3069</v>
      </c>
      <c r="O486" s="23" t="s">
        <v>11749</v>
      </c>
      <c r="P486" s="23" t="s">
        <v>3070</v>
      </c>
      <c r="Q486" s="23" t="s">
        <v>3071</v>
      </c>
      <c r="R486" s="23" t="s">
        <v>3072</v>
      </c>
      <c r="S486" s="23" t="s">
        <v>3073</v>
      </c>
      <c r="T486" s="23" t="s">
        <v>3074</v>
      </c>
    </row>
    <row r="487" spans="1:20" x14ac:dyDescent="0.2">
      <c r="A487" s="23" t="s">
        <v>92</v>
      </c>
      <c r="C487" s="23" t="s">
        <v>3075</v>
      </c>
      <c r="D487" s="23" t="s">
        <v>3076</v>
      </c>
      <c r="E487" s="23" t="s">
        <v>3077</v>
      </c>
      <c r="G487" s="23" t="s">
        <v>3078</v>
      </c>
      <c r="K487" s="23" t="s">
        <v>3079</v>
      </c>
      <c r="L487" s="23" t="s">
        <v>3080</v>
      </c>
      <c r="O487" s="23" t="s">
        <v>11750</v>
      </c>
      <c r="P487" s="23" t="s">
        <v>16620</v>
      </c>
      <c r="Q487" s="23" t="s">
        <v>16627</v>
      </c>
      <c r="R487" s="23" t="s">
        <v>16634</v>
      </c>
      <c r="S487" s="23" t="s">
        <v>16641</v>
      </c>
      <c r="T487" s="23" t="s">
        <v>16648</v>
      </c>
    </row>
    <row r="488" spans="1:20" x14ac:dyDescent="0.2">
      <c r="A488" s="23" t="s">
        <v>92</v>
      </c>
      <c r="C488" s="23" t="s">
        <v>3081</v>
      </c>
      <c r="D488" s="23" t="s">
        <v>3082</v>
      </c>
      <c r="E488" s="23" t="s">
        <v>3083</v>
      </c>
      <c r="G488" s="23" t="s">
        <v>3084</v>
      </c>
      <c r="K488" s="23" t="s">
        <v>3085</v>
      </c>
      <c r="L488" s="23" t="s">
        <v>3086</v>
      </c>
      <c r="O488" s="23" t="s">
        <v>11751</v>
      </c>
      <c r="P488" s="23" t="s">
        <v>16621</v>
      </c>
      <c r="Q488" s="23" t="s">
        <v>16628</v>
      </c>
      <c r="R488" s="23" t="s">
        <v>16635</v>
      </c>
      <c r="S488" s="23" t="s">
        <v>16642</v>
      </c>
      <c r="T488" s="23" t="s">
        <v>16649</v>
      </c>
    </row>
    <row r="489" spans="1:20" x14ac:dyDescent="0.2">
      <c r="A489" s="23" t="s">
        <v>92</v>
      </c>
      <c r="C489" s="23" t="s">
        <v>3087</v>
      </c>
      <c r="D489" s="23" t="s">
        <v>3088</v>
      </c>
      <c r="E489" s="23" t="s">
        <v>3089</v>
      </c>
      <c r="G489" s="23" t="s">
        <v>3090</v>
      </c>
      <c r="K489" s="23" t="s">
        <v>3091</v>
      </c>
      <c r="L489" s="23" t="s">
        <v>3092</v>
      </c>
      <c r="O489" s="23" t="s">
        <v>11546</v>
      </c>
      <c r="P489" s="23" t="s">
        <v>16622</v>
      </c>
      <c r="Q489" s="23" t="s">
        <v>16629</v>
      </c>
      <c r="R489" s="23" t="s">
        <v>16636</v>
      </c>
      <c r="S489" s="23" t="s">
        <v>16643</v>
      </c>
      <c r="T489" s="23" t="s">
        <v>16650</v>
      </c>
    </row>
    <row r="490" spans="1:20" x14ac:dyDescent="0.2">
      <c r="A490" s="23" t="s">
        <v>92</v>
      </c>
      <c r="C490" s="23" t="s">
        <v>3093</v>
      </c>
      <c r="D490" s="23" t="s">
        <v>3094</v>
      </c>
      <c r="E490" s="23" t="s">
        <v>3095</v>
      </c>
      <c r="G490" s="23" t="s">
        <v>3096</v>
      </c>
      <c r="K490" s="23" t="s">
        <v>3097</v>
      </c>
      <c r="L490" s="23" t="s">
        <v>3098</v>
      </c>
      <c r="O490" s="23" t="s">
        <v>11547</v>
      </c>
      <c r="P490" s="23" t="s">
        <v>16623</v>
      </c>
      <c r="Q490" s="23" t="s">
        <v>16630</v>
      </c>
      <c r="R490" s="23" t="s">
        <v>16637</v>
      </c>
      <c r="S490" s="23" t="s">
        <v>16644</v>
      </c>
      <c r="T490" s="23" t="s">
        <v>16651</v>
      </c>
    </row>
    <row r="491" spans="1:20" x14ac:dyDescent="0.2">
      <c r="A491" s="23" t="s">
        <v>92</v>
      </c>
      <c r="C491" s="23" t="s">
        <v>3099</v>
      </c>
      <c r="D491" s="23" t="s">
        <v>3100</v>
      </c>
      <c r="E491" s="23" t="s">
        <v>3101</v>
      </c>
      <c r="G491" s="23" t="s">
        <v>3102</v>
      </c>
      <c r="K491" s="23" t="s">
        <v>3103</v>
      </c>
      <c r="L491" s="23" t="s">
        <v>3104</v>
      </c>
      <c r="O491" s="23" t="s">
        <v>11548</v>
      </c>
      <c r="P491" s="23" t="s">
        <v>16624</v>
      </c>
      <c r="Q491" s="23" t="s">
        <v>16631</v>
      </c>
      <c r="R491" s="23" t="s">
        <v>16638</v>
      </c>
      <c r="S491" s="23" t="s">
        <v>16645</v>
      </c>
      <c r="T491" s="23" t="s">
        <v>16652</v>
      </c>
    </row>
    <row r="492" spans="1:20" x14ac:dyDescent="0.2">
      <c r="A492" s="23" t="s">
        <v>92</v>
      </c>
      <c r="C492" s="23" t="s">
        <v>3105</v>
      </c>
      <c r="D492" s="23" t="s">
        <v>3106</v>
      </c>
      <c r="E492" s="23" t="s">
        <v>3107</v>
      </c>
      <c r="G492" s="23" t="s">
        <v>3108</v>
      </c>
      <c r="K492" s="23" t="s">
        <v>3109</v>
      </c>
      <c r="L492" s="23" t="s">
        <v>3110</v>
      </c>
      <c r="O492" s="23" t="s">
        <v>11549</v>
      </c>
      <c r="P492" s="23" t="s">
        <v>16625</v>
      </c>
      <c r="Q492" s="23" t="s">
        <v>16632</v>
      </c>
      <c r="R492" s="23" t="s">
        <v>16639</v>
      </c>
      <c r="S492" s="23" t="s">
        <v>16646</v>
      </c>
      <c r="T492" s="23" t="s">
        <v>16653</v>
      </c>
    </row>
    <row r="493" spans="1:20" x14ac:dyDescent="0.2">
      <c r="A493" s="23" t="s">
        <v>92</v>
      </c>
      <c r="C493" s="23" t="s">
        <v>3111</v>
      </c>
      <c r="D493" s="23" t="s">
        <v>3112</v>
      </c>
      <c r="E493" s="23" t="s">
        <v>3113</v>
      </c>
      <c r="G493" s="23" t="s">
        <v>3114</v>
      </c>
      <c r="K493" s="23" t="s">
        <v>3115</v>
      </c>
      <c r="L493" s="23" t="s">
        <v>3116</v>
      </c>
      <c r="O493" s="23" t="s">
        <v>11752</v>
      </c>
      <c r="P493" s="23" t="s">
        <v>16626</v>
      </c>
      <c r="Q493" s="23" t="s">
        <v>16633</v>
      </c>
      <c r="R493" s="23" t="s">
        <v>16640</v>
      </c>
      <c r="S493" s="23" t="s">
        <v>16647</v>
      </c>
      <c r="T493" s="23" t="s">
        <v>16654</v>
      </c>
    </row>
    <row r="494" spans="1:20" x14ac:dyDescent="0.2">
      <c r="A494" s="23" t="s">
        <v>92</v>
      </c>
      <c r="C494" s="23" t="s">
        <v>3075</v>
      </c>
      <c r="D494" s="23" t="s">
        <v>3076</v>
      </c>
      <c r="E494" s="23" t="s">
        <v>3077</v>
      </c>
      <c r="G494" s="23" t="s">
        <v>3078</v>
      </c>
      <c r="K494" s="23" t="s">
        <v>3079</v>
      </c>
      <c r="L494" s="23" t="s">
        <v>3080</v>
      </c>
    </row>
    <row r="495" spans="1:20" x14ac:dyDescent="0.2">
      <c r="A495" s="23" t="s">
        <v>92</v>
      </c>
      <c r="C495" s="23" t="s">
        <v>3117</v>
      </c>
      <c r="D495" s="23" t="s">
        <v>3118</v>
      </c>
      <c r="E495" s="23" t="s">
        <v>3119</v>
      </c>
      <c r="G495" s="23" t="s">
        <v>3120</v>
      </c>
      <c r="K495" s="23" t="s">
        <v>3121</v>
      </c>
      <c r="L495" s="23" t="s">
        <v>3122</v>
      </c>
      <c r="M495" s="23" t="s">
        <v>3123</v>
      </c>
      <c r="N495" s="23" t="s">
        <v>3124</v>
      </c>
      <c r="T495" s="23" t="s">
        <v>3125</v>
      </c>
    </row>
    <row r="496" spans="1:20" x14ac:dyDescent="0.2">
      <c r="A496" s="23" t="s">
        <v>92</v>
      </c>
      <c r="C496" s="23" t="s">
        <v>3126</v>
      </c>
      <c r="D496" s="23" t="s">
        <v>3127</v>
      </c>
      <c r="E496" s="23" t="s">
        <v>3128</v>
      </c>
      <c r="G496" s="23" t="s">
        <v>3129</v>
      </c>
      <c r="K496" s="23" t="s">
        <v>3130</v>
      </c>
      <c r="L496" s="23" t="s">
        <v>3131</v>
      </c>
      <c r="M496" s="23" t="s">
        <v>3132</v>
      </c>
      <c r="N496" s="23" t="s">
        <v>3133</v>
      </c>
    </row>
    <row r="497" spans="1:20" x14ac:dyDescent="0.2">
      <c r="A497" s="23" t="s">
        <v>92</v>
      </c>
      <c r="C497" s="23" t="s">
        <v>3134</v>
      </c>
      <c r="D497" s="23" t="s">
        <v>3135</v>
      </c>
      <c r="E497" s="23" t="s">
        <v>3136</v>
      </c>
      <c r="G497" s="23" t="s">
        <v>3137</v>
      </c>
      <c r="K497" s="23" t="s">
        <v>3138</v>
      </c>
      <c r="L497" s="23" t="s">
        <v>3139</v>
      </c>
      <c r="O497" s="23" t="s">
        <v>11753</v>
      </c>
      <c r="P497" s="23" t="s">
        <v>3140</v>
      </c>
      <c r="Q497" s="23" t="s">
        <v>3141</v>
      </c>
      <c r="R497" s="23" t="s">
        <v>3142</v>
      </c>
      <c r="S497" s="23" t="s">
        <v>3143</v>
      </c>
      <c r="T497" s="23" t="s">
        <v>3144</v>
      </c>
    </row>
    <row r="498" spans="1:20" x14ac:dyDescent="0.2">
      <c r="A498" s="23" t="s">
        <v>92</v>
      </c>
      <c r="C498" s="23" t="s">
        <v>3145</v>
      </c>
      <c r="D498" s="23" t="s">
        <v>3146</v>
      </c>
      <c r="E498" s="23" t="s">
        <v>3147</v>
      </c>
      <c r="G498" s="23" t="s">
        <v>3148</v>
      </c>
      <c r="K498" s="23" t="s">
        <v>3149</v>
      </c>
      <c r="L498" s="23" t="s">
        <v>3150</v>
      </c>
      <c r="O498" s="23" t="s">
        <v>11754</v>
      </c>
      <c r="P498" s="23" t="s">
        <v>16590</v>
      </c>
      <c r="Q498" s="23" t="s">
        <v>16596</v>
      </c>
      <c r="R498" s="23" t="s">
        <v>16602</v>
      </c>
      <c r="S498" s="23" t="s">
        <v>16608</v>
      </c>
      <c r="T498" s="23" t="s">
        <v>16614</v>
      </c>
    </row>
    <row r="499" spans="1:20" x14ac:dyDescent="0.2">
      <c r="A499" s="23" t="s">
        <v>92</v>
      </c>
      <c r="C499" s="23" t="s">
        <v>3151</v>
      </c>
      <c r="D499" s="23" t="s">
        <v>3152</v>
      </c>
      <c r="E499" s="23" t="s">
        <v>3153</v>
      </c>
      <c r="G499" s="23" t="s">
        <v>3154</v>
      </c>
      <c r="K499" s="23" t="s">
        <v>3155</v>
      </c>
      <c r="L499" s="23" t="s">
        <v>3156</v>
      </c>
      <c r="O499" s="23" t="s">
        <v>11755</v>
      </c>
      <c r="P499" s="23" t="s">
        <v>16591</v>
      </c>
      <c r="Q499" s="23" t="s">
        <v>16597</v>
      </c>
      <c r="R499" s="23" t="s">
        <v>16603</v>
      </c>
      <c r="S499" s="23" t="s">
        <v>16609</v>
      </c>
      <c r="T499" s="23" t="s">
        <v>16615</v>
      </c>
    </row>
    <row r="500" spans="1:20" x14ac:dyDescent="0.2">
      <c r="A500" s="23" t="s">
        <v>92</v>
      </c>
      <c r="C500" s="23" t="s">
        <v>3157</v>
      </c>
      <c r="D500" s="23" t="s">
        <v>3158</v>
      </c>
      <c r="E500" s="23" t="s">
        <v>3159</v>
      </c>
      <c r="G500" s="23" t="s">
        <v>3160</v>
      </c>
      <c r="K500" s="23" t="s">
        <v>3161</v>
      </c>
      <c r="L500" s="23" t="s">
        <v>3162</v>
      </c>
      <c r="O500" s="23" t="s">
        <v>11554</v>
      </c>
      <c r="P500" s="23" t="s">
        <v>16592</v>
      </c>
      <c r="Q500" s="23" t="s">
        <v>16598</v>
      </c>
      <c r="R500" s="23" t="s">
        <v>16604</v>
      </c>
      <c r="S500" s="23" t="s">
        <v>16610</v>
      </c>
      <c r="T500" s="23" t="s">
        <v>16616</v>
      </c>
    </row>
    <row r="501" spans="1:20" x14ac:dyDescent="0.2">
      <c r="A501" s="23" t="s">
        <v>92</v>
      </c>
      <c r="C501" s="23" t="s">
        <v>3163</v>
      </c>
      <c r="D501" s="23" t="s">
        <v>3164</v>
      </c>
      <c r="E501" s="23" t="s">
        <v>3165</v>
      </c>
      <c r="G501" s="23" t="s">
        <v>3166</v>
      </c>
      <c r="K501" s="23" t="s">
        <v>3167</v>
      </c>
      <c r="L501" s="23" t="s">
        <v>3168</v>
      </c>
      <c r="O501" s="23" t="s">
        <v>11555</v>
      </c>
      <c r="P501" s="23" t="s">
        <v>16593</v>
      </c>
      <c r="Q501" s="23" t="s">
        <v>16599</v>
      </c>
      <c r="R501" s="23" t="s">
        <v>16605</v>
      </c>
      <c r="S501" s="23" t="s">
        <v>16611</v>
      </c>
      <c r="T501" s="23" t="s">
        <v>16617</v>
      </c>
    </row>
    <row r="502" spans="1:20" x14ac:dyDescent="0.2">
      <c r="A502" s="23" t="s">
        <v>92</v>
      </c>
      <c r="C502" s="23" t="s">
        <v>3169</v>
      </c>
      <c r="D502" s="23" t="s">
        <v>3170</v>
      </c>
      <c r="E502" s="23" t="s">
        <v>3171</v>
      </c>
      <c r="G502" s="23" t="s">
        <v>3172</v>
      </c>
      <c r="K502" s="23" t="s">
        <v>3173</v>
      </c>
      <c r="L502" s="23" t="s">
        <v>3174</v>
      </c>
      <c r="O502" s="23" t="s">
        <v>11556</v>
      </c>
      <c r="P502" s="23" t="s">
        <v>16594</v>
      </c>
      <c r="Q502" s="23" t="s">
        <v>16600</v>
      </c>
      <c r="R502" s="23" t="s">
        <v>16606</v>
      </c>
      <c r="S502" s="23" t="s">
        <v>16612</v>
      </c>
      <c r="T502" s="23" t="s">
        <v>16618</v>
      </c>
    </row>
    <row r="503" spans="1:20" x14ac:dyDescent="0.2">
      <c r="A503" s="23" t="s">
        <v>92</v>
      </c>
      <c r="C503" s="23" t="s">
        <v>3175</v>
      </c>
      <c r="D503" s="23" t="s">
        <v>3176</v>
      </c>
      <c r="E503" s="23" t="s">
        <v>3177</v>
      </c>
      <c r="G503" s="23" t="s">
        <v>3178</v>
      </c>
      <c r="K503" s="23" t="s">
        <v>3179</v>
      </c>
      <c r="L503" s="23" t="s">
        <v>3180</v>
      </c>
      <c r="O503" s="23" t="s">
        <v>11756</v>
      </c>
      <c r="P503" s="23" t="s">
        <v>16595</v>
      </c>
      <c r="Q503" s="23" t="s">
        <v>16601</v>
      </c>
      <c r="R503" s="23" t="s">
        <v>16607</v>
      </c>
      <c r="S503" s="23" t="s">
        <v>16613</v>
      </c>
      <c r="T503" s="23" t="s">
        <v>16619</v>
      </c>
    </row>
    <row r="504" spans="1:20" x14ac:dyDescent="0.2">
      <c r="A504" s="23" t="s">
        <v>92</v>
      </c>
      <c r="C504" s="23" t="s">
        <v>3145</v>
      </c>
      <c r="D504" s="23" t="s">
        <v>3146</v>
      </c>
      <c r="E504" s="23" t="s">
        <v>3147</v>
      </c>
      <c r="G504" s="23" t="s">
        <v>3148</v>
      </c>
      <c r="K504" s="23" t="s">
        <v>3149</v>
      </c>
      <c r="L504" s="23" t="s">
        <v>3150</v>
      </c>
    </row>
    <row r="505" spans="1:20" x14ac:dyDescent="0.2">
      <c r="A505" s="23" t="s">
        <v>92</v>
      </c>
      <c r="C505" s="23" t="s">
        <v>3181</v>
      </c>
      <c r="D505" s="23" t="s">
        <v>3182</v>
      </c>
      <c r="E505" s="23" t="s">
        <v>3183</v>
      </c>
      <c r="G505" s="23" t="s">
        <v>3184</v>
      </c>
      <c r="K505" s="23" t="s">
        <v>3185</v>
      </c>
      <c r="L505" s="23" t="s">
        <v>3186</v>
      </c>
      <c r="M505" s="23" t="s">
        <v>3187</v>
      </c>
      <c r="N505" s="23" t="s">
        <v>3188</v>
      </c>
      <c r="T505" s="23" t="s">
        <v>3189</v>
      </c>
    </row>
    <row r="506" spans="1:20" x14ac:dyDescent="0.2">
      <c r="A506" s="23" t="s">
        <v>92</v>
      </c>
      <c r="C506" s="23" t="s">
        <v>2864</v>
      </c>
      <c r="D506" s="23" t="s">
        <v>2865</v>
      </c>
      <c r="E506" s="23" t="s">
        <v>2866</v>
      </c>
      <c r="G506" s="23" t="s">
        <v>2867</v>
      </c>
    </row>
    <row r="507" spans="1:20" x14ac:dyDescent="0.2">
      <c r="A507" s="23" t="s">
        <v>92</v>
      </c>
      <c r="C507" s="23" t="s">
        <v>3190</v>
      </c>
      <c r="D507" s="23" t="s">
        <v>3191</v>
      </c>
      <c r="E507" s="23" t="s">
        <v>3192</v>
      </c>
      <c r="G507" s="23" t="s">
        <v>3193</v>
      </c>
      <c r="H507" s="23" t="s">
        <v>3194</v>
      </c>
      <c r="I507" s="23" t="s">
        <v>3195</v>
      </c>
      <c r="J507" s="23" t="s">
        <v>3196</v>
      </c>
      <c r="T507" s="23" t="s">
        <v>3197</v>
      </c>
    </row>
    <row r="508" spans="1:20" x14ac:dyDescent="0.2">
      <c r="A508" s="23" t="s">
        <v>92</v>
      </c>
      <c r="E508" s="23" t="s">
        <v>1992</v>
      </c>
    </row>
    <row r="509" spans="1:20" x14ac:dyDescent="0.2">
      <c r="A509" s="23" t="s">
        <v>92</v>
      </c>
      <c r="E509" s="23" t="s">
        <v>3198</v>
      </c>
      <c r="F509" s="23" t="s">
        <v>3199</v>
      </c>
      <c r="T509" s="23" t="s">
        <v>3200</v>
      </c>
    </row>
    <row r="510" spans="1:20" x14ac:dyDescent="0.2">
      <c r="A510" s="23" t="s">
        <v>92</v>
      </c>
      <c r="D510" s="23" t="s">
        <v>3201</v>
      </c>
      <c r="E510" s="23" t="s">
        <v>3202</v>
      </c>
      <c r="F510" s="23" t="s">
        <v>3203</v>
      </c>
    </row>
    <row r="511" spans="1:20" x14ac:dyDescent="0.2">
      <c r="A511" s="23" t="s">
        <v>92</v>
      </c>
      <c r="C511" s="23" t="s">
        <v>3204</v>
      </c>
      <c r="D511" s="23" t="s">
        <v>3205</v>
      </c>
      <c r="E511" s="23" t="s">
        <v>3206</v>
      </c>
      <c r="G511" s="23" t="s">
        <v>3207</v>
      </c>
      <c r="H511" s="23" t="s">
        <v>11757</v>
      </c>
      <c r="I511" s="23" t="s">
        <v>3208</v>
      </c>
      <c r="J511" s="23" t="s">
        <v>3209</v>
      </c>
    </row>
    <row r="512" spans="1:20" x14ac:dyDescent="0.2">
      <c r="A512" s="23" t="s">
        <v>92</v>
      </c>
      <c r="C512" s="23" t="s">
        <v>3210</v>
      </c>
      <c r="D512" s="23" t="s">
        <v>3211</v>
      </c>
      <c r="E512" s="23" t="s">
        <v>3212</v>
      </c>
      <c r="G512" s="23" t="s">
        <v>3213</v>
      </c>
      <c r="K512" s="23" t="s">
        <v>3214</v>
      </c>
      <c r="L512" s="23" t="s">
        <v>3215</v>
      </c>
      <c r="M512" s="23" t="s">
        <v>11758</v>
      </c>
      <c r="N512" s="23" t="s">
        <v>3216</v>
      </c>
    </row>
    <row r="513" spans="1:20" x14ac:dyDescent="0.2">
      <c r="A513" s="23" t="s">
        <v>92</v>
      </c>
      <c r="C513" s="23" t="s">
        <v>3217</v>
      </c>
      <c r="D513" s="23" t="s">
        <v>3218</v>
      </c>
      <c r="E513" s="23" t="s">
        <v>3219</v>
      </c>
      <c r="G513" s="23" t="s">
        <v>3220</v>
      </c>
      <c r="K513" s="23" t="s">
        <v>3221</v>
      </c>
      <c r="L513" s="23" t="s">
        <v>3222</v>
      </c>
      <c r="O513" s="23" t="s">
        <v>11759</v>
      </c>
      <c r="P513" s="23" t="s">
        <v>3223</v>
      </c>
      <c r="Q513" s="23" t="s">
        <v>3224</v>
      </c>
      <c r="R513" s="23" t="s">
        <v>3225</v>
      </c>
      <c r="S513" s="23" t="s">
        <v>3226</v>
      </c>
      <c r="T513" s="23" t="s">
        <v>3227</v>
      </c>
    </row>
    <row r="514" spans="1:20" x14ac:dyDescent="0.2">
      <c r="A514" s="23" t="s">
        <v>92</v>
      </c>
      <c r="C514" s="23" t="s">
        <v>3228</v>
      </c>
      <c r="D514" s="23" t="s">
        <v>3229</v>
      </c>
      <c r="E514" s="23" t="s">
        <v>3230</v>
      </c>
      <c r="G514" s="23" t="s">
        <v>3231</v>
      </c>
      <c r="K514" s="23" t="s">
        <v>3232</v>
      </c>
      <c r="L514" s="23" t="s">
        <v>3233</v>
      </c>
      <c r="O514" s="23" t="s">
        <v>11760</v>
      </c>
      <c r="P514" s="23" t="s">
        <v>15450</v>
      </c>
      <c r="Q514" s="23" t="s">
        <v>15455</v>
      </c>
      <c r="R514" s="23" t="s">
        <v>15460</v>
      </c>
      <c r="S514" s="23" t="s">
        <v>15465</v>
      </c>
      <c r="T514" s="23" t="s">
        <v>15470</v>
      </c>
    </row>
    <row r="515" spans="1:20" x14ac:dyDescent="0.2">
      <c r="A515" s="23" t="s">
        <v>92</v>
      </c>
      <c r="C515" s="23" t="s">
        <v>3234</v>
      </c>
      <c r="D515" s="23" t="s">
        <v>3235</v>
      </c>
      <c r="E515" s="23" t="s">
        <v>3236</v>
      </c>
      <c r="G515" s="23" t="s">
        <v>3237</v>
      </c>
      <c r="K515" s="23" t="s">
        <v>3238</v>
      </c>
      <c r="L515" s="23" t="s">
        <v>3239</v>
      </c>
      <c r="O515" s="23" t="s">
        <v>11761</v>
      </c>
      <c r="P515" s="23" t="s">
        <v>15451</v>
      </c>
      <c r="Q515" s="23" t="s">
        <v>15456</v>
      </c>
      <c r="R515" s="23" t="s">
        <v>15461</v>
      </c>
      <c r="S515" s="23" t="s">
        <v>15466</v>
      </c>
      <c r="T515" s="23" t="s">
        <v>15471</v>
      </c>
    </row>
    <row r="516" spans="1:20" x14ac:dyDescent="0.2">
      <c r="A516" s="23" t="s">
        <v>92</v>
      </c>
      <c r="C516" s="23" t="s">
        <v>3240</v>
      </c>
      <c r="D516" s="23" t="s">
        <v>3241</v>
      </c>
      <c r="E516" s="23" t="s">
        <v>3242</v>
      </c>
      <c r="G516" s="23" t="s">
        <v>3243</v>
      </c>
      <c r="K516" s="23" t="s">
        <v>3244</v>
      </c>
      <c r="L516" s="23" t="s">
        <v>3245</v>
      </c>
      <c r="O516" s="23" t="s">
        <v>11517</v>
      </c>
      <c r="P516" s="23" t="s">
        <v>15452</v>
      </c>
      <c r="Q516" s="23" t="s">
        <v>15457</v>
      </c>
      <c r="R516" s="23" t="s">
        <v>15462</v>
      </c>
      <c r="S516" s="23" t="s">
        <v>15467</v>
      </c>
      <c r="T516" s="23" t="s">
        <v>15472</v>
      </c>
    </row>
    <row r="517" spans="1:20" x14ac:dyDescent="0.2">
      <c r="A517" s="23" t="s">
        <v>92</v>
      </c>
      <c r="C517" s="23" t="s">
        <v>3246</v>
      </c>
      <c r="D517" s="23" t="s">
        <v>3247</v>
      </c>
      <c r="E517" s="23" t="s">
        <v>3248</v>
      </c>
      <c r="G517" s="23" t="s">
        <v>3249</v>
      </c>
      <c r="K517" s="23" t="s">
        <v>3250</v>
      </c>
      <c r="L517" s="23" t="s">
        <v>3251</v>
      </c>
      <c r="O517" s="23" t="s">
        <v>11562</v>
      </c>
      <c r="P517" s="23" t="s">
        <v>15453</v>
      </c>
      <c r="Q517" s="23" t="s">
        <v>15458</v>
      </c>
      <c r="R517" s="23" t="s">
        <v>15463</v>
      </c>
      <c r="S517" s="23" t="s">
        <v>15468</v>
      </c>
      <c r="T517" s="23" t="s">
        <v>15473</v>
      </c>
    </row>
    <row r="518" spans="1:20" x14ac:dyDescent="0.2">
      <c r="A518" s="23" t="s">
        <v>92</v>
      </c>
      <c r="C518" s="23" t="s">
        <v>3252</v>
      </c>
      <c r="D518" s="23" t="s">
        <v>3253</v>
      </c>
      <c r="E518" s="23" t="s">
        <v>3254</v>
      </c>
      <c r="G518" s="23" t="s">
        <v>3255</v>
      </c>
      <c r="K518" s="23" t="s">
        <v>3256</v>
      </c>
      <c r="L518" s="23" t="s">
        <v>3257</v>
      </c>
      <c r="O518" s="23" t="s">
        <v>11762</v>
      </c>
      <c r="P518" s="23" t="s">
        <v>15454</v>
      </c>
      <c r="Q518" s="23" t="s">
        <v>15459</v>
      </c>
      <c r="R518" s="23" t="s">
        <v>15464</v>
      </c>
      <c r="S518" s="23" t="s">
        <v>15469</v>
      </c>
      <c r="T518" s="23" t="s">
        <v>15474</v>
      </c>
    </row>
    <row r="519" spans="1:20" x14ac:dyDescent="0.2">
      <c r="A519" s="23" t="s">
        <v>92</v>
      </c>
      <c r="C519" s="23" t="s">
        <v>3228</v>
      </c>
      <c r="D519" s="23" t="s">
        <v>3229</v>
      </c>
      <c r="E519" s="23" t="s">
        <v>3230</v>
      </c>
      <c r="G519" s="23" t="s">
        <v>3231</v>
      </c>
      <c r="K519" s="23" t="s">
        <v>3232</v>
      </c>
      <c r="L519" s="23" t="s">
        <v>3233</v>
      </c>
    </row>
    <row r="520" spans="1:20" x14ac:dyDescent="0.2">
      <c r="A520" s="23" t="s">
        <v>92</v>
      </c>
      <c r="C520" s="23" t="s">
        <v>3258</v>
      </c>
      <c r="D520" s="23" t="s">
        <v>3259</v>
      </c>
      <c r="E520" s="23" t="s">
        <v>3260</v>
      </c>
      <c r="G520" s="23" t="s">
        <v>3261</v>
      </c>
      <c r="K520" s="23" t="s">
        <v>3262</v>
      </c>
      <c r="L520" s="23" t="s">
        <v>3263</v>
      </c>
      <c r="M520" s="23" t="s">
        <v>3264</v>
      </c>
      <c r="N520" s="23" t="s">
        <v>3265</v>
      </c>
      <c r="T520" s="23" t="s">
        <v>3266</v>
      </c>
    </row>
    <row r="521" spans="1:20" x14ac:dyDescent="0.2">
      <c r="A521" s="23" t="s">
        <v>92</v>
      </c>
      <c r="C521" s="23" t="s">
        <v>3267</v>
      </c>
      <c r="D521" s="23" t="s">
        <v>3268</v>
      </c>
      <c r="E521" s="23" t="s">
        <v>3269</v>
      </c>
      <c r="G521" s="23" t="s">
        <v>3270</v>
      </c>
      <c r="K521" s="23" t="s">
        <v>3271</v>
      </c>
      <c r="L521" s="23" t="s">
        <v>3272</v>
      </c>
      <c r="M521" s="23" t="s">
        <v>366</v>
      </c>
      <c r="N521" s="23" t="s">
        <v>3273</v>
      </c>
    </row>
    <row r="522" spans="1:20" x14ac:dyDescent="0.2">
      <c r="A522" s="23" t="s">
        <v>92</v>
      </c>
      <c r="C522" s="23" t="s">
        <v>3274</v>
      </c>
      <c r="D522" s="23" t="s">
        <v>3275</v>
      </c>
      <c r="E522" s="23" t="s">
        <v>3276</v>
      </c>
      <c r="G522" s="23" t="s">
        <v>3277</v>
      </c>
      <c r="K522" s="23" t="s">
        <v>3278</v>
      </c>
      <c r="L522" s="23" t="s">
        <v>3279</v>
      </c>
      <c r="O522" s="23" t="s">
        <v>11763</v>
      </c>
      <c r="P522" s="23" t="s">
        <v>3280</v>
      </c>
      <c r="Q522" s="23" t="s">
        <v>3281</v>
      </c>
      <c r="R522" s="23" t="s">
        <v>3282</v>
      </c>
      <c r="S522" s="23" t="s">
        <v>3283</v>
      </c>
      <c r="T522" s="23" t="s">
        <v>3284</v>
      </c>
    </row>
    <row r="523" spans="1:20" x14ac:dyDescent="0.2">
      <c r="A523" s="23" t="s">
        <v>92</v>
      </c>
      <c r="C523" s="23" t="s">
        <v>3285</v>
      </c>
      <c r="D523" s="23" t="s">
        <v>3286</v>
      </c>
      <c r="E523" s="23" t="s">
        <v>3287</v>
      </c>
      <c r="G523" s="23" t="s">
        <v>3288</v>
      </c>
      <c r="K523" s="23" t="s">
        <v>3289</v>
      </c>
      <c r="L523" s="23" t="s">
        <v>3290</v>
      </c>
      <c r="O523" s="23" t="s">
        <v>11764</v>
      </c>
      <c r="P523" s="23" t="s">
        <v>15580</v>
      </c>
      <c r="Q523" s="23" t="s">
        <v>15585</v>
      </c>
      <c r="R523" s="23" t="s">
        <v>15590</v>
      </c>
      <c r="S523" s="23" t="s">
        <v>15595</v>
      </c>
      <c r="T523" s="23" t="s">
        <v>15600</v>
      </c>
    </row>
    <row r="524" spans="1:20" x14ac:dyDescent="0.2">
      <c r="A524" s="23" t="s">
        <v>92</v>
      </c>
      <c r="C524" s="23" t="s">
        <v>3291</v>
      </c>
      <c r="D524" s="23" t="s">
        <v>3292</v>
      </c>
      <c r="E524" s="23" t="s">
        <v>3293</v>
      </c>
      <c r="G524" s="23" t="s">
        <v>3294</v>
      </c>
      <c r="K524" s="23" t="s">
        <v>3295</v>
      </c>
      <c r="L524" s="23" t="s">
        <v>3296</v>
      </c>
      <c r="O524" s="23" t="s">
        <v>11765</v>
      </c>
      <c r="P524" s="23" t="s">
        <v>15581</v>
      </c>
      <c r="Q524" s="23" t="s">
        <v>15586</v>
      </c>
      <c r="R524" s="23" t="s">
        <v>15591</v>
      </c>
      <c r="S524" s="23" t="s">
        <v>15596</v>
      </c>
      <c r="T524" s="23" t="s">
        <v>15601</v>
      </c>
    </row>
    <row r="525" spans="1:20" x14ac:dyDescent="0.2">
      <c r="A525" s="23" t="s">
        <v>92</v>
      </c>
      <c r="C525" s="23" t="s">
        <v>3297</v>
      </c>
      <c r="D525" s="23" t="s">
        <v>3298</v>
      </c>
      <c r="E525" s="23" t="s">
        <v>3299</v>
      </c>
      <c r="G525" s="23" t="s">
        <v>3300</v>
      </c>
      <c r="K525" s="23" t="s">
        <v>3301</v>
      </c>
      <c r="L525" s="23" t="s">
        <v>3302</v>
      </c>
      <c r="O525" s="23" t="s">
        <v>11524</v>
      </c>
      <c r="P525" s="23" t="s">
        <v>15582</v>
      </c>
      <c r="Q525" s="23" t="s">
        <v>15587</v>
      </c>
      <c r="R525" s="23" t="s">
        <v>15592</v>
      </c>
      <c r="S525" s="23" t="s">
        <v>15597</v>
      </c>
      <c r="T525" s="23" t="s">
        <v>15602</v>
      </c>
    </row>
    <row r="526" spans="1:20" x14ac:dyDescent="0.2">
      <c r="A526" s="23" t="s">
        <v>92</v>
      </c>
      <c r="C526" s="23" t="s">
        <v>3303</v>
      </c>
      <c r="D526" s="23" t="s">
        <v>3304</v>
      </c>
      <c r="E526" s="23" t="s">
        <v>3305</v>
      </c>
      <c r="G526" s="23" t="s">
        <v>3306</v>
      </c>
      <c r="K526" s="23" t="s">
        <v>3307</v>
      </c>
      <c r="L526" s="23" t="s">
        <v>3308</v>
      </c>
      <c r="O526" s="23" t="s">
        <v>11567</v>
      </c>
      <c r="P526" s="23" t="s">
        <v>15583</v>
      </c>
      <c r="Q526" s="23" t="s">
        <v>15588</v>
      </c>
      <c r="R526" s="23" t="s">
        <v>15593</v>
      </c>
      <c r="S526" s="23" t="s">
        <v>15598</v>
      </c>
      <c r="T526" s="23" t="s">
        <v>15603</v>
      </c>
    </row>
    <row r="527" spans="1:20" x14ac:dyDescent="0.2">
      <c r="A527" s="23" t="s">
        <v>92</v>
      </c>
      <c r="C527" s="23" t="s">
        <v>3309</v>
      </c>
      <c r="D527" s="23" t="s">
        <v>3310</v>
      </c>
      <c r="E527" s="23" t="s">
        <v>3311</v>
      </c>
      <c r="G527" s="23" t="s">
        <v>3312</v>
      </c>
      <c r="K527" s="23" t="s">
        <v>3313</v>
      </c>
      <c r="L527" s="23" t="s">
        <v>3314</v>
      </c>
      <c r="O527" s="23" t="s">
        <v>11766</v>
      </c>
      <c r="P527" s="23" t="s">
        <v>15584</v>
      </c>
      <c r="Q527" s="23" t="s">
        <v>15589</v>
      </c>
      <c r="R527" s="23" t="s">
        <v>15594</v>
      </c>
      <c r="S527" s="23" t="s">
        <v>15599</v>
      </c>
      <c r="T527" s="23" t="s">
        <v>15604</v>
      </c>
    </row>
    <row r="528" spans="1:20" x14ac:dyDescent="0.2">
      <c r="A528" s="23" t="s">
        <v>92</v>
      </c>
      <c r="C528" s="23" t="s">
        <v>3285</v>
      </c>
      <c r="D528" s="23" t="s">
        <v>3286</v>
      </c>
      <c r="E528" s="23" t="s">
        <v>3287</v>
      </c>
      <c r="G528" s="23" t="s">
        <v>3288</v>
      </c>
      <c r="K528" s="23" t="s">
        <v>3289</v>
      </c>
      <c r="L528" s="23" t="s">
        <v>3290</v>
      </c>
    </row>
    <row r="529" spans="1:20" x14ac:dyDescent="0.2">
      <c r="A529" s="23" t="s">
        <v>92</v>
      </c>
      <c r="C529" s="23" t="s">
        <v>3315</v>
      </c>
      <c r="D529" s="23" t="s">
        <v>3316</v>
      </c>
      <c r="E529" s="23" t="s">
        <v>3317</v>
      </c>
      <c r="G529" s="23" t="s">
        <v>3318</v>
      </c>
      <c r="K529" s="23" t="s">
        <v>3319</v>
      </c>
      <c r="L529" s="23" t="s">
        <v>3320</v>
      </c>
      <c r="M529" s="23" t="s">
        <v>3321</v>
      </c>
      <c r="N529" s="23" t="s">
        <v>3322</v>
      </c>
      <c r="T529" s="23" t="s">
        <v>3323</v>
      </c>
    </row>
    <row r="530" spans="1:20" x14ac:dyDescent="0.2">
      <c r="A530" s="23" t="s">
        <v>92</v>
      </c>
      <c r="C530" s="23" t="s">
        <v>3324</v>
      </c>
      <c r="D530" s="23" t="s">
        <v>3325</v>
      </c>
      <c r="E530" s="23" t="s">
        <v>3326</v>
      </c>
      <c r="G530" s="23" t="s">
        <v>3327</v>
      </c>
      <c r="K530" s="23" t="s">
        <v>3328</v>
      </c>
      <c r="L530" s="23" t="s">
        <v>3329</v>
      </c>
      <c r="M530" s="23" t="s">
        <v>367</v>
      </c>
      <c r="N530" s="23" t="s">
        <v>3330</v>
      </c>
    </row>
    <row r="531" spans="1:20" x14ac:dyDescent="0.2">
      <c r="A531" s="23" t="s">
        <v>92</v>
      </c>
      <c r="C531" s="23" t="s">
        <v>3331</v>
      </c>
      <c r="D531" s="23" t="s">
        <v>3332</v>
      </c>
      <c r="E531" s="23" t="s">
        <v>3333</v>
      </c>
      <c r="G531" s="23" t="s">
        <v>3334</v>
      </c>
      <c r="K531" s="23" t="s">
        <v>3335</v>
      </c>
      <c r="L531" s="23" t="s">
        <v>3336</v>
      </c>
      <c r="O531" s="23" t="s">
        <v>11767</v>
      </c>
      <c r="P531" s="23" t="s">
        <v>3337</v>
      </c>
      <c r="Q531" s="23" t="s">
        <v>3338</v>
      </c>
      <c r="R531" s="23" t="s">
        <v>3339</v>
      </c>
      <c r="S531" s="23" t="s">
        <v>3340</v>
      </c>
      <c r="T531" s="23" t="s">
        <v>3341</v>
      </c>
    </row>
    <row r="532" spans="1:20" x14ac:dyDescent="0.2">
      <c r="A532" s="23" t="s">
        <v>92</v>
      </c>
      <c r="C532" s="23" t="s">
        <v>3342</v>
      </c>
      <c r="D532" s="23" t="s">
        <v>3343</v>
      </c>
      <c r="E532" s="23" t="s">
        <v>3344</v>
      </c>
      <c r="G532" s="23" t="s">
        <v>3345</v>
      </c>
      <c r="K532" s="23" t="s">
        <v>3346</v>
      </c>
      <c r="L532" s="23" t="s">
        <v>3347</v>
      </c>
      <c r="O532" s="23" t="s">
        <v>11768</v>
      </c>
      <c r="P532" s="23" t="s">
        <v>15555</v>
      </c>
      <c r="Q532" s="23" t="s">
        <v>15560</v>
      </c>
      <c r="R532" s="23" t="s">
        <v>15565</v>
      </c>
      <c r="S532" s="23" t="s">
        <v>15570</v>
      </c>
      <c r="T532" s="23" t="s">
        <v>15575</v>
      </c>
    </row>
    <row r="533" spans="1:20" x14ac:dyDescent="0.2">
      <c r="A533" s="23" t="s">
        <v>92</v>
      </c>
      <c r="C533" s="23" t="s">
        <v>3348</v>
      </c>
      <c r="D533" s="23" t="s">
        <v>3349</v>
      </c>
      <c r="E533" s="23" t="s">
        <v>3350</v>
      </c>
      <c r="G533" s="23" t="s">
        <v>3351</v>
      </c>
      <c r="K533" s="23" t="s">
        <v>3352</v>
      </c>
      <c r="L533" s="23" t="s">
        <v>3353</v>
      </c>
      <c r="O533" s="23" t="s">
        <v>11769</v>
      </c>
      <c r="P533" s="23" t="s">
        <v>15556</v>
      </c>
      <c r="Q533" s="23" t="s">
        <v>15561</v>
      </c>
      <c r="R533" s="23" t="s">
        <v>15566</v>
      </c>
      <c r="S533" s="23" t="s">
        <v>15571</v>
      </c>
      <c r="T533" s="23" t="s">
        <v>15576</v>
      </c>
    </row>
    <row r="534" spans="1:20" x14ac:dyDescent="0.2">
      <c r="A534" s="23" t="s">
        <v>92</v>
      </c>
      <c r="C534" s="23" t="s">
        <v>3354</v>
      </c>
      <c r="D534" s="23" t="s">
        <v>3355</v>
      </c>
      <c r="E534" s="23" t="s">
        <v>3356</v>
      </c>
      <c r="G534" s="23" t="s">
        <v>3357</v>
      </c>
      <c r="K534" s="23" t="s">
        <v>3358</v>
      </c>
      <c r="L534" s="23" t="s">
        <v>3359</v>
      </c>
      <c r="O534" s="23" t="s">
        <v>11531</v>
      </c>
      <c r="P534" s="23" t="s">
        <v>15557</v>
      </c>
      <c r="Q534" s="23" t="s">
        <v>15562</v>
      </c>
      <c r="R534" s="23" t="s">
        <v>15567</v>
      </c>
      <c r="S534" s="23" t="s">
        <v>15572</v>
      </c>
      <c r="T534" s="23" t="s">
        <v>15577</v>
      </c>
    </row>
    <row r="535" spans="1:20" x14ac:dyDescent="0.2">
      <c r="A535" s="23" t="s">
        <v>92</v>
      </c>
      <c r="C535" s="23" t="s">
        <v>3360</v>
      </c>
      <c r="D535" s="23" t="s">
        <v>3361</v>
      </c>
      <c r="E535" s="23" t="s">
        <v>3362</v>
      </c>
      <c r="G535" s="23" t="s">
        <v>3363</v>
      </c>
      <c r="K535" s="23" t="s">
        <v>3364</v>
      </c>
      <c r="L535" s="23" t="s">
        <v>3365</v>
      </c>
      <c r="O535" s="23" t="s">
        <v>11573</v>
      </c>
      <c r="P535" s="23" t="s">
        <v>15558</v>
      </c>
      <c r="Q535" s="23" t="s">
        <v>15563</v>
      </c>
      <c r="R535" s="23" t="s">
        <v>15568</v>
      </c>
      <c r="S535" s="23" t="s">
        <v>15573</v>
      </c>
      <c r="T535" s="23" t="s">
        <v>15578</v>
      </c>
    </row>
    <row r="536" spans="1:20" x14ac:dyDescent="0.2">
      <c r="A536" s="23" t="s">
        <v>92</v>
      </c>
      <c r="C536" s="23" t="s">
        <v>3366</v>
      </c>
      <c r="D536" s="23" t="s">
        <v>3367</v>
      </c>
      <c r="E536" s="23" t="s">
        <v>3368</v>
      </c>
      <c r="G536" s="23" t="s">
        <v>3369</v>
      </c>
      <c r="K536" s="23" t="s">
        <v>3370</v>
      </c>
      <c r="L536" s="23" t="s">
        <v>3371</v>
      </c>
      <c r="O536" s="23" t="s">
        <v>11770</v>
      </c>
      <c r="P536" s="23" t="s">
        <v>15559</v>
      </c>
      <c r="Q536" s="23" t="s">
        <v>15564</v>
      </c>
      <c r="R536" s="23" t="s">
        <v>15569</v>
      </c>
      <c r="S536" s="23" t="s">
        <v>15574</v>
      </c>
      <c r="T536" s="23" t="s">
        <v>15579</v>
      </c>
    </row>
    <row r="537" spans="1:20" x14ac:dyDescent="0.2">
      <c r="A537" s="23" t="s">
        <v>92</v>
      </c>
      <c r="C537" s="23" t="s">
        <v>3342</v>
      </c>
      <c r="D537" s="23" t="s">
        <v>3343</v>
      </c>
      <c r="E537" s="23" t="s">
        <v>3344</v>
      </c>
      <c r="G537" s="23" t="s">
        <v>3345</v>
      </c>
      <c r="K537" s="23" t="s">
        <v>3346</v>
      </c>
      <c r="L537" s="23" t="s">
        <v>3347</v>
      </c>
    </row>
    <row r="538" spans="1:20" x14ac:dyDescent="0.2">
      <c r="A538" s="23" t="s">
        <v>92</v>
      </c>
      <c r="C538" s="23" t="s">
        <v>3372</v>
      </c>
      <c r="D538" s="23" t="s">
        <v>3373</v>
      </c>
      <c r="E538" s="23" t="s">
        <v>3374</v>
      </c>
      <c r="G538" s="23" t="s">
        <v>3375</v>
      </c>
      <c r="K538" s="23" t="s">
        <v>3376</v>
      </c>
      <c r="L538" s="23" t="s">
        <v>3377</v>
      </c>
      <c r="M538" s="23" t="s">
        <v>3378</v>
      </c>
      <c r="N538" s="23" t="s">
        <v>3379</v>
      </c>
      <c r="T538" s="23" t="s">
        <v>3380</v>
      </c>
    </row>
    <row r="539" spans="1:20" x14ac:dyDescent="0.2">
      <c r="A539" s="23" t="s">
        <v>92</v>
      </c>
      <c r="C539" s="23" t="s">
        <v>3381</v>
      </c>
      <c r="D539" s="23" t="s">
        <v>3382</v>
      </c>
      <c r="E539" s="23" t="s">
        <v>3383</v>
      </c>
      <c r="G539" s="23" t="s">
        <v>3384</v>
      </c>
      <c r="K539" s="23" t="s">
        <v>3385</v>
      </c>
      <c r="L539" s="23" t="s">
        <v>3386</v>
      </c>
      <c r="M539" s="23" t="s">
        <v>368</v>
      </c>
      <c r="N539" s="23" t="s">
        <v>3387</v>
      </c>
    </row>
    <row r="540" spans="1:20" x14ac:dyDescent="0.2">
      <c r="A540" s="23" t="s">
        <v>92</v>
      </c>
      <c r="C540" s="23" t="s">
        <v>3388</v>
      </c>
      <c r="D540" s="23" t="s">
        <v>3389</v>
      </c>
      <c r="E540" s="23" t="s">
        <v>3390</v>
      </c>
      <c r="G540" s="23" t="s">
        <v>3391</v>
      </c>
      <c r="K540" s="23" t="s">
        <v>3392</v>
      </c>
      <c r="L540" s="23" t="s">
        <v>3393</v>
      </c>
      <c r="O540" s="23" t="s">
        <v>11771</v>
      </c>
      <c r="P540" s="23" t="s">
        <v>3394</v>
      </c>
      <c r="Q540" s="23" t="s">
        <v>3395</v>
      </c>
      <c r="R540" s="23" t="s">
        <v>3396</v>
      </c>
      <c r="S540" s="23" t="s">
        <v>3397</v>
      </c>
      <c r="T540" s="23" t="s">
        <v>3398</v>
      </c>
    </row>
    <row r="541" spans="1:20" x14ac:dyDescent="0.2">
      <c r="A541" s="23" t="s">
        <v>92</v>
      </c>
      <c r="C541" s="23" t="s">
        <v>3399</v>
      </c>
      <c r="D541" s="23" t="s">
        <v>3400</v>
      </c>
      <c r="E541" s="23" t="s">
        <v>3401</v>
      </c>
      <c r="G541" s="23" t="s">
        <v>3402</v>
      </c>
      <c r="K541" s="23" t="s">
        <v>3403</v>
      </c>
      <c r="L541" s="23" t="s">
        <v>3404</v>
      </c>
      <c r="O541" s="23" t="s">
        <v>11772</v>
      </c>
      <c r="P541" s="23" t="s">
        <v>15530</v>
      </c>
      <c r="Q541" s="23" t="s">
        <v>15535</v>
      </c>
      <c r="R541" s="23" t="s">
        <v>15540</v>
      </c>
      <c r="S541" s="23" t="s">
        <v>15545</v>
      </c>
      <c r="T541" s="23" t="s">
        <v>15550</v>
      </c>
    </row>
    <row r="542" spans="1:20" x14ac:dyDescent="0.2">
      <c r="A542" s="23" t="s">
        <v>92</v>
      </c>
      <c r="C542" s="23" t="s">
        <v>3405</v>
      </c>
      <c r="D542" s="23" t="s">
        <v>3406</v>
      </c>
      <c r="E542" s="23" t="s">
        <v>3407</v>
      </c>
      <c r="G542" s="23" t="s">
        <v>3408</v>
      </c>
      <c r="K542" s="23" t="s">
        <v>3409</v>
      </c>
      <c r="L542" s="23" t="s">
        <v>3410</v>
      </c>
      <c r="O542" s="23" t="s">
        <v>11773</v>
      </c>
      <c r="P542" s="23" t="s">
        <v>15531</v>
      </c>
      <c r="Q542" s="23" t="s">
        <v>15536</v>
      </c>
      <c r="R542" s="23" t="s">
        <v>15541</v>
      </c>
      <c r="S542" s="23" t="s">
        <v>15546</v>
      </c>
      <c r="T542" s="23" t="s">
        <v>15551</v>
      </c>
    </row>
    <row r="543" spans="1:20" x14ac:dyDescent="0.2">
      <c r="A543" s="23" t="s">
        <v>92</v>
      </c>
      <c r="C543" s="23" t="s">
        <v>3411</v>
      </c>
      <c r="D543" s="23" t="s">
        <v>3412</v>
      </c>
      <c r="E543" s="23" t="s">
        <v>3413</v>
      </c>
      <c r="G543" s="23" t="s">
        <v>3414</v>
      </c>
      <c r="K543" s="23" t="s">
        <v>3415</v>
      </c>
      <c r="L543" s="23" t="s">
        <v>3416</v>
      </c>
      <c r="O543" s="23" t="s">
        <v>11538</v>
      </c>
      <c r="P543" s="23" t="s">
        <v>15532</v>
      </c>
      <c r="Q543" s="23" t="s">
        <v>15537</v>
      </c>
      <c r="R543" s="23" t="s">
        <v>15542</v>
      </c>
      <c r="S543" s="23" t="s">
        <v>15547</v>
      </c>
      <c r="T543" s="23" t="s">
        <v>15552</v>
      </c>
    </row>
    <row r="544" spans="1:20" x14ac:dyDescent="0.2">
      <c r="A544" s="23" t="s">
        <v>92</v>
      </c>
      <c r="C544" s="23" t="s">
        <v>3417</v>
      </c>
      <c r="D544" s="23" t="s">
        <v>3418</v>
      </c>
      <c r="E544" s="23" t="s">
        <v>3419</v>
      </c>
      <c r="G544" s="23" t="s">
        <v>3420</v>
      </c>
      <c r="K544" s="23" t="s">
        <v>3421</v>
      </c>
      <c r="L544" s="23" t="s">
        <v>3422</v>
      </c>
      <c r="O544" s="23" t="s">
        <v>11578</v>
      </c>
      <c r="P544" s="23" t="s">
        <v>15533</v>
      </c>
      <c r="Q544" s="23" t="s">
        <v>15538</v>
      </c>
      <c r="R544" s="23" t="s">
        <v>15543</v>
      </c>
      <c r="S544" s="23" t="s">
        <v>15548</v>
      </c>
      <c r="T544" s="23" t="s">
        <v>15553</v>
      </c>
    </row>
    <row r="545" spans="1:20" x14ac:dyDescent="0.2">
      <c r="A545" s="23" t="s">
        <v>92</v>
      </c>
      <c r="C545" s="23" t="s">
        <v>3423</v>
      </c>
      <c r="D545" s="23" t="s">
        <v>3424</v>
      </c>
      <c r="E545" s="23" t="s">
        <v>3425</v>
      </c>
      <c r="G545" s="23" t="s">
        <v>3426</v>
      </c>
      <c r="K545" s="23" t="s">
        <v>3427</v>
      </c>
      <c r="L545" s="23" t="s">
        <v>3428</v>
      </c>
      <c r="O545" s="23" t="s">
        <v>11774</v>
      </c>
      <c r="P545" s="23" t="s">
        <v>15534</v>
      </c>
      <c r="Q545" s="23" t="s">
        <v>15539</v>
      </c>
      <c r="R545" s="23" t="s">
        <v>15544</v>
      </c>
      <c r="S545" s="23" t="s">
        <v>15549</v>
      </c>
      <c r="T545" s="23" t="s">
        <v>15554</v>
      </c>
    </row>
    <row r="546" spans="1:20" x14ac:dyDescent="0.2">
      <c r="A546" s="23" t="s">
        <v>92</v>
      </c>
      <c r="C546" s="23" t="s">
        <v>3399</v>
      </c>
      <c r="D546" s="23" t="s">
        <v>3400</v>
      </c>
      <c r="E546" s="23" t="s">
        <v>3401</v>
      </c>
      <c r="G546" s="23" t="s">
        <v>3402</v>
      </c>
      <c r="K546" s="23" t="s">
        <v>3403</v>
      </c>
      <c r="L546" s="23" t="s">
        <v>3404</v>
      </c>
    </row>
    <row r="547" spans="1:20" x14ac:dyDescent="0.2">
      <c r="A547" s="23" t="s">
        <v>92</v>
      </c>
      <c r="C547" s="23" t="s">
        <v>3429</v>
      </c>
      <c r="D547" s="23" t="s">
        <v>3430</v>
      </c>
      <c r="E547" s="23" t="s">
        <v>3431</v>
      </c>
      <c r="G547" s="23" t="s">
        <v>3432</v>
      </c>
      <c r="K547" s="23" t="s">
        <v>3433</v>
      </c>
      <c r="L547" s="23" t="s">
        <v>3434</v>
      </c>
      <c r="M547" s="23" t="s">
        <v>3435</v>
      </c>
      <c r="N547" s="23" t="s">
        <v>3436</v>
      </c>
      <c r="T547" s="23" t="s">
        <v>3437</v>
      </c>
    </row>
    <row r="548" spans="1:20" x14ac:dyDescent="0.2">
      <c r="A548" s="23" t="s">
        <v>92</v>
      </c>
      <c r="C548" s="23" t="s">
        <v>3438</v>
      </c>
      <c r="D548" s="23" t="s">
        <v>3439</v>
      </c>
      <c r="E548" s="23" t="s">
        <v>3440</v>
      </c>
      <c r="G548" s="23" t="s">
        <v>3441</v>
      </c>
      <c r="K548" s="23" t="s">
        <v>3442</v>
      </c>
      <c r="L548" s="23" t="s">
        <v>3443</v>
      </c>
      <c r="M548" s="23" t="s">
        <v>369</v>
      </c>
      <c r="N548" s="23" t="s">
        <v>3444</v>
      </c>
    </row>
    <row r="549" spans="1:20" x14ac:dyDescent="0.2">
      <c r="A549" s="23" t="s">
        <v>92</v>
      </c>
      <c r="C549" s="23" t="s">
        <v>3445</v>
      </c>
      <c r="D549" s="23" t="s">
        <v>3446</v>
      </c>
      <c r="E549" s="23" t="s">
        <v>3447</v>
      </c>
      <c r="G549" s="23" t="s">
        <v>3448</v>
      </c>
      <c r="K549" s="23" t="s">
        <v>3449</v>
      </c>
      <c r="L549" s="23" t="s">
        <v>3450</v>
      </c>
      <c r="O549" s="23" t="s">
        <v>11775</v>
      </c>
      <c r="P549" s="23" t="s">
        <v>3451</v>
      </c>
      <c r="Q549" s="23" t="s">
        <v>3452</v>
      </c>
      <c r="R549" s="23" t="s">
        <v>3453</v>
      </c>
      <c r="S549" s="23" t="s">
        <v>3454</v>
      </c>
      <c r="T549" s="23" t="s">
        <v>3455</v>
      </c>
    </row>
    <row r="550" spans="1:20" x14ac:dyDescent="0.2">
      <c r="A550" s="23" t="s">
        <v>92</v>
      </c>
      <c r="C550" s="23" t="s">
        <v>3456</v>
      </c>
      <c r="D550" s="23" t="s">
        <v>3457</v>
      </c>
      <c r="E550" s="23" t="s">
        <v>3458</v>
      </c>
      <c r="G550" s="23" t="s">
        <v>3459</v>
      </c>
      <c r="K550" s="23" t="s">
        <v>3460</v>
      </c>
      <c r="L550" s="23" t="s">
        <v>3461</v>
      </c>
      <c r="O550" s="23" t="s">
        <v>11776</v>
      </c>
      <c r="P550" s="23" t="s">
        <v>15500</v>
      </c>
      <c r="Q550" s="23" t="s">
        <v>15506</v>
      </c>
      <c r="R550" s="23" t="s">
        <v>15512</v>
      </c>
      <c r="S550" s="23" t="s">
        <v>15518</v>
      </c>
      <c r="T550" s="23" t="s">
        <v>15524</v>
      </c>
    </row>
    <row r="551" spans="1:20" x14ac:dyDescent="0.2">
      <c r="A551" s="23" t="s">
        <v>92</v>
      </c>
      <c r="C551" s="23" t="s">
        <v>3462</v>
      </c>
      <c r="D551" s="23" t="s">
        <v>3463</v>
      </c>
      <c r="E551" s="23" t="s">
        <v>3464</v>
      </c>
      <c r="G551" s="23" t="s">
        <v>3465</v>
      </c>
      <c r="K551" s="23" t="s">
        <v>3466</v>
      </c>
      <c r="L551" s="23" t="s">
        <v>3467</v>
      </c>
      <c r="O551" s="23" t="s">
        <v>11777</v>
      </c>
      <c r="P551" s="23" t="s">
        <v>15501</v>
      </c>
      <c r="Q551" s="23" t="s">
        <v>15507</v>
      </c>
      <c r="R551" s="23" t="s">
        <v>15513</v>
      </c>
      <c r="S551" s="23" t="s">
        <v>15519</v>
      </c>
      <c r="T551" s="23" t="s">
        <v>15525</v>
      </c>
    </row>
    <row r="552" spans="1:20" x14ac:dyDescent="0.2">
      <c r="A552" s="23" t="s">
        <v>92</v>
      </c>
      <c r="C552" s="23" t="s">
        <v>3468</v>
      </c>
      <c r="D552" s="23" t="s">
        <v>3469</v>
      </c>
      <c r="E552" s="23" t="s">
        <v>3470</v>
      </c>
      <c r="G552" s="23" t="s">
        <v>3471</v>
      </c>
      <c r="K552" s="23" t="s">
        <v>3472</v>
      </c>
      <c r="L552" s="23" t="s">
        <v>3473</v>
      </c>
      <c r="O552" s="23" t="s">
        <v>11546</v>
      </c>
      <c r="P552" s="23" t="s">
        <v>15502</v>
      </c>
      <c r="Q552" s="23" t="s">
        <v>15508</v>
      </c>
      <c r="R552" s="23" t="s">
        <v>15514</v>
      </c>
      <c r="S552" s="23" t="s">
        <v>15520</v>
      </c>
      <c r="T552" s="23" t="s">
        <v>15526</v>
      </c>
    </row>
    <row r="553" spans="1:20" x14ac:dyDescent="0.2">
      <c r="A553" s="23" t="s">
        <v>92</v>
      </c>
      <c r="C553" s="23" t="s">
        <v>3474</v>
      </c>
      <c r="D553" s="23" t="s">
        <v>3475</v>
      </c>
      <c r="E553" s="23" t="s">
        <v>3476</v>
      </c>
      <c r="G553" s="23" t="s">
        <v>3477</v>
      </c>
      <c r="K553" s="23" t="s">
        <v>3478</v>
      </c>
      <c r="L553" s="23" t="s">
        <v>3479</v>
      </c>
      <c r="O553" s="23" t="s">
        <v>11583</v>
      </c>
      <c r="P553" s="23" t="s">
        <v>15503</v>
      </c>
      <c r="Q553" s="23" t="s">
        <v>15509</v>
      </c>
      <c r="R553" s="23" t="s">
        <v>15515</v>
      </c>
      <c r="S553" s="23" t="s">
        <v>15521</v>
      </c>
      <c r="T553" s="23" t="s">
        <v>15527</v>
      </c>
    </row>
    <row r="554" spans="1:20" x14ac:dyDescent="0.2">
      <c r="A554" s="23" t="s">
        <v>92</v>
      </c>
      <c r="C554" s="23" t="s">
        <v>3480</v>
      </c>
      <c r="D554" s="23" t="s">
        <v>3481</v>
      </c>
      <c r="E554" s="23" t="s">
        <v>3482</v>
      </c>
      <c r="G554" s="23" t="s">
        <v>3483</v>
      </c>
      <c r="K554" s="23" t="s">
        <v>3484</v>
      </c>
      <c r="L554" s="23" t="s">
        <v>3485</v>
      </c>
      <c r="O554" s="23" t="s">
        <v>11778</v>
      </c>
      <c r="P554" s="23" t="s">
        <v>15504</v>
      </c>
      <c r="Q554" s="23" t="s">
        <v>15510</v>
      </c>
      <c r="R554" s="23" t="s">
        <v>15516</v>
      </c>
      <c r="S554" s="23" t="s">
        <v>15522</v>
      </c>
      <c r="T554" s="23" t="s">
        <v>15528</v>
      </c>
    </row>
    <row r="555" spans="1:20" x14ac:dyDescent="0.2">
      <c r="A555" s="23" t="s">
        <v>92</v>
      </c>
      <c r="C555" s="23" t="s">
        <v>3486</v>
      </c>
      <c r="D555" s="23" t="s">
        <v>3487</v>
      </c>
      <c r="E555" s="23" t="s">
        <v>3488</v>
      </c>
      <c r="G555" s="23" t="s">
        <v>3489</v>
      </c>
      <c r="K555" s="23" t="s">
        <v>3490</v>
      </c>
      <c r="L555" s="23" t="s">
        <v>3491</v>
      </c>
      <c r="O555" s="23" t="s">
        <v>11779</v>
      </c>
      <c r="P555" s="23" t="s">
        <v>15505</v>
      </c>
      <c r="Q555" s="23" t="s">
        <v>15511</v>
      </c>
      <c r="R555" s="23" t="s">
        <v>15517</v>
      </c>
      <c r="S555" s="23" t="s">
        <v>15523</v>
      </c>
      <c r="T555" s="23" t="s">
        <v>15529</v>
      </c>
    </row>
    <row r="556" spans="1:20" x14ac:dyDescent="0.2">
      <c r="A556" s="23" t="s">
        <v>92</v>
      </c>
      <c r="C556" s="23" t="s">
        <v>3456</v>
      </c>
      <c r="D556" s="23" t="s">
        <v>3457</v>
      </c>
      <c r="E556" s="23" t="s">
        <v>3458</v>
      </c>
      <c r="G556" s="23" t="s">
        <v>3459</v>
      </c>
      <c r="K556" s="23" t="s">
        <v>3460</v>
      </c>
      <c r="L556" s="23" t="s">
        <v>3461</v>
      </c>
    </row>
    <row r="557" spans="1:20" x14ac:dyDescent="0.2">
      <c r="A557" s="23" t="s">
        <v>92</v>
      </c>
      <c r="C557" s="23" t="s">
        <v>3492</v>
      </c>
      <c r="D557" s="23" t="s">
        <v>3493</v>
      </c>
      <c r="E557" s="23" t="s">
        <v>3494</v>
      </c>
      <c r="G557" s="23" t="s">
        <v>3495</v>
      </c>
      <c r="K557" s="23" t="s">
        <v>3496</v>
      </c>
      <c r="L557" s="23" t="s">
        <v>3497</v>
      </c>
      <c r="M557" s="23" t="s">
        <v>3498</v>
      </c>
      <c r="N557" s="23" t="s">
        <v>3499</v>
      </c>
      <c r="T557" s="23" t="s">
        <v>3500</v>
      </c>
    </row>
    <row r="558" spans="1:20" x14ac:dyDescent="0.2">
      <c r="A558" s="23" t="s">
        <v>92</v>
      </c>
      <c r="C558" s="23" t="s">
        <v>3501</v>
      </c>
      <c r="D558" s="23" t="s">
        <v>3502</v>
      </c>
      <c r="E558" s="23" t="s">
        <v>3503</v>
      </c>
      <c r="G558" s="23" t="s">
        <v>3504</v>
      </c>
      <c r="K558" s="23" t="s">
        <v>3505</v>
      </c>
      <c r="L558" s="23" t="s">
        <v>3506</v>
      </c>
      <c r="M558" s="23" t="s">
        <v>370</v>
      </c>
      <c r="N558" s="23" t="s">
        <v>3507</v>
      </c>
    </row>
    <row r="559" spans="1:20" x14ac:dyDescent="0.2">
      <c r="A559" s="23" t="s">
        <v>92</v>
      </c>
      <c r="C559" s="23" t="s">
        <v>3508</v>
      </c>
      <c r="D559" s="23" t="s">
        <v>3509</v>
      </c>
      <c r="E559" s="23" t="s">
        <v>3510</v>
      </c>
      <c r="G559" s="23" t="s">
        <v>3511</v>
      </c>
      <c r="K559" s="23" t="s">
        <v>3512</v>
      </c>
      <c r="L559" s="23" t="s">
        <v>3513</v>
      </c>
      <c r="O559" s="23" t="s">
        <v>11780</v>
      </c>
      <c r="P559" s="23" t="s">
        <v>3514</v>
      </c>
      <c r="Q559" s="23" t="s">
        <v>3515</v>
      </c>
      <c r="R559" s="23" t="s">
        <v>3516</v>
      </c>
      <c r="S559" s="23" t="s">
        <v>3517</v>
      </c>
      <c r="T559" s="23" t="s">
        <v>3518</v>
      </c>
    </row>
    <row r="560" spans="1:20" x14ac:dyDescent="0.2">
      <c r="A560" s="23" t="s">
        <v>92</v>
      </c>
      <c r="C560" s="23" t="s">
        <v>3519</v>
      </c>
      <c r="D560" s="23" t="s">
        <v>3520</v>
      </c>
      <c r="E560" s="23" t="s">
        <v>3521</v>
      </c>
      <c r="G560" s="23" t="s">
        <v>3522</v>
      </c>
      <c r="K560" s="23" t="s">
        <v>3523</v>
      </c>
      <c r="L560" s="23" t="s">
        <v>3524</v>
      </c>
      <c r="O560" s="23" t="s">
        <v>11781</v>
      </c>
      <c r="P560" s="23" t="s">
        <v>15475</v>
      </c>
      <c r="Q560" s="23" t="s">
        <v>15480</v>
      </c>
      <c r="R560" s="23" t="s">
        <v>15485</v>
      </c>
      <c r="S560" s="23" t="s">
        <v>15490</v>
      </c>
      <c r="T560" s="23" t="s">
        <v>15495</v>
      </c>
    </row>
    <row r="561" spans="1:20" x14ac:dyDescent="0.2">
      <c r="A561" s="23" t="s">
        <v>92</v>
      </c>
      <c r="C561" s="23" t="s">
        <v>3525</v>
      </c>
      <c r="D561" s="23" t="s">
        <v>3526</v>
      </c>
      <c r="E561" s="23" t="s">
        <v>3527</v>
      </c>
      <c r="G561" s="23" t="s">
        <v>3528</v>
      </c>
      <c r="K561" s="23" t="s">
        <v>3529</v>
      </c>
      <c r="L561" s="23" t="s">
        <v>3530</v>
      </c>
      <c r="O561" s="23" t="s">
        <v>11782</v>
      </c>
      <c r="P561" s="23" t="s">
        <v>15476</v>
      </c>
      <c r="Q561" s="23" t="s">
        <v>15481</v>
      </c>
      <c r="R561" s="23" t="s">
        <v>15486</v>
      </c>
      <c r="S561" s="23" t="s">
        <v>15491</v>
      </c>
      <c r="T561" s="23" t="s">
        <v>15496</v>
      </c>
    </row>
    <row r="562" spans="1:20" x14ac:dyDescent="0.2">
      <c r="A562" s="23" t="s">
        <v>92</v>
      </c>
      <c r="C562" s="23" t="s">
        <v>3531</v>
      </c>
      <c r="D562" s="23" t="s">
        <v>3532</v>
      </c>
      <c r="E562" s="23" t="s">
        <v>3533</v>
      </c>
      <c r="G562" s="23" t="s">
        <v>3534</v>
      </c>
      <c r="K562" s="23" t="s">
        <v>3535</v>
      </c>
      <c r="L562" s="23" t="s">
        <v>3536</v>
      </c>
      <c r="O562" s="23" t="s">
        <v>11554</v>
      </c>
      <c r="P562" s="23" t="s">
        <v>15477</v>
      </c>
      <c r="Q562" s="23" t="s">
        <v>15482</v>
      </c>
      <c r="R562" s="23" t="s">
        <v>15487</v>
      </c>
      <c r="S562" s="23" t="s">
        <v>15492</v>
      </c>
      <c r="T562" s="23" t="s">
        <v>15497</v>
      </c>
    </row>
    <row r="563" spans="1:20" x14ac:dyDescent="0.2">
      <c r="A563" s="23" t="s">
        <v>92</v>
      </c>
      <c r="C563" s="23" t="s">
        <v>3537</v>
      </c>
      <c r="D563" s="23" t="s">
        <v>3538</v>
      </c>
      <c r="E563" s="23" t="s">
        <v>3539</v>
      </c>
      <c r="G563" s="23" t="s">
        <v>3540</v>
      </c>
      <c r="K563" s="23" t="s">
        <v>3541</v>
      </c>
      <c r="L563" s="23" t="s">
        <v>3542</v>
      </c>
      <c r="O563" s="23" t="s">
        <v>11588</v>
      </c>
      <c r="P563" s="23" t="s">
        <v>15478</v>
      </c>
      <c r="Q563" s="23" t="s">
        <v>15483</v>
      </c>
      <c r="R563" s="23" t="s">
        <v>15488</v>
      </c>
      <c r="S563" s="23" t="s">
        <v>15493</v>
      </c>
      <c r="T563" s="23" t="s">
        <v>15498</v>
      </c>
    </row>
    <row r="564" spans="1:20" x14ac:dyDescent="0.2">
      <c r="A564" s="23" t="s">
        <v>92</v>
      </c>
      <c r="C564" s="23" t="s">
        <v>3543</v>
      </c>
      <c r="D564" s="23" t="s">
        <v>3544</v>
      </c>
      <c r="E564" s="23" t="s">
        <v>3545</v>
      </c>
      <c r="G564" s="23" t="s">
        <v>3546</v>
      </c>
      <c r="K564" s="23" t="s">
        <v>3547</v>
      </c>
      <c r="L564" s="23" t="s">
        <v>3548</v>
      </c>
      <c r="O564" s="23" t="s">
        <v>11783</v>
      </c>
      <c r="P564" s="23" t="s">
        <v>15479</v>
      </c>
      <c r="Q564" s="23" t="s">
        <v>15484</v>
      </c>
      <c r="R564" s="23" t="s">
        <v>15489</v>
      </c>
      <c r="S564" s="23" t="s">
        <v>15494</v>
      </c>
      <c r="T564" s="23" t="s">
        <v>15499</v>
      </c>
    </row>
    <row r="565" spans="1:20" x14ac:dyDescent="0.2">
      <c r="A565" s="23" t="s">
        <v>92</v>
      </c>
      <c r="C565" s="23" t="s">
        <v>3519</v>
      </c>
      <c r="D565" s="23" t="s">
        <v>3520</v>
      </c>
      <c r="E565" s="23" t="s">
        <v>3521</v>
      </c>
      <c r="G565" s="23" t="s">
        <v>3522</v>
      </c>
      <c r="K565" s="23" t="s">
        <v>3523</v>
      </c>
      <c r="L565" s="23" t="s">
        <v>3524</v>
      </c>
    </row>
    <row r="566" spans="1:20" x14ac:dyDescent="0.2">
      <c r="A566" s="23" t="s">
        <v>92</v>
      </c>
      <c r="C566" s="23" t="s">
        <v>3549</v>
      </c>
      <c r="D566" s="23" t="s">
        <v>3550</v>
      </c>
      <c r="E566" s="23" t="s">
        <v>3551</v>
      </c>
      <c r="G566" s="23" t="s">
        <v>3552</v>
      </c>
      <c r="K566" s="23" t="s">
        <v>3553</v>
      </c>
      <c r="L566" s="23" t="s">
        <v>3554</v>
      </c>
      <c r="M566" s="23" t="s">
        <v>3555</v>
      </c>
      <c r="N566" s="23" t="s">
        <v>3556</v>
      </c>
      <c r="T566" s="23" t="s">
        <v>3557</v>
      </c>
    </row>
    <row r="567" spans="1:20" x14ac:dyDescent="0.2">
      <c r="A567" s="23" t="s">
        <v>92</v>
      </c>
      <c r="C567" s="23" t="s">
        <v>3558</v>
      </c>
      <c r="D567" s="23" t="s">
        <v>3559</v>
      </c>
      <c r="E567" s="23" t="s">
        <v>3560</v>
      </c>
      <c r="G567" s="23" t="s">
        <v>3561</v>
      </c>
      <c r="K567" s="23" t="s">
        <v>3562</v>
      </c>
      <c r="L567" s="23" t="s">
        <v>3563</v>
      </c>
      <c r="M567" s="23" t="s">
        <v>371</v>
      </c>
      <c r="N567" s="23" t="s">
        <v>3564</v>
      </c>
    </row>
    <row r="568" spans="1:20" x14ac:dyDescent="0.2">
      <c r="A568" s="23" t="s">
        <v>92</v>
      </c>
      <c r="C568" s="23" t="s">
        <v>3565</v>
      </c>
      <c r="D568" s="23" t="s">
        <v>3566</v>
      </c>
      <c r="E568" s="23" t="s">
        <v>3567</v>
      </c>
      <c r="G568" s="23" t="s">
        <v>3568</v>
      </c>
      <c r="K568" s="23" t="s">
        <v>3569</v>
      </c>
      <c r="L568" s="23" t="s">
        <v>3570</v>
      </c>
      <c r="O568" s="23" t="s">
        <v>11784</v>
      </c>
      <c r="P568" s="23" t="s">
        <v>3571</v>
      </c>
      <c r="Q568" s="23" t="s">
        <v>3572</v>
      </c>
      <c r="R568" s="23" t="s">
        <v>3573</v>
      </c>
      <c r="S568" s="23" t="s">
        <v>3574</v>
      </c>
      <c r="T568" s="23" t="s">
        <v>3575</v>
      </c>
    </row>
    <row r="569" spans="1:20" x14ac:dyDescent="0.2">
      <c r="A569" s="23" t="s">
        <v>92</v>
      </c>
      <c r="C569" s="23" t="s">
        <v>3576</v>
      </c>
      <c r="D569" s="23" t="s">
        <v>3577</v>
      </c>
      <c r="E569" s="23" t="s">
        <v>3578</v>
      </c>
      <c r="G569" s="23" t="s">
        <v>3579</v>
      </c>
      <c r="K569" s="23" t="s">
        <v>3580</v>
      </c>
      <c r="L569" s="23" t="s">
        <v>3581</v>
      </c>
      <c r="O569" s="23" t="s">
        <v>11785</v>
      </c>
      <c r="P569" s="23" t="s">
        <v>11786</v>
      </c>
      <c r="Q569" s="23" t="s">
        <v>11787</v>
      </c>
      <c r="R569" s="23" t="s">
        <v>11788</v>
      </c>
      <c r="S569" s="23" t="s">
        <v>11789</v>
      </c>
      <c r="T569" s="23" t="s">
        <v>11790</v>
      </c>
    </row>
    <row r="570" spans="1:20" x14ac:dyDescent="0.2">
      <c r="A570" s="23" t="s">
        <v>92</v>
      </c>
      <c r="C570" s="23" t="s">
        <v>3576</v>
      </c>
      <c r="D570" s="23" t="s">
        <v>3577</v>
      </c>
      <c r="E570" s="23" t="s">
        <v>3578</v>
      </c>
      <c r="G570" s="23" t="s">
        <v>3579</v>
      </c>
      <c r="K570" s="23" t="s">
        <v>3580</v>
      </c>
      <c r="L570" s="23" t="s">
        <v>3581</v>
      </c>
    </row>
    <row r="571" spans="1:20" x14ac:dyDescent="0.2">
      <c r="A571" s="23" t="s">
        <v>92</v>
      </c>
      <c r="C571" s="23" t="s">
        <v>3582</v>
      </c>
      <c r="D571" s="23" t="s">
        <v>3583</v>
      </c>
      <c r="E571" s="23" t="s">
        <v>3584</v>
      </c>
      <c r="G571" s="23" t="s">
        <v>3585</v>
      </c>
      <c r="K571" s="23" t="s">
        <v>3586</v>
      </c>
      <c r="L571" s="23" t="s">
        <v>3587</v>
      </c>
      <c r="M571" s="23" t="s">
        <v>3588</v>
      </c>
      <c r="N571" s="23" t="s">
        <v>3589</v>
      </c>
      <c r="T571" s="23" t="s">
        <v>3590</v>
      </c>
    </row>
    <row r="572" spans="1:20" x14ac:dyDescent="0.2">
      <c r="A572" s="23" t="s">
        <v>92</v>
      </c>
      <c r="C572" s="23" t="s">
        <v>3591</v>
      </c>
      <c r="D572" s="23" t="s">
        <v>3592</v>
      </c>
      <c r="E572" s="23" t="s">
        <v>3593</v>
      </c>
      <c r="G572" s="23" t="s">
        <v>3594</v>
      </c>
      <c r="K572" s="23" t="s">
        <v>3595</v>
      </c>
      <c r="L572" s="23" t="s">
        <v>3596</v>
      </c>
      <c r="M572" s="23" t="s">
        <v>372</v>
      </c>
      <c r="N572" s="23" t="s">
        <v>3597</v>
      </c>
    </row>
    <row r="573" spans="1:20" x14ac:dyDescent="0.2">
      <c r="A573" s="23" t="s">
        <v>92</v>
      </c>
      <c r="C573" s="23" t="s">
        <v>3598</v>
      </c>
      <c r="D573" s="23" t="s">
        <v>3599</v>
      </c>
      <c r="E573" s="23" t="s">
        <v>3600</v>
      </c>
      <c r="G573" s="23" t="s">
        <v>3601</v>
      </c>
      <c r="K573" s="23" t="s">
        <v>3602</v>
      </c>
      <c r="L573" s="23" t="s">
        <v>3603</v>
      </c>
      <c r="O573" s="23" t="s">
        <v>11791</v>
      </c>
      <c r="P573" s="23" t="s">
        <v>3604</v>
      </c>
      <c r="Q573" s="23" t="s">
        <v>3605</v>
      </c>
      <c r="R573" s="23" t="s">
        <v>3606</v>
      </c>
      <c r="S573" s="23" t="s">
        <v>3607</v>
      </c>
      <c r="T573" s="23" t="s">
        <v>3608</v>
      </c>
    </row>
    <row r="574" spans="1:20" x14ac:dyDescent="0.2">
      <c r="A574" s="23" t="s">
        <v>92</v>
      </c>
      <c r="C574" s="23" t="s">
        <v>3609</v>
      </c>
      <c r="D574" s="23" t="s">
        <v>3610</v>
      </c>
      <c r="E574" s="23" t="s">
        <v>3611</v>
      </c>
      <c r="G574" s="23" t="s">
        <v>3612</v>
      </c>
      <c r="K574" s="23" t="s">
        <v>3613</v>
      </c>
      <c r="L574" s="23" t="s">
        <v>3614</v>
      </c>
      <c r="O574" s="23" t="s">
        <v>11792</v>
      </c>
      <c r="P574" s="23" t="s">
        <v>11793</v>
      </c>
      <c r="Q574" s="23" t="s">
        <v>11794</v>
      </c>
      <c r="R574" s="23" t="s">
        <v>11795</v>
      </c>
      <c r="S574" s="23" t="s">
        <v>11796</v>
      </c>
      <c r="T574" s="23" t="s">
        <v>11797</v>
      </c>
    </row>
    <row r="575" spans="1:20" x14ac:dyDescent="0.2">
      <c r="A575" s="23" t="s">
        <v>92</v>
      </c>
      <c r="C575" s="23" t="s">
        <v>3609</v>
      </c>
      <c r="D575" s="23" t="s">
        <v>3610</v>
      </c>
      <c r="E575" s="23" t="s">
        <v>3611</v>
      </c>
      <c r="G575" s="23" t="s">
        <v>3612</v>
      </c>
      <c r="K575" s="23" t="s">
        <v>3613</v>
      </c>
      <c r="L575" s="23" t="s">
        <v>3614</v>
      </c>
    </row>
    <row r="576" spans="1:20" x14ac:dyDescent="0.2">
      <c r="A576" s="23" t="s">
        <v>92</v>
      </c>
      <c r="C576" s="23" t="s">
        <v>3615</v>
      </c>
      <c r="D576" s="23" t="s">
        <v>3616</v>
      </c>
      <c r="E576" s="23" t="s">
        <v>3617</v>
      </c>
      <c r="G576" s="23" t="s">
        <v>3618</v>
      </c>
      <c r="K576" s="23" t="s">
        <v>3619</v>
      </c>
      <c r="L576" s="23" t="s">
        <v>3620</v>
      </c>
      <c r="M576" s="23" t="s">
        <v>3621</v>
      </c>
      <c r="N576" s="23" t="s">
        <v>3622</v>
      </c>
      <c r="T576" s="23" t="s">
        <v>3623</v>
      </c>
    </row>
    <row r="577" spans="1:20" x14ac:dyDescent="0.2">
      <c r="A577" s="23" t="s">
        <v>92</v>
      </c>
      <c r="C577" s="23" t="s">
        <v>3267</v>
      </c>
      <c r="D577" s="23" t="s">
        <v>3268</v>
      </c>
      <c r="E577" s="23" t="s">
        <v>3269</v>
      </c>
      <c r="G577" s="23" t="s">
        <v>3270</v>
      </c>
    </row>
    <row r="578" spans="1:20" x14ac:dyDescent="0.2">
      <c r="A578" s="23" t="s">
        <v>92</v>
      </c>
      <c r="C578" s="23" t="s">
        <v>3624</v>
      </c>
      <c r="D578" s="23" t="s">
        <v>3625</v>
      </c>
      <c r="E578" s="23" t="s">
        <v>3626</v>
      </c>
      <c r="G578" s="23" t="s">
        <v>3627</v>
      </c>
      <c r="H578" s="23" t="s">
        <v>3628</v>
      </c>
      <c r="I578" s="23" t="s">
        <v>3629</v>
      </c>
      <c r="J578" s="23" t="s">
        <v>3630</v>
      </c>
      <c r="T578" s="23" t="s">
        <v>3631</v>
      </c>
    </row>
    <row r="579" spans="1:20" x14ac:dyDescent="0.2">
      <c r="A579" s="23" t="s">
        <v>92</v>
      </c>
      <c r="C579" s="23" t="s">
        <v>3632</v>
      </c>
      <c r="D579" s="23" t="s">
        <v>3633</v>
      </c>
      <c r="E579" s="23" t="s">
        <v>3634</v>
      </c>
      <c r="G579" s="23" t="s">
        <v>3635</v>
      </c>
      <c r="H579" s="23" t="s">
        <v>380</v>
      </c>
      <c r="I579" s="23" t="s">
        <v>3636</v>
      </c>
      <c r="J579" s="23" t="s">
        <v>3637</v>
      </c>
    </row>
    <row r="580" spans="1:20" x14ac:dyDescent="0.2">
      <c r="A580" s="23" t="s">
        <v>92</v>
      </c>
      <c r="C580" s="23" t="s">
        <v>3638</v>
      </c>
      <c r="D580" s="23" t="s">
        <v>3639</v>
      </c>
      <c r="E580" s="23" t="s">
        <v>3640</v>
      </c>
      <c r="G580" s="23" t="s">
        <v>3641</v>
      </c>
      <c r="K580" s="23" t="s">
        <v>3642</v>
      </c>
      <c r="L580" s="23" t="s">
        <v>3643</v>
      </c>
      <c r="M580" s="23" t="s">
        <v>11798</v>
      </c>
      <c r="N580" s="23" t="s">
        <v>3644</v>
      </c>
    </row>
    <row r="581" spans="1:20" x14ac:dyDescent="0.2">
      <c r="A581" s="23" t="s">
        <v>92</v>
      </c>
      <c r="C581" s="23" t="s">
        <v>3645</v>
      </c>
      <c r="D581" s="23" t="s">
        <v>3646</v>
      </c>
      <c r="E581" s="23" t="s">
        <v>3647</v>
      </c>
      <c r="G581" s="23" t="s">
        <v>3648</v>
      </c>
      <c r="K581" s="23" t="s">
        <v>3649</v>
      </c>
      <c r="L581" s="23" t="s">
        <v>3650</v>
      </c>
      <c r="O581" s="23" t="s">
        <v>11799</v>
      </c>
      <c r="P581" s="23" t="s">
        <v>3651</v>
      </c>
      <c r="Q581" s="23" t="s">
        <v>3652</v>
      </c>
      <c r="R581" s="23" t="s">
        <v>3653</v>
      </c>
      <c r="S581" s="23" t="s">
        <v>3654</v>
      </c>
      <c r="T581" s="23" t="s">
        <v>3655</v>
      </c>
    </row>
    <row r="582" spans="1:20" x14ac:dyDescent="0.2">
      <c r="A582" s="23" t="s">
        <v>92</v>
      </c>
      <c r="C582" s="23" t="s">
        <v>3656</v>
      </c>
      <c r="D582" s="23" t="s">
        <v>3657</v>
      </c>
      <c r="E582" s="23" t="s">
        <v>3658</v>
      </c>
      <c r="G582" s="23" t="s">
        <v>3659</v>
      </c>
      <c r="K582" s="23" t="s">
        <v>3660</v>
      </c>
      <c r="L582" s="23" t="s">
        <v>3661</v>
      </c>
      <c r="O582" s="23" t="s">
        <v>11800</v>
      </c>
      <c r="P582" s="23" t="s">
        <v>16245</v>
      </c>
      <c r="Q582" s="23" t="s">
        <v>16250</v>
      </c>
      <c r="R582" s="23" t="s">
        <v>16255</v>
      </c>
      <c r="S582" s="23" t="s">
        <v>16260</v>
      </c>
      <c r="T582" s="23" t="s">
        <v>16265</v>
      </c>
    </row>
    <row r="583" spans="1:20" x14ac:dyDescent="0.2">
      <c r="A583" s="23" t="s">
        <v>92</v>
      </c>
      <c r="C583" s="23" t="s">
        <v>3662</v>
      </c>
      <c r="D583" s="23" t="s">
        <v>3663</v>
      </c>
      <c r="E583" s="23" t="s">
        <v>3664</v>
      </c>
      <c r="G583" s="23" t="s">
        <v>3665</v>
      </c>
      <c r="K583" s="23" t="s">
        <v>3666</v>
      </c>
      <c r="L583" s="23" t="s">
        <v>3667</v>
      </c>
      <c r="O583" s="23" t="s">
        <v>11517</v>
      </c>
      <c r="P583" s="23" t="s">
        <v>16246</v>
      </c>
      <c r="Q583" s="23" t="s">
        <v>16251</v>
      </c>
      <c r="R583" s="23" t="s">
        <v>16256</v>
      </c>
      <c r="S583" s="23" t="s">
        <v>16261</v>
      </c>
      <c r="T583" s="23" t="s">
        <v>16266</v>
      </c>
    </row>
    <row r="584" spans="1:20" x14ac:dyDescent="0.2">
      <c r="A584" s="23" t="s">
        <v>92</v>
      </c>
      <c r="C584" s="23" t="s">
        <v>3668</v>
      </c>
      <c r="D584" s="23" t="s">
        <v>3669</v>
      </c>
      <c r="E584" s="23" t="s">
        <v>3670</v>
      </c>
      <c r="G584" s="23" t="s">
        <v>3671</v>
      </c>
      <c r="K584" s="23" t="s">
        <v>3672</v>
      </c>
      <c r="L584" s="23" t="s">
        <v>3673</v>
      </c>
      <c r="O584" s="23" t="s">
        <v>11562</v>
      </c>
      <c r="P584" s="23" t="s">
        <v>16247</v>
      </c>
      <c r="Q584" s="23" t="s">
        <v>16252</v>
      </c>
      <c r="R584" s="23" t="s">
        <v>16257</v>
      </c>
      <c r="S584" s="23" t="s">
        <v>16262</v>
      </c>
      <c r="T584" s="23" t="s">
        <v>16267</v>
      </c>
    </row>
    <row r="585" spans="1:20" x14ac:dyDescent="0.2">
      <c r="A585" s="23" t="s">
        <v>92</v>
      </c>
      <c r="C585" s="23" t="s">
        <v>3674</v>
      </c>
      <c r="D585" s="23" t="s">
        <v>3675</v>
      </c>
      <c r="E585" s="23" t="s">
        <v>3676</v>
      </c>
      <c r="G585" s="23" t="s">
        <v>3677</v>
      </c>
      <c r="K585" s="23" t="s">
        <v>3678</v>
      </c>
      <c r="L585" s="23" t="s">
        <v>3679</v>
      </c>
      <c r="O585" s="23" t="s">
        <v>11801</v>
      </c>
      <c r="P585" s="23" t="s">
        <v>16248</v>
      </c>
      <c r="Q585" s="23" t="s">
        <v>16253</v>
      </c>
      <c r="R585" s="23" t="s">
        <v>16258</v>
      </c>
      <c r="S585" s="23" t="s">
        <v>16263</v>
      </c>
      <c r="T585" s="23" t="s">
        <v>16268</v>
      </c>
    </row>
    <row r="586" spans="1:20" x14ac:dyDescent="0.2">
      <c r="A586" s="23" t="s">
        <v>92</v>
      </c>
      <c r="C586" s="23" t="s">
        <v>3680</v>
      </c>
      <c r="D586" s="23" t="s">
        <v>3681</v>
      </c>
      <c r="E586" s="23" t="s">
        <v>3682</v>
      </c>
      <c r="G586" s="23" t="s">
        <v>3683</v>
      </c>
      <c r="K586" s="23" t="s">
        <v>3684</v>
      </c>
      <c r="L586" s="23" t="s">
        <v>3685</v>
      </c>
      <c r="O586" s="23" t="s">
        <v>11802</v>
      </c>
      <c r="P586" s="23" t="s">
        <v>16249</v>
      </c>
      <c r="Q586" s="23" t="s">
        <v>16254</v>
      </c>
      <c r="R586" s="23" t="s">
        <v>16259</v>
      </c>
      <c r="S586" s="23" t="s">
        <v>16264</v>
      </c>
      <c r="T586" s="23" t="s">
        <v>16269</v>
      </c>
    </row>
    <row r="587" spans="1:20" x14ac:dyDescent="0.2">
      <c r="A587" s="23" t="s">
        <v>92</v>
      </c>
      <c r="C587" s="23" t="s">
        <v>3656</v>
      </c>
      <c r="D587" s="23" t="s">
        <v>3657</v>
      </c>
      <c r="E587" s="23" t="s">
        <v>3658</v>
      </c>
      <c r="G587" s="23" t="s">
        <v>3659</v>
      </c>
      <c r="K587" s="23" t="s">
        <v>3660</v>
      </c>
      <c r="L587" s="23" t="s">
        <v>3661</v>
      </c>
    </row>
    <row r="588" spans="1:20" x14ac:dyDescent="0.2">
      <c r="A588" s="23" t="s">
        <v>92</v>
      </c>
      <c r="C588" s="23" t="s">
        <v>3686</v>
      </c>
      <c r="D588" s="23" t="s">
        <v>3687</v>
      </c>
      <c r="E588" s="23" t="s">
        <v>3688</v>
      </c>
      <c r="G588" s="23" t="s">
        <v>3689</v>
      </c>
      <c r="K588" s="23" t="s">
        <v>3690</v>
      </c>
      <c r="L588" s="23" t="s">
        <v>3691</v>
      </c>
      <c r="M588" s="23" t="s">
        <v>3692</v>
      </c>
      <c r="N588" s="23" t="s">
        <v>3693</v>
      </c>
      <c r="T588" s="23" t="s">
        <v>3694</v>
      </c>
    </row>
    <row r="589" spans="1:20" x14ac:dyDescent="0.2">
      <c r="A589" s="23" t="s">
        <v>92</v>
      </c>
      <c r="C589" s="23" t="s">
        <v>3695</v>
      </c>
      <c r="D589" s="23" t="s">
        <v>3696</v>
      </c>
      <c r="E589" s="23" t="s">
        <v>3697</v>
      </c>
      <c r="G589" s="23" t="s">
        <v>3698</v>
      </c>
      <c r="K589" s="23" t="s">
        <v>3699</v>
      </c>
      <c r="L589" s="23" t="s">
        <v>3700</v>
      </c>
      <c r="M589" s="23" t="s">
        <v>425</v>
      </c>
      <c r="N589" s="23" t="s">
        <v>3701</v>
      </c>
    </row>
    <row r="590" spans="1:20" x14ac:dyDescent="0.2">
      <c r="A590" s="23" t="s">
        <v>92</v>
      </c>
      <c r="C590" s="23" t="s">
        <v>3702</v>
      </c>
      <c r="D590" s="23" t="s">
        <v>3703</v>
      </c>
      <c r="E590" s="23" t="s">
        <v>3704</v>
      </c>
      <c r="G590" s="23" t="s">
        <v>3705</v>
      </c>
      <c r="K590" s="23" t="s">
        <v>3706</v>
      </c>
      <c r="L590" s="23" t="s">
        <v>3707</v>
      </c>
      <c r="O590" s="23" t="s">
        <v>11803</v>
      </c>
      <c r="P590" s="23" t="s">
        <v>3708</v>
      </c>
      <c r="Q590" s="23" t="s">
        <v>3709</v>
      </c>
      <c r="R590" s="23" t="s">
        <v>3710</v>
      </c>
      <c r="S590" s="23" t="s">
        <v>3711</v>
      </c>
      <c r="T590" s="23" t="s">
        <v>3712</v>
      </c>
    </row>
    <row r="591" spans="1:20" x14ac:dyDescent="0.2">
      <c r="A591" s="23" t="s">
        <v>92</v>
      </c>
      <c r="C591" s="23" t="s">
        <v>3713</v>
      </c>
      <c r="D591" s="23" t="s">
        <v>3714</v>
      </c>
      <c r="E591" s="23" t="s">
        <v>3715</v>
      </c>
      <c r="G591" s="23" t="s">
        <v>3716</v>
      </c>
      <c r="K591" s="23" t="s">
        <v>3717</v>
      </c>
      <c r="L591" s="23" t="s">
        <v>3718</v>
      </c>
      <c r="O591" s="23" t="s">
        <v>11804</v>
      </c>
      <c r="P591" s="23" t="s">
        <v>16375</v>
      </c>
      <c r="Q591" s="23" t="s">
        <v>16380</v>
      </c>
      <c r="R591" s="23" t="s">
        <v>16385</v>
      </c>
      <c r="S591" s="23" t="s">
        <v>16390</v>
      </c>
      <c r="T591" s="23" t="s">
        <v>16395</v>
      </c>
    </row>
    <row r="592" spans="1:20" x14ac:dyDescent="0.2">
      <c r="A592" s="23" t="s">
        <v>92</v>
      </c>
      <c r="C592" s="23" t="s">
        <v>3719</v>
      </c>
      <c r="D592" s="23" t="s">
        <v>3720</v>
      </c>
      <c r="E592" s="23" t="s">
        <v>3721</v>
      </c>
      <c r="G592" s="23" t="s">
        <v>3722</v>
      </c>
      <c r="K592" s="23" t="s">
        <v>3723</v>
      </c>
      <c r="L592" s="23" t="s">
        <v>3724</v>
      </c>
      <c r="O592" s="23" t="s">
        <v>11524</v>
      </c>
      <c r="P592" s="23" t="s">
        <v>16376</v>
      </c>
      <c r="Q592" s="23" t="s">
        <v>16381</v>
      </c>
      <c r="R592" s="23" t="s">
        <v>16386</v>
      </c>
      <c r="S592" s="23" t="s">
        <v>16391</v>
      </c>
      <c r="T592" s="23" t="s">
        <v>16396</v>
      </c>
    </row>
    <row r="593" spans="1:20" x14ac:dyDescent="0.2">
      <c r="A593" s="23" t="s">
        <v>92</v>
      </c>
      <c r="C593" s="23" t="s">
        <v>3725</v>
      </c>
      <c r="D593" s="23" t="s">
        <v>3726</v>
      </c>
      <c r="E593" s="23" t="s">
        <v>3727</v>
      </c>
      <c r="G593" s="23" t="s">
        <v>3728</v>
      </c>
      <c r="K593" s="23" t="s">
        <v>3729</v>
      </c>
      <c r="L593" s="23" t="s">
        <v>3730</v>
      </c>
      <c r="O593" s="23" t="s">
        <v>11567</v>
      </c>
      <c r="P593" s="23" t="s">
        <v>16377</v>
      </c>
      <c r="Q593" s="23" t="s">
        <v>16382</v>
      </c>
      <c r="R593" s="23" t="s">
        <v>16387</v>
      </c>
      <c r="S593" s="23" t="s">
        <v>16392</v>
      </c>
      <c r="T593" s="23" t="s">
        <v>16397</v>
      </c>
    </row>
    <row r="594" spans="1:20" x14ac:dyDescent="0.2">
      <c r="A594" s="23" t="s">
        <v>92</v>
      </c>
      <c r="C594" s="23" t="s">
        <v>3731</v>
      </c>
      <c r="D594" s="23" t="s">
        <v>3732</v>
      </c>
      <c r="E594" s="23" t="s">
        <v>3733</v>
      </c>
      <c r="G594" s="23" t="s">
        <v>3734</v>
      </c>
      <c r="K594" s="23" t="s">
        <v>3735</v>
      </c>
      <c r="L594" s="23" t="s">
        <v>3736</v>
      </c>
      <c r="O594" s="23" t="s">
        <v>11805</v>
      </c>
      <c r="P594" s="23" t="s">
        <v>16378</v>
      </c>
      <c r="Q594" s="23" t="s">
        <v>16383</v>
      </c>
      <c r="R594" s="23" t="s">
        <v>16388</v>
      </c>
      <c r="S594" s="23" t="s">
        <v>16393</v>
      </c>
      <c r="T594" s="23" t="s">
        <v>16398</v>
      </c>
    </row>
    <row r="595" spans="1:20" x14ac:dyDescent="0.2">
      <c r="A595" s="23" t="s">
        <v>92</v>
      </c>
      <c r="C595" s="23" t="s">
        <v>3737</v>
      </c>
      <c r="D595" s="23" t="s">
        <v>3738</v>
      </c>
      <c r="E595" s="23" t="s">
        <v>3739</v>
      </c>
      <c r="G595" s="23" t="s">
        <v>3740</v>
      </c>
      <c r="K595" s="23" t="s">
        <v>3741</v>
      </c>
      <c r="L595" s="23" t="s">
        <v>3742</v>
      </c>
      <c r="O595" s="23" t="s">
        <v>11806</v>
      </c>
      <c r="P595" s="23" t="s">
        <v>16379</v>
      </c>
      <c r="Q595" s="23" t="s">
        <v>16384</v>
      </c>
      <c r="R595" s="23" t="s">
        <v>16389</v>
      </c>
      <c r="S595" s="23" t="s">
        <v>16394</v>
      </c>
      <c r="T595" s="23" t="s">
        <v>16399</v>
      </c>
    </row>
    <row r="596" spans="1:20" x14ac:dyDescent="0.2">
      <c r="A596" s="23" t="s">
        <v>92</v>
      </c>
      <c r="C596" s="23" t="s">
        <v>3713</v>
      </c>
      <c r="D596" s="23" t="s">
        <v>3714</v>
      </c>
      <c r="E596" s="23" t="s">
        <v>3715</v>
      </c>
      <c r="G596" s="23" t="s">
        <v>3716</v>
      </c>
      <c r="K596" s="23" t="s">
        <v>3717</v>
      </c>
      <c r="L596" s="23" t="s">
        <v>3718</v>
      </c>
    </row>
    <row r="597" spans="1:20" x14ac:dyDescent="0.2">
      <c r="A597" s="23" t="s">
        <v>92</v>
      </c>
      <c r="C597" s="23" t="s">
        <v>3743</v>
      </c>
      <c r="D597" s="23" t="s">
        <v>3744</v>
      </c>
      <c r="E597" s="23" t="s">
        <v>3745</v>
      </c>
      <c r="G597" s="23" t="s">
        <v>3746</v>
      </c>
      <c r="K597" s="23" t="s">
        <v>3747</v>
      </c>
      <c r="L597" s="23" t="s">
        <v>3748</v>
      </c>
      <c r="M597" s="23" t="s">
        <v>3749</v>
      </c>
      <c r="N597" s="23" t="s">
        <v>3750</v>
      </c>
      <c r="T597" s="23" t="s">
        <v>3751</v>
      </c>
    </row>
    <row r="598" spans="1:20" x14ac:dyDescent="0.2">
      <c r="A598" s="23" t="s">
        <v>92</v>
      </c>
      <c r="C598" s="23" t="s">
        <v>3752</v>
      </c>
      <c r="D598" s="23" t="s">
        <v>3753</v>
      </c>
      <c r="E598" s="23" t="s">
        <v>3754</v>
      </c>
      <c r="G598" s="23" t="s">
        <v>3755</v>
      </c>
      <c r="K598" s="23" t="s">
        <v>3756</v>
      </c>
      <c r="L598" s="23" t="s">
        <v>3757</v>
      </c>
      <c r="M598" s="23" t="s">
        <v>466</v>
      </c>
      <c r="N598" s="23" t="s">
        <v>3758</v>
      </c>
    </row>
    <row r="599" spans="1:20" x14ac:dyDescent="0.2">
      <c r="A599" s="23" t="s">
        <v>92</v>
      </c>
      <c r="C599" s="23" t="s">
        <v>3759</v>
      </c>
      <c r="D599" s="23" t="s">
        <v>3760</v>
      </c>
      <c r="E599" s="23" t="s">
        <v>3761</v>
      </c>
      <c r="G599" s="23" t="s">
        <v>3762</v>
      </c>
      <c r="K599" s="23" t="s">
        <v>3763</v>
      </c>
      <c r="L599" s="23" t="s">
        <v>3764</v>
      </c>
      <c r="O599" s="23" t="s">
        <v>11807</v>
      </c>
      <c r="P599" s="23" t="s">
        <v>3765</v>
      </c>
      <c r="Q599" s="23" t="s">
        <v>3766</v>
      </c>
      <c r="R599" s="23" t="s">
        <v>3767</v>
      </c>
      <c r="S599" s="23" t="s">
        <v>3768</v>
      </c>
      <c r="T599" s="23" t="s">
        <v>3769</v>
      </c>
    </row>
    <row r="600" spans="1:20" x14ac:dyDescent="0.2">
      <c r="A600" s="23" t="s">
        <v>92</v>
      </c>
      <c r="C600" s="23" t="s">
        <v>3770</v>
      </c>
      <c r="D600" s="23" t="s">
        <v>3771</v>
      </c>
      <c r="E600" s="23" t="s">
        <v>3772</v>
      </c>
      <c r="G600" s="23" t="s">
        <v>3773</v>
      </c>
      <c r="K600" s="23" t="s">
        <v>3774</v>
      </c>
      <c r="L600" s="23" t="s">
        <v>3775</v>
      </c>
      <c r="O600" s="23" t="s">
        <v>11808</v>
      </c>
      <c r="P600" s="23" t="s">
        <v>16350</v>
      </c>
      <c r="Q600" s="23" t="s">
        <v>16355</v>
      </c>
      <c r="R600" s="23" t="s">
        <v>16360</v>
      </c>
      <c r="S600" s="23" t="s">
        <v>16365</v>
      </c>
      <c r="T600" s="23" t="s">
        <v>16370</v>
      </c>
    </row>
    <row r="601" spans="1:20" x14ac:dyDescent="0.2">
      <c r="A601" s="23" t="s">
        <v>92</v>
      </c>
      <c r="C601" s="23" t="s">
        <v>3776</v>
      </c>
      <c r="D601" s="23" t="s">
        <v>3777</v>
      </c>
      <c r="E601" s="23" t="s">
        <v>3778</v>
      </c>
      <c r="G601" s="23" t="s">
        <v>3779</v>
      </c>
      <c r="K601" s="23" t="s">
        <v>3780</v>
      </c>
      <c r="L601" s="23" t="s">
        <v>3781</v>
      </c>
      <c r="O601" s="23" t="s">
        <v>11531</v>
      </c>
      <c r="P601" s="23" t="s">
        <v>16351</v>
      </c>
      <c r="Q601" s="23" t="s">
        <v>16356</v>
      </c>
      <c r="R601" s="23" t="s">
        <v>16361</v>
      </c>
      <c r="S601" s="23" t="s">
        <v>16366</v>
      </c>
      <c r="T601" s="23" t="s">
        <v>16371</v>
      </c>
    </row>
    <row r="602" spans="1:20" x14ac:dyDescent="0.2">
      <c r="A602" s="23" t="s">
        <v>92</v>
      </c>
      <c r="C602" s="23" t="s">
        <v>3782</v>
      </c>
      <c r="D602" s="23" t="s">
        <v>3783</v>
      </c>
      <c r="E602" s="23" t="s">
        <v>3784</v>
      </c>
      <c r="G602" s="23" t="s">
        <v>3785</v>
      </c>
      <c r="K602" s="23" t="s">
        <v>3786</v>
      </c>
      <c r="L602" s="23" t="s">
        <v>3787</v>
      </c>
      <c r="O602" s="23" t="s">
        <v>11573</v>
      </c>
      <c r="P602" s="23" t="s">
        <v>16352</v>
      </c>
      <c r="Q602" s="23" t="s">
        <v>16357</v>
      </c>
      <c r="R602" s="23" t="s">
        <v>16362</v>
      </c>
      <c r="S602" s="23" t="s">
        <v>16367</v>
      </c>
      <c r="T602" s="23" t="s">
        <v>16372</v>
      </c>
    </row>
    <row r="603" spans="1:20" x14ac:dyDescent="0.2">
      <c r="A603" s="23" t="s">
        <v>92</v>
      </c>
      <c r="C603" s="23" t="s">
        <v>3788</v>
      </c>
      <c r="D603" s="23" t="s">
        <v>3789</v>
      </c>
      <c r="E603" s="23" t="s">
        <v>3790</v>
      </c>
      <c r="G603" s="23" t="s">
        <v>3791</v>
      </c>
      <c r="K603" s="23" t="s">
        <v>3792</v>
      </c>
      <c r="L603" s="23" t="s">
        <v>3793</v>
      </c>
      <c r="O603" s="23" t="s">
        <v>11809</v>
      </c>
      <c r="P603" s="23" t="s">
        <v>16353</v>
      </c>
      <c r="Q603" s="23" t="s">
        <v>16358</v>
      </c>
      <c r="R603" s="23" t="s">
        <v>16363</v>
      </c>
      <c r="S603" s="23" t="s">
        <v>16368</v>
      </c>
      <c r="T603" s="23" t="s">
        <v>16373</v>
      </c>
    </row>
    <row r="604" spans="1:20" x14ac:dyDescent="0.2">
      <c r="A604" s="23" t="s">
        <v>92</v>
      </c>
      <c r="C604" s="23" t="s">
        <v>3794</v>
      </c>
      <c r="D604" s="23" t="s">
        <v>3795</v>
      </c>
      <c r="E604" s="23" t="s">
        <v>3796</v>
      </c>
      <c r="G604" s="23" t="s">
        <v>3797</v>
      </c>
      <c r="K604" s="23" t="s">
        <v>3798</v>
      </c>
      <c r="L604" s="23" t="s">
        <v>3799</v>
      </c>
      <c r="O604" s="23" t="s">
        <v>11810</v>
      </c>
      <c r="P604" s="23" t="s">
        <v>16354</v>
      </c>
      <c r="Q604" s="23" t="s">
        <v>16359</v>
      </c>
      <c r="R604" s="23" t="s">
        <v>16364</v>
      </c>
      <c r="S604" s="23" t="s">
        <v>16369</v>
      </c>
      <c r="T604" s="23" t="s">
        <v>16374</v>
      </c>
    </row>
    <row r="605" spans="1:20" x14ac:dyDescent="0.2">
      <c r="A605" s="23" t="s">
        <v>92</v>
      </c>
      <c r="C605" s="23" t="s">
        <v>3770</v>
      </c>
      <c r="D605" s="23" t="s">
        <v>3771</v>
      </c>
      <c r="E605" s="23" t="s">
        <v>3772</v>
      </c>
      <c r="G605" s="23" t="s">
        <v>3773</v>
      </c>
      <c r="K605" s="23" t="s">
        <v>3774</v>
      </c>
      <c r="L605" s="23" t="s">
        <v>3775</v>
      </c>
    </row>
    <row r="606" spans="1:20" x14ac:dyDescent="0.2">
      <c r="A606" s="23" t="s">
        <v>92</v>
      </c>
      <c r="C606" s="23" t="s">
        <v>3800</v>
      </c>
      <c r="D606" s="23" t="s">
        <v>3801</v>
      </c>
      <c r="E606" s="23" t="s">
        <v>3802</v>
      </c>
      <c r="G606" s="23" t="s">
        <v>3803</v>
      </c>
      <c r="K606" s="23" t="s">
        <v>3804</v>
      </c>
      <c r="L606" s="23" t="s">
        <v>3805</v>
      </c>
      <c r="M606" s="23" t="s">
        <v>3806</v>
      </c>
      <c r="N606" s="23" t="s">
        <v>3807</v>
      </c>
      <c r="T606" s="23" t="s">
        <v>3808</v>
      </c>
    </row>
    <row r="607" spans="1:20" x14ac:dyDescent="0.2">
      <c r="A607" s="23" t="s">
        <v>92</v>
      </c>
      <c r="C607" s="23" t="s">
        <v>3809</v>
      </c>
      <c r="D607" s="23" t="s">
        <v>3810</v>
      </c>
      <c r="E607" s="23" t="s">
        <v>3811</v>
      </c>
      <c r="G607" s="23" t="s">
        <v>3812</v>
      </c>
      <c r="K607" s="23" t="s">
        <v>3813</v>
      </c>
      <c r="L607" s="23" t="s">
        <v>3814</v>
      </c>
      <c r="M607" s="23" t="s">
        <v>508</v>
      </c>
      <c r="N607" s="23" t="s">
        <v>3815</v>
      </c>
    </row>
    <row r="608" spans="1:20" x14ac:dyDescent="0.2">
      <c r="A608" s="23" t="s">
        <v>92</v>
      </c>
      <c r="C608" s="23" t="s">
        <v>3816</v>
      </c>
      <c r="D608" s="23" t="s">
        <v>3817</v>
      </c>
      <c r="E608" s="23" t="s">
        <v>3818</v>
      </c>
      <c r="G608" s="23" t="s">
        <v>3819</v>
      </c>
      <c r="K608" s="23" t="s">
        <v>3820</v>
      </c>
      <c r="L608" s="23" t="s">
        <v>3821</v>
      </c>
      <c r="O608" s="23" t="s">
        <v>11811</v>
      </c>
      <c r="P608" s="23" t="s">
        <v>3822</v>
      </c>
      <c r="Q608" s="23" t="s">
        <v>3823</v>
      </c>
      <c r="R608" s="23" t="s">
        <v>3824</v>
      </c>
      <c r="S608" s="23" t="s">
        <v>3825</v>
      </c>
      <c r="T608" s="23" t="s">
        <v>3826</v>
      </c>
    </row>
    <row r="609" spans="1:20" x14ac:dyDescent="0.2">
      <c r="A609" s="23" t="s">
        <v>92</v>
      </c>
      <c r="C609" s="23" t="s">
        <v>3827</v>
      </c>
      <c r="D609" s="23" t="s">
        <v>3828</v>
      </c>
      <c r="E609" s="23" t="s">
        <v>3829</v>
      </c>
      <c r="G609" s="23" t="s">
        <v>3830</v>
      </c>
      <c r="K609" s="23" t="s">
        <v>3831</v>
      </c>
      <c r="L609" s="23" t="s">
        <v>3832</v>
      </c>
      <c r="O609" s="23" t="s">
        <v>11812</v>
      </c>
      <c r="P609" s="23" t="s">
        <v>16325</v>
      </c>
      <c r="Q609" s="23" t="s">
        <v>16330</v>
      </c>
      <c r="R609" s="23" t="s">
        <v>16335</v>
      </c>
      <c r="S609" s="23" t="s">
        <v>16340</v>
      </c>
      <c r="T609" s="23" t="s">
        <v>16345</v>
      </c>
    </row>
    <row r="610" spans="1:20" x14ac:dyDescent="0.2">
      <c r="A610" s="23" t="s">
        <v>92</v>
      </c>
      <c r="C610" s="23" t="s">
        <v>3833</v>
      </c>
      <c r="D610" s="23" t="s">
        <v>3834</v>
      </c>
      <c r="E610" s="23" t="s">
        <v>3835</v>
      </c>
      <c r="G610" s="23" t="s">
        <v>3836</v>
      </c>
      <c r="K610" s="23" t="s">
        <v>3837</v>
      </c>
      <c r="L610" s="23" t="s">
        <v>3838</v>
      </c>
      <c r="O610" s="23" t="s">
        <v>11538</v>
      </c>
      <c r="P610" s="23" t="s">
        <v>16326</v>
      </c>
      <c r="Q610" s="23" t="s">
        <v>16331</v>
      </c>
      <c r="R610" s="23" t="s">
        <v>16336</v>
      </c>
      <c r="S610" s="23" t="s">
        <v>16341</v>
      </c>
      <c r="T610" s="23" t="s">
        <v>16346</v>
      </c>
    </row>
    <row r="611" spans="1:20" x14ac:dyDescent="0.2">
      <c r="A611" s="23" t="s">
        <v>92</v>
      </c>
      <c r="C611" s="23" t="s">
        <v>3839</v>
      </c>
      <c r="D611" s="23" t="s">
        <v>3840</v>
      </c>
      <c r="E611" s="23" t="s">
        <v>3841</v>
      </c>
      <c r="G611" s="23" t="s">
        <v>3842</v>
      </c>
      <c r="K611" s="23" t="s">
        <v>3843</v>
      </c>
      <c r="L611" s="23" t="s">
        <v>3844</v>
      </c>
      <c r="O611" s="23" t="s">
        <v>11578</v>
      </c>
      <c r="P611" s="23" t="s">
        <v>16327</v>
      </c>
      <c r="Q611" s="23" t="s">
        <v>16332</v>
      </c>
      <c r="R611" s="23" t="s">
        <v>16337</v>
      </c>
      <c r="S611" s="23" t="s">
        <v>16342</v>
      </c>
      <c r="T611" s="23" t="s">
        <v>16347</v>
      </c>
    </row>
    <row r="612" spans="1:20" x14ac:dyDescent="0.2">
      <c r="A612" s="23" t="s">
        <v>92</v>
      </c>
      <c r="C612" s="23" t="s">
        <v>3845</v>
      </c>
      <c r="D612" s="23" t="s">
        <v>3846</v>
      </c>
      <c r="E612" s="23" t="s">
        <v>3847</v>
      </c>
      <c r="G612" s="23" t="s">
        <v>3848</v>
      </c>
      <c r="K612" s="23" t="s">
        <v>3849</v>
      </c>
      <c r="L612" s="23" t="s">
        <v>3850</v>
      </c>
      <c r="O612" s="23" t="s">
        <v>11813</v>
      </c>
      <c r="P612" s="23" t="s">
        <v>16328</v>
      </c>
      <c r="Q612" s="23" t="s">
        <v>16333</v>
      </c>
      <c r="R612" s="23" t="s">
        <v>16338</v>
      </c>
      <c r="S612" s="23" t="s">
        <v>16343</v>
      </c>
      <c r="T612" s="23" t="s">
        <v>16348</v>
      </c>
    </row>
    <row r="613" spans="1:20" x14ac:dyDescent="0.2">
      <c r="A613" s="23" t="s">
        <v>92</v>
      </c>
      <c r="C613" s="23" t="s">
        <v>3851</v>
      </c>
      <c r="D613" s="23" t="s">
        <v>3852</v>
      </c>
      <c r="E613" s="23" t="s">
        <v>3853</v>
      </c>
      <c r="G613" s="23" t="s">
        <v>3854</v>
      </c>
      <c r="K613" s="23" t="s">
        <v>3855</v>
      </c>
      <c r="L613" s="23" t="s">
        <v>3856</v>
      </c>
      <c r="O613" s="23" t="s">
        <v>11814</v>
      </c>
      <c r="P613" s="23" t="s">
        <v>16329</v>
      </c>
      <c r="Q613" s="23" t="s">
        <v>16334</v>
      </c>
      <c r="R613" s="23" t="s">
        <v>16339</v>
      </c>
      <c r="S613" s="23" t="s">
        <v>16344</v>
      </c>
      <c r="T613" s="23" t="s">
        <v>16349</v>
      </c>
    </row>
    <row r="614" spans="1:20" x14ac:dyDescent="0.2">
      <c r="A614" s="23" t="s">
        <v>92</v>
      </c>
      <c r="C614" s="23" t="s">
        <v>3827</v>
      </c>
      <c r="D614" s="23" t="s">
        <v>3828</v>
      </c>
      <c r="E614" s="23" t="s">
        <v>3829</v>
      </c>
      <c r="G614" s="23" t="s">
        <v>3830</v>
      </c>
      <c r="K614" s="23" t="s">
        <v>3831</v>
      </c>
      <c r="L614" s="23" t="s">
        <v>3832</v>
      </c>
    </row>
    <row r="615" spans="1:20" x14ac:dyDescent="0.2">
      <c r="A615" s="23" t="s">
        <v>92</v>
      </c>
      <c r="C615" s="23" t="s">
        <v>3857</v>
      </c>
      <c r="D615" s="23" t="s">
        <v>3858</v>
      </c>
      <c r="E615" s="23" t="s">
        <v>3859</v>
      </c>
      <c r="G615" s="23" t="s">
        <v>3860</v>
      </c>
      <c r="K615" s="23" t="s">
        <v>3861</v>
      </c>
      <c r="L615" s="23" t="s">
        <v>3862</v>
      </c>
      <c r="M615" s="23" t="s">
        <v>3863</v>
      </c>
      <c r="N615" s="23" t="s">
        <v>3864</v>
      </c>
      <c r="T615" s="23" t="s">
        <v>3865</v>
      </c>
    </row>
    <row r="616" spans="1:20" x14ac:dyDescent="0.2">
      <c r="A616" s="23" t="s">
        <v>92</v>
      </c>
      <c r="C616" s="23" t="s">
        <v>3866</v>
      </c>
      <c r="D616" s="23" t="s">
        <v>3867</v>
      </c>
      <c r="E616" s="23" t="s">
        <v>3868</v>
      </c>
      <c r="G616" s="23" t="s">
        <v>3869</v>
      </c>
      <c r="K616" s="23" t="s">
        <v>3870</v>
      </c>
      <c r="L616" s="23" t="s">
        <v>3871</v>
      </c>
      <c r="M616" s="23" t="s">
        <v>550</v>
      </c>
      <c r="N616" s="23" t="s">
        <v>3872</v>
      </c>
    </row>
    <row r="617" spans="1:20" x14ac:dyDescent="0.2">
      <c r="A617" s="23" t="s">
        <v>92</v>
      </c>
      <c r="C617" s="23" t="s">
        <v>3873</v>
      </c>
      <c r="D617" s="23" t="s">
        <v>3874</v>
      </c>
      <c r="E617" s="23" t="s">
        <v>3875</v>
      </c>
      <c r="G617" s="23" t="s">
        <v>3876</v>
      </c>
      <c r="K617" s="23" t="s">
        <v>3877</v>
      </c>
      <c r="L617" s="23" t="s">
        <v>3878</v>
      </c>
      <c r="O617" s="23" t="s">
        <v>11815</v>
      </c>
      <c r="P617" s="23" t="s">
        <v>3879</v>
      </c>
      <c r="Q617" s="23" t="s">
        <v>3880</v>
      </c>
      <c r="R617" s="23" t="s">
        <v>3881</v>
      </c>
      <c r="S617" s="23" t="s">
        <v>3882</v>
      </c>
      <c r="T617" s="23" t="s">
        <v>3883</v>
      </c>
    </row>
    <row r="618" spans="1:20" x14ac:dyDescent="0.2">
      <c r="A618" s="23" t="s">
        <v>92</v>
      </c>
      <c r="C618" s="23" t="s">
        <v>3884</v>
      </c>
      <c r="D618" s="23" t="s">
        <v>3885</v>
      </c>
      <c r="E618" s="23" t="s">
        <v>3886</v>
      </c>
      <c r="G618" s="23" t="s">
        <v>3887</v>
      </c>
      <c r="K618" s="23" t="s">
        <v>3888</v>
      </c>
      <c r="L618" s="23" t="s">
        <v>3889</v>
      </c>
      <c r="O618" s="23" t="s">
        <v>11816</v>
      </c>
      <c r="P618" s="23" t="s">
        <v>16295</v>
      </c>
      <c r="Q618" s="23" t="s">
        <v>16301</v>
      </c>
      <c r="R618" s="23" t="s">
        <v>16307</v>
      </c>
      <c r="S618" s="23" t="s">
        <v>16313</v>
      </c>
      <c r="T618" s="23" t="s">
        <v>16319</v>
      </c>
    </row>
    <row r="619" spans="1:20" x14ac:dyDescent="0.2">
      <c r="A619" s="23" t="s">
        <v>92</v>
      </c>
      <c r="C619" s="23" t="s">
        <v>3890</v>
      </c>
      <c r="D619" s="23" t="s">
        <v>3891</v>
      </c>
      <c r="E619" s="23" t="s">
        <v>3892</v>
      </c>
      <c r="G619" s="23" t="s">
        <v>3893</v>
      </c>
      <c r="K619" s="23" t="s">
        <v>3894</v>
      </c>
      <c r="L619" s="23" t="s">
        <v>3895</v>
      </c>
      <c r="O619" s="23" t="s">
        <v>11546</v>
      </c>
      <c r="P619" s="23" t="s">
        <v>16296</v>
      </c>
      <c r="Q619" s="23" t="s">
        <v>16302</v>
      </c>
      <c r="R619" s="23" t="s">
        <v>16308</v>
      </c>
      <c r="S619" s="23" t="s">
        <v>16314</v>
      </c>
      <c r="T619" s="23" t="s">
        <v>16320</v>
      </c>
    </row>
    <row r="620" spans="1:20" x14ac:dyDescent="0.2">
      <c r="A620" s="23" t="s">
        <v>92</v>
      </c>
      <c r="C620" s="23" t="s">
        <v>3896</v>
      </c>
      <c r="D620" s="23" t="s">
        <v>3897</v>
      </c>
      <c r="E620" s="23" t="s">
        <v>3898</v>
      </c>
      <c r="G620" s="23" t="s">
        <v>3899</v>
      </c>
      <c r="K620" s="23" t="s">
        <v>3900</v>
      </c>
      <c r="L620" s="23" t="s">
        <v>3901</v>
      </c>
      <c r="O620" s="23" t="s">
        <v>11583</v>
      </c>
      <c r="P620" s="23" t="s">
        <v>16297</v>
      </c>
      <c r="Q620" s="23" t="s">
        <v>16303</v>
      </c>
      <c r="R620" s="23" t="s">
        <v>16309</v>
      </c>
      <c r="S620" s="23" t="s">
        <v>16315</v>
      </c>
      <c r="T620" s="23" t="s">
        <v>16321</v>
      </c>
    </row>
    <row r="621" spans="1:20" x14ac:dyDescent="0.2">
      <c r="A621" s="23" t="s">
        <v>92</v>
      </c>
      <c r="C621" s="23" t="s">
        <v>3902</v>
      </c>
      <c r="D621" s="23" t="s">
        <v>3903</v>
      </c>
      <c r="E621" s="23" t="s">
        <v>3904</v>
      </c>
      <c r="G621" s="23" t="s">
        <v>3905</v>
      </c>
      <c r="K621" s="23" t="s">
        <v>3906</v>
      </c>
      <c r="L621" s="23" t="s">
        <v>3907</v>
      </c>
      <c r="O621" s="23" t="s">
        <v>11817</v>
      </c>
      <c r="P621" s="23" t="s">
        <v>16298</v>
      </c>
      <c r="Q621" s="23" t="s">
        <v>16304</v>
      </c>
      <c r="R621" s="23" t="s">
        <v>16310</v>
      </c>
      <c r="S621" s="23" t="s">
        <v>16316</v>
      </c>
      <c r="T621" s="23" t="s">
        <v>16322</v>
      </c>
    </row>
    <row r="622" spans="1:20" x14ac:dyDescent="0.2">
      <c r="A622" s="23" t="s">
        <v>92</v>
      </c>
      <c r="C622" s="23" t="s">
        <v>3908</v>
      </c>
      <c r="D622" s="23" t="s">
        <v>3909</v>
      </c>
      <c r="E622" s="23" t="s">
        <v>3910</v>
      </c>
      <c r="G622" s="23" t="s">
        <v>3911</v>
      </c>
      <c r="K622" s="23" t="s">
        <v>3912</v>
      </c>
      <c r="L622" s="23" t="s">
        <v>3913</v>
      </c>
      <c r="O622" s="23" t="s">
        <v>11818</v>
      </c>
      <c r="P622" s="23" t="s">
        <v>16299</v>
      </c>
      <c r="Q622" s="23" t="s">
        <v>16305</v>
      </c>
      <c r="R622" s="23" t="s">
        <v>16311</v>
      </c>
      <c r="S622" s="23" t="s">
        <v>16317</v>
      </c>
      <c r="T622" s="23" t="s">
        <v>16323</v>
      </c>
    </row>
    <row r="623" spans="1:20" x14ac:dyDescent="0.2">
      <c r="A623" s="23" t="s">
        <v>92</v>
      </c>
      <c r="C623" s="23" t="s">
        <v>3914</v>
      </c>
      <c r="D623" s="23" t="s">
        <v>3915</v>
      </c>
      <c r="E623" s="23" t="s">
        <v>3916</v>
      </c>
      <c r="G623" s="23" t="s">
        <v>3917</v>
      </c>
      <c r="K623" s="23" t="s">
        <v>3918</v>
      </c>
      <c r="L623" s="23" t="s">
        <v>3919</v>
      </c>
      <c r="O623" s="23" t="s">
        <v>11819</v>
      </c>
      <c r="P623" s="23" t="s">
        <v>16300</v>
      </c>
      <c r="Q623" s="23" t="s">
        <v>16306</v>
      </c>
      <c r="R623" s="23" t="s">
        <v>16312</v>
      </c>
      <c r="S623" s="23" t="s">
        <v>16318</v>
      </c>
      <c r="T623" s="23" t="s">
        <v>16324</v>
      </c>
    </row>
    <row r="624" spans="1:20" x14ac:dyDescent="0.2">
      <c r="A624" s="23" t="s">
        <v>92</v>
      </c>
      <c r="C624" s="23" t="s">
        <v>3884</v>
      </c>
      <c r="D624" s="23" t="s">
        <v>3885</v>
      </c>
      <c r="E624" s="23" t="s">
        <v>3886</v>
      </c>
      <c r="G624" s="23" t="s">
        <v>3887</v>
      </c>
      <c r="K624" s="23" t="s">
        <v>3888</v>
      </c>
      <c r="L624" s="23" t="s">
        <v>3889</v>
      </c>
    </row>
    <row r="625" spans="1:20" x14ac:dyDescent="0.2">
      <c r="A625" s="23" t="s">
        <v>92</v>
      </c>
      <c r="C625" s="23" t="s">
        <v>3920</v>
      </c>
      <c r="D625" s="23" t="s">
        <v>3921</v>
      </c>
      <c r="E625" s="23" t="s">
        <v>3922</v>
      </c>
      <c r="G625" s="23" t="s">
        <v>3923</v>
      </c>
      <c r="K625" s="23" t="s">
        <v>3924</v>
      </c>
      <c r="L625" s="23" t="s">
        <v>3925</v>
      </c>
      <c r="M625" s="23" t="s">
        <v>3926</v>
      </c>
      <c r="N625" s="23" t="s">
        <v>3927</v>
      </c>
      <c r="T625" s="23" t="s">
        <v>3928</v>
      </c>
    </row>
    <row r="626" spans="1:20" x14ac:dyDescent="0.2">
      <c r="A626" s="23" t="s">
        <v>92</v>
      </c>
      <c r="C626" s="23" t="s">
        <v>3929</v>
      </c>
      <c r="D626" s="23" t="s">
        <v>3930</v>
      </c>
      <c r="E626" s="23" t="s">
        <v>3931</v>
      </c>
      <c r="G626" s="23" t="s">
        <v>3932</v>
      </c>
      <c r="K626" s="23" t="s">
        <v>3933</v>
      </c>
      <c r="L626" s="23" t="s">
        <v>3934</v>
      </c>
      <c r="M626" s="23" t="s">
        <v>597</v>
      </c>
      <c r="N626" s="23" t="s">
        <v>3935</v>
      </c>
    </row>
    <row r="627" spans="1:20" x14ac:dyDescent="0.2">
      <c r="A627" s="23" t="s">
        <v>92</v>
      </c>
      <c r="C627" s="23" t="s">
        <v>3936</v>
      </c>
      <c r="D627" s="23" t="s">
        <v>3937</v>
      </c>
      <c r="E627" s="23" t="s">
        <v>3938</v>
      </c>
      <c r="G627" s="23" t="s">
        <v>3939</v>
      </c>
      <c r="K627" s="23" t="s">
        <v>3940</v>
      </c>
      <c r="L627" s="23" t="s">
        <v>3941</v>
      </c>
      <c r="O627" s="23" t="s">
        <v>11820</v>
      </c>
      <c r="P627" s="23" t="s">
        <v>3942</v>
      </c>
      <c r="Q627" s="23" t="s">
        <v>3943</v>
      </c>
      <c r="R627" s="23" t="s">
        <v>3944</v>
      </c>
      <c r="S627" s="23" t="s">
        <v>3945</v>
      </c>
      <c r="T627" s="23" t="s">
        <v>3946</v>
      </c>
    </row>
    <row r="628" spans="1:20" x14ac:dyDescent="0.2">
      <c r="A628" s="23" t="s">
        <v>92</v>
      </c>
      <c r="C628" s="23" t="s">
        <v>3947</v>
      </c>
      <c r="D628" s="23" t="s">
        <v>3948</v>
      </c>
      <c r="E628" s="23" t="s">
        <v>3949</v>
      </c>
      <c r="G628" s="23" t="s">
        <v>3950</v>
      </c>
      <c r="K628" s="23" t="s">
        <v>3951</v>
      </c>
      <c r="L628" s="23" t="s">
        <v>3952</v>
      </c>
      <c r="O628" s="23" t="s">
        <v>11821</v>
      </c>
      <c r="P628" s="23" t="s">
        <v>16270</v>
      </c>
      <c r="Q628" s="23" t="s">
        <v>16275</v>
      </c>
      <c r="R628" s="23" t="s">
        <v>16280</v>
      </c>
      <c r="S628" s="23" t="s">
        <v>16285</v>
      </c>
      <c r="T628" s="23" t="s">
        <v>16290</v>
      </c>
    </row>
    <row r="629" spans="1:20" x14ac:dyDescent="0.2">
      <c r="A629" s="23" t="s">
        <v>92</v>
      </c>
      <c r="C629" s="23" t="s">
        <v>3953</v>
      </c>
      <c r="D629" s="23" t="s">
        <v>3954</v>
      </c>
      <c r="E629" s="23" t="s">
        <v>3955</v>
      </c>
      <c r="G629" s="23" t="s">
        <v>3956</v>
      </c>
      <c r="K629" s="23" t="s">
        <v>3957</v>
      </c>
      <c r="L629" s="23" t="s">
        <v>3958</v>
      </c>
      <c r="O629" s="23" t="s">
        <v>11554</v>
      </c>
      <c r="P629" s="23" t="s">
        <v>16271</v>
      </c>
      <c r="Q629" s="23" t="s">
        <v>16276</v>
      </c>
      <c r="R629" s="23" t="s">
        <v>16281</v>
      </c>
      <c r="S629" s="23" t="s">
        <v>16286</v>
      </c>
      <c r="T629" s="23" t="s">
        <v>16291</v>
      </c>
    </row>
    <row r="630" spans="1:20" x14ac:dyDescent="0.2">
      <c r="A630" s="23" t="s">
        <v>92</v>
      </c>
      <c r="C630" s="23" t="s">
        <v>3959</v>
      </c>
      <c r="D630" s="23" t="s">
        <v>3960</v>
      </c>
      <c r="E630" s="23" t="s">
        <v>3961</v>
      </c>
      <c r="G630" s="23" t="s">
        <v>3962</v>
      </c>
      <c r="K630" s="23" t="s">
        <v>3963</v>
      </c>
      <c r="L630" s="23" t="s">
        <v>3964</v>
      </c>
      <c r="O630" s="23" t="s">
        <v>11588</v>
      </c>
      <c r="P630" s="23" t="s">
        <v>16272</v>
      </c>
      <c r="Q630" s="23" t="s">
        <v>16277</v>
      </c>
      <c r="R630" s="23" t="s">
        <v>16282</v>
      </c>
      <c r="S630" s="23" t="s">
        <v>16287</v>
      </c>
      <c r="T630" s="23" t="s">
        <v>16292</v>
      </c>
    </row>
    <row r="631" spans="1:20" x14ac:dyDescent="0.2">
      <c r="A631" s="23" t="s">
        <v>92</v>
      </c>
      <c r="C631" s="23" t="s">
        <v>3965</v>
      </c>
      <c r="D631" s="23" t="s">
        <v>3966</v>
      </c>
      <c r="E631" s="23" t="s">
        <v>3967</v>
      </c>
      <c r="G631" s="23" t="s">
        <v>3968</v>
      </c>
      <c r="K631" s="23" t="s">
        <v>3969</v>
      </c>
      <c r="L631" s="23" t="s">
        <v>3970</v>
      </c>
      <c r="O631" s="23" t="s">
        <v>11822</v>
      </c>
      <c r="P631" s="23" t="s">
        <v>16273</v>
      </c>
      <c r="Q631" s="23" t="s">
        <v>16278</v>
      </c>
      <c r="R631" s="23" t="s">
        <v>16283</v>
      </c>
      <c r="S631" s="23" t="s">
        <v>16288</v>
      </c>
      <c r="T631" s="23" t="s">
        <v>16293</v>
      </c>
    </row>
    <row r="632" spans="1:20" x14ac:dyDescent="0.2">
      <c r="A632" s="23" t="s">
        <v>92</v>
      </c>
      <c r="C632" s="23" t="s">
        <v>3971</v>
      </c>
      <c r="D632" s="23" t="s">
        <v>3972</v>
      </c>
      <c r="E632" s="23" t="s">
        <v>3973</v>
      </c>
      <c r="G632" s="23" t="s">
        <v>3974</v>
      </c>
      <c r="K632" s="23" t="s">
        <v>3975</v>
      </c>
      <c r="L632" s="23" t="s">
        <v>3976</v>
      </c>
      <c r="O632" s="23" t="s">
        <v>11823</v>
      </c>
      <c r="P632" s="23" t="s">
        <v>16274</v>
      </c>
      <c r="Q632" s="23" t="s">
        <v>16279</v>
      </c>
      <c r="R632" s="23" t="s">
        <v>16284</v>
      </c>
      <c r="S632" s="23" t="s">
        <v>16289</v>
      </c>
      <c r="T632" s="23" t="s">
        <v>16294</v>
      </c>
    </row>
    <row r="633" spans="1:20" x14ac:dyDescent="0.2">
      <c r="A633" s="23" t="s">
        <v>92</v>
      </c>
      <c r="C633" s="23" t="s">
        <v>3947</v>
      </c>
      <c r="D633" s="23" t="s">
        <v>3948</v>
      </c>
      <c r="E633" s="23" t="s">
        <v>3949</v>
      </c>
      <c r="G633" s="23" t="s">
        <v>3950</v>
      </c>
      <c r="K633" s="23" t="s">
        <v>3951</v>
      </c>
      <c r="L633" s="23" t="s">
        <v>3952</v>
      </c>
    </row>
    <row r="634" spans="1:20" x14ac:dyDescent="0.2">
      <c r="A634" s="23" t="s">
        <v>92</v>
      </c>
      <c r="C634" s="23" t="s">
        <v>3977</v>
      </c>
      <c r="D634" s="23" t="s">
        <v>3978</v>
      </c>
      <c r="E634" s="23" t="s">
        <v>3979</v>
      </c>
      <c r="G634" s="23" t="s">
        <v>3980</v>
      </c>
      <c r="K634" s="23" t="s">
        <v>3981</v>
      </c>
      <c r="L634" s="23" t="s">
        <v>3982</v>
      </c>
      <c r="M634" s="23" t="s">
        <v>3983</v>
      </c>
      <c r="N634" s="23" t="s">
        <v>3984</v>
      </c>
      <c r="T634" s="23" t="s">
        <v>3985</v>
      </c>
    </row>
    <row r="635" spans="1:20" x14ac:dyDescent="0.2">
      <c r="A635" s="23" t="s">
        <v>92</v>
      </c>
      <c r="C635" s="23" t="s">
        <v>3986</v>
      </c>
      <c r="D635" s="23" t="s">
        <v>3987</v>
      </c>
      <c r="E635" s="23" t="s">
        <v>3988</v>
      </c>
      <c r="G635" s="23" t="s">
        <v>3989</v>
      </c>
      <c r="K635" s="23" t="s">
        <v>3990</v>
      </c>
      <c r="L635" s="23" t="s">
        <v>3991</v>
      </c>
      <c r="M635" s="23" t="s">
        <v>632</v>
      </c>
      <c r="N635" s="23" t="s">
        <v>3992</v>
      </c>
    </row>
    <row r="636" spans="1:20" x14ac:dyDescent="0.2">
      <c r="A636" s="23" t="s">
        <v>92</v>
      </c>
      <c r="C636" s="23" t="s">
        <v>3993</v>
      </c>
      <c r="D636" s="23" t="s">
        <v>3994</v>
      </c>
      <c r="E636" s="23" t="s">
        <v>3995</v>
      </c>
      <c r="G636" s="23" t="s">
        <v>3996</v>
      </c>
      <c r="K636" s="23" t="s">
        <v>3997</v>
      </c>
      <c r="L636" s="23" t="s">
        <v>3998</v>
      </c>
      <c r="O636" s="23" t="s">
        <v>11824</v>
      </c>
      <c r="P636" s="23" t="s">
        <v>3999</v>
      </c>
      <c r="Q636" s="23" t="s">
        <v>4000</v>
      </c>
      <c r="R636" s="23" t="s">
        <v>4001</v>
      </c>
      <c r="S636" s="23" t="s">
        <v>4002</v>
      </c>
      <c r="T636" s="23" t="s">
        <v>4003</v>
      </c>
    </row>
    <row r="637" spans="1:20" x14ac:dyDescent="0.2">
      <c r="A637" s="23" t="s">
        <v>92</v>
      </c>
      <c r="C637" s="23" t="s">
        <v>4004</v>
      </c>
      <c r="D637" s="23" t="s">
        <v>4005</v>
      </c>
      <c r="E637" s="23" t="s">
        <v>4006</v>
      </c>
      <c r="G637" s="23" t="s">
        <v>4007</v>
      </c>
      <c r="K637" s="23" t="s">
        <v>4008</v>
      </c>
      <c r="L637" s="23" t="s">
        <v>4009</v>
      </c>
      <c r="O637" s="23" t="s">
        <v>11825</v>
      </c>
      <c r="P637" s="23" t="s">
        <v>11826</v>
      </c>
      <c r="Q637" s="23" t="s">
        <v>11827</v>
      </c>
      <c r="R637" s="23" t="s">
        <v>11828</v>
      </c>
      <c r="S637" s="23" t="s">
        <v>11829</v>
      </c>
      <c r="T637" s="23" t="s">
        <v>11830</v>
      </c>
    </row>
    <row r="638" spans="1:20" x14ac:dyDescent="0.2">
      <c r="A638" s="23" t="s">
        <v>92</v>
      </c>
      <c r="C638" s="23" t="s">
        <v>4004</v>
      </c>
      <c r="D638" s="23" t="s">
        <v>4005</v>
      </c>
      <c r="E638" s="23" t="s">
        <v>4006</v>
      </c>
      <c r="G638" s="23" t="s">
        <v>4007</v>
      </c>
      <c r="K638" s="23" t="s">
        <v>4008</v>
      </c>
      <c r="L638" s="23" t="s">
        <v>4009</v>
      </c>
    </row>
    <row r="639" spans="1:20" x14ac:dyDescent="0.2">
      <c r="A639" s="23" t="s">
        <v>92</v>
      </c>
      <c r="C639" s="23" t="s">
        <v>4010</v>
      </c>
      <c r="D639" s="23" t="s">
        <v>4011</v>
      </c>
      <c r="E639" s="23" t="s">
        <v>4012</v>
      </c>
      <c r="G639" s="23" t="s">
        <v>4013</v>
      </c>
      <c r="K639" s="23" t="s">
        <v>4014</v>
      </c>
      <c r="L639" s="23" t="s">
        <v>4015</v>
      </c>
      <c r="M639" s="23" t="s">
        <v>4016</v>
      </c>
      <c r="N639" s="23" t="s">
        <v>4017</v>
      </c>
      <c r="T639" s="23" t="s">
        <v>4018</v>
      </c>
    </row>
    <row r="640" spans="1:20" x14ac:dyDescent="0.2">
      <c r="A640" s="23" t="s">
        <v>92</v>
      </c>
      <c r="C640" s="23" t="s">
        <v>4019</v>
      </c>
      <c r="D640" s="23" t="s">
        <v>4020</v>
      </c>
      <c r="E640" s="23" t="s">
        <v>4021</v>
      </c>
      <c r="G640" s="23" t="s">
        <v>4022</v>
      </c>
      <c r="K640" s="23" t="s">
        <v>4023</v>
      </c>
      <c r="L640" s="23" t="s">
        <v>4024</v>
      </c>
      <c r="M640" s="23" t="s">
        <v>662</v>
      </c>
      <c r="N640" s="23" t="s">
        <v>4025</v>
      </c>
    </row>
    <row r="641" spans="1:20" x14ac:dyDescent="0.2">
      <c r="A641" s="23" t="s">
        <v>92</v>
      </c>
      <c r="C641" s="23" t="s">
        <v>4026</v>
      </c>
      <c r="D641" s="23" t="s">
        <v>4027</v>
      </c>
      <c r="E641" s="23" t="s">
        <v>4028</v>
      </c>
      <c r="G641" s="23" t="s">
        <v>4029</v>
      </c>
      <c r="K641" s="23" t="s">
        <v>4030</v>
      </c>
      <c r="L641" s="23" t="s">
        <v>4031</v>
      </c>
      <c r="O641" s="23" t="s">
        <v>11831</v>
      </c>
      <c r="P641" s="23" t="s">
        <v>4032</v>
      </c>
      <c r="Q641" s="23" t="s">
        <v>4033</v>
      </c>
      <c r="R641" s="23" t="s">
        <v>4034</v>
      </c>
      <c r="S641" s="23" t="s">
        <v>4035</v>
      </c>
      <c r="T641" s="23" t="s">
        <v>4036</v>
      </c>
    </row>
    <row r="642" spans="1:20" x14ac:dyDescent="0.2">
      <c r="A642" s="23" t="s">
        <v>92</v>
      </c>
      <c r="C642" s="23" t="s">
        <v>4037</v>
      </c>
      <c r="D642" s="23" t="s">
        <v>4038</v>
      </c>
      <c r="E642" s="23" t="s">
        <v>4039</v>
      </c>
      <c r="G642" s="23" t="s">
        <v>4040</v>
      </c>
      <c r="K642" s="23" t="s">
        <v>4041</v>
      </c>
      <c r="L642" s="23" t="s">
        <v>4042</v>
      </c>
      <c r="O642" s="23" t="s">
        <v>11832</v>
      </c>
      <c r="P642" s="23" t="s">
        <v>11833</v>
      </c>
      <c r="Q642" s="23" t="s">
        <v>11834</v>
      </c>
      <c r="R642" s="23" t="s">
        <v>11835</v>
      </c>
      <c r="S642" s="23" t="s">
        <v>11836</v>
      </c>
      <c r="T642" s="23" t="s">
        <v>11837</v>
      </c>
    </row>
    <row r="643" spans="1:20" x14ac:dyDescent="0.2">
      <c r="A643" s="23" t="s">
        <v>92</v>
      </c>
      <c r="C643" s="23" t="s">
        <v>4037</v>
      </c>
      <c r="D643" s="23" t="s">
        <v>4038</v>
      </c>
      <c r="E643" s="23" t="s">
        <v>4039</v>
      </c>
      <c r="G643" s="23" t="s">
        <v>4040</v>
      </c>
      <c r="K643" s="23" t="s">
        <v>4041</v>
      </c>
      <c r="L643" s="23" t="s">
        <v>4042</v>
      </c>
    </row>
    <row r="644" spans="1:20" x14ac:dyDescent="0.2">
      <c r="A644" s="23" t="s">
        <v>92</v>
      </c>
      <c r="C644" s="23" t="s">
        <v>4043</v>
      </c>
      <c r="D644" s="23" t="s">
        <v>4044</v>
      </c>
      <c r="E644" s="23" t="s">
        <v>4045</v>
      </c>
      <c r="G644" s="23" t="s">
        <v>4046</v>
      </c>
      <c r="K644" s="23" t="s">
        <v>4047</v>
      </c>
      <c r="L644" s="23" t="s">
        <v>4048</v>
      </c>
      <c r="M644" s="23" t="s">
        <v>4049</v>
      </c>
      <c r="N644" s="23" t="s">
        <v>4050</v>
      </c>
      <c r="T644" s="23" t="s">
        <v>4051</v>
      </c>
    </row>
    <row r="645" spans="1:20" x14ac:dyDescent="0.2">
      <c r="A645" s="23" t="s">
        <v>92</v>
      </c>
      <c r="C645" s="23" t="s">
        <v>3695</v>
      </c>
      <c r="D645" s="23" t="s">
        <v>3696</v>
      </c>
      <c r="E645" s="23" t="s">
        <v>3697</v>
      </c>
      <c r="G645" s="23" t="s">
        <v>3698</v>
      </c>
    </row>
    <row r="646" spans="1:20" x14ac:dyDescent="0.2">
      <c r="A646" s="23" t="s">
        <v>92</v>
      </c>
      <c r="C646" s="23" t="s">
        <v>4052</v>
      </c>
      <c r="D646" s="23" t="s">
        <v>4053</v>
      </c>
      <c r="E646" s="23" t="s">
        <v>4054</v>
      </c>
      <c r="G646" s="23" t="s">
        <v>4055</v>
      </c>
      <c r="H646" s="23" t="s">
        <v>4056</v>
      </c>
      <c r="I646" s="23" t="s">
        <v>4057</v>
      </c>
      <c r="J646" s="23" t="s">
        <v>4058</v>
      </c>
      <c r="T646" s="23" t="s">
        <v>4059</v>
      </c>
    </row>
    <row r="647" spans="1:20" x14ac:dyDescent="0.2">
      <c r="A647" s="23" t="s">
        <v>92</v>
      </c>
      <c r="C647" s="23" t="s">
        <v>4060</v>
      </c>
      <c r="D647" s="23" t="s">
        <v>4061</v>
      </c>
      <c r="E647" s="23" t="s">
        <v>4062</v>
      </c>
      <c r="G647" s="23" t="s">
        <v>4063</v>
      </c>
      <c r="H647" s="23" t="s">
        <v>4064</v>
      </c>
      <c r="I647" s="23" t="s">
        <v>4065</v>
      </c>
      <c r="J647" s="23" t="s">
        <v>4066</v>
      </c>
    </row>
    <row r="648" spans="1:20" x14ac:dyDescent="0.2">
      <c r="A648" s="23" t="s">
        <v>92</v>
      </c>
      <c r="C648" s="23" t="s">
        <v>4067</v>
      </c>
      <c r="D648" s="23" t="s">
        <v>4068</v>
      </c>
      <c r="E648" s="23" t="s">
        <v>4069</v>
      </c>
      <c r="G648" s="23" t="s">
        <v>4070</v>
      </c>
      <c r="K648" s="23" t="s">
        <v>4071</v>
      </c>
      <c r="L648" s="23" t="s">
        <v>4072</v>
      </c>
      <c r="M648" s="23" t="s">
        <v>11838</v>
      </c>
      <c r="N648" s="23" t="s">
        <v>4073</v>
      </c>
    </row>
    <row r="649" spans="1:20" x14ac:dyDescent="0.2">
      <c r="A649" s="23" t="s">
        <v>92</v>
      </c>
      <c r="C649" s="23" t="s">
        <v>4074</v>
      </c>
      <c r="D649" s="23" t="s">
        <v>4075</v>
      </c>
      <c r="E649" s="23" t="s">
        <v>4076</v>
      </c>
      <c r="G649" s="23" t="s">
        <v>4077</v>
      </c>
      <c r="K649" s="23" t="s">
        <v>4078</v>
      </c>
      <c r="L649" s="23" t="s">
        <v>4079</v>
      </c>
      <c r="O649" s="23" t="s">
        <v>11839</v>
      </c>
      <c r="P649" s="23" t="s">
        <v>4080</v>
      </c>
      <c r="Q649" s="23" t="s">
        <v>4081</v>
      </c>
      <c r="R649" s="23" t="s">
        <v>4082</v>
      </c>
      <c r="S649" s="23" t="s">
        <v>4083</v>
      </c>
      <c r="T649" s="23" t="s">
        <v>4084</v>
      </c>
    </row>
    <row r="650" spans="1:20" x14ac:dyDescent="0.2">
      <c r="A650" s="23" t="s">
        <v>92</v>
      </c>
      <c r="C650" s="23" t="s">
        <v>4085</v>
      </c>
      <c r="D650" s="23" t="s">
        <v>4086</v>
      </c>
      <c r="E650" s="23" t="s">
        <v>4087</v>
      </c>
      <c r="G650" s="23" t="s">
        <v>4088</v>
      </c>
      <c r="K650" s="23" t="s">
        <v>4089</v>
      </c>
      <c r="L650" s="23" t="s">
        <v>4090</v>
      </c>
      <c r="O650" s="23" t="s">
        <v>11840</v>
      </c>
      <c r="P650" s="23" t="s">
        <v>16065</v>
      </c>
      <c r="Q650" s="23" t="s">
        <v>16071</v>
      </c>
      <c r="R650" s="23" t="s">
        <v>16077</v>
      </c>
      <c r="S650" s="23" t="s">
        <v>16083</v>
      </c>
      <c r="T650" s="23" t="s">
        <v>16089</v>
      </c>
    </row>
    <row r="651" spans="1:20" x14ac:dyDescent="0.2">
      <c r="A651" s="23" t="s">
        <v>92</v>
      </c>
      <c r="C651" s="23" t="s">
        <v>4091</v>
      </c>
      <c r="D651" s="23" t="s">
        <v>4092</v>
      </c>
      <c r="E651" s="23" t="s">
        <v>4093</v>
      </c>
      <c r="G651" s="23" t="s">
        <v>4094</v>
      </c>
      <c r="K651" s="23" t="s">
        <v>4095</v>
      </c>
      <c r="L651" s="23" t="s">
        <v>4096</v>
      </c>
      <c r="O651" s="23" t="s">
        <v>11517</v>
      </c>
      <c r="P651" s="23" t="s">
        <v>16066</v>
      </c>
      <c r="Q651" s="23" t="s">
        <v>16072</v>
      </c>
      <c r="R651" s="23" t="s">
        <v>16078</v>
      </c>
      <c r="S651" s="23" t="s">
        <v>16084</v>
      </c>
      <c r="T651" s="23" t="s">
        <v>16090</v>
      </c>
    </row>
    <row r="652" spans="1:20" x14ac:dyDescent="0.2">
      <c r="A652" s="23" t="s">
        <v>92</v>
      </c>
      <c r="C652" s="23" t="s">
        <v>4097</v>
      </c>
      <c r="D652" s="23" t="s">
        <v>4098</v>
      </c>
      <c r="E652" s="23" t="s">
        <v>4099</v>
      </c>
      <c r="G652" s="23" t="s">
        <v>4100</v>
      </c>
      <c r="K652" s="23" t="s">
        <v>4101</v>
      </c>
      <c r="L652" s="23" t="s">
        <v>4102</v>
      </c>
      <c r="O652" s="23" t="s">
        <v>11841</v>
      </c>
      <c r="P652" s="23" t="s">
        <v>16067</v>
      </c>
      <c r="Q652" s="23" t="s">
        <v>16073</v>
      </c>
      <c r="R652" s="23" t="s">
        <v>16079</v>
      </c>
      <c r="S652" s="23" t="s">
        <v>16085</v>
      </c>
      <c r="T652" s="23" t="s">
        <v>16091</v>
      </c>
    </row>
    <row r="653" spans="1:20" x14ac:dyDescent="0.2">
      <c r="A653" s="23" t="s">
        <v>92</v>
      </c>
      <c r="C653" s="23" t="s">
        <v>4103</v>
      </c>
      <c r="D653" s="23" t="s">
        <v>4104</v>
      </c>
      <c r="E653" s="23" t="s">
        <v>4105</v>
      </c>
      <c r="G653" s="23" t="s">
        <v>4106</v>
      </c>
      <c r="K653" s="23" t="s">
        <v>4107</v>
      </c>
      <c r="L653" s="23" t="s">
        <v>4108</v>
      </c>
      <c r="O653" s="23" t="s">
        <v>11562</v>
      </c>
      <c r="P653" s="23" t="s">
        <v>16068</v>
      </c>
      <c r="Q653" s="23" t="s">
        <v>16074</v>
      </c>
      <c r="R653" s="23" t="s">
        <v>16080</v>
      </c>
      <c r="S653" s="23" t="s">
        <v>16086</v>
      </c>
      <c r="T653" s="23" t="s">
        <v>16092</v>
      </c>
    </row>
    <row r="654" spans="1:20" x14ac:dyDescent="0.2">
      <c r="A654" s="23" t="s">
        <v>92</v>
      </c>
      <c r="C654" s="23" t="s">
        <v>4109</v>
      </c>
      <c r="D654" s="23" t="s">
        <v>4110</v>
      </c>
      <c r="E654" s="23" t="s">
        <v>4111</v>
      </c>
      <c r="G654" s="23" t="s">
        <v>4112</v>
      </c>
      <c r="K654" s="23" t="s">
        <v>4113</v>
      </c>
      <c r="L654" s="23" t="s">
        <v>4114</v>
      </c>
      <c r="O654" s="23" t="s">
        <v>11842</v>
      </c>
      <c r="P654" s="23" t="s">
        <v>16069</v>
      </c>
      <c r="Q654" s="23" t="s">
        <v>16075</v>
      </c>
      <c r="R654" s="23" t="s">
        <v>16081</v>
      </c>
      <c r="S654" s="23" t="s">
        <v>16087</v>
      </c>
      <c r="T654" s="23" t="s">
        <v>16093</v>
      </c>
    </row>
    <row r="655" spans="1:20" x14ac:dyDescent="0.2">
      <c r="A655" s="23" t="s">
        <v>92</v>
      </c>
      <c r="C655" s="23" t="s">
        <v>4115</v>
      </c>
      <c r="D655" s="23" t="s">
        <v>4116</v>
      </c>
      <c r="E655" s="23" t="s">
        <v>4117</v>
      </c>
      <c r="G655" s="23" t="s">
        <v>4118</v>
      </c>
      <c r="K655" s="23" t="s">
        <v>4119</v>
      </c>
      <c r="L655" s="23" t="s">
        <v>4120</v>
      </c>
      <c r="O655" s="23" t="s">
        <v>11843</v>
      </c>
      <c r="P655" s="23" t="s">
        <v>16070</v>
      </c>
      <c r="Q655" s="23" t="s">
        <v>16076</v>
      </c>
      <c r="R655" s="23" t="s">
        <v>16082</v>
      </c>
      <c r="S655" s="23" t="s">
        <v>16088</v>
      </c>
      <c r="T655" s="23" t="s">
        <v>16094</v>
      </c>
    </row>
    <row r="656" spans="1:20" x14ac:dyDescent="0.2">
      <c r="A656" s="23" t="s">
        <v>92</v>
      </c>
      <c r="C656" s="23" t="s">
        <v>4085</v>
      </c>
      <c r="D656" s="23" t="s">
        <v>4086</v>
      </c>
      <c r="E656" s="23" t="s">
        <v>4087</v>
      </c>
      <c r="G656" s="23" t="s">
        <v>4088</v>
      </c>
      <c r="K656" s="23" t="s">
        <v>4089</v>
      </c>
      <c r="L656" s="23" t="s">
        <v>4090</v>
      </c>
    </row>
    <row r="657" spans="1:20" x14ac:dyDescent="0.2">
      <c r="A657" s="23" t="s">
        <v>92</v>
      </c>
      <c r="C657" s="23" t="s">
        <v>4121</v>
      </c>
      <c r="D657" s="23" t="s">
        <v>4122</v>
      </c>
      <c r="E657" s="23" t="s">
        <v>4123</v>
      </c>
      <c r="G657" s="23" t="s">
        <v>4124</v>
      </c>
      <c r="K657" s="23" t="s">
        <v>4125</v>
      </c>
      <c r="L657" s="23" t="s">
        <v>4126</v>
      </c>
      <c r="M657" s="23" t="s">
        <v>4127</v>
      </c>
      <c r="N657" s="23" t="s">
        <v>4128</v>
      </c>
      <c r="T657" s="23" t="s">
        <v>4129</v>
      </c>
    </row>
    <row r="658" spans="1:20" x14ac:dyDescent="0.2">
      <c r="A658" s="23" t="s">
        <v>92</v>
      </c>
      <c r="C658" s="23" t="s">
        <v>4130</v>
      </c>
      <c r="D658" s="23" t="s">
        <v>4131</v>
      </c>
      <c r="E658" s="23" t="s">
        <v>4132</v>
      </c>
      <c r="G658" s="23" t="s">
        <v>4133</v>
      </c>
      <c r="K658" s="23" t="s">
        <v>4134</v>
      </c>
      <c r="L658" s="23" t="s">
        <v>4135</v>
      </c>
      <c r="M658" s="23" t="s">
        <v>4136</v>
      </c>
      <c r="N658" s="23" t="s">
        <v>4137</v>
      </c>
    </row>
    <row r="659" spans="1:20" x14ac:dyDescent="0.2">
      <c r="A659" s="23" t="s">
        <v>92</v>
      </c>
      <c r="C659" s="23" t="s">
        <v>4138</v>
      </c>
      <c r="D659" s="23" t="s">
        <v>4139</v>
      </c>
      <c r="E659" s="23" t="s">
        <v>4140</v>
      </c>
      <c r="G659" s="23" t="s">
        <v>4141</v>
      </c>
      <c r="K659" s="23" t="s">
        <v>4142</v>
      </c>
      <c r="L659" s="23" t="s">
        <v>4143</v>
      </c>
      <c r="O659" s="23" t="s">
        <v>11844</v>
      </c>
      <c r="P659" s="23" t="s">
        <v>4144</v>
      </c>
      <c r="Q659" s="23" t="s">
        <v>4145</v>
      </c>
      <c r="R659" s="23" t="s">
        <v>4146</v>
      </c>
      <c r="S659" s="23" t="s">
        <v>4147</v>
      </c>
      <c r="T659" s="23" t="s">
        <v>4148</v>
      </c>
    </row>
    <row r="660" spans="1:20" x14ac:dyDescent="0.2">
      <c r="A660" s="23" t="s">
        <v>92</v>
      </c>
      <c r="C660" s="23" t="s">
        <v>4149</v>
      </c>
      <c r="D660" s="23" t="s">
        <v>4150</v>
      </c>
      <c r="E660" s="23" t="s">
        <v>4151</v>
      </c>
      <c r="G660" s="23" t="s">
        <v>4152</v>
      </c>
      <c r="K660" s="23" t="s">
        <v>4153</v>
      </c>
      <c r="L660" s="23" t="s">
        <v>4154</v>
      </c>
      <c r="O660" s="23" t="s">
        <v>11845</v>
      </c>
      <c r="P660" s="23" t="s">
        <v>16215</v>
      </c>
      <c r="Q660" s="23" t="s">
        <v>16221</v>
      </c>
      <c r="R660" s="23" t="s">
        <v>16227</v>
      </c>
      <c r="S660" s="23" t="s">
        <v>16233</v>
      </c>
      <c r="T660" s="23" t="s">
        <v>16239</v>
      </c>
    </row>
    <row r="661" spans="1:20" x14ac:dyDescent="0.2">
      <c r="A661" s="23" t="s">
        <v>92</v>
      </c>
      <c r="C661" s="23" t="s">
        <v>4155</v>
      </c>
      <c r="D661" s="23" t="s">
        <v>4156</v>
      </c>
      <c r="E661" s="23" t="s">
        <v>4157</v>
      </c>
      <c r="G661" s="23" t="s">
        <v>4158</v>
      </c>
      <c r="K661" s="23" t="s">
        <v>4159</v>
      </c>
      <c r="L661" s="23" t="s">
        <v>4160</v>
      </c>
      <c r="O661" s="23" t="s">
        <v>11524</v>
      </c>
      <c r="P661" s="23" t="s">
        <v>16216</v>
      </c>
      <c r="Q661" s="23" t="s">
        <v>16222</v>
      </c>
      <c r="R661" s="23" t="s">
        <v>16228</v>
      </c>
      <c r="S661" s="23" t="s">
        <v>16234</v>
      </c>
      <c r="T661" s="23" t="s">
        <v>16240</v>
      </c>
    </row>
    <row r="662" spans="1:20" x14ac:dyDescent="0.2">
      <c r="A662" s="23" t="s">
        <v>92</v>
      </c>
      <c r="C662" s="23" t="s">
        <v>4161</v>
      </c>
      <c r="D662" s="23" t="s">
        <v>4162</v>
      </c>
      <c r="E662" s="23" t="s">
        <v>4163</v>
      </c>
      <c r="G662" s="23" t="s">
        <v>4164</v>
      </c>
      <c r="K662" s="23" t="s">
        <v>4165</v>
      </c>
      <c r="L662" s="23" t="s">
        <v>4166</v>
      </c>
      <c r="O662" s="23" t="s">
        <v>11846</v>
      </c>
      <c r="P662" s="23" t="s">
        <v>16217</v>
      </c>
      <c r="Q662" s="23" t="s">
        <v>16223</v>
      </c>
      <c r="R662" s="23" t="s">
        <v>16229</v>
      </c>
      <c r="S662" s="23" t="s">
        <v>16235</v>
      </c>
      <c r="T662" s="23" t="s">
        <v>16241</v>
      </c>
    </row>
    <row r="663" spans="1:20" x14ac:dyDescent="0.2">
      <c r="A663" s="23" t="s">
        <v>92</v>
      </c>
      <c r="C663" s="23" t="s">
        <v>4167</v>
      </c>
      <c r="D663" s="23" t="s">
        <v>4168</v>
      </c>
      <c r="E663" s="23" t="s">
        <v>4169</v>
      </c>
      <c r="G663" s="23" t="s">
        <v>4170</v>
      </c>
      <c r="K663" s="23" t="s">
        <v>4171</v>
      </c>
      <c r="L663" s="23" t="s">
        <v>4172</v>
      </c>
      <c r="O663" s="23" t="s">
        <v>11567</v>
      </c>
      <c r="P663" s="23" t="s">
        <v>16218</v>
      </c>
      <c r="Q663" s="23" t="s">
        <v>16224</v>
      </c>
      <c r="R663" s="23" t="s">
        <v>16230</v>
      </c>
      <c r="S663" s="23" t="s">
        <v>16236</v>
      </c>
      <c r="T663" s="23" t="s">
        <v>16242</v>
      </c>
    </row>
    <row r="664" spans="1:20" x14ac:dyDescent="0.2">
      <c r="A664" s="23" t="s">
        <v>92</v>
      </c>
      <c r="C664" s="23" t="s">
        <v>4173</v>
      </c>
      <c r="D664" s="23" t="s">
        <v>4174</v>
      </c>
      <c r="E664" s="23" t="s">
        <v>4175</v>
      </c>
      <c r="G664" s="23" t="s">
        <v>4176</v>
      </c>
      <c r="K664" s="23" t="s">
        <v>4177</v>
      </c>
      <c r="L664" s="23" t="s">
        <v>4178</v>
      </c>
      <c r="O664" s="23" t="s">
        <v>11847</v>
      </c>
      <c r="P664" s="23" t="s">
        <v>16219</v>
      </c>
      <c r="Q664" s="23" t="s">
        <v>16225</v>
      </c>
      <c r="R664" s="23" t="s">
        <v>16231</v>
      </c>
      <c r="S664" s="23" t="s">
        <v>16237</v>
      </c>
      <c r="T664" s="23" t="s">
        <v>16243</v>
      </c>
    </row>
    <row r="665" spans="1:20" x14ac:dyDescent="0.2">
      <c r="A665" s="23" t="s">
        <v>92</v>
      </c>
      <c r="C665" s="23" t="s">
        <v>4179</v>
      </c>
      <c r="D665" s="23" t="s">
        <v>4180</v>
      </c>
      <c r="E665" s="23" t="s">
        <v>4181</v>
      </c>
      <c r="G665" s="23" t="s">
        <v>4182</v>
      </c>
      <c r="K665" s="23" t="s">
        <v>4183</v>
      </c>
      <c r="L665" s="23" t="s">
        <v>4184</v>
      </c>
      <c r="O665" s="23" t="s">
        <v>11848</v>
      </c>
      <c r="P665" s="23" t="s">
        <v>16220</v>
      </c>
      <c r="Q665" s="23" t="s">
        <v>16226</v>
      </c>
      <c r="R665" s="23" t="s">
        <v>16232</v>
      </c>
      <c r="S665" s="23" t="s">
        <v>16238</v>
      </c>
      <c r="T665" s="23" t="s">
        <v>16244</v>
      </c>
    </row>
    <row r="666" spans="1:20" x14ac:dyDescent="0.2">
      <c r="A666" s="23" t="s">
        <v>92</v>
      </c>
      <c r="C666" s="23" t="s">
        <v>4149</v>
      </c>
      <c r="D666" s="23" t="s">
        <v>4150</v>
      </c>
      <c r="E666" s="23" t="s">
        <v>4151</v>
      </c>
      <c r="G666" s="23" t="s">
        <v>4152</v>
      </c>
      <c r="K666" s="23" t="s">
        <v>4153</v>
      </c>
      <c r="L666" s="23" t="s">
        <v>4154</v>
      </c>
    </row>
    <row r="667" spans="1:20" x14ac:dyDescent="0.2">
      <c r="A667" s="23" t="s">
        <v>92</v>
      </c>
      <c r="C667" s="23" t="s">
        <v>4185</v>
      </c>
      <c r="D667" s="23" t="s">
        <v>4186</v>
      </c>
      <c r="E667" s="23" t="s">
        <v>4187</v>
      </c>
      <c r="G667" s="23" t="s">
        <v>4188</v>
      </c>
      <c r="K667" s="23" t="s">
        <v>4189</v>
      </c>
      <c r="L667" s="23" t="s">
        <v>4190</v>
      </c>
      <c r="M667" s="23" t="s">
        <v>4191</v>
      </c>
      <c r="N667" s="23" t="s">
        <v>4192</v>
      </c>
      <c r="T667" s="23" t="s">
        <v>4193</v>
      </c>
    </row>
    <row r="668" spans="1:20" x14ac:dyDescent="0.2">
      <c r="A668" s="23" t="s">
        <v>92</v>
      </c>
      <c r="C668" s="23" t="s">
        <v>4194</v>
      </c>
      <c r="D668" s="23" t="s">
        <v>4195</v>
      </c>
      <c r="E668" s="23" t="s">
        <v>4196</v>
      </c>
      <c r="G668" s="23" t="s">
        <v>4197</v>
      </c>
      <c r="K668" s="23" t="s">
        <v>4198</v>
      </c>
      <c r="L668" s="23" t="s">
        <v>4199</v>
      </c>
      <c r="M668" s="23" t="s">
        <v>4200</v>
      </c>
      <c r="N668" s="23" t="s">
        <v>4201</v>
      </c>
    </row>
    <row r="669" spans="1:20" x14ac:dyDescent="0.2">
      <c r="A669" s="23" t="s">
        <v>92</v>
      </c>
      <c r="C669" s="23" t="s">
        <v>4202</v>
      </c>
      <c r="D669" s="23" t="s">
        <v>4203</v>
      </c>
      <c r="E669" s="23" t="s">
        <v>4204</v>
      </c>
      <c r="G669" s="23" t="s">
        <v>4205</v>
      </c>
      <c r="K669" s="23" t="s">
        <v>4206</v>
      </c>
      <c r="L669" s="23" t="s">
        <v>4207</v>
      </c>
      <c r="O669" s="23" t="s">
        <v>11849</v>
      </c>
      <c r="P669" s="23" t="s">
        <v>4208</v>
      </c>
      <c r="Q669" s="23" t="s">
        <v>4209</v>
      </c>
      <c r="R669" s="23" t="s">
        <v>4210</v>
      </c>
      <c r="S669" s="23" t="s">
        <v>4211</v>
      </c>
      <c r="T669" s="23" t="s">
        <v>4212</v>
      </c>
    </row>
    <row r="670" spans="1:20" x14ac:dyDescent="0.2">
      <c r="A670" s="23" t="s">
        <v>92</v>
      </c>
      <c r="C670" s="23" t="s">
        <v>4213</v>
      </c>
      <c r="D670" s="23" t="s">
        <v>4214</v>
      </c>
      <c r="E670" s="23" t="s">
        <v>4215</v>
      </c>
      <c r="G670" s="23" t="s">
        <v>4216</v>
      </c>
      <c r="K670" s="23" t="s">
        <v>4217</v>
      </c>
      <c r="L670" s="23" t="s">
        <v>4218</v>
      </c>
      <c r="O670" s="23" t="s">
        <v>11850</v>
      </c>
      <c r="P670" s="23" t="s">
        <v>16185</v>
      </c>
      <c r="Q670" s="23" t="s">
        <v>16191</v>
      </c>
      <c r="R670" s="23" t="s">
        <v>16197</v>
      </c>
      <c r="S670" s="23" t="s">
        <v>16203</v>
      </c>
      <c r="T670" s="23" t="s">
        <v>16209</v>
      </c>
    </row>
    <row r="671" spans="1:20" x14ac:dyDescent="0.2">
      <c r="A671" s="23" t="s">
        <v>92</v>
      </c>
      <c r="C671" s="23" t="s">
        <v>4219</v>
      </c>
      <c r="D671" s="23" t="s">
        <v>4220</v>
      </c>
      <c r="E671" s="23" t="s">
        <v>4221</v>
      </c>
      <c r="G671" s="23" t="s">
        <v>4222</v>
      </c>
      <c r="K671" s="23" t="s">
        <v>4223</v>
      </c>
      <c r="L671" s="23" t="s">
        <v>4224</v>
      </c>
      <c r="O671" s="23" t="s">
        <v>11531</v>
      </c>
      <c r="P671" s="23" t="s">
        <v>16186</v>
      </c>
      <c r="Q671" s="23" t="s">
        <v>16192</v>
      </c>
      <c r="R671" s="23" t="s">
        <v>16198</v>
      </c>
      <c r="S671" s="23" t="s">
        <v>16204</v>
      </c>
      <c r="T671" s="23" t="s">
        <v>16210</v>
      </c>
    </row>
    <row r="672" spans="1:20" x14ac:dyDescent="0.2">
      <c r="A672" s="23" t="s">
        <v>92</v>
      </c>
      <c r="C672" s="23" t="s">
        <v>4225</v>
      </c>
      <c r="D672" s="23" t="s">
        <v>4226</v>
      </c>
      <c r="E672" s="23" t="s">
        <v>4227</v>
      </c>
      <c r="G672" s="23" t="s">
        <v>4228</v>
      </c>
      <c r="K672" s="23" t="s">
        <v>4229</v>
      </c>
      <c r="L672" s="23" t="s">
        <v>4230</v>
      </c>
      <c r="O672" s="23" t="s">
        <v>11851</v>
      </c>
      <c r="P672" s="23" t="s">
        <v>16187</v>
      </c>
      <c r="Q672" s="23" t="s">
        <v>16193</v>
      </c>
      <c r="R672" s="23" t="s">
        <v>16199</v>
      </c>
      <c r="S672" s="23" t="s">
        <v>16205</v>
      </c>
      <c r="T672" s="23" t="s">
        <v>16211</v>
      </c>
    </row>
    <row r="673" spans="1:20" x14ac:dyDescent="0.2">
      <c r="A673" s="23" t="s">
        <v>92</v>
      </c>
      <c r="C673" s="23" t="s">
        <v>4231</v>
      </c>
      <c r="D673" s="23" t="s">
        <v>4232</v>
      </c>
      <c r="E673" s="23" t="s">
        <v>4233</v>
      </c>
      <c r="G673" s="23" t="s">
        <v>4234</v>
      </c>
      <c r="K673" s="23" t="s">
        <v>4235</v>
      </c>
      <c r="L673" s="23" t="s">
        <v>4236</v>
      </c>
      <c r="O673" s="23" t="s">
        <v>11573</v>
      </c>
      <c r="P673" s="23" t="s">
        <v>16188</v>
      </c>
      <c r="Q673" s="23" t="s">
        <v>16194</v>
      </c>
      <c r="R673" s="23" t="s">
        <v>16200</v>
      </c>
      <c r="S673" s="23" t="s">
        <v>16206</v>
      </c>
      <c r="T673" s="23" t="s">
        <v>16212</v>
      </c>
    </row>
    <row r="674" spans="1:20" x14ac:dyDescent="0.2">
      <c r="A674" s="23" t="s">
        <v>92</v>
      </c>
      <c r="C674" s="23" t="s">
        <v>4237</v>
      </c>
      <c r="D674" s="23" t="s">
        <v>4238</v>
      </c>
      <c r="E674" s="23" t="s">
        <v>4239</v>
      </c>
      <c r="G674" s="23" t="s">
        <v>4240</v>
      </c>
      <c r="K674" s="23" t="s">
        <v>4241</v>
      </c>
      <c r="L674" s="23" t="s">
        <v>4242</v>
      </c>
      <c r="O674" s="23" t="s">
        <v>11852</v>
      </c>
      <c r="P674" s="23" t="s">
        <v>16189</v>
      </c>
      <c r="Q674" s="23" t="s">
        <v>16195</v>
      </c>
      <c r="R674" s="23" t="s">
        <v>16201</v>
      </c>
      <c r="S674" s="23" t="s">
        <v>16207</v>
      </c>
      <c r="T674" s="23" t="s">
        <v>16213</v>
      </c>
    </row>
    <row r="675" spans="1:20" x14ac:dyDescent="0.2">
      <c r="A675" s="23" t="s">
        <v>92</v>
      </c>
      <c r="C675" s="23" t="s">
        <v>4243</v>
      </c>
      <c r="D675" s="23" t="s">
        <v>4244</v>
      </c>
      <c r="E675" s="23" t="s">
        <v>4245</v>
      </c>
      <c r="G675" s="23" t="s">
        <v>4246</v>
      </c>
      <c r="K675" s="23" t="s">
        <v>4247</v>
      </c>
      <c r="L675" s="23" t="s">
        <v>4248</v>
      </c>
      <c r="O675" s="23" t="s">
        <v>11853</v>
      </c>
      <c r="P675" s="23" t="s">
        <v>16190</v>
      </c>
      <c r="Q675" s="23" t="s">
        <v>16196</v>
      </c>
      <c r="R675" s="23" t="s">
        <v>16202</v>
      </c>
      <c r="S675" s="23" t="s">
        <v>16208</v>
      </c>
      <c r="T675" s="23" t="s">
        <v>16214</v>
      </c>
    </row>
    <row r="676" spans="1:20" x14ac:dyDescent="0.2">
      <c r="A676" s="23" t="s">
        <v>92</v>
      </c>
      <c r="C676" s="23" t="s">
        <v>4213</v>
      </c>
      <c r="D676" s="23" t="s">
        <v>4214</v>
      </c>
      <c r="E676" s="23" t="s">
        <v>4215</v>
      </c>
      <c r="G676" s="23" t="s">
        <v>4216</v>
      </c>
      <c r="K676" s="23" t="s">
        <v>4217</v>
      </c>
      <c r="L676" s="23" t="s">
        <v>4218</v>
      </c>
    </row>
    <row r="677" spans="1:20" x14ac:dyDescent="0.2">
      <c r="A677" s="23" t="s">
        <v>92</v>
      </c>
      <c r="C677" s="23" t="s">
        <v>4249</v>
      </c>
      <c r="D677" s="23" t="s">
        <v>4250</v>
      </c>
      <c r="E677" s="23" t="s">
        <v>4251</v>
      </c>
      <c r="G677" s="23" t="s">
        <v>4252</v>
      </c>
      <c r="K677" s="23" t="s">
        <v>4253</v>
      </c>
      <c r="L677" s="23" t="s">
        <v>4254</v>
      </c>
      <c r="M677" s="23" t="s">
        <v>4255</v>
      </c>
      <c r="N677" s="23" t="s">
        <v>4256</v>
      </c>
      <c r="T677" s="23" t="s">
        <v>4257</v>
      </c>
    </row>
    <row r="678" spans="1:20" x14ac:dyDescent="0.2">
      <c r="A678" s="23" t="s">
        <v>92</v>
      </c>
      <c r="C678" s="23" t="s">
        <v>4258</v>
      </c>
      <c r="D678" s="23" t="s">
        <v>4259</v>
      </c>
      <c r="E678" s="23" t="s">
        <v>4260</v>
      </c>
      <c r="G678" s="23" t="s">
        <v>4261</v>
      </c>
      <c r="K678" s="23" t="s">
        <v>4262</v>
      </c>
      <c r="L678" s="23" t="s">
        <v>4263</v>
      </c>
      <c r="M678" s="23" t="s">
        <v>4264</v>
      </c>
      <c r="N678" s="23" t="s">
        <v>4265</v>
      </c>
    </row>
    <row r="679" spans="1:20" x14ac:dyDescent="0.2">
      <c r="A679" s="23" t="s">
        <v>92</v>
      </c>
      <c r="C679" s="23" t="s">
        <v>4266</v>
      </c>
      <c r="D679" s="23" t="s">
        <v>4267</v>
      </c>
      <c r="E679" s="23" t="s">
        <v>4268</v>
      </c>
      <c r="G679" s="23" t="s">
        <v>4269</v>
      </c>
      <c r="K679" s="23" t="s">
        <v>4270</v>
      </c>
      <c r="L679" s="23" t="s">
        <v>4271</v>
      </c>
      <c r="O679" s="23" t="s">
        <v>11854</v>
      </c>
      <c r="P679" s="23" t="s">
        <v>4272</v>
      </c>
      <c r="Q679" s="23" t="s">
        <v>4273</v>
      </c>
      <c r="R679" s="23" t="s">
        <v>4274</v>
      </c>
      <c r="S679" s="23" t="s">
        <v>4275</v>
      </c>
      <c r="T679" s="23" t="s">
        <v>4276</v>
      </c>
    </row>
    <row r="680" spans="1:20" x14ac:dyDescent="0.2">
      <c r="A680" s="23" t="s">
        <v>92</v>
      </c>
      <c r="C680" s="23" t="s">
        <v>4277</v>
      </c>
      <c r="D680" s="23" t="s">
        <v>4278</v>
      </c>
      <c r="E680" s="23" t="s">
        <v>4279</v>
      </c>
      <c r="G680" s="23" t="s">
        <v>4280</v>
      </c>
      <c r="K680" s="23" t="s">
        <v>4281</v>
      </c>
      <c r="L680" s="23" t="s">
        <v>4282</v>
      </c>
      <c r="O680" s="23" t="s">
        <v>11855</v>
      </c>
      <c r="P680" s="23" t="s">
        <v>16155</v>
      </c>
      <c r="Q680" s="23" t="s">
        <v>16161</v>
      </c>
      <c r="R680" s="23" t="s">
        <v>16167</v>
      </c>
      <c r="S680" s="23" t="s">
        <v>16173</v>
      </c>
      <c r="T680" s="23" t="s">
        <v>16179</v>
      </c>
    </row>
    <row r="681" spans="1:20" x14ac:dyDescent="0.2">
      <c r="A681" s="23" t="s">
        <v>92</v>
      </c>
      <c r="C681" s="23" t="s">
        <v>4283</v>
      </c>
      <c r="D681" s="23" t="s">
        <v>4284</v>
      </c>
      <c r="E681" s="23" t="s">
        <v>4285</v>
      </c>
      <c r="G681" s="23" t="s">
        <v>4286</v>
      </c>
      <c r="K681" s="23" t="s">
        <v>4287</v>
      </c>
      <c r="L681" s="23" t="s">
        <v>4288</v>
      </c>
      <c r="O681" s="23" t="s">
        <v>11538</v>
      </c>
      <c r="P681" s="23" t="s">
        <v>16156</v>
      </c>
      <c r="Q681" s="23" t="s">
        <v>16162</v>
      </c>
      <c r="R681" s="23" t="s">
        <v>16168</v>
      </c>
      <c r="S681" s="23" t="s">
        <v>16174</v>
      </c>
      <c r="T681" s="23" t="s">
        <v>16180</v>
      </c>
    </row>
    <row r="682" spans="1:20" x14ac:dyDescent="0.2">
      <c r="A682" s="23" t="s">
        <v>92</v>
      </c>
      <c r="C682" s="23" t="s">
        <v>4289</v>
      </c>
      <c r="D682" s="23" t="s">
        <v>4290</v>
      </c>
      <c r="E682" s="23" t="s">
        <v>4291</v>
      </c>
      <c r="G682" s="23" t="s">
        <v>4292</v>
      </c>
      <c r="K682" s="23" t="s">
        <v>4293</v>
      </c>
      <c r="L682" s="23" t="s">
        <v>4294</v>
      </c>
      <c r="O682" s="23" t="s">
        <v>11856</v>
      </c>
      <c r="P682" s="23" t="s">
        <v>16157</v>
      </c>
      <c r="Q682" s="23" t="s">
        <v>16163</v>
      </c>
      <c r="R682" s="23" t="s">
        <v>16169</v>
      </c>
      <c r="S682" s="23" t="s">
        <v>16175</v>
      </c>
      <c r="T682" s="23" t="s">
        <v>16181</v>
      </c>
    </row>
    <row r="683" spans="1:20" x14ac:dyDescent="0.2">
      <c r="A683" s="23" t="s">
        <v>92</v>
      </c>
      <c r="C683" s="23" t="s">
        <v>4295</v>
      </c>
      <c r="D683" s="23" t="s">
        <v>4296</v>
      </c>
      <c r="E683" s="23" t="s">
        <v>4297</v>
      </c>
      <c r="G683" s="23" t="s">
        <v>4298</v>
      </c>
      <c r="K683" s="23" t="s">
        <v>4299</v>
      </c>
      <c r="L683" s="23" t="s">
        <v>4300</v>
      </c>
      <c r="O683" s="23" t="s">
        <v>11578</v>
      </c>
      <c r="P683" s="23" t="s">
        <v>16158</v>
      </c>
      <c r="Q683" s="23" t="s">
        <v>16164</v>
      </c>
      <c r="R683" s="23" t="s">
        <v>16170</v>
      </c>
      <c r="S683" s="23" t="s">
        <v>16176</v>
      </c>
      <c r="T683" s="23" t="s">
        <v>16182</v>
      </c>
    </row>
    <row r="684" spans="1:20" x14ac:dyDescent="0.2">
      <c r="A684" s="23" t="s">
        <v>92</v>
      </c>
      <c r="C684" s="23" t="s">
        <v>4301</v>
      </c>
      <c r="D684" s="23" t="s">
        <v>4302</v>
      </c>
      <c r="E684" s="23" t="s">
        <v>4303</v>
      </c>
      <c r="G684" s="23" t="s">
        <v>4304</v>
      </c>
      <c r="K684" s="23" t="s">
        <v>4305</v>
      </c>
      <c r="L684" s="23" t="s">
        <v>4306</v>
      </c>
      <c r="O684" s="23" t="s">
        <v>11857</v>
      </c>
      <c r="P684" s="23" t="s">
        <v>16159</v>
      </c>
      <c r="Q684" s="23" t="s">
        <v>16165</v>
      </c>
      <c r="R684" s="23" t="s">
        <v>16171</v>
      </c>
      <c r="S684" s="23" t="s">
        <v>16177</v>
      </c>
      <c r="T684" s="23" t="s">
        <v>16183</v>
      </c>
    </row>
    <row r="685" spans="1:20" x14ac:dyDescent="0.2">
      <c r="A685" s="23" t="s">
        <v>92</v>
      </c>
      <c r="C685" s="23" t="s">
        <v>4307</v>
      </c>
      <c r="D685" s="23" t="s">
        <v>4308</v>
      </c>
      <c r="E685" s="23" t="s">
        <v>4309</v>
      </c>
      <c r="G685" s="23" t="s">
        <v>4310</v>
      </c>
      <c r="K685" s="23" t="s">
        <v>4311</v>
      </c>
      <c r="L685" s="23" t="s">
        <v>4312</v>
      </c>
      <c r="O685" s="23" t="s">
        <v>11858</v>
      </c>
      <c r="P685" s="23" t="s">
        <v>16160</v>
      </c>
      <c r="Q685" s="23" t="s">
        <v>16166</v>
      </c>
      <c r="R685" s="23" t="s">
        <v>16172</v>
      </c>
      <c r="S685" s="23" t="s">
        <v>16178</v>
      </c>
      <c r="T685" s="23" t="s">
        <v>16184</v>
      </c>
    </row>
    <row r="686" spans="1:20" x14ac:dyDescent="0.2">
      <c r="A686" s="23" t="s">
        <v>92</v>
      </c>
      <c r="C686" s="23" t="s">
        <v>4277</v>
      </c>
      <c r="D686" s="23" t="s">
        <v>4278</v>
      </c>
      <c r="E686" s="23" t="s">
        <v>4279</v>
      </c>
      <c r="G686" s="23" t="s">
        <v>4280</v>
      </c>
      <c r="K686" s="23" t="s">
        <v>4281</v>
      </c>
      <c r="L686" s="23" t="s">
        <v>4282</v>
      </c>
    </row>
    <row r="687" spans="1:20" x14ac:dyDescent="0.2">
      <c r="A687" s="23" t="s">
        <v>92</v>
      </c>
      <c r="C687" s="23" t="s">
        <v>4313</v>
      </c>
      <c r="D687" s="23" t="s">
        <v>4314</v>
      </c>
      <c r="E687" s="23" t="s">
        <v>4315</v>
      </c>
      <c r="G687" s="23" t="s">
        <v>4316</v>
      </c>
      <c r="K687" s="23" t="s">
        <v>4317</v>
      </c>
      <c r="L687" s="23" t="s">
        <v>4318</v>
      </c>
      <c r="M687" s="23" t="s">
        <v>4319</v>
      </c>
      <c r="N687" s="23" t="s">
        <v>4320</v>
      </c>
      <c r="T687" s="23" t="s">
        <v>4321</v>
      </c>
    </row>
    <row r="688" spans="1:20" x14ac:dyDescent="0.2">
      <c r="A688" s="23" t="s">
        <v>92</v>
      </c>
      <c r="C688" s="23" t="s">
        <v>4322</v>
      </c>
      <c r="D688" s="23" t="s">
        <v>4323</v>
      </c>
      <c r="E688" s="23" t="s">
        <v>4324</v>
      </c>
      <c r="G688" s="23" t="s">
        <v>4325</v>
      </c>
      <c r="K688" s="23" t="s">
        <v>4326</v>
      </c>
      <c r="L688" s="23" t="s">
        <v>4327</v>
      </c>
      <c r="M688" s="23" t="s">
        <v>4328</v>
      </c>
      <c r="N688" s="23" t="s">
        <v>4329</v>
      </c>
    </row>
    <row r="689" spans="1:20" x14ac:dyDescent="0.2">
      <c r="A689" s="23" t="s">
        <v>92</v>
      </c>
      <c r="C689" s="23" t="s">
        <v>4330</v>
      </c>
      <c r="D689" s="23" t="s">
        <v>4331</v>
      </c>
      <c r="E689" s="23" t="s">
        <v>4332</v>
      </c>
      <c r="G689" s="23" t="s">
        <v>4333</v>
      </c>
      <c r="K689" s="23" t="s">
        <v>4334</v>
      </c>
      <c r="L689" s="23" t="s">
        <v>4335</v>
      </c>
      <c r="O689" s="23" t="s">
        <v>11859</v>
      </c>
      <c r="P689" s="23" t="s">
        <v>4336</v>
      </c>
      <c r="Q689" s="23" t="s">
        <v>4337</v>
      </c>
      <c r="R689" s="23" t="s">
        <v>4338</v>
      </c>
      <c r="S689" s="23" t="s">
        <v>4339</v>
      </c>
      <c r="T689" s="23" t="s">
        <v>4340</v>
      </c>
    </row>
    <row r="690" spans="1:20" x14ac:dyDescent="0.2">
      <c r="A690" s="23" t="s">
        <v>92</v>
      </c>
      <c r="C690" s="23" t="s">
        <v>4341</v>
      </c>
      <c r="D690" s="23" t="s">
        <v>4342</v>
      </c>
      <c r="E690" s="23" t="s">
        <v>4343</v>
      </c>
      <c r="G690" s="23" t="s">
        <v>4344</v>
      </c>
      <c r="K690" s="23" t="s">
        <v>4345</v>
      </c>
      <c r="L690" s="23" t="s">
        <v>4346</v>
      </c>
      <c r="O690" s="23" t="s">
        <v>11860</v>
      </c>
      <c r="P690" s="23" t="s">
        <v>16125</v>
      </c>
      <c r="Q690" s="23" t="s">
        <v>16131</v>
      </c>
      <c r="R690" s="23" t="s">
        <v>16137</v>
      </c>
      <c r="S690" s="23" t="s">
        <v>16143</v>
      </c>
      <c r="T690" s="23" t="s">
        <v>16149</v>
      </c>
    </row>
    <row r="691" spans="1:20" x14ac:dyDescent="0.2">
      <c r="A691" s="23" t="s">
        <v>92</v>
      </c>
      <c r="C691" s="23" t="s">
        <v>4347</v>
      </c>
      <c r="D691" s="23" t="s">
        <v>4348</v>
      </c>
      <c r="E691" s="23" t="s">
        <v>4349</v>
      </c>
      <c r="G691" s="23" t="s">
        <v>4350</v>
      </c>
      <c r="K691" s="23" t="s">
        <v>4351</v>
      </c>
      <c r="L691" s="23" t="s">
        <v>4352</v>
      </c>
      <c r="O691" s="23" t="s">
        <v>11546</v>
      </c>
      <c r="P691" s="23" t="s">
        <v>16126</v>
      </c>
      <c r="Q691" s="23" t="s">
        <v>16132</v>
      </c>
      <c r="R691" s="23" t="s">
        <v>16138</v>
      </c>
      <c r="S691" s="23" t="s">
        <v>16144</v>
      </c>
      <c r="T691" s="23" t="s">
        <v>16150</v>
      </c>
    </row>
    <row r="692" spans="1:20" x14ac:dyDescent="0.2">
      <c r="A692" s="23" t="s">
        <v>92</v>
      </c>
      <c r="C692" s="23" t="s">
        <v>4353</v>
      </c>
      <c r="D692" s="23" t="s">
        <v>4354</v>
      </c>
      <c r="E692" s="23" t="s">
        <v>4355</v>
      </c>
      <c r="G692" s="23" t="s">
        <v>4356</v>
      </c>
      <c r="K692" s="23" t="s">
        <v>4357</v>
      </c>
      <c r="L692" s="23" t="s">
        <v>4358</v>
      </c>
      <c r="O692" s="23" t="s">
        <v>11861</v>
      </c>
      <c r="P692" s="23" t="s">
        <v>16127</v>
      </c>
      <c r="Q692" s="23" t="s">
        <v>16133</v>
      </c>
      <c r="R692" s="23" t="s">
        <v>16139</v>
      </c>
      <c r="S692" s="23" t="s">
        <v>16145</v>
      </c>
      <c r="T692" s="23" t="s">
        <v>16151</v>
      </c>
    </row>
    <row r="693" spans="1:20" x14ac:dyDescent="0.2">
      <c r="A693" s="23" t="s">
        <v>92</v>
      </c>
      <c r="C693" s="23" t="s">
        <v>4359</v>
      </c>
      <c r="D693" s="23" t="s">
        <v>4360</v>
      </c>
      <c r="E693" s="23" t="s">
        <v>4361</v>
      </c>
      <c r="G693" s="23" t="s">
        <v>4362</v>
      </c>
      <c r="K693" s="23" t="s">
        <v>4363</v>
      </c>
      <c r="L693" s="23" t="s">
        <v>4364</v>
      </c>
      <c r="O693" s="23" t="s">
        <v>11583</v>
      </c>
      <c r="P693" s="23" t="s">
        <v>16128</v>
      </c>
      <c r="Q693" s="23" t="s">
        <v>16134</v>
      </c>
      <c r="R693" s="23" t="s">
        <v>16140</v>
      </c>
      <c r="S693" s="23" t="s">
        <v>16146</v>
      </c>
      <c r="T693" s="23" t="s">
        <v>16152</v>
      </c>
    </row>
    <row r="694" spans="1:20" x14ac:dyDescent="0.2">
      <c r="A694" s="23" t="s">
        <v>92</v>
      </c>
      <c r="C694" s="23" t="s">
        <v>4365</v>
      </c>
      <c r="D694" s="23" t="s">
        <v>4366</v>
      </c>
      <c r="E694" s="23" t="s">
        <v>4367</v>
      </c>
      <c r="G694" s="23" t="s">
        <v>4368</v>
      </c>
      <c r="K694" s="23" t="s">
        <v>4369</v>
      </c>
      <c r="L694" s="23" t="s">
        <v>4370</v>
      </c>
      <c r="O694" s="23" t="s">
        <v>11862</v>
      </c>
      <c r="P694" s="23" t="s">
        <v>16129</v>
      </c>
      <c r="Q694" s="23" t="s">
        <v>16135</v>
      </c>
      <c r="R694" s="23" t="s">
        <v>16141</v>
      </c>
      <c r="S694" s="23" t="s">
        <v>16147</v>
      </c>
      <c r="T694" s="23" t="s">
        <v>16153</v>
      </c>
    </row>
    <row r="695" spans="1:20" x14ac:dyDescent="0.2">
      <c r="A695" s="23" t="s">
        <v>92</v>
      </c>
      <c r="C695" s="23" t="s">
        <v>4371</v>
      </c>
      <c r="D695" s="23" t="s">
        <v>4372</v>
      </c>
      <c r="E695" s="23" t="s">
        <v>4373</v>
      </c>
      <c r="G695" s="23" t="s">
        <v>4374</v>
      </c>
      <c r="K695" s="23" t="s">
        <v>4375</v>
      </c>
      <c r="L695" s="23" t="s">
        <v>4376</v>
      </c>
      <c r="O695" s="23" t="s">
        <v>11863</v>
      </c>
      <c r="P695" s="23" t="s">
        <v>16130</v>
      </c>
      <c r="Q695" s="23" t="s">
        <v>16136</v>
      </c>
      <c r="R695" s="23" t="s">
        <v>16142</v>
      </c>
      <c r="S695" s="23" t="s">
        <v>16148</v>
      </c>
      <c r="T695" s="23" t="s">
        <v>16154</v>
      </c>
    </row>
    <row r="696" spans="1:20" x14ac:dyDescent="0.2">
      <c r="A696" s="23" t="s">
        <v>92</v>
      </c>
      <c r="C696" s="23" t="s">
        <v>4341</v>
      </c>
      <c r="D696" s="23" t="s">
        <v>4342</v>
      </c>
      <c r="E696" s="23" t="s">
        <v>4343</v>
      </c>
      <c r="G696" s="23" t="s">
        <v>4344</v>
      </c>
      <c r="K696" s="23" t="s">
        <v>4345</v>
      </c>
      <c r="L696" s="23" t="s">
        <v>4346</v>
      </c>
    </row>
    <row r="697" spans="1:20" x14ac:dyDescent="0.2">
      <c r="A697" s="23" t="s">
        <v>92</v>
      </c>
      <c r="C697" s="23" t="s">
        <v>4377</v>
      </c>
      <c r="D697" s="23" t="s">
        <v>4378</v>
      </c>
      <c r="E697" s="23" t="s">
        <v>4379</v>
      </c>
      <c r="G697" s="23" t="s">
        <v>4380</v>
      </c>
      <c r="K697" s="23" t="s">
        <v>4381</v>
      </c>
      <c r="L697" s="23" t="s">
        <v>4382</v>
      </c>
      <c r="M697" s="23" t="s">
        <v>4383</v>
      </c>
      <c r="N697" s="23" t="s">
        <v>4384</v>
      </c>
      <c r="T697" s="23" t="s">
        <v>4385</v>
      </c>
    </row>
    <row r="698" spans="1:20" x14ac:dyDescent="0.2">
      <c r="A698" s="23" t="s">
        <v>92</v>
      </c>
      <c r="C698" s="23" t="s">
        <v>4386</v>
      </c>
      <c r="D698" s="23" t="s">
        <v>4387</v>
      </c>
      <c r="E698" s="23" t="s">
        <v>4388</v>
      </c>
      <c r="G698" s="23" t="s">
        <v>4389</v>
      </c>
      <c r="K698" s="23" t="s">
        <v>4390</v>
      </c>
      <c r="L698" s="23" t="s">
        <v>4391</v>
      </c>
      <c r="M698" s="23" t="s">
        <v>4392</v>
      </c>
      <c r="N698" s="23" t="s">
        <v>4393</v>
      </c>
    </row>
    <row r="699" spans="1:20" x14ac:dyDescent="0.2">
      <c r="A699" s="23" t="s">
        <v>92</v>
      </c>
      <c r="C699" s="23" t="s">
        <v>4394</v>
      </c>
      <c r="D699" s="23" t="s">
        <v>4395</v>
      </c>
      <c r="E699" s="23" t="s">
        <v>4396</v>
      </c>
      <c r="G699" s="23" t="s">
        <v>4397</v>
      </c>
      <c r="K699" s="23" t="s">
        <v>4398</v>
      </c>
      <c r="L699" s="23" t="s">
        <v>4399</v>
      </c>
      <c r="O699" s="23" t="s">
        <v>11864</v>
      </c>
      <c r="P699" s="23" t="s">
        <v>4400</v>
      </c>
      <c r="Q699" s="23" t="s">
        <v>4401</v>
      </c>
      <c r="R699" s="23" t="s">
        <v>4402</v>
      </c>
      <c r="S699" s="23" t="s">
        <v>4403</v>
      </c>
      <c r="T699" s="23" t="s">
        <v>4404</v>
      </c>
    </row>
    <row r="700" spans="1:20" x14ac:dyDescent="0.2">
      <c r="A700" s="23" t="s">
        <v>92</v>
      </c>
      <c r="C700" s="23" t="s">
        <v>4405</v>
      </c>
      <c r="D700" s="23" t="s">
        <v>4406</v>
      </c>
      <c r="E700" s="23" t="s">
        <v>4407</v>
      </c>
      <c r="G700" s="23" t="s">
        <v>4408</v>
      </c>
      <c r="K700" s="23" t="s">
        <v>4409</v>
      </c>
      <c r="L700" s="23" t="s">
        <v>4410</v>
      </c>
      <c r="O700" s="23" t="s">
        <v>11865</v>
      </c>
      <c r="P700" s="23" t="s">
        <v>16095</v>
      </c>
      <c r="Q700" s="23" t="s">
        <v>16101</v>
      </c>
      <c r="R700" s="23" t="s">
        <v>16107</v>
      </c>
      <c r="S700" s="23" t="s">
        <v>16113</v>
      </c>
      <c r="T700" s="23" t="s">
        <v>16119</v>
      </c>
    </row>
    <row r="701" spans="1:20" x14ac:dyDescent="0.2">
      <c r="A701" s="23" t="s">
        <v>92</v>
      </c>
      <c r="C701" s="23" t="s">
        <v>4411</v>
      </c>
      <c r="D701" s="23" t="s">
        <v>4412</v>
      </c>
      <c r="E701" s="23" t="s">
        <v>4413</v>
      </c>
      <c r="G701" s="23" t="s">
        <v>4414</v>
      </c>
      <c r="K701" s="23" t="s">
        <v>4415</v>
      </c>
      <c r="L701" s="23" t="s">
        <v>4416</v>
      </c>
      <c r="O701" s="23" t="s">
        <v>11554</v>
      </c>
      <c r="P701" s="23" t="s">
        <v>16096</v>
      </c>
      <c r="Q701" s="23" t="s">
        <v>16102</v>
      </c>
      <c r="R701" s="23" t="s">
        <v>16108</v>
      </c>
      <c r="S701" s="23" t="s">
        <v>16114</v>
      </c>
      <c r="T701" s="23" t="s">
        <v>16120</v>
      </c>
    </row>
    <row r="702" spans="1:20" x14ac:dyDescent="0.2">
      <c r="A702" s="23" t="s">
        <v>92</v>
      </c>
      <c r="C702" s="23" t="s">
        <v>4417</v>
      </c>
      <c r="D702" s="23" t="s">
        <v>4418</v>
      </c>
      <c r="E702" s="23" t="s">
        <v>4419</v>
      </c>
      <c r="G702" s="23" t="s">
        <v>4420</v>
      </c>
      <c r="K702" s="23" t="s">
        <v>4421</v>
      </c>
      <c r="L702" s="23" t="s">
        <v>4422</v>
      </c>
      <c r="O702" s="23" t="s">
        <v>11866</v>
      </c>
      <c r="P702" s="23" t="s">
        <v>16097</v>
      </c>
      <c r="Q702" s="23" t="s">
        <v>16103</v>
      </c>
      <c r="R702" s="23" t="s">
        <v>16109</v>
      </c>
      <c r="S702" s="23" t="s">
        <v>16115</v>
      </c>
      <c r="T702" s="23" t="s">
        <v>16121</v>
      </c>
    </row>
    <row r="703" spans="1:20" x14ac:dyDescent="0.2">
      <c r="A703" s="23" t="s">
        <v>92</v>
      </c>
      <c r="C703" s="23" t="s">
        <v>4423</v>
      </c>
      <c r="D703" s="23" t="s">
        <v>4424</v>
      </c>
      <c r="E703" s="23" t="s">
        <v>4425</v>
      </c>
      <c r="G703" s="23" t="s">
        <v>4426</v>
      </c>
      <c r="K703" s="23" t="s">
        <v>4427</v>
      </c>
      <c r="L703" s="23" t="s">
        <v>4428</v>
      </c>
      <c r="O703" s="23" t="s">
        <v>11588</v>
      </c>
      <c r="P703" s="23" t="s">
        <v>16098</v>
      </c>
      <c r="Q703" s="23" t="s">
        <v>16104</v>
      </c>
      <c r="R703" s="23" t="s">
        <v>16110</v>
      </c>
      <c r="S703" s="23" t="s">
        <v>16116</v>
      </c>
      <c r="T703" s="23" t="s">
        <v>16122</v>
      </c>
    </row>
    <row r="704" spans="1:20" x14ac:dyDescent="0.2">
      <c r="A704" s="23" t="s">
        <v>92</v>
      </c>
      <c r="C704" s="23" t="s">
        <v>4429</v>
      </c>
      <c r="D704" s="23" t="s">
        <v>4430</v>
      </c>
      <c r="E704" s="23" t="s">
        <v>4431</v>
      </c>
      <c r="G704" s="23" t="s">
        <v>4432</v>
      </c>
      <c r="K704" s="23" t="s">
        <v>4433</v>
      </c>
      <c r="L704" s="23" t="s">
        <v>4434</v>
      </c>
      <c r="O704" s="23" t="s">
        <v>11867</v>
      </c>
      <c r="P704" s="23" t="s">
        <v>16099</v>
      </c>
      <c r="Q704" s="23" t="s">
        <v>16105</v>
      </c>
      <c r="R704" s="23" t="s">
        <v>16111</v>
      </c>
      <c r="S704" s="23" t="s">
        <v>16117</v>
      </c>
      <c r="T704" s="23" t="s">
        <v>16123</v>
      </c>
    </row>
    <row r="705" spans="1:20" x14ac:dyDescent="0.2">
      <c r="A705" s="23" t="s">
        <v>92</v>
      </c>
      <c r="C705" s="23" t="s">
        <v>4435</v>
      </c>
      <c r="D705" s="23" t="s">
        <v>4436</v>
      </c>
      <c r="E705" s="23" t="s">
        <v>4437</v>
      </c>
      <c r="G705" s="23" t="s">
        <v>4438</v>
      </c>
      <c r="K705" s="23" t="s">
        <v>4439</v>
      </c>
      <c r="L705" s="23" t="s">
        <v>4440</v>
      </c>
      <c r="O705" s="23" t="s">
        <v>11868</v>
      </c>
      <c r="P705" s="23" t="s">
        <v>16100</v>
      </c>
      <c r="Q705" s="23" t="s">
        <v>16106</v>
      </c>
      <c r="R705" s="23" t="s">
        <v>16112</v>
      </c>
      <c r="S705" s="23" t="s">
        <v>16118</v>
      </c>
      <c r="T705" s="23" t="s">
        <v>16124</v>
      </c>
    </row>
    <row r="706" spans="1:20" x14ac:dyDescent="0.2">
      <c r="A706" s="23" t="s">
        <v>92</v>
      </c>
      <c r="C706" s="23" t="s">
        <v>4405</v>
      </c>
      <c r="D706" s="23" t="s">
        <v>4406</v>
      </c>
      <c r="E706" s="23" t="s">
        <v>4407</v>
      </c>
      <c r="G706" s="23" t="s">
        <v>4408</v>
      </c>
      <c r="K706" s="23" t="s">
        <v>4409</v>
      </c>
      <c r="L706" s="23" t="s">
        <v>4410</v>
      </c>
    </row>
    <row r="707" spans="1:20" x14ac:dyDescent="0.2">
      <c r="A707" s="23" t="s">
        <v>92</v>
      </c>
      <c r="C707" s="23" t="s">
        <v>4441</v>
      </c>
      <c r="D707" s="23" t="s">
        <v>4442</v>
      </c>
      <c r="E707" s="23" t="s">
        <v>4443</v>
      </c>
      <c r="G707" s="23" t="s">
        <v>4444</v>
      </c>
      <c r="K707" s="23" t="s">
        <v>4445</v>
      </c>
      <c r="L707" s="23" t="s">
        <v>4446</v>
      </c>
      <c r="M707" s="23" t="s">
        <v>4447</v>
      </c>
      <c r="N707" s="23" t="s">
        <v>4448</v>
      </c>
      <c r="T707" s="23" t="s">
        <v>4449</v>
      </c>
    </row>
    <row r="708" spans="1:20" x14ac:dyDescent="0.2">
      <c r="A708" s="23" t="s">
        <v>92</v>
      </c>
      <c r="C708" s="23" t="s">
        <v>4130</v>
      </c>
      <c r="D708" s="23" t="s">
        <v>4131</v>
      </c>
      <c r="E708" s="23" t="s">
        <v>4132</v>
      </c>
      <c r="G708" s="23" t="s">
        <v>4133</v>
      </c>
    </row>
    <row r="709" spans="1:20" x14ac:dyDescent="0.2">
      <c r="A709" s="23" t="s">
        <v>92</v>
      </c>
      <c r="C709" s="23" t="s">
        <v>4450</v>
      </c>
      <c r="D709" s="23" t="s">
        <v>4451</v>
      </c>
      <c r="E709" s="23" t="s">
        <v>4452</v>
      </c>
      <c r="G709" s="23" t="s">
        <v>4453</v>
      </c>
      <c r="H709" s="23" t="s">
        <v>4454</v>
      </c>
      <c r="I709" s="23" t="s">
        <v>4455</v>
      </c>
      <c r="J709" s="23" t="s">
        <v>4456</v>
      </c>
      <c r="T709" s="23" t="s">
        <v>4457</v>
      </c>
    </row>
    <row r="710" spans="1:20" x14ac:dyDescent="0.2">
      <c r="A710" s="23" t="s">
        <v>92</v>
      </c>
      <c r="C710" s="23" t="s">
        <v>4458</v>
      </c>
      <c r="D710" s="23" t="s">
        <v>4459</v>
      </c>
      <c r="E710" s="23" t="s">
        <v>4460</v>
      </c>
      <c r="G710" s="23" t="s">
        <v>4461</v>
      </c>
      <c r="H710" s="23" t="s">
        <v>4462</v>
      </c>
      <c r="I710" s="23" t="s">
        <v>4463</v>
      </c>
      <c r="J710" s="23" t="s">
        <v>4464</v>
      </c>
    </row>
    <row r="711" spans="1:20" x14ac:dyDescent="0.2">
      <c r="A711" s="23" t="s">
        <v>92</v>
      </c>
      <c r="C711" s="23" t="s">
        <v>4465</v>
      </c>
      <c r="D711" s="23" t="s">
        <v>4466</v>
      </c>
      <c r="E711" s="23" t="s">
        <v>4467</v>
      </c>
      <c r="G711" s="23" t="s">
        <v>4468</v>
      </c>
      <c r="K711" s="23" t="s">
        <v>4469</v>
      </c>
      <c r="L711" s="23" t="s">
        <v>4470</v>
      </c>
      <c r="M711" s="23" t="s">
        <v>11869</v>
      </c>
      <c r="N711" s="23" t="s">
        <v>4471</v>
      </c>
    </row>
    <row r="712" spans="1:20" x14ac:dyDescent="0.2">
      <c r="A712" s="23" t="s">
        <v>92</v>
      </c>
      <c r="C712" s="23" t="s">
        <v>4472</v>
      </c>
      <c r="D712" s="23" t="s">
        <v>4473</v>
      </c>
      <c r="E712" s="23" t="s">
        <v>4474</v>
      </c>
      <c r="G712" s="23" t="s">
        <v>4475</v>
      </c>
      <c r="K712" s="23" t="s">
        <v>4476</v>
      </c>
      <c r="L712" s="23" t="s">
        <v>4477</v>
      </c>
      <c r="O712" s="23" t="s">
        <v>11870</v>
      </c>
      <c r="P712" s="23" t="s">
        <v>4478</v>
      </c>
      <c r="Q712" s="23" t="s">
        <v>4479</v>
      </c>
      <c r="R712" s="23" t="s">
        <v>4480</v>
      </c>
      <c r="S712" s="23" t="s">
        <v>4481</v>
      </c>
      <c r="T712" s="23" t="s">
        <v>4482</v>
      </c>
    </row>
    <row r="713" spans="1:20" x14ac:dyDescent="0.2">
      <c r="A713" s="23" t="s">
        <v>92</v>
      </c>
      <c r="C713" s="23" t="s">
        <v>4483</v>
      </c>
      <c r="D713" s="23" t="s">
        <v>4484</v>
      </c>
      <c r="E713" s="23" t="s">
        <v>4485</v>
      </c>
      <c r="G713" s="23" t="s">
        <v>4486</v>
      </c>
      <c r="K713" s="23" t="s">
        <v>4487</v>
      </c>
      <c r="L713" s="23" t="s">
        <v>4488</v>
      </c>
      <c r="O713" s="23" t="s">
        <v>11871</v>
      </c>
      <c r="P713" s="23" t="s">
        <v>15910</v>
      </c>
      <c r="Q713" s="23" t="s">
        <v>15915</v>
      </c>
      <c r="R713" s="23" t="s">
        <v>15920</v>
      </c>
      <c r="S713" s="23" t="s">
        <v>15925</v>
      </c>
      <c r="T713" s="23" t="s">
        <v>15930</v>
      </c>
    </row>
    <row r="714" spans="1:20" x14ac:dyDescent="0.2">
      <c r="A714" s="23" t="s">
        <v>92</v>
      </c>
      <c r="C714" s="23" t="s">
        <v>4489</v>
      </c>
      <c r="D714" s="23" t="s">
        <v>4490</v>
      </c>
      <c r="E714" s="23" t="s">
        <v>4491</v>
      </c>
      <c r="G714" s="23" t="s">
        <v>4492</v>
      </c>
      <c r="K714" s="23" t="s">
        <v>4493</v>
      </c>
      <c r="L714" s="23" t="s">
        <v>4494</v>
      </c>
      <c r="O714" s="23" t="s">
        <v>11517</v>
      </c>
      <c r="P714" s="23" t="s">
        <v>15911</v>
      </c>
      <c r="Q714" s="23" t="s">
        <v>15916</v>
      </c>
      <c r="R714" s="23" t="s">
        <v>15921</v>
      </c>
      <c r="S714" s="23" t="s">
        <v>15926</v>
      </c>
      <c r="T714" s="23" t="s">
        <v>15931</v>
      </c>
    </row>
    <row r="715" spans="1:20" x14ac:dyDescent="0.2">
      <c r="A715" s="23" t="s">
        <v>92</v>
      </c>
      <c r="C715" s="23" t="s">
        <v>4495</v>
      </c>
      <c r="D715" s="23" t="s">
        <v>4496</v>
      </c>
      <c r="E715" s="23" t="s">
        <v>4497</v>
      </c>
      <c r="G715" s="23" t="s">
        <v>4498</v>
      </c>
      <c r="K715" s="23" t="s">
        <v>4499</v>
      </c>
      <c r="L715" s="23" t="s">
        <v>4500</v>
      </c>
      <c r="O715" s="23" t="s">
        <v>11562</v>
      </c>
      <c r="P715" s="23" t="s">
        <v>15912</v>
      </c>
      <c r="Q715" s="23" t="s">
        <v>15917</v>
      </c>
      <c r="R715" s="23" t="s">
        <v>15922</v>
      </c>
      <c r="S715" s="23" t="s">
        <v>15927</v>
      </c>
      <c r="T715" s="23" t="s">
        <v>15932</v>
      </c>
    </row>
    <row r="716" spans="1:20" x14ac:dyDescent="0.2">
      <c r="A716" s="23" t="s">
        <v>92</v>
      </c>
      <c r="C716" s="23" t="s">
        <v>4501</v>
      </c>
      <c r="D716" s="23" t="s">
        <v>4502</v>
      </c>
      <c r="E716" s="23" t="s">
        <v>4503</v>
      </c>
      <c r="G716" s="23" t="s">
        <v>4504</v>
      </c>
      <c r="K716" s="23" t="s">
        <v>4505</v>
      </c>
      <c r="L716" s="23" t="s">
        <v>4506</v>
      </c>
      <c r="O716" s="23" t="s">
        <v>11872</v>
      </c>
      <c r="P716" s="23" t="s">
        <v>15913</v>
      </c>
      <c r="Q716" s="23" t="s">
        <v>15918</v>
      </c>
      <c r="R716" s="23" t="s">
        <v>15923</v>
      </c>
      <c r="S716" s="23" t="s">
        <v>15928</v>
      </c>
      <c r="T716" s="23" t="s">
        <v>15933</v>
      </c>
    </row>
    <row r="717" spans="1:20" x14ac:dyDescent="0.2">
      <c r="A717" s="23" t="s">
        <v>92</v>
      </c>
      <c r="C717" s="23" t="s">
        <v>4507</v>
      </c>
      <c r="D717" s="23" t="s">
        <v>4508</v>
      </c>
      <c r="E717" s="23" t="s">
        <v>4509</v>
      </c>
      <c r="G717" s="23" t="s">
        <v>4510</v>
      </c>
      <c r="K717" s="23" t="s">
        <v>4511</v>
      </c>
      <c r="L717" s="23" t="s">
        <v>4512</v>
      </c>
      <c r="O717" s="23" t="s">
        <v>11873</v>
      </c>
      <c r="P717" s="23" t="s">
        <v>15914</v>
      </c>
      <c r="Q717" s="23" t="s">
        <v>15919</v>
      </c>
      <c r="R717" s="23" t="s">
        <v>15924</v>
      </c>
      <c r="S717" s="23" t="s">
        <v>15929</v>
      </c>
      <c r="T717" s="23" t="s">
        <v>15934</v>
      </c>
    </row>
    <row r="718" spans="1:20" x14ac:dyDescent="0.2">
      <c r="A718" s="23" t="s">
        <v>92</v>
      </c>
      <c r="C718" s="23" t="s">
        <v>4483</v>
      </c>
      <c r="D718" s="23" t="s">
        <v>4484</v>
      </c>
      <c r="E718" s="23" t="s">
        <v>4485</v>
      </c>
      <c r="G718" s="23" t="s">
        <v>4486</v>
      </c>
      <c r="K718" s="23" t="s">
        <v>4487</v>
      </c>
      <c r="L718" s="23" t="s">
        <v>4488</v>
      </c>
    </row>
    <row r="719" spans="1:20" x14ac:dyDescent="0.2">
      <c r="A719" s="23" t="s">
        <v>92</v>
      </c>
      <c r="C719" s="23" t="s">
        <v>4513</v>
      </c>
      <c r="D719" s="23" t="s">
        <v>4514</v>
      </c>
      <c r="E719" s="23" t="s">
        <v>4515</v>
      </c>
      <c r="G719" s="23" t="s">
        <v>4516</v>
      </c>
      <c r="K719" s="23" t="s">
        <v>4517</v>
      </c>
      <c r="L719" s="23" t="s">
        <v>4518</v>
      </c>
      <c r="M719" s="23" t="s">
        <v>4519</v>
      </c>
      <c r="N719" s="23" t="s">
        <v>4520</v>
      </c>
      <c r="T719" s="23" t="s">
        <v>4521</v>
      </c>
    </row>
    <row r="720" spans="1:20" x14ac:dyDescent="0.2">
      <c r="A720" s="23" t="s">
        <v>92</v>
      </c>
      <c r="C720" s="23" t="s">
        <v>4522</v>
      </c>
      <c r="D720" s="23" t="s">
        <v>4523</v>
      </c>
      <c r="E720" s="23" t="s">
        <v>4524</v>
      </c>
      <c r="G720" s="23" t="s">
        <v>4525</v>
      </c>
      <c r="K720" s="23" t="s">
        <v>4526</v>
      </c>
      <c r="L720" s="23" t="s">
        <v>4527</v>
      </c>
      <c r="M720" s="23" t="s">
        <v>4528</v>
      </c>
      <c r="N720" s="23" t="s">
        <v>4529</v>
      </c>
    </row>
    <row r="721" spans="1:20" x14ac:dyDescent="0.2">
      <c r="A721" s="23" t="s">
        <v>92</v>
      </c>
      <c r="C721" s="23" t="s">
        <v>4530</v>
      </c>
      <c r="D721" s="23" t="s">
        <v>4531</v>
      </c>
      <c r="E721" s="23" t="s">
        <v>4532</v>
      </c>
      <c r="G721" s="23" t="s">
        <v>4533</v>
      </c>
      <c r="K721" s="23" t="s">
        <v>4534</v>
      </c>
      <c r="L721" s="23" t="s">
        <v>4535</v>
      </c>
      <c r="O721" s="23" t="s">
        <v>11874</v>
      </c>
      <c r="P721" s="23" t="s">
        <v>4536</v>
      </c>
      <c r="Q721" s="23" t="s">
        <v>4537</v>
      </c>
      <c r="R721" s="23" t="s">
        <v>4538</v>
      </c>
      <c r="S721" s="23" t="s">
        <v>4539</v>
      </c>
      <c r="T721" s="23" t="s">
        <v>4540</v>
      </c>
    </row>
    <row r="722" spans="1:20" x14ac:dyDescent="0.2">
      <c r="A722" s="23" t="s">
        <v>92</v>
      </c>
      <c r="C722" s="23" t="s">
        <v>4541</v>
      </c>
      <c r="D722" s="23" t="s">
        <v>4542</v>
      </c>
      <c r="E722" s="23" t="s">
        <v>4543</v>
      </c>
      <c r="G722" s="23" t="s">
        <v>4544</v>
      </c>
      <c r="K722" s="23" t="s">
        <v>4545</v>
      </c>
      <c r="L722" s="23" t="s">
        <v>4546</v>
      </c>
      <c r="O722" s="23" t="s">
        <v>11875</v>
      </c>
      <c r="P722" s="23" t="s">
        <v>16040</v>
      </c>
      <c r="Q722" s="23" t="s">
        <v>16045</v>
      </c>
      <c r="R722" s="23" t="s">
        <v>16050</v>
      </c>
      <c r="S722" s="23" t="s">
        <v>16055</v>
      </c>
      <c r="T722" s="23" t="s">
        <v>16060</v>
      </c>
    </row>
    <row r="723" spans="1:20" x14ac:dyDescent="0.2">
      <c r="A723" s="23" t="s">
        <v>92</v>
      </c>
      <c r="C723" s="23" t="s">
        <v>4547</v>
      </c>
      <c r="D723" s="23" t="s">
        <v>4548</v>
      </c>
      <c r="E723" s="23" t="s">
        <v>4549</v>
      </c>
      <c r="G723" s="23" t="s">
        <v>4550</v>
      </c>
      <c r="K723" s="23" t="s">
        <v>4551</v>
      </c>
      <c r="L723" s="23" t="s">
        <v>4552</v>
      </c>
      <c r="O723" s="23" t="s">
        <v>11524</v>
      </c>
      <c r="P723" s="23" t="s">
        <v>16041</v>
      </c>
      <c r="Q723" s="23" t="s">
        <v>16046</v>
      </c>
      <c r="R723" s="23" t="s">
        <v>16051</v>
      </c>
      <c r="S723" s="23" t="s">
        <v>16056</v>
      </c>
      <c r="T723" s="23" t="s">
        <v>16061</v>
      </c>
    </row>
    <row r="724" spans="1:20" x14ac:dyDescent="0.2">
      <c r="A724" s="23" t="s">
        <v>92</v>
      </c>
      <c r="C724" s="23" t="s">
        <v>4553</v>
      </c>
      <c r="D724" s="23" t="s">
        <v>4554</v>
      </c>
      <c r="E724" s="23" t="s">
        <v>4555</v>
      </c>
      <c r="G724" s="23" t="s">
        <v>4556</v>
      </c>
      <c r="K724" s="23" t="s">
        <v>4557</v>
      </c>
      <c r="L724" s="23" t="s">
        <v>4558</v>
      </c>
      <c r="O724" s="23" t="s">
        <v>11567</v>
      </c>
      <c r="P724" s="23" t="s">
        <v>16042</v>
      </c>
      <c r="Q724" s="23" t="s">
        <v>16047</v>
      </c>
      <c r="R724" s="23" t="s">
        <v>16052</v>
      </c>
      <c r="S724" s="23" t="s">
        <v>16057</v>
      </c>
      <c r="T724" s="23" t="s">
        <v>16062</v>
      </c>
    </row>
    <row r="725" spans="1:20" x14ac:dyDescent="0.2">
      <c r="A725" s="23" t="s">
        <v>92</v>
      </c>
      <c r="C725" s="23" t="s">
        <v>4559</v>
      </c>
      <c r="D725" s="23" t="s">
        <v>4560</v>
      </c>
      <c r="E725" s="23" t="s">
        <v>4561</v>
      </c>
      <c r="G725" s="23" t="s">
        <v>4562</v>
      </c>
      <c r="K725" s="23" t="s">
        <v>4563</v>
      </c>
      <c r="L725" s="23" t="s">
        <v>4564</v>
      </c>
      <c r="O725" s="23" t="s">
        <v>11876</v>
      </c>
      <c r="P725" s="23" t="s">
        <v>16043</v>
      </c>
      <c r="Q725" s="23" t="s">
        <v>16048</v>
      </c>
      <c r="R725" s="23" t="s">
        <v>16053</v>
      </c>
      <c r="S725" s="23" t="s">
        <v>16058</v>
      </c>
      <c r="T725" s="23" t="s">
        <v>16063</v>
      </c>
    </row>
    <row r="726" spans="1:20" x14ac:dyDescent="0.2">
      <c r="A726" s="23" t="s">
        <v>92</v>
      </c>
      <c r="C726" s="23" t="s">
        <v>4565</v>
      </c>
      <c r="D726" s="23" t="s">
        <v>4566</v>
      </c>
      <c r="E726" s="23" t="s">
        <v>4567</v>
      </c>
      <c r="G726" s="23" t="s">
        <v>4568</v>
      </c>
      <c r="K726" s="23" t="s">
        <v>4569</v>
      </c>
      <c r="L726" s="23" t="s">
        <v>4570</v>
      </c>
      <c r="O726" s="23" t="s">
        <v>11877</v>
      </c>
      <c r="P726" s="23" t="s">
        <v>16044</v>
      </c>
      <c r="Q726" s="23" t="s">
        <v>16049</v>
      </c>
      <c r="R726" s="23" t="s">
        <v>16054</v>
      </c>
      <c r="S726" s="23" t="s">
        <v>16059</v>
      </c>
      <c r="T726" s="23" t="s">
        <v>16064</v>
      </c>
    </row>
    <row r="727" spans="1:20" x14ac:dyDescent="0.2">
      <c r="A727" s="23" t="s">
        <v>92</v>
      </c>
      <c r="C727" s="23" t="s">
        <v>4541</v>
      </c>
      <c r="D727" s="23" t="s">
        <v>4542</v>
      </c>
      <c r="E727" s="23" t="s">
        <v>4543</v>
      </c>
      <c r="G727" s="23" t="s">
        <v>4544</v>
      </c>
      <c r="K727" s="23" t="s">
        <v>4545</v>
      </c>
      <c r="L727" s="23" t="s">
        <v>4546</v>
      </c>
    </row>
    <row r="728" spans="1:20" x14ac:dyDescent="0.2">
      <c r="A728" s="23" t="s">
        <v>92</v>
      </c>
      <c r="C728" s="23" t="s">
        <v>4571</v>
      </c>
      <c r="D728" s="23" t="s">
        <v>4572</v>
      </c>
      <c r="E728" s="23" t="s">
        <v>4573</v>
      </c>
      <c r="G728" s="23" t="s">
        <v>4574</v>
      </c>
      <c r="K728" s="23" t="s">
        <v>4575</v>
      </c>
      <c r="L728" s="23" t="s">
        <v>4576</v>
      </c>
      <c r="M728" s="23" t="s">
        <v>4577</v>
      </c>
      <c r="N728" s="23" t="s">
        <v>4578</v>
      </c>
      <c r="T728" s="23" t="s">
        <v>4579</v>
      </c>
    </row>
    <row r="729" spans="1:20" x14ac:dyDescent="0.2">
      <c r="A729" s="23" t="s">
        <v>92</v>
      </c>
      <c r="C729" s="23" t="s">
        <v>4580</v>
      </c>
      <c r="D729" s="23" t="s">
        <v>4581</v>
      </c>
      <c r="E729" s="23" t="s">
        <v>4582</v>
      </c>
      <c r="G729" s="23" t="s">
        <v>4583</v>
      </c>
      <c r="K729" s="23" t="s">
        <v>4584</v>
      </c>
      <c r="L729" s="23" t="s">
        <v>4585</v>
      </c>
      <c r="M729" s="23" t="s">
        <v>4586</v>
      </c>
      <c r="N729" s="23" t="s">
        <v>4587</v>
      </c>
    </row>
    <row r="730" spans="1:20" x14ac:dyDescent="0.2">
      <c r="A730" s="23" t="s">
        <v>92</v>
      </c>
      <c r="C730" s="23" t="s">
        <v>4588</v>
      </c>
      <c r="D730" s="23" t="s">
        <v>4589</v>
      </c>
      <c r="E730" s="23" t="s">
        <v>4590</v>
      </c>
      <c r="G730" s="23" t="s">
        <v>4591</v>
      </c>
      <c r="K730" s="23" t="s">
        <v>4592</v>
      </c>
      <c r="L730" s="23" t="s">
        <v>4593</v>
      </c>
      <c r="O730" s="23" t="s">
        <v>11878</v>
      </c>
      <c r="P730" s="23" t="s">
        <v>4594</v>
      </c>
      <c r="Q730" s="23" t="s">
        <v>4595</v>
      </c>
      <c r="R730" s="23" t="s">
        <v>4596</v>
      </c>
      <c r="S730" s="23" t="s">
        <v>4597</v>
      </c>
      <c r="T730" s="23" t="s">
        <v>4598</v>
      </c>
    </row>
    <row r="731" spans="1:20" x14ac:dyDescent="0.2">
      <c r="A731" s="23" t="s">
        <v>92</v>
      </c>
      <c r="C731" s="23" t="s">
        <v>4599</v>
      </c>
      <c r="D731" s="23" t="s">
        <v>4600</v>
      </c>
      <c r="E731" s="23" t="s">
        <v>4601</v>
      </c>
      <c r="G731" s="23" t="s">
        <v>4602</v>
      </c>
      <c r="K731" s="23" t="s">
        <v>4603</v>
      </c>
      <c r="L731" s="23" t="s">
        <v>4604</v>
      </c>
      <c r="O731" s="23" t="s">
        <v>11879</v>
      </c>
      <c r="P731" s="23" t="s">
        <v>16015</v>
      </c>
      <c r="Q731" s="23" t="s">
        <v>16020</v>
      </c>
      <c r="R731" s="23" t="s">
        <v>16025</v>
      </c>
      <c r="S731" s="23" t="s">
        <v>16030</v>
      </c>
      <c r="T731" s="23" t="s">
        <v>16035</v>
      </c>
    </row>
    <row r="732" spans="1:20" x14ac:dyDescent="0.2">
      <c r="A732" s="23" t="s">
        <v>92</v>
      </c>
      <c r="C732" s="23" t="s">
        <v>4605</v>
      </c>
      <c r="D732" s="23" t="s">
        <v>4606</v>
      </c>
      <c r="E732" s="23" t="s">
        <v>4607</v>
      </c>
      <c r="G732" s="23" t="s">
        <v>4608</v>
      </c>
      <c r="K732" s="23" t="s">
        <v>4609</v>
      </c>
      <c r="L732" s="23" t="s">
        <v>4610</v>
      </c>
      <c r="O732" s="23" t="s">
        <v>11531</v>
      </c>
      <c r="P732" s="23" t="s">
        <v>16016</v>
      </c>
      <c r="Q732" s="23" t="s">
        <v>16021</v>
      </c>
      <c r="R732" s="23" t="s">
        <v>16026</v>
      </c>
      <c r="S732" s="23" t="s">
        <v>16031</v>
      </c>
      <c r="T732" s="23" t="s">
        <v>16036</v>
      </c>
    </row>
    <row r="733" spans="1:20" x14ac:dyDescent="0.2">
      <c r="A733" s="23" t="s">
        <v>92</v>
      </c>
      <c r="C733" s="23" t="s">
        <v>4611</v>
      </c>
      <c r="D733" s="23" t="s">
        <v>4612</v>
      </c>
      <c r="E733" s="23" t="s">
        <v>4613</v>
      </c>
      <c r="G733" s="23" t="s">
        <v>4614</v>
      </c>
      <c r="K733" s="23" t="s">
        <v>4615</v>
      </c>
      <c r="L733" s="23" t="s">
        <v>4616</v>
      </c>
      <c r="O733" s="23" t="s">
        <v>11573</v>
      </c>
      <c r="P733" s="23" t="s">
        <v>16017</v>
      </c>
      <c r="Q733" s="23" t="s">
        <v>16022</v>
      </c>
      <c r="R733" s="23" t="s">
        <v>16027</v>
      </c>
      <c r="S733" s="23" t="s">
        <v>16032</v>
      </c>
      <c r="T733" s="23" t="s">
        <v>16037</v>
      </c>
    </row>
    <row r="734" spans="1:20" x14ac:dyDescent="0.2">
      <c r="A734" s="23" t="s">
        <v>92</v>
      </c>
      <c r="C734" s="23" t="s">
        <v>4617</v>
      </c>
      <c r="D734" s="23" t="s">
        <v>4618</v>
      </c>
      <c r="E734" s="23" t="s">
        <v>4619</v>
      </c>
      <c r="G734" s="23" t="s">
        <v>4620</v>
      </c>
      <c r="K734" s="23" t="s">
        <v>4621</v>
      </c>
      <c r="L734" s="23" t="s">
        <v>4622</v>
      </c>
      <c r="O734" s="23" t="s">
        <v>11880</v>
      </c>
      <c r="P734" s="23" t="s">
        <v>16018</v>
      </c>
      <c r="Q734" s="23" t="s">
        <v>16023</v>
      </c>
      <c r="R734" s="23" t="s">
        <v>16028</v>
      </c>
      <c r="S734" s="23" t="s">
        <v>16033</v>
      </c>
      <c r="T734" s="23" t="s">
        <v>16038</v>
      </c>
    </row>
    <row r="735" spans="1:20" x14ac:dyDescent="0.2">
      <c r="A735" s="23" t="s">
        <v>92</v>
      </c>
      <c r="C735" s="23" t="s">
        <v>4623</v>
      </c>
      <c r="D735" s="23" t="s">
        <v>4624</v>
      </c>
      <c r="E735" s="23" t="s">
        <v>4625</v>
      </c>
      <c r="G735" s="23" t="s">
        <v>4626</v>
      </c>
      <c r="K735" s="23" t="s">
        <v>4627</v>
      </c>
      <c r="L735" s="23" t="s">
        <v>4628</v>
      </c>
      <c r="O735" s="23" t="s">
        <v>11881</v>
      </c>
      <c r="P735" s="23" t="s">
        <v>16019</v>
      </c>
      <c r="Q735" s="23" t="s">
        <v>16024</v>
      </c>
      <c r="R735" s="23" t="s">
        <v>16029</v>
      </c>
      <c r="S735" s="23" t="s">
        <v>16034</v>
      </c>
      <c r="T735" s="23" t="s">
        <v>16039</v>
      </c>
    </row>
    <row r="736" spans="1:20" x14ac:dyDescent="0.2">
      <c r="A736" s="23" t="s">
        <v>92</v>
      </c>
      <c r="C736" s="23" t="s">
        <v>4599</v>
      </c>
      <c r="D736" s="23" t="s">
        <v>4600</v>
      </c>
      <c r="E736" s="23" t="s">
        <v>4601</v>
      </c>
      <c r="G736" s="23" t="s">
        <v>4602</v>
      </c>
      <c r="K736" s="23" t="s">
        <v>4603</v>
      </c>
      <c r="L736" s="23" t="s">
        <v>4604</v>
      </c>
    </row>
    <row r="737" spans="1:20" x14ac:dyDescent="0.2">
      <c r="A737" s="23" t="s">
        <v>92</v>
      </c>
      <c r="C737" s="23" t="s">
        <v>4629</v>
      </c>
      <c r="D737" s="23" t="s">
        <v>4630</v>
      </c>
      <c r="E737" s="23" t="s">
        <v>4631</v>
      </c>
      <c r="G737" s="23" t="s">
        <v>4632</v>
      </c>
      <c r="K737" s="23" t="s">
        <v>4633</v>
      </c>
      <c r="L737" s="23" t="s">
        <v>4634</v>
      </c>
      <c r="M737" s="23" t="s">
        <v>4635</v>
      </c>
      <c r="N737" s="23" t="s">
        <v>4636</v>
      </c>
      <c r="T737" s="23" t="s">
        <v>4637</v>
      </c>
    </row>
    <row r="738" spans="1:20" x14ac:dyDescent="0.2">
      <c r="A738" s="23" t="s">
        <v>92</v>
      </c>
      <c r="C738" s="23" t="s">
        <v>4638</v>
      </c>
      <c r="D738" s="23" t="s">
        <v>4639</v>
      </c>
      <c r="E738" s="23" t="s">
        <v>4640</v>
      </c>
      <c r="G738" s="23" t="s">
        <v>4641</v>
      </c>
      <c r="K738" s="23" t="s">
        <v>4642</v>
      </c>
      <c r="L738" s="23" t="s">
        <v>4643</v>
      </c>
      <c r="M738" s="23" t="s">
        <v>4644</v>
      </c>
      <c r="N738" s="23" t="s">
        <v>4645</v>
      </c>
    </row>
    <row r="739" spans="1:20" x14ac:dyDescent="0.2">
      <c r="A739" s="23" t="s">
        <v>92</v>
      </c>
      <c r="C739" s="23" t="s">
        <v>4646</v>
      </c>
      <c r="D739" s="23" t="s">
        <v>4647</v>
      </c>
      <c r="E739" s="23" t="s">
        <v>4648</v>
      </c>
      <c r="G739" s="23" t="s">
        <v>4649</v>
      </c>
      <c r="K739" s="23" t="s">
        <v>4650</v>
      </c>
      <c r="L739" s="23" t="s">
        <v>4651</v>
      </c>
      <c r="O739" s="23" t="s">
        <v>11882</v>
      </c>
      <c r="P739" s="23" t="s">
        <v>4652</v>
      </c>
      <c r="Q739" s="23" t="s">
        <v>4653</v>
      </c>
      <c r="R739" s="23" t="s">
        <v>4654</v>
      </c>
      <c r="S739" s="23" t="s">
        <v>4655</v>
      </c>
      <c r="T739" s="23" t="s">
        <v>4656</v>
      </c>
    </row>
    <row r="740" spans="1:20" x14ac:dyDescent="0.2">
      <c r="A740" s="23" t="s">
        <v>92</v>
      </c>
      <c r="C740" s="23" t="s">
        <v>4657</v>
      </c>
      <c r="D740" s="23" t="s">
        <v>4658</v>
      </c>
      <c r="E740" s="23" t="s">
        <v>4659</v>
      </c>
      <c r="G740" s="23" t="s">
        <v>4660</v>
      </c>
      <c r="K740" s="23" t="s">
        <v>4661</v>
      </c>
      <c r="L740" s="23" t="s">
        <v>4662</v>
      </c>
      <c r="O740" s="23" t="s">
        <v>11883</v>
      </c>
      <c r="P740" s="23" t="s">
        <v>15990</v>
      </c>
      <c r="Q740" s="23" t="s">
        <v>15995</v>
      </c>
      <c r="R740" s="23" t="s">
        <v>16000</v>
      </c>
      <c r="S740" s="23" t="s">
        <v>16005</v>
      </c>
      <c r="T740" s="23" t="s">
        <v>16010</v>
      </c>
    </row>
    <row r="741" spans="1:20" x14ac:dyDescent="0.2">
      <c r="A741" s="23" t="s">
        <v>92</v>
      </c>
      <c r="C741" s="23" t="s">
        <v>4663</v>
      </c>
      <c r="D741" s="23" t="s">
        <v>4664</v>
      </c>
      <c r="E741" s="23" t="s">
        <v>4665</v>
      </c>
      <c r="G741" s="23" t="s">
        <v>4666</v>
      </c>
      <c r="K741" s="23" t="s">
        <v>4667</v>
      </c>
      <c r="L741" s="23" t="s">
        <v>4668</v>
      </c>
      <c r="O741" s="23" t="s">
        <v>11538</v>
      </c>
      <c r="P741" s="23" t="s">
        <v>15991</v>
      </c>
      <c r="Q741" s="23" t="s">
        <v>15996</v>
      </c>
      <c r="R741" s="23" t="s">
        <v>16001</v>
      </c>
      <c r="S741" s="23" t="s">
        <v>16006</v>
      </c>
      <c r="T741" s="23" t="s">
        <v>16011</v>
      </c>
    </row>
    <row r="742" spans="1:20" x14ac:dyDescent="0.2">
      <c r="A742" s="23" t="s">
        <v>92</v>
      </c>
      <c r="C742" s="23" t="s">
        <v>4669</v>
      </c>
      <c r="D742" s="23" t="s">
        <v>4670</v>
      </c>
      <c r="E742" s="23" t="s">
        <v>4671</v>
      </c>
      <c r="G742" s="23" t="s">
        <v>4672</v>
      </c>
      <c r="K742" s="23" t="s">
        <v>4673</v>
      </c>
      <c r="L742" s="23" t="s">
        <v>4674</v>
      </c>
      <c r="O742" s="23" t="s">
        <v>11578</v>
      </c>
      <c r="P742" s="23" t="s">
        <v>15992</v>
      </c>
      <c r="Q742" s="23" t="s">
        <v>15997</v>
      </c>
      <c r="R742" s="23" t="s">
        <v>16002</v>
      </c>
      <c r="S742" s="23" t="s">
        <v>16007</v>
      </c>
      <c r="T742" s="23" t="s">
        <v>16012</v>
      </c>
    </row>
    <row r="743" spans="1:20" x14ac:dyDescent="0.2">
      <c r="A743" s="23" t="s">
        <v>92</v>
      </c>
      <c r="C743" s="23" t="s">
        <v>4675</v>
      </c>
      <c r="D743" s="23" t="s">
        <v>4676</v>
      </c>
      <c r="E743" s="23" t="s">
        <v>4677</v>
      </c>
      <c r="G743" s="23" t="s">
        <v>4678</v>
      </c>
      <c r="K743" s="23" t="s">
        <v>4679</v>
      </c>
      <c r="L743" s="23" t="s">
        <v>4680</v>
      </c>
      <c r="O743" s="23" t="s">
        <v>11884</v>
      </c>
      <c r="P743" s="23" t="s">
        <v>15993</v>
      </c>
      <c r="Q743" s="23" t="s">
        <v>15998</v>
      </c>
      <c r="R743" s="23" t="s">
        <v>16003</v>
      </c>
      <c r="S743" s="23" t="s">
        <v>16008</v>
      </c>
      <c r="T743" s="23" t="s">
        <v>16013</v>
      </c>
    </row>
    <row r="744" spans="1:20" x14ac:dyDescent="0.2">
      <c r="A744" s="23" t="s">
        <v>92</v>
      </c>
      <c r="C744" s="23" t="s">
        <v>4681</v>
      </c>
      <c r="D744" s="23" t="s">
        <v>4682</v>
      </c>
      <c r="E744" s="23" t="s">
        <v>4683</v>
      </c>
      <c r="G744" s="23" t="s">
        <v>4684</v>
      </c>
      <c r="K744" s="23" t="s">
        <v>4685</v>
      </c>
      <c r="L744" s="23" t="s">
        <v>4686</v>
      </c>
      <c r="O744" s="23" t="s">
        <v>11885</v>
      </c>
      <c r="P744" s="23" t="s">
        <v>15994</v>
      </c>
      <c r="Q744" s="23" t="s">
        <v>15999</v>
      </c>
      <c r="R744" s="23" t="s">
        <v>16004</v>
      </c>
      <c r="S744" s="23" t="s">
        <v>16009</v>
      </c>
      <c r="T744" s="23" t="s">
        <v>16014</v>
      </c>
    </row>
    <row r="745" spans="1:20" x14ac:dyDescent="0.2">
      <c r="A745" s="23" t="s">
        <v>92</v>
      </c>
      <c r="C745" s="23" t="s">
        <v>4657</v>
      </c>
      <c r="D745" s="23" t="s">
        <v>4658</v>
      </c>
      <c r="E745" s="23" t="s">
        <v>4659</v>
      </c>
      <c r="G745" s="23" t="s">
        <v>4660</v>
      </c>
      <c r="K745" s="23" t="s">
        <v>4661</v>
      </c>
      <c r="L745" s="23" t="s">
        <v>4662</v>
      </c>
    </row>
    <row r="746" spans="1:20" x14ac:dyDescent="0.2">
      <c r="A746" s="23" t="s">
        <v>92</v>
      </c>
      <c r="C746" s="23" t="s">
        <v>4687</v>
      </c>
      <c r="D746" s="23" t="s">
        <v>4688</v>
      </c>
      <c r="E746" s="23" t="s">
        <v>4689</v>
      </c>
      <c r="G746" s="23" t="s">
        <v>4690</v>
      </c>
      <c r="K746" s="23" t="s">
        <v>4691</v>
      </c>
      <c r="L746" s="23" t="s">
        <v>4692</v>
      </c>
      <c r="M746" s="23" t="s">
        <v>4693</v>
      </c>
      <c r="N746" s="23" t="s">
        <v>4694</v>
      </c>
      <c r="T746" s="23" t="s">
        <v>4695</v>
      </c>
    </row>
    <row r="747" spans="1:20" x14ac:dyDescent="0.2">
      <c r="A747" s="23" t="s">
        <v>92</v>
      </c>
      <c r="C747" s="23" t="s">
        <v>4696</v>
      </c>
      <c r="D747" s="23" t="s">
        <v>4697</v>
      </c>
      <c r="E747" s="23" t="s">
        <v>4698</v>
      </c>
      <c r="G747" s="23" t="s">
        <v>4699</v>
      </c>
      <c r="K747" s="23" t="s">
        <v>4700</v>
      </c>
      <c r="L747" s="23" t="s">
        <v>4701</v>
      </c>
      <c r="M747" s="23" t="s">
        <v>4702</v>
      </c>
      <c r="N747" s="23" t="s">
        <v>4703</v>
      </c>
    </row>
    <row r="748" spans="1:20" x14ac:dyDescent="0.2">
      <c r="A748" s="23" t="s">
        <v>92</v>
      </c>
      <c r="C748" s="23" t="s">
        <v>4704</v>
      </c>
      <c r="D748" s="23" t="s">
        <v>4705</v>
      </c>
      <c r="E748" s="23" t="s">
        <v>4706</v>
      </c>
      <c r="G748" s="23" t="s">
        <v>4707</v>
      </c>
      <c r="K748" s="23" t="s">
        <v>4708</v>
      </c>
      <c r="L748" s="23" t="s">
        <v>4709</v>
      </c>
      <c r="O748" s="23" t="s">
        <v>11886</v>
      </c>
      <c r="P748" s="23" t="s">
        <v>4710</v>
      </c>
      <c r="Q748" s="23" t="s">
        <v>4711</v>
      </c>
      <c r="R748" s="23" t="s">
        <v>4712</v>
      </c>
      <c r="S748" s="23" t="s">
        <v>4713</v>
      </c>
      <c r="T748" s="23" t="s">
        <v>4714</v>
      </c>
    </row>
    <row r="749" spans="1:20" x14ac:dyDescent="0.2">
      <c r="A749" s="23" t="s">
        <v>92</v>
      </c>
      <c r="C749" s="23" t="s">
        <v>4715</v>
      </c>
      <c r="D749" s="23" t="s">
        <v>4716</v>
      </c>
      <c r="E749" s="23" t="s">
        <v>4717</v>
      </c>
      <c r="G749" s="23" t="s">
        <v>4718</v>
      </c>
      <c r="K749" s="23" t="s">
        <v>4719</v>
      </c>
      <c r="L749" s="23" t="s">
        <v>4720</v>
      </c>
      <c r="O749" s="23" t="s">
        <v>11887</v>
      </c>
      <c r="P749" s="23" t="s">
        <v>15960</v>
      </c>
      <c r="Q749" s="23" t="s">
        <v>15966</v>
      </c>
      <c r="R749" s="23" t="s">
        <v>15972</v>
      </c>
      <c r="S749" s="23" t="s">
        <v>15978</v>
      </c>
      <c r="T749" s="23" t="s">
        <v>15984</v>
      </c>
    </row>
    <row r="750" spans="1:20" x14ac:dyDescent="0.2">
      <c r="A750" s="23" t="s">
        <v>92</v>
      </c>
      <c r="C750" s="23" t="s">
        <v>4721</v>
      </c>
      <c r="D750" s="23" t="s">
        <v>4722</v>
      </c>
      <c r="E750" s="23" t="s">
        <v>4723</v>
      </c>
      <c r="G750" s="23" t="s">
        <v>4724</v>
      </c>
      <c r="K750" s="23" t="s">
        <v>4725</v>
      </c>
      <c r="L750" s="23" t="s">
        <v>4726</v>
      </c>
      <c r="O750" s="23" t="s">
        <v>11546</v>
      </c>
      <c r="P750" s="23" t="s">
        <v>15961</v>
      </c>
      <c r="Q750" s="23" t="s">
        <v>15967</v>
      </c>
      <c r="R750" s="23" t="s">
        <v>15973</v>
      </c>
      <c r="S750" s="23" t="s">
        <v>15979</v>
      </c>
      <c r="T750" s="23" t="s">
        <v>15985</v>
      </c>
    </row>
    <row r="751" spans="1:20" x14ac:dyDescent="0.2">
      <c r="A751" s="23" t="s">
        <v>92</v>
      </c>
      <c r="C751" s="23" t="s">
        <v>4727</v>
      </c>
      <c r="D751" s="23" t="s">
        <v>4728</v>
      </c>
      <c r="E751" s="23" t="s">
        <v>4729</v>
      </c>
      <c r="G751" s="23" t="s">
        <v>4730</v>
      </c>
      <c r="K751" s="23" t="s">
        <v>4731</v>
      </c>
      <c r="L751" s="23" t="s">
        <v>4732</v>
      </c>
      <c r="O751" s="23" t="s">
        <v>11583</v>
      </c>
      <c r="P751" s="23" t="s">
        <v>15962</v>
      </c>
      <c r="Q751" s="23" t="s">
        <v>15968</v>
      </c>
      <c r="R751" s="23" t="s">
        <v>15974</v>
      </c>
      <c r="S751" s="23" t="s">
        <v>15980</v>
      </c>
      <c r="T751" s="23" t="s">
        <v>15986</v>
      </c>
    </row>
    <row r="752" spans="1:20" x14ac:dyDescent="0.2">
      <c r="A752" s="23" t="s">
        <v>92</v>
      </c>
      <c r="C752" s="23" t="s">
        <v>4733</v>
      </c>
      <c r="D752" s="23" t="s">
        <v>4734</v>
      </c>
      <c r="E752" s="23" t="s">
        <v>4735</v>
      </c>
      <c r="G752" s="23" t="s">
        <v>4736</v>
      </c>
      <c r="K752" s="23" t="s">
        <v>4737</v>
      </c>
      <c r="L752" s="23" t="s">
        <v>4738</v>
      </c>
      <c r="O752" s="23" t="s">
        <v>11888</v>
      </c>
      <c r="P752" s="23" t="s">
        <v>15963</v>
      </c>
      <c r="Q752" s="23" t="s">
        <v>15969</v>
      </c>
      <c r="R752" s="23" t="s">
        <v>15975</v>
      </c>
      <c r="S752" s="23" t="s">
        <v>15981</v>
      </c>
      <c r="T752" s="23" t="s">
        <v>15987</v>
      </c>
    </row>
    <row r="753" spans="1:20" x14ac:dyDescent="0.2">
      <c r="A753" s="23" t="s">
        <v>92</v>
      </c>
      <c r="C753" s="23" t="s">
        <v>4739</v>
      </c>
      <c r="D753" s="23" t="s">
        <v>4740</v>
      </c>
      <c r="E753" s="23" t="s">
        <v>4741</v>
      </c>
      <c r="G753" s="23" t="s">
        <v>4742</v>
      </c>
      <c r="K753" s="23" t="s">
        <v>4743</v>
      </c>
      <c r="L753" s="23" t="s">
        <v>4744</v>
      </c>
      <c r="O753" s="23" t="s">
        <v>11889</v>
      </c>
      <c r="P753" s="23" t="s">
        <v>15964</v>
      </c>
      <c r="Q753" s="23" t="s">
        <v>15970</v>
      </c>
      <c r="R753" s="23" t="s">
        <v>15976</v>
      </c>
      <c r="S753" s="23" t="s">
        <v>15982</v>
      </c>
      <c r="T753" s="23" t="s">
        <v>15988</v>
      </c>
    </row>
    <row r="754" spans="1:20" x14ac:dyDescent="0.2">
      <c r="A754" s="23" t="s">
        <v>92</v>
      </c>
      <c r="C754" s="23" t="s">
        <v>4745</v>
      </c>
      <c r="D754" s="23" t="s">
        <v>4746</v>
      </c>
      <c r="E754" s="23" t="s">
        <v>4747</v>
      </c>
      <c r="G754" s="23" t="s">
        <v>4748</v>
      </c>
      <c r="K754" s="23" t="s">
        <v>4749</v>
      </c>
      <c r="L754" s="23" t="s">
        <v>4750</v>
      </c>
      <c r="O754" s="23" t="s">
        <v>11890</v>
      </c>
      <c r="P754" s="23" t="s">
        <v>15965</v>
      </c>
      <c r="Q754" s="23" t="s">
        <v>15971</v>
      </c>
      <c r="R754" s="23" t="s">
        <v>15977</v>
      </c>
      <c r="S754" s="23" t="s">
        <v>15983</v>
      </c>
      <c r="T754" s="23" t="s">
        <v>15989</v>
      </c>
    </row>
    <row r="755" spans="1:20" x14ac:dyDescent="0.2">
      <c r="A755" s="23" t="s">
        <v>92</v>
      </c>
      <c r="C755" s="23" t="s">
        <v>4715</v>
      </c>
      <c r="D755" s="23" t="s">
        <v>4716</v>
      </c>
      <c r="E755" s="23" t="s">
        <v>4717</v>
      </c>
      <c r="G755" s="23" t="s">
        <v>4718</v>
      </c>
      <c r="K755" s="23" t="s">
        <v>4719</v>
      </c>
      <c r="L755" s="23" t="s">
        <v>4720</v>
      </c>
    </row>
    <row r="756" spans="1:20" x14ac:dyDescent="0.2">
      <c r="A756" s="23" t="s">
        <v>92</v>
      </c>
      <c r="C756" s="23" t="s">
        <v>4751</v>
      </c>
      <c r="D756" s="23" t="s">
        <v>4752</v>
      </c>
      <c r="E756" s="23" t="s">
        <v>4753</v>
      </c>
      <c r="G756" s="23" t="s">
        <v>4754</v>
      </c>
      <c r="K756" s="23" t="s">
        <v>4755</v>
      </c>
      <c r="L756" s="23" t="s">
        <v>4756</v>
      </c>
      <c r="M756" s="23" t="s">
        <v>4757</v>
      </c>
      <c r="N756" s="23" t="s">
        <v>4758</v>
      </c>
      <c r="T756" s="23" t="s">
        <v>4759</v>
      </c>
    </row>
    <row r="757" spans="1:20" x14ac:dyDescent="0.2">
      <c r="A757" s="23" t="s">
        <v>92</v>
      </c>
      <c r="C757" s="23" t="s">
        <v>4760</v>
      </c>
      <c r="D757" s="23" t="s">
        <v>4761</v>
      </c>
      <c r="E757" s="23" t="s">
        <v>4762</v>
      </c>
      <c r="G757" s="23" t="s">
        <v>4763</v>
      </c>
      <c r="K757" s="23" t="s">
        <v>4764</v>
      </c>
      <c r="L757" s="23" t="s">
        <v>4765</v>
      </c>
      <c r="M757" s="23" t="s">
        <v>4766</v>
      </c>
      <c r="N757" s="23" t="s">
        <v>4767</v>
      </c>
    </row>
    <row r="758" spans="1:20" x14ac:dyDescent="0.2">
      <c r="A758" s="23" t="s">
        <v>92</v>
      </c>
      <c r="C758" s="23" t="s">
        <v>4768</v>
      </c>
      <c r="D758" s="23" t="s">
        <v>4769</v>
      </c>
      <c r="E758" s="23" t="s">
        <v>4770</v>
      </c>
      <c r="G758" s="23" t="s">
        <v>4771</v>
      </c>
      <c r="K758" s="23" t="s">
        <v>4772</v>
      </c>
      <c r="L758" s="23" t="s">
        <v>4773</v>
      </c>
      <c r="O758" s="23" t="s">
        <v>11891</v>
      </c>
      <c r="P758" s="23" t="s">
        <v>4774</v>
      </c>
      <c r="Q758" s="23" t="s">
        <v>4775</v>
      </c>
      <c r="R758" s="23" t="s">
        <v>4776</v>
      </c>
      <c r="S758" s="23" t="s">
        <v>4777</v>
      </c>
      <c r="T758" s="23" t="s">
        <v>4778</v>
      </c>
    </row>
    <row r="759" spans="1:20" x14ac:dyDescent="0.2">
      <c r="A759" s="23" t="s">
        <v>92</v>
      </c>
      <c r="C759" s="23" t="s">
        <v>4779</v>
      </c>
      <c r="D759" s="23" t="s">
        <v>4780</v>
      </c>
      <c r="E759" s="23" t="s">
        <v>4781</v>
      </c>
      <c r="G759" s="23" t="s">
        <v>4782</v>
      </c>
      <c r="K759" s="23" t="s">
        <v>4783</v>
      </c>
      <c r="L759" s="23" t="s">
        <v>4784</v>
      </c>
      <c r="O759" s="23" t="s">
        <v>11892</v>
      </c>
      <c r="P759" s="23" t="s">
        <v>15935</v>
      </c>
      <c r="Q759" s="23" t="s">
        <v>15940</v>
      </c>
      <c r="R759" s="23" t="s">
        <v>15945</v>
      </c>
      <c r="S759" s="23" t="s">
        <v>15950</v>
      </c>
      <c r="T759" s="23" t="s">
        <v>15955</v>
      </c>
    </row>
    <row r="760" spans="1:20" x14ac:dyDescent="0.2">
      <c r="A760" s="23" t="s">
        <v>92</v>
      </c>
      <c r="C760" s="23" t="s">
        <v>4785</v>
      </c>
      <c r="D760" s="23" t="s">
        <v>4786</v>
      </c>
      <c r="E760" s="23" t="s">
        <v>4787</v>
      </c>
      <c r="G760" s="23" t="s">
        <v>4788</v>
      </c>
      <c r="K760" s="23" t="s">
        <v>4789</v>
      </c>
      <c r="L760" s="23" t="s">
        <v>4790</v>
      </c>
      <c r="O760" s="23" t="s">
        <v>11554</v>
      </c>
      <c r="P760" s="23" t="s">
        <v>15936</v>
      </c>
      <c r="Q760" s="23" t="s">
        <v>15941</v>
      </c>
      <c r="R760" s="23" t="s">
        <v>15946</v>
      </c>
      <c r="S760" s="23" t="s">
        <v>15951</v>
      </c>
      <c r="T760" s="23" t="s">
        <v>15956</v>
      </c>
    </row>
    <row r="761" spans="1:20" x14ac:dyDescent="0.2">
      <c r="A761" s="23" t="s">
        <v>92</v>
      </c>
      <c r="C761" s="23" t="s">
        <v>4791</v>
      </c>
      <c r="D761" s="23" t="s">
        <v>4792</v>
      </c>
      <c r="E761" s="23" t="s">
        <v>4793</v>
      </c>
      <c r="G761" s="23" t="s">
        <v>4794</v>
      </c>
      <c r="K761" s="23" t="s">
        <v>4795</v>
      </c>
      <c r="L761" s="23" t="s">
        <v>4796</v>
      </c>
      <c r="O761" s="23" t="s">
        <v>11588</v>
      </c>
      <c r="P761" s="23" t="s">
        <v>15937</v>
      </c>
      <c r="Q761" s="23" t="s">
        <v>15942</v>
      </c>
      <c r="R761" s="23" t="s">
        <v>15947</v>
      </c>
      <c r="S761" s="23" t="s">
        <v>15952</v>
      </c>
      <c r="T761" s="23" t="s">
        <v>15957</v>
      </c>
    </row>
    <row r="762" spans="1:20" x14ac:dyDescent="0.2">
      <c r="A762" s="23" t="s">
        <v>92</v>
      </c>
      <c r="C762" s="23" t="s">
        <v>4797</v>
      </c>
      <c r="D762" s="23" t="s">
        <v>4798</v>
      </c>
      <c r="E762" s="23" t="s">
        <v>4799</v>
      </c>
      <c r="G762" s="23" t="s">
        <v>4800</v>
      </c>
      <c r="K762" s="23" t="s">
        <v>4801</v>
      </c>
      <c r="L762" s="23" t="s">
        <v>4802</v>
      </c>
      <c r="O762" s="23" t="s">
        <v>11893</v>
      </c>
      <c r="P762" s="23" t="s">
        <v>15938</v>
      </c>
      <c r="Q762" s="23" t="s">
        <v>15943</v>
      </c>
      <c r="R762" s="23" t="s">
        <v>15948</v>
      </c>
      <c r="S762" s="23" t="s">
        <v>15953</v>
      </c>
      <c r="T762" s="23" t="s">
        <v>15958</v>
      </c>
    </row>
    <row r="763" spans="1:20" x14ac:dyDescent="0.2">
      <c r="A763" s="23" t="s">
        <v>92</v>
      </c>
      <c r="C763" s="23" t="s">
        <v>4803</v>
      </c>
      <c r="D763" s="23" t="s">
        <v>4804</v>
      </c>
      <c r="E763" s="23" t="s">
        <v>4805</v>
      </c>
      <c r="G763" s="23" t="s">
        <v>4806</v>
      </c>
      <c r="K763" s="23" t="s">
        <v>4807</v>
      </c>
      <c r="L763" s="23" t="s">
        <v>4808</v>
      </c>
      <c r="O763" s="23" t="s">
        <v>11894</v>
      </c>
      <c r="P763" s="23" t="s">
        <v>15939</v>
      </c>
      <c r="Q763" s="23" t="s">
        <v>15944</v>
      </c>
      <c r="R763" s="23" t="s">
        <v>15949</v>
      </c>
      <c r="S763" s="23" t="s">
        <v>15954</v>
      </c>
      <c r="T763" s="23" t="s">
        <v>15959</v>
      </c>
    </row>
    <row r="764" spans="1:20" x14ac:dyDescent="0.2">
      <c r="A764" s="23" t="s">
        <v>92</v>
      </c>
      <c r="C764" s="23" t="s">
        <v>4779</v>
      </c>
      <c r="D764" s="23" t="s">
        <v>4780</v>
      </c>
      <c r="E764" s="23" t="s">
        <v>4781</v>
      </c>
      <c r="G764" s="23" t="s">
        <v>4782</v>
      </c>
      <c r="K764" s="23" t="s">
        <v>4783</v>
      </c>
      <c r="L764" s="23" t="s">
        <v>4784</v>
      </c>
    </row>
    <row r="765" spans="1:20" x14ac:dyDescent="0.2">
      <c r="A765" s="23" t="s">
        <v>92</v>
      </c>
      <c r="C765" s="23" t="s">
        <v>4809</v>
      </c>
      <c r="D765" s="23" t="s">
        <v>4810</v>
      </c>
      <c r="E765" s="23" t="s">
        <v>4811</v>
      </c>
      <c r="G765" s="23" t="s">
        <v>4812</v>
      </c>
      <c r="K765" s="23" t="s">
        <v>4813</v>
      </c>
      <c r="L765" s="23" t="s">
        <v>4814</v>
      </c>
      <c r="M765" s="23" t="s">
        <v>4815</v>
      </c>
      <c r="N765" s="23" t="s">
        <v>4816</v>
      </c>
      <c r="T765" s="23" t="s">
        <v>4817</v>
      </c>
    </row>
    <row r="766" spans="1:20" x14ac:dyDescent="0.2">
      <c r="A766" s="23" t="s">
        <v>92</v>
      </c>
      <c r="C766" s="23" t="s">
        <v>4818</v>
      </c>
      <c r="D766" s="23" t="s">
        <v>4819</v>
      </c>
      <c r="E766" s="23" t="s">
        <v>4820</v>
      </c>
      <c r="G766" s="23" t="s">
        <v>4821</v>
      </c>
      <c r="K766" s="23" t="s">
        <v>4822</v>
      </c>
      <c r="L766" s="23" t="s">
        <v>4823</v>
      </c>
      <c r="M766" s="23" t="s">
        <v>4824</v>
      </c>
      <c r="N766" s="23" t="s">
        <v>4825</v>
      </c>
    </row>
    <row r="767" spans="1:20" x14ac:dyDescent="0.2">
      <c r="A767" s="23" t="s">
        <v>92</v>
      </c>
      <c r="C767" s="23" t="s">
        <v>4826</v>
      </c>
      <c r="D767" s="23" t="s">
        <v>4827</v>
      </c>
      <c r="E767" s="23" t="s">
        <v>4828</v>
      </c>
      <c r="G767" s="23" t="s">
        <v>4829</v>
      </c>
      <c r="K767" s="23" t="s">
        <v>4830</v>
      </c>
      <c r="L767" s="23" t="s">
        <v>4831</v>
      </c>
      <c r="O767" s="23" t="s">
        <v>11895</v>
      </c>
      <c r="P767" s="23" t="s">
        <v>4832</v>
      </c>
      <c r="Q767" s="23" t="s">
        <v>4833</v>
      </c>
      <c r="R767" s="23" t="s">
        <v>4834</v>
      </c>
      <c r="S767" s="23" t="s">
        <v>4835</v>
      </c>
      <c r="T767" s="23" t="s">
        <v>4836</v>
      </c>
    </row>
    <row r="768" spans="1:20" x14ac:dyDescent="0.2">
      <c r="A768" s="23" t="s">
        <v>92</v>
      </c>
      <c r="C768" s="23" t="s">
        <v>4837</v>
      </c>
      <c r="D768" s="23" t="s">
        <v>4838</v>
      </c>
      <c r="E768" s="23" t="s">
        <v>4839</v>
      </c>
      <c r="G768" s="23" t="s">
        <v>4840</v>
      </c>
      <c r="K768" s="23" t="s">
        <v>4841</v>
      </c>
      <c r="L768" s="23" t="s">
        <v>4842</v>
      </c>
      <c r="O768" s="23" t="s">
        <v>11896</v>
      </c>
      <c r="P768" s="23" t="s">
        <v>11897</v>
      </c>
      <c r="Q768" s="23" t="s">
        <v>11898</v>
      </c>
      <c r="R768" s="23" t="s">
        <v>11899</v>
      </c>
      <c r="S768" s="23" t="s">
        <v>11900</v>
      </c>
      <c r="T768" s="23" t="s">
        <v>11901</v>
      </c>
    </row>
    <row r="769" spans="1:20" x14ac:dyDescent="0.2">
      <c r="A769" s="23" t="s">
        <v>92</v>
      </c>
      <c r="C769" s="23" t="s">
        <v>4837</v>
      </c>
      <c r="D769" s="23" t="s">
        <v>4838</v>
      </c>
      <c r="E769" s="23" t="s">
        <v>4839</v>
      </c>
      <c r="G769" s="23" t="s">
        <v>4840</v>
      </c>
      <c r="K769" s="23" t="s">
        <v>4841</v>
      </c>
      <c r="L769" s="23" t="s">
        <v>4842</v>
      </c>
    </row>
    <row r="770" spans="1:20" x14ac:dyDescent="0.2">
      <c r="A770" s="23" t="s">
        <v>92</v>
      </c>
      <c r="C770" s="23" t="s">
        <v>4843</v>
      </c>
      <c r="D770" s="23" t="s">
        <v>4844</v>
      </c>
      <c r="E770" s="23" t="s">
        <v>4845</v>
      </c>
      <c r="G770" s="23" t="s">
        <v>4846</v>
      </c>
      <c r="K770" s="23" t="s">
        <v>4847</v>
      </c>
      <c r="L770" s="23" t="s">
        <v>4848</v>
      </c>
      <c r="M770" s="23" t="s">
        <v>4849</v>
      </c>
      <c r="N770" s="23" t="s">
        <v>4850</v>
      </c>
      <c r="T770" s="23" t="s">
        <v>4851</v>
      </c>
    </row>
    <row r="771" spans="1:20" x14ac:dyDescent="0.2">
      <c r="A771" s="23" t="s">
        <v>92</v>
      </c>
      <c r="C771" s="23" t="s">
        <v>4852</v>
      </c>
      <c r="D771" s="23" t="s">
        <v>4853</v>
      </c>
      <c r="E771" s="23" t="s">
        <v>4854</v>
      </c>
      <c r="G771" s="23" t="s">
        <v>4855</v>
      </c>
      <c r="K771" s="23" t="s">
        <v>4856</v>
      </c>
      <c r="L771" s="23" t="s">
        <v>4857</v>
      </c>
      <c r="M771" s="23" t="s">
        <v>4858</v>
      </c>
      <c r="N771" s="23" t="s">
        <v>4859</v>
      </c>
    </row>
    <row r="772" spans="1:20" x14ac:dyDescent="0.2">
      <c r="A772" s="23" t="s">
        <v>92</v>
      </c>
      <c r="C772" s="23" t="s">
        <v>4860</v>
      </c>
      <c r="D772" s="23" t="s">
        <v>4861</v>
      </c>
      <c r="E772" s="23" t="s">
        <v>4862</v>
      </c>
      <c r="G772" s="23" t="s">
        <v>4863</v>
      </c>
      <c r="K772" s="23" t="s">
        <v>4864</v>
      </c>
      <c r="L772" s="23" t="s">
        <v>4865</v>
      </c>
      <c r="O772" s="23" t="s">
        <v>11902</v>
      </c>
      <c r="P772" s="23" t="s">
        <v>4866</v>
      </c>
      <c r="Q772" s="23" t="s">
        <v>4867</v>
      </c>
      <c r="R772" s="23" t="s">
        <v>4868</v>
      </c>
      <c r="S772" s="23" t="s">
        <v>4869</v>
      </c>
      <c r="T772" s="23" t="s">
        <v>4870</v>
      </c>
    </row>
    <row r="773" spans="1:20" x14ac:dyDescent="0.2">
      <c r="A773" s="23" t="s">
        <v>92</v>
      </c>
      <c r="C773" s="23" t="s">
        <v>4871</v>
      </c>
      <c r="D773" s="23" t="s">
        <v>4872</v>
      </c>
      <c r="E773" s="23" t="s">
        <v>4873</v>
      </c>
      <c r="G773" s="23" t="s">
        <v>4874</v>
      </c>
      <c r="K773" s="23" t="s">
        <v>4875</v>
      </c>
      <c r="L773" s="23" t="s">
        <v>4876</v>
      </c>
      <c r="O773" s="23" t="s">
        <v>11903</v>
      </c>
      <c r="P773" s="23" t="s">
        <v>11904</v>
      </c>
      <c r="Q773" s="23" t="s">
        <v>11905</v>
      </c>
      <c r="R773" s="23" t="s">
        <v>11906</v>
      </c>
      <c r="S773" s="23" t="s">
        <v>11907</v>
      </c>
      <c r="T773" s="23" t="s">
        <v>11908</v>
      </c>
    </row>
    <row r="774" spans="1:20" x14ac:dyDescent="0.2">
      <c r="A774" s="23" t="s">
        <v>92</v>
      </c>
      <c r="C774" s="23" t="s">
        <v>4871</v>
      </c>
      <c r="D774" s="23" t="s">
        <v>4872</v>
      </c>
      <c r="E774" s="23" t="s">
        <v>4873</v>
      </c>
      <c r="G774" s="23" t="s">
        <v>4874</v>
      </c>
      <c r="K774" s="23" t="s">
        <v>4875</v>
      </c>
      <c r="L774" s="23" t="s">
        <v>4876</v>
      </c>
    </row>
    <row r="775" spans="1:20" x14ac:dyDescent="0.2">
      <c r="A775" s="23" t="s">
        <v>92</v>
      </c>
      <c r="C775" s="23" t="s">
        <v>4877</v>
      </c>
      <c r="D775" s="23" t="s">
        <v>4878</v>
      </c>
      <c r="E775" s="23" t="s">
        <v>4879</v>
      </c>
      <c r="G775" s="23" t="s">
        <v>4880</v>
      </c>
      <c r="K775" s="23" t="s">
        <v>4881</v>
      </c>
      <c r="L775" s="23" t="s">
        <v>4882</v>
      </c>
      <c r="M775" s="23" t="s">
        <v>4883</v>
      </c>
      <c r="N775" s="23" t="s">
        <v>4884</v>
      </c>
      <c r="T775" s="23" t="s">
        <v>4885</v>
      </c>
    </row>
    <row r="776" spans="1:20" x14ac:dyDescent="0.2">
      <c r="A776" s="23" t="s">
        <v>92</v>
      </c>
      <c r="C776" s="23" t="s">
        <v>4522</v>
      </c>
      <c r="D776" s="23" t="s">
        <v>4523</v>
      </c>
      <c r="E776" s="23" t="s">
        <v>4524</v>
      </c>
      <c r="G776" s="23" t="s">
        <v>4525</v>
      </c>
    </row>
    <row r="777" spans="1:20" x14ac:dyDescent="0.2">
      <c r="A777" s="23" t="s">
        <v>92</v>
      </c>
      <c r="C777" s="23" t="s">
        <v>4886</v>
      </c>
      <c r="D777" s="23" t="s">
        <v>4887</v>
      </c>
      <c r="E777" s="23" t="s">
        <v>4888</v>
      </c>
      <c r="G777" s="23" t="s">
        <v>4889</v>
      </c>
      <c r="H777" s="23" t="s">
        <v>4890</v>
      </c>
      <c r="I777" s="23" t="s">
        <v>4891</v>
      </c>
      <c r="J777" s="23" t="s">
        <v>4892</v>
      </c>
      <c r="T777" s="23" t="s">
        <v>4893</v>
      </c>
    </row>
    <row r="778" spans="1:20" x14ac:dyDescent="0.2">
      <c r="A778" s="23" t="s">
        <v>92</v>
      </c>
      <c r="C778" s="23" t="s">
        <v>4894</v>
      </c>
      <c r="D778" s="23" t="s">
        <v>4895</v>
      </c>
      <c r="E778" s="23" t="s">
        <v>4896</v>
      </c>
      <c r="G778" s="23" t="s">
        <v>4897</v>
      </c>
      <c r="H778" s="23" t="s">
        <v>4898</v>
      </c>
      <c r="I778" s="23" t="s">
        <v>4899</v>
      </c>
      <c r="J778" s="23" t="s">
        <v>4900</v>
      </c>
    </row>
    <row r="779" spans="1:20" x14ac:dyDescent="0.2">
      <c r="A779" s="23" t="s">
        <v>92</v>
      </c>
      <c r="C779" s="23" t="s">
        <v>4901</v>
      </c>
      <c r="D779" s="23" t="s">
        <v>4902</v>
      </c>
      <c r="E779" s="23" t="s">
        <v>4903</v>
      </c>
      <c r="G779" s="23" t="s">
        <v>4904</v>
      </c>
      <c r="K779" s="23" t="s">
        <v>4905</v>
      </c>
      <c r="L779" s="23" t="s">
        <v>4906</v>
      </c>
      <c r="M779" s="23" t="s">
        <v>11909</v>
      </c>
      <c r="N779" s="23" t="s">
        <v>4907</v>
      </c>
    </row>
    <row r="780" spans="1:20" x14ac:dyDescent="0.2">
      <c r="A780" s="23" t="s">
        <v>92</v>
      </c>
      <c r="C780" s="23" t="s">
        <v>4908</v>
      </c>
      <c r="D780" s="23" t="s">
        <v>4909</v>
      </c>
      <c r="E780" s="23" t="s">
        <v>4910</v>
      </c>
      <c r="G780" s="23" t="s">
        <v>4911</v>
      </c>
      <c r="K780" s="23" t="s">
        <v>4912</v>
      </c>
      <c r="L780" s="23" t="s">
        <v>4913</v>
      </c>
      <c r="O780" s="23" t="s">
        <v>11910</v>
      </c>
      <c r="P780" s="23" t="s">
        <v>4914</v>
      </c>
      <c r="Q780" s="23" t="s">
        <v>4915</v>
      </c>
      <c r="R780" s="23" t="s">
        <v>4916</v>
      </c>
      <c r="S780" s="23" t="s">
        <v>4917</v>
      </c>
      <c r="T780" s="23" t="s">
        <v>4918</v>
      </c>
    </row>
    <row r="781" spans="1:20" x14ac:dyDescent="0.2">
      <c r="A781" s="23" t="s">
        <v>92</v>
      </c>
      <c r="C781" s="23" t="s">
        <v>4919</v>
      </c>
      <c r="D781" s="23" t="s">
        <v>4920</v>
      </c>
      <c r="E781" s="23" t="s">
        <v>4921</v>
      </c>
      <c r="G781" s="23" t="s">
        <v>4922</v>
      </c>
      <c r="K781" s="23" t="s">
        <v>4923</v>
      </c>
      <c r="L781" s="23" t="s">
        <v>4924</v>
      </c>
      <c r="O781" s="23" t="s">
        <v>11911</v>
      </c>
      <c r="P781" s="23" t="s">
        <v>15755</v>
      </c>
      <c r="Q781" s="23" t="s">
        <v>15760</v>
      </c>
      <c r="R781" s="23" t="s">
        <v>15765</v>
      </c>
      <c r="S781" s="23" t="s">
        <v>15770</v>
      </c>
      <c r="T781" s="23" t="s">
        <v>15775</v>
      </c>
    </row>
    <row r="782" spans="1:20" x14ac:dyDescent="0.2">
      <c r="A782" s="23" t="s">
        <v>92</v>
      </c>
      <c r="C782" s="23" t="s">
        <v>4925</v>
      </c>
      <c r="D782" s="23" t="s">
        <v>4926</v>
      </c>
      <c r="E782" s="23" t="s">
        <v>4927</v>
      </c>
      <c r="G782" s="23" t="s">
        <v>4928</v>
      </c>
      <c r="K782" s="23" t="s">
        <v>4929</v>
      </c>
      <c r="L782" s="23" t="s">
        <v>4930</v>
      </c>
      <c r="O782" s="23" t="s">
        <v>11912</v>
      </c>
      <c r="P782" s="23" t="s">
        <v>15756</v>
      </c>
      <c r="Q782" s="23" t="s">
        <v>15761</v>
      </c>
      <c r="R782" s="23" t="s">
        <v>15766</v>
      </c>
      <c r="S782" s="23" t="s">
        <v>15771</v>
      </c>
      <c r="T782" s="23" t="s">
        <v>15776</v>
      </c>
    </row>
    <row r="783" spans="1:20" x14ac:dyDescent="0.2">
      <c r="A783" s="23" t="s">
        <v>92</v>
      </c>
      <c r="C783" s="23" t="s">
        <v>4931</v>
      </c>
      <c r="D783" s="23" t="s">
        <v>4932</v>
      </c>
      <c r="E783" s="23" t="s">
        <v>4933</v>
      </c>
      <c r="G783" s="23" t="s">
        <v>4934</v>
      </c>
      <c r="K783" s="23" t="s">
        <v>4935</v>
      </c>
      <c r="L783" s="23" t="s">
        <v>4936</v>
      </c>
      <c r="O783" s="23" t="s">
        <v>11517</v>
      </c>
      <c r="P783" s="23" t="s">
        <v>15757</v>
      </c>
      <c r="Q783" s="23" t="s">
        <v>15762</v>
      </c>
      <c r="R783" s="23" t="s">
        <v>15767</v>
      </c>
      <c r="S783" s="23" t="s">
        <v>15772</v>
      </c>
      <c r="T783" s="23" t="s">
        <v>15777</v>
      </c>
    </row>
    <row r="784" spans="1:20" x14ac:dyDescent="0.2">
      <c r="A784" s="23" t="s">
        <v>92</v>
      </c>
      <c r="C784" s="23" t="s">
        <v>4937</v>
      </c>
      <c r="D784" s="23" t="s">
        <v>4938</v>
      </c>
      <c r="E784" s="23" t="s">
        <v>4939</v>
      </c>
      <c r="G784" s="23" t="s">
        <v>4940</v>
      </c>
      <c r="K784" s="23" t="s">
        <v>4941</v>
      </c>
      <c r="L784" s="23" t="s">
        <v>4942</v>
      </c>
      <c r="O784" s="23" t="s">
        <v>11562</v>
      </c>
      <c r="P784" s="23" t="s">
        <v>15758</v>
      </c>
      <c r="Q784" s="23" t="s">
        <v>15763</v>
      </c>
      <c r="R784" s="23" t="s">
        <v>15768</v>
      </c>
      <c r="S784" s="23" t="s">
        <v>15773</v>
      </c>
      <c r="T784" s="23" t="s">
        <v>15778</v>
      </c>
    </row>
    <row r="785" spans="1:20" x14ac:dyDescent="0.2">
      <c r="A785" s="23" t="s">
        <v>92</v>
      </c>
      <c r="C785" s="23" t="s">
        <v>4943</v>
      </c>
      <c r="D785" s="23" t="s">
        <v>4944</v>
      </c>
      <c r="E785" s="23" t="s">
        <v>4945</v>
      </c>
      <c r="G785" s="23" t="s">
        <v>4946</v>
      </c>
      <c r="K785" s="23" t="s">
        <v>4947</v>
      </c>
      <c r="L785" s="23" t="s">
        <v>4948</v>
      </c>
      <c r="O785" s="23" t="s">
        <v>11913</v>
      </c>
      <c r="P785" s="23" t="s">
        <v>15759</v>
      </c>
      <c r="Q785" s="23" t="s">
        <v>15764</v>
      </c>
      <c r="R785" s="23" t="s">
        <v>15769</v>
      </c>
      <c r="S785" s="23" t="s">
        <v>15774</v>
      </c>
      <c r="T785" s="23" t="s">
        <v>15779</v>
      </c>
    </row>
    <row r="786" spans="1:20" x14ac:dyDescent="0.2">
      <c r="A786" s="23" t="s">
        <v>92</v>
      </c>
      <c r="C786" s="23" t="s">
        <v>4919</v>
      </c>
      <c r="D786" s="23" t="s">
        <v>4920</v>
      </c>
      <c r="E786" s="23" t="s">
        <v>4921</v>
      </c>
      <c r="G786" s="23" t="s">
        <v>4922</v>
      </c>
      <c r="K786" s="23" t="s">
        <v>4923</v>
      </c>
      <c r="L786" s="23" t="s">
        <v>4924</v>
      </c>
    </row>
    <row r="787" spans="1:20" x14ac:dyDescent="0.2">
      <c r="A787" s="23" t="s">
        <v>92</v>
      </c>
      <c r="C787" s="23" t="s">
        <v>4949</v>
      </c>
      <c r="D787" s="23" t="s">
        <v>4950</v>
      </c>
      <c r="E787" s="23" t="s">
        <v>4951</v>
      </c>
      <c r="G787" s="23" t="s">
        <v>4952</v>
      </c>
      <c r="K787" s="23" t="s">
        <v>4953</v>
      </c>
      <c r="L787" s="23" t="s">
        <v>4954</v>
      </c>
      <c r="M787" s="23" t="s">
        <v>4955</v>
      </c>
      <c r="N787" s="23" t="s">
        <v>4956</v>
      </c>
      <c r="T787" s="23" t="s">
        <v>4957</v>
      </c>
    </row>
    <row r="788" spans="1:20" x14ac:dyDescent="0.2">
      <c r="A788" s="23" t="s">
        <v>92</v>
      </c>
      <c r="C788" s="23" t="s">
        <v>4958</v>
      </c>
      <c r="D788" s="23" t="s">
        <v>4959</v>
      </c>
      <c r="E788" s="23" t="s">
        <v>4960</v>
      </c>
      <c r="G788" s="23" t="s">
        <v>4961</v>
      </c>
      <c r="K788" s="23" t="s">
        <v>4962</v>
      </c>
      <c r="L788" s="23" t="s">
        <v>4963</v>
      </c>
      <c r="M788" s="23" t="s">
        <v>4964</v>
      </c>
      <c r="N788" s="23" t="s">
        <v>4965</v>
      </c>
    </row>
    <row r="789" spans="1:20" x14ac:dyDescent="0.2">
      <c r="A789" s="23" t="s">
        <v>92</v>
      </c>
      <c r="C789" s="23" t="s">
        <v>4966</v>
      </c>
      <c r="D789" s="23" t="s">
        <v>4967</v>
      </c>
      <c r="E789" s="23" t="s">
        <v>4968</v>
      </c>
      <c r="G789" s="23" t="s">
        <v>4969</v>
      </c>
      <c r="K789" s="23" t="s">
        <v>4970</v>
      </c>
      <c r="L789" s="23" t="s">
        <v>4971</v>
      </c>
      <c r="O789" s="23" t="s">
        <v>11914</v>
      </c>
      <c r="P789" s="23" t="s">
        <v>4972</v>
      </c>
      <c r="Q789" s="23" t="s">
        <v>4973</v>
      </c>
      <c r="R789" s="23" t="s">
        <v>4974</v>
      </c>
      <c r="S789" s="23" t="s">
        <v>4975</v>
      </c>
      <c r="T789" s="23" t="s">
        <v>4976</v>
      </c>
    </row>
    <row r="790" spans="1:20" x14ac:dyDescent="0.2">
      <c r="A790" s="23" t="s">
        <v>92</v>
      </c>
      <c r="C790" s="23" t="s">
        <v>4977</v>
      </c>
      <c r="D790" s="23" t="s">
        <v>4978</v>
      </c>
      <c r="E790" s="23" t="s">
        <v>4979</v>
      </c>
      <c r="G790" s="23" t="s">
        <v>4980</v>
      </c>
      <c r="K790" s="23" t="s">
        <v>4981</v>
      </c>
      <c r="L790" s="23" t="s">
        <v>4982</v>
      </c>
      <c r="O790" s="23" t="s">
        <v>11915</v>
      </c>
      <c r="P790" s="23" t="s">
        <v>15885</v>
      </c>
      <c r="Q790" s="23" t="s">
        <v>15890</v>
      </c>
      <c r="R790" s="23" t="s">
        <v>15895</v>
      </c>
      <c r="S790" s="23" t="s">
        <v>15900</v>
      </c>
      <c r="T790" s="23" t="s">
        <v>15905</v>
      </c>
    </row>
    <row r="791" spans="1:20" x14ac:dyDescent="0.2">
      <c r="A791" s="23" t="s">
        <v>92</v>
      </c>
      <c r="C791" s="23" t="s">
        <v>4983</v>
      </c>
      <c r="D791" s="23" t="s">
        <v>4984</v>
      </c>
      <c r="E791" s="23" t="s">
        <v>4985</v>
      </c>
      <c r="G791" s="23" t="s">
        <v>4986</v>
      </c>
      <c r="K791" s="23" t="s">
        <v>4987</v>
      </c>
      <c r="L791" s="23" t="s">
        <v>4988</v>
      </c>
      <c r="O791" s="23" t="s">
        <v>11916</v>
      </c>
      <c r="P791" s="23" t="s">
        <v>15886</v>
      </c>
      <c r="Q791" s="23" t="s">
        <v>15891</v>
      </c>
      <c r="R791" s="23" t="s">
        <v>15896</v>
      </c>
      <c r="S791" s="23" t="s">
        <v>15901</v>
      </c>
      <c r="T791" s="23" t="s">
        <v>15906</v>
      </c>
    </row>
    <row r="792" spans="1:20" x14ac:dyDescent="0.2">
      <c r="A792" s="23" t="s">
        <v>92</v>
      </c>
      <c r="C792" s="23" t="s">
        <v>4989</v>
      </c>
      <c r="D792" s="23" t="s">
        <v>4990</v>
      </c>
      <c r="E792" s="23" t="s">
        <v>4991</v>
      </c>
      <c r="G792" s="23" t="s">
        <v>4992</v>
      </c>
      <c r="K792" s="23" t="s">
        <v>4993</v>
      </c>
      <c r="L792" s="23" t="s">
        <v>4994</v>
      </c>
      <c r="O792" s="23" t="s">
        <v>11524</v>
      </c>
      <c r="P792" s="23" t="s">
        <v>15887</v>
      </c>
      <c r="Q792" s="23" t="s">
        <v>15892</v>
      </c>
      <c r="R792" s="23" t="s">
        <v>15897</v>
      </c>
      <c r="S792" s="23" t="s">
        <v>15902</v>
      </c>
      <c r="T792" s="23" t="s">
        <v>15907</v>
      </c>
    </row>
    <row r="793" spans="1:20" x14ac:dyDescent="0.2">
      <c r="A793" s="23" t="s">
        <v>92</v>
      </c>
      <c r="C793" s="23" t="s">
        <v>4995</v>
      </c>
      <c r="D793" s="23" t="s">
        <v>4996</v>
      </c>
      <c r="E793" s="23" t="s">
        <v>4997</v>
      </c>
      <c r="G793" s="23" t="s">
        <v>4998</v>
      </c>
      <c r="K793" s="23" t="s">
        <v>4999</v>
      </c>
      <c r="L793" s="23" t="s">
        <v>5000</v>
      </c>
      <c r="O793" s="23" t="s">
        <v>11567</v>
      </c>
      <c r="P793" s="23" t="s">
        <v>15888</v>
      </c>
      <c r="Q793" s="23" t="s">
        <v>15893</v>
      </c>
      <c r="R793" s="23" t="s">
        <v>15898</v>
      </c>
      <c r="S793" s="23" t="s">
        <v>15903</v>
      </c>
      <c r="T793" s="23" t="s">
        <v>15908</v>
      </c>
    </row>
    <row r="794" spans="1:20" x14ac:dyDescent="0.2">
      <c r="A794" s="23" t="s">
        <v>92</v>
      </c>
      <c r="C794" s="23" t="s">
        <v>5001</v>
      </c>
      <c r="D794" s="23" t="s">
        <v>5002</v>
      </c>
      <c r="E794" s="23" t="s">
        <v>5003</v>
      </c>
      <c r="G794" s="23" t="s">
        <v>5004</v>
      </c>
      <c r="K794" s="23" t="s">
        <v>5005</v>
      </c>
      <c r="L794" s="23" t="s">
        <v>5006</v>
      </c>
      <c r="O794" s="23" t="s">
        <v>11917</v>
      </c>
      <c r="P794" s="23" t="s">
        <v>15889</v>
      </c>
      <c r="Q794" s="23" t="s">
        <v>15894</v>
      </c>
      <c r="R794" s="23" t="s">
        <v>15899</v>
      </c>
      <c r="S794" s="23" t="s">
        <v>15904</v>
      </c>
      <c r="T794" s="23" t="s">
        <v>15909</v>
      </c>
    </row>
    <row r="795" spans="1:20" x14ac:dyDescent="0.2">
      <c r="A795" s="23" t="s">
        <v>92</v>
      </c>
      <c r="C795" s="23" t="s">
        <v>4977</v>
      </c>
      <c r="D795" s="23" t="s">
        <v>4978</v>
      </c>
      <c r="E795" s="23" t="s">
        <v>4979</v>
      </c>
      <c r="G795" s="23" t="s">
        <v>4980</v>
      </c>
      <c r="K795" s="23" t="s">
        <v>4981</v>
      </c>
      <c r="L795" s="23" t="s">
        <v>4982</v>
      </c>
    </row>
    <row r="796" spans="1:20" x14ac:dyDescent="0.2">
      <c r="A796" s="23" t="s">
        <v>92</v>
      </c>
      <c r="C796" s="23" t="s">
        <v>5007</v>
      </c>
      <c r="D796" s="23" t="s">
        <v>5008</v>
      </c>
      <c r="E796" s="23" t="s">
        <v>5009</v>
      </c>
      <c r="G796" s="23" t="s">
        <v>5010</v>
      </c>
      <c r="K796" s="23" t="s">
        <v>5011</v>
      </c>
      <c r="L796" s="23" t="s">
        <v>5012</v>
      </c>
      <c r="M796" s="23" t="s">
        <v>5013</v>
      </c>
      <c r="N796" s="23" t="s">
        <v>5014</v>
      </c>
      <c r="T796" s="23" t="s">
        <v>5015</v>
      </c>
    </row>
    <row r="797" spans="1:20" x14ac:dyDescent="0.2">
      <c r="A797" s="23" t="s">
        <v>92</v>
      </c>
      <c r="C797" s="23" t="s">
        <v>5016</v>
      </c>
      <c r="D797" s="23" t="s">
        <v>5017</v>
      </c>
      <c r="E797" s="23" t="s">
        <v>5018</v>
      </c>
      <c r="G797" s="23" t="s">
        <v>5019</v>
      </c>
      <c r="K797" s="23" t="s">
        <v>5020</v>
      </c>
      <c r="L797" s="23" t="s">
        <v>5021</v>
      </c>
      <c r="M797" s="23" t="s">
        <v>5022</v>
      </c>
      <c r="N797" s="23" t="s">
        <v>5023</v>
      </c>
    </row>
    <row r="798" spans="1:20" x14ac:dyDescent="0.2">
      <c r="A798" s="23" t="s">
        <v>92</v>
      </c>
      <c r="C798" s="23" t="s">
        <v>5024</v>
      </c>
      <c r="D798" s="23" t="s">
        <v>5025</v>
      </c>
      <c r="E798" s="23" t="s">
        <v>5026</v>
      </c>
      <c r="G798" s="23" t="s">
        <v>5027</v>
      </c>
      <c r="K798" s="23" t="s">
        <v>5028</v>
      </c>
      <c r="L798" s="23" t="s">
        <v>5029</v>
      </c>
      <c r="O798" s="23" t="s">
        <v>11918</v>
      </c>
      <c r="P798" s="23" t="s">
        <v>5030</v>
      </c>
      <c r="Q798" s="23" t="s">
        <v>5031</v>
      </c>
      <c r="R798" s="23" t="s">
        <v>5032</v>
      </c>
      <c r="S798" s="23" t="s">
        <v>5033</v>
      </c>
      <c r="T798" s="23" t="s">
        <v>5034</v>
      </c>
    </row>
    <row r="799" spans="1:20" x14ac:dyDescent="0.2">
      <c r="A799" s="23" t="s">
        <v>92</v>
      </c>
      <c r="C799" s="23" t="s">
        <v>5035</v>
      </c>
      <c r="D799" s="23" t="s">
        <v>5036</v>
      </c>
      <c r="E799" s="23" t="s">
        <v>5037</v>
      </c>
      <c r="G799" s="23" t="s">
        <v>5038</v>
      </c>
      <c r="K799" s="23" t="s">
        <v>5039</v>
      </c>
      <c r="L799" s="23" t="s">
        <v>5040</v>
      </c>
      <c r="O799" s="23" t="s">
        <v>11919</v>
      </c>
      <c r="P799" s="23" t="s">
        <v>15860</v>
      </c>
      <c r="Q799" s="23" t="s">
        <v>15865</v>
      </c>
      <c r="R799" s="23" t="s">
        <v>15870</v>
      </c>
      <c r="S799" s="23" t="s">
        <v>15875</v>
      </c>
      <c r="T799" s="23" t="s">
        <v>15880</v>
      </c>
    </row>
    <row r="800" spans="1:20" x14ac:dyDescent="0.2">
      <c r="A800" s="23" t="s">
        <v>92</v>
      </c>
      <c r="C800" s="23" t="s">
        <v>5041</v>
      </c>
      <c r="D800" s="23" t="s">
        <v>5042</v>
      </c>
      <c r="E800" s="23" t="s">
        <v>5043</v>
      </c>
      <c r="G800" s="23" t="s">
        <v>5044</v>
      </c>
      <c r="K800" s="23" t="s">
        <v>5045</v>
      </c>
      <c r="L800" s="23" t="s">
        <v>5046</v>
      </c>
      <c r="O800" s="23" t="s">
        <v>11920</v>
      </c>
      <c r="P800" s="23" t="s">
        <v>15861</v>
      </c>
      <c r="Q800" s="23" t="s">
        <v>15866</v>
      </c>
      <c r="R800" s="23" t="s">
        <v>15871</v>
      </c>
      <c r="S800" s="23" t="s">
        <v>15876</v>
      </c>
      <c r="T800" s="23" t="s">
        <v>15881</v>
      </c>
    </row>
    <row r="801" spans="1:20" x14ac:dyDescent="0.2">
      <c r="A801" s="23" t="s">
        <v>92</v>
      </c>
      <c r="C801" s="23" t="s">
        <v>5047</v>
      </c>
      <c r="D801" s="23" t="s">
        <v>5048</v>
      </c>
      <c r="E801" s="23" t="s">
        <v>5049</v>
      </c>
      <c r="G801" s="23" t="s">
        <v>5050</v>
      </c>
      <c r="K801" s="23" t="s">
        <v>5051</v>
      </c>
      <c r="L801" s="23" t="s">
        <v>5052</v>
      </c>
      <c r="O801" s="23" t="s">
        <v>11531</v>
      </c>
      <c r="P801" s="23" t="s">
        <v>15862</v>
      </c>
      <c r="Q801" s="23" t="s">
        <v>15867</v>
      </c>
      <c r="R801" s="23" t="s">
        <v>15872</v>
      </c>
      <c r="S801" s="23" t="s">
        <v>15877</v>
      </c>
      <c r="T801" s="23" t="s">
        <v>15882</v>
      </c>
    </row>
    <row r="802" spans="1:20" x14ac:dyDescent="0.2">
      <c r="A802" s="23" t="s">
        <v>92</v>
      </c>
      <c r="C802" s="23" t="s">
        <v>5053</v>
      </c>
      <c r="D802" s="23" t="s">
        <v>5054</v>
      </c>
      <c r="E802" s="23" t="s">
        <v>5055</v>
      </c>
      <c r="G802" s="23" t="s">
        <v>5056</v>
      </c>
      <c r="K802" s="23" t="s">
        <v>5057</v>
      </c>
      <c r="L802" s="23" t="s">
        <v>5058</v>
      </c>
      <c r="O802" s="23" t="s">
        <v>11573</v>
      </c>
      <c r="P802" s="23" t="s">
        <v>15863</v>
      </c>
      <c r="Q802" s="23" t="s">
        <v>15868</v>
      </c>
      <c r="R802" s="23" t="s">
        <v>15873</v>
      </c>
      <c r="S802" s="23" t="s">
        <v>15878</v>
      </c>
      <c r="T802" s="23" t="s">
        <v>15883</v>
      </c>
    </row>
    <row r="803" spans="1:20" x14ac:dyDescent="0.2">
      <c r="A803" s="23" t="s">
        <v>92</v>
      </c>
      <c r="C803" s="23" t="s">
        <v>5059</v>
      </c>
      <c r="D803" s="23" t="s">
        <v>5060</v>
      </c>
      <c r="E803" s="23" t="s">
        <v>5061</v>
      </c>
      <c r="G803" s="23" t="s">
        <v>5062</v>
      </c>
      <c r="K803" s="23" t="s">
        <v>5063</v>
      </c>
      <c r="L803" s="23" t="s">
        <v>5064</v>
      </c>
      <c r="O803" s="23" t="s">
        <v>11921</v>
      </c>
      <c r="P803" s="23" t="s">
        <v>15864</v>
      </c>
      <c r="Q803" s="23" t="s">
        <v>15869</v>
      </c>
      <c r="R803" s="23" t="s">
        <v>15874</v>
      </c>
      <c r="S803" s="23" t="s">
        <v>15879</v>
      </c>
      <c r="T803" s="23" t="s">
        <v>15884</v>
      </c>
    </row>
    <row r="804" spans="1:20" x14ac:dyDescent="0.2">
      <c r="A804" s="23" t="s">
        <v>92</v>
      </c>
      <c r="C804" s="23" t="s">
        <v>5035</v>
      </c>
      <c r="D804" s="23" t="s">
        <v>5036</v>
      </c>
      <c r="E804" s="23" t="s">
        <v>5037</v>
      </c>
      <c r="G804" s="23" t="s">
        <v>5038</v>
      </c>
      <c r="K804" s="23" t="s">
        <v>5039</v>
      </c>
      <c r="L804" s="23" t="s">
        <v>5040</v>
      </c>
    </row>
    <row r="805" spans="1:20" x14ac:dyDescent="0.2">
      <c r="A805" s="23" t="s">
        <v>92</v>
      </c>
      <c r="C805" s="23" t="s">
        <v>5065</v>
      </c>
      <c r="D805" s="23" t="s">
        <v>5066</v>
      </c>
      <c r="E805" s="23" t="s">
        <v>5067</v>
      </c>
      <c r="G805" s="23" t="s">
        <v>5068</v>
      </c>
      <c r="K805" s="23" t="s">
        <v>5069</v>
      </c>
      <c r="L805" s="23" t="s">
        <v>5070</v>
      </c>
      <c r="M805" s="23" t="s">
        <v>5071</v>
      </c>
      <c r="N805" s="23" t="s">
        <v>5072</v>
      </c>
      <c r="T805" s="23" t="s">
        <v>5073</v>
      </c>
    </row>
    <row r="806" spans="1:20" x14ac:dyDescent="0.2">
      <c r="A806" s="23" t="s">
        <v>92</v>
      </c>
      <c r="C806" s="23" t="s">
        <v>5074</v>
      </c>
      <c r="D806" s="23" t="s">
        <v>5075</v>
      </c>
      <c r="E806" s="23" t="s">
        <v>5076</v>
      </c>
      <c r="G806" s="23" t="s">
        <v>5077</v>
      </c>
      <c r="K806" s="23" t="s">
        <v>5078</v>
      </c>
      <c r="L806" s="23" t="s">
        <v>5079</v>
      </c>
      <c r="M806" s="23" t="s">
        <v>5080</v>
      </c>
      <c r="N806" s="23" t="s">
        <v>5081</v>
      </c>
    </row>
    <row r="807" spans="1:20" x14ac:dyDescent="0.2">
      <c r="A807" s="23" t="s">
        <v>92</v>
      </c>
      <c r="C807" s="23" t="s">
        <v>5082</v>
      </c>
      <c r="D807" s="23" t="s">
        <v>5083</v>
      </c>
      <c r="E807" s="23" t="s">
        <v>5084</v>
      </c>
      <c r="G807" s="23" t="s">
        <v>5085</v>
      </c>
      <c r="K807" s="23" t="s">
        <v>5086</v>
      </c>
      <c r="L807" s="23" t="s">
        <v>5087</v>
      </c>
      <c r="O807" s="23" t="s">
        <v>11922</v>
      </c>
      <c r="P807" s="23" t="s">
        <v>5088</v>
      </c>
      <c r="Q807" s="23" t="s">
        <v>5089</v>
      </c>
      <c r="R807" s="23" t="s">
        <v>5090</v>
      </c>
      <c r="S807" s="23" t="s">
        <v>5091</v>
      </c>
      <c r="T807" s="23" t="s">
        <v>5092</v>
      </c>
    </row>
    <row r="808" spans="1:20" x14ac:dyDescent="0.2">
      <c r="A808" s="23" t="s">
        <v>92</v>
      </c>
      <c r="C808" s="23" t="s">
        <v>5093</v>
      </c>
      <c r="D808" s="23" t="s">
        <v>5094</v>
      </c>
      <c r="E808" s="23" t="s">
        <v>5095</v>
      </c>
      <c r="G808" s="23" t="s">
        <v>5096</v>
      </c>
      <c r="K808" s="23" t="s">
        <v>5097</v>
      </c>
      <c r="L808" s="23" t="s">
        <v>5098</v>
      </c>
      <c r="O808" s="23" t="s">
        <v>11923</v>
      </c>
      <c r="P808" s="23" t="s">
        <v>15835</v>
      </c>
      <c r="Q808" s="23" t="s">
        <v>15840</v>
      </c>
      <c r="R808" s="23" t="s">
        <v>15845</v>
      </c>
      <c r="S808" s="23" t="s">
        <v>15850</v>
      </c>
      <c r="T808" s="23" t="s">
        <v>15855</v>
      </c>
    </row>
    <row r="809" spans="1:20" x14ac:dyDescent="0.2">
      <c r="A809" s="23" t="s">
        <v>92</v>
      </c>
      <c r="C809" s="23" t="s">
        <v>5099</v>
      </c>
      <c r="D809" s="23" t="s">
        <v>5100</v>
      </c>
      <c r="E809" s="23" t="s">
        <v>5101</v>
      </c>
      <c r="G809" s="23" t="s">
        <v>5102</v>
      </c>
      <c r="K809" s="23" t="s">
        <v>5103</v>
      </c>
      <c r="L809" s="23" t="s">
        <v>5104</v>
      </c>
      <c r="O809" s="23" t="s">
        <v>11924</v>
      </c>
      <c r="P809" s="23" t="s">
        <v>15836</v>
      </c>
      <c r="Q809" s="23" t="s">
        <v>15841</v>
      </c>
      <c r="R809" s="23" t="s">
        <v>15846</v>
      </c>
      <c r="S809" s="23" t="s">
        <v>15851</v>
      </c>
      <c r="T809" s="23" t="s">
        <v>15856</v>
      </c>
    </row>
    <row r="810" spans="1:20" x14ac:dyDescent="0.2">
      <c r="A810" s="23" t="s">
        <v>92</v>
      </c>
      <c r="C810" s="23" t="s">
        <v>5105</v>
      </c>
      <c r="D810" s="23" t="s">
        <v>5106</v>
      </c>
      <c r="E810" s="23" t="s">
        <v>5107</v>
      </c>
      <c r="G810" s="23" t="s">
        <v>5108</v>
      </c>
      <c r="K810" s="23" t="s">
        <v>5109</v>
      </c>
      <c r="L810" s="23" t="s">
        <v>5110</v>
      </c>
      <c r="O810" s="23" t="s">
        <v>11538</v>
      </c>
      <c r="P810" s="23" t="s">
        <v>15837</v>
      </c>
      <c r="Q810" s="23" t="s">
        <v>15842</v>
      </c>
      <c r="R810" s="23" t="s">
        <v>15847</v>
      </c>
      <c r="S810" s="23" t="s">
        <v>15852</v>
      </c>
      <c r="T810" s="23" t="s">
        <v>15857</v>
      </c>
    </row>
    <row r="811" spans="1:20" x14ac:dyDescent="0.2">
      <c r="A811" s="23" t="s">
        <v>92</v>
      </c>
      <c r="C811" s="23" t="s">
        <v>5111</v>
      </c>
      <c r="D811" s="23" t="s">
        <v>5112</v>
      </c>
      <c r="E811" s="23" t="s">
        <v>5113</v>
      </c>
      <c r="G811" s="23" t="s">
        <v>5114</v>
      </c>
      <c r="K811" s="23" t="s">
        <v>5115</v>
      </c>
      <c r="L811" s="23" t="s">
        <v>5116</v>
      </c>
      <c r="O811" s="23" t="s">
        <v>11578</v>
      </c>
      <c r="P811" s="23" t="s">
        <v>15838</v>
      </c>
      <c r="Q811" s="23" t="s">
        <v>15843</v>
      </c>
      <c r="R811" s="23" t="s">
        <v>15848</v>
      </c>
      <c r="S811" s="23" t="s">
        <v>15853</v>
      </c>
      <c r="T811" s="23" t="s">
        <v>15858</v>
      </c>
    </row>
    <row r="812" spans="1:20" x14ac:dyDescent="0.2">
      <c r="A812" s="23" t="s">
        <v>92</v>
      </c>
      <c r="C812" s="23" t="s">
        <v>5117</v>
      </c>
      <c r="D812" s="23" t="s">
        <v>5118</v>
      </c>
      <c r="E812" s="23" t="s">
        <v>5119</v>
      </c>
      <c r="G812" s="23" t="s">
        <v>5120</v>
      </c>
      <c r="K812" s="23" t="s">
        <v>5121</v>
      </c>
      <c r="L812" s="23" t="s">
        <v>5122</v>
      </c>
      <c r="O812" s="23" t="s">
        <v>11925</v>
      </c>
      <c r="P812" s="23" t="s">
        <v>15839</v>
      </c>
      <c r="Q812" s="23" t="s">
        <v>15844</v>
      </c>
      <c r="R812" s="23" t="s">
        <v>15849</v>
      </c>
      <c r="S812" s="23" t="s">
        <v>15854</v>
      </c>
      <c r="T812" s="23" t="s">
        <v>15859</v>
      </c>
    </row>
    <row r="813" spans="1:20" x14ac:dyDescent="0.2">
      <c r="A813" s="23" t="s">
        <v>92</v>
      </c>
      <c r="C813" s="23" t="s">
        <v>5093</v>
      </c>
      <c r="D813" s="23" t="s">
        <v>5094</v>
      </c>
      <c r="E813" s="23" t="s">
        <v>5095</v>
      </c>
      <c r="G813" s="23" t="s">
        <v>5096</v>
      </c>
      <c r="K813" s="23" t="s">
        <v>5097</v>
      </c>
      <c r="L813" s="23" t="s">
        <v>5098</v>
      </c>
    </row>
    <row r="814" spans="1:20" x14ac:dyDescent="0.2">
      <c r="A814" s="23" t="s">
        <v>92</v>
      </c>
      <c r="C814" s="23" t="s">
        <v>5123</v>
      </c>
      <c r="D814" s="23" t="s">
        <v>5124</v>
      </c>
      <c r="E814" s="23" t="s">
        <v>5125</v>
      </c>
      <c r="G814" s="23" t="s">
        <v>5126</v>
      </c>
      <c r="K814" s="23" t="s">
        <v>5127</v>
      </c>
      <c r="L814" s="23" t="s">
        <v>5128</v>
      </c>
      <c r="M814" s="23" t="s">
        <v>5129</v>
      </c>
      <c r="N814" s="23" t="s">
        <v>5130</v>
      </c>
      <c r="T814" s="23" t="s">
        <v>5131</v>
      </c>
    </row>
    <row r="815" spans="1:20" x14ac:dyDescent="0.2">
      <c r="A815" s="23" t="s">
        <v>92</v>
      </c>
      <c r="C815" s="23" t="s">
        <v>5132</v>
      </c>
      <c r="D815" s="23" t="s">
        <v>5133</v>
      </c>
      <c r="E815" s="23" t="s">
        <v>5134</v>
      </c>
      <c r="G815" s="23" t="s">
        <v>5135</v>
      </c>
      <c r="K815" s="23" t="s">
        <v>5136</v>
      </c>
      <c r="L815" s="23" t="s">
        <v>5137</v>
      </c>
      <c r="M815" s="23" t="s">
        <v>5138</v>
      </c>
      <c r="N815" s="23" t="s">
        <v>5139</v>
      </c>
    </row>
    <row r="816" spans="1:20" x14ac:dyDescent="0.2">
      <c r="A816" s="23" t="s">
        <v>92</v>
      </c>
      <c r="C816" s="23" t="s">
        <v>5140</v>
      </c>
      <c r="D816" s="23" t="s">
        <v>5141</v>
      </c>
      <c r="E816" s="23" t="s">
        <v>5142</v>
      </c>
      <c r="G816" s="23" t="s">
        <v>5143</v>
      </c>
      <c r="K816" s="23" t="s">
        <v>5144</v>
      </c>
      <c r="L816" s="23" t="s">
        <v>5145</v>
      </c>
      <c r="O816" s="23" t="s">
        <v>11926</v>
      </c>
      <c r="P816" s="23" t="s">
        <v>5146</v>
      </c>
      <c r="Q816" s="23" t="s">
        <v>5147</v>
      </c>
      <c r="R816" s="23" t="s">
        <v>5148</v>
      </c>
      <c r="S816" s="23" t="s">
        <v>5149</v>
      </c>
      <c r="T816" s="23" t="s">
        <v>5150</v>
      </c>
    </row>
    <row r="817" spans="1:20" x14ac:dyDescent="0.2">
      <c r="A817" s="23" t="s">
        <v>92</v>
      </c>
      <c r="C817" s="23" t="s">
        <v>5151</v>
      </c>
      <c r="D817" s="23" t="s">
        <v>5152</v>
      </c>
      <c r="E817" s="23" t="s">
        <v>5153</v>
      </c>
      <c r="G817" s="23" t="s">
        <v>5154</v>
      </c>
      <c r="K817" s="23" t="s">
        <v>5155</v>
      </c>
      <c r="L817" s="23" t="s">
        <v>5156</v>
      </c>
      <c r="O817" s="23" t="s">
        <v>11927</v>
      </c>
      <c r="P817" s="23" t="s">
        <v>15805</v>
      </c>
      <c r="Q817" s="23" t="s">
        <v>15811</v>
      </c>
      <c r="R817" s="23" t="s">
        <v>15817</v>
      </c>
      <c r="S817" s="23" t="s">
        <v>15823</v>
      </c>
      <c r="T817" s="23" t="s">
        <v>15829</v>
      </c>
    </row>
    <row r="818" spans="1:20" x14ac:dyDescent="0.2">
      <c r="A818" s="23" t="s">
        <v>92</v>
      </c>
      <c r="C818" s="23" t="s">
        <v>5157</v>
      </c>
      <c r="D818" s="23" t="s">
        <v>5158</v>
      </c>
      <c r="E818" s="23" t="s">
        <v>5159</v>
      </c>
      <c r="G818" s="23" t="s">
        <v>5160</v>
      </c>
      <c r="K818" s="23" t="s">
        <v>5161</v>
      </c>
      <c r="L818" s="23" t="s">
        <v>5162</v>
      </c>
      <c r="O818" s="23" t="s">
        <v>11928</v>
      </c>
      <c r="P818" s="23" t="s">
        <v>15806</v>
      </c>
      <c r="Q818" s="23" t="s">
        <v>15812</v>
      </c>
      <c r="R818" s="23" t="s">
        <v>15818</v>
      </c>
      <c r="S818" s="23" t="s">
        <v>15824</v>
      </c>
      <c r="T818" s="23" t="s">
        <v>15830</v>
      </c>
    </row>
    <row r="819" spans="1:20" x14ac:dyDescent="0.2">
      <c r="A819" s="23" t="s">
        <v>92</v>
      </c>
      <c r="C819" s="23" t="s">
        <v>5163</v>
      </c>
      <c r="D819" s="23" t="s">
        <v>5164</v>
      </c>
      <c r="E819" s="23" t="s">
        <v>5165</v>
      </c>
      <c r="G819" s="23" t="s">
        <v>5166</v>
      </c>
      <c r="K819" s="23" t="s">
        <v>5167</v>
      </c>
      <c r="L819" s="23" t="s">
        <v>5168</v>
      </c>
      <c r="O819" s="23" t="s">
        <v>11546</v>
      </c>
      <c r="P819" s="23" t="s">
        <v>15807</v>
      </c>
      <c r="Q819" s="23" t="s">
        <v>15813</v>
      </c>
      <c r="R819" s="23" t="s">
        <v>15819</v>
      </c>
      <c r="S819" s="23" t="s">
        <v>15825</v>
      </c>
      <c r="T819" s="23" t="s">
        <v>15831</v>
      </c>
    </row>
    <row r="820" spans="1:20" x14ac:dyDescent="0.2">
      <c r="A820" s="23" t="s">
        <v>92</v>
      </c>
      <c r="C820" s="23" t="s">
        <v>5169</v>
      </c>
      <c r="D820" s="23" t="s">
        <v>5170</v>
      </c>
      <c r="E820" s="23" t="s">
        <v>5171</v>
      </c>
      <c r="G820" s="23" t="s">
        <v>5172</v>
      </c>
      <c r="K820" s="23" t="s">
        <v>5173</v>
      </c>
      <c r="L820" s="23" t="s">
        <v>5174</v>
      </c>
      <c r="O820" s="23" t="s">
        <v>11583</v>
      </c>
      <c r="P820" s="23" t="s">
        <v>15808</v>
      </c>
      <c r="Q820" s="23" t="s">
        <v>15814</v>
      </c>
      <c r="R820" s="23" t="s">
        <v>15820</v>
      </c>
      <c r="S820" s="23" t="s">
        <v>15826</v>
      </c>
      <c r="T820" s="23" t="s">
        <v>15832</v>
      </c>
    </row>
    <row r="821" spans="1:20" x14ac:dyDescent="0.2">
      <c r="A821" s="23" t="s">
        <v>92</v>
      </c>
      <c r="C821" s="23" t="s">
        <v>5175</v>
      </c>
      <c r="D821" s="23" t="s">
        <v>5176</v>
      </c>
      <c r="E821" s="23" t="s">
        <v>5177</v>
      </c>
      <c r="G821" s="23" t="s">
        <v>5178</v>
      </c>
      <c r="K821" s="23" t="s">
        <v>5179</v>
      </c>
      <c r="L821" s="23" t="s">
        <v>5180</v>
      </c>
      <c r="O821" s="23" t="s">
        <v>11929</v>
      </c>
      <c r="P821" s="23" t="s">
        <v>15809</v>
      </c>
      <c r="Q821" s="23" t="s">
        <v>15815</v>
      </c>
      <c r="R821" s="23" t="s">
        <v>15821</v>
      </c>
      <c r="S821" s="23" t="s">
        <v>15827</v>
      </c>
      <c r="T821" s="23" t="s">
        <v>15833</v>
      </c>
    </row>
    <row r="822" spans="1:20" x14ac:dyDescent="0.2">
      <c r="A822" s="23" t="s">
        <v>92</v>
      </c>
      <c r="C822" s="23" t="s">
        <v>5181</v>
      </c>
      <c r="D822" s="23" t="s">
        <v>5182</v>
      </c>
      <c r="E822" s="23" t="s">
        <v>5183</v>
      </c>
      <c r="G822" s="23" t="s">
        <v>5184</v>
      </c>
      <c r="K822" s="23" t="s">
        <v>5185</v>
      </c>
      <c r="L822" s="23" t="s">
        <v>5186</v>
      </c>
      <c r="O822" s="23" t="s">
        <v>11930</v>
      </c>
      <c r="P822" s="23" t="s">
        <v>15810</v>
      </c>
      <c r="Q822" s="23" t="s">
        <v>15816</v>
      </c>
      <c r="R822" s="23" t="s">
        <v>15822</v>
      </c>
      <c r="S822" s="23" t="s">
        <v>15828</v>
      </c>
      <c r="T822" s="23" t="s">
        <v>15834</v>
      </c>
    </row>
    <row r="823" spans="1:20" x14ac:dyDescent="0.2">
      <c r="A823" s="23" t="s">
        <v>92</v>
      </c>
      <c r="C823" s="23" t="s">
        <v>5151</v>
      </c>
      <c r="D823" s="23" t="s">
        <v>5152</v>
      </c>
      <c r="E823" s="23" t="s">
        <v>5153</v>
      </c>
      <c r="G823" s="23" t="s">
        <v>5154</v>
      </c>
      <c r="K823" s="23" t="s">
        <v>5155</v>
      </c>
      <c r="L823" s="23" t="s">
        <v>5156</v>
      </c>
    </row>
    <row r="824" spans="1:20" x14ac:dyDescent="0.2">
      <c r="A824" s="23" t="s">
        <v>92</v>
      </c>
      <c r="C824" s="23" t="s">
        <v>5187</v>
      </c>
      <c r="D824" s="23" t="s">
        <v>5188</v>
      </c>
      <c r="E824" s="23" t="s">
        <v>5189</v>
      </c>
      <c r="G824" s="23" t="s">
        <v>5190</v>
      </c>
      <c r="K824" s="23" t="s">
        <v>5191</v>
      </c>
      <c r="L824" s="23" t="s">
        <v>5192</v>
      </c>
      <c r="M824" s="23" t="s">
        <v>5193</v>
      </c>
      <c r="N824" s="23" t="s">
        <v>5194</v>
      </c>
      <c r="T824" s="23" t="s">
        <v>5195</v>
      </c>
    </row>
    <row r="825" spans="1:20" x14ac:dyDescent="0.2">
      <c r="A825" s="23" t="s">
        <v>92</v>
      </c>
      <c r="C825" s="23" t="s">
        <v>5196</v>
      </c>
      <c r="D825" s="23" t="s">
        <v>5197</v>
      </c>
      <c r="E825" s="23" t="s">
        <v>5198</v>
      </c>
      <c r="G825" s="23" t="s">
        <v>5199</v>
      </c>
      <c r="K825" s="23" t="s">
        <v>5200</v>
      </c>
      <c r="L825" s="23" t="s">
        <v>5201</v>
      </c>
      <c r="M825" s="23" t="s">
        <v>5202</v>
      </c>
      <c r="N825" s="23" t="s">
        <v>5203</v>
      </c>
    </row>
    <row r="826" spans="1:20" x14ac:dyDescent="0.2">
      <c r="A826" s="23" t="s">
        <v>92</v>
      </c>
      <c r="C826" s="23" t="s">
        <v>5204</v>
      </c>
      <c r="D826" s="23" t="s">
        <v>5205</v>
      </c>
      <c r="E826" s="23" t="s">
        <v>5206</v>
      </c>
      <c r="G826" s="23" t="s">
        <v>5207</v>
      </c>
      <c r="K826" s="23" t="s">
        <v>5208</v>
      </c>
      <c r="L826" s="23" t="s">
        <v>5209</v>
      </c>
      <c r="O826" s="23" t="s">
        <v>11931</v>
      </c>
      <c r="P826" s="23" t="s">
        <v>5210</v>
      </c>
      <c r="Q826" s="23" t="s">
        <v>5211</v>
      </c>
      <c r="R826" s="23" t="s">
        <v>5212</v>
      </c>
      <c r="S826" s="23" t="s">
        <v>5213</v>
      </c>
      <c r="T826" s="23" t="s">
        <v>5214</v>
      </c>
    </row>
    <row r="827" spans="1:20" x14ac:dyDescent="0.2">
      <c r="A827" s="23" t="s">
        <v>92</v>
      </c>
      <c r="C827" s="23" t="s">
        <v>5215</v>
      </c>
      <c r="D827" s="23" t="s">
        <v>5216</v>
      </c>
      <c r="E827" s="23" t="s">
        <v>5217</v>
      </c>
      <c r="G827" s="23" t="s">
        <v>5218</v>
      </c>
      <c r="K827" s="23" t="s">
        <v>5219</v>
      </c>
      <c r="L827" s="23" t="s">
        <v>5220</v>
      </c>
      <c r="O827" s="23" t="s">
        <v>11932</v>
      </c>
      <c r="P827" s="23" t="s">
        <v>15780</v>
      </c>
      <c r="Q827" s="23" t="s">
        <v>15785</v>
      </c>
      <c r="R827" s="23" t="s">
        <v>15790</v>
      </c>
      <c r="S827" s="23" t="s">
        <v>15795</v>
      </c>
      <c r="T827" s="23" t="s">
        <v>15800</v>
      </c>
    </row>
    <row r="828" spans="1:20" x14ac:dyDescent="0.2">
      <c r="A828" s="23" t="s">
        <v>92</v>
      </c>
      <c r="C828" s="23" t="s">
        <v>5221</v>
      </c>
      <c r="D828" s="23" t="s">
        <v>5222</v>
      </c>
      <c r="E828" s="23" t="s">
        <v>5223</v>
      </c>
      <c r="G828" s="23" t="s">
        <v>5224</v>
      </c>
      <c r="K828" s="23" t="s">
        <v>5225</v>
      </c>
      <c r="L828" s="23" t="s">
        <v>5226</v>
      </c>
      <c r="O828" s="23" t="s">
        <v>11933</v>
      </c>
      <c r="P828" s="23" t="s">
        <v>15781</v>
      </c>
      <c r="Q828" s="23" t="s">
        <v>15786</v>
      </c>
      <c r="R828" s="23" t="s">
        <v>15791</v>
      </c>
      <c r="S828" s="23" t="s">
        <v>15796</v>
      </c>
      <c r="T828" s="23" t="s">
        <v>15801</v>
      </c>
    </row>
    <row r="829" spans="1:20" x14ac:dyDescent="0.2">
      <c r="A829" s="23" t="s">
        <v>92</v>
      </c>
      <c r="C829" s="23" t="s">
        <v>5227</v>
      </c>
      <c r="D829" s="23" t="s">
        <v>5228</v>
      </c>
      <c r="E829" s="23" t="s">
        <v>5229</v>
      </c>
      <c r="G829" s="23" t="s">
        <v>5230</v>
      </c>
      <c r="K829" s="23" t="s">
        <v>5231</v>
      </c>
      <c r="L829" s="23" t="s">
        <v>5232</v>
      </c>
      <c r="O829" s="23" t="s">
        <v>11554</v>
      </c>
      <c r="P829" s="23" t="s">
        <v>15782</v>
      </c>
      <c r="Q829" s="23" t="s">
        <v>15787</v>
      </c>
      <c r="R829" s="23" t="s">
        <v>15792</v>
      </c>
      <c r="S829" s="23" t="s">
        <v>15797</v>
      </c>
      <c r="T829" s="23" t="s">
        <v>15802</v>
      </c>
    </row>
    <row r="830" spans="1:20" x14ac:dyDescent="0.2">
      <c r="A830" s="23" t="s">
        <v>92</v>
      </c>
      <c r="C830" s="23" t="s">
        <v>5233</v>
      </c>
      <c r="D830" s="23" t="s">
        <v>5234</v>
      </c>
      <c r="E830" s="23" t="s">
        <v>5235</v>
      </c>
      <c r="G830" s="23" t="s">
        <v>5236</v>
      </c>
      <c r="K830" s="23" t="s">
        <v>5237</v>
      </c>
      <c r="L830" s="23" t="s">
        <v>5238</v>
      </c>
      <c r="O830" s="23" t="s">
        <v>11588</v>
      </c>
      <c r="P830" s="23" t="s">
        <v>15783</v>
      </c>
      <c r="Q830" s="23" t="s">
        <v>15788</v>
      </c>
      <c r="R830" s="23" t="s">
        <v>15793</v>
      </c>
      <c r="S830" s="23" t="s">
        <v>15798</v>
      </c>
      <c r="T830" s="23" t="s">
        <v>15803</v>
      </c>
    </row>
    <row r="831" spans="1:20" x14ac:dyDescent="0.2">
      <c r="A831" s="23" t="s">
        <v>92</v>
      </c>
      <c r="C831" s="23" t="s">
        <v>5239</v>
      </c>
      <c r="D831" s="23" t="s">
        <v>5240</v>
      </c>
      <c r="E831" s="23" t="s">
        <v>5241</v>
      </c>
      <c r="G831" s="23" t="s">
        <v>5242</v>
      </c>
      <c r="K831" s="23" t="s">
        <v>5243</v>
      </c>
      <c r="L831" s="23" t="s">
        <v>5244</v>
      </c>
      <c r="O831" s="23" t="s">
        <v>11934</v>
      </c>
      <c r="P831" s="23" t="s">
        <v>15784</v>
      </c>
      <c r="Q831" s="23" t="s">
        <v>15789</v>
      </c>
      <c r="R831" s="23" t="s">
        <v>15794</v>
      </c>
      <c r="S831" s="23" t="s">
        <v>15799</v>
      </c>
      <c r="T831" s="23" t="s">
        <v>15804</v>
      </c>
    </row>
    <row r="832" spans="1:20" x14ac:dyDescent="0.2">
      <c r="A832" s="23" t="s">
        <v>92</v>
      </c>
      <c r="C832" s="23" t="s">
        <v>5215</v>
      </c>
      <c r="D832" s="23" t="s">
        <v>5216</v>
      </c>
      <c r="E832" s="23" t="s">
        <v>5217</v>
      </c>
      <c r="G832" s="23" t="s">
        <v>5218</v>
      </c>
      <c r="K832" s="23" t="s">
        <v>5219</v>
      </c>
      <c r="L832" s="23" t="s">
        <v>5220</v>
      </c>
    </row>
    <row r="833" spans="1:20" x14ac:dyDescent="0.2">
      <c r="A833" s="23" t="s">
        <v>92</v>
      </c>
      <c r="C833" s="23" t="s">
        <v>5245</v>
      </c>
      <c r="D833" s="23" t="s">
        <v>5246</v>
      </c>
      <c r="E833" s="23" t="s">
        <v>5247</v>
      </c>
      <c r="G833" s="23" t="s">
        <v>5248</v>
      </c>
      <c r="K833" s="23" t="s">
        <v>5249</v>
      </c>
      <c r="L833" s="23" t="s">
        <v>5250</v>
      </c>
      <c r="M833" s="23" t="s">
        <v>5251</v>
      </c>
      <c r="N833" s="23" t="s">
        <v>5252</v>
      </c>
      <c r="T833" s="23" t="s">
        <v>5253</v>
      </c>
    </row>
    <row r="834" spans="1:20" x14ac:dyDescent="0.2">
      <c r="A834" s="23" t="s">
        <v>92</v>
      </c>
      <c r="C834" s="23" t="s">
        <v>5254</v>
      </c>
      <c r="D834" s="23" t="s">
        <v>5255</v>
      </c>
      <c r="E834" s="23" t="s">
        <v>5256</v>
      </c>
      <c r="G834" s="23" t="s">
        <v>5257</v>
      </c>
      <c r="K834" s="23" t="s">
        <v>5258</v>
      </c>
      <c r="L834" s="23" t="s">
        <v>5259</v>
      </c>
      <c r="M834" s="23" t="s">
        <v>5260</v>
      </c>
      <c r="N834" s="23" t="s">
        <v>5261</v>
      </c>
    </row>
    <row r="835" spans="1:20" x14ac:dyDescent="0.2">
      <c r="A835" s="23" t="s">
        <v>92</v>
      </c>
      <c r="C835" s="23" t="s">
        <v>5262</v>
      </c>
      <c r="D835" s="23" t="s">
        <v>5263</v>
      </c>
      <c r="E835" s="23" t="s">
        <v>5264</v>
      </c>
      <c r="G835" s="23" t="s">
        <v>5265</v>
      </c>
      <c r="K835" s="23" t="s">
        <v>5266</v>
      </c>
      <c r="L835" s="23" t="s">
        <v>5267</v>
      </c>
      <c r="O835" s="23" t="s">
        <v>11935</v>
      </c>
      <c r="P835" s="23" t="s">
        <v>5268</v>
      </c>
      <c r="Q835" s="23" t="s">
        <v>5269</v>
      </c>
      <c r="R835" s="23" t="s">
        <v>5270</v>
      </c>
      <c r="S835" s="23" t="s">
        <v>5271</v>
      </c>
      <c r="T835" s="23" t="s">
        <v>5272</v>
      </c>
    </row>
    <row r="836" spans="1:20" x14ac:dyDescent="0.2">
      <c r="A836" s="23" t="s">
        <v>92</v>
      </c>
      <c r="C836" s="23" t="s">
        <v>5273</v>
      </c>
      <c r="D836" s="23" t="s">
        <v>5274</v>
      </c>
      <c r="E836" s="23" t="s">
        <v>5275</v>
      </c>
      <c r="G836" s="23" t="s">
        <v>5276</v>
      </c>
      <c r="K836" s="23" t="s">
        <v>5277</v>
      </c>
      <c r="L836" s="23" t="s">
        <v>5278</v>
      </c>
      <c r="O836" s="23" t="s">
        <v>11936</v>
      </c>
      <c r="P836" s="23" t="s">
        <v>11937</v>
      </c>
      <c r="Q836" s="23" t="s">
        <v>11938</v>
      </c>
      <c r="R836" s="23" t="s">
        <v>11939</v>
      </c>
      <c r="S836" s="23" t="s">
        <v>11940</v>
      </c>
      <c r="T836" s="23" t="s">
        <v>11941</v>
      </c>
    </row>
    <row r="837" spans="1:20" x14ac:dyDescent="0.2">
      <c r="A837" s="23" t="s">
        <v>92</v>
      </c>
      <c r="C837" s="23" t="s">
        <v>5273</v>
      </c>
      <c r="D837" s="23" t="s">
        <v>5274</v>
      </c>
      <c r="E837" s="23" t="s">
        <v>5275</v>
      </c>
      <c r="G837" s="23" t="s">
        <v>5276</v>
      </c>
      <c r="K837" s="23" t="s">
        <v>5277</v>
      </c>
      <c r="L837" s="23" t="s">
        <v>5278</v>
      </c>
    </row>
    <row r="838" spans="1:20" x14ac:dyDescent="0.2">
      <c r="A838" s="23" t="s">
        <v>92</v>
      </c>
      <c r="C838" s="23" t="s">
        <v>5279</v>
      </c>
      <c r="D838" s="23" t="s">
        <v>5280</v>
      </c>
      <c r="E838" s="23" t="s">
        <v>5281</v>
      </c>
      <c r="G838" s="23" t="s">
        <v>5282</v>
      </c>
      <c r="K838" s="23" t="s">
        <v>5283</v>
      </c>
      <c r="L838" s="23" t="s">
        <v>5284</v>
      </c>
      <c r="M838" s="23" t="s">
        <v>5285</v>
      </c>
      <c r="N838" s="23" t="s">
        <v>5286</v>
      </c>
      <c r="T838" s="23" t="s">
        <v>5287</v>
      </c>
    </row>
    <row r="839" spans="1:20" x14ac:dyDescent="0.2">
      <c r="A839" s="23" t="s">
        <v>92</v>
      </c>
      <c r="C839" s="23" t="s">
        <v>5288</v>
      </c>
      <c r="D839" s="23" t="s">
        <v>5289</v>
      </c>
      <c r="E839" s="23" t="s">
        <v>5290</v>
      </c>
      <c r="G839" s="23" t="s">
        <v>5291</v>
      </c>
      <c r="K839" s="23" t="s">
        <v>5292</v>
      </c>
      <c r="L839" s="23" t="s">
        <v>5293</v>
      </c>
      <c r="M839" s="23" t="s">
        <v>5294</v>
      </c>
      <c r="N839" s="23" t="s">
        <v>5295</v>
      </c>
    </row>
    <row r="840" spans="1:20" x14ac:dyDescent="0.2">
      <c r="A840" s="23" t="s">
        <v>92</v>
      </c>
      <c r="C840" s="23" t="s">
        <v>5296</v>
      </c>
      <c r="D840" s="23" t="s">
        <v>5297</v>
      </c>
      <c r="E840" s="23" t="s">
        <v>5298</v>
      </c>
      <c r="G840" s="23" t="s">
        <v>5299</v>
      </c>
      <c r="K840" s="23" t="s">
        <v>5300</v>
      </c>
      <c r="L840" s="23" t="s">
        <v>5301</v>
      </c>
      <c r="O840" s="23" t="s">
        <v>11942</v>
      </c>
      <c r="P840" s="23" t="s">
        <v>5302</v>
      </c>
      <c r="Q840" s="23" t="s">
        <v>5303</v>
      </c>
      <c r="R840" s="23" t="s">
        <v>5304</v>
      </c>
      <c r="S840" s="23" t="s">
        <v>5305</v>
      </c>
      <c r="T840" s="23" t="s">
        <v>5306</v>
      </c>
    </row>
    <row r="841" spans="1:20" x14ac:dyDescent="0.2">
      <c r="A841" s="23" t="s">
        <v>92</v>
      </c>
      <c r="C841" s="23" t="s">
        <v>5307</v>
      </c>
      <c r="D841" s="23" t="s">
        <v>5308</v>
      </c>
      <c r="E841" s="23" t="s">
        <v>5309</v>
      </c>
      <c r="G841" s="23" t="s">
        <v>5310</v>
      </c>
      <c r="K841" s="23" t="s">
        <v>5311</v>
      </c>
      <c r="L841" s="23" t="s">
        <v>5312</v>
      </c>
      <c r="O841" s="23" t="s">
        <v>11943</v>
      </c>
      <c r="P841" s="23" t="s">
        <v>11944</v>
      </c>
      <c r="Q841" s="23" t="s">
        <v>11945</v>
      </c>
      <c r="R841" s="23" t="s">
        <v>11946</v>
      </c>
      <c r="S841" s="23" t="s">
        <v>11947</v>
      </c>
      <c r="T841" s="23" t="s">
        <v>11948</v>
      </c>
    </row>
    <row r="842" spans="1:20" x14ac:dyDescent="0.2">
      <c r="A842" s="23" t="s">
        <v>92</v>
      </c>
      <c r="C842" s="23" t="s">
        <v>5307</v>
      </c>
      <c r="D842" s="23" t="s">
        <v>5308</v>
      </c>
      <c r="E842" s="23" t="s">
        <v>5309</v>
      </c>
      <c r="G842" s="23" t="s">
        <v>5310</v>
      </c>
      <c r="K842" s="23" t="s">
        <v>5311</v>
      </c>
      <c r="L842" s="23" t="s">
        <v>5312</v>
      </c>
    </row>
    <row r="843" spans="1:20" x14ac:dyDescent="0.2">
      <c r="A843" s="23" t="s">
        <v>92</v>
      </c>
      <c r="C843" s="23" t="s">
        <v>5313</v>
      </c>
      <c r="D843" s="23" t="s">
        <v>5314</v>
      </c>
      <c r="E843" s="23" t="s">
        <v>5315</v>
      </c>
      <c r="G843" s="23" t="s">
        <v>5316</v>
      </c>
      <c r="K843" s="23" t="s">
        <v>5317</v>
      </c>
      <c r="L843" s="23" t="s">
        <v>5318</v>
      </c>
      <c r="M843" s="23" t="s">
        <v>5319</v>
      </c>
      <c r="N843" s="23" t="s">
        <v>5320</v>
      </c>
      <c r="T843" s="23" t="s">
        <v>5321</v>
      </c>
    </row>
    <row r="844" spans="1:20" x14ac:dyDescent="0.2">
      <c r="A844" s="23" t="s">
        <v>92</v>
      </c>
      <c r="C844" s="23" t="s">
        <v>4958</v>
      </c>
      <c r="D844" s="23" t="s">
        <v>4959</v>
      </c>
      <c r="E844" s="23" t="s">
        <v>4960</v>
      </c>
      <c r="G844" s="23" t="s">
        <v>4961</v>
      </c>
    </row>
    <row r="845" spans="1:20" x14ac:dyDescent="0.2">
      <c r="A845" s="23" t="s">
        <v>92</v>
      </c>
      <c r="C845" s="23" t="s">
        <v>5322</v>
      </c>
      <c r="D845" s="23" t="s">
        <v>5323</v>
      </c>
      <c r="E845" s="23" t="s">
        <v>5324</v>
      </c>
      <c r="G845" s="23" t="s">
        <v>5325</v>
      </c>
      <c r="H845" s="23" t="s">
        <v>5326</v>
      </c>
      <c r="I845" s="23" t="s">
        <v>5327</v>
      </c>
      <c r="J845" s="23" t="s">
        <v>5328</v>
      </c>
      <c r="T845" s="23" t="s">
        <v>5329</v>
      </c>
    </row>
    <row r="846" spans="1:20" x14ac:dyDescent="0.2">
      <c r="A846" s="23" t="s">
        <v>92</v>
      </c>
      <c r="C846" s="23" t="s">
        <v>5330</v>
      </c>
      <c r="D846" s="23" t="s">
        <v>5331</v>
      </c>
      <c r="E846" s="23" t="s">
        <v>5332</v>
      </c>
      <c r="G846" s="23" t="s">
        <v>5333</v>
      </c>
      <c r="H846" s="23" t="s">
        <v>5334</v>
      </c>
      <c r="I846" s="23" t="s">
        <v>5335</v>
      </c>
      <c r="J846" s="23" t="s">
        <v>5336</v>
      </c>
    </row>
    <row r="847" spans="1:20" x14ac:dyDescent="0.2">
      <c r="A847" s="23" t="s">
        <v>92</v>
      </c>
      <c r="C847" s="23" t="s">
        <v>5337</v>
      </c>
      <c r="D847" s="23" t="s">
        <v>5338</v>
      </c>
      <c r="E847" s="23" t="s">
        <v>5339</v>
      </c>
      <c r="G847" s="23" t="s">
        <v>5340</v>
      </c>
      <c r="K847" s="23" t="s">
        <v>5341</v>
      </c>
      <c r="L847" s="23" t="s">
        <v>5342</v>
      </c>
      <c r="M847" s="23" t="s">
        <v>11949</v>
      </c>
      <c r="N847" s="23" t="s">
        <v>5343</v>
      </c>
    </row>
    <row r="848" spans="1:20" x14ac:dyDescent="0.2">
      <c r="A848" s="23" t="s">
        <v>92</v>
      </c>
      <c r="C848" s="23" t="s">
        <v>5344</v>
      </c>
      <c r="D848" s="23" t="s">
        <v>5345</v>
      </c>
      <c r="E848" s="23" t="s">
        <v>5346</v>
      </c>
      <c r="G848" s="23" t="s">
        <v>5347</v>
      </c>
      <c r="K848" s="23" t="s">
        <v>5348</v>
      </c>
      <c r="L848" s="23" t="s">
        <v>5349</v>
      </c>
      <c r="O848" s="23" t="s">
        <v>11950</v>
      </c>
      <c r="P848" s="23" t="s">
        <v>5350</v>
      </c>
      <c r="Q848" s="23" t="s">
        <v>5351</v>
      </c>
      <c r="R848" s="23" t="s">
        <v>5352</v>
      </c>
      <c r="S848" s="23" t="s">
        <v>5353</v>
      </c>
      <c r="T848" s="23" t="s">
        <v>5354</v>
      </c>
    </row>
    <row r="849" spans="1:20" x14ac:dyDescent="0.2">
      <c r="A849" s="23" t="s">
        <v>92</v>
      </c>
      <c r="C849" s="23" t="s">
        <v>5355</v>
      </c>
      <c r="D849" s="23" t="s">
        <v>5356</v>
      </c>
      <c r="E849" s="23" t="s">
        <v>5357</v>
      </c>
      <c r="G849" s="23" t="s">
        <v>5358</v>
      </c>
      <c r="K849" s="23" t="s">
        <v>5359</v>
      </c>
      <c r="L849" s="23" t="s">
        <v>5360</v>
      </c>
      <c r="O849" s="23" t="s">
        <v>11951</v>
      </c>
      <c r="P849" s="23" t="s">
        <v>15605</v>
      </c>
      <c r="Q849" s="23" t="s">
        <v>15610</v>
      </c>
      <c r="R849" s="23" t="s">
        <v>15615</v>
      </c>
      <c r="S849" s="23" t="s">
        <v>15620</v>
      </c>
      <c r="T849" s="23" t="s">
        <v>15625</v>
      </c>
    </row>
    <row r="850" spans="1:20" x14ac:dyDescent="0.2">
      <c r="A850" s="23" t="s">
        <v>92</v>
      </c>
      <c r="C850" s="23" t="s">
        <v>5361</v>
      </c>
      <c r="D850" s="23" t="s">
        <v>5362</v>
      </c>
      <c r="E850" s="23" t="s">
        <v>5363</v>
      </c>
      <c r="G850" s="23" t="s">
        <v>5364</v>
      </c>
      <c r="K850" s="23" t="s">
        <v>5365</v>
      </c>
      <c r="L850" s="23" t="s">
        <v>5366</v>
      </c>
      <c r="O850" s="23" t="s">
        <v>11517</v>
      </c>
      <c r="P850" s="23" t="s">
        <v>15606</v>
      </c>
      <c r="Q850" s="23" t="s">
        <v>15611</v>
      </c>
      <c r="R850" s="23" t="s">
        <v>15616</v>
      </c>
      <c r="S850" s="23" t="s">
        <v>15621</v>
      </c>
      <c r="T850" s="23" t="s">
        <v>15626</v>
      </c>
    </row>
    <row r="851" spans="1:20" x14ac:dyDescent="0.2">
      <c r="A851" s="23" t="s">
        <v>92</v>
      </c>
      <c r="C851" s="23" t="s">
        <v>5367</v>
      </c>
      <c r="D851" s="23" t="s">
        <v>5368</v>
      </c>
      <c r="E851" s="23" t="s">
        <v>5369</v>
      </c>
      <c r="G851" s="23" t="s">
        <v>5370</v>
      </c>
      <c r="K851" s="23" t="s">
        <v>5371</v>
      </c>
      <c r="L851" s="23" t="s">
        <v>5372</v>
      </c>
      <c r="O851" s="23" t="s">
        <v>11562</v>
      </c>
      <c r="P851" s="23" t="s">
        <v>15607</v>
      </c>
      <c r="Q851" s="23" t="s">
        <v>15612</v>
      </c>
      <c r="R851" s="23" t="s">
        <v>15617</v>
      </c>
      <c r="S851" s="23" t="s">
        <v>15622</v>
      </c>
      <c r="T851" s="23" t="s">
        <v>15627</v>
      </c>
    </row>
    <row r="852" spans="1:20" x14ac:dyDescent="0.2">
      <c r="A852" s="23" t="s">
        <v>92</v>
      </c>
      <c r="C852" s="23" t="s">
        <v>5373</v>
      </c>
      <c r="D852" s="23" t="s">
        <v>5374</v>
      </c>
      <c r="E852" s="23" t="s">
        <v>5375</v>
      </c>
      <c r="G852" s="23" t="s">
        <v>5376</v>
      </c>
      <c r="K852" s="23" t="s">
        <v>5377</v>
      </c>
      <c r="L852" s="23" t="s">
        <v>5378</v>
      </c>
      <c r="O852" s="23" t="s">
        <v>11952</v>
      </c>
      <c r="P852" s="23" t="s">
        <v>15608</v>
      </c>
      <c r="Q852" s="23" t="s">
        <v>15613</v>
      </c>
      <c r="R852" s="23" t="s">
        <v>15618</v>
      </c>
      <c r="S852" s="23" t="s">
        <v>15623</v>
      </c>
      <c r="T852" s="23" t="s">
        <v>15628</v>
      </c>
    </row>
    <row r="853" spans="1:20" x14ac:dyDescent="0.2">
      <c r="A853" s="23" t="s">
        <v>92</v>
      </c>
      <c r="C853" s="23" t="s">
        <v>5379</v>
      </c>
      <c r="D853" s="23" t="s">
        <v>5380</v>
      </c>
      <c r="E853" s="23" t="s">
        <v>5381</v>
      </c>
      <c r="G853" s="23" t="s">
        <v>5382</v>
      </c>
      <c r="K853" s="23" t="s">
        <v>5383</v>
      </c>
      <c r="L853" s="23" t="s">
        <v>5384</v>
      </c>
      <c r="O853" s="23" t="s">
        <v>11953</v>
      </c>
      <c r="P853" s="23" t="s">
        <v>15609</v>
      </c>
      <c r="Q853" s="23" t="s">
        <v>15614</v>
      </c>
      <c r="R853" s="23" t="s">
        <v>15619</v>
      </c>
      <c r="S853" s="23" t="s">
        <v>15624</v>
      </c>
      <c r="T853" s="23" t="s">
        <v>15629</v>
      </c>
    </row>
    <row r="854" spans="1:20" x14ac:dyDescent="0.2">
      <c r="A854" s="23" t="s">
        <v>92</v>
      </c>
      <c r="C854" s="23" t="s">
        <v>5355</v>
      </c>
      <c r="D854" s="23" t="s">
        <v>5356</v>
      </c>
      <c r="E854" s="23" t="s">
        <v>5357</v>
      </c>
      <c r="G854" s="23" t="s">
        <v>5358</v>
      </c>
      <c r="K854" s="23" t="s">
        <v>5359</v>
      </c>
      <c r="L854" s="23" t="s">
        <v>5360</v>
      </c>
    </row>
    <row r="855" spans="1:20" x14ac:dyDescent="0.2">
      <c r="A855" s="23" t="s">
        <v>92</v>
      </c>
      <c r="C855" s="23" t="s">
        <v>5385</v>
      </c>
      <c r="D855" s="23" t="s">
        <v>5386</v>
      </c>
      <c r="E855" s="23" t="s">
        <v>5387</v>
      </c>
      <c r="G855" s="23" t="s">
        <v>5388</v>
      </c>
      <c r="K855" s="23" t="s">
        <v>5389</v>
      </c>
      <c r="L855" s="23" t="s">
        <v>5390</v>
      </c>
      <c r="M855" s="23" t="s">
        <v>5391</v>
      </c>
      <c r="N855" s="23" t="s">
        <v>5392</v>
      </c>
      <c r="T855" s="23" t="s">
        <v>5393</v>
      </c>
    </row>
    <row r="856" spans="1:20" x14ac:dyDescent="0.2">
      <c r="A856" s="23" t="s">
        <v>92</v>
      </c>
      <c r="C856" s="23" t="s">
        <v>5394</v>
      </c>
      <c r="D856" s="23" t="s">
        <v>5395</v>
      </c>
      <c r="E856" s="23" t="s">
        <v>5396</v>
      </c>
      <c r="G856" s="23" t="s">
        <v>5397</v>
      </c>
      <c r="K856" s="23" t="s">
        <v>5398</v>
      </c>
      <c r="L856" s="23" t="s">
        <v>5399</v>
      </c>
      <c r="M856" s="23" t="s">
        <v>5400</v>
      </c>
      <c r="N856" s="23" t="s">
        <v>5401</v>
      </c>
    </row>
    <row r="857" spans="1:20" x14ac:dyDescent="0.2">
      <c r="A857" s="23" t="s">
        <v>92</v>
      </c>
      <c r="C857" s="23" t="s">
        <v>5402</v>
      </c>
      <c r="D857" s="23" t="s">
        <v>5403</v>
      </c>
      <c r="E857" s="23" t="s">
        <v>5404</v>
      </c>
      <c r="G857" s="23" t="s">
        <v>5405</v>
      </c>
      <c r="K857" s="23" t="s">
        <v>5406</v>
      </c>
      <c r="L857" s="23" t="s">
        <v>5407</v>
      </c>
      <c r="O857" s="23" t="s">
        <v>11954</v>
      </c>
      <c r="P857" s="23" t="s">
        <v>5408</v>
      </c>
      <c r="Q857" s="23" t="s">
        <v>5409</v>
      </c>
      <c r="R857" s="23" t="s">
        <v>5410</v>
      </c>
      <c r="S857" s="23" t="s">
        <v>5411</v>
      </c>
      <c r="T857" s="23" t="s">
        <v>5412</v>
      </c>
    </row>
    <row r="858" spans="1:20" x14ac:dyDescent="0.2">
      <c r="A858" s="23" t="s">
        <v>92</v>
      </c>
      <c r="C858" s="23" t="s">
        <v>5413</v>
      </c>
      <c r="D858" s="23" t="s">
        <v>5414</v>
      </c>
      <c r="E858" s="23" t="s">
        <v>5415</v>
      </c>
      <c r="G858" s="23" t="s">
        <v>5416</v>
      </c>
      <c r="K858" s="23" t="s">
        <v>5417</v>
      </c>
      <c r="L858" s="23" t="s">
        <v>5418</v>
      </c>
      <c r="O858" s="23" t="s">
        <v>11955</v>
      </c>
      <c r="P858" s="23" t="s">
        <v>15730</v>
      </c>
      <c r="Q858" s="23" t="s">
        <v>15735</v>
      </c>
      <c r="R858" s="23" t="s">
        <v>15740</v>
      </c>
      <c r="S858" s="23" t="s">
        <v>15745</v>
      </c>
      <c r="T858" s="23" t="s">
        <v>15750</v>
      </c>
    </row>
    <row r="859" spans="1:20" x14ac:dyDescent="0.2">
      <c r="A859" s="23" t="s">
        <v>92</v>
      </c>
      <c r="C859" s="23" t="s">
        <v>5419</v>
      </c>
      <c r="D859" s="23" t="s">
        <v>5420</v>
      </c>
      <c r="E859" s="23" t="s">
        <v>5421</v>
      </c>
      <c r="G859" s="23" t="s">
        <v>5422</v>
      </c>
      <c r="K859" s="23" t="s">
        <v>5423</v>
      </c>
      <c r="L859" s="23" t="s">
        <v>5424</v>
      </c>
      <c r="O859" s="23" t="s">
        <v>11524</v>
      </c>
      <c r="P859" s="23" t="s">
        <v>15731</v>
      </c>
      <c r="Q859" s="23" t="s">
        <v>15736</v>
      </c>
      <c r="R859" s="23" t="s">
        <v>15741</v>
      </c>
      <c r="S859" s="23" t="s">
        <v>15746</v>
      </c>
      <c r="T859" s="23" t="s">
        <v>15751</v>
      </c>
    </row>
    <row r="860" spans="1:20" x14ac:dyDescent="0.2">
      <c r="A860" s="23" t="s">
        <v>92</v>
      </c>
      <c r="C860" s="23" t="s">
        <v>5425</v>
      </c>
      <c r="D860" s="23" t="s">
        <v>5426</v>
      </c>
      <c r="E860" s="23" t="s">
        <v>5427</v>
      </c>
      <c r="G860" s="23" t="s">
        <v>5428</v>
      </c>
      <c r="K860" s="23" t="s">
        <v>5429</v>
      </c>
      <c r="L860" s="23" t="s">
        <v>5430</v>
      </c>
      <c r="O860" s="23" t="s">
        <v>11567</v>
      </c>
      <c r="P860" s="23" t="s">
        <v>15732</v>
      </c>
      <c r="Q860" s="23" t="s">
        <v>15737</v>
      </c>
      <c r="R860" s="23" t="s">
        <v>15742</v>
      </c>
      <c r="S860" s="23" t="s">
        <v>15747</v>
      </c>
      <c r="T860" s="23" t="s">
        <v>15752</v>
      </c>
    </row>
    <row r="861" spans="1:20" x14ac:dyDescent="0.2">
      <c r="A861" s="23" t="s">
        <v>92</v>
      </c>
      <c r="C861" s="23" t="s">
        <v>5431</v>
      </c>
      <c r="D861" s="23" t="s">
        <v>5432</v>
      </c>
      <c r="E861" s="23" t="s">
        <v>5433</v>
      </c>
      <c r="G861" s="23" t="s">
        <v>5434</v>
      </c>
      <c r="K861" s="23" t="s">
        <v>5435</v>
      </c>
      <c r="L861" s="23" t="s">
        <v>5436</v>
      </c>
      <c r="O861" s="23" t="s">
        <v>11956</v>
      </c>
      <c r="P861" s="23" t="s">
        <v>15733</v>
      </c>
      <c r="Q861" s="23" t="s">
        <v>15738</v>
      </c>
      <c r="R861" s="23" t="s">
        <v>15743</v>
      </c>
      <c r="S861" s="23" t="s">
        <v>15748</v>
      </c>
      <c r="T861" s="23" t="s">
        <v>15753</v>
      </c>
    </row>
    <row r="862" spans="1:20" x14ac:dyDescent="0.2">
      <c r="A862" s="23" t="s">
        <v>92</v>
      </c>
      <c r="C862" s="23" t="s">
        <v>5437</v>
      </c>
      <c r="D862" s="23" t="s">
        <v>5438</v>
      </c>
      <c r="E862" s="23" t="s">
        <v>5439</v>
      </c>
      <c r="G862" s="23" t="s">
        <v>5440</v>
      </c>
      <c r="K862" s="23" t="s">
        <v>5441</v>
      </c>
      <c r="L862" s="23" t="s">
        <v>5442</v>
      </c>
      <c r="O862" s="23" t="s">
        <v>11957</v>
      </c>
      <c r="P862" s="23" t="s">
        <v>15734</v>
      </c>
      <c r="Q862" s="23" t="s">
        <v>15739</v>
      </c>
      <c r="R862" s="23" t="s">
        <v>15744</v>
      </c>
      <c r="S862" s="23" t="s">
        <v>15749</v>
      </c>
      <c r="T862" s="23" t="s">
        <v>15754</v>
      </c>
    </row>
    <row r="863" spans="1:20" x14ac:dyDescent="0.2">
      <c r="A863" s="23" t="s">
        <v>92</v>
      </c>
      <c r="C863" s="23" t="s">
        <v>5413</v>
      </c>
      <c r="D863" s="23" t="s">
        <v>5414</v>
      </c>
      <c r="E863" s="23" t="s">
        <v>5415</v>
      </c>
      <c r="G863" s="23" t="s">
        <v>5416</v>
      </c>
      <c r="K863" s="23" t="s">
        <v>5417</v>
      </c>
      <c r="L863" s="23" t="s">
        <v>5418</v>
      </c>
    </row>
    <row r="864" spans="1:20" x14ac:dyDescent="0.2">
      <c r="A864" s="23" t="s">
        <v>92</v>
      </c>
      <c r="C864" s="23" t="s">
        <v>5443</v>
      </c>
      <c r="D864" s="23" t="s">
        <v>5444</v>
      </c>
      <c r="E864" s="23" t="s">
        <v>5445</v>
      </c>
      <c r="G864" s="23" t="s">
        <v>5446</v>
      </c>
      <c r="K864" s="23" t="s">
        <v>5447</v>
      </c>
      <c r="L864" s="23" t="s">
        <v>5448</v>
      </c>
      <c r="M864" s="23" t="s">
        <v>5449</v>
      </c>
      <c r="N864" s="23" t="s">
        <v>5450</v>
      </c>
      <c r="T864" s="23" t="s">
        <v>5451</v>
      </c>
    </row>
    <row r="865" spans="1:20" x14ac:dyDescent="0.2">
      <c r="A865" s="23" t="s">
        <v>92</v>
      </c>
      <c r="C865" s="23" t="s">
        <v>5452</v>
      </c>
      <c r="D865" s="23" t="s">
        <v>5453</v>
      </c>
      <c r="E865" s="23" t="s">
        <v>5454</v>
      </c>
      <c r="G865" s="23" t="s">
        <v>5455</v>
      </c>
      <c r="K865" s="23" t="s">
        <v>5456</v>
      </c>
      <c r="L865" s="23" t="s">
        <v>5457</v>
      </c>
      <c r="M865" s="23" t="s">
        <v>5458</v>
      </c>
      <c r="N865" s="23" t="s">
        <v>5459</v>
      </c>
    </row>
    <row r="866" spans="1:20" x14ac:dyDescent="0.2">
      <c r="A866" s="23" t="s">
        <v>92</v>
      </c>
      <c r="C866" s="23" t="s">
        <v>5460</v>
      </c>
      <c r="D866" s="23" t="s">
        <v>5461</v>
      </c>
      <c r="E866" s="23" t="s">
        <v>5462</v>
      </c>
      <c r="G866" s="23" t="s">
        <v>5463</v>
      </c>
      <c r="K866" s="23" t="s">
        <v>5464</v>
      </c>
      <c r="L866" s="23" t="s">
        <v>5465</v>
      </c>
      <c r="O866" s="23" t="s">
        <v>11958</v>
      </c>
      <c r="P866" s="23" t="s">
        <v>5466</v>
      </c>
      <c r="Q866" s="23" t="s">
        <v>5467</v>
      </c>
      <c r="R866" s="23" t="s">
        <v>5468</v>
      </c>
      <c r="S866" s="23" t="s">
        <v>5469</v>
      </c>
      <c r="T866" s="23" t="s">
        <v>5470</v>
      </c>
    </row>
    <row r="867" spans="1:20" x14ac:dyDescent="0.2">
      <c r="A867" s="23" t="s">
        <v>92</v>
      </c>
      <c r="C867" s="23" t="s">
        <v>5471</v>
      </c>
      <c r="D867" s="23" t="s">
        <v>5472</v>
      </c>
      <c r="E867" s="23" t="s">
        <v>5473</v>
      </c>
      <c r="G867" s="23" t="s">
        <v>5474</v>
      </c>
      <c r="K867" s="23" t="s">
        <v>5475</v>
      </c>
      <c r="L867" s="23" t="s">
        <v>5476</v>
      </c>
      <c r="O867" s="23" t="s">
        <v>11959</v>
      </c>
      <c r="P867" s="23" t="s">
        <v>15705</v>
      </c>
      <c r="Q867" s="23" t="s">
        <v>15710</v>
      </c>
      <c r="R867" s="23" t="s">
        <v>15715</v>
      </c>
      <c r="S867" s="23" t="s">
        <v>15720</v>
      </c>
      <c r="T867" s="23" t="s">
        <v>15725</v>
      </c>
    </row>
    <row r="868" spans="1:20" x14ac:dyDescent="0.2">
      <c r="A868" s="23" t="s">
        <v>92</v>
      </c>
      <c r="C868" s="23" t="s">
        <v>5477</v>
      </c>
      <c r="D868" s="23" t="s">
        <v>5478</v>
      </c>
      <c r="E868" s="23" t="s">
        <v>5479</v>
      </c>
      <c r="G868" s="23" t="s">
        <v>5480</v>
      </c>
      <c r="K868" s="23" t="s">
        <v>5481</v>
      </c>
      <c r="L868" s="23" t="s">
        <v>5482</v>
      </c>
      <c r="O868" s="23" t="s">
        <v>11531</v>
      </c>
      <c r="P868" s="23" t="s">
        <v>15706</v>
      </c>
      <c r="Q868" s="23" t="s">
        <v>15711</v>
      </c>
      <c r="R868" s="23" t="s">
        <v>15716</v>
      </c>
      <c r="S868" s="23" t="s">
        <v>15721</v>
      </c>
      <c r="T868" s="23" t="s">
        <v>15726</v>
      </c>
    </row>
    <row r="869" spans="1:20" x14ac:dyDescent="0.2">
      <c r="A869" s="23" t="s">
        <v>92</v>
      </c>
      <c r="C869" s="23" t="s">
        <v>5483</v>
      </c>
      <c r="D869" s="23" t="s">
        <v>5484</v>
      </c>
      <c r="E869" s="23" t="s">
        <v>5485</v>
      </c>
      <c r="G869" s="23" t="s">
        <v>5486</v>
      </c>
      <c r="K869" s="23" t="s">
        <v>5487</v>
      </c>
      <c r="L869" s="23" t="s">
        <v>5488</v>
      </c>
      <c r="O869" s="23" t="s">
        <v>11573</v>
      </c>
      <c r="P869" s="23" t="s">
        <v>15707</v>
      </c>
      <c r="Q869" s="23" t="s">
        <v>15712</v>
      </c>
      <c r="R869" s="23" t="s">
        <v>15717</v>
      </c>
      <c r="S869" s="23" t="s">
        <v>15722</v>
      </c>
      <c r="T869" s="23" t="s">
        <v>15727</v>
      </c>
    </row>
    <row r="870" spans="1:20" x14ac:dyDescent="0.2">
      <c r="A870" s="23" t="s">
        <v>92</v>
      </c>
      <c r="C870" s="23" t="s">
        <v>5489</v>
      </c>
      <c r="D870" s="23" t="s">
        <v>5490</v>
      </c>
      <c r="E870" s="23" t="s">
        <v>5491</v>
      </c>
      <c r="G870" s="23" t="s">
        <v>5492</v>
      </c>
      <c r="K870" s="23" t="s">
        <v>5493</v>
      </c>
      <c r="L870" s="23" t="s">
        <v>5494</v>
      </c>
      <c r="O870" s="23" t="s">
        <v>11960</v>
      </c>
      <c r="P870" s="23" t="s">
        <v>15708</v>
      </c>
      <c r="Q870" s="23" t="s">
        <v>15713</v>
      </c>
      <c r="R870" s="23" t="s">
        <v>15718</v>
      </c>
      <c r="S870" s="23" t="s">
        <v>15723</v>
      </c>
      <c r="T870" s="23" t="s">
        <v>15728</v>
      </c>
    </row>
    <row r="871" spans="1:20" x14ac:dyDescent="0.2">
      <c r="A871" s="23" t="s">
        <v>92</v>
      </c>
      <c r="C871" s="23" t="s">
        <v>5495</v>
      </c>
      <c r="D871" s="23" t="s">
        <v>5496</v>
      </c>
      <c r="E871" s="23" t="s">
        <v>5497</v>
      </c>
      <c r="G871" s="23" t="s">
        <v>5498</v>
      </c>
      <c r="K871" s="23" t="s">
        <v>5499</v>
      </c>
      <c r="L871" s="23" t="s">
        <v>5500</v>
      </c>
      <c r="O871" s="23" t="s">
        <v>11961</v>
      </c>
      <c r="P871" s="23" t="s">
        <v>15709</v>
      </c>
      <c r="Q871" s="23" t="s">
        <v>15714</v>
      </c>
      <c r="R871" s="23" t="s">
        <v>15719</v>
      </c>
      <c r="S871" s="23" t="s">
        <v>15724</v>
      </c>
      <c r="T871" s="23" t="s">
        <v>15729</v>
      </c>
    </row>
    <row r="872" spans="1:20" x14ac:dyDescent="0.2">
      <c r="A872" s="23" t="s">
        <v>92</v>
      </c>
      <c r="C872" s="23" t="s">
        <v>5471</v>
      </c>
      <c r="D872" s="23" t="s">
        <v>5472</v>
      </c>
      <c r="E872" s="23" t="s">
        <v>5473</v>
      </c>
      <c r="G872" s="23" t="s">
        <v>5474</v>
      </c>
      <c r="K872" s="23" t="s">
        <v>5475</v>
      </c>
      <c r="L872" s="23" t="s">
        <v>5476</v>
      </c>
    </row>
    <row r="873" spans="1:20" x14ac:dyDescent="0.2">
      <c r="A873" s="23" t="s">
        <v>92</v>
      </c>
      <c r="C873" s="23" t="s">
        <v>5501</v>
      </c>
      <c r="D873" s="23" t="s">
        <v>5502</v>
      </c>
      <c r="E873" s="23" t="s">
        <v>5503</v>
      </c>
      <c r="G873" s="23" t="s">
        <v>5504</v>
      </c>
      <c r="K873" s="23" t="s">
        <v>5505</v>
      </c>
      <c r="L873" s="23" t="s">
        <v>5506</v>
      </c>
      <c r="M873" s="23" t="s">
        <v>5507</v>
      </c>
      <c r="N873" s="23" t="s">
        <v>5508</v>
      </c>
      <c r="T873" s="23" t="s">
        <v>5509</v>
      </c>
    </row>
    <row r="874" spans="1:20" x14ac:dyDescent="0.2">
      <c r="A874" s="23" t="s">
        <v>92</v>
      </c>
      <c r="C874" s="23" t="s">
        <v>5510</v>
      </c>
      <c r="D874" s="23" t="s">
        <v>5511</v>
      </c>
      <c r="E874" s="23" t="s">
        <v>5512</v>
      </c>
      <c r="G874" s="23" t="s">
        <v>5513</v>
      </c>
      <c r="K874" s="23" t="s">
        <v>5514</v>
      </c>
      <c r="L874" s="23" t="s">
        <v>5515</v>
      </c>
      <c r="M874" s="23" t="s">
        <v>5516</v>
      </c>
      <c r="N874" s="23" t="s">
        <v>5517</v>
      </c>
    </row>
    <row r="875" spans="1:20" x14ac:dyDescent="0.2">
      <c r="A875" s="23" t="s">
        <v>92</v>
      </c>
      <c r="C875" s="23" t="s">
        <v>5518</v>
      </c>
      <c r="D875" s="23" t="s">
        <v>5519</v>
      </c>
      <c r="E875" s="23" t="s">
        <v>5520</v>
      </c>
      <c r="G875" s="23" t="s">
        <v>5521</v>
      </c>
      <c r="K875" s="23" t="s">
        <v>5522</v>
      </c>
      <c r="L875" s="23" t="s">
        <v>5523</v>
      </c>
      <c r="O875" s="23" t="s">
        <v>11962</v>
      </c>
      <c r="P875" s="23" t="s">
        <v>5524</v>
      </c>
      <c r="Q875" s="23" t="s">
        <v>5525</v>
      </c>
      <c r="R875" s="23" t="s">
        <v>5526</v>
      </c>
      <c r="S875" s="23" t="s">
        <v>5527</v>
      </c>
      <c r="T875" s="23" t="s">
        <v>5528</v>
      </c>
    </row>
    <row r="876" spans="1:20" x14ac:dyDescent="0.2">
      <c r="A876" s="23" t="s">
        <v>92</v>
      </c>
      <c r="C876" s="23" t="s">
        <v>5529</v>
      </c>
      <c r="D876" s="23" t="s">
        <v>5530</v>
      </c>
      <c r="E876" s="23" t="s">
        <v>5531</v>
      </c>
      <c r="G876" s="23" t="s">
        <v>5532</v>
      </c>
      <c r="K876" s="23" t="s">
        <v>5533</v>
      </c>
      <c r="L876" s="23" t="s">
        <v>5534</v>
      </c>
      <c r="O876" s="23" t="s">
        <v>11963</v>
      </c>
      <c r="P876" s="23" t="s">
        <v>15680</v>
      </c>
      <c r="Q876" s="23" t="s">
        <v>15685</v>
      </c>
      <c r="R876" s="23" t="s">
        <v>15690</v>
      </c>
      <c r="S876" s="23" t="s">
        <v>15695</v>
      </c>
      <c r="T876" s="23" t="s">
        <v>15700</v>
      </c>
    </row>
    <row r="877" spans="1:20" x14ac:dyDescent="0.2">
      <c r="A877" s="23" t="s">
        <v>92</v>
      </c>
      <c r="C877" s="23" t="s">
        <v>5535</v>
      </c>
      <c r="D877" s="23" t="s">
        <v>5536</v>
      </c>
      <c r="E877" s="23" t="s">
        <v>5537</v>
      </c>
      <c r="G877" s="23" t="s">
        <v>5538</v>
      </c>
      <c r="K877" s="23" t="s">
        <v>5539</v>
      </c>
      <c r="L877" s="23" t="s">
        <v>5540</v>
      </c>
      <c r="O877" s="23" t="s">
        <v>11538</v>
      </c>
      <c r="P877" s="23" t="s">
        <v>15681</v>
      </c>
      <c r="Q877" s="23" t="s">
        <v>15686</v>
      </c>
      <c r="R877" s="23" t="s">
        <v>15691</v>
      </c>
      <c r="S877" s="23" t="s">
        <v>15696</v>
      </c>
      <c r="T877" s="23" t="s">
        <v>15701</v>
      </c>
    </row>
    <row r="878" spans="1:20" x14ac:dyDescent="0.2">
      <c r="A878" s="23" t="s">
        <v>92</v>
      </c>
      <c r="C878" s="23" t="s">
        <v>5541</v>
      </c>
      <c r="D878" s="23" t="s">
        <v>5542</v>
      </c>
      <c r="E878" s="23" t="s">
        <v>5543</v>
      </c>
      <c r="G878" s="23" t="s">
        <v>5544</v>
      </c>
      <c r="K878" s="23" t="s">
        <v>5545</v>
      </c>
      <c r="L878" s="23" t="s">
        <v>5546</v>
      </c>
      <c r="O878" s="23" t="s">
        <v>11578</v>
      </c>
      <c r="P878" s="23" t="s">
        <v>15682</v>
      </c>
      <c r="Q878" s="23" t="s">
        <v>15687</v>
      </c>
      <c r="R878" s="23" t="s">
        <v>15692</v>
      </c>
      <c r="S878" s="23" t="s">
        <v>15697</v>
      </c>
      <c r="T878" s="23" t="s">
        <v>15702</v>
      </c>
    </row>
    <row r="879" spans="1:20" x14ac:dyDescent="0.2">
      <c r="A879" s="23" t="s">
        <v>92</v>
      </c>
      <c r="C879" s="23" t="s">
        <v>5547</v>
      </c>
      <c r="D879" s="23" t="s">
        <v>5548</v>
      </c>
      <c r="E879" s="23" t="s">
        <v>5549</v>
      </c>
      <c r="G879" s="23" t="s">
        <v>5550</v>
      </c>
      <c r="K879" s="23" t="s">
        <v>5551</v>
      </c>
      <c r="L879" s="23" t="s">
        <v>5552</v>
      </c>
      <c r="O879" s="23" t="s">
        <v>11964</v>
      </c>
      <c r="P879" s="23" t="s">
        <v>15683</v>
      </c>
      <c r="Q879" s="23" t="s">
        <v>15688</v>
      </c>
      <c r="R879" s="23" t="s">
        <v>15693</v>
      </c>
      <c r="S879" s="23" t="s">
        <v>15698</v>
      </c>
      <c r="T879" s="23" t="s">
        <v>15703</v>
      </c>
    </row>
    <row r="880" spans="1:20" x14ac:dyDescent="0.2">
      <c r="A880" s="23" t="s">
        <v>92</v>
      </c>
      <c r="C880" s="23" t="s">
        <v>5553</v>
      </c>
      <c r="D880" s="23" t="s">
        <v>5554</v>
      </c>
      <c r="E880" s="23" t="s">
        <v>5555</v>
      </c>
      <c r="G880" s="23" t="s">
        <v>5556</v>
      </c>
      <c r="K880" s="23" t="s">
        <v>5557</v>
      </c>
      <c r="L880" s="23" t="s">
        <v>5558</v>
      </c>
      <c r="O880" s="23" t="s">
        <v>11965</v>
      </c>
      <c r="P880" s="23" t="s">
        <v>15684</v>
      </c>
      <c r="Q880" s="23" t="s">
        <v>15689</v>
      </c>
      <c r="R880" s="23" t="s">
        <v>15694</v>
      </c>
      <c r="S880" s="23" t="s">
        <v>15699</v>
      </c>
      <c r="T880" s="23" t="s">
        <v>15704</v>
      </c>
    </row>
    <row r="881" spans="1:20" x14ac:dyDescent="0.2">
      <c r="A881" s="23" t="s">
        <v>92</v>
      </c>
      <c r="C881" s="23" t="s">
        <v>5529</v>
      </c>
      <c r="D881" s="23" t="s">
        <v>5530</v>
      </c>
      <c r="E881" s="23" t="s">
        <v>5531</v>
      </c>
      <c r="G881" s="23" t="s">
        <v>5532</v>
      </c>
      <c r="K881" s="23" t="s">
        <v>5533</v>
      </c>
      <c r="L881" s="23" t="s">
        <v>5534</v>
      </c>
    </row>
    <row r="882" spans="1:20" x14ac:dyDescent="0.2">
      <c r="A882" s="23" t="s">
        <v>92</v>
      </c>
      <c r="C882" s="23" t="s">
        <v>5559</v>
      </c>
      <c r="D882" s="23" t="s">
        <v>5560</v>
      </c>
      <c r="E882" s="23" t="s">
        <v>5561</v>
      </c>
      <c r="G882" s="23" t="s">
        <v>5562</v>
      </c>
      <c r="K882" s="23" t="s">
        <v>5563</v>
      </c>
      <c r="L882" s="23" t="s">
        <v>5564</v>
      </c>
      <c r="M882" s="23" t="s">
        <v>5565</v>
      </c>
      <c r="N882" s="23" t="s">
        <v>5566</v>
      </c>
      <c r="T882" s="23" t="s">
        <v>5567</v>
      </c>
    </row>
    <row r="883" spans="1:20" x14ac:dyDescent="0.2">
      <c r="A883" s="23" t="s">
        <v>92</v>
      </c>
      <c r="C883" s="23" t="s">
        <v>5568</v>
      </c>
      <c r="D883" s="23" t="s">
        <v>5569</v>
      </c>
      <c r="E883" s="23" t="s">
        <v>5570</v>
      </c>
      <c r="G883" s="23" t="s">
        <v>5571</v>
      </c>
      <c r="K883" s="23" t="s">
        <v>5572</v>
      </c>
      <c r="L883" s="23" t="s">
        <v>5573</v>
      </c>
      <c r="M883" s="23" t="s">
        <v>5574</v>
      </c>
      <c r="N883" s="23" t="s">
        <v>5575</v>
      </c>
    </row>
    <row r="884" spans="1:20" x14ac:dyDescent="0.2">
      <c r="A884" s="23" t="s">
        <v>92</v>
      </c>
      <c r="C884" s="23" t="s">
        <v>5576</v>
      </c>
      <c r="D884" s="23" t="s">
        <v>5577</v>
      </c>
      <c r="E884" s="23" t="s">
        <v>5578</v>
      </c>
      <c r="G884" s="23" t="s">
        <v>5579</v>
      </c>
      <c r="K884" s="23" t="s">
        <v>5580</v>
      </c>
      <c r="L884" s="23" t="s">
        <v>5581</v>
      </c>
      <c r="O884" s="23" t="s">
        <v>11966</v>
      </c>
      <c r="P884" s="23" t="s">
        <v>5582</v>
      </c>
      <c r="Q884" s="23" t="s">
        <v>5583</v>
      </c>
      <c r="R884" s="23" t="s">
        <v>5584</v>
      </c>
      <c r="S884" s="23" t="s">
        <v>5585</v>
      </c>
      <c r="T884" s="23" t="s">
        <v>5586</v>
      </c>
    </row>
    <row r="885" spans="1:20" x14ac:dyDescent="0.2">
      <c r="A885" s="23" t="s">
        <v>92</v>
      </c>
      <c r="C885" s="23" t="s">
        <v>5587</v>
      </c>
      <c r="D885" s="23" t="s">
        <v>5588</v>
      </c>
      <c r="E885" s="23" t="s">
        <v>5589</v>
      </c>
      <c r="G885" s="23" t="s">
        <v>5590</v>
      </c>
      <c r="K885" s="23" t="s">
        <v>5591</v>
      </c>
      <c r="L885" s="23" t="s">
        <v>5592</v>
      </c>
      <c r="O885" s="23" t="s">
        <v>11967</v>
      </c>
      <c r="P885" s="23" t="s">
        <v>15655</v>
      </c>
      <c r="Q885" s="23" t="s">
        <v>15660</v>
      </c>
      <c r="R885" s="23" t="s">
        <v>15665</v>
      </c>
      <c r="S885" s="23" t="s">
        <v>15670</v>
      </c>
      <c r="T885" s="23" t="s">
        <v>15675</v>
      </c>
    </row>
    <row r="886" spans="1:20" x14ac:dyDescent="0.2">
      <c r="A886" s="23" t="s">
        <v>92</v>
      </c>
      <c r="C886" s="23" t="s">
        <v>5593</v>
      </c>
      <c r="D886" s="23" t="s">
        <v>5594</v>
      </c>
      <c r="E886" s="23" t="s">
        <v>5595</v>
      </c>
      <c r="G886" s="23" t="s">
        <v>5596</v>
      </c>
      <c r="K886" s="23" t="s">
        <v>5597</v>
      </c>
      <c r="L886" s="23" t="s">
        <v>5598</v>
      </c>
      <c r="O886" s="23" t="s">
        <v>11546</v>
      </c>
      <c r="P886" s="23" t="s">
        <v>15656</v>
      </c>
      <c r="Q886" s="23" t="s">
        <v>15661</v>
      </c>
      <c r="R886" s="23" t="s">
        <v>15666</v>
      </c>
      <c r="S886" s="23" t="s">
        <v>15671</v>
      </c>
      <c r="T886" s="23" t="s">
        <v>15676</v>
      </c>
    </row>
    <row r="887" spans="1:20" x14ac:dyDescent="0.2">
      <c r="A887" s="23" t="s">
        <v>92</v>
      </c>
      <c r="C887" s="23" t="s">
        <v>5599</v>
      </c>
      <c r="D887" s="23" t="s">
        <v>5600</v>
      </c>
      <c r="E887" s="23" t="s">
        <v>5601</v>
      </c>
      <c r="G887" s="23" t="s">
        <v>5602</v>
      </c>
      <c r="K887" s="23" t="s">
        <v>5603</v>
      </c>
      <c r="L887" s="23" t="s">
        <v>5604</v>
      </c>
      <c r="O887" s="23" t="s">
        <v>11583</v>
      </c>
      <c r="P887" s="23" t="s">
        <v>15657</v>
      </c>
      <c r="Q887" s="23" t="s">
        <v>15662</v>
      </c>
      <c r="R887" s="23" t="s">
        <v>15667</v>
      </c>
      <c r="S887" s="23" t="s">
        <v>15672</v>
      </c>
      <c r="T887" s="23" t="s">
        <v>15677</v>
      </c>
    </row>
    <row r="888" spans="1:20" x14ac:dyDescent="0.2">
      <c r="A888" s="23" t="s">
        <v>92</v>
      </c>
      <c r="C888" s="23" t="s">
        <v>5605</v>
      </c>
      <c r="D888" s="23" t="s">
        <v>5606</v>
      </c>
      <c r="E888" s="23" t="s">
        <v>5607</v>
      </c>
      <c r="G888" s="23" t="s">
        <v>5608</v>
      </c>
      <c r="K888" s="23" t="s">
        <v>5609</v>
      </c>
      <c r="L888" s="23" t="s">
        <v>5610</v>
      </c>
      <c r="O888" s="23" t="s">
        <v>11968</v>
      </c>
      <c r="P888" s="23" t="s">
        <v>15658</v>
      </c>
      <c r="Q888" s="23" t="s">
        <v>15663</v>
      </c>
      <c r="R888" s="23" t="s">
        <v>15668</v>
      </c>
      <c r="S888" s="23" t="s">
        <v>15673</v>
      </c>
      <c r="T888" s="23" t="s">
        <v>15678</v>
      </c>
    </row>
    <row r="889" spans="1:20" x14ac:dyDescent="0.2">
      <c r="A889" s="23" t="s">
        <v>92</v>
      </c>
      <c r="C889" s="23" t="s">
        <v>5611</v>
      </c>
      <c r="D889" s="23" t="s">
        <v>5612</v>
      </c>
      <c r="E889" s="23" t="s">
        <v>5613</v>
      </c>
      <c r="G889" s="23" t="s">
        <v>5614</v>
      </c>
      <c r="K889" s="23" t="s">
        <v>5615</v>
      </c>
      <c r="L889" s="23" t="s">
        <v>5616</v>
      </c>
      <c r="O889" s="23" t="s">
        <v>11969</v>
      </c>
      <c r="P889" s="23" t="s">
        <v>15659</v>
      </c>
      <c r="Q889" s="23" t="s">
        <v>15664</v>
      </c>
      <c r="R889" s="23" t="s">
        <v>15669</v>
      </c>
      <c r="S889" s="23" t="s">
        <v>15674</v>
      </c>
      <c r="T889" s="23" t="s">
        <v>15679</v>
      </c>
    </row>
    <row r="890" spans="1:20" x14ac:dyDescent="0.2">
      <c r="A890" s="23" t="s">
        <v>92</v>
      </c>
      <c r="C890" s="23" t="s">
        <v>5587</v>
      </c>
      <c r="D890" s="23" t="s">
        <v>5588</v>
      </c>
      <c r="E890" s="23" t="s">
        <v>5589</v>
      </c>
      <c r="G890" s="23" t="s">
        <v>5590</v>
      </c>
      <c r="K890" s="23" t="s">
        <v>5591</v>
      </c>
      <c r="L890" s="23" t="s">
        <v>5592</v>
      </c>
    </row>
    <row r="891" spans="1:20" x14ac:dyDescent="0.2">
      <c r="A891" s="23" t="s">
        <v>92</v>
      </c>
      <c r="C891" s="23" t="s">
        <v>5617</v>
      </c>
      <c r="D891" s="23" t="s">
        <v>5618</v>
      </c>
      <c r="E891" s="23" t="s">
        <v>5619</v>
      </c>
      <c r="G891" s="23" t="s">
        <v>5620</v>
      </c>
      <c r="K891" s="23" t="s">
        <v>5621</v>
      </c>
      <c r="L891" s="23" t="s">
        <v>5622</v>
      </c>
      <c r="M891" s="23" t="s">
        <v>5623</v>
      </c>
      <c r="N891" s="23" t="s">
        <v>5624</v>
      </c>
      <c r="T891" s="23" t="s">
        <v>5625</v>
      </c>
    </row>
    <row r="892" spans="1:20" x14ac:dyDescent="0.2">
      <c r="A892" s="23" t="s">
        <v>92</v>
      </c>
      <c r="C892" s="23" t="s">
        <v>5626</v>
      </c>
      <c r="D892" s="23" t="s">
        <v>5627</v>
      </c>
      <c r="E892" s="23" t="s">
        <v>5628</v>
      </c>
      <c r="G892" s="23" t="s">
        <v>5629</v>
      </c>
      <c r="K892" s="23" t="s">
        <v>5630</v>
      </c>
      <c r="L892" s="23" t="s">
        <v>5631</v>
      </c>
      <c r="M892" s="23" t="s">
        <v>5632</v>
      </c>
      <c r="N892" s="23" t="s">
        <v>5633</v>
      </c>
    </row>
    <row r="893" spans="1:20" x14ac:dyDescent="0.2">
      <c r="A893" s="23" t="s">
        <v>92</v>
      </c>
      <c r="C893" s="23" t="s">
        <v>5634</v>
      </c>
      <c r="D893" s="23" t="s">
        <v>5635</v>
      </c>
      <c r="E893" s="23" t="s">
        <v>5636</v>
      </c>
      <c r="G893" s="23" t="s">
        <v>5637</v>
      </c>
      <c r="K893" s="23" t="s">
        <v>5638</v>
      </c>
      <c r="L893" s="23" t="s">
        <v>5639</v>
      </c>
      <c r="O893" s="23" t="s">
        <v>11970</v>
      </c>
      <c r="P893" s="23" t="s">
        <v>5640</v>
      </c>
      <c r="Q893" s="23" t="s">
        <v>5641</v>
      </c>
      <c r="R893" s="23" t="s">
        <v>5642</v>
      </c>
      <c r="S893" s="23" t="s">
        <v>5643</v>
      </c>
      <c r="T893" s="23" t="s">
        <v>5644</v>
      </c>
    </row>
    <row r="894" spans="1:20" x14ac:dyDescent="0.2">
      <c r="A894" s="23" t="s">
        <v>92</v>
      </c>
      <c r="C894" s="23" t="s">
        <v>5645</v>
      </c>
      <c r="D894" s="23" t="s">
        <v>5646</v>
      </c>
      <c r="E894" s="23" t="s">
        <v>5647</v>
      </c>
      <c r="G894" s="23" t="s">
        <v>5648</v>
      </c>
      <c r="K894" s="23" t="s">
        <v>5649</v>
      </c>
      <c r="L894" s="23" t="s">
        <v>5650</v>
      </c>
      <c r="O894" s="23" t="s">
        <v>11971</v>
      </c>
      <c r="P894" s="23" t="s">
        <v>15630</v>
      </c>
      <c r="Q894" s="23" t="s">
        <v>15635</v>
      </c>
      <c r="R894" s="23" t="s">
        <v>15640</v>
      </c>
      <c r="S894" s="23" t="s">
        <v>15645</v>
      </c>
      <c r="T894" s="23" t="s">
        <v>15650</v>
      </c>
    </row>
    <row r="895" spans="1:20" x14ac:dyDescent="0.2">
      <c r="A895" s="23" t="s">
        <v>92</v>
      </c>
      <c r="C895" s="23" t="s">
        <v>5651</v>
      </c>
      <c r="D895" s="23" t="s">
        <v>5652</v>
      </c>
      <c r="E895" s="23" t="s">
        <v>5653</v>
      </c>
      <c r="G895" s="23" t="s">
        <v>5654</v>
      </c>
      <c r="K895" s="23" t="s">
        <v>5655</v>
      </c>
      <c r="L895" s="23" t="s">
        <v>5656</v>
      </c>
      <c r="O895" s="23" t="s">
        <v>11554</v>
      </c>
      <c r="P895" s="23" t="s">
        <v>15631</v>
      </c>
      <c r="Q895" s="23" t="s">
        <v>15636</v>
      </c>
      <c r="R895" s="23" t="s">
        <v>15641</v>
      </c>
      <c r="S895" s="23" t="s">
        <v>15646</v>
      </c>
      <c r="T895" s="23" t="s">
        <v>15651</v>
      </c>
    </row>
    <row r="896" spans="1:20" x14ac:dyDescent="0.2">
      <c r="A896" s="23" t="s">
        <v>92</v>
      </c>
      <c r="C896" s="23" t="s">
        <v>5657</v>
      </c>
      <c r="D896" s="23" t="s">
        <v>5658</v>
      </c>
      <c r="E896" s="23" t="s">
        <v>5659</v>
      </c>
      <c r="G896" s="23" t="s">
        <v>5660</v>
      </c>
      <c r="K896" s="23" t="s">
        <v>5661</v>
      </c>
      <c r="L896" s="23" t="s">
        <v>5662</v>
      </c>
      <c r="O896" s="23" t="s">
        <v>11588</v>
      </c>
      <c r="P896" s="23" t="s">
        <v>15632</v>
      </c>
      <c r="Q896" s="23" t="s">
        <v>15637</v>
      </c>
      <c r="R896" s="23" t="s">
        <v>15642</v>
      </c>
      <c r="S896" s="23" t="s">
        <v>15647</v>
      </c>
      <c r="T896" s="23" t="s">
        <v>15652</v>
      </c>
    </row>
    <row r="897" spans="1:20" x14ac:dyDescent="0.2">
      <c r="A897" s="23" t="s">
        <v>92</v>
      </c>
      <c r="C897" s="23" t="s">
        <v>5663</v>
      </c>
      <c r="D897" s="23" t="s">
        <v>5664</v>
      </c>
      <c r="E897" s="23" t="s">
        <v>5665</v>
      </c>
      <c r="G897" s="23" t="s">
        <v>5666</v>
      </c>
      <c r="K897" s="23" t="s">
        <v>5667</v>
      </c>
      <c r="L897" s="23" t="s">
        <v>5668</v>
      </c>
      <c r="O897" s="23" t="s">
        <v>11972</v>
      </c>
      <c r="P897" s="23" t="s">
        <v>15633</v>
      </c>
      <c r="Q897" s="23" t="s">
        <v>15638</v>
      </c>
      <c r="R897" s="23" t="s">
        <v>15643</v>
      </c>
      <c r="S897" s="23" t="s">
        <v>15648</v>
      </c>
      <c r="T897" s="23" t="s">
        <v>15653</v>
      </c>
    </row>
    <row r="898" spans="1:20" x14ac:dyDescent="0.2">
      <c r="A898" s="23" t="s">
        <v>92</v>
      </c>
      <c r="C898" s="23" t="s">
        <v>5669</v>
      </c>
      <c r="D898" s="23" t="s">
        <v>5670</v>
      </c>
      <c r="E898" s="23" t="s">
        <v>5671</v>
      </c>
      <c r="G898" s="23" t="s">
        <v>5672</v>
      </c>
      <c r="K898" s="23" t="s">
        <v>5673</v>
      </c>
      <c r="L898" s="23" t="s">
        <v>5674</v>
      </c>
      <c r="O898" s="23" t="s">
        <v>11973</v>
      </c>
      <c r="P898" s="23" t="s">
        <v>15634</v>
      </c>
      <c r="Q898" s="23" t="s">
        <v>15639</v>
      </c>
      <c r="R898" s="23" t="s">
        <v>15644</v>
      </c>
      <c r="S898" s="23" t="s">
        <v>15649</v>
      </c>
      <c r="T898" s="23" t="s">
        <v>15654</v>
      </c>
    </row>
    <row r="899" spans="1:20" x14ac:dyDescent="0.2">
      <c r="A899" s="23" t="s">
        <v>92</v>
      </c>
      <c r="C899" s="23" t="s">
        <v>5645</v>
      </c>
      <c r="D899" s="23" t="s">
        <v>5646</v>
      </c>
      <c r="E899" s="23" t="s">
        <v>5647</v>
      </c>
      <c r="G899" s="23" t="s">
        <v>5648</v>
      </c>
      <c r="K899" s="23" t="s">
        <v>5649</v>
      </c>
      <c r="L899" s="23" t="s">
        <v>5650</v>
      </c>
    </row>
    <row r="900" spans="1:20" x14ac:dyDescent="0.2">
      <c r="A900" s="23" t="s">
        <v>92</v>
      </c>
      <c r="C900" s="23" t="s">
        <v>5675</v>
      </c>
      <c r="D900" s="23" t="s">
        <v>5676</v>
      </c>
      <c r="E900" s="23" t="s">
        <v>5677</v>
      </c>
      <c r="G900" s="23" t="s">
        <v>5678</v>
      </c>
      <c r="K900" s="23" t="s">
        <v>5679</v>
      </c>
      <c r="L900" s="23" t="s">
        <v>5680</v>
      </c>
      <c r="M900" s="23" t="s">
        <v>5681</v>
      </c>
      <c r="N900" s="23" t="s">
        <v>5682</v>
      </c>
      <c r="T900" s="23" t="s">
        <v>5683</v>
      </c>
    </row>
    <row r="901" spans="1:20" x14ac:dyDescent="0.2">
      <c r="A901" s="23" t="s">
        <v>92</v>
      </c>
      <c r="C901" s="23" t="s">
        <v>5684</v>
      </c>
      <c r="D901" s="23" t="s">
        <v>5685</v>
      </c>
      <c r="E901" s="23" t="s">
        <v>5686</v>
      </c>
      <c r="G901" s="23" t="s">
        <v>5687</v>
      </c>
      <c r="K901" s="23" t="s">
        <v>5688</v>
      </c>
      <c r="L901" s="23" t="s">
        <v>5689</v>
      </c>
      <c r="M901" s="23" t="s">
        <v>5690</v>
      </c>
      <c r="N901" s="23" t="s">
        <v>5691</v>
      </c>
    </row>
    <row r="902" spans="1:20" x14ac:dyDescent="0.2">
      <c r="A902" s="23" t="s">
        <v>92</v>
      </c>
      <c r="C902" s="23" t="s">
        <v>5692</v>
      </c>
      <c r="D902" s="23" t="s">
        <v>5693</v>
      </c>
      <c r="E902" s="23" t="s">
        <v>5694</v>
      </c>
      <c r="G902" s="23" t="s">
        <v>5695</v>
      </c>
      <c r="K902" s="23" t="s">
        <v>5696</v>
      </c>
      <c r="L902" s="23" t="s">
        <v>5697</v>
      </c>
      <c r="O902" s="23" t="s">
        <v>11974</v>
      </c>
      <c r="P902" s="23" t="s">
        <v>5698</v>
      </c>
      <c r="Q902" s="23" t="s">
        <v>5699</v>
      </c>
      <c r="R902" s="23" t="s">
        <v>5700</v>
      </c>
      <c r="S902" s="23" t="s">
        <v>5701</v>
      </c>
      <c r="T902" s="23" t="s">
        <v>5702</v>
      </c>
    </row>
    <row r="903" spans="1:20" x14ac:dyDescent="0.2">
      <c r="A903" s="23" t="s">
        <v>92</v>
      </c>
      <c r="C903" s="23" t="s">
        <v>5703</v>
      </c>
      <c r="D903" s="23" t="s">
        <v>5704</v>
      </c>
      <c r="E903" s="23" t="s">
        <v>5705</v>
      </c>
      <c r="G903" s="23" t="s">
        <v>5706</v>
      </c>
      <c r="K903" s="23" t="s">
        <v>5707</v>
      </c>
      <c r="L903" s="23" t="s">
        <v>5708</v>
      </c>
      <c r="O903" s="23" t="s">
        <v>11975</v>
      </c>
      <c r="P903" s="23" t="s">
        <v>11976</v>
      </c>
      <c r="Q903" s="23" t="s">
        <v>11977</v>
      </c>
      <c r="R903" s="23" t="s">
        <v>11978</v>
      </c>
      <c r="S903" s="23" t="s">
        <v>11979</v>
      </c>
      <c r="T903" s="23" t="s">
        <v>11980</v>
      </c>
    </row>
    <row r="904" spans="1:20" x14ac:dyDescent="0.2">
      <c r="A904" s="23" t="s">
        <v>92</v>
      </c>
      <c r="C904" s="23" t="s">
        <v>5703</v>
      </c>
      <c r="D904" s="23" t="s">
        <v>5704</v>
      </c>
      <c r="E904" s="23" t="s">
        <v>5705</v>
      </c>
      <c r="G904" s="23" t="s">
        <v>5706</v>
      </c>
      <c r="K904" s="23" t="s">
        <v>5707</v>
      </c>
      <c r="L904" s="23" t="s">
        <v>5708</v>
      </c>
    </row>
    <row r="905" spans="1:20" x14ac:dyDescent="0.2">
      <c r="A905" s="23" t="s">
        <v>92</v>
      </c>
      <c r="C905" s="23" t="s">
        <v>5709</v>
      </c>
      <c r="D905" s="23" t="s">
        <v>5710</v>
      </c>
      <c r="E905" s="23" t="s">
        <v>5711</v>
      </c>
      <c r="G905" s="23" t="s">
        <v>5712</v>
      </c>
      <c r="K905" s="23" t="s">
        <v>5713</v>
      </c>
      <c r="L905" s="23" t="s">
        <v>5714</v>
      </c>
      <c r="M905" s="23" t="s">
        <v>5715</v>
      </c>
      <c r="N905" s="23" t="s">
        <v>5716</v>
      </c>
      <c r="T905" s="23" t="s">
        <v>5717</v>
      </c>
    </row>
    <row r="906" spans="1:20" x14ac:dyDescent="0.2">
      <c r="A906" s="23" t="s">
        <v>92</v>
      </c>
      <c r="C906" s="23" t="s">
        <v>5718</v>
      </c>
      <c r="D906" s="23" t="s">
        <v>5719</v>
      </c>
      <c r="E906" s="23" t="s">
        <v>5720</v>
      </c>
      <c r="G906" s="23" t="s">
        <v>5721</v>
      </c>
      <c r="K906" s="23" t="s">
        <v>5722</v>
      </c>
      <c r="L906" s="23" t="s">
        <v>5723</v>
      </c>
      <c r="M906" s="23" t="s">
        <v>5724</v>
      </c>
      <c r="N906" s="23" t="s">
        <v>5725</v>
      </c>
    </row>
    <row r="907" spans="1:20" x14ac:dyDescent="0.2">
      <c r="A907" s="23" t="s">
        <v>92</v>
      </c>
      <c r="C907" s="23" t="s">
        <v>5726</v>
      </c>
      <c r="D907" s="23" t="s">
        <v>5727</v>
      </c>
      <c r="E907" s="23" t="s">
        <v>5728</v>
      </c>
      <c r="G907" s="23" t="s">
        <v>5729</v>
      </c>
      <c r="K907" s="23" t="s">
        <v>5730</v>
      </c>
      <c r="L907" s="23" t="s">
        <v>5731</v>
      </c>
      <c r="O907" s="23" t="s">
        <v>11981</v>
      </c>
      <c r="P907" s="23" t="s">
        <v>5732</v>
      </c>
      <c r="Q907" s="23" t="s">
        <v>5733</v>
      </c>
      <c r="R907" s="23" t="s">
        <v>5734</v>
      </c>
      <c r="S907" s="23" t="s">
        <v>5735</v>
      </c>
      <c r="T907" s="23" t="s">
        <v>5736</v>
      </c>
    </row>
    <row r="908" spans="1:20" x14ac:dyDescent="0.2">
      <c r="A908" s="23" t="s">
        <v>92</v>
      </c>
      <c r="C908" s="23" t="s">
        <v>5737</v>
      </c>
      <c r="D908" s="23" t="s">
        <v>5738</v>
      </c>
      <c r="E908" s="23" t="s">
        <v>5739</v>
      </c>
      <c r="G908" s="23" t="s">
        <v>5740</v>
      </c>
      <c r="K908" s="23" t="s">
        <v>5741</v>
      </c>
      <c r="L908" s="23" t="s">
        <v>5742</v>
      </c>
      <c r="O908" s="23" t="s">
        <v>11982</v>
      </c>
      <c r="P908" s="23" t="s">
        <v>11983</v>
      </c>
      <c r="Q908" s="23" t="s">
        <v>11984</v>
      </c>
      <c r="R908" s="23" t="s">
        <v>11985</v>
      </c>
      <c r="S908" s="23" t="s">
        <v>11986</v>
      </c>
      <c r="T908" s="23" t="s">
        <v>11987</v>
      </c>
    </row>
    <row r="909" spans="1:20" x14ac:dyDescent="0.2">
      <c r="A909" s="23" t="s">
        <v>92</v>
      </c>
      <c r="C909" s="23" t="s">
        <v>5737</v>
      </c>
      <c r="D909" s="23" t="s">
        <v>5738</v>
      </c>
      <c r="E909" s="23" t="s">
        <v>5739</v>
      </c>
      <c r="G909" s="23" t="s">
        <v>5740</v>
      </c>
      <c r="K909" s="23" t="s">
        <v>5741</v>
      </c>
      <c r="L909" s="23" t="s">
        <v>5742</v>
      </c>
    </row>
    <row r="910" spans="1:20" x14ac:dyDescent="0.2">
      <c r="A910" s="23" t="s">
        <v>92</v>
      </c>
      <c r="C910" s="23" t="s">
        <v>5743</v>
      </c>
      <c r="D910" s="23" t="s">
        <v>5744</v>
      </c>
      <c r="E910" s="23" t="s">
        <v>5745</v>
      </c>
      <c r="G910" s="23" t="s">
        <v>5746</v>
      </c>
      <c r="K910" s="23" t="s">
        <v>5747</v>
      </c>
      <c r="L910" s="23" t="s">
        <v>5748</v>
      </c>
      <c r="M910" s="23" t="s">
        <v>5749</v>
      </c>
      <c r="N910" s="23" t="s">
        <v>5750</v>
      </c>
      <c r="T910" s="23" t="s">
        <v>5751</v>
      </c>
    </row>
    <row r="911" spans="1:20" x14ac:dyDescent="0.2">
      <c r="A911" s="23" t="s">
        <v>92</v>
      </c>
      <c r="C911" s="23" t="s">
        <v>5394</v>
      </c>
      <c r="D911" s="23" t="s">
        <v>5395</v>
      </c>
      <c r="E911" s="23" t="s">
        <v>5396</v>
      </c>
      <c r="G911" s="23" t="s">
        <v>5397</v>
      </c>
    </row>
    <row r="912" spans="1:20" x14ac:dyDescent="0.2">
      <c r="A912" s="23" t="s">
        <v>92</v>
      </c>
      <c r="C912" s="23" t="s">
        <v>5752</v>
      </c>
      <c r="D912" s="23" t="s">
        <v>5753</v>
      </c>
      <c r="E912" s="23" t="s">
        <v>5754</v>
      </c>
      <c r="G912" s="23" t="s">
        <v>5755</v>
      </c>
      <c r="H912" s="23" t="s">
        <v>5756</v>
      </c>
      <c r="I912" s="23" t="s">
        <v>5757</v>
      </c>
      <c r="J912" s="23" t="s">
        <v>5758</v>
      </c>
      <c r="T912" s="23" t="s">
        <v>5759</v>
      </c>
    </row>
    <row r="913" spans="1:20" x14ac:dyDescent="0.2">
      <c r="A913" s="23" t="s">
        <v>92</v>
      </c>
      <c r="E913" s="23" t="s">
        <v>3634</v>
      </c>
    </row>
    <row r="914" spans="1:20" x14ac:dyDescent="0.2">
      <c r="A914" s="23" t="s">
        <v>92</v>
      </c>
      <c r="E914" s="23" t="s">
        <v>5760</v>
      </c>
      <c r="F914" s="23" t="s">
        <v>5761</v>
      </c>
      <c r="T914" s="23" t="s">
        <v>5762</v>
      </c>
    </row>
    <row r="915" spans="1:20" x14ac:dyDescent="0.2">
      <c r="A915" s="23" t="s">
        <v>92</v>
      </c>
      <c r="D915" s="23" t="s">
        <v>690</v>
      </c>
      <c r="E915" s="23" t="s">
        <v>5763</v>
      </c>
      <c r="F915" s="23" t="s">
        <v>5764</v>
      </c>
    </row>
    <row r="916" spans="1:20" x14ac:dyDescent="0.2">
      <c r="A916" s="23" t="s">
        <v>92</v>
      </c>
      <c r="C916" s="23" t="s">
        <v>5765</v>
      </c>
      <c r="D916" s="23" t="s">
        <v>5766</v>
      </c>
      <c r="E916" s="23" t="s">
        <v>5767</v>
      </c>
      <c r="G916" s="23" t="s">
        <v>5768</v>
      </c>
      <c r="H916" s="23" t="s">
        <v>11988</v>
      </c>
      <c r="I916" s="23" t="s">
        <v>5769</v>
      </c>
      <c r="J916" s="23" t="s">
        <v>5770</v>
      </c>
    </row>
    <row r="917" spans="1:20" x14ac:dyDescent="0.2">
      <c r="A917" s="23" t="s">
        <v>92</v>
      </c>
      <c r="C917" s="23" t="s">
        <v>5771</v>
      </c>
      <c r="D917" s="23" t="s">
        <v>5772</v>
      </c>
      <c r="E917" s="23" t="s">
        <v>5773</v>
      </c>
      <c r="G917" s="23" t="s">
        <v>5774</v>
      </c>
      <c r="K917" s="23" t="s">
        <v>5775</v>
      </c>
      <c r="L917" s="23" t="s">
        <v>5776</v>
      </c>
      <c r="M917" s="23" t="s">
        <v>11989</v>
      </c>
      <c r="N917" s="23" t="s">
        <v>5777</v>
      </c>
    </row>
    <row r="918" spans="1:20" x14ac:dyDescent="0.2">
      <c r="A918" s="23" t="s">
        <v>92</v>
      </c>
      <c r="C918" s="23" t="s">
        <v>5778</v>
      </c>
      <c r="D918" s="23" t="s">
        <v>5779</v>
      </c>
      <c r="E918" s="23" t="s">
        <v>5780</v>
      </c>
      <c r="G918" s="23" t="s">
        <v>5781</v>
      </c>
      <c r="K918" s="23" t="s">
        <v>5782</v>
      </c>
      <c r="L918" s="23" t="s">
        <v>5783</v>
      </c>
      <c r="O918" s="23" t="s">
        <v>11990</v>
      </c>
      <c r="P918" s="23" t="s">
        <v>5784</v>
      </c>
      <c r="Q918" s="23" t="s">
        <v>5785</v>
      </c>
      <c r="R918" s="23" t="s">
        <v>5786</v>
      </c>
      <c r="S918" s="23" t="s">
        <v>5787</v>
      </c>
      <c r="T918" s="23" t="s">
        <v>5788</v>
      </c>
    </row>
    <row r="919" spans="1:20" x14ac:dyDescent="0.2">
      <c r="A919" s="23" t="s">
        <v>92</v>
      </c>
      <c r="C919" s="23" t="s">
        <v>5789</v>
      </c>
      <c r="D919" s="23" t="s">
        <v>5790</v>
      </c>
      <c r="E919" s="23" t="s">
        <v>5791</v>
      </c>
      <c r="G919" s="23" t="s">
        <v>5792</v>
      </c>
      <c r="K919" s="23" t="s">
        <v>5793</v>
      </c>
      <c r="L919" s="23" t="s">
        <v>5794</v>
      </c>
      <c r="O919" s="23" t="s">
        <v>11991</v>
      </c>
      <c r="P919" s="23" t="s">
        <v>13825</v>
      </c>
      <c r="Q919" s="23" t="s">
        <v>13830</v>
      </c>
      <c r="R919" s="23" t="s">
        <v>13835</v>
      </c>
      <c r="S919" s="23" t="s">
        <v>13840</v>
      </c>
      <c r="T919" s="23" t="s">
        <v>13845</v>
      </c>
    </row>
    <row r="920" spans="1:20" x14ac:dyDescent="0.2">
      <c r="A920" s="23" t="s">
        <v>92</v>
      </c>
      <c r="C920" s="23" t="s">
        <v>5795</v>
      </c>
      <c r="D920" s="23" t="s">
        <v>5796</v>
      </c>
      <c r="E920" s="23" t="s">
        <v>5797</v>
      </c>
      <c r="G920" s="23" t="s">
        <v>5798</v>
      </c>
      <c r="K920" s="23" t="s">
        <v>5799</v>
      </c>
      <c r="L920" s="23" t="s">
        <v>5800</v>
      </c>
      <c r="O920" s="23" t="s">
        <v>11992</v>
      </c>
      <c r="P920" s="23" t="s">
        <v>13826</v>
      </c>
      <c r="Q920" s="23" t="s">
        <v>13831</v>
      </c>
      <c r="R920" s="23" t="s">
        <v>13836</v>
      </c>
      <c r="S920" s="23" t="s">
        <v>13841</v>
      </c>
      <c r="T920" s="23" t="s">
        <v>13846</v>
      </c>
    </row>
    <row r="921" spans="1:20" x14ac:dyDescent="0.2">
      <c r="A921" s="23" t="s">
        <v>92</v>
      </c>
      <c r="C921" s="23" t="s">
        <v>5801</v>
      </c>
      <c r="D921" s="23" t="s">
        <v>5802</v>
      </c>
      <c r="E921" s="23" t="s">
        <v>5803</v>
      </c>
      <c r="G921" s="23" t="s">
        <v>5804</v>
      </c>
      <c r="K921" s="23" t="s">
        <v>5805</v>
      </c>
      <c r="L921" s="23" t="s">
        <v>5806</v>
      </c>
      <c r="O921" s="23" t="s">
        <v>11517</v>
      </c>
      <c r="P921" s="23" t="s">
        <v>13827</v>
      </c>
      <c r="Q921" s="23" t="s">
        <v>13832</v>
      </c>
      <c r="R921" s="23" t="s">
        <v>13837</v>
      </c>
      <c r="S921" s="23" t="s">
        <v>13842</v>
      </c>
      <c r="T921" s="23" t="s">
        <v>13847</v>
      </c>
    </row>
    <row r="922" spans="1:20" x14ac:dyDescent="0.2">
      <c r="A922" s="23" t="s">
        <v>92</v>
      </c>
      <c r="C922" s="23" t="s">
        <v>5807</v>
      </c>
      <c r="D922" s="23" t="s">
        <v>5808</v>
      </c>
      <c r="E922" s="23" t="s">
        <v>5809</v>
      </c>
      <c r="G922" s="23" t="s">
        <v>5810</v>
      </c>
      <c r="K922" s="23" t="s">
        <v>5811</v>
      </c>
      <c r="L922" s="23" t="s">
        <v>5812</v>
      </c>
      <c r="O922" s="23" t="s">
        <v>11562</v>
      </c>
      <c r="P922" s="23" t="s">
        <v>13828</v>
      </c>
      <c r="Q922" s="23" t="s">
        <v>13833</v>
      </c>
      <c r="R922" s="23" t="s">
        <v>13838</v>
      </c>
      <c r="S922" s="23" t="s">
        <v>13843</v>
      </c>
      <c r="T922" s="23" t="s">
        <v>13848</v>
      </c>
    </row>
    <row r="923" spans="1:20" x14ac:dyDescent="0.2">
      <c r="A923" s="23" t="s">
        <v>92</v>
      </c>
      <c r="C923" s="23" t="s">
        <v>5813</v>
      </c>
      <c r="D923" s="23" t="s">
        <v>5814</v>
      </c>
      <c r="E923" s="23" t="s">
        <v>5815</v>
      </c>
      <c r="G923" s="23" t="s">
        <v>5816</v>
      </c>
      <c r="K923" s="23" t="s">
        <v>5817</v>
      </c>
      <c r="L923" s="23" t="s">
        <v>5818</v>
      </c>
      <c r="O923" s="23" t="s">
        <v>11993</v>
      </c>
      <c r="P923" s="23" t="s">
        <v>13829</v>
      </c>
      <c r="Q923" s="23" t="s">
        <v>13834</v>
      </c>
      <c r="R923" s="23" t="s">
        <v>13839</v>
      </c>
      <c r="S923" s="23" t="s">
        <v>13844</v>
      </c>
      <c r="T923" s="23" t="s">
        <v>13849</v>
      </c>
    </row>
    <row r="924" spans="1:20" x14ac:dyDescent="0.2">
      <c r="A924" s="23" t="s">
        <v>92</v>
      </c>
      <c r="C924" s="23" t="s">
        <v>5789</v>
      </c>
      <c r="D924" s="23" t="s">
        <v>5790</v>
      </c>
      <c r="E924" s="23" t="s">
        <v>5791</v>
      </c>
      <c r="G924" s="23" t="s">
        <v>5792</v>
      </c>
      <c r="K924" s="23" t="s">
        <v>5793</v>
      </c>
      <c r="L924" s="23" t="s">
        <v>5794</v>
      </c>
    </row>
    <row r="925" spans="1:20" x14ac:dyDescent="0.2">
      <c r="A925" s="23" t="s">
        <v>92</v>
      </c>
      <c r="C925" s="23" t="s">
        <v>5819</v>
      </c>
      <c r="D925" s="23" t="s">
        <v>5820</v>
      </c>
      <c r="E925" s="23" t="s">
        <v>5821</v>
      </c>
      <c r="G925" s="23" t="s">
        <v>5822</v>
      </c>
      <c r="K925" s="23" t="s">
        <v>5823</v>
      </c>
      <c r="L925" s="23" t="s">
        <v>5824</v>
      </c>
      <c r="M925" s="23" t="s">
        <v>5825</v>
      </c>
      <c r="N925" s="23" t="s">
        <v>5826</v>
      </c>
      <c r="T925" s="23" t="s">
        <v>5827</v>
      </c>
    </row>
    <row r="926" spans="1:20" x14ac:dyDescent="0.2">
      <c r="A926" s="23" t="s">
        <v>92</v>
      </c>
      <c r="C926" s="23" t="s">
        <v>5828</v>
      </c>
      <c r="D926" s="23" t="s">
        <v>5829</v>
      </c>
      <c r="E926" s="23" t="s">
        <v>5830</v>
      </c>
      <c r="G926" s="23" t="s">
        <v>5831</v>
      </c>
      <c r="K926" s="23" t="s">
        <v>5832</v>
      </c>
      <c r="L926" s="23" t="s">
        <v>5833</v>
      </c>
      <c r="M926" s="23" t="s">
        <v>741</v>
      </c>
      <c r="N926" s="23" t="s">
        <v>5834</v>
      </c>
    </row>
    <row r="927" spans="1:20" x14ac:dyDescent="0.2">
      <c r="A927" s="23" t="s">
        <v>92</v>
      </c>
      <c r="C927" s="23" t="s">
        <v>5835</v>
      </c>
      <c r="D927" s="23" t="s">
        <v>5836</v>
      </c>
      <c r="E927" s="23" t="s">
        <v>5837</v>
      </c>
      <c r="G927" s="23" t="s">
        <v>5838</v>
      </c>
      <c r="K927" s="23" t="s">
        <v>5839</v>
      </c>
      <c r="L927" s="23" t="s">
        <v>5840</v>
      </c>
      <c r="O927" s="23" t="s">
        <v>11994</v>
      </c>
      <c r="P927" s="23" t="s">
        <v>5841</v>
      </c>
      <c r="Q927" s="23" t="s">
        <v>5842</v>
      </c>
      <c r="R927" s="23" t="s">
        <v>5843</v>
      </c>
      <c r="S927" s="23" t="s">
        <v>5844</v>
      </c>
      <c r="T927" s="23" t="s">
        <v>5845</v>
      </c>
    </row>
    <row r="928" spans="1:20" x14ac:dyDescent="0.2">
      <c r="A928" s="23" t="s">
        <v>92</v>
      </c>
      <c r="C928" s="23" t="s">
        <v>5846</v>
      </c>
      <c r="D928" s="23" t="s">
        <v>5847</v>
      </c>
      <c r="E928" s="23" t="s">
        <v>5848</v>
      </c>
      <c r="G928" s="23" t="s">
        <v>5849</v>
      </c>
      <c r="K928" s="23" t="s">
        <v>5850</v>
      </c>
      <c r="L928" s="23" t="s">
        <v>5851</v>
      </c>
      <c r="O928" s="23" t="s">
        <v>11995</v>
      </c>
      <c r="P928" s="23" t="s">
        <v>13960</v>
      </c>
      <c r="Q928" s="23" t="s">
        <v>13965</v>
      </c>
      <c r="R928" s="23" t="s">
        <v>13970</v>
      </c>
      <c r="S928" s="23" t="s">
        <v>13975</v>
      </c>
      <c r="T928" s="23" t="s">
        <v>13980</v>
      </c>
    </row>
    <row r="929" spans="1:20" x14ac:dyDescent="0.2">
      <c r="A929" s="23" t="s">
        <v>92</v>
      </c>
      <c r="C929" s="23" t="s">
        <v>5852</v>
      </c>
      <c r="D929" s="23" t="s">
        <v>5853</v>
      </c>
      <c r="E929" s="23" t="s">
        <v>5854</v>
      </c>
      <c r="G929" s="23" t="s">
        <v>5855</v>
      </c>
      <c r="K929" s="23" t="s">
        <v>5856</v>
      </c>
      <c r="L929" s="23" t="s">
        <v>5857</v>
      </c>
      <c r="O929" s="23" t="s">
        <v>11996</v>
      </c>
      <c r="P929" s="23" t="s">
        <v>13961</v>
      </c>
      <c r="Q929" s="23" t="s">
        <v>13966</v>
      </c>
      <c r="R929" s="23" t="s">
        <v>13971</v>
      </c>
      <c r="S929" s="23" t="s">
        <v>13976</v>
      </c>
      <c r="T929" s="23" t="s">
        <v>13981</v>
      </c>
    </row>
    <row r="930" spans="1:20" x14ac:dyDescent="0.2">
      <c r="A930" s="23" t="s">
        <v>92</v>
      </c>
      <c r="C930" s="23" t="s">
        <v>5858</v>
      </c>
      <c r="D930" s="23" t="s">
        <v>5859</v>
      </c>
      <c r="E930" s="23" t="s">
        <v>5860</v>
      </c>
      <c r="G930" s="23" t="s">
        <v>5861</v>
      </c>
      <c r="K930" s="23" t="s">
        <v>5862</v>
      </c>
      <c r="L930" s="23" t="s">
        <v>5863</v>
      </c>
      <c r="O930" s="23" t="s">
        <v>11524</v>
      </c>
      <c r="P930" s="23" t="s">
        <v>13962</v>
      </c>
      <c r="Q930" s="23" t="s">
        <v>13967</v>
      </c>
      <c r="R930" s="23" t="s">
        <v>13972</v>
      </c>
      <c r="S930" s="23" t="s">
        <v>13977</v>
      </c>
      <c r="T930" s="23" t="s">
        <v>13982</v>
      </c>
    </row>
    <row r="931" spans="1:20" x14ac:dyDescent="0.2">
      <c r="A931" s="23" t="s">
        <v>92</v>
      </c>
      <c r="C931" s="23" t="s">
        <v>5864</v>
      </c>
      <c r="D931" s="23" t="s">
        <v>5865</v>
      </c>
      <c r="E931" s="23" t="s">
        <v>5866</v>
      </c>
      <c r="G931" s="23" t="s">
        <v>5867</v>
      </c>
      <c r="K931" s="23" t="s">
        <v>5868</v>
      </c>
      <c r="L931" s="23" t="s">
        <v>5869</v>
      </c>
      <c r="O931" s="23" t="s">
        <v>11567</v>
      </c>
      <c r="P931" s="23" t="s">
        <v>13963</v>
      </c>
      <c r="Q931" s="23" t="s">
        <v>13968</v>
      </c>
      <c r="R931" s="23" t="s">
        <v>13973</v>
      </c>
      <c r="S931" s="23" t="s">
        <v>13978</v>
      </c>
      <c r="T931" s="23" t="s">
        <v>13983</v>
      </c>
    </row>
    <row r="932" spans="1:20" x14ac:dyDescent="0.2">
      <c r="A932" s="23" t="s">
        <v>92</v>
      </c>
      <c r="C932" s="23" t="s">
        <v>5870</v>
      </c>
      <c r="D932" s="23" t="s">
        <v>5871</v>
      </c>
      <c r="E932" s="23" t="s">
        <v>5872</v>
      </c>
      <c r="G932" s="23" t="s">
        <v>5873</v>
      </c>
      <c r="K932" s="23" t="s">
        <v>5874</v>
      </c>
      <c r="L932" s="23" t="s">
        <v>5875</v>
      </c>
      <c r="O932" s="23" t="s">
        <v>11997</v>
      </c>
      <c r="P932" s="23" t="s">
        <v>13964</v>
      </c>
      <c r="Q932" s="23" t="s">
        <v>13969</v>
      </c>
      <c r="R932" s="23" t="s">
        <v>13974</v>
      </c>
      <c r="S932" s="23" t="s">
        <v>13979</v>
      </c>
      <c r="T932" s="23" t="s">
        <v>13984</v>
      </c>
    </row>
    <row r="933" spans="1:20" x14ac:dyDescent="0.2">
      <c r="A933" s="23" t="s">
        <v>92</v>
      </c>
      <c r="C933" s="23" t="s">
        <v>5846</v>
      </c>
      <c r="D933" s="23" t="s">
        <v>5847</v>
      </c>
      <c r="E933" s="23" t="s">
        <v>5848</v>
      </c>
      <c r="G933" s="23" t="s">
        <v>5849</v>
      </c>
      <c r="K933" s="23" t="s">
        <v>5850</v>
      </c>
      <c r="L933" s="23" t="s">
        <v>5851</v>
      </c>
    </row>
    <row r="934" spans="1:20" x14ac:dyDescent="0.2">
      <c r="A934" s="23" t="s">
        <v>92</v>
      </c>
      <c r="C934" s="23" t="s">
        <v>5876</v>
      </c>
      <c r="D934" s="23" t="s">
        <v>5877</v>
      </c>
      <c r="E934" s="23" t="s">
        <v>5878</v>
      </c>
      <c r="G934" s="23" t="s">
        <v>5879</v>
      </c>
      <c r="K934" s="23" t="s">
        <v>5880</v>
      </c>
      <c r="L934" s="23" t="s">
        <v>5881</v>
      </c>
      <c r="M934" s="23" t="s">
        <v>5882</v>
      </c>
      <c r="N934" s="23" t="s">
        <v>5883</v>
      </c>
      <c r="T934" s="23" t="s">
        <v>5884</v>
      </c>
    </row>
    <row r="935" spans="1:20" x14ac:dyDescent="0.2">
      <c r="A935" s="23" t="s">
        <v>92</v>
      </c>
      <c r="C935" s="23" t="s">
        <v>5885</v>
      </c>
      <c r="D935" s="23" t="s">
        <v>5886</v>
      </c>
      <c r="E935" s="23" t="s">
        <v>5887</v>
      </c>
      <c r="G935" s="23" t="s">
        <v>5888</v>
      </c>
      <c r="K935" s="23" t="s">
        <v>5889</v>
      </c>
      <c r="L935" s="23" t="s">
        <v>5890</v>
      </c>
      <c r="M935" s="23" t="s">
        <v>787</v>
      </c>
      <c r="N935" s="23" t="s">
        <v>5891</v>
      </c>
    </row>
    <row r="936" spans="1:20" x14ac:dyDescent="0.2">
      <c r="A936" s="23" t="s">
        <v>92</v>
      </c>
      <c r="C936" s="23" t="s">
        <v>5892</v>
      </c>
      <c r="D936" s="23" t="s">
        <v>5893</v>
      </c>
      <c r="E936" s="23" t="s">
        <v>5894</v>
      </c>
      <c r="G936" s="23" t="s">
        <v>5895</v>
      </c>
      <c r="K936" s="23" t="s">
        <v>5896</v>
      </c>
      <c r="L936" s="23" t="s">
        <v>5897</v>
      </c>
      <c r="O936" s="23" t="s">
        <v>11998</v>
      </c>
      <c r="P936" s="23" t="s">
        <v>5898</v>
      </c>
      <c r="Q936" s="23" t="s">
        <v>5899</v>
      </c>
      <c r="R936" s="23" t="s">
        <v>5900</v>
      </c>
      <c r="S936" s="23" t="s">
        <v>5901</v>
      </c>
      <c r="T936" s="23" t="s">
        <v>5902</v>
      </c>
    </row>
    <row r="937" spans="1:20" x14ac:dyDescent="0.2">
      <c r="A937" s="23" t="s">
        <v>92</v>
      </c>
      <c r="C937" s="23" t="s">
        <v>5903</v>
      </c>
      <c r="D937" s="23" t="s">
        <v>5904</v>
      </c>
      <c r="E937" s="23" t="s">
        <v>5905</v>
      </c>
      <c r="G937" s="23" t="s">
        <v>5906</v>
      </c>
      <c r="K937" s="23" t="s">
        <v>5907</v>
      </c>
      <c r="L937" s="23" t="s">
        <v>5908</v>
      </c>
      <c r="O937" s="23" t="s">
        <v>11999</v>
      </c>
      <c r="P937" s="23" t="s">
        <v>13935</v>
      </c>
      <c r="Q937" s="23" t="s">
        <v>13940</v>
      </c>
      <c r="R937" s="23" t="s">
        <v>13945</v>
      </c>
      <c r="S937" s="23" t="s">
        <v>13950</v>
      </c>
      <c r="T937" s="23" t="s">
        <v>13955</v>
      </c>
    </row>
    <row r="938" spans="1:20" x14ac:dyDescent="0.2">
      <c r="A938" s="23" t="s">
        <v>92</v>
      </c>
      <c r="C938" s="23" t="s">
        <v>5909</v>
      </c>
      <c r="D938" s="23" t="s">
        <v>5910</v>
      </c>
      <c r="E938" s="23" t="s">
        <v>5911</v>
      </c>
      <c r="G938" s="23" t="s">
        <v>5912</v>
      </c>
      <c r="K938" s="23" t="s">
        <v>5913</v>
      </c>
      <c r="L938" s="23" t="s">
        <v>5914</v>
      </c>
      <c r="O938" s="23" t="s">
        <v>12000</v>
      </c>
      <c r="P938" s="23" t="s">
        <v>13936</v>
      </c>
      <c r="Q938" s="23" t="s">
        <v>13941</v>
      </c>
      <c r="R938" s="23" t="s">
        <v>13946</v>
      </c>
      <c r="S938" s="23" t="s">
        <v>13951</v>
      </c>
      <c r="T938" s="23" t="s">
        <v>13956</v>
      </c>
    </row>
    <row r="939" spans="1:20" x14ac:dyDescent="0.2">
      <c r="A939" s="23" t="s">
        <v>92</v>
      </c>
      <c r="C939" s="23" t="s">
        <v>5915</v>
      </c>
      <c r="D939" s="23" t="s">
        <v>5916</v>
      </c>
      <c r="E939" s="23" t="s">
        <v>5917</v>
      </c>
      <c r="G939" s="23" t="s">
        <v>5918</v>
      </c>
      <c r="K939" s="23" t="s">
        <v>5919</v>
      </c>
      <c r="L939" s="23" t="s">
        <v>5920</v>
      </c>
      <c r="O939" s="23" t="s">
        <v>11531</v>
      </c>
      <c r="P939" s="23" t="s">
        <v>13937</v>
      </c>
      <c r="Q939" s="23" t="s">
        <v>13942</v>
      </c>
      <c r="R939" s="23" t="s">
        <v>13947</v>
      </c>
      <c r="S939" s="23" t="s">
        <v>13952</v>
      </c>
      <c r="T939" s="23" t="s">
        <v>13957</v>
      </c>
    </row>
    <row r="940" spans="1:20" x14ac:dyDescent="0.2">
      <c r="A940" s="23" t="s">
        <v>92</v>
      </c>
      <c r="C940" s="23" t="s">
        <v>5921</v>
      </c>
      <c r="D940" s="23" t="s">
        <v>5922</v>
      </c>
      <c r="E940" s="23" t="s">
        <v>5923</v>
      </c>
      <c r="G940" s="23" t="s">
        <v>5924</v>
      </c>
      <c r="K940" s="23" t="s">
        <v>5925</v>
      </c>
      <c r="L940" s="23" t="s">
        <v>5926</v>
      </c>
      <c r="O940" s="23" t="s">
        <v>11573</v>
      </c>
      <c r="P940" s="23" t="s">
        <v>13938</v>
      </c>
      <c r="Q940" s="23" t="s">
        <v>13943</v>
      </c>
      <c r="R940" s="23" t="s">
        <v>13948</v>
      </c>
      <c r="S940" s="23" t="s">
        <v>13953</v>
      </c>
      <c r="T940" s="23" t="s">
        <v>13958</v>
      </c>
    </row>
    <row r="941" spans="1:20" x14ac:dyDescent="0.2">
      <c r="A941" s="23" t="s">
        <v>92</v>
      </c>
      <c r="C941" s="23" t="s">
        <v>5927</v>
      </c>
      <c r="D941" s="23" t="s">
        <v>5928</v>
      </c>
      <c r="E941" s="23" t="s">
        <v>5929</v>
      </c>
      <c r="G941" s="23" t="s">
        <v>5930</v>
      </c>
      <c r="K941" s="23" t="s">
        <v>5931</v>
      </c>
      <c r="L941" s="23" t="s">
        <v>5932</v>
      </c>
      <c r="O941" s="23" t="s">
        <v>12001</v>
      </c>
      <c r="P941" s="23" t="s">
        <v>13939</v>
      </c>
      <c r="Q941" s="23" t="s">
        <v>13944</v>
      </c>
      <c r="R941" s="23" t="s">
        <v>13949</v>
      </c>
      <c r="S941" s="23" t="s">
        <v>13954</v>
      </c>
      <c r="T941" s="23" t="s">
        <v>13959</v>
      </c>
    </row>
    <row r="942" spans="1:20" x14ac:dyDescent="0.2">
      <c r="A942" s="23" t="s">
        <v>92</v>
      </c>
      <c r="C942" s="23" t="s">
        <v>5903</v>
      </c>
      <c r="D942" s="23" t="s">
        <v>5904</v>
      </c>
      <c r="E942" s="23" t="s">
        <v>5905</v>
      </c>
      <c r="G942" s="23" t="s">
        <v>5906</v>
      </c>
      <c r="K942" s="23" t="s">
        <v>5907</v>
      </c>
      <c r="L942" s="23" t="s">
        <v>5908</v>
      </c>
    </row>
    <row r="943" spans="1:20" x14ac:dyDescent="0.2">
      <c r="A943" s="23" t="s">
        <v>92</v>
      </c>
      <c r="C943" s="23" t="s">
        <v>5933</v>
      </c>
      <c r="D943" s="23" t="s">
        <v>5934</v>
      </c>
      <c r="E943" s="23" t="s">
        <v>5935</v>
      </c>
      <c r="G943" s="23" t="s">
        <v>5936</v>
      </c>
      <c r="K943" s="23" t="s">
        <v>5937</v>
      </c>
      <c r="L943" s="23" t="s">
        <v>5938</v>
      </c>
      <c r="M943" s="23" t="s">
        <v>5939</v>
      </c>
      <c r="N943" s="23" t="s">
        <v>5940</v>
      </c>
      <c r="T943" s="23" t="s">
        <v>5941</v>
      </c>
    </row>
    <row r="944" spans="1:20" x14ac:dyDescent="0.2">
      <c r="A944" s="23" t="s">
        <v>92</v>
      </c>
      <c r="C944" s="23" t="s">
        <v>5942</v>
      </c>
      <c r="D944" s="23" t="s">
        <v>5943</v>
      </c>
      <c r="E944" s="23" t="s">
        <v>5944</v>
      </c>
      <c r="G944" s="23" t="s">
        <v>5945</v>
      </c>
      <c r="K944" s="23" t="s">
        <v>5946</v>
      </c>
      <c r="L944" s="23" t="s">
        <v>5947</v>
      </c>
      <c r="M944" s="23" t="s">
        <v>828</v>
      </c>
      <c r="N944" s="23" t="s">
        <v>5948</v>
      </c>
    </row>
    <row r="945" spans="1:20" x14ac:dyDescent="0.2">
      <c r="A945" s="23" t="s">
        <v>92</v>
      </c>
      <c r="C945" s="23" t="s">
        <v>5949</v>
      </c>
      <c r="D945" s="23" t="s">
        <v>5950</v>
      </c>
      <c r="E945" s="23" t="s">
        <v>5951</v>
      </c>
      <c r="G945" s="23" t="s">
        <v>5952</v>
      </c>
      <c r="K945" s="23" t="s">
        <v>5953</v>
      </c>
      <c r="L945" s="23" t="s">
        <v>5954</v>
      </c>
      <c r="O945" s="23" t="s">
        <v>12002</v>
      </c>
      <c r="P945" s="23" t="s">
        <v>5955</v>
      </c>
      <c r="Q945" s="23" t="s">
        <v>5956</v>
      </c>
      <c r="R945" s="23" t="s">
        <v>5957</v>
      </c>
      <c r="S945" s="23" t="s">
        <v>5958</v>
      </c>
      <c r="T945" s="23" t="s">
        <v>5959</v>
      </c>
    </row>
    <row r="946" spans="1:20" x14ac:dyDescent="0.2">
      <c r="A946" s="23" t="s">
        <v>92</v>
      </c>
      <c r="C946" s="23" t="s">
        <v>5960</v>
      </c>
      <c r="D946" s="23" t="s">
        <v>5961</v>
      </c>
      <c r="E946" s="23" t="s">
        <v>5962</v>
      </c>
      <c r="G946" s="23" t="s">
        <v>5963</v>
      </c>
      <c r="K946" s="23" t="s">
        <v>5964</v>
      </c>
      <c r="L946" s="23" t="s">
        <v>5965</v>
      </c>
      <c r="O946" s="23" t="s">
        <v>12003</v>
      </c>
      <c r="P946" s="23" t="s">
        <v>13905</v>
      </c>
      <c r="Q946" s="23" t="s">
        <v>13911</v>
      </c>
      <c r="R946" s="23" t="s">
        <v>13917</v>
      </c>
      <c r="S946" s="23" t="s">
        <v>13923</v>
      </c>
      <c r="T946" s="23" t="s">
        <v>13929</v>
      </c>
    </row>
    <row r="947" spans="1:20" x14ac:dyDescent="0.2">
      <c r="A947" s="23" t="s">
        <v>92</v>
      </c>
      <c r="C947" s="23" t="s">
        <v>5966</v>
      </c>
      <c r="D947" s="23" t="s">
        <v>5967</v>
      </c>
      <c r="E947" s="23" t="s">
        <v>5968</v>
      </c>
      <c r="G947" s="23" t="s">
        <v>5969</v>
      </c>
      <c r="K947" s="23" t="s">
        <v>5970</v>
      </c>
      <c r="L947" s="23" t="s">
        <v>5971</v>
      </c>
      <c r="O947" s="23" t="s">
        <v>12004</v>
      </c>
      <c r="P947" s="23" t="s">
        <v>13906</v>
      </c>
      <c r="Q947" s="23" t="s">
        <v>13912</v>
      </c>
      <c r="R947" s="23" t="s">
        <v>13918</v>
      </c>
      <c r="S947" s="23" t="s">
        <v>13924</v>
      </c>
      <c r="T947" s="23" t="s">
        <v>13930</v>
      </c>
    </row>
    <row r="948" spans="1:20" x14ac:dyDescent="0.2">
      <c r="A948" s="23" t="s">
        <v>92</v>
      </c>
      <c r="C948" s="23" t="s">
        <v>5972</v>
      </c>
      <c r="D948" s="23" t="s">
        <v>5973</v>
      </c>
      <c r="E948" s="23" t="s">
        <v>5974</v>
      </c>
      <c r="G948" s="23" t="s">
        <v>5975</v>
      </c>
      <c r="K948" s="23" t="s">
        <v>5976</v>
      </c>
      <c r="L948" s="23" t="s">
        <v>5977</v>
      </c>
      <c r="O948" s="23" t="s">
        <v>12005</v>
      </c>
      <c r="P948" s="23" t="s">
        <v>13907</v>
      </c>
      <c r="Q948" s="23" t="s">
        <v>13913</v>
      </c>
      <c r="R948" s="23" t="s">
        <v>13919</v>
      </c>
      <c r="S948" s="23" t="s">
        <v>13925</v>
      </c>
      <c r="T948" s="23" t="s">
        <v>13931</v>
      </c>
    </row>
    <row r="949" spans="1:20" x14ac:dyDescent="0.2">
      <c r="A949" s="23" t="s">
        <v>92</v>
      </c>
      <c r="C949" s="23" t="s">
        <v>5978</v>
      </c>
      <c r="D949" s="23" t="s">
        <v>5979</v>
      </c>
      <c r="E949" s="23" t="s">
        <v>5980</v>
      </c>
      <c r="G949" s="23" t="s">
        <v>5981</v>
      </c>
      <c r="K949" s="23" t="s">
        <v>5982</v>
      </c>
      <c r="L949" s="23" t="s">
        <v>5983</v>
      </c>
      <c r="O949" s="23" t="s">
        <v>11538</v>
      </c>
      <c r="P949" s="23" t="s">
        <v>13908</v>
      </c>
      <c r="Q949" s="23" t="s">
        <v>13914</v>
      </c>
      <c r="R949" s="23" t="s">
        <v>13920</v>
      </c>
      <c r="S949" s="23" t="s">
        <v>13926</v>
      </c>
      <c r="T949" s="23" t="s">
        <v>13932</v>
      </c>
    </row>
    <row r="950" spans="1:20" x14ac:dyDescent="0.2">
      <c r="A950" s="23" t="s">
        <v>92</v>
      </c>
      <c r="C950" s="23" t="s">
        <v>5984</v>
      </c>
      <c r="D950" s="23" t="s">
        <v>5985</v>
      </c>
      <c r="E950" s="23" t="s">
        <v>5986</v>
      </c>
      <c r="G950" s="23" t="s">
        <v>5987</v>
      </c>
      <c r="K950" s="23" t="s">
        <v>5988</v>
      </c>
      <c r="L950" s="23" t="s">
        <v>5989</v>
      </c>
      <c r="O950" s="23" t="s">
        <v>11578</v>
      </c>
      <c r="P950" s="23" t="s">
        <v>13909</v>
      </c>
      <c r="Q950" s="23" t="s">
        <v>13915</v>
      </c>
      <c r="R950" s="23" t="s">
        <v>13921</v>
      </c>
      <c r="S950" s="23" t="s">
        <v>13927</v>
      </c>
      <c r="T950" s="23" t="s">
        <v>13933</v>
      </c>
    </row>
    <row r="951" spans="1:20" x14ac:dyDescent="0.2">
      <c r="A951" s="23" t="s">
        <v>92</v>
      </c>
      <c r="C951" s="23" t="s">
        <v>5990</v>
      </c>
      <c r="D951" s="23" t="s">
        <v>5991</v>
      </c>
      <c r="E951" s="23" t="s">
        <v>5992</v>
      </c>
      <c r="G951" s="23" t="s">
        <v>5993</v>
      </c>
      <c r="K951" s="23" t="s">
        <v>5994</v>
      </c>
      <c r="L951" s="23" t="s">
        <v>5995</v>
      </c>
      <c r="O951" s="23" t="s">
        <v>12006</v>
      </c>
      <c r="P951" s="23" t="s">
        <v>13910</v>
      </c>
      <c r="Q951" s="23" t="s">
        <v>13916</v>
      </c>
      <c r="R951" s="23" t="s">
        <v>13922</v>
      </c>
      <c r="S951" s="23" t="s">
        <v>13928</v>
      </c>
      <c r="T951" s="23" t="s">
        <v>13934</v>
      </c>
    </row>
    <row r="952" spans="1:20" x14ac:dyDescent="0.2">
      <c r="A952" s="23" t="s">
        <v>92</v>
      </c>
      <c r="C952" s="23" t="s">
        <v>5960</v>
      </c>
      <c r="D952" s="23" t="s">
        <v>5961</v>
      </c>
      <c r="E952" s="23" t="s">
        <v>5962</v>
      </c>
      <c r="G952" s="23" t="s">
        <v>5963</v>
      </c>
      <c r="K952" s="23" t="s">
        <v>5964</v>
      </c>
      <c r="L952" s="23" t="s">
        <v>5965</v>
      </c>
    </row>
    <row r="953" spans="1:20" x14ac:dyDescent="0.2">
      <c r="A953" s="23" t="s">
        <v>92</v>
      </c>
      <c r="C953" s="23" t="s">
        <v>5996</v>
      </c>
      <c r="D953" s="23" t="s">
        <v>5997</v>
      </c>
      <c r="E953" s="23" t="s">
        <v>5998</v>
      </c>
      <c r="G953" s="23" t="s">
        <v>5999</v>
      </c>
      <c r="K953" s="23" t="s">
        <v>6000</v>
      </c>
      <c r="L953" s="23" t="s">
        <v>6001</v>
      </c>
      <c r="M953" s="23" t="s">
        <v>6002</v>
      </c>
      <c r="N953" s="23" t="s">
        <v>6003</v>
      </c>
      <c r="T953" s="23" t="s">
        <v>6004</v>
      </c>
    </row>
    <row r="954" spans="1:20" x14ac:dyDescent="0.2">
      <c r="A954" s="23" t="s">
        <v>92</v>
      </c>
      <c r="C954" s="23" t="s">
        <v>6005</v>
      </c>
      <c r="D954" s="23" t="s">
        <v>6006</v>
      </c>
      <c r="E954" s="23" t="s">
        <v>6007</v>
      </c>
      <c r="G954" s="23" t="s">
        <v>6008</v>
      </c>
      <c r="K954" s="23" t="s">
        <v>6009</v>
      </c>
      <c r="L954" s="23" t="s">
        <v>6010</v>
      </c>
      <c r="M954" s="23" t="s">
        <v>875</v>
      </c>
      <c r="N954" s="23" t="s">
        <v>6011</v>
      </c>
    </row>
    <row r="955" spans="1:20" x14ac:dyDescent="0.2">
      <c r="A955" s="23" t="s">
        <v>92</v>
      </c>
      <c r="C955" s="23" t="s">
        <v>6012</v>
      </c>
      <c r="D955" s="23" t="s">
        <v>6013</v>
      </c>
      <c r="E955" s="23" t="s">
        <v>6014</v>
      </c>
      <c r="G955" s="23" t="s">
        <v>6015</v>
      </c>
      <c r="K955" s="23" t="s">
        <v>6016</v>
      </c>
      <c r="L955" s="23" t="s">
        <v>6017</v>
      </c>
      <c r="O955" s="23" t="s">
        <v>12007</v>
      </c>
      <c r="P955" s="23" t="s">
        <v>6018</v>
      </c>
      <c r="Q955" s="23" t="s">
        <v>6019</v>
      </c>
      <c r="R955" s="23" t="s">
        <v>6020</v>
      </c>
      <c r="S955" s="23" t="s">
        <v>6021</v>
      </c>
      <c r="T955" s="23" t="s">
        <v>6022</v>
      </c>
    </row>
    <row r="956" spans="1:20" x14ac:dyDescent="0.2">
      <c r="A956" s="23" t="s">
        <v>92</v>
      </c>
      <c r="C956" s="23" t="s">
        <v>6023</v>
      </c>
      <c r="D956" s="23" t="s">
        <v>6024</v>
      </c>
      <c r="E956" s="23" t="s">
        <v>6025</v>
      </c>
      <c r="G956" s="23" t="s">
        <v>6026</v>
      </c>
      <c r="K956" s="23" t="s">
        <v>6027</v>
      </c>
      <c r="L956" s="23" t="s">
        <v>6028</v>
      </c>
      <c r="O956" s="23" t="s">
        <v>12008</v>
      </c>
      <c r="P956" s="23" t="s">
        <v>13875</v>
      </c>
      <c r="Q956" s="23" t="s">
        <v>13881</v>
      </c>
      <c r="R956" s="23" t="s">
        <v>13887</v>
      </c>
      <c r="S956" s="23" t="s">
        <v>13893</v>
      </c>
      <c r="T956" s="23" t="s">
        <v>13899</v>
      </c>
    </row>
    <row r="957" spans="1:20" x14ac:dyDescent="0.2">
      <c r="A957" s="23" t="s">
        <v>92</v>
      </c>
      <c r="C957" s="23" t="s">
        <v>6029</v>
      </c>
      <c r="D957" s="23" t="s">
        <v>6030</v>
      </c>
      <c r="E957" s="23" t="s">
        <v>6031</v>
      </c>
      <c r="G957" s="23" t="s">
        <v>6032</v>
      </c>
      <c r="K957" s="23" t="s">
        <v>6033</v>
      </c>
      <c r="L957" s="23" t="s">
        <v>6034</v>
      </c>
      <c r="O957" s="23" t="s">
        <v>12009</v>
      </c>
      <c r="P957" s="23" t="s">
        <v>13876</v>
      </c>
      <c r="Q957" s="23" t="s">
        <v>13882</v>
      </c>
      <c r="R957" s="23" t="s">
        <v>13888</v>
      </c>
      <c r="S957" s="23" t="s">
        <v>13894</v>
      </c>
      <c r="T957" s="23" t="s">
        <v>13900</v>
      </c>
    </row>
    <row r="958" spans="1:20" x14ac:dyDescent="0.2">
      <c r="A958" s="23" t="s">
        <v>92</v>
      </c>
      <c r="C958" s="23" t="s">
        <v>6035</v>
      </c>
      <c r="D958" s="23" t="s">
        <v>6036</v>
      </c>
      <c r="E958" s="23" t="s">
        <v>6037</v>
      </c>
      <c r="G958" s="23" t="s">
        <v>6038</v>
      </c>
      <c r="K958" s="23" t="s">
        <v>6039</v>
      </c>
      <c r="L958" s="23" t="s">
        <v>6040</v>
      </c>
      <c r="O958" s="23" t="s">
        <v>11546</v>
      </c>
      <c r="P958" s="23" t="s">
        <v>13877</v>
      </c>
      <c r="Q958" s="23" t="s">
        <v>13883</v>
      </c>
      <c r="R958" s="23" t="s">
        <v>13889</v>
      </c>
      <c r="S958" s="23" t="s">
        <v>13895</v>
      </c>
      <c r="T958" s="23" t="s">
        <v>13901</v>
      </c>
    </row>
    <row r="959" spans="1:20" x14ac:dyDescent="0.2">
      <c r="A959" s="23" t="s">
        <v>92</v>
      </c>
      <c r="C959" s="23" t="s">
        <v>6041</v>
      </c>
      <c r="D959" s="23" t="s">
        <v>6042</v>
      </c>
      <c r="E959" s="23" t="s">
        <v>6043</v>
      </c>
      <c r="G959" s="23" t="s">
        <v>6044</v>
      </c>
      <c r="K959" s="23" t="s">
        <v>6045</v>
      </c>
      <c r="L959" s="23" t="s">
        <v>6046</v>
      </c>
      <c r="O959" s="23" t="s">
        <v>11583</v>
      </c>
      <c r="P959" s="23" t="s">
        <v>13878</v>
      </c>
      <c r="Q959" s="23" t="s">
        <v>13884</v>
      </c>
      <c r="R959" s="23" t="s">
        <v>13890</v>
      </c>
      <c r="S959" s="23" t="s">
        <v>13896</v>
      </c>
      <c r="T959" s="23" t="s">
        <v>13902</v>
      </c>
    </row>
    <row r="960" spans="1:20" x14ac:dyDescent="0.2">
      <c r="A960" s="23" t="s">
        <v>92</v>
      </c>
      <c r="C960" s="23" t="s">
        <v>6047</v>
      </c>
      <c r="D960" s="23" t="s">
        <v>6048</v>
      </c>
      <c r="E960" s="23" t="s">
        <v>6049</v>
      </c>
      <c r="G960" s="23" t="s">
        <v>6050</v>
      </c>
      <c r="K960" s="23" t="s">
        <v>6051</v>
      </c>
      <c r="L960" s="23" t="s">
        <v>6052</v>
      </c>
      <c r="O960" s="23" t="s">
        <v>12010</v>
      </c>
      <c r="P960" s="23" t="s">
        <v>13879</v>
      </c>
      <c r="Q960" s="23" t="s">
        <v>13885</v>
      </c>
      <c r="R960" s="23" t="s">
        <v>13891</v>
      </c>
      <c r="S960" s="23" t="s">
        <v>13897</v>
      </c>
      <c r="T960" s="23" t="s">
        <v>13903</v>
      </c>
    </row>
    <row r="961" spans="1:20" x14ac:dyDescent="0.2">
      <c r="A961" s="23" t="s">
        <v>92</v>
      </c>
      <c r="C961" s="23" t="s">
        <v>6053</v>
      </c>
      <c r="D961" s="23" t="s">
        <v>6054</v>
      </c>
      <c r="E961" s="23" t="s">
        <v>6055</v>
      </c>
      <c r="G961" s="23" t="s">
        <v>6056</v>
      </c>
      <c r="K961" s="23" t="s">
        <v>6057</v>
      </c>
      <c r="L961" s="23" t="s">
        <v>6058</v>
      </c>
      <c r="O961" s="23" t="s">
        <v>12011</v>
      </c>
      <c r="P961" s="23" t="s">
        <v>13880</v>
      </c>
      <c r="Q961" s="23" t="s">
        <v>13886</v>
      </c>
      <c r="R961" s="23" t="s">
        <v>13892</v>
      </c>
      <c r="S961" s="23" t="s">
        <v>13898</v>
      </c>
      <c r="T961" s="23" t="s">
        <v>13904</v>
      </c>
    </row>
    <row r="962" spans="1:20" x14ac:dyDescent="0.2">
      <c r="A962" s="23" t="s">
        <v>92</v>
      </c>
      <c r="C962" s="23" t="s">
        <v>6023</v>
      </c>
      <c r="D962" s="23" t="s">
        <v>6024</v>
      </c>
      <c r="E962" s="23" t="s">
        <v>6025</v>
      </c>
      <c r="G962" s="23" t="s">
        <v>6026</v>
      </c>
      <c r="K962" s="23" t="s">
        <v>6027</v>
      </c>
      <c r="L962" s="23" t="s">
        <v>6028</v>
      </c>
    </row>
    <row r="963" spans="1:20" x14ac:dyDescent="0.2">
      <c r="A963" s="23" t="s">
        <v>92</v>
      </c>
      <c r="C963" s="23" t="s">
        <v>6059</v>
      </c>
      <c r="D963" s="23" t="s">
        <v>6060</v>
      </c>
      <c r="E963" s="23" t="s">
        <v>6061</v>
      </c>
      <c r="G963" s="23" t="s">
        <v>6062</v>
      </c>
      <c r="K963" s="23" t="s">
        <v>6063</v>
      </c>
      <c r="L963" s="23" t="s">
        <v>6064</v>
      </c>
      <c r="M963" s="23" t="s">
        <v>6065</v>
      </c>
      <c r="N963" s="23" t="s">
        <v>6066</v>
      </c>
      <c r="T963" s="23" t="s">
        <v>6067</v>
      </c>
    </row>
    <row r="964" spans="1:20" x14ac:dyDescent="0.2">
      <c r="A964" s="23" t="s">
        <v>92</v>
      </c>
      <c r="C964" s="23" t="s">
        <v>6068</v>
      </c>
      <c r="D964" s="23" t="s">
        <v>6069</v>
      </c>
      <c r="E964" s="23" t="s">
        <v>6070</v>
      </c>
      <c r="G964" s="23" t="s">
        <v>6071</v>
      </c>
      <c r="K964" s="23" t="s">
        <v>6072</v>
      </c>
      <c r="L964" s="23" t="s">
        <v>6073</v>
      </c>
      <c r="M964" s="23" t="s">
        <v>916</v>
      </c>
      <c r="N964" s="23" t="s">
        <v>6074</v>
      </c>
    </row>
    <row r="965" spans="1:20" x14ac:dyDescent="0.2">
      <c r="A965" s="23" t="s">
        <v>92</v>
      </c>
      <c r="C965" s="23" t="s">
        <v>6075</v>
      </c>
      <c r="D965" s="23" t="s">
        <v>6076</v>
      </c>
      <c r="E965" s="23" t="s">
        <v>6077</v>
      </c>
      <c r="G965" s="23" t="s">
        <v>6078</v>
      </c>
      <c r="K965" s="23" t="s">
        <v>6079</v>
      </c>
      <c r="L965" s="23" t="s">
        <v>6080</v>
      </c>
      <c r="O965" s="23" t="s">
        <v>12012</v>
      </c>
      <c r="P965" s="23" t="s">
        <v>6081</v>
      </c>
      <c r="Q965" s="23" t="s">
        <v>6082</v>
      </c>
      <c r="R965" s="23" t="s">
        <v>6083</v>
      </c>
      <c r="S965" s="23" t="s">
        <v>6084</v>
      </c>
      <c r="T965" s="23" t="s">
        <v>6085</v>
      </c>
    </row>
    <row r="966" spans="1:20" x14ac:dyDescent="0.2">
      <c r="A966" s="23" t="s">
        <v>92</v>
      </c>
      <c r="C966" s="23" t="s">
        <v>6086</v>
      </c>
      <c r="D966" s="23" t="s">
        <v>6087</v>
      </c>
      <c r="E966" s="23" t="s">
        <v>6088</v>
      </c>
      <c r="G966" s="23" t="s">
        <v>6089</v>
      </c>
      <c r="K966" s="23" t="s">
        <v>6090</v>
      </c>
      <c r="L966" s="23" t="s">
        <v>6091</v>
      </c>
      <c r="O966" s="23" t="s">
        <v>12013</v>
      </c>
      <c r="P966" s="23" t="s">
        <v>13850</v>
      </c>
      <c r="Q966" s="23" t="s">
        <v>13855</v>
      </c>
      <c r="R966" s="23" t="s">
        <v>13860</v>
      </c>
      <c r="S966" s="23" t="s">
        <v>13865</v>
      </c>
      <c r="T966" s="23" t="s">
        <v>13870</v>
      </c>
    </row>
    <row r="967" spans="1:20" x14ac:dyDescent="0.2">
      <c r="A967" s="23" t="s">
        <v>92</v>
      </c>
      <c r="C967" s="23" t="s">
        <v>6092</v>
      </c>
      <c r="D967" s="23" t="s">
        <v>6093</v>
      </c>
      <c r="E967" s="23" t="s">
        <v>6094</v>
      </c>
      <c r="G967" s="23" t="s">
        <v>6095</v>
      </c>
      <c r="K967" s="23" t="s">
        <v>6096</v>
      </c>
      <c r="L967" s="23" t="s">
        <v>6097</v>
      </c>
      <c r="O967" s="23" t="s">
        <v>12014</v>
      </c>
      <c r="P967" s="23" t="s">
        <v>13851</v>
      </c>
      <c r="Q967" s="23" t="s">
        <v>13856</v>
      </c>
      <c r="R967" s="23" t="s">
        <v>13861</v>
      </c>
      <c r="S967" s="23" t="s">
        <v>13866</v>
      </c>
      <c r="T967" s="23" t="s">
        <v>13871</v>
      </c>
    </row>
    <row r="968" spans="1:20" x14ac:dyDescent="0.2">
      <c r="A968" s="23" t="s">
        <v>92</v>
      </c>
      <c r="C968" s="23" t="s">
        <v>6098</v>
      </c>
      <c r="D968" s="23" t="s">
        <v>6099</v>
      </c>
      <c r="E968" s="23" t="s">
        <v>6100</v>
      </c>
      <c r="G968" s="23" t="s">
        <v>6101</v>
      </c>
      <c r="K968" s="23" t="s">
        <v>6102</v>
      </c>
      <c r="L968" s="23" t="s">
        <v>6103</v>
      </c>
      <c r="O968" s="23" t="s">
        <v>11554</v>
      </c>
      <c r="P968" s="23" t="s">
        <v>13852</v>
      </c>
      <c r="Q968" s="23" t="s">
        <v>13857</v>
      </c>
      <c r="R968" s="23" t="s">
        <v>13862</v>
      </c>
      <c r="S968" s="23" t="s">
        <v>13867</v>
      </c>
      <c r="T968" s="23" t="s">
        <v>13872</v>
      </c>
    </row>
    <row r="969" spans="1:20" x14ac:dyDescent="0.2">
      <c r="A969" s="23" t="s">
        <v>92</v>
      </c>
      <c r="C969" s="23" t="s">
        <v>6104</v>
      </c>
      <c r="D969" s="23" t="s">
        <v>6105</v>
      </c>
      <c r="E969" s="23" t="s">
        <v>6106</v>
      </c>
      <c r="G969" s="23" t="s">
        <v>6107</v>
      </c>
      <c r="K969" s="23" t="s">
        <v>6108</v>
      </c>
      <c r="L969" s="23" t="s">
        <v>6109</v>
      </c>
      <c r="O969" s="23" t="s">
        <v>11588</v>
      </c>
      <c r="P969" s="23" t="s">
        <v>13853</v>
      </c>
      <c r="Q969" s="23" t="s">
        <v>13858</v>
      </c>
      <c r="R969" s="23" t="s">
        <v>13863</v>
      </c>
      <c r="S969" s="23" t="s">
        <v>13868</v>
      </c>
      <c r="T969" s="23" t="s">
        <v>13873</v>
      </c>
    </row>
    <row r="970" spans="1:20" x14ac:dyDescent="0.2">
      <c r="A970" s="23" t="s">
        <v>92</v>
      </c>
      <c r="C970" s="23" t="s">
        <v>6110</v>
      </c>
      <c r="D970" s="23" t="s">
        <v>6111</v>
      </c>
      <c r="E970" s="23" t="s">
        <v>6112</v>
      </c>
      <c r="G970" s="23" t="s">
        <v>6113</v>
      </c>
      <c r="K970" s="23" t="s">
        <v>6114</v>
      </c>
      <c r="L970" s="23" t="s">
        <v>6115</v>
      </c>
      <c r="O970" s="23" t="s">
        <v>12015</v>
      </c>
      <c r="P970" s="23" t="s">
        <v>13854</v>
      </c>
      <c r="Q970" s="23" t="s">
        <v>13859</v>
      </c>
      <c r="R970" s="23" t="s">
        <v>13864</v>
      </c>
      <c r="S970" s="23" t="s">
        <v>13869</v>
      </c>
      <c r="T970" s="23" t="s">
        <v>13874</v>
      </c>
    </row>
    <row r="971" spans="1:20" x14ac:dyDescent="0.2">
      <c r="A971" s="23" t="s">
        <v>92</v>
      </c>
      <c r="C971" s="23" t="s">
        <v>6086</v>
      </c>
      <c r="D971" s="23" t="s">
        <v>6087</v>
      </c>
      <c r="E971" s="23" t="s">
        <v>6088</v>
      </c>
      <c r="G971" s="23" t="s">
        <v>6089</v>
      </c>
      <c r="K971" s="23" t="s">
        <v>6090</v>
      </c>
      <c r="L971" s="23" t="s">
        <v>6091</v>
      </c>
    </row>
    <row r="972" spans="1:20" x14ac:dyDescent="0.2">
      <c r="A972" s="23" t="s">
        <v>92</v>
      </c>
      <c r="C972" s="23" t="s">
        <v>6116</v>
      </c>
      <c r="D972" s="23" t="s">
        <v>6117</v>
      </c>
      <c r="E972" s="23" t="s">
        <v>6118</v>
      </c>
      <c r="G972" s="23" t="s">
        <v>6119</v>
      </c>
      <c r="K972" s="23" t="s">
        <v>6120</v>
      </c>
      <c r="L972" s="23" t="s">
        <v>6121</v>
      </c>
      <c r="M972" s="23" t="s">
        <v>6122</v>
      </c>
      <c r="N972" s="23" t="s">
        <v>6123</v>
      </c>
      <c r="T972" s="23" t="s">
        <v>6124</v>
      </c>
    </row>
    <row r="973" spans="1:20" x14ac:dyDescent="0.2">
      <c r="A973" s="23" t="s">
        <v>92</v>
      </c>
      <c r="C973" s="23" t="s">
        <v>5828</v>
      </c>
      <c r="D973" s="23" t="s">
        <v>5829</v>
      </c>
      <c r="E973" s="23" t="s">
        <v>5830</v>
      </c>
      <c r="G973" s="23" t="s">
        <v>5831</v>
      </c>
    </row>
    <row r="974" spans="1:20" x14ac:dyDescent="0.2">
      <c r="A974" s="23" t="s">
        <v>92</v>
      </c>
      <c r="C974" s="23" t="s">
        <v>6125</v>
      </c>
      <c r="D974" s="23" t="s">
        <v>6126</v>
      </c>
      <c r="E974" s="23" t="s">
        <v>6127</v>
      </c>
      <c r="G974" s="23" t="s">
        <v>6128</v>
      </c>
      <c r="H974" s="23" t="s">
        <v>6129</v>
      </c>
      <c r="I974" s="23" t="s">
        <v>6130</v>
      </c>
      <c r="J974" s="23" t="s">
        <v>6131</v>
      </c>
      <c r="T974" s="23" t="s">
        <v>6132</v>
      </c>
    </row>
    <row r="975" spans="1:20" x14ac:dyDescent="0.2">
      <c r="A975" s="23" t="s">
        <v>92</v>
      </c>
      <c r="C975" s="23" t="s">
        <v>6133</v>
      </c>
      <c r="D975" s="23" t="s">
        <v>6134</v>
      </c>
      <c r="E975" s="23" t="s">
        <v>6135</v>
      </c>
      <c r="G975" s="23" t="s">
        <v>6136</v>
      </c>
      <c r="H975" s="23" t="s">
        <v>975</v>
      </c>
      <c r="I975" s="23" t="s">
        <v>6137</v>
      </c>
      <c r="J975" s="23" t="s">
        <v>6138</v>
      </c>
    </row>
    <row r="976" spans="1:20" x14ac:dyDescent="0.2">
      <c r="A976" s="23" t="s">
        <v>92</v>
      </c>
      <c r="C976" s="23" t="s">
        <v>6139</v>
      </c>
      <c r="D976" s="23" t="s">
        <v>6140</v>
      </c>
      <c r="E976" s="23" t="s">
        <v>6141</v>
      </c>
      <c r="G976" s="23" t="s">
        <v>6142</v>
      </c>
      <c r="K976" s="23" t="s">
        <v>6143</v>
      </c>
      <c r="L976" s="23" t="s">
        <v>6144</v>
      </c>
      <c r="M976" s="23" t="s">
        <v>12016</v>
      </c>
      <c r="N976" s="23" t="s">
        <v>6145</v>
      </c>
    </row>
    <row r="977" spans="1:20" x14ac:dyDescent="0.2">
      <c r="A977" s="23" t="s">
        <v>92</v>
      </c>
      <c r="C977" s="23" t="s">
        <v>6146</v>
      </c>
      <c r="D977" s="23" t="s">
        <v>6147</v>
      </c>
      <c r="E977" s="23" t="s">
        <v>6148</v>
      </c>
      <c r="G977" s="23" t="s">
        <v>6149</v>
      </c>
      <c r="K977" s="23" t="s">
        <v>6150</v>
      </c>
      <c r="L977" s="23" t="s">
        <v>6151</v>
      </c>
      <c r="O977" s="23" t="s">
        <v>12017</v>
      </c>
      <c r="P977" s="23" t="s">
        <v>6152</v>
      </c>
      <c r="Q977" s="23" t="s">
        <v>6153</v>
      </c>
      <c r="R977" s="23" t="s">
        <v>6154</v>
      </c>
      <c r="S977" s="23" t="s">
        <v>6155</v>
      </c>
      <c r="T977" s="23" t="s">
        <v>6156</v>
      </c>
    </row>
    <row r="978" spans="1:20" x14ac:dyDescent="0.2">
      <c r="A978" s="23" t="s">
        <v>92</v>
      </c>
      <c r="C978" s="23" t="s">
        <v>6157</v>
      </c>
      <c r="D978" s="23" t="s">
        <v>6158</v>
      </c>
      <c r="E978" s="23" t="s">
        <v>6159</v>
      </c>
      <c r="G978" s="23" t="s">
        <v>6160</v>
      </c>
      <c r="K978" s="23" t="s">
        <v>6161</v>
      </c>
      <c r="L978" s="23" t="s">
        <v>6162</v>
      </c>
      <c r="O978" s="23" t="s">
        <v>12018</v>
      </c>
      <c r="P978" s="23" t="s">
        <v>15300</v>
      </c>
      <c r="Q978" s="23" t="s">
        <v>15305</v>
      </c>
      <c r="R978" s="23" t="s">
        <v>15310</v>
      </c>
      <c r="S978" s="23" t="s">
        <v>15315</v>
      </c>
      <c r="T978" s="23" t="s">
        <v>15320</v>
      </c>
    </row>
    <row r="979" spans="1:20" x14ac:dyDescent="0.2">
      <c r="A979" s="23" t="s">
        <v>92</v>
      </c>
      <c r="C979" s="23" t="s">
        <v>6163</v>
      </c>
      <c r="D979" s="23" t="s">
        <v>6164</v>
      </c>
      <c r="E979" s="23" t="s">
        <v>6165</v>
      </c>
      <c r="G979" s="23" t="s">
        <v>6166</v>
      </c>
      <c r="K979" s="23" t="s">
        <v>6167</v>
      </c>
      <c r="L979" s="23" t="s">
        <v>6168</v>
      </c>
      <c r="O979" s="23" t="s">
        <v>11517</v>
      </c>
      <c r="P979" s="23" t="s">
        <v>15301</v>
      </c>
      <c r="Q979" s="23" t="s">
        <v>15306</v>
      </c>
      <c r="R979" s="23" t="s">
        <v>15311</v>
      </c>
      <c r="S979" s="23" t="s">
        <v>15316</v>
      </c>
      <c r="T979" s="23" t="s">
        <v>15321</v>
      </c>
    </row>
    <row r="980" spans="1:20" x14ac:dyDescent="0.2">
      <c r="A980" s="23" t="s">
        <v>92</v>
      </c>
      <c r="C980" s="23" t="s">
        <v>6169</v>
      </c>
      <c r="D980" s="23" t="s">
        <v>6170</v>
      </c>
      <c r="E980" s="23" t="s">
        <v>6171</v>
      </c>
      <c r="G980" s="23" t="s">
        <v>6172</v>
      </c>
      <c r="K980" s="23" t="s">
        <v>6173</v>
      </c>
      <c r="L980" s="23" t="s">
        <v>6174</v>
      </c>
      <c r="O980" s="23" t="s">
        <v>11562</v>
      </c>
      <c r="P980" s="23" t="s">
        <v>15302</v>
      </c>
      <c r="Q980" s="23" t="s">
        <v>15307</v>
      </c>
      <c r="R980" s="23" t="s">
        <v>15312</v>
      </c>
      <c r="S980" s="23" t="s">
        <v>15317</v>
      </c>
      <c r="T980" s="23" t="s">
        <v>15322</v>
      </c>
    </row>
    <row r="981" spans="1:20" x14ac:dyDescent="0.2">
      <c r="A981" s="23" t="s">
        <v>92</v>
      </c>
      <c r="C981" s="23" t="s">
        <v>6175</v>
      </c>
      <c r="D981" s="23" t="s">
        <v>6176</v>
      </c>
      <c r="E981" s="23" t="s">
        <v>6177</v>
      </c>
      <c r="G981" s="23" t="s">
        <v>6178</v>
      </c>
      <c r="K981" s="23" t="s">
        <v>6179</v>
      </c>
      <c r="L981" s="23" t="s">
        <v>6180</v>
      </c>
      <c r="O981" s="23" t="s">
        <v>12019</v>
      </c>
      <c r="P981" s="23" t="s">
        <v>15303</v>
      </c>
      <c r="Q981" s="23" t="s">
        <v>15308</v>
      </c>
      <c r="R981" s="23" t="s">
        <v>15313</v>
      </c>
      <c r="S981" s="23" t="s">
        <v>15318</v>
      </c>
      <c r="T981" s="23" t="s">
        <v>15323</v>
      </c>
    </row>
    <row r="982" spans="1:20" x14ac:dyDescent="0.2">
      <c r="A982" s="23" t="s">
        <v>92</v>
      </c>
      <c r="C982" s="23" t="s">
        <v>6181</v>
      </c>
      <c r="D982" s="23" t="s">
        <v>6182</v>
      </c>
      <c r="E982" s="23" t="s">
        <v>6183</v>
      </c>
      <c r="G982" s="23" t="s">
        <v>6184</v>
      </c>
      <c r="K982" s="23" t="s">
        <v>6185</v>
      </c>
      <c r="L982" s="23" t="s">
        <v>6186</v>
      </c>
      <c r="O982" s="23" t="s">
        <v>12020</v>
      </c>
      <c r="P982" s="23" t="s">
        <v>15304</v>
      </c>
      <c r="Q982" s="23" t="s">
        <v>15309</v>
      </c>
      <c r="R982" s="23" t="s">
        <v>15314</v>
      </c>
      <c r="S982" s="23" t="s">
        <v>15319</v>
      </c>
      <c r="T982" s="23" t="s">
        <v>15324</v>
      </c>
    </row>
    <row r="983" spans="1:20" x14ac:dyDescent="0.2">
      <c r="A983" s="23" t="s">
        <v>92</v>
      </c>
      <c r="C983" s="23" t="s">
        <v>6157</v>
      </c>
      <c r="D983" s="23" t="s">
        <v>6158</v>
      </c>
      <c r="E983" s="23" t="s">
        <v>6159</v>
      </c>
      <c r="G983" s="23" t="s">
        <v>6160</v>
      </c>
      <c r="K983" s="23" t="s">
        <v>6161</v>
      </c>
      <c r="L983" s="23" t="s">
        <v>6162</v>
      </c>
    </row>
    <row r="984" spans="1:20" x14ac:dyDescent="0.2">
      <c r="A984" s="23" t="s">
        <v>92</v>
      </c>
      <c r="C984" s="23" t="s">
        <v>6187</v>
      </c>
      <c r="D984" s="23" t="s">
        <v>6188</v>
      </c>
      <c r="E984" s="23" t="s">
        <v>6189</v>
      </c>
      <c r="G984" s="23" t="s">
        <v>6190</v>
      </c>
      <c r="K984" s="23" t="s">
        <v>6191</v>
      </c>
      <c r="L984" s="23" t="s">
        <v>6192</v>
      </c>
      <c r="M984" s="23" t="s">
        <v>6193</v>
      </c>
      <c r="N984" s="23" t="s">
        <v>6194</v>
      </c>
      <c r="T984" s="23" t="s">
        <v>6195</v>
      </c>
    </row>
    <row r="985" spans="1:20" x14ac:dyDescent="0.2">
      <c r="A985" s="23" t="s">
        <v>92</v>
      </c>
      <c r="C985" s="23" t="s">
        <v>6196</v>
      </c>
      <c r="D985" s="23" t="s">
        <v>6197</v>
      </c>
      <c r="E985" s="23" t="s">
        <v>6198</v>
      </c>
      <c r="G985" s="23" t="s">
        <v>6199</v>
      </c>
      <c r="K985" s="23" t="s">
        <v>6200</v>
      </c>
      <c r="L985" s="23" t="s">
        <v>6201</v>
      </c>
      <c r="M985" s="23" t="s">
        <v>1021</v>
      </c>
      <c r="N985" s="23" t="s">
        <v>6202</v>
      </c>
    </row>
    <row r="986" spans="1:20" x14ac:dyDescent="0.2">
      <c r="A986" s="23" t="s">
        <v>92</v>
      </c>
      <c r="C986" s="23" t="s">
        <v>6203</v>
      </c>
      <c r="D986" s="23" t="s">
        <v>6204</v>
      </c>
      <c r="E986" s="23" t="s">
        <v>6205</v>
      </c>
      <c r="G986" s="23" t="s">
        <v>6206</v>
      </c>
      <c r="K986" s="23" t="s">
        <v>6207</v>
      </c>
      <c r="L986" s="23" t="s">
        <v>6208</v>
      </c>
      <c r="O986" s="23" t="s">
        <v>12021</v>
      </c>
      <c r="P986" s="23" t="s">
        <v>6209</v>
      </c>
      <c r="Q986" s="23" t="s">
        <v>6210</v>
      </c>
      <c r="R986" s="23" t="s">
        <v>6211</v>
      </c>
      <c r="S986" s="23" t="s">
        <v>6212</v>
      </c>
      <c r="T986" s="23" t="s">
        <v>6213</v>
      </c>
    </row>
    <row r="987" spans="1:20" x14ac:dyDescent="0.2">
      <c r="A987" s="23" t="s">
        <v>92</v>
      </c>
      <c r="C987" s="23" t="s">
        <v>6214</v>
      </c>
      <c r="D987" s="23" t="s">
        <v>6215</v>
      </c>
      <c r="E987" s="23" t="s">
        <v>6216</v>
      </c>
      <c r="G987" s="23" t="s">
        <v>6217</v>
      </c>
      <c r="K987" s="23" t="s">
        <v>6218</v>
      </c>
      <c r="L987" s="23" t="s">
        <v>6219</v>
      </c>
      <c r="O987" s="23" t="s">
        <v>12022</v>
      </c>
      <c r="P987" s="23" t="s">
        <v>15425</v>
      </c>
      <c r="Q987" s="23" t="s">
        <v>15430</v>
      </c>
      <c r="R987" s="23" t="s">
        <v>15435</v>
      </c>
      <c r="S987" s="23" t="s">
        <v>15440</v>
      </c>
      <c r="T987" s="23" t="s">
        <v>15445</v>
      </c>
    </row>
    <row r="988" spans="1:20" x14ac:dyDescent="0.2">
      <c r="A988" s="23" t="s">
        <v>92</v>
      </c>
      <c r="C988" s="23" t="s">
        <v>6220</v>
      </c>
      <c r="D988" s="23" t="s">
        <v>6221</v>
      </c>
      <c r="E988" s="23" t="s">
        <v>6222</v>
      </c>
      <c r="G988" s="23" t="s">
        <v>6223</v>
      </c>
      <c r="K988" s="23" t="s">
        <v>6224</v>
      </c>
      <c r="L988" s="23" t="s">
        <v>6225</v>
      </c>
      <c r="O988" s="23" t="s">
        <v>11524</v>
      </c>
      <c r="P988" s="23" t="s">
        <v>15426</v>
      </c>
      <c r="Q988" s="23" t="s">
        <v>15431</v>
      </c>
      <c r="R988" s="23" t="s">
        <v>15436</v>
      </c>
      <c r="S988" s="23" t="s">
        <v>15441</v>
      </c>
      <c r="T988" s="23" t="s">
        <v>15446</v>
      </c>
    </row>
    <row r="989" spans="1:20" x14ac:dyDescent="0.2">
      <c r="A989" s="23" t="s">
        <v>92</v>
      </c>
      <c r="C989" s="23" t="s">
        <v>6226</v>
      </c>
      <c r="D989" s="23" t="s">
        <v>6227</v>
      </c>
      <c r="E989" s="23" t="s">
        <v>6228</v>
      </c>
      <c r="G989" s="23" t="s">
        <v>6229</v>
      </c>
      <c r="K989" s="23" t="s">
        <v>6230</v>
      </c>
      <c r="L989" s="23" t="s">
        <v>6231</v>
      </c>
      <c r="O989" s="23" t="s">
        <v>11567</v>
      </c>
      <c r="P989" s="23" t="s">
        <v>15427</v>
      </c>
      <c r="Q989" s="23" t="s">
        <v>15432</v>
      </c>
      <c r="R989" s="23" t="s">
        <v>15437</v>
      </c>
      <c r="S989" s="23" t="s">
        <v>15442</v>
      </c>
      <c r="T989" s="23" t="s">
        <v>15447</v>
      </c>
    </row>
    <row r="990" spans="1:20" x14ac:dyDescent="0.2">
      <c r="A990" s="23" t="s">
        <v>92</v>
      </c>
      <c r="C990" s="23" t="s">
        <v>6232</v>
      </c>
      <c r="D990" s="23" t="s">
        <v>6233</v>
      </c>
      <c r="E990" s="23" t="s">
        <v>6234</v>
      </c>
      <c r="G990" s="23" t="s">
        <v>6235</v>
      </c>
      <c r="K990" s="23" t="s">
        <v>6236</v>
      </c>
      <c r="L990" s="23" t="s">
        <v>6237</v>
      </c>
      <c r="O990" s="23" t="s">
        <v>12023</v>
      </c>
      <c r="P990" s="23" t="s">
        <v>15428</v>
      </c>
      <c r="Q990" s="23" t="s">
        <v>15433</v>
      </c>
      <c r="R990" s="23" t="s">
        <v>15438</v>
      </c>
      <c r="S990" s="23" t="s">
        <v>15443</v>
      </c>
      <c r="T990" s="23" t="s">
        <v>15448</v>
      </c>
    </row>
    <row r="991" spans="1:20" x14ac:dyDescent="0.2">
      <c r="A991" s="23" t="s">
        <v>92</v>
      </c>
      <c r="C991" s="23" t="s">
        <v>6238</v>
      </c>
      <c r="D991" s="23" t="s">
        <v>6239</v>
      </c>
      <c r="E991" s="23" t="s">
        <v>6240</v>
      </c>
      <c r="G991" s="23" t="s">
        <v>6241</v>
      </c>
      <c r="K991" s="23" t="s">
        <v>6242</v>
      </c>
      <c r="L991" s="23" t="s">
        <v>6243</v>
      </c>
      <c r="O991" s="23" t="s">
        <v>12024</v>
      </c>
      <c r="P991" s="23" t="s">
        <v>15429</v>
      </c>
      <c r="Q991" s="23" t="s">
        <v>15434</v>
      </c>
      <c r="R991" s="23" t="s">
        <v>15439</v>
      </c>
      <c r="S991" s="23" t="s">
        <v>15444</v>
      </c>
      <c r="T991" s="23" t="s">
        <v>15449</v>
      </c>
    </row>
    <row r="992" spans="1:20" x14ac:dyDescent="0.2">
      <c r="A992" s="23" t="s">
        <v>92</v>
      </c>
      <c r="C992" s="23" t="s">
        <v>6214</v>
      </c>
      <c r="D992" s="23" t="s">
        <v>6215</v>
      </c>
      <c r="E992" s="23" t="s">
        <v>6216</v>
      </c>
      <c r="G992" s="23" t="s">
        <v>6217</v>
      </c>
      <c r="K992" s="23" t="s">
        <v>6218</v>
      </c>
      <c r="L992" s="23" t="s">
        <v>6219</v>
      </c>
    </row>
    <row r="993" spans="1:20" x14ac:dyDescent="0.2">
      <c r="A993" s="23" t="s">
        <v>92</v>
      </c>
      <c r="C993" s="23" t="s">
        <v>6244</v>
      </c>
      <c r="D993" s="23" t="s">
        <v>6245</v>
      </c>
      <c r="E993" s="23" t="s">
        <v>6246</v>
      </c>
      <c r="G993" s="23" t="s">
        <v>6247</v>
      </c>
      <c r="K993" s="23" t="s">
        <v>6248</v>
      </c>
      <c r="L993" s="23" t="s">
        <v>6249</v>
      </c>
      <c r="M993" s="23" t="s">
        <v>6250</v>
      </c>
      <c r="N993" s="23" t="s">
        <v>6251</v>
      </c>
      <c r="T993" s="23" t="s">
        <v>6252</v>
      </c>
    </row>
    <row r="994" spans="1:20" x14ac:dyDescent="0.2">
      <c r="A994" s="23" t="s">
        <v>92</v>
      </c>
      <c r="C994" s="23" t="s">
        <v>6253</v>
      </c>
      <c r="D994" s="23" t="s">
        <v>6254</v>
      </c>
      <c r="E994" s="23" t="s">
        <v>6255</v>
      </c>
      <c r="G994" s="23" t="s">
        <v>6256</v>
      </c>
      <c r="K994" s="23" t="s">
        <v>6257</v>
      </c>
      <c r="L994" s="23" t="s">
        <v>6258</v>
      </c>
      <c r="M994" s="23" t="s">
        <v>1063</v>
      </c>
      <c r="N994" s="23" t="s">
        <v>6259</v>
      </c>
    </row>
    <row r="995" spans="1:20" x14ac:dyDescent="0.2">
      <c r="A995" s="23" t="s">
        <v>92</v>
      </c>
      <c r="C995" s="23" t="s">
        <v>6260</v>
      </c>
      <c r="D995" s="23" t="s">
        <v>6261</v>
      </c>
      <c r="E995" s="23" t="s">
        <v>6262</v>
      </c>
      <c r="G995" s="23" t="s">
        <v>6263</v>
      </c>
      <c r="K995" s="23" t="s">
        <v>6264</v>
      </c>
      <c r="L995" s="23" t="s">
        <v>6265</v>
      </c>
      <c r="O995" s="23" t="s">
        <v>12025</v>
      </c>
      <c r="P995" s="23" t="s">
        <v>6266</v>
      </c>
      <c r="Q995" s="23" t="s">
        <v>6267</v>
      </c>
      <c r="R995" s="23" t="s">
        <v>6268</v>
      </c>
      <c r="S995" s="23" t="s">
        <v>6269</v>
      </c>
      <c r="T995" s="23" t="s">
        <v>6270</v>
      </c>
    </row>
    <row r="996" spans="1:20" x14ac:dyDescent="0.2">
      <c r="A996" s="23" t="s">
        <v>92</v>
      </c>
      <c r="C996" s="23" t="s">
        <v>6271</v>
      </c>
      <c r="D996" s="23" t="s">
        <v>6272</v>
      </c>
      <c r="E996" s="23" t="s">
        <v>6273</v>
      </c>
      <c r="G996" s="23" t="s">
        <v>6274</v>
      </c>
      <c r="K996" s="23" t="s">
        <v>6275</v>
      </c>
      <c r="L996" s="23" t="s">
        <v>6276</v>
      </c>
      <c r="O996" s="23" t="s">
        <v>12026</v>
      </c>
      <c r="P996" s="23" t="s">
        <v>15400</v>
      </c>
      <c r="Q996" s="23" t="s">
        <v>15405</v>
      </c>
      <c r="R996" s="23" t="s">
        <v>15410</v>
      </c>
      <c r="S996" s="23" t="s">
        <v>15415</v>
      </c>
      <c r="T996" s="23" t="s">
        <v>15420</v>
      </c>
    </row>
    <row r="997" spans="1:20" x14ac:dyDescent="0.2">
      <c r="A997" s="23" t="s">
        <v>92</v>
      </c>
      <c r="C997" s="23" t="s">
        <v>6277</v>
      </c>
      <c r="D997" s="23" t="s">
        <v>6278</v>
      </c>
      <c r="E997" s="23" t="s">
        <v>6279</v>
      </c>
      <c r="G997" s="23" t="s">
        <v>6280</v>
      </c>
      <c r="K997" s="23" t="s">
        <v>6281</v>
      </c>
      <c r="L997" s="23" t="s">
        <v>6282</v>
      </c>
      <c r="O997" s="23" t="s">
        <v>11531</v>
      </c>
      <c r="P997" s="23" t="s">
        <v>15401</v>
      </c>
      <c r="Q997" s="23" t="s">
        <v>15406</v>
      </c>
      <c r="R997" s="23" t="s">
        <v>15411</v>
      </c>
      <c r="S997" s="23" t="s">
        <v>15416</v>
      </c>
      <c r="T997" s="23" t="s">
        <v>15421</v>
      </c>
    </row>
    <row r="998" spans="1:20" x14ac:dyDescent="0.2">
      <c r="A998" s="23" t="s">
        <v>92</v>
      </c>
      <c r="C998" s="23" t="s">
        <v>6283</v>
      </c>
      <c r="D998" s="23" t="s">
        <v>6284</v>
      </c>
      <c r="E998" s="23" t="s">
        <v>6285</v>
      </c>
      <c r="G998" s="23" t="s">
        <v>6286</v>
      </c>
      <c r="K998" s="23" t="s">
        <v>6287</v>
      </c>
      <c r="L998" s="23" t="s">
        <v>6288</v>
      </c>
      <c r="O998" s="23" t="s">
        <v>11573</v>
      </c>
      <c r="P998" s="23" t="s">
        <v>15402</v>
      </c>
      <c r="Q998" s="23" t="s">
        <v>15407</v>
      </c>
      <c r="R998" s="23" t="s">
        <v>15412</v>
      </c>
      <c r="S998" s="23" t="s">
        <v>15417</v>
      </c>
      <c r="T998" s="23" t="s">
        <v>15422</v>
      </c>
    </row>
    <row r="999" spans="1:20" x14ac:dyDescent="0.2">
      <c r="A999" s="23" t="s">
        <v>92</v>
      </c>
      <c r="C999" s="23" t="s">
        <v>6289</v>
      </c>
      <c r="D999" s="23" t="s">
        <v>6290</v>
      </c>
      <c r="E999" s="23" t="s">
        <v>6291</v>
      </c>
      <c r="G999" s="23" t="s">
        <v>6292</v>
      </c>
      <c r="K999" s="23" t="s">
        <v>6293</v>
      </c>
      <c r="L999" s="23" t="s">
        <v>6294</v>
      </c>
      <c r="O999" s="23" t="s">
        <v>12027</v>
      </c>
      <c r="P999" s="23" t="s">
        <v>15403</v>
      </c>
      <c r="Q999" s="23" t="s">
        <v>15408</v>
      </c>
      <c r="R999" s="23" t="s">
        <v>15413</v>
      </c>
      <c r="S999" s="23" t="s">
        <v>15418</v>
      </c>
      <c r="T999" s="23" t="s">
        <v>15423</v>
      </c>
    </row>
    <row r="1000" spans="1:20" x14ac:dyDescent="0.2">
      <c r="A1000" s="23" t="s">
        <v>92</v>
      </c>
      <c r="C1000" s="23" t="s">
        <v>6295</v>
      </c>
      <c r="D1000" s="23" t="s">
        <v>6296</v>
      </c>
      <c r="E1000" s="23" t="s">
        <v>6297</v>
      </c>
      <c r="G1000" s="23" t="s">
        <v>6298</v>
      </c>
      <c r="K1000" s="23" t="s">
        <v>6299</v>
      </c>
      <c r="L1000" s="23" t="s">
        <v>6300</v>
      </c>
      <c r="O1000" s="23" t="s">
        <v>12028</v>
      </c>
      <c r="P1000" s="23" t="s">
        <v>15404</v>
      </c>
      <c r="Q1000" s="23" t="s">
        <v>15409</v>
      </c>
      <c r="R1000" s="23" t="s">
        <v>15414</v>
      </c>
      <c r="S1000" s="23" t="s">
        <v>15419</v>
      </c>
      <c r="T1000" s="23" t="s">
        <v>15424</v>
      </c>
    </row>
    <row r="1001" spans="1:20" x14ac:dyDescent="0.2">
      <c r="A1001" s="23" t="s">
        <v>92</v>
      </c>
      <c r="C1001" s="23" t="s">
        <v>6271</v>
      </c>
      <c r="D1001" s="23" t="s">
        <v>6272</v>
      </c>
      <c r="E1001" s="23" t="s">
        <v>6273</v>
      </c>
      <c r="G1001" s="23" t="s">
        <v>6274</v>
      </c>
      <c r="K1001" s="23" t="s">
        <v>6275</v>
      </c>
      <c r="L1001" s="23" t="s">
        <v>6276</v>
      </c>
    </row>
    <row r="1002" spans="1:20" x14ac:dyDescent="0.2">
      <c r="A1002" s="23" t="s">
        <v>92</v>
      </c>
      <c r="C1002" s="23" t="s">
        <v>6301</v>
      </c>
      <c r="D1002" s="23" t="s">
        <v>6302</v>
      </c>
      <c r="E1002" s="23" t="s">
        <v>6303</v>
      </c>
      <c r="G1002" s="23" t="s">
        <v>6304</v>
      </c>
      <c r="K1002" s="23" t="s">
        <v>6305</v>
      </c>
      <c r="L1002" s="23" t="s">
        <v>6306</v>
      </c>
      <c r="M1002" s="23" t="s">
        <v>6307</v>
      </c>
      <c r="N1002" s="23" t="s">
        <v>6308</v>
      </c>
      <c r="T1002" s="23" t="s">
        <v>6309</v>
      </c>
    </row>
    <row r="1003" spans="1:20" x14ac:dyDescent="0.2">
      <c r="A1003" s="23" t="s">
        <v>92</v>
      </c>
      <c r="C1003" s="23" t="s">
        <v>6310</v>
      </c>
      <c r="D1003" s="23" t="s">
        <v>6311</v>
      </c>
      <c r="E1003" s="23" t="s">
        <v>6312</v>
      </c>
      <c r="G1003" s="23" t="s">
        <v>6313</v>
      </c>
      <c r="K1003" s="23" t="s">
        <v>6314</v>
      </c>
      <c r="L1003" s="23" t="s">
        <v>6315</v>
      </c>
      <c r="M1003" s="23" t="s">
        <v>1105</v>
      </c>
      <c r="N1003" s="23" t="s">
        <v>6316</v>
      </c>
    </row>
    <row r="1004" spans="1:20" x14ac:dyDescent="0.2">
      <c r="A1004" s="23" t="s">
        <v>92</v>
      </c>
      <c r="C1004" s="23" t="s">
        <v>6317</v>
      </c>
      <c r="D1004" s="23" t="s">
        <v>6318</v>
      </c>
      <c r="E1004" s="23" t="s">
        <v>6319</v>
      </c>
      <c r="G1004" s="23" t="s">
        <v>6320</v>
      </c>
      <c r="K1004" s="23" t="s">
        <v>6321</v>
      </c>
      <c r="L1004" s="23" t="s">
        <v>6322</v>
      </c>
      <c r="O1004" s="23" t="s">
        <v>12029</v>
      </c>
      <c r="P1004" s="23" t="s">
        <v>6323</v>
      </c>
      <c r="Q1004" s="23" t="s">
        <v>6324</v>
      </c>
      <c r="R1004" s="23" t="s">
        <v>6325</v>
      </c>
      <c r="S1004" s="23" t="s">
        <v>6326</v>
      </c>
      <c r="T1004" s="23" t="s">
        <v>6327</v>
      </c>
    </row>
    <row r="1005" spans="1:20" x14ac:dyDescent="0.2">
      <c r="A1005" s="23" t="s">
        <v>92</v>
      </c>
      <c r="C1005" s="23" t="s">
        <v>6328</v>
      </c>
      <c r="D1005" s="23" t="s">
        <v>6329</v>
      </c>
      <c r="E1005" s="23" t="s">
        <v>6330</v>
      </c>
      <c r="G1005" s="23" t="s">
        <v>6331</v>
      </c>
      <c r="K1005" s="23" t="s">
        <v>6332</v>
      </c>
      <c r="L1005" s="23" t="s">
        <v>6333</v>
      </c>
      <c r="O1005" s="23" t="s">
        <v>12030</v>
      </c>
      <c r="P1005" s="23" t="s">
        <v>15375</v>
      </c>
      <c r="Q1005" s="23" t="s">
        <v>15380</v>
      </c>
      <c r="R1005" s="23" t="s">
        <v>15385</v>
      </c>
      <c r="S1005" s="23" t="s">
        <v>15390</v>
      </c>
      <c r="T1005" s="23" t="s">
        <v>15395</v>
      </c>
    </row>
    <row r="1006" spans="1:20" x14ac:dyDescent="0.2">
      <c r="A1006" s="23" t="s">
        <v>92</v>
      </c>
      <c r="C1006" s="23" t="s">
        <v>6334</v>
      </c>
      <c r="D1006" s="23" t="s">
        <v>6335</v>
      </c>
      <c r="E1006" s="23" t="s">
        <v>6336</v>
      </c>
      <c r="G1006" s="23" t="s">
        <v>6337</v>
      </c>
      <c r="K1006" s="23" t="s">
        <v>6338</v>
      </c>
      <c r="L1006" s="23" t="s">
        <v>6339</v>
      </c>
      <c r="O1006" s="23" t="s">
        <v>11538</v>
      </c>
      <c r="P1006" s="23" t="s">
        <v>15376</v>
      </c>
      <c r="Q1006" s="23" t="s">
        <v>15381</v>
      </c>
      <c r="R1006" s="23" t="s">
        <v>15386</v>
      </c>
      <c r="S1006" s="23" t="s">
        <v>15391</v>
      </c>
      <c r="T1006" s="23" t="s">
        <v>15396</v>
      </c>
    </row>
    <row r="1007" spans="1:20" x14ac:dyDescent="0.2">
      <c r="A1007" s="23" t="s">
        <v>92</v>
      </c>
      <c r="C1007" s="23" t="s">
        <v>6340</v>
      </c>
      <c r="D1007" s="23" t="s">
        <v>6341</v>
      </c>
      <c r="E1007" s="23" t="s">
        <v>6342</v>
      </c>
      <c r="G1007" s="23" t="s">
        <v>6343</v>
      </c>
      <c r="K1007" s="23" t="s">
        <v>6344</v>
      </c>
      <c r="L1007" s="23" t="s">
        <v>6345</v>
      </c>
      <c r="O1007" s="23" t="s">
        <v>11578</v>
      </c>
      <c r="P1007" s="23" t="s">
        <v>15377</v>
      </c>
      <c r="Q1007" s="23" t="s">
        <v>15382</v>
      </c>
      <c r="R1007" s="23" t="s">
        <v>15387</v>
      </c>
      <c r="S1007" s="23" t="s">
        <v>15392</v>
      </c>
      <c r="T1007" s="23" t="s">
        <v>15397</v>
      </c>
    </row>
    <row r="1008" spans="1:20" x14ac:dyDescent="0.2">
      <c r="A1008" s="23" t="s">
        <v>92</v>
      </c>
      <c r="C1008" s="23" t="s">
        <v>6346</v>
      </c>
      <c r="D1008" s="23" t="s">
        <v>6347</v>
      </c>
      <c r="E1008" s="23" t="s">
        <v>6348</v>
      </c>
      <c r="G1008" s="23" t="s">
        <v>6349</v>
      </c>
      <c r="K1008" s="23" t="s">
        <v>6350</v>
      </c>
      <c r="L1008" s="23" t="s">
        <v>6351</v>
      </c>
      <c r="O1008" s="23" t="s">
        <v>12031</v>
      </c>
      <c r="P1008" s="23" t="s">
        <v>15378</v>
      </c>
      <c r="Q1008" s="23" t="s">
        <v>15383</v>
      </c>
      <c r="R1008" s="23" t="s">
        <v>15388</v>
      </c>
      <c r="S1008" s="23" t="s">
        <v>15393</v>
      </c>
      <c r="T1008" s="23" t="s">
        <v>15398</v>
      </c>
    </row>
    <row r="1009" spans="1:20" x14ac:dyDescent="0.2">
      <c r="A1009" s="23" t="s">
        <v>92</v>
      </c>
      <c r="C1009" s="23" t="s">
        <v>6352</v>
      </c>
      <c r="D1009" s="23" t="s">
        <v>6353</v>
      </c>
      <c r="E1009" s="23" t="s">
        <v>6354</v>
      </c>
      <c r="G1009" s="23" t="s">
        <v>6355</v>
      </c>
      <c r="K1009" s="23" t="s">
        <v>6356</v>
      </c>
      <c r="L1009" s="23" t="s">
        <v>6357</v>
      </c>
      <c r="O1009" s="23" t="s">
        <v>12032</v>
      </c>
      <c r="P1009" s="23" t="s">
        <v>15379</v>
      </c>
      <c r="Q1009" s="23" t="s">
        <v>15384</v>
      </c>
      <c r="R1009" s="23" t="s">
        <v>15389</v>
      </c>
      <c r="S1009" s="23" t="s">
        <v>15394</v>
      </c>
      <c r="T1009" s="23" t="s">
        <v>15399</v>
      </c>
    </row>
    <row r="1010" spans="1:20" x14ac:dyDescent="0.2">
      <c r="A1010" s="23" t="s">
        <v>92</v>
      </c>
      <c r="C1010" s="23" t="s">
        <v>6328</v>
      </c>
      <c r="D1010" s="23" t="s">
        <v>6329</v>
      </c>
      <c r="E1010" s="23" t="s">
        <v>6330</v>
      </c>
      <c r="G1010" s="23" t="s">
        <v>6331</v>
      </c>
      <c r="K1010" s="23" t="s">
        <v>6332</v>
      </c>
      <c r="L1010" s="23" t="s">
        <v>6333</v>
      </c>
    </row>
    <row r="1011" spans="1:20" x14ac:dyDescent="0.2">
      <c r="A1011" s="23" t="s">
        <v>92</v>
      </c>
      <c r="C1011" s="23" t="s">
        <v>6358</v>
      </c>
      <c r="D1011" s="23" t="s">
        <v>6359</v>
      </c>
      <c r="E1011" s="23" t="s">
        <v>6360</v>
      </c>
      <c r="G1011" s="23" t="s">
        <v>6361</v>
      </c>
      <c r="K1011" s="23" t="s">
        <v>6362</v>
      </c>
      <c r="L1011" s="23" t="s">
        <v>6363</v>
      </c>
      <c r="M1011" s="23" t="s">
        <v>6364</v>
      </c>
      <c r="N1011" s="23" t="s">
        <v>6365</v>
      </c>
      <c r="T1011" s="23" t="s">
        <v>6366</v>
      </c>
    </row>
    <row r="1012" spans="1:20" x14ac:dyDescent="0.2">
      <c r="A1012" s="23" t="s">
        <v>92</v>
      </c>
      <c r="C1012" s="23" t="s">
        <v>6367</v>
      </c>
      <c r="D1012" s="23" t="s">
        <v>6368</v>
      </c>
      <c r="E1012" s="23" t="s">
        <v>6369</v>
      </c>
      <c r="G1012" s="23" t="s">
        <v>6370</v>
      </c>
      <c r="K1012" s="23" t="s">
        <v>6371</v>
      </c>
      <c r="L1012" s="23" t="s">
        <v>6372</v>
      </c>
      <c r="M1012" s="23" t="s">
        <v>1147</v>
      </c>
      <c r="N1012" s="23" t="s">
        <v>6373</v>
      </c>
    </row>
    <row r="1013" spans="1:20" x14ac:dyDescent="0.2">
      <c r="A1013" s="23" t="s">
        <v>92</v>
      </c>
      <c r="C1013" s="23" t="s">
        <v>6374</v>
      </c>
      <c r="D1013" s="23" t="s">
        <v>6375</v>
      </c>
      <c r="E1013" s="23" t="s">
        <v>6376</v>
      </c>
      <c r="G1013" s="23" t="s">
        <v>6377</v>
      </c>
      <c r="K1013" s="23" t="s">
        <v>6378</v>
      </c>
      <c r="L1013" s="23" t="s">
        <v>6379</v>
      </c>
      <c r="O1013" s="23" t="s">
        <v>12033</v>
      </c>
      <c r="P1013" s="23" t="s">
        <v>6380</v>
      </c>
      <c r="Q1013" s="23" t="s">
        <v>6381</v>
      </c>
      <c r="R1013" s="23" t="s">
        <v>6382</v>
      </c>
      <c r="S1013" s="23" t="s">
        <v>6383</v>
      </c>
      <c r="T1013" s="23" t="s">
        <v>6384</v>
      </c>
    </row>
    <row r="1014" spans="1:20" x14ac:dyDescent="0.2">
      <c r="A1014" s="23" t="s">
        <v>92</v>
      </c>
      <c r="C1014" s="23" t="s">
        <v>6385</v>
      </c>
      <c r="D1014" s="23" t="s">
        <v>6386</v>
      </c>
      <c r="E1014" s="23" t="s">
        <v>6387</v>
      </c>
      <c r="G1014" s="23" t="s">
        <v>6388</v>
      </c>
      <c r="K1014" s="23" t="s">
        <v>6389</v>
      </c>
      <c r="L1014" s="23" t="s">
        <v>6390</v>
      </c>
      <c r="O1014" s="23" t="s">
        <v>12034</v>
      </c>
      <c r="P1014" s="23" t="s">
        <v>15350</v>
      </c>
      <c r="Q1014" s="23" t="s">
        <v>15355</v>
      </c>
      <c r="R1014" s="23" t="s">
        <v>15360</v>
      </c>
      <c r="S1014" s="23" t="s">
        <v>15365</v>
      </c>
      <c r="T1014" s="23" t="s">
        <v>15370</v>
      </c>
    </row>
    <row r="1015" spans="1:20" x14ac:dyDescent="0.2">
      <c r="A1015" s="23" t="s">
        <v>92</v>
      </c>
      <c r="C1015" s="23" t="s">
        <v>6391</v>
      </c>
      <c r="D1015" s="23" t="s">
        <v>6392</v>
      </c>
      <c r="E1015" s="23" t="s">
        <v>6393</v>
      </c>
      <c r="G1015" s="23" t="s">
        <v>6394</v>
      </c>
      <c r="K1015" s="23" t="s">
        <v>6395</v>
      </c>
      <c r="L1015" s="23" t="s">
        <v>6396</v>
      </c>
      <c r="O1015" s="23" t="s">
        <v>11546</v>
      </c>
      <c r="P1015" s="23" t="s">
        <v>15351</v>
      </c>
      <c r="Q1015" s="23" t="s">
        <v>15356</v>
      </c>
      <c r="R1015" s="23" t="s">
        <v>15361</v>
      </c>
      <c r="S1015" s="23" t="s">
        <v>15366</v>
      </c>
      <c r="T1015" s="23" t="s">
        <v>15371</v>
      </c>
    </row>
    <row r="1016" spans="1:20" x14ac:dyDescent="0.2">
      <c r="A1016" s="23" t="s">
        <v>92</v>
      </c>
      <c r="C1016" s="23" t="s">
        <v>6397</v>
      </c>
      <c r="D1016" s="23" t="s">
        <v>6398</v>
      </c>
      <c r="E1016" s="23" t="s">
        <v>6399</v>
      </c>
      <c r="G1016" s="23" t="s">
        <v>6400</v>
      </c>
      <c r="K1016" s="23" t="s">
        <v>6401</v>
      </c>
      <c r="L1016" s="23" t="s">
        <v>6402</v>
      </c>
      <c r="O1016" s="23" t="s">
        <v>11583</v>
      </c>
      <c r="P1016" s="23" t="s">
        <v>15352</v>
      </c>
      <c r="Q1016" s="23" t="s">
        <v>15357</v>
      </c>
      <c r="R1016" s="23" t="s">
        <v>15362</v>
      </c>
      <c r="S1016" s="23" t="s">
        <v>15367</v>
      </c>
      <c r="T1016" s="23" t="s">
        <v>15372</v>
      </c>
    </row>
    <row r="1017" spans="1:20" x14ac:dyDescent="0.2">
      <c r="A1017" s="23" t="s">
        <v>92</v>
      </c>
      <c r="C1017" s="23" t="s">
        <v>6403</v>
      </c>
      <c r="D1017" s="23" t="s">
        <v>6404</v>
      </c>
      <c r="E1017" s="23" t="s">
        <v>6405</v>
      </c>
      <c r="G1017" s="23" t="s">
        <v>6406</v>
      </c>
      <c r="K1017" s="23" t="s">
        <v>6407</v>
      </c>
      <c r="L1017" s="23" t="s">
        <v>6408</v>
      </c>
      <c r="O1017" s="23" t="s">
        <v>12035</v>
      </c>
      <c r="P1017" s="23" t="s">
        <v>15353</v>
      </c>
      <c r="Q1017" s="23" t="s">
        <v>15358</v>
      </c>
      <c r="R1017" s="23" t="s">
        <v>15363</v>
      </c>
      <c r="S1017" s="23" t="s">
        <v>15368</v>
      </c>
      <c r="T1017" s="23" t="s">
        <v>15373</v>
      </c>
    </row>
    <row r="1018" spans="1:20" x14ac:dyDescent="0.2">
      <c r="A1018" s="23" t="s">
        <v>92</v>
      </c>
      <c r="C1018" s="23" t="s">
        <v>6409</v>
      </c>
      <c r="D1018" s="23" t="s">
        <v>6410</v>
      </c>
      <c r="E1018" s="23" t="s">
        <v>6411</v>
      </c>
      <c r="G1018" s="23" t="s">
        <v>6412</v>
      </c>
      <c r="K1018" s="23" t="s">
        <v>6413</v>
      </c>
      <c r="L1018" s="23" t="s">
        <v>6414</v>
      </c>
      <c r="O1018" s="23" t="s">
        <v>12036</v>
      </c>
      <c r="P1018" s="23" t="s">
        <v>15354</v>
      </c>
      <c r="Q1018" s="23" t="s">
        <v>15359</v>
      </c>
      <c r="R1018" s="23" t="s">
        <v>15364</v>
      </c>
      <c r="S1018" s="23" t="s">
        <v>15369</v>
      </c>
      <c r="T1018" s="23" t="s">
        <v>15374</v>
      </c>
    </row>
    <row r="1019" spans="1:20" x14ac:dyDescent="0.2">
      <c r="A1019" s="23" t="s">
        <v>92</v>
      </c>
      <c r="C1019" s="23" t="s">
        <v>6385</v>
      </c>
      <c r="D1019" s="23" t="s">
        <v>6386</v>
      </c>
      <c r="E1019" s="23" t="s">
        <v>6387</v>
      </c>
      <c r="G1019" s="23" t="s">
        <v>6388</v>
      </c>
      <c r="K1019" s="23" t="s">
        <v>6389</v>
      </c>
      <c r="L1019" s="23" t="s">
        <v>6390</v>
      </c>
    </row>
    <row r="1020" spans="1:20" x14ac:dyDescent="0.2">
      <c r="A1020" s="23" t="s">
        <v>92</v>
      </c>
      <c r="C1020" s="23" t="s">
        <v>6415</v>
      </c>
      <c r="D1020" s="23" t="s">
        <v>6416</v>
      </c>
      <c r="E1020" s="23" t="s">
        <v>6417</v>
      </c>
      <c r="G1020" s="23" t="s">
        <v>6418</v>
      </c>
      <c r="K1020" s="23" t="s">
        <v>6419</v>
      </c>
      <c r="L1020" s="23" t="s">
        <v>6420</v>
      </c>
      <c r="M1020" s="23" t="s">
        <v>6421</v>
      </c>
      <c r="N1020" s="23" t="s">
        <v>6422</v>
      </c>
      <c r="T1020" s="23" t="s">
        <v>6423</v>
      </c>
    </row>
    <row r="1021" spans="1:20" x14ac:dyDescent="0.2">
      <c r="A1021" s="23" t="s">
        <v>92</v>
      </c>
      <c r="C1021" s="23" t="s">
        <v>6424</v>
      </c>
      <c r="D1021" s="23" t="s">
        <v>6425</v>
      </c>
      <c r="E1021" s="23" t="s">
        <v>6426</v>
      </c>
      <c r="G1021" s="23" t="s">
        <v>6427</v>
      </c>
      <c r="K1021" s="23" t="s">
        <v>6428</v>
      </c>
      <c r="L1021" s="23" t="s">
        <v>6429</v>
      </c>
      <c r="M1021" s="23" t="s">
        <v>1184</v>
      </c>
      <c r="N1021" s="23" t="s">
        <v>6430</v>
      </c>
    </row>
    <row r="1022" spans="1:20" x14ac:dyDescent="0.2">
      <c r="A1022" s="23" t="s">
        <v>92</v>
      </c>
      <c r="C1022" s="23" t="s">
        <v>6431</v>
      </c>
      <c r="D1022" s="23" t="s">
        <v>6432</v>
      </c>
      <c r="E1022" s="23" t="s">
        <v>6433</v>
      </c>
      <c r="G1022" s="23" t="s">
        <v>6434</v>
      </c>
      <c r="K1022" s="23" t="s">
        <v>6435</v>
      </c>
      <c r="L1022" s="23" t="s">
        <v>6436</v>
      </c>
      <c r="O1022" s="23" t="s">
        <v>12037</v>
      </c>
      <c r="P1022" s="23" t="s">
        <v>6437</v>
      </c>
      <c r="Q1022" s="23" t="s">
        <v>6438</v>
      </c>
      <c r="R1022" s="23" t="s">
        <v>6439</v>
      </c>
      <c r="S1022" s="23" t="s">
        <v>6440</v>
      </c>
      <c r="T1022" s="23" t="s">
        <v>6441</v>
      </c>
    </row>
    <row r="1023" spans="1:20" x14ac:dyDescent="0.2">
      <c r="A1023" s="23" t="s">
        <v>92</v>
      </c>
      <c r="C1023" s="23" t="s">
        <v>6442</v>
      </c>
      <c r="D1023" s="23" t="s">
        <v>6443</v>
      </c>
      <c r="E1023" s="23" t="s">
        <v>6444</v>
      </c>
      <c r="G1023" s="23" t="s">
        <v>6445</v>
      </c>
      <c r="K1023" s="23" t="s">
        <v>6446</v>
      </c>
      <c r="L1023" s="23" t="s">
        <v>6447</v>
      </c>
      <c r="O1023" s="23" t="s">
        <v>12038</v>
      </c>
      <c r="P1023" s="23" t="s">
        <v>15325</v>
      </c>
      <c r="Q1023" s="23" t="s">
        <v>15330</v>
      </c>
      <c r="R1023" s="23" t="s">
        <v>15335</v>
      </c>
      <c r="S1023" s="23" t="s">
        <v>15340</v>
      </c>
      <c r="T1023" s="23" t="s">
        <v>15345</v>
      </c>
    </row>
    <row r="1024" spans="1:20" x14ac:dyDescent="0.2">
      <c r="A1024" s="23" t="s">
        <v>92</v>
      </c>
      <c r="C1024" s="23" t="s">
        <v>6448</v>
      </c>
      <c r="D1024" s="23" t="s">
        <v>6449</v>
      </c>
      <c r="E1024" s="23" t="s">
        <v>6450</v>
      </c>
      <c r="G1024" s="23" t="s">
        <v>6451</v>
      </c>
      <c r="K1024" s="23" t="s">
        <v>6452</v>
      </c>
      <c r="L1024" s="23" t="s">
        <v>6453</v>
      </c>
      <c r="O1024" s="23" t="s">
        <v>11554</v>
      </c>
      <c r="P1024" s="23" t="s">
        <v>15326</v>
      </c>
      <c r="Q1024" s="23" t="s">
        <v>15331</v>
      </c>
      <c r="R1024" s="23" t="s">
        <v>15336</v>
      </c>
      <c r="S1024" s="23" t="s">
        <v>15341</v>
      </c>
      <c r="T1024" s="23" t="s">
        <v>15346</v>
      </c>
    </row>
    <row r="1025" spans="1:20" x14ac:dyDescent="0.2">
      <c r="A1025" s="23" t="s">
        <v>92</v>
      </c>
      <c r="C1025" s="23" t="s">
        <v>6454</v>
      </c>
      <c r="D1025" s="23" t="s">
        <v>6455</v>
      </c>
      <c r="E1025" s="23" t="s">
        <v>6456</v>
      </c>
      <c r="G1025" s="23" t="s">
        <v>6457</v>
      </c>
      <c r="K1025" s="23" t="s">
        <v>6458</v>
      </c>
      <c r="L1025" s="23" t="s">
        <v>6459</v>
      </c>
      <c r="O1025" s="23" t="s">
        <v>11588</v>
      </c>
      <c r="P1025" s="23" t="s">
        <v>15327</v>
      </c>
      <c r="Q1025" s="23" t="s">
        <v>15332</v>
      </c>
      <c r="R1025" s="23" t="s">
        <v>15337</v>
      </c>
      <c r="S1025" s="23" t="s">
        <v>15342</v>
      </c>
      <c r="T1025" s="23" t="s">
        <v>15347</v>
      </c>
    </row>
    <row r="1026" spans="1:20" x14ac:dyDescent="0.2">
      <c r="A1026" s="23" t="s">
        <v>92</v>
      </c>
      <c r="C1026" s="23" t="s">
        <v>6460</v>
      </c>
      <c r="D1026" s="23" t="s">
        <v>6461</v>
      </c>
      <c r="E1026" s="23" t="s">
        <v>6462</v>
      </c>
      <c r="G1026" s="23" t="s">
        <v>6463</v>
      </c>
      <c r="K1026" s="23" t="s">
        <v>6464</v>
      </c>
      <c r="L1026" s="23" t="s">
        <v>6465</v>
      </c>
      <c r="O1026" s="23" t="s">
        <v>12039</v>
      </c>
      <c r="P1026" s="23" t="s">
        <v>15328</v>
      </c>
      <c r="Q1026" s="23" t="s">
        <v>15333</v>
      </c>
      <c r="R1026" s="23" t="s">
        <v>15338</v>
      </c>
      <c r="S1026" s="23" t="s">
        <v>15343</v>
      </c>
      <c r="T1026" s="23" t="s">
        <v>15348</v>
      </c>
    </row>
    <row r="1027" spans="1:20" x14ac:dyDescent="0.2">
      <c r="A1027" s="23" t="s">
        <v>92</v>
      </c>
      <c r="C1027" s="23" t="s">
        <v>6466</v>
      </c>
      <c r="D1027" s="23" t="s">
        <v>6467</v>
      </c>
      <c r="E1027" s="23" t="s">
        <v>6468</v>
      </c>
      <c r="G1027" s="23" t="s">
        <v>6469</v>
      </c>
      <c r="K1027" s="23" t="s">
        <v>6470</v>
      </c>
      <c r="L1027" s="23" t="s">
        <v>6471</v>
      </c>
      <c r="O1027" s="23" t="s">
        <v>12040</v>
      </c>
      <c r="P1027" s="23" t="s">
        <v>15329</v>
      </c>
      <c r="Q1027" s="23" t="s">
        <v>15334</v>
      </c>
      <c r="R1027" s="23" t="s">
        <v>15339</v>
      </c>
      <c r="S1027" s="23" t="s">
        <v>15344</v>
      </c>
      <c r="T1027" s="23" t="s">
        <v>15349</v>
      </c>
    </row>
    <row r="1028" spans="1:20" x14ac:dyDescent="0.2">
      <c r="A1028" s="23" t="s">
        <v>92</v>
      </c>
      <c r="C1028" s="23" t="s">
        <v>6442</v>
      </c>
      <c r="D1028" s="23" t="s">
        <v>6443</v>
      </c>
      <c r="E1028" s="23" t="s">
        <v>6444</v>
      </c>
      <c r="G1028" s="23" t="s">
        <v>6445</v>
      </c>
      <c r="K1028" s="23" t="s">
        <v>6446</v>
      </c>
      <c r="L1028" s="23" t="s">
        <v>6447</v>
      </c>
    </row>
    <row r="1029" spans="1:20" x14ac:dyDescent="0.2">
      <c r="A1029" s="23" t="s">
        <v>92</v>
      </c>
      <c r="C1029" s="23" t="s">
        <v>6472</v>
      </c>
      <c r="D1029" s="23" t="s">
        <v>6473</v>
      </c>
      <c r="E1029" s="23" t="s">
        <v>6474</v>
      </c>
      <c r="G1029" s="23" t="s">
        <v>6475</v>
      </c>
      <c r="K1029" s="23" t="s">
        <v>6476</v>
      </c>
      <c r="L1029" s="23" t="s">
        <v>6477</v>
      </c>
      <c r="M1029" s="23" t="s">
        <v>6478</v>
      </c>
      <c r="N1029" s="23" t="s">
        <v>6479</v>
      </c>
      <c r="T1029" s="23" t="s">
        <v>6480</v>
      </c>
    </row>
    <row r="1030" spans="1:20" x14ac:dyDescent="0.2">
      <c r="A1030" s="23" t="s">
        <v>92</v>
      </c>
      <c r="C1030" s="23" t="s">
        <v>6481</v>
      </c>
      <c r="D1030" s="23" t="s">
        <v>6482</v>
      </c>
      <c r="E1030" s="23" t="s">
        <v>6483</v>
      </c>
      <c r="G1030" s="23" t="s">
        <v>6484</v>
      </c>
      <c r="K1030" s="23" t="s">
        <v>6485</v>
      </c>
      <c r="L1030" s="23" t="s">
        <v>6486</v>
      </c>
      <c r="M1030" s="23" t="s">
        <v>1219</v>
      </c>
      <c r="N1030" s="23" t="s">
        <v>6487</v>
      </c>
    </row>
    <row r="1031" spans="1:20" x14ac:dyDescent="0.2">
      <c r="A1031" s="23" t="s">
        <v>92</v>
      </c>
      <c r="C1031" s="23" t="s">
        <v>6488</v>
      </c>
      <c r="D1031" s="23" t="s">
        <v>6489</v>
      </c>
      <c r="E1031" s="23" t="s">
        <v>6490</v>
      </c>
      <c r="G1031" s="23" t="s">
        <v>6491</v>
      </c>
      <c r="K1031" s="23" t="s">
        <v>6492</v>
      </c>
      <c r="L1031" s="23" t="s">
        <v>6493</v>
      </c>
      <c r="O1031" s="23" t="s">
        <v>12041</v>
      </c>
      <c r="P1031" s="23" t="s">
        <v>6494</v>
      </c>
      <c r="Q1031" s="23" t="s">
        <v>6495</v>
      </c>
      <c r="R1031" s="23" t="s">
        <v>6496</v>
      </c>
      <c r="S1031" s="23" t="s">
        <v>6497</v>
      </c>
      <c r="T1031" s="23" t="s">
        <v>6498</v>
      </c>
    </row>
    <row r="1032" spans="1:20" x14ac:dyDescent="0.2">
      <c r="A1032" s="23" t="s">
        <v>92</v>
      </c>
      <c r="C1032" s="23" t="s">
        <v>6499</v>
      </c>
      <c r="D1032" s="23" t="s">
        <v>6500</v>
      </c>
      <c r="E1032" s="23" t="s">
        <v>6501</v>
      </c>
      <c r="G1032" s="23" t="s">
        <v>6502</v>
      </c>
      <c r="K1032" s="23" t="s">
        <v>6503</v>
      </c>
      <c r="L1032" s="23" t="s">
        <v>6504</v>
      </c>
      <c r="O1032" s="23" t="s">
        <v>12042</v>
      </c>
      <c r="P1032" s="23" t="s">
        <v>12043</v>
      </c>
      <c r="Q1032" s="23" t="s">
        <v>12044</v>
      </c>
      <c r="R1032" s="23" t="s">
        <v>12045</v>
      </c>
      <c r="S1032" s="23" t="s">
        <v>12046</v>
      </c>
      <c r="T1032" s="23" t="s">
        <v>12047</v>
      </c>
    </row>
    <row r="1033" spans="1:20" x14ac:dyDescent="0.2">
      <c r="A1033" s="23" t="s">
        <v>92</v>
      </c>
      <c r="C1033" s="23" t="s">
        <v>6499</v>
      </c>
      <c r="D1033" s="23" t="s">
        <v>6500</v>
      </c>
      <c r="E1033" s="23" t="s">
        <v>6501</v>
      </c>
      <c r="G1033" s="23" t="s">
        <v>6502</v>
      </c>
      <c r="K1033" s="23" t="s">
        <v>6503</v>
      </c>
      <c r="L1033" s="23" t="s">
        <v>6504</v>
      </c>
    </row>
    <row r="1034" spans="1:20" x14ac:dyDescent="0.2">
      <c r="A1034" s="23" t="s">
        <v>92</v>
      </c>
      <c r="C1034" s="23" t="s">
        <v>6505</v>
      </c>
      <c r="D1034" s="23" t="s">
        <v>6506</v>
      </c>
      <c r="E1034" s="23" t="s">
        <v>6507</v>
      </c>
      <c r="G1034" s="23" t="s">
        <v>6508</v>
      </c>
      <c r="K1034" s="23" t="s">
        <v>6509</v>
      </c>
      <c r="L1034" s="23" t="s">
        <v>6510</v>
      </c>
      <c r="M1034" s="23" t="s">
        <v>6511</v>
      </c>
      <c r="N1034" s="23" t="s">
        <v>6512</v>
      </c>
      <c r="T1034" s="23" t="s">
        <v>6513</v>
      </c>
    </row>
    <row r="1035" spans="1:20" x14ac:dyDescent="0.2">
      <c r="A1035" s="23" t="s">
        <v>92</v>
      </c>
      <c r="C1035" s="23" t="s">
        <v>6514</v>
      </c>
      <c r="D1035" s="23" t="s">
        <v>6515</v>
      </c>
      <c r="E1035" s="23" t="s">
        <v>6516</v>
      </c>
      <c r="G1035" s="23" t="s">
        <v>6517</v>
      </c>
      <c r="K1035" s="23" t="s">
        <v>6518</v>
      </c>
      <c r="L1035" s="23" t="s">
        <v>6519</v>
      </c>
      <c r="M1035" s="23" t="s">
        <v>1236</v>
      </c>
      <c r="N1035" s="23" t="s">
        <v>6520</v>
      </c>
    </row>
    <row r="1036" spans="1:20" x14ac:dyDescent="0.2">
      <c r="A1036" s="23" t="s">
        <v>92</v>
      </c>
      <c r="C1036" s="23" t="s">
        <v>6521</v>
      </c>
      <c r="D1036" s="23" t="s">
        <v>6522</v>
      </c>
      <c r="E1036" s="23" t="s">
        <v>6523</v>
      </c>
      <c r="G1036" s="23" t="s">
        <v>6524</v>
      </c>
      <c r="K1036" s="23" t="s">
        <v>6525</v>
      </c>
      <c r="L1036" s="23" t="s">
        <v>6526</v>
      </c>
      <c r="O1036" s="23" t="s">
        <v>12048</v>
      </c>
      <c r="P1036" s="23" t="s">
        <v>6527</v>
      </c>
      <c r="Q1036" s="23" t="s">
        <v>6528</v>
      </c>
      <c r="R1036" s="23" t="s">
        <v>6529</v>
      </c>
      <c r="S1036" s="23" t="s">
        <v>6530</v>
      </c>
      <c r="T1036" s="23" t="s">
        <v>6531</v>
      </c>
    </row>
    <row r="1037" spans="1:20" x14ac:dyDescent="0.2">
      <c r="A1037" s="23" t="s">
        <v>92</v>
      </c>
      <c r="C1037" s="23" t="s">
        <v>6532</v>
      </c>
      <c r="D1037" s="23" t="s">
        <v>6533</v>
      </c>
      <c r="E1037" s="23" t="s">
        <v>6534</v>
      </c>
      <c r="G1037" s="23" t="s">
        <v>6535</v>
      </c>
      <c r="K1037" s="23" t="s">
        <v>6536</v>
      </c>
      <c r="L1037" s="23" t="s">
        <v>6537</v>
      </c>
      <c r="O1037" s="23" t="s">
        <v>12049</v>
      </c>
      <c r="P1037" s="23" t="s">
        <v>12050</v>
      </c>
      <c r="Q1037" s="23" t="s">
        <v>12051</v>
      </c>
      <c r="R1037" s="23" t="s">
        <v>12052</v>
      </c>
      <c r="S1037" s="23" t="s">
        <v>12053</v>
      </c>
      <c r="T1037" s="23" t="s">
        <v>12054</v>
      </c>
    </row>
    <row r="1038" spans="1:20" x14ac:dyDescent="0.2">
      <c r="A1038" s="23" t="s">
        <v>92</v>
      </c>
      <c r="C1038" s="23" t="s">
        <v>6532</v>
      </c>
      <c r="D1038" s="23" t="s">
        <v>6533</v>
      </c>
      <c r="E1038" s="23" t="s">
        <v>6534</v>
      </c>
      <c r="G1038" s="23" t="s">
        <v>6535</v>
      </c>
      <c r="K1038" s="23" t="s">
        <v>6536</v>
      </c>
      <c r="L1038" s="23" t="s">
        <v>6537</v>
      </c>
    </row>
    <row r="1039" spans="1:20" x14ac:dyDescent="0.2">
      <c r="A1039" s="23" t="s">
        <v>92</v>
      </c>
      <c r="C1039" s="23" t="s">
        <v>6538</v>
      </c>
      <c r="D1039" s="23" t="s">
        <v>6539</v>
      </c>
      <c r="E1039" s="23" t="s">
        <v>6540</v>
      </c>
      <c r="G1039" s="23" t="s">
        <v>6541</v>
      </c>
      <c r="K1039" s="23" t="s">
        <v>6542</v>
      </c>
      <c r="L1039" s="23" t="s">
        <v>6543</v>
      </c>
      <c r="M1039" s="23" t="s">
        <v>6544</v>
      </c>
      <c r="N1039" s="23" t="s">
        <v>6545</v>
      </c>
      <c r="T1039" s="23" t="s">
        <v>6546</v>
      </c>
    </row>
    <row r="1040" spans="1:20" x14ac:dyDescent="0.2">
      <c r="A1040" s="23" t="s">
        <v>92</v>
      </c>
      <c r="C1040" s="23" t="s">
        <v>6196</v>
      </c>
      <c r="D1040" s="23" t="s">
        <v>6197</v>
      </c>
      <c r="E1040" s="23" t="s">
        <v>6198</v>
      </c>
      <c r="G1040" s="23" t="s">
        <v>6199</v>
      </c>
    </row>
    <row r="1041" spans="1:20" x14ac:dyDescent="0.2">
      <c r="A1041" s="23" t="s">
        <v>92</v>
      </c>
      <c r="C1041" s="23" t="s">
        <v>6547</v>
      </c>
      <c r="D1041" s="23" t="s">
        <v>6548</v>
      </c>
      <c r="E1041" s="23" t="s">
        <v>6549</v>
      </c>
      <c r="G1041" s="23" t="s">
        <v>6550</v>
      </c>
      <c r="H1041" s="23" t="s">
        <v>6551</v>
      </c>
      <c r="I1041" s="23" t="s">
        <v>6552</v>
      </c>
      <c r="J1041" s="23" t="s">
        <v>6553</v>
      </c>
      <c r="T1041" s="23" t="s">
        <v>6554</v>
      </c>
    </row>
    <row r="1042" spans="1:20" x14ac:dyDescent="0.2">
      <c r="A1042" s="23" t="s">
        <v>92</v>
      </c>
      <c r="C1042" s="23" t="s">
        <v>6555</v>
      </c>
      <c r="D1042" s="23" t="s">
        <v>6556</v>
      </c>
      <c r="E1042" s="23" t="s">
        <v>6557</v>
      </c>
      <c r="G1042" s="23" t="s">
        <v>6558</v>
      </c>
      <c r="H1042" s="23" t="s">
        <v>6559</v>
      </c>
      <c r="I1042" s="23" t="s">
        <v>6560</v>
      </c>
      <c r="J1042" s="23" t="s">
        <v>6561</v>
      </c>
    </row>
    <row r="1043" spans="1:20" x14ac:dyDescent="0.2">
      <c r="A1043" s="23" t="s">
        <v>92</v>
      </c>
      <c r="C1043" s="23" t="s">
        <v>6562</v>
      </c>
      <c r="D1043" s="23" t="s">
        <v>6563</v>
      </c>
      <c r="E1043" s="23" t="s">
        <v>6564</v>
      </c>
      <c r="G1043" s="23" t="s">
        <v>6565</v>
      </c>
      <c r="K1043" s="23" t="s">
        <v>6566</v>
      </c>
      <c r="L1043" s="23" t="s">
        <v>6567</v>
      </c>
      <c r="M1043" s="23" t="s">
        <v>12055</v>
      </c>
      <c r="N1043" s="23" t="s">
        <v>6568</v>
      </c>
    </row>
    <row r="1044" spans="1:20" x14ac:dyDescent="0.2">
      <c r="A1044" s="23" t="s">
        <v>92</v>
      </c>
      <c r="C1044" s="23" t="s">
        <v>6569</v>
      </c>
      <c r="D1044" s="23" t="s">
        <v>6570</v>
      </c>
      <c r="E1044" s="23" t="s">
        <v>6571</v>
      </c>
      <c r="G1044" s="23" t="s">
        <v>6572</v>
      </c>
      <c r="K1044" s="23" t="s">
        <v>6573</v>
      </c>
      <c r="L1044" s="23" t="s">
        <v>6574</v>
      </c>
      <c r="O1044" s="23" t="s">
        <v>12056</v>
      </c>
      <c r="P1044" s="23" t="s">
        <v>6575</v>
      </c>
      <c r="Q1044" s="23" t="s">
        <v>6576</v>
      </c>
      <c r="R1044" s="23" t="s">
        <v>6577</v>
      </c>
      <c r="S1044" s="23" t="s">
        <v>6578</v>
      </c>
      <c r="T1044" s="23" t="s">
        <v>6579</v>
      </c>
    </row>
    <row r="1045" spans="1:20" x14ac:dyDescent="0.2">
      <c r="A1045" s="23" t="s">
        <v>92</v>
      </c>
      <c r="C1045" s="23" t="s">
        <v>6580</v>
      </c>
      <c r="D1045" s="23" t="s">
        <v>6581</v>
      </c>
      <c r="E1045" s="23" t="s">
        <v>6582</v>
      </c>
      <c r="G1045" s="23" t="s">
        <v>6583</v>
      </c>
      <c r="K1045" s="23" t="s">
        <v>6584</v>
      </c>
      <c r="L1045" s="23" t="s">
        <v>6585</v>
      </c>
      <c r="O1045" s="23" t="s">
        <v>12057</v>
      </c>
      <c r="P1045" s="23" t="s">
        <v>15145</v>
      </c>
      <c r="Q1045" s="23" t="s">
        <v>15150</v>
      </c>
      <c r="R1045" s="23" t="s">
        <v>15155</v>
      </c>
      <c r="S1045" s="23" t="s">
        <v>15160</v>
      </c>
      <c r="T1045" s="23" t="s">
        <v>15165</v>
      </c>
    </row>
    <row r="1046" spans="1:20" x14ac:dyDescent="0.2">
      <c r="A1046" s="23" t="s">
        <v>92</v>
      </c>
      <c r="C1046" s="23" t="s">
        <v>6586</v>
      </c>
      <c r="D1046" s="23" t="s">
        <v>6587</v>
      </c>
      <c r="E1046" s="23" t="s">
        <v>6588</v>
      </c>
      <c r="G1046" s="23" t="s">
        <v>6589</v>
      </c>
      <c r="K1046" s="23" t="s">
        <v>6590</v>
      </c>
      <c r="L1046" s="23" t="s">
        <v>6591</v>
      </c>
      <c r="O1046" s="23" t="s">
        <v>12058</v>
      </c>
      <c r="P1046" s="23" t="s">
        <v>15146</v>
      </c>
      <c r="Q1046" s="23" t="s">
        <v>15151</v>
      </c>
      <c r="R1046" s="23" t="s">
        <v>15156</v>
      </c>
      <c r="S1046" s="23" t="s">
        <v>15161</v>
      </c>
      <c r="T1046" s="23" t="s">
        <v>15166</v>
      </c>
    </row>
    <row r="1047" spans="1:20" x14ac:dyDescent="0.2">
      <c r="A1047" s="23" t="s">
        <v>92</v>
      </c>
      <c r="C1047" s="23" t="s">
        <v>6592</v>
      </c>
      <c r="D1047" s="23" t="s">
        <v>6593</v>
      </c>
      <c r="E1047" s="23" t="s">
        <v>6594</v>
      </c>
      <c r="G1047" s="23" t="s">
        <v>6595</v>
      </c>
      <c r="K1047" s="23" t="s">
        <v>6596</v>
      </c>
      <c r="L1047" s="23" t="s">
        <v>6597</v>
      </c>
      <c r="O1047" s="23" t="s">
        <v>11517</v>
      </c>
      <c r="P1047" s="23" t="s">
        <v>15147</v>
      </c>
      <c r="Q1047" s="23" t="s">
        <v>15152</v>
      </c>
      <c r="R1047" s="23" t="s">
        <v>15157</v>
      </c>
      <c r="S1047" s="23" t="s">
        <v>15162</v>
      </c>
      <c r="T1047" s="23" t="s">
        <v>15167</v>
      </c>
    </row>
    <row r="1048" spans="1:20" x14ac:dyDescent="0.2">
      <c r="A1048" s="23" t="s">
        <v>92</v>
      </c>
      <c r="C1048" s="23" t="s">
        <v>6598</v>
      </c>
      <c r="D1048" s="23" t="s">
        <v>6599</v>
      </c>
      <c r="E1048" s="23" t="s">
        <v>6600</v>
      </c>
      <c r="G1048" s="23" t="s">
        <v>6601</v>
      </c>
      <c r="K1048" s="23" t="s">
        <v>6602</v>
      </c>
      <c r="L1048" s="23" t="s">
        <v>6603</v>
      </c>
      <c r="O1048" s="23" t="s">
        <v>11562</v>
      </c>
      <c r="P1048" s="23" t="s">
        <v>15148</v>
      </c>
      <c r="Q1048" s="23" t="s">
        <v>15153</v>
      </c>
      <c r="R1048" s="23" t="s">
        <v>15158</v>
      </c>
      <c r="S1048" s="23" t="s">
        <v>15163</v>
      </c>
      <c r="T1048" s="23" t="s">
        <v>15168</v>
      </c>
    </row>
    <row r="1049" spans="1:20" x14ac:dyDescent="0.2">
      <c r="A1049" s="23" t="s">
        <v>92</v>
      </c>
      <c r="C1049" s="23" t="s">
        <v>6604</v>
      </c>
      <c r="D1049" s="23" t="s">
        <v>6605</v>
      </c>
      <c r="E1049" s="23" t="s">
        <v>6606</v>
      </c>
      <c r="G1049" s="23" t="s">
        <v>6607</v>
      </c>
      <c r="K1049" s="23" t="s">
        <v>6608</v>
      </c>
      <c r="L1049" s="23" t="s">
        <v>6609</v>
      </c>
      <c r="O1049" s="23" t="s">
        <v>12059</v>
      </c>
      <c r="P1049" s="23" t="s">
        <v>15149</v>
      </c>
      <c r="Q1049" s="23" t="s">
        <v>15154</v>
      </c>
      <c r="R1049" s="23" t="s">
        <v>15159</v>
      </c>
      <c r="S1049" s="23" t="s">
        <v>15164</v>
      </c>
      <c r="T1049" s="23" t="s">
        <v>15169</v>
      </c>
    </row>
    <row r="1050" spans="1:20" x14ac:dyDescent="0.2">
      <c r="A1050" s="23" t="s">
        <v>92</v>
      </c>
      <c r="C1050" s="23" t="s">
        <v>6580</v>
      </c>
      <c r="D1050" s="23" t="s">
        <v>6581</v>
      </c>
      <c r="E1050" s="23" t="s">
        <v>6582</v>
      </c>
      <c r="G1050" s="23" t="s">
        <v>6583</v>
      </c>
      <c r="K1050" s="23" t="s">
        <v>6584</v>
      </c>
      <c r="L1050" s="23" t="s">
        <v>6585</v>
      </c>
    </row>
    <row r="1051" spans="1:20" x14ac:dyDescent="0.2">
      <c r="A1051" s="23" t="s">
        <v>92</v>
      </c>
      <c r="C1051" s="23" t="s">
        <v>6610</v>
      </c>
      <c r="D1051" s="23" t="s">
        <v>6611</v>
      </c>
      <c r="E1051" s="23" t="s">
        <v>6612</v>
      </c>
      <c r="G1051" s="23" t="s">
        <v>6613</v>
      </c>
      <c r="K1051" s="23" t="s">
        <v>6614</v>
      </c>
      <c r="L1051" s="23" t="s">
        <v>6615</v>
      </c>
      <c r="M1051" s="23" t="s">
        <v>6616</v>
      </c>
      <c r="N1051" s="23" t="s">
        <v>6617</v>
      </c>
      <c r="T1051" s="23" t="s">
        <v>6618</v>
      </c>
    </row>
    <row r="1052" spans="1:20" x14ac:dyDescent="0.2">
      <c r="A1052" s="23" t="s">
        <v>92</v>
      </c>
      <c r="C1052" s="23" t="s">
        <v>6619</v>
      </c>
      <c r="D1052" s="23" t="s">
        <v>6620</v>
      </c>
      <c r="E1052" s="23" t="s">
        <v>6621</v>
      </c>
      <c r="G1052" s="23" t="s">
        <v>6622</v>
      </c>
      <c r="K1052" s="23" t="s">
        <v>6623</v>
      </c>
      <c r="L1052" s="23" t="s">
        <v>6624</v>
      </c>
      <c r="M1052" s="23" t="s">
        <v>6625</v>
      </c>
      <c r="N1052" s="23" t="s">
        <v>6626</v>
      </c>
    </row>
    <row r="1053" spans="1:20" x14ac:dyDescent="0.2">
      <c r="A1053" s="23" t="s">
        <v>92</v>
      </c>
      <c r="C1053" s="23" t="s">
        <v>6627</v>
      </c>
      <c r="D1053" s="23" t="s">
        <v>6628</v>
      </c>
      <c r="E1053" s="23" t="s">
        <v>6629</v>
      </c>
      <c r="G1053" s="23" t="s">
        <v>6630</v>
      </c>
      <c r="K1053" s="23" t="s">
        <v>6631</v>
      </c>
      <c r="L1053" s="23" t="s">
        <v>6632</v>
      </c>
      <c r="O1053" s="23" t="s">
        <v>12060</v>
      </c>
      <c r="P1053" s="23" t="s">
        <v>6633</v>
      </c>
      <c r="Q1053" s="23" t="s">
        <v>6634</v>
      </c>
      <c r="R1053" s="23" t="s">
        <v>6635</v>
      </c>
      <c r="S1053" s="23" t="s">
        <v>6636</v>
      </c>
      <c r="T1053" s="23" t="s">
        <v>6637</v>
      </c>
    </row>
    <row r="1054" spans="1:20" x14ac:dyDescent="0.2">
      <c r="A1054" s="23" t="s">
        <v>92</v>
      </c>
      <c r="C1054" s="23" t="s">
        <v>6638</v>
      </c>
      <c r="D1054" s="23" t="s">
        <v>6639</v>
      </c>
      <c r="E1054" s="23" t="s">
        <v>6640</v>
      </c>
      <c r="G1054" s="23" t="s">
        <v>6641</v>
      </c>
      <c r="K1054" s="23" t="s">
        <v>6642</v>
      </c>
      <c r="L1054" s="23" t="s">
        <v>6643</v>
      </c>
      <c r="O1054" s="23" t="s">
        <v>12061</v>
      </c>
      <c r="P1054" s="23" t="s">
        <v>15275</v>
      </c>
      <c r="Q1054" s="23" t="s">
        <v>15280</v>
      </c>
      <c r="R1054" s="23" t="s">
        <v>15285</v>
      </c>
      <c r="S1054" s="23" t="s">
        <v>15290</v>
      </c>
      <c r="T1054" s="23" t="s">
        <v>15295</v>
      </c>
    </row>
    <row r="1055" spans="1:20" x14ac:dyDescent="0.2">
      <c r="A1055" s="23" t="s">
        <v>92</v>
      </c>
      <c r="C1055" s="23" t="s">
        <v>6644</v>
      </c>
      <c r="D1055" s="23" t="s">
        <v>6645</v>
      </c>
      <c r="E1055" s="23" t="s">
        <v>6646</v>
      </c>
      <c r="G1055" s="23" t="s">
        <v>6647</v>
      </c>
      <c r="K1055" s="23" t="s">
        <v>6648</v>
      </c>
      <c r="L1055" s="23" t="s">
        <v>6649</v>
      </c>
      <c r="O1055" s="23" t="s">
        <v>12062</v>
      </c>
      <c r="P1055" s="23" t="s">
        <v>15276</v>
      </c>
      <c r="Q1055" s="23" t="s">
        <v>15281</v>
      </c>
      <c r="R1055" s="23" t="s">
        <v>15286</v>
      </c>
      <c r="S1055" s="23" t="s">
        <v>15291</v>
      </c>
      <c r="T1055" s="23" t="s">
        <v>15296</v>
      </c>
    </row>
    <row r="1056" spans="1:20" x14ac:dyDescent="0.2">
      <c r="A1056" s="23" t="s">
        <v>92</v>
      </c>
      <c r="C1056" s="23" t="s">
        <v>6650</v>
      </c>
      <c r="D1056" s="23" t="s">
        <v>6651</v>
      </c>
      <c r="E1056" s="23" t="s">
        <v>6652</v>
      </c>
      <c r="G1056" s="23" t="s">
        <v>6653</v>
      </c>
      <c r="K1056" s="23" t="s">
        <v>6654</v>
      </c>
      <c r="L1056" s="23" t="s">
        <v>6655</v>
      </c>
      <c r="O1056" s="23" t="s">
        <v>11524</v>
      </c>
      <c r="P1056" s="23" t="s">
        <v>15277</v>
      </c>
      <c r="Q1056" s="23" t="s">
        <v>15282</v>
      </c>
      <c r="R1056" s="23" t="s">
        <v>15287</v>
      </c>
      <c r="S1056" s="23" t="s">
        <v>15292</v>
      </c>
      <c r="T1056" s="23" t="s">
        <v>15297</v>
      </c>
    </row>
    <row r="1057" spans="1:20" x14ac:dyDescent="0.2">
      <c r="A1057" s="23" t="s">
        <v>92</v>
      </c>
      <c r="C1057" s="23" t="s">
        <v>6656</v>
      </c>
      <c r="D1057" s="23" t="s">
        <v>6657</v>
      </c>
      <c r="E1057" s="23" t="s">
        <v>6658</v>
      </c>
      <c r="G1057" s="23" t="s">
        <v>6659</v>
      </c>
      <c r="K1057" s="23" t="s">
        <v>6660</v>
      </c>
      <c r="L1057" s="23" t="s">
        <v>6661</v>
      </c>
      <c r="O1057" s="23" t="s">
        <v>11567</v>
      </c>
      <c r="P1057" s="23" t="s">
        <v>15278</v>
      </c>
      <c r="Q1057" s="23" t="s">
        <v>15283</v>
      </c>
      <c r="R1057" s="23" t="s">
        <v>15288</v>
      </c>
      <c r="S1057" s="23" t="s">
        <v>15293</v>
      </c>
      <c r="T1057" s="23" t="s">
        <v>15298</v>
      </c>
    </row>
    <row r="1058" spans="1:20" x14ac:dyDescent="0.2">
      <c r="A1058" s="23" t="s">
        <v>92</v>
      </c>
      <c r="C1058" s="23" t="s">
        <v>6662</v>
      </c>
      <c r="D1058" s="23" t="s">
        <v>6663</v>
      </c>
      <c r="E1058" s="23" t="s">
        <v>6664</v>
      </c>
      <c r="G1058" s="23" t="s">
        <v>6665</v>
      </c>
      <c r="K1058" s="23" t="s">
        <v>6666</v>
      </c>
      <c r="L1058" s="23" t="s">
        <v>6667</v>
      </c>
      <c r="O1058" s="23" t="s">
        <v>12063</v>
      </c>
      <c r="P1058" s="23" t="s">
        <v>15279</v>
      </c>
      <c r="Q1058" s="23" t="s">
        <v>15284</v>
      </c>
      <c r="R1058" s="23" t="s">
        <v>15289</v>
      </c>
      <c r="S1058" s="23" t="s">
        <v>15294</v>
      </c>
      <c r="T1058" s="23" t="s">
        <v>15299</v>
      </c>
    </row>
    <row r="1059" spans="1:20" x14ac:dyDescent="0.2">
      <c r="A1059" s="23" t="s">
        <v>92</v>
      </c>
      <c r="C1059" s="23" t="s">
        <v>6638</v>
      </c>
      <c r="D1059" s="23" t="s">
        <v>6639</v>
      </c>
      <c r="E1059" s="23" t="s">
        <v>6640</v>
      </c>
      <c r="G1059" s="23" t="s">
        <v>6641</v>
      </c>
      <c r="K1059" s="23" t="s">
        <v>6642</v>
      </c>
      <c r="L1059" s="23" t="s">
        <v>6643</v>
      </c>
    </row>
    <row r="1060" spans="1:20" x14ac:dyDescent="0.2">
      <c r="A1060" s="23" t="s">
        <v>92</v>
      </c>
      <c r="C1060" s="23" t="s">
        <v>6668</v>
      </c>
      <c r="D1060" s="23" t="s">
        <v>6669</v>
      </c>
      <c r="E1060" s="23" t="s">
        <v>6670</v>
      </c>
      <c r="G1060" s="23" t="s">
        <v>6671</v>
      </c>
      <c r="K1060" s="23" t="s">
        <v>6672</v>
      </c>
      <c r="L1060" s="23" t="s">
        <v>6673</v>
      </c>
      <c r="M1060" s="23" t="s">
        <v>6674</v>
      </c>
      <c r="N1060" s="23" t="s">
        <v>6675</v>
      </c>
      <c r="T1060" s="23" t="s">
        <v>6676</v>
      </c>
    </row>
    <row r="1061" spans="1:20" x14ac:dyDescent="0.2">
      <c r="A1061" s="23" t="s">
        <v>92</v>
      </c>
      <c r="C1061" s="23" t="s">
        <v>6677</v>
      </c>
      <c r="D1061" s="23" t="s">
        <v>6678</v>
      </c>
      <c r="E1061" s="23" t="s">
        <v>6679</v>
      </c>
      <c r="G1061" s="23" t="s">
        <v>6680</v>
      </c>
      <c r="K1061" s="23" t="s">
        <v>6681</v>
      </c>
      <c r="L1061" s="23" t="s">
        <v>6682</v>
      </c>
      <c r="M1061" s="23" t="s">
        <v>6683</v>
      </c>
      <c r="N1061" s="23" t="s">
        <v>6684</v>
      </c>
    </row>
    <row r="1062" spans="1:20" x14ac:dyDescent="0.2">
      <c r="A1062" s="23" t="s">
        <v>92</v>
      </c>
      <c r="C1062" s="23" t="s">
        <v>6685</v>
      </c>
      <c r="D1062" s="23" t="s">
        <v>6686</v>
      </c>
      <c r="E1062" s="23" t="s">
        <v>6687</v>
      </c>
      <c r="G1062" s="23" t="s">
        <v>6688</v>
      </c>
      <c r="K1062" s="23" t="s">
        <v>6689</v>
      </c>
      <c r="L1062" s="23" t="s">
        <v>6690</v>
      </c>
      <c r="O1062" s="23" t="s">
        <v>12064</v>
      </c>
      <c r="P1062" s="23" t="s">
        <v>6691</v>
      </c>
      <c r="Q1062" s="23" t="s">
        <v>6692</v>
      </c>
      <c r="R1062" s="23" t="s">
        <v>6693</v>
      </c>
      <c r="S1062" s="23" t="s">
        <v>6694</v>
      </c>
      <c r="T1062" s="23" t="s">
        <v>6695</v>
      </c>
    </row>
    <row r="1063" spans="1:20" x14ac:dyDescent="0.2">
      <c r="A1063" s="23" t="s">
        <v>92</v>
      </c>
      <c r="C1063" s="23" t="s">
        <v>6696</v>
      </c>
      <c r="D1063" s="23" t="s">
        <v>6697</v>
      </c>
      <c r="E1063" s="23" t="s">
        <v>6698</v>
      </c>
      <c r="G1063" s="23" t="s">
        <v>6699</v>
      </c>
      <c r="K1063" s="23" t="s">
        <v>6700</v>
      </c>
      <c r="L1063" s="23" t="s">
        <v>6701</v>
      </c>
      <c r="O1063" s="23" t="s">
        <v>12065</v>
      </c>
      <c r="P1063" s="23" t="s">
        <v>15250</v>
      </c>
      <c r="Q1063" s="23" t="s">
        <v>15255</v>
      </c>
      <c r="R1063" s="23" t="s">
        <v>15260</v>
      </c>
      <c r="S1063" s="23" t="s">
        <v>15265</v>
      </c>
      <c r="T1063" s="23" t="s">
        <v>15270</v>
      </c>
    </row>
    <row r="1064" spans="1:20" x14ac:dyDescent="0.2">
      <c r="A1064" s="23" t="s">
        <v>92</v>
      </c>
      <c r="C1064" s="23" t="s">
        <v>6702</v>
      </c>
      <c r="D1064" s="23" t="s">
        <v>6703</v>
      </c>
      <c r="E1064" s="23" t="s">
        <v>6704</v>
      </c>
      <c r="G1064" s="23" t="s">
        <v>6705</v>
      </c>
      <c r="K1064" s="23" t="s">
        <v>6706</v>
      </c>
      <c r="L1064" s="23" t="s">
        <v>6707</v>
      </c>
      <c r="O1064" s="23" t="s">
        <v>12066</v>
      </c>
      <c r="P1064" s="23" t="s">
        <v>15251</v>
      </c>
      <c r="Q1064" s="23" t="s">
        <v>15256</v>
      </c>
      <c r="R1064" s="23" t="s">
        <v>15261</v>
      </c>
      <c r="S1064" s="23" t="s">
        <v>15266</v>
      </c>
      <c r="T1064" s="23" t="s">
        <v>15271</v>
      </c>
    </row>
    <row r="1065" spans="1:20" x14ac:dyDescent="0.2">
      <c r="A1065" s="23" t="s">
        <v>92</v>
      </c>
      <c r="C1065" s="23" t="s">
        <v>6708</v>
      </c>
      <c r="D1065" s="23" t="s">
        <v>6709</v>
      </c>
      <c r="E1065" s="23" t="s">
        <v>6710</v>
      </c>
      <c r="G1065" s="23" t="s">
        <v>6711</v>
      </c>
      <c r="K1065" s="23" t="s">
        <v>6712</v>
      </c>
      <c r="L1065" s="23" t="s">
        <v>6713</v>
      </c>
      <c r="O1065" s="23" t="s">
        <v>11531</v>
      </c>
      <c r="P1065" s="23" t="s">
        <v>15252</v>
      </c>
      <c r="Q1065" s="23" t="s">
        <v>15257</v>
      </c>
      <c r="R1065" s="23" t="s">
        <v>15262</v>
      </c>
      <c r="S1065" s="23" t="s">
        <v>15267</v>
      </c>
      <c r="T1065" s="23" t="s">
        <v>15272</v>
      </c>
    </row>
    <row r="1066" spans="1:20" x14ac:dyDescent="0.2">
      <c r="A1066" s="23" t="s">
        <v>92</v>
      </c>
      <c r="C1066" s="23" t="s">
        <v>6714</v>
      </c>
      <c r="D1066" s="23" t="s">
        <v>6715</v>
      </c>
      <c r="E1066" s="23" t="s">
        <v>6716</v>
      </c>
      <c r="G1066" s="23" t="s">
        <v>6717</v>
      </c>
      <c r="K1066" s="23" t="s">
        <v>6718</v>
      </c>
      <c r="L1066" s="23" t="s">
        <v>6719</v>
      </c>
      <c r="O1066" s="23" t="s">
        <v>11573</v>
      </c>
      <c r="P1066" s="23" t="s">
        <v>15253</v>
      </c>
      <c r="Q1066" s="23" t="s">
        <v>15258</v>
      </c>
      <c r="R1066" s="23" t="s">
        <v>15263</v>
      </c>
      <c r="S1066" s="23" t="s">
        <v>15268</v>
      </c>
      <c r="T1066" s="23" t="s">
        <v>15273</v>
      </c>
    </row>
    <row r="1067" spans="1:20" x14ac:dyDescent="0.2">
      <c r="A1067" s="23" t="s">
        <v>92</v>
      </c>
      <c r="C1067" s="23" t="s">
        <v>6720</v>
      </c>
      <c r="D1067" s="23" t="s">
        <v>6721</v>
      </c>
      <c r="E1067" s="23" t="s">
        <v>6722</v>
      </c>
      <c r="G1067" s="23" t="s">
        <v>6723</v>
      </c>
      <c r="K1067" s="23" t="s">
        <v>6724</v>
      </c>
      <c r="L1067" s="23" t="s">
        <v>6725</v>
      </c>
      <c r="O1067" s="23" t="s">
        <v>12067</v>
      </c>
      <c r="P1067" s="23" t="s">
        <v>15254</v>
      </c>
      <c r="Q1067" s="23" t="s">
        <v>15259</v>
      </c>
      <c r="R1067" s="23" t="s">
        <v>15264</v>
      </c>
      <c r="S1067" s="23" t="s">
        <v>15269</v>
      </c>
      <c r="T1067" s="23" t="s">
        <v>15274</v>
      </c>
    </row>
    <row r="1068" spans="1:20" x14ac:dyDescent="0.2">
      <c r="A1068" s="23" t="s">
        <v>92</v>
      </c>
      <c r="C1068" s="23" t="s">
        <v>6696</v>
      </c>
      <c r="D1068" s="23" t="s">
        <v>6697</v>
      </c>
      <c r="E1068" s="23" t="s">
        <v>6698</v>
      </c>
      <c r="G1068" s="23" t="s">
        <v>6699</v>
      </c>
      <c r="K1068" s="23" t="s">
        <v>6700</v>
      </c>
      <c r="L1068" s="23" t="s">
        <v>6701</v>
      </c>
    </row>
    <row r="1069" spans="1:20" x14ac:dyDescent="0.2">
      <c r="A1069" s="23" t="s">
        <v>92</v>
      </c>
      <c r="C1069" s="23" t="s">
        <v>6726</v>
      </c>
      <c r="D1069" s="23" t="s">
        <v>6727</v>
      </c>
      <c r="E1069" s="23" t="s">
        <v>6728</v>
      </c>
      <c r="G1069" s="23" t="s">
        <v>6729</v>
      </c>
      <c r="K1069" s="23" t="s">
        <v>6730</v>
      </c>
      <c r="L1069" s="23" t="s">
        <v>6731</v>
      </c>
      <c r="M1069" s="23" t="s">
        <v>6732</v>
      </c>
      <c r="N1069" s="23" t="s">
        <v>6733</v>
      </c>
      <c r="T1069" s="23" t="s">
        <v>6734</v>
      </c>
    </row>
    <row r="1070" spans="1:20" x14ac:dyDescent="0.2">
      <c r="A1070" s="23" t="s">
        <v>92</v>
      </c>
      <c r="C1070" s="23" t="s">
        <v>6735</v>
      </c>
      <c r="D1070" s="23" t="s">
        <v>6736</v>
      </c>
      <c r="E1070" s="23" t="s">
        <v>6737</v>
      </c>
      <c r="G1070" s="23" t="s">
        <v>6738</v>
      </c>
      <c r="K1070" s="23" t="s">
        <v>6739</v>
      </c>
      <c r="L1070" s="23" t="s">
        <v>6740</v>
      </c>
      <c r="M1070" s="23" t="s">
        <v>6741</v>
      </c>
      <c r="N1070" s="23" t="s">
        <v>6742</v>
      </c>
    </row>
    <row r="1071" spans="1:20" x14ac:dyDescent="0.2">
      <c r="A1071" s="23" t="s">
        <v>92</v>
      </c>
      <c r="C1071" s="23" t="s">
        <v>6743</v>
      </c>
      <c r="D1071" s="23" t="s">
        <v>6744</v>
      </c>
      <c r="E1071" s="23" t="s">
        <v>6745</v>
      </c>
      <c r="G1071" s="23" t="s">
        <v>6746</v>
      </c>
      <c r="K1071" s="23" t="s">
        <v>6747</v>
      </c>
      <c r="L1071" s="23" t="s">
        <v>6748</v>
      </c>
      <c r="O1071" s="23" t="s">
        <v>12068</v>
      </c>
      <c r="P1071" s="23" t="s">
        <v>6749</v>
      </c>
      <c r="Q1071" s="23" t="s">
        <v>6750</v>
      </c>
      <c r="R1071" s="23" t="s">
        <v>6751</v>
      </c>
      <c r="S1071" s="23" t="s">
        <v>6752</v>
      </c>
      <c r="T1071" s="23" t="s">
        <v>6753</v>
      </c>
    </row>
    <row r="1072" spans="1:20" x14ac:dyDescent="0.2">
      <c r="A1072" s="23" t="s">
        <v>92</v>
      </c>
      <c r="C1072" s="23" t="s">
        <v>6754</v>
      </c>
      <c r="D1072" s="23" t="s">
        <v>6755</v>
      </c>
      <c r="E1072" s="23" t="s">
        <v>6756</v>
      </c>
      <c r="G1072" s="23" t="s">
        <v>6757</v>
      </c>
      <c r="K1072" s="23" t="s">
        <v>6758</v>
      </c>
      <c r="L1072" s="23" t="s">
        <v>6759</v>
      </c>
      <c r="O1072" s="23" t="s">
        <v>12069</v>
      </c>
      <c r="P1072" s="23" t="s">
        <v>15220</v>
      </c>
      <c r="Q1072" s="23" t="s">
        <v>15226</v>
      </c>
      <c r="R1072" s="23" t="s">
        <v>15232</v>
      </c>
      <c r="S1072" s="23" t="s">
        <v>15238</v>
      </c>
      <c r="T1072" s="23" t="s">
        <v>15244</v>
      </c>
    </row>
    <row r="1073" spans="1:20" x14ac:dyDescent="0.2">
      <c r="A1073" s="23" t="s">
        <v>92</v>
      </c>
      <c r="C1073" s="23" t="s">
        <v>6760</v>
      </c>
      <c r="D1073" s="23" t="s">
        <v>6761</v>
      </c>
      <c r="E1073" s="23" t="s">
        <v>6762</v>
      </c>
      <c r="G1073" s="23" t="s">
        <v>6763</v>
      </c>
      <c r="K1073" s="23" t="s">
        <v>6764</v>
      </c>
      <c r="L1073" s="23" t="s">
        <v>6765</v>
      </c>
      <c r="O1073" s="23" t="s">
        <v>12004</v>
      </c>
      <c r="P1073" s="23" t="s">
        <v>15221</v>
      </c>
      <c r="Q1073" s="23" t="s">
        <v>15227</v>
      </c>
      <c r="R1073" s="23" t="s">
        <v>15233</v>
      </c>
      <c r="S1073" s="23" t="s">
        <v>15239</v>
      </c>
      <c r="T1073" s="23" t="s">
        <v>15245</v>
      </c>
    </row>
    <row r="1074" spans="1:20" x14ac:dyDescent="0.2">
      <c r="A1074" s="23" t="s">
        <v>92</v>
      </c>
      <c r="C1074" s="23" t="s">
        <v>6766</v>
      </c>
      <c r="D1074" s="23" t="s">
        <v>6767</v>
      </c>
      <c r="E1074" s="23" t="s">
        <v>6768</v>
      </c>
      <c r="G1074" s="23" t="s">
        <v>6769</v>
      </c>
      <c r="K1074" s="23" t="s">
        <v>6770</v>
      </c>
      <c r="L1074" s="23" t="s">
        <v>6771</v>
      </c>
      <c r="O1074" s="23" t="s">
        <v>12070</v>
      </c>
      <c r="P1074" s="23" t="s">
        <v>15222</v>
      </c>
      <c r="Q1074" s="23" t="s">
        <v>15228</v>
      </c>
      <c r="R1074" s="23" t="s">
        <v>15234</v>
      </c>
      <c r="S1074" s="23" t="s">
        <v>15240</v>
      </c>
      <c r="T1074" s="23" t="s">
        <v>15246</v>
      </c>
    </row>
    <row r="1075" spans="1:20" x14ac:dyDescent="0.2">
      <c r="A1075" s="23" t="s">
        <v>92</v>
      </c>
      <c r="C1075" s="23" t="s">
        <v>6772</v>
      </c>
      <c r="D1075" s="23" t="s">
        <v>6773</v>
      </c>
      <c r="E1075" s="23" t="s">
        <v>6774</v>
      </c>
      <c r="G1075" s="23" t="s">
        <v>6775</v>
      </c>
      <c r="K1075" s="23" t="s">
        <v>6776</v>
      </c>
      <c r="L1075" s="23" t="s">
        <v>6777</v>
      </c>
      <c r="O1075" s="23" t="s">
        <v>11538</v>
      </c>
      <c r="P1075" s="23" t="s">
        <v>15223</v>
      </c>
      <c r="Q1075" s="23" t="s">
        <v>15229</v>
      </c>
      <c r="R1075" s="23" t="s">
        <v>15235</v>
      </c>
      <c r="S1075" s="23" t="s">
        <v>15241</v>
      </c>
      <c r="T1075" s="23" t="s">
        <v>15247</v>
      </c>
    </row>
    <row r="1076" spans="1:20" x14ac:dyDescent="0.2">
      <c r="A1076" s="23" t="s">
        <v>92</v>
      </c>
      <c r="C1076" s="23" t="s">
        <v>6778</v>
      </c>
      <c r="D1076" s="23" t="s">
        <v>6779</v>
      </c>
      <c r="E1076" s="23" t="s">
        <v>6780</v>
      </c>
      <c r="G1076" s="23" t="s">
        <v>6781</v>
      </c>
      <c r="K1076" s="23" t="s">
        <v>6782</v>
      </c>
      <c r="L1076" s="23" t="s">
        <v>6783</v>
      </c>
      <c r="O1076" s="23" t="s">
        <v>11578</v>
      </c>
      <c r="P1076" s="23" t="s">
        <v>15224</v>
      </c>
      <c r="Q1076" s="23" t="s">
        <v>15230</v>
      </c>
      <c r="R1076" s="23" t="s">
        <v>15236</v>
      </c>
      <c r="S1076" s="23" t="s">
        <v>15242</v>
      </c>
      <c r="T1076" s="23" t="s">
        <v>15248</v>
      </c>
    </row>
    <row r="1077" spans="1:20" x14ac:dyDescent="0.2">
      <c r="A1077" s="23" t="s">
        <v>92</v>
      </c>
      <c r="C1077" s="23" t="s">
        <v>6784</v>
      </c>
      <c r="D1077" s="23" t="s">
        <v>6785</v>
      </c>
      <c r="E1077" s="23" t="s">
        <v>6786</v>
      </c>
      <c r="G1077" s="23" t="s">
        <v>6787</v>
      </c>
      <c r="K1077" s="23" t="s">
        <v>6788</v>
      </c>
      <c r="L1077" s="23" t="s">
        <v>6789</v>
      </c>
      <c r="O1077" s="23" t="s">
        <v>12071</v>
      </c>
      <c r="P1077" s="23" t="s">
        <v>15225</v>
      </c>
      <c r="Q1077" s="23" t="s">
        <v>15231</v>
      </c>
      <c r="R1077" s="23" t="s">
        <v>15237</v>
      </c>
      <c r="S1077" s="23" t="s">
        <v>15243</v>
      </c>
      <c r="T1077" s="23" t="s">
        <v>15249</v>
      </c>
    </row>
    <row r="1078" spans="1:20" x14ac:dyDescent="0.2">
      <c r="A1078" s="23" t="s">
        <v>92</v>
      </c>
      <c r="C1078" s="23" t="s">
        <v>6754</v>
      </c>
      <c r="D1078" s="23" t="s">
        <v>6755</v>
      </c>
      <c r="E1078" s="23" t="s">
        <v>6756</v>
      </c>
      <c r="G1078" s="23" t="s">
        <v>6757</v>
      </c>
      <c r="K1078" s="23" t="s">
        <v>6758</v>
      </c>
      <c r="L1078" s="23" t="s">
        <v>6759</v>
      </c>
    </row>
    <row r="1079" spans="1:20" x14ac:dyDescent="0.2">
      <c r="A1079" s="23" t="s">
        <v>92</v>
      </c>
      <c r="C1079" s="23" t="s">
        <v>6790</v>
      </c>
      <c r="D1079" s="23" t="s">
        <v>6791</v>
      </c>
      <c r="E1079" s="23" t="s">
        <v>6792</v>
      </c>
      <c r="G1079" s="23" t="s">
        <v>6793</v>
      </c>
      <c r="K1079" s="23" t="s">
        <v>6794</v>
      </c>
      <c r="L1079" s="23" t="s">
        <v>6795</v>
      </c>
      <c r="M1079" s="23" t="s">
        <v>6796</v>
      </c>
      <c r="N1079" s="23" t="s">
        <v>6797</v>
      </c>
      <c r="T1079" s="23" t="s">
        <v>6798</v>
      </c>
    </row>
    <row r="1080" spans="1:20" x14ac:dyDescent="0.2">
      <c r="A1080" s="23" t="s">
        <v>92</v>
      </c>
      <c r="C1080" s="23" t="s">
        <v>6799</v>
      </c>
      <c r="D1080" s="23" t="s">
        <v>6800</v>
      </c>
      <c r="E1080" s="23" t="s">
        <v>6801</v>
      </c>
      <c r="G1080" s="23" t="s">
        <v>6802</v>
      </c>
      <c r="K1080" s="23" t="s">
        <v>6803</v>
      </c>
      <c r="L1080" s="23" t="s">
        <v>6804</v>
      </c>
      <c r="M1080" s="23" t="s">
        <v>6805</v>
      </c>
      <c r="N1080" s="23" t="s">
        <v>6806</v>
      </c>
    </row>
    <row r="1081" spans="1:20" x14ac:dyDescent="0.2">
      <c r="A1081" s="23" t="s">
        <v>92</v>
      </c>
      <c r="C1081" s="23" t="s">
        <v>6807</v>
      </c>
      <c r="D1081" s="23" t="s">
        <v>6808</v>
      </c>
      <c r="E1081" s="23" t="s">
        <v>6809</v>
      </c>
      <c r="G1081" s="23" t="s">
        <v>6810</v>
      </c>
      <c r="K1081" s="23" t="s">
        <v>6811</v>
      </c>
      <c r="L1081" s="23" t="s">
        <v>6812</v>
      </c>
      <c r="O1081" s="23" t="s">
        <v>12072</v>
      </c>
      <c r="P1081" s="23" t="s">
        <v>6813</v>
      </c>
      <c r="Q1081" s="23" t="s">
        <v>6814</v>
      </c>
      <c r="R1081" s="23" t="s">
        <v>6815</v>
      </c>
      <c r="S1081" s="23" t="s">
        <v>6816</v>
      </c>
      <c r="T1081" s="23" t="s">
        <v>6817</v>
      </c>
    </row>
    <row r="1082" spans="1:20" x14ac:dyDescent="0.2">
      <c r="A1082" s="23" t="s">
        <v>92</v>
      </c>
      <c r="C1082" s="23" t="s">
        <v>6818</v>
      </c>
      <c r="D1082" s="23" t="s">
        <v>6819</v>
      </c>
      <c r="E1082" s="23" t="s">
        <v>6820</v>
      </c>
      <c r="G1082" s="23" t="s">
        <v>6821</v>
      </c>
      <c r="K1082" s="23" t="s">
        <v>6822</v>
      </c>
      <c r="L1082" s="23" t="s">
        <v>6823</v>
      </c>
      <c r="O1082" s="23" t="s">
        <v>12073</v>
      </c>
      <c r="P1082" s="23" t="s">
        <v>15195</v>
      </c>
      <c r="Q1082" s="23" t="s">
        <v>15200</v>
      </c>
      <c r="R1082" s="23" t="s">
        <v>15205</v>
      </c>
      <c r="S1082" s="23" t="s">
        <v>15210</v>
      </c>
      <c r="T1082" s="23" t="s">
        <v>15215</v>
      </c>
    </row>
    <row r="1083" spans="1:20" x14ac:dyDescent="0.2">
      <c r="A1083" s="23" t="s">
        <v>92</v>
      </c>
      <c r="C1083" s="23" t="s">
        <v>6824</v>
      </c>
      <c r="D1083" s="23" t="s">
        <v>6825</v>
      </c>
      <c r="E1083" s="23" t="s">
        <v>6826</v>
      </c>
      <c r="G1083" s="23" t="s">
        <v>6827</v>
      </c>
      <c r="K1083" s="23" t="s">
        <v>6828</v>
      </c>
      <c r="L1083" s="23" t="s">
        <v>6829</v>
      </c>
      <c r="O1083" s="23" t="s">
        <v>12074</v>
      </c>
      <c r="P1083" s="23" t="s">
        <v>15196</v>
      </c>
      <c r="Q1083" s="23" t="s">
        <v>15201</v>
      </c>
      <c r="R1083" s="23" t="s">
        <v>15206</v>
      </c>
      <c r="S1083" s="23" t="s">
        <v>15211</v>
      </c>
      <c r="T1083" s="23" t="s">
        <v>15216</v>
      </c>
    </row>
    <row r="1084" spans="1:20" x14ac:dyDescent="0.2">
      <c r="A1084" s="23" t="s">
        <v>92</v>
      </c>
      <c r="C1084" s="23" t="s">
        <v>6830</v>
      </c>
      <c r="D1084" s="23" t="s">
        <v>6831</v>
      </c>
      <c r="E1084" s="23" t="s">
        <v>6832</v>
      </c>
      <c r="G1084" s="23" t="s">
        <v>6833</v>
      </c>
      <c r="K1084" s="23" t="s">
        <v>6834</v>
      </c>
      <c r="L1084" s="23" t="s">
        <v>6835</v>
      </c>
      <c r="O1084" s="23" t="s">
        <v>11546</v>
      </c>
      <c r="P1084" s="23" t="s">
        <v>15197</v>
      </c>
      <c r="Q1084" s="23" t="s">
        <v>15202</v>
      </c>
      <c r="R1084" s="23" t="s">
        <v>15207</v>
      </c>
      <c r="S1084" s="23" t="s">
        <v>15212</v>
      </c>
      <c r="T1084" s="23" t="s">
        <v>15217</v>
      </c>
    </row>
    <row r="1085" spans="1:20" x14ac:dyDescent="0.2">
      <c r="A1085" s="23" t="s">
        <v>92</v>
      </c>
      <c r="C1085" s="23" t="s">
        <v>6836</v>
      </c>
      <c r="D1085" s="23" t="s">
        <v>6837</v>
      </c>
      <c r="E1085" s="23" t="s">
        <v>6838</v>
      </c>
      <c r="G1085" s="23" t="s">
        <v>6839</v>
      </c>
      <c r="K1085" s="23" t="s">
        <v>6840</v>
      </c>
      <c r="L1085" s="23" t="s">
        <v>6841</v>
      </c>
      <c r="O1085" s="23" t="s">
        <v>11583</v>
      </c>
      <c r="P1085" s="23" t="s">
        <v>15198</v>
      </c>
      <c r="Q1085" s="23" t="s">
        <v>15203</v>
      </c>
      <c r="R1085" s="23" t="s">
        <v>15208</v>
      </c>
      <c r="S1085" s="23" t="s">
        <v>15213</v>
      </c>
      <c r="T1085" s="23" t="s">
        <v>15218</v>
      </c>
    </row>
    <row r="1086" spans="1:20" x14ac:dyDescent="0.2">
      <c r="A1086" s="23" t="s">
        <v>92</v>
      </c>
      <c r="C1086" s="23" t="s">
        <v>6842</v>
      </c>
      <c r="D1086" s="23" t="s">
        <v>6843</v>
      </c>
      <c r="E1086" s="23" t="s">
        <v>6844</v>
      </c>
      <c r="G1086" s="23" t="s">
        <v>6845</v>
      </c>
      <c r="K1086" s="23" t="s">
        <v>6846</v>
      </c>
      <c r="L1086" s="23" t="s">
        <v>6847</v>
      </c>
      <c r="O1086" s="23" t="s">
        <v>12075</v>
      </c>
      <c r="P1086" s="23" t="s">
        <v>15199</v>
      </c>
      <c r="Q1086" s="23" t="s">
        <v>15204</v>
      </c>
      <c r="R1086" s="23" t="s">
        <v>15209</v>
      </c>
      <c r="S1086" s="23" t="s">
        <v>15214</v>
      </c>
      <c r="T1086" s="23" t="s">
        <v>15219</v>
      </c>
    </row>
    <row r="1087" spans="1:20" x14ac:dyDescent="0.2">
      <c r="A1087" s="23" t="s">
        <v>92</v>
      </c>
      <c r="C1087" s="23" t="s">
        <v>6818</v>
      </c>
      <c r="D1087" s="23" t="s">
        <v>6819</v>
      </c>
      <c r="E1087" s="23" t="s">
        <v>6820</v>
      </c>
      <c r="G1087" s="23" t="s">
        <v>6821</v>
      </c>
      <c r="K1087" s="23" t="s">
        <v>6822</v>
      </c>
      <c r="L1087" s="23" t="s">
        <v>6823</v>
      </c>
    </row>
    <row r="1088" spans="1:20" x14ac:dyDescent="0.2">
      <c r="A1088" s="23" t="s">
        <v>92</v>
      </c>
      <c r="C1088" s="23" t="s">
        <v>6848</v>
      </c>
      <c r="D1088" s="23" t="s">
        <v>6849</v>
      </c>
      <c r="E1088" s="23" t="s">
        <v>6850</v>
      </c>
      <c r="G1088" s="23" t="s">
        <v>6851</v>
      </c>
      <c r="K1088" s="23" t="s">
        <v>6852</v>
      </c>
      <c r="L1088" s="23" t="s">
        <v>6853</v>
      </c>
      <c r="M1088" s="23" t="s">
        <v>6854</v>
      </c>
      <c r="N1088" s="23" t="s">
        <v>6855</v>
      </c>
      <c r="T1088" s="23" t="s">
        <v>6856</v>
      </c>
    </row>
    <row r="1089" spans="1:20" x14ac:dyDescent="0.2">
      <c r="A1089" s="23" t="s">
        <v>92</v>
      </c>
      <c r="C1089" s="23" t="s">
        <v>6857</v>
      </c>
      <c r="D1089" s="23" t="s">
        <v>6858</v>
      </c>
      <c r="E1089" s="23" t="s">
        <v>6859</v>
      </c>
      <c r="G1089" s="23" t="s">
        <v>6860</v>
      </c>
      <c r="K1089" s="23" t="s">
        <v>6861</v>
      </c>
      <c r="L1089" s="23" t="s">
        <v>6862</v>
      </c>
      <c r="M1089" s="23" t="s">
        <v>6863</v>
      </c>
      <c r="N1089" s="23" t="s">
        <v>6864</v>
      </c>
    </row>
    <row r="1090" spans="1:20" x14ac:dyDescent="0.2">
      <c r="A1090" s="23" t="s">
        <v>92</v>
      </c>
      <c r="C1090" s="23" t="s">
        <v>6865</v>
      </c>
      <c r="D1090" s="23" t="s">
        <v>6866</v>
      </c>
      <c r="E1090" s="23" t="s">
        <v>6867</v>
      </c>
      <c r="G1090" s="23" t="s">
        <v>6868</v>
      </c>
      <c r="K1090" s="23" t="s">
        <v>6869</v>
      </c>
      <c r="L1090" s="23" t="s">
        <v>6870</v>
      </c>
      <c r="O1090" s="23" t="s">
        <v>12076</v>
      </c>
      <c r="P1090" s="23" t="s">
        <v>6871</v>
      </c>
      <c r="Q1090" s="23" t="s">
        <v>6872</v>
      </c>
      <c r="R1090" s="23" t="s">
        <v>6873</v>
      </c>
      <c r="S1090" s="23" t="s">
        <v>6874</v>
      </c>
      <c r="T1090" s="23" t="s">
        <v>6875</v>
      </c>
    </row>
    <row r="1091" spans="1:20" x14ac:dyDescent="0.2">
      <c r="A1091" s="23" t="s">
        <v>92</v>
      </c>
      <c r="C1091" s="23" t="s">
        <v>6876</v>
      </c>
      <c r="D1091" s="23" t="s">
        <v>6877</v>
      </c>
      <c r="E1091" s="23" t="s">
        <v>6878</v>
      </c>
      <c r="G1091" s="23" t="s">
        <v>6879</v>
      </c>
      <c r="K1091" s="23" t="s">
        <v>6880</v>
      </c>
      <c r="L1091" s="23" t="s">
        <v>6881</v>
      </c>
      <c r="O1091" s="23" t="s">
        <v>12077</v>
      </c>
      <c r="P1091" s="23" t="s">
        <v>15170</v>
      </c>
      <c r="Q1091" s="23" t="s">
        <v>15175</v>
      </c>
      <c r="R1091" s="23" t="s">
        <v>15180</v>
      </c>
      <c r="S1091" s="23" t="s">
        <v>15185</v>
      </c>
      <c r="T1091" s="23" t="s">
        <v>15190</v>
      </c>
    </row>
    <row r="1092" spans="1:20" x14ac:dyDescent="0.2">
      <c r="A1092" s="23" t="s">
        <v>92</v>
      </c>
      <c r="C1092" s="23" t="s">
        <v>6882</v>
      </c>
      <c r="D1092" s="23" t="s">
        <v>6883</v>
      </c>
      <c r="E1092" s="23" t="s">
        <v>6884</v>
      </c>
      <c r="G1092" s="23" t="s">
        <v>6885</v>
      </c>
      <c r="K1092" s="23" t="s">
        <v>6886</v>
      </c>
      <c r="L1092" s="23" t="s">
        <v>6887</v>
      </c>
      <c r="O1092" s="23" t="s">
        <v>12078</v>
      </c>
      <c r="P1092" s="23" t="s">
        <v>15171</v>
      </c>
      <c r="Q1092" s="23" t="s">
        <v>15176</v>
      </c>
      <c r="R1092" s="23" t="s">
        <v>15181</v>
      </c>
      <c r="S1092" s="23" t="s">
        <v>15186</v>
      </c>
      <c r="T1092" s="23" t="s">
        <v>15191</v>
      </c>
    </row>
    <row r="1093" spans="1:20" x14ac:dyDescent="0.2">
      <c r="A1093" s="23" t="s">
        <v>92</v>
      </c>
      <c r="C1093" s="23" t="s">
        <v>6888</v>
      </c>
      <c r="D1093" s="23" t="s">
        <v>6889</v>
      </c>
      <c r="E1093" s="23" t="s">
        <v>6890</v>
      </c>
      <c r="G1093" s="23" t="s">
        <v>6891</v>
      </c>
      <c r="K1093" s="23" t="s">
        <v>6892</v>
      </c>
      <c r="L1093" s="23" t="s">
        <v>6893</v>
      </c>
      <c r="O1093" s="23" t="s">
        <v>11554</v>
      </c>
      <c r="P1093" s="23" t="s">
        <v>15172</v>
      </c>
      <c r="Q1093" s="23" t="s">
        <v>15177</v>
      </c>
      <c r="R1093" s="23" t="s">
        <v>15182</v>
      </c>
      <c r="S1093" s="23" t="s">
        <v>15187</v>
      </c>
      <c r="T1093" s="23" t="s">
        <v>15192</v>
      </c>
    </row>
    <row r="1094" spans="1:20" x14ac:dyDescent="0.2">
      <c r="A1094" s="23" t="s">
        <v>92</v>
      </c>
      <c r="C1094" s="23" t="s">
        <v>6894</v>
      </c>
      <c r="D1094" s="23" t="s">
        <v>6895</v>
      </c>
      <c r="E1094" s="23" t="s">
        <v>6896</v>
      </c>
      <c r="G1094" s="23" t="s">
        <v>6897</v>
      </c>
      <c r="K1094" s="23" t="s">
        <v>6898</v>
      </c>
      <c r="L1094" s="23" t="s">
        <v>6899</v>
      </c>
      <c r="O1094" s="23" t="s">
        <v>11588</v>
      </c>
      <c r="P1094" s="23" t="s">
        <v>15173</v>
      </c>
      <c r="Q1094" s="23" t="s">
        <v>15178</v>
      </c>
      <c r="R1094" s="23" t="s">
        <v>15183</v>
      </c>
      <c r="S1094" s="23" t="s">
        <v>15188</v>
      </c>
      <c r="T1094" s="23" t="s">
        <v>15193</v>
      </c>
    </row>
    <row r="1095" spans="1:20" x14ac:dyDescent="0.2">
      <c r="A1095" s="23" t="s">
        <v>92</v>
      </c>
      <c r="C1095" s="23" t="s">
        <v>6900</v>
      </c>
      <c r="D1095" s="23" t="s">
        <v>6901</v>
      </c>
      <c r="E1095" s="23" t="s">
        <v>6902</v>
      </c>
      <c r="G1095" s="23" t="s">
        <v>6903</v>
      </c>
      <c r="K1095" s="23" t="s">
        <v>6904</v>
      </c>
      <c r="L1095" s="23" t="s">
        <v>6905</v>
      </c>
      <c r="O1095" s="23" t="s">
        <v>12079</v>
      </c>
      <c r="P1095" s="23" t="s">
        <v>15174</v>
      </c>
      <c r="Q1095" s="23" t="s">
        <v>15179</v>
      </c>
      <c r="R1095" s="23" t="s">
        <v>15184</v>
      </c>
      <c r="S1095" s="23" t="s">
        <v>15189</v>
      </c>
      <c r="T1095" s="23" t="s">
        <v>15194</v>
      </c>
    </row>
    <row r="1096" spans="1:20" x14ac:dyDescent="0.2">
      <c r="A1096" s="23" t="s">
        <v>92</v>
      </c>
      <c r="C1096" s="23" t="s">
        <v>6876</v>
      </c>
      <c r="D1096" s="23" t="s">
        <v>6877</v>
      </c>
      <c r="E1096" s="23" t="s">
        <v>6878</v>
      </c>
      <c r="G1096" s="23" t="s">
        <v>6879</v>
      </c>
      <c r="K1096" s="23" t="s">
        <v>6880</v>
      </c>
      <c r="L1096" s="23" t="s">
        <v>6881</v>
      </c>
    </row>
    <row r="1097" spans="1:20" x14ac:dyDescent="0.2">
      <c r="A1097" s="23" t="s">
        <v>92</v>
      </c>
      <c r="C1097" s="23" t="s">
        <v>6906</v>
      </c>
      <c r="D1097" s="23" t="s">
        <v>6907</v>
      </c>
      <c r="E1097" s="23" t="s">
        <v>6908</v>
      </c>
      <c r="G1097" s="23" t="s">
        <v>6909</v>
      </c>
      <c r="K1097" s="23" t="s">
        <v>6910</v>
      </c>
      <c r="L1097" s="23" t="s">
        <v>6911</v>
      </c>
      <c r="M1097" s="23" t="s">
        <v>6912</v>
      </c>
      <c r="N1097" s="23" t="s">
        <v>6913</v>
      </c>
      <c r="T1097" s="23" t="s">
        <v>6914</v>
      </c>
    </row>
    <row r="1098" spans="1:20" x14ac:dyDescent="0.2">
      <c r="A1098" s="23" t="s">
        <v>92</v>
      </c>
      <c r="C1098" s="23" t="s">
        <v>6619</v>
      </c>
      <c r="D1098" s="23" t="s">
        <v>6620</v>
      </c>
      <c r="E1098" s="23" t="s">
        <v>6621</v>
      </c>
      <c r="G1098" s="23" t="s">
        <v>6622</v>
      </c>
    </row>
    <row r="1099" spans="1:20" x14ac:dyDescent="0.2">
      <c r="A1099" s="23" t="s">
        <v>92</v>
      </c>
      <c r="C1099" s="23" t="s">
        <v>6915</v>
      </c>
      <c r="D1099" s="23" t="s">
        <v>6916</v>
      </c>
      <c r="E1099" s="23" t="s">
        <v>6917</v>
      </c>
      <c r="G1099" s="23" t="s">
        <v>6918</v>
      </c>
      <c r="H1099" s="23" t="s">
        <v>6919</v>
      </c>
      <c r="I1099" s="23" t="s">
        <v>6920</v>
      </c>
      <c r="J1099" s="23" t="s">
        <v>6921</v>
      </c>
      <c r="T1099" s="23" t="s">
        <v>6922</v>
      </c>
    </row>
    <row r="1100" spans="1:20" x14ac:dyDescent="0.2">
      <c r="A1100" s="23" t="s">
        <v>92</v>
      </c>
      <c r="C1100" s="23" t="s">
        <v>6923</v>
      </c>
      <c r="D1100" s="23" t="s">
        <v>6924</v>
      </c>
      <c r="E1100" s="23" t="s">
        <v>6925</v>
      </c>
      <c r="G1100" s="23" t="s">
        <v>6926</v>
      </c>
      <c r="H1100" s="23" t="s">
        <v>6927</v>
      </c>
      <c r="I1100" s="23" t="s">
        <v>6928</v>
      </c>
      <c r="J1100" s="23" t="s">
        <v>6929</v>
      </c>
    </row>
    <row r="1101" spans="1:20" x14ac:dyDescent="0.2">
      <c r="A1101" s="23" t="s">
        <v>92</v>
      </c>
      <c r="C1101" s="23" t="s">
        <v>6930</v>
      </c>
      <c r="D1101" s="23" t="s">
        <v>6931</v>
      </c>
      <c r="E1101" s="23" t="s">
        <v>6932</v>
      </c>
      <c r="G1101" s="23" t="s">
        <v>6933</v>
      </c>
      <c r="K1101" s="23" t="s">
        <v>6934</v>
      </c>
      <c r="L1101" s="23" t="s">
        <v>6935</v>
      </c>
      <c r="M1101" s="23" t="s">
        <v>12080</v>
      </c>
      <c r="N1101" s="23" t="s">
        <v>6936</v>
      </c>
    </row>
    <row r="1102" spans="1:20" x14ac:dyDescent="0.2">
      <c r="A1102" s="23" t="s">
        <v>92</v>
      </c>
      <c r="C1102" s="23" t="s">
        <v>6937</v>
      </c>
      <c r="D1102" s="23" t="s">
        <v>6938</v>
      </c>
      <c r="E1102" s="23" t="s">
        <v>6939</v>
      </c>
      <c r="G1102" s="23" t="s">
        <v>6940</v>
      </c>
      <c r="K1102" s="23" t="s">
        <v>6941</v>
      </c>
      <c r="L1102" s="23" t="s">
        <v>6942</v>
      </c>
      <c r="O1102" s="23" t="s">
        <v>12081</v>
      </c>
      <c r="P1102" s="23" t="s">
        <v>6943</v>
      </c>
      <c r="Q1102" s="23" t="s">
        <v>6944</v>
      </c>
      <c r="R1102" s="23" t="s">
        <v>6945</v>
      </c>
      <c r="S1102" s="23" t="s">
        <v>6946</v>
      </c>
      <c r="T1102" s="23" t="s">
        <v>6947</v>
      </c>
    </row>
    <row r="1103" spans="1:20" x14ac:dyDescent="0.2">
      <c r="A1103" s="23" t="s">
        <v>92</v>
      </c>
      <c r="C1103" s="23" t="s">
        <v>6948</v>
      </c>
      <c r="D1103" s="23" t="s">
        <v>6949</v>
      </c>
      <c r="E1103" s="23" t="s">
        <v>6950</v>
      </c>
      <c r="G1103" s="23" t="s">
        <v>6951</v>
      </c>
      <c r="K1103" s="23" t="s">
        <v>6952</v>
      </c>
      <c r="L1103" s="23" t="s">
        <v>6953</v>
      </c>
      <c r="O1103" s="23" t="s">
        <v>12082</v>
      </c>
      <c r="P1103" s="23" t="s">
        <v>14995</v>
      </c>
      <c r="Q1103" s="23" t="s">
        <v>15000</v>
      </c>
      <c r="R1103" s="23" t="s">
        <v>15005</v>
      </c>
      <c r="S1103" s="23" t="s">
        <v>15010</v>
      </c>
      <c r="T1103" s="23" t="s">
        <v>15015</v>
      </c>
    </row>
    <row r="1104" spans="1:20" x14ac:dyDescent="0.2">
      <c r="A1104" s="23" t="s">
        <v>92</v>
      </c>
      <c r="C1104" s="23" t="s">
        <v>6954</v>
      </c>
      <c r="D1104" s="23" t="s">
        <v>6955</v>
      </c>
      <c r="E1104" s="23" t="s">
        <v>6956</v>
      </c>
      <c r="G1104" s="23" t="s">
        <v>6957</v>
      </c>
      <c r="K1104" s="23" t="s">
        <v>6958</v>
      </c>
      <c r="L1104" s="23" t="s">
        <v>6959</v>
      </c>
      <c r="O1104" s="23" t="s">
        <v>12083</v>
      </c>
      <c r="P1104" s="23" t="s">
        <v>14996</v>
      </c>
      <c r="Q1104" s="23" t="s">
        <v>15001</v>
      </c>
      <c r="R1104" s="23" t="s">
        <v>15006</v>
      </c>
      <c r="S1104" s="23" t="s">
        <v>15011</v>
      </c>
      <c r="T1104" s="23" t="s">
        <v>15016</v>
      </c>
    </row>
    <row r="1105" spans="1:20" x14ac:dyDescent="0.2">
      <c r="A1105" s="23" t="s">
        <v>92</v>
      </c>
      <c r="C1105" s="23" t="s">
        <v>6960</v>
      </c>
      <c r="D1105" s="23" t="s">
        <v>6961</v>
      </c>
      <c r="E1105" s="23" t="s">
        <v>6962</v>
      </c>
      <c r="G1105" s="23" t="s">
        <v>6963</v>
      </c>
      <c r="K1105" s="23" t="s">
        <v>6964</v>
      </c>
      <c r="L1105" s="23" t="s">
        <v>6965</v>
      </c>
      <c r="O1105" s="23" t="s">
        <v>11517</v>
      </c>
      <c r="P1105" s="23" t="s">
        <v>14997</v>
      </c>
      <c r="Q1105" s="23" t="s">
        <v>15002</v>
      </c>
      <c r="R1105" s="23" t="s">
        <v>15007</v>
      </c>
      <c r="S1105" s="23" t="s">
        <v>15012</v>
      </c>
      <c r="T1105" s="23" t="s">
        <v>15017</v>
      </c>
    </row>
    <row r="1106" spans="1:20" x14ac:dyDescent="0.2">
      <c r="A1106" s="23" t="s">
        <v>92</v>
      </c>
      <c r="C1106" s="23" t="s">
        <v>6966</v>
      </c>
      <c r="D1106" s="23" t="s">
        <v>6967</v>
      </c>
      <c r="E1106" s="23" t="s">
        <v>6968</v>
      </c>
      <c r="G1106" s="23" t="s">
        <v>6969</v>
      </c>
      <c r="K1106" s="23" t="s">
        <v>6970</v>
      </c>
      <c r="L1106" s="23" t="s">
        <v>6971</v>
      </c>
      <c r="O1106" s="23" t="s">
        <v>11562</v>
      </c>
      <c r="P1106" s="23" t="s">
        <v>14998</v>
      </c>
      <c r="Q1106" s="23" t="s">
        <v>15003</v>
      </c>
      <c r="R1106" s="23" t="s">
        <v>15008</v>
      </c>
      <c r="S1106" s="23" t="s">
        <v>15013</v>
      </c>
      <c r="T1106" s="23" t="s">
        <v>15018</v>
      </c>
    </row>
    <row r="1107" spans="1:20" x14ac:dyDescent="0.2">
      <c r="A1107" s="23" t="s">
        <v>92</v>
      </c>
      <c r="C1107" s="23" t="s">
        <v>6972</v>
      </c>
      <c r="D1107" s="23" t="s">
        <v>6973</v>
      </c>
      <c r="E1107" s="23" t="s">
        <v>6974</v>
      </c>
      <c r="G1107" s="23" t="s">
        <v>6975</v>
      </c>
      <c r="K1107" s="23" t="s">
        <v>6976</v>
      </c>
      <c r="L1107" s="23" t="s">
        <v>6977</v>
      </c>
      <c r="O1107" s="23" t="s">
        <v>12084</v>
      </c>
      <c r="P1107" s="23" t="s">
        <v>14999</v>
      </c>
      <c r="Q1107" s="23" t="s">
        <v>15004</v>
      </c>
      <c r="R1107" s="23" t="s">
        <v>15009</v>
      </c>
      <c r="S1107" s="23" t="s">
        <v>15014</v>
      </c>
      <c r="T1107" s="23" t="s">
        <v>15019</v>
      </c>
    </row>
    <row r="1108" spans="1:20" x14ac:dyDescent="0.2">
      <c r="A1108" s="23" t="s">
        <v>92</v>
      </c>
      <c r="C1108" s="23" t="s">
        <v>6948</v>
      </c>
      <c r="D1108" s="23" t="s">
        <v>6949</v>
      </c>
      <c r="E1108" s="23" t="s">
        <v>6950</v>
      </c>
      <c r="G1108" s="23" t="s">
        <v>6951</v>
      </c>
      <c r="K1108" s="23" t="s">
        <v>6952</v>
      </c>
      <c r="L1108" s="23" t="s">
        <v>6953</v>
      </c>
    </row>
    <row r="1109" spans="1:20" x14ac:dyDescent="0.2">
      <c r="A1109" s="23" t="s">
        <v>92</v>
      </c>
      <c r="C1109" s="23" t="s">
        <v>6978</v>
      </c>
      <c r="D1109" s="23" t="s">
        <v>6979</v>
      </c>
      <c r="E1109" s="23" t="s">
        <v>6980</v>
      </c>
      <c r="G1109" s="23" t="s">
        <v>6981</v>
      </c>
      <c r="K1109" s="23" t="s">
        <v>6982</v>
      </c>
      <c r="L1109" s="23" t="s">
        <v>6983</v>
      </c>
      <c r="M1109" s="23" t="s">
        <v>6984</v>
      </c>
      <c r="N1109" s="23" t="s">
        <v>6985</v>
      </c>
      <c r="T1109" s="23" t="s">
        <v>6986</v>
      </c>
    </row>
    <row r="1110" spans="1:20" x14ac:dyDescent="0.2">
      <c r="A1110" s="23" t="s">
        <v>92</v>
      </c>
      <c r="C1110" s="23" t="s">
        <v>6987</v>
      </c>
      <c r="D1110" s="23" t="s">
        <v>6988</v>
      </c>
      <c r="E1110" s="23" t="s">
        <v>6989</v>
      </c>
      <c r="G1110" s="23" t="s">
        <v>6990</v>
      </c>
      <c r="K1110" s="23" t="s">
        <v>6991</v>
      </c>
      <c r="L1110" s="23" t="s">
        <v>6992</v>
      </c>
      <c r="M1110" s="23" t="s">
        <v>6993</v>
      </c>
      <c r="N1110" s="23" t="s">
        <v>6994</v>
      </c>
    </row>
    <row r="1111" spans="1:20" x14ac:dyDescent="0.2">
      <c r="A1111" s="23" t="s">
        <v>92</v>
      </c>
      <c r="C1111" s="23" t="s">
        <v>6995</v>
      </c>
      <c r="D1111" s="23" t="s">
        <v>6996</v>
      </c>
      <c r="E1111" s="23" t="s">
        <v>6997</v>
      </c>
      <c r="G1111" s="23" t="s">
        <v>6998</v>
      </c>
      <c r="K1111" s="23" t="s">
        <v>6999</v>
      </c>
      <c r="L1111" s="23" t="s">
        <v>7000</v>
      </c>
      <c r="O1111" s="23" t="s">
        <v>12085</v>
      </c>
      <c r="P1111" s="23" t="s">
        <v>7001</v>
      </c>
      <c r="Q1111" s="23" t="s">
        <v>7002</v>
      </c>
      <c r="R1111" s="23" t="s">
        <v>7003</v>
      </c>
      <c r="S1111" s="23" t="s">
        <v>7004</v>
      </c>
      <c r="T1111" s="23" t="s">
        <v>7005</v>
      </c>
    </row>
    <row r="1112" spans="1:20" x14ac:dyDescent="0.2">
      <c r="A1112" s="23" t="s">
        <v>92</v>
      </c>
      <c r="C1112" s="23" t="s">
        <v>7006</v>
      </c>
      <c r="D1112" s="23" t="s">
        <v>7007</v>
      </c>
      <c r="E1112" s="23" t="s">
        <v>7008</v>
      </c>
      <c r="G1112" s="23" t="s">
        <v>7009</v>
      </c>
      <c r="K1112" s="23" t="s">
        <v>7010</v>
      </c>
      <c r="L1112" s="23" t="s">
        <v>7011</v>
      </c>
      <c r="O1112" s="23" t="s">
        <v>12086</v>
      </c>
      <c r="P1112" s="23" t="s">
        <v>15120</v>
      </c>
      <c r="Q1112" s="23" t="s">
        <v>15125</v>
      </c>
      <c r="R1112" s="23" t="s">
        <v>15130</v>
      </c>
      <c r="S1112" s="23" t="s">
        <v>15135</v>
      </c>
      <c r="T1112" s="23" t="s">
        <v>15140</v>
      </c>
    </row>
    <row r="1113" spans="1:20" x14ac:dyDescent="0.2">
      <c r="A1113" s="23" t="s">
        <v>92</v>
      </c>
      <c r="C1113" s="23" t="s">
        <v>7012</v>
      </c>
      <c r="D1113" s="23" t="s">
        <v>7013</v>
      </c>
      <c r="E1113" s="23" t="s">
        <v>7014</v>
      </c>
      <c r="G1113" s="23" t="s">
        <v>7015</v>
      </c>
      <c r="K1113" s="23" t="s">
        <v>7016</v>
      </c>
      <c r="L1113" s="23" t="s">
        <v>7017</v>
      </c>
      <c r="O1113" s="23" t="s">
        <v>12087</v>
      </c>
      <c r="P1113" s="23" t="s">
        <v>15121</v>
      </c>
      <c r="Q1113" s="23" t="s">
        <v>15126</v>
      </c>
      <c r="R1113" s="23" t="s">
        <v>15131</v>
      </c>
      <c r="S1113" s="23" t="s">
        <v>15136</v>
      </c>
      <c r="T1113" s="23" t="s">
        <v>15141</v>
      </c>
    </row>
    <row r="1114" spans="1:20" x14ac:dyDescent="0.2">
      <c r="A1114" s="23" t="s">
        <v>92</v>
      </c>
      <c r="C1114" s="23" t="s">
        <v>7018</v>
      </c>
      <c r="D1114" s="23" t="s">
        <v>7019</v>
      </c>
      <c r="E1114" s="23" t="s">
        <v>7020</v>
      </c>
      <c r="G1114" s="23" t="s">
        <v>7021</v>
      </c>
      <c r="K1114" s="23" t="s">
        <v>7022</v>
      </c>
      <c r="L1114" s="23" t="s">
        <v>7023</v>
      </c>
      <c r="O1114" s="23" t="s">
        <v>11524</v>
      </c>
      <c r="P1114" s="23" t="s">
        <v>15122</v>
      </c>
      <c r="Q1114" s="23" t="s">
        <v>15127</v>
      </c>
      <c r="R1114" s="23" t="s">
        <v>15132</v>
      </c>
      <c r="S1114" s="23" t="s">
        <v>15137</v>
      </c>
      <c r="T1114" s="23" t="s">
        <v>15142</v>
      </c>
    </row>
    <row r="1115" spans="1:20" x14ac:dyDescent="0.2">
      <c r="A1115" s="23" t="s">
        <v>92</v>
      </c>
      <c r="C1115" s="23" t="s">
        <v>7024</v>
      </c>
      <c r="D1115" s="23" t="s">
        <v>7025</v>
      </c>
      <c r="E1115" s="23" t="s">
        <v>7026</v>
      </c>
      <c r="G1115" s="23" t="s">
        <v>7027</v>
      </c>
      <c r="K1115" s="23" t="s">
        <v>7028</v>
      </c>
      <c r="L1115" s="23" t="s">
        <v>7029</v>
      </c>
      <c r="O1115" s="23" t="s">
        <v>11567</v>
      </c>
      <c r="P1115" s="23" t="s">
        <v>15123</v>
      </c>
      <c r="Q1115" s="23" t="s">
        <v>15128</v>
      </c>
      <c r="R1115" s="23" t="s">
        <v>15133</v>
      </c>
      <c r="S1115" s="23" t="s">
        <v>15138</v>
      </c>
      <c r="T1115" s="23" t="s">
        <v>15143</v>
      </c>
    </row>
    <row r="1116" spans="1:20" x14ac:dyDescent="0.2">
      <c r="A1116" s="23" t="s">
        <v>92</v>
      </c>
      <c r="C1116" s="23" t="s">
        <v>7030</v>
      </c>
      <c r="D1116" s="23" t="s">
        <v>7031</v>
      </c>
      <c r="E1116" s="23" t="s">
        <v>7032</v>
      </c>
      <c r="G1116" s="23" t="s">
        <v>7033</v>
      </c>
      <c r="K1116" s="23" t="s">
        <v>7034</v>
      </c>
      <c r="L1116" s="23" t="s">
        <v>7035</v>
      </c>
      <c r="O1116" s="23" t="s">
        <v>12088</v>
      </c>
      <c r="P1116" s="23" t="s">
        <v>15124</v>
      </c>
      <c r="Q1116" s="23" t="s">
        <v>15129</v>
      </c>
      <c r="R1116" s="23" t="s">
        <v>15134</v>
      </c>
      <c r="S1116" s="23" t="s">
        <v>15139</v>
      </c>
      <c r="T1116" s="23" t="s">
        <v>15144</v>
      </c>
    </row>
    <row r="1117" spans="1:20" x14ac:dyDescent="0.2">
      <c r="A1117" s="23" t="s">
        <v>92</v>
      </c>
      <c r="C1117" s="23" t="s">
        <v>7006</v>
      </c>
      <c r="D1117" s="23" t="s">
        <v>7007</v>
      </c>
      <c r="E1117" s="23" t="s">
        <v>7008</v>
      </c>
      <c r="G1117" s="23" t="s">
        <v>7009</v>
      </c>
      <c r="K1117" s="23" t="s">
        <v>7010</v>
      </c>
      <c r="L1117" s="23" t="s">
        <v>7011</v>
      </c>
    </row>
    <row r="1118" spans="1:20" x14ac:dyDescent="0.2">
      <c r="A1118" s="23" t="s">
        <v>92</v>
      </c>
      <c r="C1118" s="23" t="s">
        <v>7036</v>
      </c>
      <c r="D1118" s="23" t="s">
        <v>7037</v>
      </c>
      <c r="E1118" s="23" t="s">
        <v>7038</v>
      </c>
      <c r="G1118" s="23" t="s">
        <v>7039</v>
      </c>
      <c r="K1118" s="23" t="s">
        <v>7040</v>
      </c>
      <c r="L1118" s="23" t="s">
        <v>7041</v>
      </c>
      <c r="M1118" s="23" t="s">
        <v>7042</v>
      </c>
      <c r="N1118" s="23" t="s">
        <v>7043</v>
      </c>
      <c r="T1118" s="23" t="s">
        <v>7044</v>
      </c>
    </row>
    <row r="1119" spans="1:20" x14ac:dyDescent="0.2">
      <c r="A1119" s="23" t="s">
        <v>92</v>
      </c>
      <c r="C1119" s="23" t="s">
        <v>7045</v>
      </c>
      <c r="D1119" s="23" t="s">
        <v>7046</v>
      </c>
      <c r="E1119" s="23" t="s">
        <v>7047</v>
      </c>
      <c r="G1119" s="23" t="s">
        <v>7048</v>
      </c>
      <c r="K1119" s="23" t="s">
        <v>7049</v>
      </c>
      <c r="L1119" s="23" t="s">
        <v>7050</v>
      </c>
      <c r="M1119" s="23" t="s">
        <v>7051</v>
      </c>
      <c r="N1119" s="23" t="s">
        <v>7052</v>
      </c>
    </row>
    <row r="1120" spans="1:20" x14ac:dyDescent="0.2">
      <c r="A1120" s="23" t="s">
        <v>92</v>
      </c>
      <c r="C1120" s="23" t="s">
        <v>7053</v>
      </c>
      <c r="D1120" s="23" t="s">
        <v>7054</v>
      </c>
      <c r="E1120" s="23" t="s">
        <v>7055</v>
      </c>
      <c r="G1120" s="23" t="s">
        <v>7056</v>
      </c>
      <c r="K1120" s="23" t="s">
        <v>7057</v>
      </c>
      <c r="L1120" s="23" t="s">
        <v>7058</v>
      </c>
      <c r="O1120" s="23" t="s">
        <v>12089</v>
      </c>
      <c r="P1120" s="23" t="s">
        <v>7059</v>
      </c>
      <c r="Q1120" s="23" t="s">
        <v>7060</v>
      </c>
      <c r="R1120" s="23" t="s">
        <v>7061</v>
      </c>
      <c r="S1120" s="23" t="s">
        <v>7062</v>
      </c>
      <c r="T1120" s="23" t="s">
        <v>7063</v>
      </c>
    </row>
    <row r="1121" spans="1:20" x14ac:dyDescent="0.2">
      <c r="A1121" s="23" t="s">
        <v>92</v>
      </c>
      <c r="C1121" s="23" t="s">
        <v>7064</v>
      </c>
      <c r="D1121" s="23" t="s">
        <v>7065</v>
      </c>
      <c r="E1121" s="23" t="s">
        <v>7066</v>
      </c>
      <c r="G1121" s="23" t="s">
        <v>7067</v>
      </c>
      <c r="K1121" s="23" t="s">
        <v>7068</v>
      </c>
      <c r="L1121" s="23" t="s">
        <v>7069</v>
      </c>
      <c r="O1121" s="23" t="s">
        <v>12090</v>
      </c>
      <c r="P1121" s="23" t="s">
        <v>15095</v>
      </c>
      <c r="Q1121" s="23" t="s">
        <v>15100</v>
      </c>
      <c r="R1121" s="23" t="s">
        <v>15105</v>
      </c>
      <c r="S1121" s="23" t="s">
        <v>15110</v>
      </c>
      <c r="T1121" s="23" t="s">
        <v>15115</v>
      </c>
    </row>
    <row r="1122" spans="1:20" x14ac:dyDescent="0.2">
      <c r="A1122" s="23" t="s">
        <v>92</v>
      </c>
      <c r="C1122" s="23" t="s">
        <v>7070</v>
      </c>
      <c r="D1122" s="23" t="s">
        <v>7071</v>
      </c>
      <c r="E1122" s="23" t="s">
        <v>7072</v>
      </c>
      <c r="G1122" s="23" t="s">
        <v>7073</v>
      </c>
      <c r="K1122" s="23" t="s">
        <v>7074</v>
      </c>
      <c r="L1122" s="23" t="s">
        <v>7075</v>
      </c>
      <c r="O1122" s="23" t="s">
        <v>12091</v>
      </c>
      <c r="P1122" s="23" t="s">
        <v>15096</v>
      </c>
      <c r="Q1122" s="23" t="s">
        <v>15101</v>
      </c>
      <c r="R1122" s="23" t="s">
        <v>15106</v>
      </c>
      <c r="S1122" s="23" t="s">
        <v>15111</v>
      </c>
      <c r="T1122" s="23" t="s">
        <v>15116</v>
      </c>
    </row>
    <row r="1123" spans="1:20" x14ac:dyDescent="0.2">
      <c r="A1123" s="23" t="s">
        <v>92</v>
      </c>
      <c r="C1123" s="23" t="s">
        <v>7076</v>
      </c>
      <c r="D1123" s="23" t="s">
        <v>7077</v>
      </c>
      <c r="E1123" s="23" t="s">
        <v>7078</v>
      </c>
      <c r="G1123" s="23" t="s">
        <v>7079</v>
      </c>
      <c r="K1123" s="23" t="s">
        <v>7080</v>
      </c>
      <c r="L1123" s="23" t="s">
        <v>7081</v>
      </c>
      <c r="O1123" s="23" t="s">
        <v>11531</v>
      </c>
      <c r="P1123" s="23" t="s">
        <v>15097</v>
      </c>
      <c r="Q1123" s="23" t="s">
        <v>15102</v>
      </c>
      <c r="R1123" s="23" t="s">
        <v>15107</v>
      </c>
      <c r="S1123" s="23" t="s">
        <v>15112</v>
      </c>
      <c r="T1123" s="23" t="s">
        <v>15117</v>
      </c>
    </row>
    <row r="1124" spans="1:20" x14ac:dyDescent="0.2">
      <c r="A1124" s="23" t="s">
        <v>92</v>
      </c>
      <c r="C1124" s="23" t="s">
        <v>7082</v>
      </c>
      <c r="D1124" s="23" t="s">
        <v>7083</v>
      </c>
      <c r="E1124" s="23" t="s">
        <v>7084</v>
      </c>
      <c r="G1124" s="23" t="s">
        <v>7085</v>
      </c>
      <c r="K1124" s="23" t="s">
        <v>7086</v>
      </c>
      <c r="L1124" s="23" t="s">
        <v>7087</v>
      </c>
      <c r="O1124" s="23" t="s">
        <v>11573</v>
      </c>
      <c r="P1124" s="23" t="s">
        <v>15098</v>
      </c>
      <c r="Q1124" s="23" t="s">
        <v>15103</v>
      </c>
      <c r="R1124" s="23" t="s">
        <v>15108</v>
      </c>
      <c r="S1124" s="23" t="s">
        <v>15113</v>
      </c>
      <c r="T1124" s="23" t="s">
        <v>15118</v>
      </c>
    </row>
    <row r="1125" spans="1:20" x14ac:dyDescent="0.2">
      <c r="A1125" s="23" t="s">
        <v>92</v>
      </c>
      <c r="C1125" s="23" t="s">
        <v>7088</v>
      </c>
      <c r="D1125" s="23" t="s">
        <v>7089</v>
      </c>
      <c r="E1125" s="23" t="s">
        <v>7090</v>
      </c>
      <c r="G1125" s="23" t="s">
        <v>7091</v>
      </c>
      <c r="K1125" s="23" t="s">
        <v>7092</v>
      </c>
      <c r="L1125" s="23" t="s">
        <v>7093</v>
      </c>
      <c r="O1125" s="23" t="s">
        <v>12092</v>
      </c>
      <c r="P1125" s="23" t="s">
        <v>15099</v>
      </c>
      <c r="Q1125" s="23" t="s">
        <v>15104</v>
      </c>
      <c r="R1125" s="23" t="s">
        <v>15109</v>
      </c>
      <c r="S1125" s="23" t="s">
        <v>15114</v>
      </c>
      <c r="T1125" s="23" t="s">
        <v>15119</v>
      </c>
    </row>
    <row r="1126" spans="1:20" x14ac:dyDescent="0.2">
      <c r="A1126" s="23" t="s">
        <v>92</v>
      </c>
      <c r="C1126" s="23" t="s">
        <v>7064</v>
      </c>
      <c r="D1126" s="23" t="s">
        <v>7065</v>
      </c>
      <c r="E1126" s="23" t="s">
        <v>7066</v>
      </c>
      <c r="G1126" s="23" t="s">
        <v>7067</v>
      </c>
      <c r="K1126" s="23" t="s">
        <v>7068</v>
      </c>
      <c r="L1126" s="23" t="s">
        <v>7069</v>
      </c>
    </row>
    <row r="1127" spans="1:20" x14ac:dyDescent="0.2">
      <c r="A1127" s="23" t="s">
        <v>92</v>
      </c>
      <c r="C1127" s="23" t="s">
        <v>7094</v>
      </c>
      <c r="D1127" s="23" t="s">
        <v>7095</v>
      </c>
      <c r="E1127" s="23" t="s">
        <v>7096</v>
      </c>
      <c r="G1127" s="23" t="s">
        <v>7097</v>
      </c>
      <c r="K1127" s="23" t="s">
        <v>7098</v>
      </c>
      <c r="L1127" s="23" t="s">
        <v>7099</v>
      </c>
      <c r="M1127" s="23" t="s">
        <v>7100</v>
      </c>
      <c r="N1127" s="23" t="s">
        <v>7101</v>
      </c>
      <c r="T1127" s="23" t="s">
        <v>7102</v>
      </c>
    </row>
    <row r="1128" spans="1:20" x14ac:dyDescent="0.2">
      <c r="A1128" s="23" t="s">
        <v>92</v>
      </c>
      <c r="C1128" s="23" t="s">
        <v>7103</v>
      </c>
      <c r="D1128" s="23" t="s">
        <v>7104</v>
      </c>
      <c r="E1128" s="23" t="s">
        <v>7105</v>
      </c>
      <c r="G1128" s="23" t="s">
        <v>7106</v>
      </c>
      <c r="K1128" s="23" t="s">
        <v>7107</v>
      </c>
      <c r="L1128" s="23" t="s">
        <v>7108</v>
      </c>
      <c r="M1128" s="23" t="s">
        <v>7109</v>
      </c>
      <c r="N1128" s="23" t="s">
        <v>7110</v>
      </c>
    </row>
    <row r="1129" spans="1:20" x14ac:dyDescent="0.2">
      <c r="A1129" s="23" t="s">
        <v>92</v>
      </c>
      <c r="C1129" s="23" t="s">
        <v>7111</v>
      </c>
      <c r="D1129" s="23" t="s">
        <v>7112</v>
      </c>
      <c r="E1129" s="23" t="s">
        <v>7113</v>
      </c>
      <c r="G1129" s="23" t="s">
        <v>7114</v>
      </c>
      <c r="K1129" s="23" t="s">
        <v>7115</v>
      </c>
      <c r="L1129" s="23" t="s">
        <v>7116</v>
      </c>
      <c r="O1129" s="23" t="s">
        <v>12093</v>
      </c>
      <c r="P1129" s="23" t="s">
        <v>7117</v>
      </c>
      <c r="Q1129" s="23" t="s">
        <v>7118</v>
      </c>
      <c r="R1129" s="23" t="s">
        <v>7119</v>
      </c>
      <c r="S1129" s="23" t="s">
        <v>7120</v>
      </c>
      <c r="T1129" s="23" t="s">
        <v>7121</v>
      </c>
    </row>
    <row r="1130" spans="1:20" x14ac:dyDescent="0.2">
      <c r="A1130" s="23" t="s">
        <v>92</v>
      </c>
      <c r="C1130" s="23" t="s">
        <v>7122</v>
      </c>
      <c r="D1130" s="23" t="s">
        <v>7123</v>
      </c>
      <c r="E1130" s="23" t="s">
        <v>7124</v>
      </c>
      <c r="G1130" s="23" t="s">
        <v>7125</v>
      </c>
      <c r="K1130" s="23" t="s">
        <v>7126</v>
      </c>
      <c r="L1130" s="23" t="s">
        <v>7127</v>
      </c>
      <c r="O1130" s="23" t="s">
        <v>12094</v>
      </c>
      <c r="P1130" s="23" t="s">
        <v>15070</v>
      </c>
      <c r="Q1130" s="23" t="s">
        <v>15075</v>
      </c>
      <c r="R1130" s="23" t="s">
        <v>15080</v>
      </c>
      <c r="S1130" s="23" t="s">
        <v>15085</v>
      </c>
      <c r="T1130" s="23" t="s">
        <v>15090</v>
      </c>
    </row>
    <row r="1131" spans="1:20" x14ac:dyDescent="0.2">
      <c r="A1131" s="23" t="s">
        <v>92</v>
      </c>
      <c r="C1131" s="23" t="s">
        <v>7128</v>
      </c>
      <c r="D1131" s="23" t="s">
        <v>7129</v>
      </c>
      <c r="E1131" s="23" t="s">
        <v>7130</v>
      </c>
      <c r="G1131" s="23" t="s">
        <v>7131</v>
      </c>
      <c r="K1131" s="23" t="s">
        <v>7132</v>
      </c>
      <c r="L1131" s="23" t="s">
        <v>7133</v>
      </c>
      <c r="O1131" s="23" t="s">
        <v>12095</v>
      </c>
      <c r="P1131" s="23" t="s">
        <v>15071</v>
      </c>
      <c r="Q1131" s="23" t="s">
        <v>15076</v>
      </c>
      <c r="R1131" s="23" t="s">
        <v>15081</v>
      </c>
      <c r="S1131" s="23" t="s">
        <v>15086</v>
      </c>
      <c r="T1131" s="23" t="s">
        <v>15091</v>
      </c>
    </row>
    <row r="1132" spans="1:20" x14ac:dyDescent="0.2">
      <c r="A1132" s="23" t="s">
        <v>92</v>
      </c>
      <c r="C1132" s="23" t="s">
        <v>7134</v>
      </c>
      <c r="D1132" s="23" t="s">
        <v>7135</v>
      </c>
      <c r="E1132" s="23" t="s">
        <v>7136</v>
      </c>
      <c r="G1132" s="23" t="s">
        <v>7137</v>
      </c>
      <c r="K1132" s="23" t="s">
        <v>7138</v>
      </c>
      <c r="L1132" s="23" t="s">
        <v>7139</v>
      </c>
      <c r="O1132" s="23" t="s">
        <v>11538</v>
      </c>
      <c r="P1132" s="23" t="s">
        <v>15072</v>
      </c>
      <c r="Q1132" s="23" t="s">
        <v>15077</v>
      </c>
      <c r="R1132" s="23" t="s">
        <v>15082</v>
      </c>
      <c r="S1132" s="23" t="s">
        <v>15087</v>
      </c>
      <c r="T1132" s="23" t="s">
        <v>15092</v>
      </c>
    </row>
    <row r="1133" spans="1:20" x14ac:dyDescent="0.2">
      <c r="A1133" s="23" t="s">
        <v>92</v>
      </c>
      <c r="C1133" s="23" t="s">
        <v>7140</v>
      </c>
      <c r="D1133" s="23" t="s">
        <v>7141</v>
      </c>
      <c r="E1133" s="23" t="s">
        <v>7142</v>
      </c>
      <c r="G1133" s="23" t="s">
        <v>7143</v>
      </c>
      <c r="K1133" s="23" t="s">
        <v>7144</v>
      </c>
      <c r="L1133" s="23" t="s">
        <v>7145</v>
      </c>
      <c r="O1133" s="23" t="s">
        <v>11578</v>
      </c>
      <c r="P1133" s="23" t="s">
        <v>15073</v>
      </c>
      <c r="Q1133" s="23" t="s">
        <v>15078</v>
      </c>
      <c r="R1133" s="23" t="s">
        <v>15083</v>
      </c>
      <c r="S1133" s="23" t="s">
        <v>15088</v>
      </c>
      <c r="T1133" s="23" t="s">
        <v>15093</v>
      </c>
    </row>
    <row r="1134" spans="1:20" x14ac:dyDescent="0.2">
      <c r="A1134" s="23" t="s">
        <v>92</v>
      </c>
      <c r="C1134" s="23" t="s">
        <v>7146</v>
      </c>
      <c r="D1134" s="23" t="s">
        <v>7147</v>
      </c>
      <c r="E1134" s="23" t="s">
        <v>7148</v>
      </c>
      <c r="G1134" s="23" t="s">
        <v>7149</v>
      </c>
      <c r="K1134" s="23" t="s">
        <v>7150</v>
      </c>
      <c r="L1134" s="23" t="s">
        <v>7151</v>
      </c>
      <c r="O1134" s="23" t="s">
        <v>12096</v>
      </c>
      <c r="P1134" s="23" t="s">
        <v>15074</v>
      </c>
      <c r="Q1134" s="23" t="s">
        <v>15079</v>
      </c>
      <c r="R1134" s="23" t="s">
        <v>15084</v>
      </c>
      <c r="S1134" s="23" t="s">
        <v>15089</v>
      </c>
      <c r="T1134" s="23" t="s">
        <v>15094</v>
      </c>
    </row>
    <row r="1135" spans="1:20" x14ac:dyDescent="0.2">
      <c r="A1135" s="23" t="s">
        <v>92</v>
      </c>
      <c r="C1135" s="23" t="s">
        <v>7122</v>
      </c>
      <c r="D1135" s="23" t="s">
        <v>7123</v>
      </c>
      <c r="E1135" s="23" t="s">
        <v>7124</v>
      </c>
      <c r="G1135" s="23" t="s">
        <v>7125</v>
      </c>
      <c r="K1135" s="23" t="s">
        <v>7126</v>
      </c>
      <c r="L1135" s="23" t="s">
        <v>7127</v>
      </c>
    </row>
    <row r="1136" spans="1:20" x14ac:dyDescent="0.2">
      <c r="A1136" s="23" t="s">
        <v>92</v>
      </c>
      <c r="C1136" s="23" t="s">
        <v>7152</v>
      </c>
      <c r="D1136" s="23" t="s">
        <v>7153</v>
      </c>
      <c r="E1136" s="23" t="s">
        <v>7154</v>
      </c>
      <c r="G1136" s="23" t="s">
        <v>7155</v>
      </c>
      <c r="K1136" s="23" t="s">
        <v>7156</v>
      </c>
      <c r="L1136" s="23" t="s">
        <v>7157</v>
      </c>
      <c r="M1136" s="23" t="s">
        <v>7158</v>
      </c>
      <c r="N1136" s="23" t="s">
        <v>7159</v>
      </c>
      <c r="T1136" s="23" t="s">
        <v>7160</v>
      </c>
    </row>
    <row r="1137" spans="1:20" x14ac:dyDescent="0.2">
      <c r="A1137" s="23" t="s">
        <v>92</v>
      </c>
      <c r="C1137" s="23" t="s">
        <v>7161</v>
      </c>
      <c r="D1137" s="23" t="s">
        <v>7162</v>
      </c>
      <c r="E1137" s="23" t="s">
        <v>7163</v>
      </c>
      <c r="G1137" s="23" t="s">
        <v>7164</v>
      </c>
      <c r="K1137" s="23" t="s">
        <v>7165</v>
      </c>
      <c r="L1137" s="23" t="s">
        <v>7166</v>
      </c>
      <c r="M1137" s="23" t="s">
        <v>7167</v>
      </c>
      <c r="N1137" s="23" t="s">
        <v>7168</v>
      </c>
    </row>
    <row r="1138" spans="1:20" x14ac:dyDescent="0.2">
      <c r="A1138" s="23" t="s">
        <v>92</v>
      </c>
      <c r="C1138" s="23" t="s">
        <v>7169</v>
      </c>
      <c r="D1138" s="23" t="s">
        <v>7170</v>
      </c>
      <c r="E1138" s="23" t="s">
        <v>7171</v>
      </c>
      <c r="G1138" s="23" t="s">
        <v>7172</v>
      </c>
      <c r="K1138" s="23" t="s">
        <v>7173</v>
      </c>
      <c r="L1138" s="23" t="s">
        <v>7174</v>
      </c>
      <c r="O1138" s="23" t="s">
        <v>12097</v>
      </c>
      <c r="P1138" s="23" t="s">
        <v>7175</v>
      </c>
      <c r="Q1138" s="23" t="s">
        <v>7176</v>
      </c>
      <c r="R1138" s="23" t="s">
        <v>7177</v>
      </c>
      <c r="S1138" s="23" t="s">
        <v>7178</v>
      </c>
      <c r="T1138" s="23" t="s">
        <v>7179</v>
      </c>
    </row>
    <row r="1139" spans="1:20" x14ac:dyDescent="0.2">
      <c r="A1139" s="23" t="s">
        <v>92</v>
      </c>
      <c r="C1139" s="23" t="s">
        <v>7180</v>
      </c>
      <c r="D1139" s="23" t="s">
        <v>7181</v>
      </c>
      <c r="E1139" s="23" t="s">
        <v>7182</v>
      </c>
      <c r="G1139" s="23" t="s">
        <v>7183</v>
      </c>
      <c r="K1139" s="23" t="s">
        <v>7184</v>
      </c>
      <c r="L1139" s="23" t="s">
        <v>7185</v>
      </c>
      <c r="O1139" s="23" t="s">
        <v>12098</v>
      </c>
      <c r="P1139" s="23" t="s">
        <v>15045</v>
      </c>
      <c r="Q1139" s="23" t="s">
        <v>15050</v>
      </c>
      <c r="R1139" s="23" t="s">
        <v>15055</v>
      </c>
      <c r="S1139" s="23" t="s">
        <v>15060</v>
      </c>
      <c r="T1139" s="23" t="s">
        <v>15065</v>
      </c>
    </row>
    <row r="1140" spans="1:20" x14ac:dyDescent="0.2">
      <c r="A1140" s="23" t="s">
        <v>92</v>
      </c>
      <c r="C1140" s="23" t="s">
        <v>7186</v>
      </c>
      <c r="D1140" s="23" t="s">
        <v>7187</v>
      </c>
      <c r="E1140" s="23" t="s">
        <v>7188</v>
      </c>
      <c r="G1140" s="23" t="s">
        <v>7189</v>
      </c>
      <c r="K1140" s="23" t="s">
        <v>7190</v>
      </c>
      <c r="L1140" s="23" t="s">
        <v>7191</v>
      </c>
      <c r="O1140" s="23" t="s">
        <v>12099</v>
      </c>
      <c r="P1140" s="23" t="s">
        <v>15046</v>
      </c>
      <c r="Q1140" s="23" t="s">
        <v>15051</v>
      </c>
      <c r="R1140" s="23" t="s">
        <v>15056</v>
      </c>
      <c r="S1140" s="23" t="s">
        <v>15061</v>
      </c>
      <c r="T1140" s="23" t="s">
        <v>15066</v>
      </c>
    </row>
    <row r="1141" spans="1:20" x14ac:dyDescent="0.2">
      <c r="A1141" s="23" t="s">
        <v>92</v>
      </c>
      <c r="C1141" s="23" t="s">
        <v>7192</v>
      </c>
      <c r="D1141" s="23" t="s">
        <v>7193</v>
      </c>
      <c r="E1141" s="23" t="s">
        <v>7194</v>
      </c>
      <c r="G1141" s="23" t="s">
        <v>7195</v>
      </c>
      <c r="K1141" s="23" t="s">
        <v>7196</v>
      </c>
      <c r="L1141" s="23" t="s">
        <v>7197</v>
      </c>
      <c r="O1141" s="23" t="s">
        <v>11546</v>
      </c>
      <c r="P1141" s="23" t="s">
        <v>15047</v>
      </c>
      <c r="Q1141" s="23" t="s">
        <v>15052</v>
      </c>
      <c r="R1141" s="23" t="s">
        <v>15057</v>
      </c>
      <c r="S1141" s="23" t="s">
        <v>15062</v>
      </c>
      <c r="T1141" s="23" t="s">
        <v>15067</v>
      </c>
    </row>
    <row r="1142" spans="1:20" x14ac:dyDescent="0.2">
      <c r="A1142" s="23" t="s">
        <v>92</v>
      </c>
      <c r="C1142" s="23" t="s">
        <v>7198</v>
      </c>
      <c r="D1142" s="23" t="s">
        <v>7199</v>
      </c>
      <c r="E1142" s="23" t="s">
        <v>7200</v>
      </c>
      <c r="G1142" s="23" t="s">
        <v>7201</v>
      </c>
      <c r="K1142" s="23" t="s">
        <v>7202</v>
      </c>
      <c r="L1142" s="23" t="s">
        <v>7203</v>
      </c>
      <c r="O1142" s="23" t="s">
        <v>11583</v>
      </c>
      <c r="P1142" s="23" t="s">
        <v>15048</v>
      </c>
      <c r="Q1142" s="23" t="s">
        <v>15053</v>
      </c>
      <c r="R1142" s="23" t="s">
        <v>15058</v>
      </c>
      <c r="S1142" s="23" t="s">
        <v>15063</v>
      </c>
      <c r="T1142" s="23" t="s">
        <v>15068</v>
      </c>
    </row>
    <row r="1143" spans="1:20" x14ac:dyDescent="0.2">
      <c r="A1143" s="23" t="s">
        <v>92</v>
      </c>
      <c r="C1143" s="23" t="s">
        <v>7204</v>
      </c>
      <c r="D1143" s="23" t="s">
        <v>7205</v>
      </c>
      <c r="E1143" s="23" t="s">
        <v>7206</v>
      </c>
      <c r="G1143" s="23" t="s">
        <v>7207</v>
      </c>
      <c r="K1143" s="23" t="s">
        <v>7208</v>
      </c>
      <c r="L1143" s="23" t="s">
        <v>7209</v>
      </c>
      <c r="O1143" s="23" t="s">
        <v>12100</v>
      </c>
      <c r="P1143" s="23" t="s">
        <v>15049</v>
      </c>
      <c r="Q1143" s="23" t="s">
        <v>15054</v>
      </c>
      <c r="R1143" s="23" t="s">
        <v>15059</v>
      </c>
      <c r="S1143" s="23" t="s">
        <v>15064</v>
      </c>
      <c r="T1143" s="23" t="s">
        <v>15069</v>
      </c>
    </row>
    <row r="1144" spans="1:20" x14ac:dyDescent="0.2">
      <c r="A1144" s="23" t="s">
        <v>92</v>
      </c>
      <c r="C1144" s="23" t="s">
        <v>7180</v>
      </c>
      <c r="D1144" s="23" t="s">
        <v>7181</v>
      </c>
      <c r="E1144" s="23" t="s">
        <v>7182</v>
      </c>
      <c r="G1144" s="23" t="s">
        <v>7183</v>
      </c>
      <c r="K1144" s="23" t="s">
        <v>7184</v>
      </c>
      <c r="L1144" s="23" t="s">
        <v>7185</v>
      </c>
    </row>
    <row r="1145" spans="1:20" x14ac:dyDescent="0.2">
      <c r="A1145" s="23" t="s">
        <v>92</v>
      </c>
      <c r="C1145" s="23" t="s">
        <v>7210</v>
      </c>
      <c r="D1145" s="23" t="s">
        <v>7211</v>
      </c>
      <c r="E1145" s="23" t="s">
        <v>7212</v>
      </c>
      <c r="G1145" s="23" t="s">
        <v>7213</v>
      </c>
      <c r="K1145" s="23" t="s">
        <v>7214</v>
      </c>
      <c r="L1145" s="23" t="s">
        <v>7215</v>
      </c>
      <c r="M1145" s="23" t="s">
        <v>7216</v>
      </c>
      <c r="N1145" s="23" t="s">
        <v>7217</v>
      </c>
      <c r="T1145" s="23" t="s">
        <v>7218</v>
      </c>
    </row>
    <row r="1146" spans="1:20" x14ac:dyDescent="0.2">
      <c r="A1146" s="23" t="s">
        <v>92</v>
      </c>
      <c r="C1146" s="23" t="s">
        <v>7219</v>
      </c>
      <c r="D1146" s="23" t="s">
        <v>7220</v>
      </c>
      <c r="E1146" s="23" t="s">
        <v>7221</v>
      </c>
      <c r="G1146" s="23" t="s">
        <v>7222</v>
      </c>
      <c r="K1146" s="23" t="s">
        <v>7223</v>
      </c>
      <c r="L1146" s="23" t="s">
        <v>7224</v>
      </c>
      <c r="M1146" s="23" t="s">
        <v>7225</v>
      </c>
      <c r="N1146" s="23" t="s">
        <v>7226</v>
      </c>
    </row>
    <row r="1147" spans="1:20" x14ac:dyDescent="0.2">
      <c r="A1147" s="23" t="s">
        <v>92</v>
      </c>
      <c r="C1147" s="23" t="s">
        <v>7227</v>
      </c>
      <c r="D1147" s="23" t="s">
        <v>7228</v>
      </c>
      <c r="E1147" s="23" t="s">
        <v>7229</v>
      </c>
      <c r="G1147" s="23" t="s">
        <v>7230</v>
      </c>
      <c r="K1147" s="23" t="s">
        <v>7231</v>
      </c>
      <c r="L1147" s="23" t="s">
        <v>7232</v>
      </c>
      <c r="O1147" s="23" t="s">
        <v>12101</v>
      </c>
      <c r="P1147" s="23" t="s">
        <v>7233</v>
      </c>
      <c r="Q1147" s="23" t="s">
        <v>7234</v>
      </c>
      <c r="R1147" s="23" t="s">
        <v>7235</v>
      </c>
      <c r="S1147" s="23" t="s">
        <v>7236</v>
      </c>
      <c r="T1147" s="23" t="s">
        <v>7237</v>
      </c>
    </row>
    <row r="1148" spans="1:20" x14ac:dyDescent="0.2">
      <c r="A1148" s="23" t="s">
        <v>92</v>
      </c>
      <c r="C1148" s="23" t="s">
        <v>7238</v>
      </c>
      <c r="D1148" s="23" t="s">
        <v>7239</v>
      </c>
      <c r="E1148" s="23" t="s">
        <v>7240</v>
      </c>
      <c r="G1148" s="23" t="s">
        <v>7241</v>
      </c>
      <c r="K1148" s="23" t="s">
        <v>7242</v>
      </c>
      <c r="L1148" s="23" t="s">
        <v>7243</v>
      </c>
      <c r="O1148" s="23" t="s">
        <v>12102</v>
      </c>
      <c r="P1148" s="23" t="s">
        <v>15020</v>
      </c>
      <c r="Q1148" s="23" t="s">
        <v>15025</v>
      </c>
      <c r="R1148" s="23" t="s">
        <v>15030</v>
      </c>
      <c r="S1148" s="23" t="s">
        <v>15035</v>
      </c>
      <c r="T1148" s="23" t="s">
        <v>15040</v>
      </c>
    </row>
    <row r="1149" spans="1:20" x14ac:dyDescent="0.2">
      <c r="A1149" s="23" t="s">
        <v>92</v>
      </c>
      <c r="C1149" s="23" t="s">
        <v>7244</v>
      </c>
      <c r="D1149" s="23" t="s">
        <v>7245</v>
      </c>
      <c r="E1149" s="23" t="s">
        <v>7246</v>
      </c>
      <c r="G1149" s="23" t="s">
        <v>7247</v>
      </c>
      <c r="K1149" s="23" t="s">
        <v>7248</v>
      </c>
      <c r="L1149" s="23" t="s">
        <v>7249</v>
      </c>
      <c r="O1149" s="23" t="s">
        <v>12103</v>
      </c>
      <c r="P1149" s="23" t="s">
        <v>15021</v>
      </c>
      <c r="Q1149" s="23" t="s">
        <v>15026</v>
      </c>
      <c r="R1149" s="23" t="s">
        <v>15031</v>
      </c>
      <c r="S1149" s="23" t="s">
        <v>15036</v>
      </c>
      <c r="T1149" s="23" t="s">
        <v>15041</v>
      </c>
    </row>
    <row r="1150" spans="1:20" x14ac:dyDescent="0.2">
      <c r="A1150" s="23" t="s">
        <v>92</v>
      </c>
      <c r="C1150" s="23" t="s">
        <v>7250</v>
      </c>
      <c r="D1150" s="23" t="s">
        <v>7251</v>
      </c>
      <c r="E1150" s="23" t="s">
        <v>7252</v>
      </c>
      <c r="G1150" s="23" t="s">
        <v>7253</v>
      </c>
      <c r="K1150" s="23" t="s">
        <v>7254</v>
      </c>
      <c r="L1150" s="23" t="s">
        <v>7255</v>
      </c>
      <c r="O1150" s="23" t="s">
        <v>11554</v>
      </c>
      <c r="P1150" s="23" t="s">
        <v>15022</v>
      </c>
      <c r="Q1150" s="23" t="s">
        <v>15027</v>
      </c>
      <c r="R1150" s="23" t="s">
        <v>15032</v>
      </c>
      <c r="S1150" s="23" t="s">
        <v>15037</v>
      </c>
      <c r="T1150" s="23" t="s">
        <v>15042</v>
      </c>
    </row>
    <row r="1151" spans="1:20" x14ac:dyDescent="0.2">
      <c r="A1151" s="23" t="s">
        <v>92</v>
      </c>
      <c r="C1151" s="23" t="s">
        <v>7256</v>
      </c>
      <c r="D1151" s="23" t="s">
        <v>7257</v>
      </c>
      <c r="E1151" s="23" t="s">
        <v>7258</v>
      </c>
      <c r="G1151" s="23" t="s">
        <v>7259</v>
      </c>
      <c r="K1151" s="23" t="s">
        <v>7260</v>
      </c>
      <c r="L1151" s="23" t="s">
        <v>7261</v>
      </c>
      <c r="O1151" s="23" t="s">
        <v>11588</v>
      </c>
      <c r="P1151" s="23" t="s">
        <v>15023</v>
      </c>
      <c r="Q1151" s="23" t="s">
        <v>15028</v>
      </c>
      <c r="R1151" s="23" t="s">
        <v>15033</v>
      </c>
      <c r="S1151" s="23" t="s">
        <v>15038</v>
      </c>
      <c r="T1151" s="23" t="s">
        <v>15043</v>
      </c>
    </row>
    <row r="1152" spans="1:20" x14ac:dyDescent="0.2">
      <c r="A1152" s="23" t="s">
        <v>92</v>
      </c>
      <c r="C1152" s="23" t="s">
        <v>7262</v>
      </c>
      <c r="D1152" s="23" t="s">
        <v>7263</v>
      </c>
      <c r="E1152" s="23" t="s">
        <v>7264</v>
      </c>
      <c r="G1152" s="23" t="s">
        <v>7265</v>
      </c>
      <c r="K1152" s="23" t="s">
        <v>7266</v>
      </c>
      <c r="L1152" s="23" t="s">
        <v>7267</v>
      </c>
      <c r="O1152" s="23" t="s">
        <v>12104</v>
      </c>
      <c r="P1152" s="23" t="s">
        <v>15024</v>
      </c>
      <c r="Q1152" s="23" t="s">
        <v>15029</v>
      </c>
      <c r="R1152" s="23" t="s">
        <v>15034</v>
      </c>
      <c r="S1152" s="23" t="s">
        <v>15039</v>
      </c>
      <c r="T1152" s="23" t="s">
        <v>15044</v>
      </c>
    </row>
    <row r="1153" spans="1:20" x14ac:dyDescent="0.2">
      <c r="A1153" s="23" t="s">
        <v>92</v>
      </c>
      <c r="C1153" s="23" t="s">
        <v>7238</v>
      </c>
      <c r="D1153" s="23" t="s">
        <v>7239</v>
      </c>
      <c r="E1153" s="23" t="s">
        <v>7240</v>
      </c>
      <c r="G1153" s="23" t="s">
        <v>7241</v>
      </c>
      <c r="K1153" s="23" t="s">
        <v>7242</v>
      </c>
      <c r="L1153" s="23" t="s">
        <v>7243</v>
      </c>
    </row>
    <row r="1154" spans="1:20" x14ac:dyDescent="0.2">
      <c r="A1154" s="23" t="s">
        <v>92</v>
      </c>
      <c r="C1154" s="23" t="s">
        <v>7268</v>
      </c>
      <c r="D1154" s="23" t="s">
        <v>7269</v>
      </c>
      <c r="E1154" s="23" t="s">
        <v>7270</v>
      </c>
      <c r="G1154" s="23" t="s">
        <v>7271</v>
      </c>
      <c r="K1154" s="23" t="s">
        <v>7272</v>
      </c>
      <c r="L1154" s="23" t="s">
        <v>7273</v>
      </c>
      <c r="M1154" s="23" t="s">
        <v>7274</v>
      </c>
      <c r="N1154" s="23" t="s">
        <v>7275</v>
      </c>
      <c r="T1154" s="23" t="s">
        <v>7276</v>
      </c>
    </row>
    <row r="1155" spans="1:20" x14ac:dyDescent="0.2">
      <c r="A1155" s="23" t="s">
        <v>92</v>
      </c>
      <c r="C1155" s="23" t="s">
        <v>7277</v>
      </c>
      <c r="D1155" s="23" t="s">
        <v>7278</v>
      </c>
      <c r="E1155" s="23" t="s">
        <v>7279</v>
      </c>
      <c r="G1155" s="23" t="s">
        <v>7280</v>
      </c>
      <c r="K1155" s="23" t="s">
        <v>7281</v>
      </c>
      <c r="L1155" s="23" t="s">
        <v>7282</v>
      </c>
      <c r="M1155" s="23" t="s">
        <v>7283</v>
      </c>
      <c r="N1155" s="23" t="s">
        <v>7284</v>
      </c>
    </row>
    <row r="1156" spans="1:20" x14ac:dyDescent="0.2">
      <c r="A1156" s="23" t="s">
        <v>92</v>
      </c>
      <c r="C1156" s="23" t="s">
        <v>7285</v>
      </c>
      <c r="D1156" s="23" t="s">
        <v>7286</v>
      </c>
      <c r="E1156" s="23" t="s">
        <v>7287</v>
      </c>
      <c r="G1156" s="23" t="s">
        <v>7288</v>
      </c>
      <c r="K1156" s="23" t="s">
        <v>7289</v>
      </c>
      <c r="L1156" s="23" t="s">
        <v>7290</v>
      </c>
      <c r="O1156" s="23" t="s">
        <v>12105</v>
      </c>
      <c r="P1156" s="23" t="s">
        <v>7291</v>
      </c>
      <c r="Q1156" s="23" t="s">
        <v>7292</v>
      </c>
      <c r="R1156" s="23" t="s">
        <v>7293</v>
      </c>
      <c r="S1156" s="23" t="s">
        <v>7294</v>
      </c>
      <c r="T1156" s="23" t="s">
        <v>7295</v>
      </c>
    </row>
    <row r="1157" spans="1:20" x14ac:dyDescent="0.2">
      <c r="A1157" s="23" t="s">
        <v>92</v>
      </c>
      <c r="C1157" s="23" t="s">
        <v>7296</v>
      </c>
      <c r="D1157" s="23" t="s">
        <v>7297</v>
      </c>
      <c r="E1157" s="23" t="s">
        <v>7298</v>
      </c>
      <c r="G1157" s="23" t="s">
        <v>7299</v>
      </c>
      <c r="K1157" s="23" t="s">
        <v>7300</v>
      </c>
      <c r="L1157" s="23" t="s">
        <v>7301</v>
      </c>
      <c r="O1157" s="23" t="s">
        <v>12106</v>
      </c>
      <c r="P1157" s="23" t="s">
        <v>12107</v>
      </c>
      <c r="Q1157" s="23" t="s">
        <v>12108</v>
      </c>
      <c r="R1157" s="23" t="s">
        <v>12109</v>
      </c>
      <c r="S1157" s="23" t="s">
        <v>12110</v>
      </c>
      <c r="T1157" s="23" t="s">
        <v>12111</v>
      </c>
    </row>
    <row r="1158" spans="1:20" x14ac:dyDescent="0.2">
      <c r="A1158" s="23" t="s">
        <v>92</v>
      </c>
      <c r="C1158" s="23" t="s">
        <v>7296</v>
      </c>
      <c r="D1158" s="23" t="s">
        <v>7297</v>
      </c>
      <c r="E1158" s="23" t="s">
        <v>7298</v>
      </c>
      <c r="G1158" s="23" t="s">
        <v>7299</v>
      </c>
      <c r="K1158" s="23" t="s">
        <v>7300</v>
      </c>
      <c r="L1158" s="23" t="s">
        <v>7301</v>
      </c>
    </row>
    <row r="1159" spans="1:20" x14ac:dyDescent="0.2">
      <c r="A1159" s="23" t="s">
        <v>92</v>
      </c>
      <c r="C1159" s="23" t="s">
        <v>7302</v>
      </c>
      <c r="D1159" s="23" t="s">
        <v>7303</v>
      </c>
      <c r="E1159" s="23" t="s">
        <v>7304</v>
      </c>
      <c r="G1159" s="23" t="s">
        <v>7305</v>
      </c>
      <c r="K1159" s="23" t="s">
        <v>7306</v>
      </c>
      <c r="L1159" s="23" t="s">
        <v>7307</v>
      </c>
      <c r="M1159" s="23" t="s">
        <v>7308</v>
      </c>
      <c r="N1159" s="23" t="s">
        <v>7309</v>
      </c>
      <c r="T1159" s="23" t="s">
        <v>7310</v>
      </c>
    </row>
    <row r="1160" spans="1:20" x14ac:dyDescent="0.2">
      <c r="A1160" s="23" t="s">
        <v>92</v>
      </c>
      <c r="C1160" s="23" t="s">
        <v>7311</v>
      </c>
      <c r="D1160" s="23" t="s">
        <v>7312</v>
      </c>
      <c r="E1160" s="23" t="s">
        <v>7313</v>
      </c>
      <c r="G1160" s="23" t="s">
        <v>7314</v>
      </c>
      <c r="K1160" s="23" t="s">
        <v>7315</v>
      </c>
      <c r="L1160" s="23" t="s">
        <v>7316</v>
      </c>
      <c r="M1160" s="23" t="s">
        <v>7317</v>
      </c>
      <c r="N1160" s="23" t="s">
        <v>7318</v>
      </c>
    </row>
    <row r="1161" spans="1:20" x14ac:dyDescent="0.2">
      <c r="A1161" s="23" t="s">
        <v>92</v>
      </c>
      <c r="C1161" s="23" t="s">
        <v>7319</v>
      </c>
      <c r="D1161" s="23" t="s">
        <v>7320</v>
      </c>
      <c r="E1161" s="23" t="s">
        <v>7321</v>
      </c>
      <c r="G1161" s="23" t="s">
        <v>7322</v>
      </c>
      <c r="K1161" s="23" t="s">
        <v>7323</v>
      </c>
      <c r="L1161" s="23" t="s">
        <v>7324</v>
      </c>
      <c r="O1161" s="23" t="s">
        <v>12112</v>
      </c>
      <c r="P1161" s="23" t="s">
        <v>7325</v>
      </c>
      <c r="Q1161" s="23" t="s">
        <v>7326</v>
      </c>
      <c r="R1161" s="23" t="s">
        <v>7327</v>
      </c>
      <c r="S1161" s="23" t="s">
        <v>7328</v>
      </c>
      <c r="T1161" s="23" t="s">
        <v>7329</v>
      </c>
    </row>
    <row r="1162" spans="1:20" x14ac:dyDescent="0.2">
      <c r="A1162" s="23" t="s">
        <v>92</v>
      </c>
      <c r="C1162" s="23" t="s">
        <v>7330</v>
      </c>
      <c r="D1162" s="23" t="s">
        <v>7331</v>
      </c>
      <c r="E1162" s="23" t="s">
        <v>7332</v>
      </c>
      <c r="G1162" s="23" t="s">
        <v>7333</v>
      </c>
      <c r="K1162" s="23" t="s">
        <v>7334</v>
      </c>
      <c r="L1162" s="23" t="s">
        <v>7335</v>
      </c>
      <c r="O1162" s="23" t="s">
        <v>12113</v>
      </c>
      <c r="P1162" s="23" t="s">
        <v>12114</v>
      </c>
      <c r="Q1162" s="23" t="s">
        <v>12115</v>
      </c>
      <c r="R1162" s="23" t="s">
        <v>12116</v>
      </c>
      <c r="S1162" s="23" t="s">
        <v>12117</v>
      </c>
      <c r="T1162" s="23" t="s">
        <v>12118</v>
      </c>
    </row>
    <row r="1163" spans="1:20" x14ac:dyDescent="0.2">
      <c r="A1163" s="23" t="s">
        <v>92</v>
      </c>
      <c r="C1163" s="23" t="s">
        <v>7330</v>
      </c>
      <c r="D1163" s="23" t="s">
        <v>7331</v>
      </c>
      <c r="E1163" s="23" t="s">
        <v>7332</v>
      </c>
      <c r="G1163" s="23" t="s">
        <v>7333</v>
      </c>
      <c r="K1163" s="23" t="s">
        <v>7334</v>
      </c>
      <c r="L1163" s="23" t="s">
        <v>7335</v>
      </c>
    </row>
    <row r="1164" spans="1:20" x14ac:dyDescent="0.2">
      <c r="A1164" s="23" t="s">
        <v>92</v>
      </c>
      <c r="C1164" s="23" t="s">
        <v>7336</v>
      </c>
      <c r="D1164" s="23" t="s">
        <v>7337</v>
      </c>
      <c r="E1164" s="23" t="s">
        <v>7338</v>
      </c>
      <c r="G1164" s="23" t="s">
        <v>7339</v>
      </c>
      <c r="K1164" s="23" t="s">
        <v>7340</v>
      </c>
      <c r="L1164" s="23" t="s">
        <v>7341</v>
      </c>
      <c r="M1164" s="23" t="s">
        <v>7342</v>
      </c>
      <c r="N1164" s="23" t="s">
        <v>7343</v>
      </c>
      <c r="T1164" s="23" t="s">
        <v>7344</v>
      </c>
    </row>
    <row r="1165" spans="1:20" x14ac:dyDescent="0.2">
      <c r="A1165" s="23" t="s">
        <v>92</v>
      </c>
      <c r="C1165" s="23" t="s">
        <v>6987</v>
      </c>
      <c r="D1165" s="23" t="s">
        <v>6988</v>
      </c>
      <c r="E1165" s="23" t="s">
        <v>6989</v>
      </c>
      <c r="G1165" s="23" t="s">
        <v>6990</v>
      </c>
    </row>
    <row r="1166" spans="1:20" x14ac:dyDescent="0.2">
      <c r="A1166" s="23" t="s">
        <v>92</v>
      </c>
      <c r="C1166" s="23" t="s">
        <v>7345</v>
      </c>
      <c r="D1166" s="23" t="s">
        <v>7346</v>
      </c>
      <c r="E1166" s="23" t="s">
        <v>7347</v>
      </c>
      <c r="G1166" s="23" t="s">
        <v>7348</v>
      </c>
      <c r="H1166" s="23" t="s">
        <v>7349</v>
      </c>
      <c r="I1166" s="23" t="s">
        <v>7350</v>
      </c>
      <c r="J1166" s="23" t="s">
        <v>7351</v>
      </c>
      <c r="T1166" s="23" t="s">
        <v>7352</v>
      </c>
    </row>
    <row r="1167" spans="1:20" x14ac:dyDescent="0.2">
      <c r="A1167" s="23" t="s">
        <v>92</v>
      </c>
      <c r="C1167" s="23" t="s">
        <v>7353</v>
      </c>
      <c r="D1167" s="23" t="s">
        <v>7354</v>
      </c>
      <c r="E1167" s="23" t="s">
        <v>7355</v>
      </c>
      <c r="G1167" s="23" t="s">
        <v>7356</v>
      </c>
      <c r="H1167" s="23" t="s">
        <v>7357</v>
      </c>
      <c r="I1167" s="23" t="s">
        <v>7358</v>
      </c>
      <c r="J1167" s="23" t="s">
        <v>7359</v>
      </c>
    </row>
    <row r="1168" spans="1:20" x14ac:dyDescent="0.2">
      <c r="A1168" s="23" t="s">
        <v>92</v>
      </c>
      <c r="C1168" s="23" t="s">
        <v>7360</v>
      </c>
      <c r="D1168" s="23" t="s">
        <v>7361</v>
      </c>
      <c r="E1168" s="23" t="s">
        <v>7362</v>
      </c>
      <c r="G1168" s="23" t="s">
        <v>7363</v>
      </c>
      <c r="K1168" s="23" t="s">
        <v>7364</v>
      </c>
      <c r="L1168" s="23" t="s">
        <v>7365</v>
      </c>
      <c r="M1168" s="23" t="s">
        <v>12119</v>
      </c>
      <c r="N1168" s="23" t="s">
        <v>7366</v>
      </c>
    </row>
    <row r="1169" spans="1:20" x14ac:dyDescent="0.2">
      <c r="A1169" s="23" t="s">
        <v>92</v>
      </c>
      <c r="C1169" s="23" t="s">
        <v>7367</v>
      </c>
      <c r="D1169" s="23" t="s">
        <v>7368</v>
      </c>
      <c r="E1169" s="23" t="s">
        <v>7369</v>
      </c>
      <c r="G1169" s="23" t="s">
        <v>7370</v>
      </c>
      <c r="K1169" s="23" t="s">
        <v>7371</v>
      </c>
      <c r="L1169" s="23" t="s">
        <v>7372</v>
      </c>
      <c r="O1169" s="23" t="s">
        <v>12120</v>
      </c>
      <c r="P1169" s="23" t="s">
        <v>7373</v>
      </c>
      <c r="Q1169" s="23" t="s">
        <v>7374</v>
      </c>
      <c r="R1169" s="23" t="s">
        <v>7375</v>
      </c>
      <c r="S1169" s="23" t="s">
        <v>7376</v>
      </c>
      <c r="T1169" s="23" t="s">
        <v>7377</v>
      </c>
    </row>
    <row r="1170" spans="1:20" x14ac:dyDescent="0.2">
      <c r="A1170" s="23" t="s">
        <v>92</v>
      </c>
      <c r="C1170" s="23" t="s">
        <v>7378</v>
      </c>
      <c r="D1170" s="23" t="s">
        <v>7379</v>
      </c>
      <c r="E1170" s="23" t="s">
        <v>7380</v>
      </c>
      <c r="G1170" s="23" t="s">
        <v>7381</v>
      </c>
      <c r="K1170" s="23" t="s">
        <v>7382</v>
      </c>
      <c r="L1170" s="23" t="s">
        <v>7383</v>
      </c>
      <c r="O1170" s="23" t="s">
        <v>12121</v>
      </c>
      <c r="P1170" s="23" t="s">
        <v>14810</v>
      </c>
      <c r="Q1170" s="23" t="s">
        <v>14816</v>
      </c>
      <c r="R1170" s="23" t="s">
        <v>14822</v>
      </c>
      <c r="S1170" s="23" t="s">
        <v>14828</v>
      </c>
      <c r="T1170" s="23" t="s">
        <v>14834</v>
      </c>
    </row>
    <row r="1171" spans="1:20" x14ac:dyDescent="0.2">
      <c r="A1171" s="23" t="s">
        <v>92</v>
      </c>
      <c r="C1171" s="23" t="s">
        <v>7384</v>
      </c>
      <c r="D1171" s="23" t="s">
        <v>7385</v>
      </c>
      <c r="E1171" s="23" t="s">
        <v>7386</v>
      </c>
      <c r="G1171" s="23" t="s">
        <v>7387</v>
      </c>
      <c r="K1171" s="23" t="s">
        <v>7388</v>
      </c>
      <c r="L1171" s="23" t="s">
        <v>7389</v>
      </c>
      <c r="O1171" s="23" t="s">
        <v>12122</v>
      </c>
      <c r="P1171" s="23" t="s">
        <v>14811</v>
      </c>
      <c r="Q1171" s="23" t="s">
        <v>14817</v>
      </c>
      <c r="R1171" s="23" t="s">
        <v>14823</v>
      </c>
      <c r="S1171" s="23" t="s">
        <v>14829</v>
      </c>
      <c r="T1171" s="23" t="s">
        <v>14835</v>
      </c>
    </row>
    <row r="1172" spans="1:20" x14ac:dyDescent="0.2">
      <c r="A1172" s="23" t="s">
        <v>92</v>
      </c>
      <c r="C1172" s="23" t="s">
        <v>7390</v>
      </c>
      <c r="D1172" s="23" t="s">
        <v>7391</v>
      </c>
      <c r="E1172" s="23" t="s">
        <v>7392</v>
      </c>
      <c r="G1172" s="23" t="s">
        <v>7393</v>
      </c>
      <c r="K1172" s="23" t="s">
        <v>7394</v>
      </c>
      <c r="L1172" s="23" t="s">
        <v>7395</v>
      </c>
      <c r="O1172" s="23" t="s">
        <v>11517</v>
      </c>
      <c r="P1172" s="23" t="s">
        <v>14812</v>
      </c>
      <c r="Q1172" s="23" t="s">
        <v>14818</v>
      </c>
      <c r="R1172" s="23" t="s">
        <v>14824</v>
      </c>
      <c r="S1172" s="23" t="s">
        <v>14830</v>
      </c>
      <c r="T1172" s="23" t="s">
        <v>14836</v>
      </c>
    </row>
    <row r="1173" spans="1:20" x14ac:dyDescent="0.2">
      <c r="A1173" s="23" t="s">
        <v>92</v>
      </c>
      <c r="C1173" s="23" t="s">
        <v>7396</v>
      </c>
      <c r="D1173" s="23" t="s">
        <v>7397</v>
      </c>
      <c r="E1173" s="23" t="s">
        <v>7398</v>
      </c>
      <c r="G1173" s="23" t="s">
        <v>7399</v>
      </c>
      <c r="K1173" s="23" t="s">
        <v>7400</v>
      </c>
      <c r="L1173" s="23" t="s">
        <v>7401</v>
      </c>
      <c r="O1173" s="23" t="s">
        <v>11841</v>
      </c>
      <c r="P1173" s="23" t="s">
        <v>14813</v>
      </c>
      <c r="Q1173" s="23" t="s">
        <v>14819</v>
      </c>
      <c r="R1173" s="23" t="s">
        <v>14825</v>
      </c>
      <c r="S1173" s="23" t="s">
        <v>14831</v>
      </c>
      <c r="T1173" s="23" t="s">
        <v>14837</v>
      </c>
    </row>
    <row r="1174" spans="1:20" x14ac:dyDescent="0.2">
      <c r="A1174" s="23" t="s">
        <v>92</v>
      </c>
      <c r="C1174" s="23" t="s">
        <v>7402</v>
      </c>
      <c r="D1174" s="23" t="s">
        <v>7403</v>
      </c>
      <c r="E1174" s="23" t="s">
        <v>7404</v>
      </c>
      <c r="G1174" s="23" t="s">
        <v>7405</v>
      </c>
      <c r="K1174" s="23" t="s">
        <v>7406</v>
      </c>
      <c r="L1174" s="23" t="s">
        <v>7407</v>
      </c>
      <c r="O1174" s="23" t="s">
        <v>11562</v>
      </c>
      <c r="P1174" s="23" t="s">
        <v>14814</v>
      </c>
      <c r="Q1174" s="23" t="s">
        <v>14820</v>
      </c>
      <c r="R1174" s="23" t="s">
        <v>14826</v>
      </c>
      <c r="S1174" s="23" t="s">
        <v>14832</v>
      </c>
      <c r="T1174" s="23" t="s">
        <v>14838</v>
      </c>
    </row>
    <row r="1175" spans="1:20" x14ac:dyDescent="0.2">
      <c r="A1175" s="23" t="s">
        <v>92</v>
      </c>
      <c r="C1175" s="23" t="s">
        <v>7408</v>
      </c>
      <c r="D1175" s="23" t="s">
        <v>7409</v>
      </c>
      <c r="E1175" s="23" t="s">
        <v>7410</v>
      </c>
      <c r="G1175" s="23" t="s">
        <v>7411</v>
      </c>
      <c r="K1175" s="23" t="s">
        <v>7412</v>
      </c>
      <c r="L1175" s="23" t="s">
        <v>7413</v>
      </c>
      <c r="O1175" s="23" t="s">
        <v>12123</v>
      </c>
      <c r="P1175" s="23" t="s">
        <v>14815</v>
      </c>
      <c r="Q1175" s="23" t="s">
        <v>14821</v>
      </c>
      <c r="R1175" s="23" t="s">
        <v>14827</v>
      </c>
      <c r="S1175" s="23" t="s">
        <v>14833</v>
      </c>
      <c r="T1175" s="23" t="s">
        <v>14839</v>
      </c>
    </row>
    <row r="1176" spans="1:20" x14ac:dyDescent="0.2">
      <c r="A1176" s="23" t="s">
        <v>92</v>
      </c>
      <c r="C1176" s="23" t="s">
        <v>7378</v>
      </c>
      <c r="D1176" s="23" t="s">
        <v>7379</v>
      </c>
      <c r="E1176" s="23" t="s">
        <v>7380</v>
      </c>
      <c r="G1176" s="23" t="s">
        <v>7381</v>
      </c>
      <c r="K1176" s="23" t="s">
        <v>7382</v>
      </c>
      <c r="L1176" s="23" t="s">
        <v>7383</v>
      </c>
    </row>
    <row r="1177" spans="1:20" x14ac:dyDescent="0.2">
      <c r="A1177" s="23" t="s">
        <v>92</v>
      </c>
      <c r="C1177" s="23" t="s">
        <v>7414</v>
      </c>
      <c r="D1177" s="23" t="s">
        <v>7415</v>
      </c>
      <c r="E1177" s="23" t="s">
        <v>7416</v>
      </c>
      <c r="G1177" s="23" t="s">
        <v>7417</v>
      </c>
      <c r="K1177" s="23" t="s">
        <v>7418</v>
      </c>
      <c r="L1177" s="23" t="s">
        <v>7419</v>
      </c>
      <c r="M1177" s="23" t="s">
        <v>7420</v>
      </c>
      <c r="N1177" s="23" t="s">
        <v>7421</v>
      </c>
      <c r="T1177" s="23" t="s">
        <v>7422</v>
      </c>
    </row>
    <row r="1178" spans="1:20" x14ac:dyDescent="0.2">
      <c r="A1178" s="23" t="s">
        <v>92</v>
      </c>
      <c r="C1178" s="23" t="s">
        <v>7423</v>
      </c>
      <c r="D1178" s="23" t="s">
        <v>7424</v>
      </c>
      <c r="E1178" s="23" t="s">
        <v>7425</v>
      </c>
      <c r="G1178" s="23" t="s">
        <v>7426</v>
      </c>
      <c r="K1178" s="23" t="s">
        <v>7427</v>
      </c>
      <c r="L1178" s="23" t="s">
        <v>7428</v>
      </c>
      <c r="M1178" s="23" t="s">
        <v>7429</v>
      </c>
      <c r="N1178" s="23" t="s">
        <v>7430</v>
      </c>
    </row>
    <row r="1179" spans="1:20" x14ac:dyDescent="0.2">
      <c r="A1179" s="23" t="s">
        <v>92</v>
      </c>
      <c r="C1179" s="23" t="s">
        <v>7431</v>
      </c>
      <c r="D1179" s="23" t="s">
        <v>7432</v>
      </c>
      <c r="E1179" s="23" t="s">
        <v>7433</v>
      </c>
      <c r="G1179" s="23" t="s">
        <v>7434</v>
      </c>
      <c r="K1179" s="23" t="s">
        <v>7435</v>
      </c>
      <c r="L1179" s="23" t="s">
        <v>7436</v>
      </c>
      <c r="O1179" s="23" t="s">
        <v>12124</v>
      </c>
      <c r="P1179" s="23" t="s">
        <v>7437</v>
      </c>
      <c r="Q1179" s="23" t="s">
        <v>7438</v>
      </c>
      <c r="R1179" s="23" t="s">
        <v>7439</v>
      </c>
      <c r="S1179" s="23" t="s">
        <v>7440</v>
      </c>
      <c r="T1179" s="23" t="s">
        <v>7441</v>
      </c>
    </row>
    <row r="1180" spans="1:20" x14ac:dyDescent="0.2">
      <c r="A1180" s="23" t="s">
        <v>92</v>
      </c>
      <c r="C1180" s="23" t="s">
        <v>7442</v>
      </c>
      <c r="D1180" s="23" t="s">
        <v>7443</v>
      </c>
      <c r="E1180" s="23" t="s">
        <v>7444</v>
      </c>
      <c r="G1180" s="23" t="s">
        <v>7445</v>
      </c>
      <c r="K1180" s="23" t="s">
        <v>7446</v>
      </c>
      <c r="L1180" s="23" t="s">
        <v>7447</v>
      </c>
      <c r="O1180" s="23" t="s">
        <v>12125</v>
      </c>
      <c r="P1180" s="23" t="s">
        <v>14965</v>
      </c>
      <c r="Q1180" s="23" t="s">
        <v>14971</v>
      </c>
      <c r="R1180" s="23" t="s">
        <v>14977</v>
      </c>
      <c r="S1180" s="23" t="s">
        <v>14983</v>
      </c>
      <c r="T1180" s="23" t="s">
        <v>14989</v>
      </c>
    </row>
    <row r="1181" spans="1:20" x14ac:dyDescent="0.2">
      <c r="A1181" s="23" t="s">
        <v>92</v>
      </c>
      <c r="C1181" s="23" t="s">
        <v>7448</v>
      </c>
      <c r="D1181" s="23" t="s">
        <v>7449</v>
      </c>
      <c r="E1181" s="23" t="s">
        <v>7450</v>
      </c>
      <c r="G1181" s="23" t="s">
        <v>7451</v>
      </c>
      <c r="K1181" s="23" t="s">
        <v>7452</v>
      </c>
      <c r="L1181" s="23" t="s">
        <v>7453</v>
      </c>
      <c r="O1181" s="23" t="s">
        <v>12126</v>
      </c>
      <c r="P1181" s="23" t="s">
        <v>14966</v>
      </c>
      <c r="Q1181" s="23" t="s">
        <v>14972</v>
      </c>
      <c r="R1181" s="23" t="s">
        <v>14978</v>
      </c>
      <c r="S1181" s="23" t="s">
        <v>14984</v>
      </c>
      <c r="T1181" s="23" t="s">
        <v>14990</v>
      </c>
    </row>
    <row r="1182" spans="1:20" x14ac:dyDescent="0.2">
      <c r="A1182" s="23" t="s">
        <v>92</v>
      </c>
      <c r="C1182" s="23" t="s">
        <v>7454</v>
      </c>
      <c r="D1182" s="23" t="s">
        <v>7455</v>
      </c>
      <c r="E1182" s="23" t="s">
        <v>7456</v>
      </c>
      <c r="G1182" s="23" t="s">
        <v>7457</v>
      </c>
      <c r="K1182" s="23" t="s">
        <v>7458</v>
      </c>
      <c r="L1182" s="23" t="s">
        <v>7459</v>
      </c>
      <c r="O1182" s="23" t="s">
        <v>11524</v>
      </c>
      <c r="P1182" s="23" t="s">
        <v>14967</v>
      </c>
      <c r="Q1182" s="23" t="s">
        <v>14973</v>
      </c>
      <c r="R1182" s="23" t="s">
        <v>14979</v>
      </c>
      <c r="S1182" s="23" t="s">
        <v>14985</v>
      </c>
      <c r="T1182" s="23" t="s">
        <v>14991</v>
      </c>
    </row>
    <row r="1183" spans="1:20" x14ac:dyDescent="0.2">
      <c r="A1183" s="23" t="s">
        <v>92</v>
      </c>
      <c r="C1183" s="23" t="s">
        <v>7460</v>
      </c>
      <c r="D1183" s="23" t="s">
        <v>7461</v>
      </c>
      <c r="E1183" s="23" t="s">
        <v>7462</v>
      </c>
      <c r="G1183" s="23" t="s">
        <v>7463</v>
      </c>
      <c r="K1183" s="23" t="s">
        <v>7464</v>
      </c>
      <c r="L1183" s="23" t="s">
        <v>7465</v>
      </c>
      <c r="O1183" s="23" t="s">
        <v>11846</v>
      </c>
      <c r="P1183" s="23" t="s">
        <v>14968</v>
      </c>
      <c r="Q1183" s="23" t="s">
        <v>14974</v>
      </c>
      <c r="R1183" s="23" t="s">
        <v>14980</v>
      </c>
      <c r="S1183" s="23" t="s">
        <v>14986</v>
      </c>
      <c r="T1183" s="23" t="s">
        <v>14992</v>
      </c>
    </row>
    <row r="1184" spans="1:20" x14ac:dyDescent="0.2">
      <c r="A1184" s="23" t="s">
        <v>92</v>
      </c>
      <c r="C1184" s="23" t="s">
        <v>7466</v>
      </c>
      <c r="D1184" s="23" t="s">
        <v>7467</v>
      </c>
      <c r="E1184" s="23" t="s">
        <v>7468</v>
      </c>
      <c r="G1184" s="23" t="s">
        <v>7469</v>
      </c>
      <c r="K1184" s="23" t="s">
        <v>7470</v>
      </c>
      <c r="L1184" s="23" t="s">
        <v>7471</v>
      </c>
      <c r="O1184" s="23" t="s">
        <v>11567</v>
      </c>
      <c r="P1184" s="23" t="s">
        <v>14969</v>
      </c>
      <c r="Q1184" s="23" t="s">
        <v>14975</v>
      </c>
      <c r="R1184" s="23" t="s">
        <v>14981</v>
      </c>
      <c r="S1184" s="23" t="s">
        <v>14987</v>
      </c>
      <c r="T1184" s="23" t="s">
        <v>14993</v>
      </c>
    </row>
    <row r="1185" spans="1:20" x14ac:dyDescent="0.2">
      <c r="A1185" s="23" t="s">
        <v>92</v>
      </c>
      <c r="C1185" s="23" t="s">
        <v>7472</v>
      </c>
      <c r="D1185" s="23" t="s">
        <v>7473</v>
      </c>
      <c r="E1185" s="23" t="s">
        <v>7474</v>
      </c>
      <c r="G1185" s="23" t="s">
        <v>7475</v>
      </c>
      <c r="K1185" s="23" t="s">
        <v>7476</v>
      </c>
      <c r="L1185" s="23" t="s">
        <v>7477</v>
      </c>
      <c r="O1185" s="23" t="s">
        <v>12127</v>
      </c>
      <c r="P1185" s="23" t="s">
        <v>14970</v>
      </c>
      <c r="Q1185" s="23" t="s">
        <v>14976</v>
      </c>
      <c r="R1185" s="23" t="s">
        <v>14982</v>
      </c>
      <c r="S1185" s="23" t="s">
        <v>14988</v>
      </c>
      <c r="T1185" s="23" t="s">
        <v>14994</v>
      </c>
    </row>
    <row r="1186" spans="1:20" x14ac:dyDescent="0.2">
      <c r="A1186" s="23" t="s">
        <v>92</v>
      </c>
      <c r="C1186" s="23" t="s">
        <v>7442</v>
      </c>
      <c r="D1186" s="23" t="s">
        <v>7443</v>
      </c>
      <c r="E1186" s="23" t="s">
        <v>7444</v>
      </c>
      <c r="G1186" s="23" t="s">
        <v>7445</v>
      </c>
      <c r="K1186" s="23" t="s">
        <v>7446</v>
      </c>
      <c r="L1186" s="23" t="s">
        <v>7447</v>
      </c>
    </row>
    <row r="1187" spans="1:20" x14ac:dyDescent="0.2">
      <c r="A1187" s="23" t="s">
        <v>92</v>
      </c>
      <c r="C1187" s="23" t="s">
        <v>7478</v>
      </c>
      <c r="D1187" s="23" t="s">
        <v>7479</v>
      </c>
      <c r="E1187" s="23" t="s">
        <v>7480</v>
      </c>
      <c r="G1187" s="23" t="s">
        <v>7481</v>
      </c>
      <c r="K1187" s="23" t="s">
        <v>7482</v>
      </c>
      <c r="L1187" s="23" t="s">
        <v>7483</v>
      </c>
      <c r="M1187" s="23" t="s">
        <v>7484</v>
      </c>
      <c r="N1187" s="23" t="s">
        <v>7485</v>
      </c>
      <c r="T1187" s="23" t="s">
        <v>7486</v>
      </c>
    </row>
    <row r="1188" spans="1:20" x14ac:dyDescent="0.2">
      <c r="A1188" s="23" t="s">
        <v>92</v>
      </c>
      <c r="C1188" s="23" t="s">
        <v>7487</v>
      </c>
      <c r="D1188" s="23" t="s">
        <v>7488</v>
      </c>
      <c r="E1188" s="23" t="s">
        <v>7489</v>
      </c>
      <c r="G1188" s="23" t="s">
        <v>7490</v>
      </c>
      <c r="K1188" s="23" t="s">
        <v>7491</v>
      </c>
      <c r="L1188" s="23" t="s">
        <v>7492</v>
      </c>
      <c r="M1188" s="23" t="s">
        <v>7493</v>
      </c>
      <c r="N1188" s="23" t="s">
        <v>7494</v>
      </c>
    </row>
    <row r="1189" spans="1:20" x14ac:dyDescent="0.2">
      <c r="A1189" s="23" t="s">
        <v>92</v>
      </c>
      <c r="C1189" s="23" t="s">
        <v>7495</v>
      </c>
      <c r="D1189" s="23" t="s">
        <v>7496</v>
      </c>
      <c r="E1189" s="23" t="s">
        <v>7497</v>
      </c>
      <c r="G1189" s="23" t="s">
        <v>7498</v>
      </c>
      <c r="K1189" s="23" t="s">
        <v>7499</v>
      </c>
      <c r="L1189" s="23" t="s">
        <v>7500</v>
      </c>
      <c r="O1189" s="23" t="s">
        <v>12128</v>
      </c>
      <c r="P1189" s="23" t="s">
        <v>7501</v>
      </c>
      <c r="Q1189" s="23" t="s">
        <v>7502</v>
      </c>
      <c r="R1189" s="23" t="s">
        <v>7503</v>
      </c>
      <c r="S1189" s="23" t="s">
        <v>7504</v>
      </c>
      <c r="T1189" s="23" t="s">
        <v>7505</v>
      </c>
    </row>
    <row r="1190" spans="1:20" x14ac:dyDescent="0.2">
      <c r="A1190" s="23" t="s">
        <v>92</v>
      </c>
      <c r="C1190" s="23" t="s">
        <v>7506</v>
      </c>
      <c r="D1190" s="23" t="s">
        <v>7507</v>
      </c>
      <c r="E1190" s="23" t="s">
        <v>7508</v>
      </c>
      <c r="G1190" s="23" t="s">
        <v>7509</v>
      </c>
      <c r="K1190" s="23" t="s">
        <v>7510</v>
      </c>
      <c r="L1190" s="23" t="s">
        <v>7511</v>
      </c>
      <c r="O1190" s="23" t="s">
        <v>12129</v>
      </c>
      <c r="P1190" s="23" t="s">
        <v>14930</v>
      </c>
      <c r="Q1190" s="23" t="s">
        <v>14937</v>
      </c>
      <c r="R1190" s="23" t="s">
        <v>14944</v>
      </c>
      <c r="S1190" s="23" t="s">
        <v>14951</v>
      </c>
      <c r="T1190" s="23" t="s">
        <v>14958</v>
      </c>
    </row>
    <row r="1191" spans="1:20" x14ac:dyDescent="0.2">
      <c r="A1191" s="23" t="s">
        <v>92</v>
      </c>
      <c r="C1191" s="23" t="s">
        <v>7512</v>
      </c>
      <c r="D1191" s="23" t="s">
        <v>7513</v>
      </c>
      <c r="E1191" s="23" t="s">
        <v>7514</v>
      </c>
      <c r="G1191" s="23" t="s">
        <v>7515</v>
      </c>
      <c r="K1191" s="23" t="s">
        <v>7516</v>
      </c>
      <c r="L1191" s="23" t="s">
        <v>7517</v>
      </c>
      <c r="O1191" s="23" t="s">
        <v>11571</v>
      </c>
      <c r="P1191" s="23" t="s">
        <v>14931</v>
      </c>
      <c r="Q1191" s="23" t="s">
        <v>14938</v>
      </c>
      <c r="R1191" s="23" t="s">
        <v>14945</v>
      </c>
      <c r="S1191" s="23" t="s">
        <v>14952</v>
      </c>
      <c r="T1191" s="23" t="s">
        <v>14959</v>
      </c>
    </row>
    <row r="1192" spans="1:20" x14ac:dyDescent="0.2">
      <c r="A1192" s="23" t="s">
        <v>92</v>
      </c>
      <c r="C1192" s="23" t="s">
        <v>7518</v>
      </c>
      <c r="D1192" s="23" t="s">
        <v>7519</v>
      </c>
      <c r="E1192" s="23" t="s">
        <v>7520</v>
      </c>
      <c r="G1192" s="23" t="s">
        <v>7521</v>
      </c>
      <c r="K1192" s="23" t="s">
        <v>7522</v>
      </c>
      <c r="L1192" s="23" t="s">
        <v>7523</v>
      </c>
      <c r="O1192" s="23" t="s">
        <v>12130</v>
      </c>
      <c r="P1192" s="23" t="s">
        <v>14932</v>
      </c>
      <c r="Q1192" s="23" t="s">
        <v>14939</v>
      </c>
      <c r="R1192" s="23" t="s">
        <v>14946</v>
      </c>
      <c r="S1192" s="23" t="s">
        <v>14953</v>
      </c>
      <c r="T1192" s="23" t="s">
        <v>14960</v>
      </c>
    </row>
    <row r="1193" spans="1:20" x14ac:dyDescent="0.2">
      <c r="A1193" s="23" t="s">
        <v>92</v>
      </c>
      <c r="C1193" s="23" t="s">
        <v>7524</v>
      </c>
      <c r="D1193" s="23" t="s">
        <v>7525</v>
      </c>
      <c r="E1193" s="23" t="s">
        <v>7526</v>
      </c>
      <c r="G1193" s="23" t="s">
        <v>7527</v>
      </c>
      <c r="K1193" s="23" t="s">
        <v>7528</v>
      </c>
      <c r="L1193" s="23" t="s">
        <v>7529</v>
      </c>
      <c r="O1193" s="23" t="s">
        <v>11531</v>
      </c>
      <c r="P1193" s="23" t="s">
        <v>14933</v>
      </c>
      <c r="Q1193" s="23" t="s">
        <v>14940</v>
      </c>
      <c r="R1193" s="23" t="s">
        <v>14947</v>
      </c>
      <c r="S1193" s="23" t="s">
        <v>14954</v>
      </c>
      <c r="T1193" s="23" t="s">
        <v>14961</v>
      </c>
    </row>
    <row r="1194" spans="1:20" x14ac:dyDescent="0.2">
      <c r="A1194" s="23" t="s">
        <v>92</v>
      </c>
      <c r="C1194" s="23" t="s">
        <v>7530</v>
      </c>
      <c r="D1194" s="23" t="s">
        <v>7531</v>
      </c>
      <c r="E1194" s="23" t="s">
        <v>7532</v>
      </c>
      <c r="G1194" s="23" t="s">
        <v>7533</v>
      </c>
      <c r="K1194" s="23" t="s">
        <v>7534</v>
      </c>
      <c r="L1194" s="23" t="s">
        <v>7535</v>
      </c>
      <c r="O1194" s="23" t="s">
        <v>11851</v>
      </c>
      <c r="P1194" s="23" t="s">
        <v>14934</v>
      </c>
      <c r="Q1194" s="23" t="s">
        <v>14941</v>
      </c>
      <c r="R1194" s="23" t="s">
        <v>14948</v>
      </c>
      <c r="S1194" s="23" t="s">
        <v>14955</v>
      </c>
      <c r="T1194" s="23" t="s">
        <v>14962</v>
      </c>
    </row>
    <row r="1195" spans="1:20" x14ac:dyDescent="0.2">
      <c r="A1195" s="23" t="s">
        <v>92</v>
      </c>
      <c r="C1195" s="23" t="s">
        <v>7536</v>
      </c>
      <c r="D1195" s="23" t="s">
        <v>7537</v>
      </c>
      <c r="E1195" s="23" t="s">
        <v>7538</v>
      </c>
      <c r="G1195" s="23" t="s">
        <v>7539</v>
      </c>
      <c r="K1195" s="23" t="s">
        <v>7540</v>
      </c>
      <c r="L1195" s="23" t="s">
        <v>7541</v>
      </c>
      <c r="O1195" s="23" t="s">
        <v>11573</v>
      </c>
      <c r="P1195" s="23" t="s">
        <v>14935</v>
      </c>
      <c r="Q1195" s="23" t="s">
        <v>14942</v>
      </c>
      <c r="R1195" s="23" t="s">
        <v>14949</v>
      </c>
      <c r="S1195" s="23" t="s">
        <v>14956</v>
      </c>
      <c r="T1195" s="23" t="s">
        <v>14963</v>
      </c>
    </row>
    <row r="1196" spans="1:20" x14ac:dyDescent="0.2">
      <c r="A1196" s="23" t="s">
        <v>92</v>
      </c>
      <c r="C1196" s="23" t="s">
        <v>7542</v>
      </c>
      <c r="D1196" s="23" t="s">
        <v>7543</v>
      </c>
      <c r="E1196" s="23" t="s">
        <v>7544</v>
      </c>
      <c r="G1196" s="23" t="s">
        <v>7545</v>
      </c>
      <c r="K1196" s="23" t="s">
        <v>7546</v>
      </c>
      <c r="L1196" s="23" t="s">
        <v>7547</v>
      </c>
      <c r="O1196" s="23" t="s">
        <v>12131</v>
      </c>
      <c r="P1196" s="23" t="s">
        <v>14936</v>
      </c>
      <c r="Q1196" s="23" t="s">
        <v>14943</v>
      </c>
      <c r="R1196" s="23" t="s">
        <v>14950</v>
      </c>
      <c r="S1196" s="23" t="s">
        <v>14957</v>
      </c>
      <c r="T1196" s="23" t="s">
        <v>14964</v>
      </c>
    </row>
    <row r="1197" spans="1:20" x14ac:dyDescent="0.2">
      <c r="A1197" s="23" t="s">
        <v>92</v>
      </c>
      <c r="C1197" s="23" t="s">
        <v>7506</v>
      </c>
      <c r="D1197" s="23" t="s">
        <v>7507</v>
      </c>
      <c r="E1197" s="23" t="s">
        <v>7508</v>
      </c>
      <c r="G1197" s="23" t="s">
        <v>7509</v>
      </c>
      <c r="K1197" s="23" t="s">
        <v>7510</v>
      </c>
      <c r="L1197" s="23" t="s">
        <v>7511</v>
      </c>
    </row>
    <row r="1198" spans="1:20" x14ac:dyDescent="0.2">
      <c r="A1198" s="23" t="s">
        <v>92</v>
      </c>
      <c r="C1198" s="23" t="s">
        <v>7548</v>
      </c>
      <c r="D1198" s="23" t="s">
        <v>7549</v>
      </c>
      <c r="E1198" s="23" t="s">
        <v>7550</v>
      </c>
      <c r="G1198" s="23" t="s">
        <v>7551</v>
      </c>
      <c r="K1198" s="23" t="s">
        <v>7552</v>
      </c>
      <c r="L1198" s="23" t="s">
        <v>7553</v>
      </c>
      <c r="M1198" s="23" t="s">
        <v>7554</v>
      </c>
      <c r="N1198" s="23" t="s">
        <v>7555</v>
      </c>
      <c r="T1198" s="23" t="s">
        <v>7556</v>
      </c>
    </row>
    <row r="1199" spans="1:20" x14ac:dyDescent="0.2">
      <c r="A1199" s="23" t="s">
        <v>92</v>
      </c>
      <c r="C1199" s="23" t="s">
        <v>7557</v>
      </c>
      <c r="D1199" s="23" t="s">
        <v>7558</v>
      </c>
      <c r="E1199" s="23" t="s">
        <v>7559</v>
      </c>
      <c r="G1199" s="23" t="s">
        <v>7560</v>
      </c>
      <c r="K1199" s="23" t="s">
        <v>7561</v>
      </c>
      <c r="L1199" s="23" t="s">
        <v>7562</v>
      </c>
      <c r="M1199" s="23" t="s">
        <v>7563</v>
      </c>
      <c r="N1199" s="23" t="s">
        <v>7564</v>
      </c>
    </row>
    <row r="1200" spans="1:20" x14ac:dyDescent="0.2">
      <c r="A1200" s="23" t="s">
        <v>92</v>
      </c>
      <c r="C1200" s="23" t="s">
        <v>7565</v>
      </c>
      <c r="D1200" s="23" t="s">
        <v>7566</v>
      </c>
      <c r="E1200" s="23" t="s">
        <v>7567</v>
      </c>
      <c r="G1200" s="23" t="s">
        <v>7568</v>
      </c>
      <c r="K1200" s="23" t="s">
        <v>7569</v>
      </c>
      <c r="L1200" s="23" t="s">
        <v>7570</v>
      </c>
      <c r="O1200" s="23" t="s">
        <v>12132</v>
      </c>
      <c r="P1200" s="23" t="s">
        <v>7571</v>
      </c>
      <c r="Q1200" s="23" t="s">
        <v>7572</v>
      </c>
      <c r="R1200" s="23" t="s">
        <v>7573</v>
      </c>
      <c r="S1200" s="23" t="s">
        <v>7574</v>
      </c>
      <c r="T1200" s="23" t="s">
        <v>7575</v>
      </c>
    </row>
    <row r="1201" spans="1:20" x14ac:dyDescent="0.2">
      <c r="A1201" s="23" t="s">
        <v>92</v>
      </c>
      <c r="C1201" s="23" t="s">
        <v>7576</v>
      </c>
      <c r="D1201" s="23" t="s">
        <v>7577</v>
      </c>
      <c r="E1201" s="23" t="s">
        <v>7578</v>
      </c>
      <c r="G1201" s="23" t="s">
        <v>7579</v>
      </c>
      <c r="K1201" s="23" t="s">
        <v>7580</v>
      </c>
      <c r="L1201" s="23" t="s">
        <v>7581</v>
      </c>
      <c r="O1201" s="23" t="s">
        <v>12133</v>
      </c>
      <c r="P1201" s="23" t="s">
        <v>14900</v>
      </c>
      <c r="Q1201" s="23" t="s">
        <v>14906</v>
      </c>
      <c r="R1201" s="23" t="s">
        <v>14912</v>
      </c>
      <c r="S1201" s="23" t="s">
        <v>14918</v>
      </c>
      <c r="T1201" s="23" t="s">
        <v>14924</v>
      </c>
    </row>
    <row r="1202" spans="1:20" x14ac:dyDescent="0.2">
      <c r="A1202" s="23" t="s">
        <v>92</v>
      </c>
      <c r="C1202" s="23" t="s">
        <v>7582</v>
      </c>
      <c r="D1202" s="23" t="s">
        <v>7583</v>
      </c>
      <c r="E1202" s="23" t="s">
        <v>7584</v>
      </c>
      <c r="G1202" s="23" t="s">
        <v>7585</v>
      </c>
      <c r="K1202" s="23" t="s">
        <v>7586</v>
      </c>
      <c r="L1202" s="23" t="s">
        <v>7587</v>
      </c>
      <c r="O1202" s="23" t="s">
        <v>12134</v>
      </c>
      <c r="P1202" s="23" t="s">
        <v>14901</v>
      </c>
      <c r="Q1202" s="23" t="s">
        <v>14907</v>
      </c>
      <c r="R1202" s="23" t="s">
        <v>14913</v>
      </c>
      <c r="S1202" s="23" t="s">
        <v>14919</v>
      </c>
      <c r="T1202" s="23" t="s">
        <v>14925</v>
      </c>
    </row>
    <row r="1203" spans="1:20" x14ac:dyDescent="0.2">
      <c r="A1203" s="23" t="s">
        <v>92</v>
      </c>
      <c r="C1203" s="23" t="s">
        <v>7588</v>
      </c>
      <c r="D1203" s="23" t="s">
        <v>7589</v>
      </c>
      <c r="E1203" s="23" t="s">
        <v>7590</v>
      </c>
      <c r="G1203" s="23" t="s">
        <v>7591</v>
      </c>
      <c r="K1203" s="23" t="s">
        <v>7592</v>
      </c>
      <c r="L1203" s="23" t="s">
        <v>7593</v>
      </c>
      <c r="O1203" s="23" t="s">
        <v>11538</v>
      </c>
      <c r="P1203" s="23" t="s">
        <v>14902</v>
      </c>
      <c r="Q1203" s="23" t="s">
        <v>14908</v>
      </c>
      <c r="R1203" s="23" t="s">
        <v>14914</v>
      </c>
      <c r="S1203" s="23" t="s">
        <v>14920</v>
      </c>
      <c r="T1203" s="23" t="s">
        <v>14926</v>
      </c>
    </row>
    <row r="1204" spans="1:20" x14ac:dyDescent="0.2">
      <c r="A1204" s="23" t="s">
        <v>92</v>
      </c>
      <c r="C1204" s="23" t="s">
        <v>7594</v>
      </c>
      <c r="D1204" s="23" t="s">
        <v>7595</v>
      </c>
      <c r="E1204" s="23" t="s">
        <v>7596</v>
      </c>
      <c r="G1204" s="23" t="s">
        <v>7597</v>
      </c>
      <c r="K1204" s="23" t="s">
        <v>7598</v>
      </c>
      <c r="L1204" s="23" t="s">
        <v>7599</v>
      </c>
      <c r="O1204" s="23" t="s">
        <v>11856</v>
      </c>
      <c r="P1204" s="23" t="s">
        <v>14903</v>
      </c>
      <c r="Q1204" s="23" t="s">
        <v>14909</v>
      </c>
      <c r="R1204" s="23" t="s">
        <v>14915</v>
      </c>
      <c r="S1204" s="23" t="s">
        <v>14921</v>
      </c>
      <c r="T1204" s="23" t="s">
        <v>14927</v>
      </c>
    </row>
    <row r="1205" spans="1:20" x14ac:dyDescent="0.2">
      <c r="A1205" s="23" t="s">
        <v>92</v>
      </c>
      <c r="C1205" s="23" t="s">
        <v>7600</v>
      </c>
      <c r="D1205" s="23" t="s">
        <v>7601</v>
      </c>
      <c r="E1205" s="23" t="s">
        <v>7602</v>
      </c>
      <c r="G1205" s="23" t="s">
        <v>7603</v>
      </c>
      <c r="K1205" s="23" t="s">
        <v>7604</v>
      </c>
      <c r="L1205" s="23" t="s">
        <v>7605</v>
      </c>
      <c r="O1205" s="23" t="s">
        <v>11578</v>
      </c>
      <c r="P1205" s="23" t="s">
        <v>14904</v>
      </c>
      <c r="Q1205" s="23" t="s">
        <v>14910</v>
      </c>
      <c r="R1205" s="23" t="s">
        <v>14916</v>
      </c>
      <c r="S1205" s="23" t="s">
        <v>14922</v>
      </c>
      <c r="T1205" s="23" t="s">
        <v>14928</v>
      </c>
    </row>
    <row r="1206" spans="1:20" x14ac:dyDescent="0.2">
      <c r="A1206" s="23" t="s">
        <v>92</v>
      </c>
      <c r="C1206" s="23" t="s">
        <v>7606</v>
      </c>
      <c r="D1206" s="23" t="s">
        <v>7607</v>
      </c>
      <c r="E1206" s="23" t="s">
        <v>7608</v>
      </c>
      <c r="G1206" s="23" t="s">
        <v>7609</v>
      </c>
      <c r="K1206" s="23" t="s">
        <v>7610</v>
      </c>
      <c r="L1206" s="23" t="s">
        <v>7611</v>
      </c>
      <c r="O1206" s="23" t="s">
        <v>12135</v>
      </c>
      <c r="P1206" s="23" t="s">
        <v>14905</v>
      </c>
      <c r="Q1206" s="23" t="s">
        <v>14911</v>
      </c>
      <c r="R1206" s="23" t="s">
        <v>14917</v>
      </c>
      <c r="S1206" s="23" t="s">
        <v>14923</v>
      </c>
      <c r="T1206" s="23" t="s">
        <v>14929</v>
      </c>
    </row>
    <row r="1207" spans="1:20" x14ac:dyDescent="0.2">
      <c r="A1207" s="23" t="s">
        <v>92</v>
      </c>
      <c r="C1207" s="23" t="s">
        <v>7576</v>
      </c>
      <c r="D1207" s="23" t="s">
        <v>7577</v>
      </c>
      <c r="E1207" s="23" t="s">
        <v>7578</v>
      </c>
      <c r="G1207" s="23" t="s">
        <v>7579</v>
      </c>
      <c r="K1207" s="23" t="s">
        <v>7580</v>
      </c>
      <c r="L1207" s="23" t="s">
        <v>7581</v>
      </c>
    </row>
    <row r="1208" spans="1:20" x14ac:dyDescent="0.2">
      <c r="A1208" s="23" t="s">
        <v>92</v>
      </c>
      <c r="C1208" s="23" t="s">
        <v>7612</v>
      </c>
      <c r="D1208" s="23" t="s">
        <v>7613</v>
      </c>
      <c r="E1208" s="23" t="s">
        <v>7614</v>
      </c>
      <c r="G1208" s="23" t="s">
        <v>7615</v>
      </c>
      <c r="K1208" s="23" t="s">
        <v>7616</v>
      </c>
      <c r="L1208" s="23" t="s">
        <v>7617</v>
      </c>
      <c r="M1208" s="23" t="s">
        <v>7618</v>
      </c>
      <c r="N1208" s="23" t="s">
        <v>7619</v>
      </c>
      <c r="T1208" s="23" t="s">
        <v>7620</v>
      </c>
    </row>
    <row r="1209" spans="1:20" x14ac:dyDescent="0.2">
      <c r="A1209" s="23" t="s">
        <v>92</v>
      </c>
      <c r="C1209" s="23" t="s">
        <v>7621</v>
      </c>
      <c r="D1209" s="23" t="s">
        <v>7622</v>
      </c>
      <c r="E1209" s="23" t="s">
        <v>7623</v>
      </c>
      <c r="G1209" s="23" t="s">
        <v>7624</v>
      </c>
      <c r="K1209" s="23" t="s">
        <v>7625</v>
      </c>
      <c r="L1209" s="23" t="s">
        <v>7626</v>
      </c>
      <c r="M1209" s="23" t="s">
        <v>7627</v>
      </c>
      <c r="N1209" s="23" t="s">
        <v>7628</v>
      </c>
    </row>
    <row r="1210" spans="1:20" x14ac:dyDescent="0.2">
      <c r="A1210" s="23" t="s">
        <v>92</v>
      </c>
      <c r="C1210" s="23" t="s">
        <v>7629</v>
      </c>
      <c r="D1210" s="23" t="s">
        <v>7630</v>
      </c>
      <c r="E1210" s="23" t="s">
        <v>7631</v>
      </c>
      <c r="G1210" s="23" t="s">
        <v>7632</v>
      </c>
      <c r="K1210" s="23" t="s">
        <v>7633</v>
      </c>
      <c r="L1210" s="23" t="s">
        <v>7634</v>
      </c>
      <c r="O1210" s="23" t="s">
        <v>12136</v>
      </c>
      <c r="P1210" s="23" t="s">
        <v>7635</v>
      </c>
      <c r="Q1210" s="23" t="s">
        <v>7636</v>
      </c>
      <c r="R1210" s="23" t="s">
        <v>7637</v>
      </c>
      <c r="S1210" s="23" t="s">
        <v>7638</v>
      </c>
      <c r="T1210" s="23" t="s">
        <v>7639</v>
      </c>
    </row>
    <row r="1211" spans="1:20" x14ac:dyDescent="0.2">
      <c r="A1211" s="23" t="s">
        <v>92</v>
      </c>
      <c r="C1211" s="23" t="s">
        <v>7640</v>
      </c>
      <c r="D1211" s="23" t="s">
        <v>7641</v>
      </c>
      <c r="E1211" s="23" t="s">
        <v>7642</v>
      </c>
      <c r="G1211" s="23" t="s">
        <v>7643</v>
      </c>
      <c r="K1211" s="23" t="s">
        <v>7644</v>
      </c>
      <c r="L1211" s="23" t="s">
        <v>7645</v>
      </c>
      <c r="O1211" s="23" t="s">
        <v>12137</v>
      </c>
      <c r="P1211" s="23" t="s">
        <v>14870</v>
      </c>
      <c r="Q1211" s="23" t="s">
        <v>14876</v>
      </c>
      <c r="R1211" s="23" t="s">
        <v>14882</v>
      </c>
      <c r="S1211" s="23" t="s">
        <v>14888</v>
      </c>
      <c r="T1211" s="23" t="s">
        <v>14894</v>
      </c>
    </row>
    <row r="1212" spans="1:20" x14ac:dyDescent="0.2">
      <c r="A1212" s="23" t="s">
        <v>92</v>
      </c>
      <c r="C1212" s="23" t="s">
        <v>7646</v>
      </c>
      <c r="D1212" s="23" t="s">
        <v>7647</v>
      </c>
      <c r="E1212" s="23" t="s">
        <v>7648</v>
      </c>
      <c r="G1212" s="23" t="s">
        <v>7649</v>
      </c>
      <c r="K1212" s="23" t="s">
        <v>7650</v>
      </c>
      <c r="L1212" s="23" t="s">
        <v>7651</v>
      </c>
      <c r="O1212" s="23" t="s">
        <v>12138</v>
      </c>
      <c r="P1212" s="23" t="s">
        <v>14871</v>
      </c>
      <c r="Q1212" s="23" t="s">
        <v>14877</v>
      </c>
      <c r="R1212" s="23" t="s">
        <v>14883</v>
      </c>
      <c r="S1212" s="23" t="s">
        <v>14889</v>
      </c>
      <c r="T1212" s="23" t="s">
        <v>14895</v>
      </c>
    </row>
    <row r="1213" spans="1:20" x14ac:dyDescent="0.2">
      <c r="A1213" s="23" t="s">
        <v>92</v>
      </c>
      <c r="C1213" s="23" t="s">
        <v>7652</v>
      </c>
      <c r="D1213" s="23" t="s">
        <v>7653</v>
      </c>
      <c r="E1213" s="23" t="s">
        <v>7654</v>
      </c>
      <c r="G1213" s="23" t="s">
        <v>7655</v>
      </c>
      <c r="K1213" s="23" t="s">
        <v>7656</v>
      </c>
      <c r="L1213" s="23" t="s">
        <v>7657</v>
      </c>
      <c r="O1213" s="23" t="s">
        <v>11546</v>
      </c>
      <c r="P1213" s="23" t="s">
        <v>14872</v>
      </c>
      <c r="Q1213" s="23" t="s">
        <v>14878</v>
      </c>
      <c r="R1213" s="23" t="s">
        <v>14884</v>
      </c>
      <c r="S1213" s="23" t="s">
        <v>14890</v>
      </c>
      <c r="T1213" s="23" t="s">
        <v>14896</v>
      </c>
    </row>
    <row r="1214" spans="1:20" x14ac:dyDescent="0.2">
      <c r="A1214" s="23" t="s">
        <v>92</v>
      </c>
      <c r="C1214" s="23" t="s">
        <v>7658</v>
      </c>
      <c r="D1214" s="23" t="s">
        <v>7659</v>
      </c>
      <c r="E1214" s="23" t="s">
        <v>7660</v>
      </c>
      <c r="G1214" s="23" t="s">
        <v>7661</v>
      </c>
      <c r="K1214" s="23" t="s">
        <v>7662</v>
      </c>
      <c r="L1214" s="23" t="s">
        <v>7663</v>
      </c>
      <c r="O1214" s="23" t="s">
        <v>11861</v>
      </c>
      <c r="P1214" s="23" t="s">
        <v>14873</v>
      </c>
      <c r="Q1214" s="23" t="s">
        <v>14879</v>
      </c>
      <c r="R1214" s="23" t="s">
        <v>14885</v>
      </c>
      <c r="S1214" s="23" t="s">
        <v>14891</v>
      </c>
      <c r="T1214" s="23" t="s">
        <v>14897</v>
      </c>
    </row>
    <row r="1215" spans="1:20" x14ac:dyDescent="0.2">
      <c r="A1215" s="23" t="s">
        <v>92</v>
      </c>
      <c r="C1215" s="23" t="s">
        <v>7664</v>
      </c>
      <c r="D1215" s="23" t="s">
        <v>7665</v>
      </c>
      <c r="E1215" s="23" t="s">
        <v>7666</v>
      </c>
      <c r="G1215" s="23" t="s">
        <v>7667</v>
      </c>
      <c r="K1215" s="23" t="s">
        <v>7668</v>
      </c>
      <c r="L1215" s="23" t="s">
        <v>7669</v>
      </c>
      <c r="O1215" s="23" t="s">
        <v>11583</v>
      </c>
      <c r="P1215" s="23" t="s">
        <v>14874</v>
      </c>
      <c r="Q1215" s="23" t="s">
        <v>14880</v>
      </c>
      <c r="R1215" s="23" t="s">
        <v>14886</v>
      </c>
      <c r="S1215" s="23" t="s">
        <v>14892</v>
      </c>
      <c r="T1215" s="23" t="s">
        <v>14898</v>
      </c>
    </row>
    <row r="1216" spans="1:20" x14ac:dyDescent="0.2">
      <c r="A1216" s="23" t="s">
        <v>92</v>
      </c>
      <c r="C1216" s="23" t="s">
        <v>7670</v>
      </c>
      <c r="D1216" s="23" t="s">
        <v>7671</v>
      </c>
      <c r="E1216" s="23" t="s">
        <v>7672</v>
      </c>
      <c r="G1216" s="23" t="s">
        <v>7673</v>
      </c>
      <c r="K1216" s="23" t="s">
        <v>7674</v>
      </c>
      <c r="L1216" s="23" t="s">
        <v>7675</v>
      </c>
      <c r="O1216" s="23" t="s">
        <v>12139</v>
      </c>
      <c r="P1216" s="23" t="s">
        <v>14875</v>
      </c>
      <c r="Q1216" s="23" t="s">
        <v>14881</v>
      </c>
      <c r="R1216" s="23" t="s">
        <v>14887</v>
      </c>
      <c r="S1216" s="23" t="s">
        <v>14893</v>
      </c>
      <c r="T1216" s="23" t="s">
        <v>14899</v>
      </c>
    </row>
    <row r="1217" spans="1:20" x14ac:dyDescent="0.2">
      <c r="A1217" s="23" t="s">
        <v>92</v>
      </c>
      <c r="C1217" s="23" t="s">
        <v>7640</v>
      </c>
      <c r="D1217" s="23" t="s">
        <v>7641</v>
      </c>
      <c r="E1217" s="23" t="s">
        <v>7642</v>
      </c>
      <c r="G1217" s="23" t="s">
        <v>7643</v>
      </c>
      <c r="K1217" s="23" t="s">
        <v>7644</v>
      </c>
      <c r="L1217" s="23" t="s">
        <v>7645</v>
      </c>
    </row>
    <row r="1218" spans="1:20" x14ac:dyDescent="0.2">
      <c r="A1218" s="23" t="s">
        <v>92</v>
      </c>
      <c r="C1218" s="23" t="s">
        <v>7676</v>
      </c>
      <c r="D1218" s="23" t="s">
        <v>7677</v>
      </c>
      <c r="E1218" s="23" t="s">
        <v>7678</v>
      </c>
      <c r="G1218" s="23" t="s">
        <v>7679</v>
      </c>
      <c r="K1218" s="23" t="s">
        <v>7680</v>
      </c>
      <c r="L1218" s="23" t="s">
        <v>7681</v>
      </c>
      <c r="M1218" s="23" t="s">
        <v>7682</v>
      </c>
      <c r="N1218" s="23" t="s">
        <v>7683</v>
      </c>
      <c r="T1218" s="23" t="s">
        <v>7684</v>
      </c>
    </row>
    <row r="1219" spans="1:20" x14ac:dyDescent="0.2">
      <c r="A1219" s="23" t="s">
        <v>92</v>
      </c>
      <c r="C1219" s="23" t="s">
        <v>7685</v>
      </c>
      <c r="D1219" s="23" t="s">
        <v>7686</v>
      </c>
      <c r="E1219" s="23" t="s">
        <v>7687</v>
      </c>
      <c r="G1219" s="23" t="s">
        <v>7688</v>
      </c>
      <c r="K1219" s="23" t="s">
        <v>7689</v>
      </c>
      <c r="L1219" s="23" t="s">
        <v>7690</v>
      </c>
      <c r="M1219" s="23" t="s">
        <v>7691</v>
      </c>
      <c r="N1219" s="23" t="s">
        <v>7692</v>
      </c>
    </row>
    <row r="1220" spans="1:20" x14ac:dyDescent="0.2">
      <c r="A1220" s="23" t="s">
        <v>92</v>
      </c>
      <c r="C1220" s="23" t="s">
        <v>7693</v>
      </c>
      <c r="D1220" s="23" t="s">
        <v>7694</v>
      </c>
      <c r="E1220" s="23" t="s">
        <v>7695</v>
      </c>
      <c r="G1220" s="23" t="s">
        <v>7696</v>
      </c>
      <c r="K1220" s="23" t="s">
        <v>7697</v>
      </c>
      <c r="L1220" s="23" t="s">
        <v>7698</v>
      </c>
      <c r="O1220" s="23" t="s">
        <v>12140</v>
      </c>
      <c r="P1220" s="23" t="s">
        <v>7699</v>
      </c>
      <c r="Q1220" s="23" t="s">
        <v>7700</v>
      </c>
      <c r="R1220" s="23" t="s">
        <v>7701</v>
      </c>
      <c r="S1220" s="23" t="s">
        <v>7702</v>
      </c>
      <c r="T1220" s="23" t="s">
        <v>7703</v>
      </c>
    </row>
    <row r="1221" spans="1:20" x14ac:dyDescent="0.2">
      <c r="A1221" s="23" t="s">
        <v>92</v>
      </c>
      <c r="C1221" s="23" t="s">
        <v>7704</v>
      </c>
      <c r="D1221" s="23" t="s">
        <v>7705</v>
      </c>
      <c r="E1221" s="23" t="s">
        <v>7706</v>
      </c>
      <c r="G1221" s="23" t="s">
        <v>7707</v>
      </c>
      <c r="K1221" s="23" t="s">
        <v>7708</v>
      </c>
      <c r="L1221" s="23" t="s">
        <v>7709</v>
      </c>
      <c r="O1221" s="23" t="s">
        <v>12141</v>
      </c>
      <c r="P1221" s="23" t="s">
        <v>14840</v>
      </c>
      <c r="Q1221" s="23" t="s">
        <v>14846</v>
      </c>
      <c r="R1221" s="23" t="s">
        <v>14852</v>
      </c>
      <c r="S1221" s="23" t="s">
        <v>14858</v>
      </c>
      <c r="T1221" s="23" t="s">
        <v>14864</v>
      </c>
    </row>
    <row r="1222" spans="1:20" x14ac:dyDescent="0.2">
      <c r="A1222" s="23" t="s">
        <v>92</v>
      </c>
      <c r="C1222" s="23" t="s">
        <v>7710</v>
      </c>
      <c r="D1222" s="23" t="s">
        <v>7711</v>
      </c>
      <c r="E1222" s="23" t="s">
        <v>7712</v>
      </c>
      <c r="G1222" s="23" t="s">
        <v>7713</v>
      </c>
      <c r="K1222" s="23" t="s">
        <v>7714</v>
      </c>
      <c r="L1222" s="23" t="s">
        <v>7715</v>
      </c>
      <c r="O1222" s="23" t="s">
        <v>12142</v>
      </c>
      <c r="P1222" s="23" t="s">
        <v>14841</v>
      </c>
      <c r="Q1222" s="23" t="s">
        <v>14847</v>
      </c>
      <c r="R1222" s="23" t="s">
        <v>14853</v>
      </c>
      <c r="S1222" s="23" t="s">
        <v>14859</v>
      </c>
      <c r="T1222" s="23" t="s">
        <v>14865</v>
      </c>
    </row>
    <row r="1223" spans="1:20" x14ac:dyDescent="0.2">
      <c r="A1223" s="23" t="s">
        <v>92</v>
      </c>
      <c r="C1223" s="23" t="s">
        <v>7716</v>
      </c>
      <c r="D1223" s="23" t="s">
        <v>7717</v>
      </c>
      <c r="E1223" s="23" t="s">
        <v>7718</v>
      </c>
      <c r="G1223" s="23" t="s">
        <v>7719</v>
      </c>
      <c r="K1223" s="23" t="s">
        <v>7720</v>
      </c>
      <c r="L1223" s="23" t="s">
        <v>7721</v>
      </c>
      <c r="O1223" s="23" t="s">
        <v>11554</v>
      </c>
      <c r="P1223" s="23" t="s">
        <v>14842</v>
      </c>
      <c r="Q1223" s="23" t="s">
        <v>14848</v>
      </c>
      <c r="R1223" s="23" t="s">
        <v>14854</v>
      </c>
      <c r="S1223" s="23" t="s">
        <v>14860</v>
      </c>
      <c r="T1223" s="23" t="s">
        <v>14866</v>
      </c>
    </row>
    <row r="1224" spans="1:20" x14ac:dyDescent="0.2">
      <c r="A1224" s="23" t="s">
        <v>92</v>
      </c>
      <c r="C1224" s="23" t="s">
        <v>7722</v>
      </c>
      <c r="D1224" s="23" t="s">
        <v>7723</v>
      </c>
      <c r="E1224" s="23" t="s">
        <v>7724</v>
      </c>
      <c r="G1224" s="23" t="s">
        <v>7725</v>
      </c>
      <c r="K1224" s="23" t="s">
        <v>7726</v>
      </c>
      <c r="L1224" s="23" t="s">
        <v>7727</v>
      </c>
      <c r="O1224" s="23" t="s">
        <v>11866</v>
      </c>
      <c r="P1224" s="23" t="s">
        <v>14843</v>
      </c>
      <c r="Q1224" s="23" t="s">
        <v>14849</v>
      </c>
      <c r="R1224" s="23" t="s">
        <v>14855</v>
      </c>
      <c r="S1224" s="23" t="s">
        <v>14861</v>
      </c>
      <c r="T1224" s="23" t="s">
        <v>14867</v>
      </c>
    </row>
    <row r="1225" spans="1:20" x14ac:dyDescent="0.2">
      <c r="A1225" s="23" t="s">
        <v>92</v>
      </c>
      <c r="C1225" s="23" t="s">
        <v>7728</v>
      </c>
      <c r="D1225" s="23" t="s">
        <v>7729</v>
      </c>
      <c r="E1225" s="23" t="s">
        <v>7730</v>
      </c>
      <c r="G1225" s="23" t="s">
        <v>7731</v>
      </c>
      <c r="K1225" s="23" t="s">
        <v>7732</v>
      </c>
      <c r="L1225" s="23" t="s">
        <v>7733</v>
      </c>
      <c r="O1225" s="23" t="s">
        <v>11588</v>
      </c>
      <c r="P1225" s="23" t="s">
        <v>14844</v>
      </c>
      <c r="Q1225" s="23" t="s">
        <v>14850</v>
      </c>
      <c r="R1225" s="23" t="s">
        <v>14856</v>
      </c>
      <c r="S1225" s="23" t="s">
        <v>14862</v>
      </c>
      <c r="T1225" s="23" t="s">
        <v>14868</v>
      </c>
    </row>
    <row r="1226" spans="1:20" x14ac:dyDescent="0.2">
      <c r="A1226" s="23" t="s">
        <v>92</v>
      </c>
      <c r="C1226" s="23" t="s">
        <v>7734</v>
      </c>
      <c r="D1226" s="23" t="s">
        <v>7735</v>
      </c>
      <c r="E1226" s="23" t="s">
        <v>7736</v>
      </c>
      <c r="G1226" s="23" t="s">
        <v>7737</v>
      </c>
      <c r="K1226" s="23" t="s">
        <v>7738</v>
      </c>
      <c r="L1226" s="23" t="s">
        <v>7739</v>
      </c>
      <c r="O1226" s="23" t="s">
        <v>12143</v>
      </c>
      <c r="P1226" s="23" t="s">
        <v>14845</v>
      </c>
      <c r="Q1226" s="23" t="s">
        <v>14851</v>
      </c>
      <c r="R1226" s="23" t="s">
        <v>14857</v>
      </c>
      <c r="S1226" s="23" t="s">
        <v>14863</v>
      </c>
      <c r="T1226" s="23" t="s">
        <v>14869</v>
      </c>
    </row>
    <row r="1227" spans="1:20" x14ac:dyDescent="0.2">
      <c r="A1227" s="23" t="s">
        <v>92</v>
      </c>
      <c r="C1227" s="23" t="s">
        <v>7704</v>
      </c>
      <c r="D1227" s="23" t="s">
        <v>7705</v>
      </c>
      <c r="E1227" s="23" t="s">
        <v>7706</v>
      </c>
      <c r="G1227" s="23" t="s">
        <v>7707</v>
      </c>
      <c r="K1227" s="23" t="s">
        <v>7708</v>
      </c>
      <c r="L1227" s="23" t="s">
        <v>7709</v>
      </c>
    </row>
    <row r="1228" spans="1:20" x14ac:dyDescent="0.2">
      <c r="A1228" s="23" t="s">
        <v>92</v>
      </c>
      <c r="C1228" s="23" t="s">
        <v>7740</v>
      </c>
      <c r="D1228" s="23" t="s">
        <v>7741</v>
      </c>
      <c r="E1228" s="23" t="s">
        <v>7742</v>
      </c>
      <c r="G1228" s="23" t="s">
        <v>7743</v>
      </c>
      <c r="K1228" s="23" t="s">
        <v>7744</v>
      </c>
      <c r="L1228" s="23" t="s">
        <v>7745</v>
      </c>
      <c r="M1228" s="23" t="s">
        <v>7746</v>
      </c>
      <c r="N1228" s="23" t="s">
        <v>7747</v>
      </c>
      <c r="T1228" s="23" t="s">
        <v>7748</v>
      </c>
    </row>
    <row r="1229" spans="1:20" x14ac:dyDescent="0.2">
      <c r="A1229" s="23" t="s">
        <v>92</v>
      </c>
      <c r="C1229" s="23" t="s">
        <v>7423</v>
      </c>
      <c r="D1229" s="23" t="s">
        <v>7424</v>
      </c>
      <c r="E1229" s="23" t="s">
        <v>7425</v>
      </c>
      <c r="G1229" s="23" t="s">
        <v>7426</v>
      </c>
    </row>
    <row r="1230" spans="1:20" x14ac:dyDescent="0.2">
      <c r="A1230" s="23" t="s">
        <v>92</v>
      </c>
      <c r="C1230" s="23" t="s">
        <v>7749</v>
      </c>
      <c r="D1230" s="23" t="s">
        <v>7750</v>
      </c>
      <c r="E1230" s="23" t="s">
        <v>7751</v>
      </c>
      <c r="G1230" s="23" t="s">
        <v>7752</v>
      </c>
      <c r="H1230" s="23" t="s">
        <v>7753</v>
      </c>
      <c r="I1230" s="23" t="s">
        <v>7754</v>
      </c>
      <c r="J1230" s="23" t="s">
        <v>7755</v>
      </c>
      <c r="T1230" s="23" t="s">
        <v>7756</v>
      </c>
    </row>
    <row r="1231" spans="1:20" x14ac:dyDescent="0.2">
      <c r="A1231" s="23" t="s">
        <v>92</v>
      </c>
      <c r="C1231" s="23" t="s">
        <v>7757</v>
      </c>
      <c r="D1231" s="23" t="s">
        <v>7758</v>
      </c>
      <c r="E1231" s="23" t="s">
        <v>7759</v>
      </c>
      <c r="G1231" s="23" t="s">
        <v>7760</v>
      </c>
      <c r="H1231" s="23" t="s">
        <v>7761</v>
      </c>
      <c r="I1231" s="23" t="s">
        <v>7762</v>
      </c>
      <c r="J1231" s="23" t="s">
        <v>7763</v>
      </c>
    </row>
    <row r="1232" spans="1:20" x14ac:dyDescent="0.2">
      <c r="A1232" s="23" t="s">
        <v>92</v>
      </c>
      <c r="C1232" s="23" t="s">
        <v>7764</v>
      </c>
      <c r="D1232" s="23" t="s">
        <v>7765</v>
      </c>
      <c r="E1232" s="23" t="s">
        <v>7766</v>
      </c>
      <c r="G1232" s="23" t="s">
        <v>7767</v>
      </c>
      <c r="K1232" s="23" t="s">
        <v>7768</v>
      </c>
      <c r="L1232" s="23" t="s">
        <v>7769</v>
      </c>
      <c r="M1232" s="23" t="s">
        <v>12144</v>
      </c>
      <c r="N1232" s="23" t="s">
        <v>7770</v>
      </c>
    </row>
    <row r="1233" spans="1:20" x14ac:dyDescent="0.2">
      <c r="A1233" s="23" t="s">
        <v>92</v>
      </c>
      <c r="C1233" s="23" t="s">
        <v>7771</v>
      </c>
      <c r="D1233" s="23" t="s">
        <v>7772</v>
      </c>
      <c r="E1233" s="23" t="s">
        <v>7773</v>
      </c>
      <c r="G1233" s="23" t="s">
        <v>7774</v>
      </c>
      <c r="K1233" s="23" t="s">
        <v>7775</v>
      </c>
      <c r="L1233" s="23" t="s">
        <v>7776</v>
      </c>
      <c r="O1233" s="23" t="s">
        <v>12145</v>
      </c>
      <c r="P1233" s="23" t="s">
        <v>7777</v>
      </c>
      <c r="Q1233" s="23" t="s">
        <v>7778</v>
      </c>
      <c r="R1233" s="23" t="s">
        <v>7779</v>
      </c>
      <c r="S1233" s="23" t="s">
        <v>7780</v>
      </c>
      <c r="T1233" s="23" t="s">
        <v>7781</v>
      </c>
    </row>
    <row r="1234" spans="1:20" x14ac:dyDescent="0.2">
      <c r="A1234" s="23" t="s">
        <v>92</v>
      </c>
      <c r="C1234" s="23" t="s">
        <v>7782</v>
      </c>
      <c r="D1234" s="23" t="s">
        <v>7783</v>
      </c>
      <c r="E1234" s="23" t="s">
        <v>7784</v>
      </c>
      <c r="G1234" s="23" t="s">
        <v>7785</v>
      </c>
      <c r="K1234" s="23" t="s">
        <v>7786</v>
      </c>
      <c r="L1234" s="23" t="s">
        <v>7787</v>
      </c>
      <c r="O1234" s="23" t="s">
        <v>12146</v>
      </c>
      <c r="P1234" s="23" t="s">
        <v>14655</v>
      </c>
      <c r="Q1234" s="23" t="s">
        <v>14660</v>
      </c>
      <c r="R1234" s="23" t="s">
        <v>14665</v>
      </c>
      <c r="S1234" s="23" t="s">
        <v>14670</v>
      </c>
      <c r="T1234" s="23" t="s">
        <v>14675</v>
      </c>
    </row>
    <row r="1235" spans="1:20" x14ac:dyDescent="0.2">
      <c r="A1235" s="23" t="s">
        <v>92</v>
      </c>
      <c r="C1235" s="23" t="s">
        <v>7788</v>
      </c>
      <c r="D1235" s="23" t="s">
        <v>7789</v>
      </c>
      <c r="E1235" s="23" t="s">
        <v>7790</v>
      </c>
      <c r="G1235" s="23" t="s">
        <v>7791</v>
      </c>
      <c r="K1235" s="23" t="s">
        <v>7792</v>
      </c>
      <c r="L1235" s="23" t="s">
        <v>7793</v>
      </c>
      <c r="O1235" s="23" t="s">
        <v>12147</v>
      </c>
      <c r="P1235" s="23" t="s">
        <v>14656</v>
      </c>
      <c r="Q1235" s="23" t="s">
        <v>14661</v>
      </c>
      <c r="R1235" s="23" t="s">
        <v>14666</v>
      </c>
      <c r="S1235" s="23" t="s">
        <v>14671</v>
      </c>
      <c r="T1235" s="23" t="s">
        <v>14676</v>
      </c>
    </row>
    <row r="1236" spans="1:20" x14ac:dyDescent="0.2">
      <c r="A1236" s="23" t="s">
        <v>92</v>
      </c>
      <c r="C1236" s="23" t="s">
        <v>7794</v>
      </c>
      <c r="D1236" s="23" t="s">
        <v>7795</v>
      </c>
      <c r="E1236" s="23" t="s">
        <v>7796</v>
      </c>
      <c r="G1236" s="23" t="s">
        <v>7797</v>
      </c>
      <c r="K1236" s="23" t="s">
        <v>7798</v>
      </c>
      <c r="L1236" s="23" t="s">
        <v>7799</v>
      </c>
      <c r="O1236" s="23" t="s">
        <v>11517</v>
      </c>
      <c r="P1236" s="23" t="s">
        <v>14657</v>
      </c>
      <c r="Q1236" s="23" t="s">
        <v>14662</v>
      </c>
      <c r="R1236" s="23" t="s">
        <v>14667</v>
      </c>
      <c r="S1236" s="23" t="s">
        <v>14672</v>
      </c>
      <c r="T1236" s="23" t="s">
        <v>14677</v>
      </c>
    </row>
    <row r="1237" spans="1:20" x14ac:dyDescent="0.2">
      <c r="A1237" s="23" t="s">
        <v>92</v>
      </c>
      <c r="C1237" s="23" t="s">
        <v>7800</v>
      </c>
      <c r="D1237" s="23" t="s">
        <v>7801</v>
      </c>
      <c r="E1237" s="23" t="s">
        <v>7802</v>
      </c>
      <c r="G1237" s="23" t="s">
        <v>7803</v>
      </c>
      <c r="K1237" s="23" t="s">
        <v>7804</v>
      </c>
      <c r="L1237" s="23" t="s">
        <v>7805</v>
      </c>
      <c r="O1237" s="23" t="s">
        <v>11562</v>
      </c>
      <c r="P1237" s="23" t="s">
        <v>14658</v>
      </c>
      <c r="Q1237" s="23" t="s">
        <v>14663</v>
      </c>
      <c r="R1237" s="23" t="s">
        <v>14668</v>
      </c>
      <c r="S1237" s="23" t="s">
        <v>14673</v>
      </c>
      <c r="T1237" s="23" t="s">
        <v>14678</v>
      </c>
    </row>
    <row r="1238" spans="1:20" x14ac:dyDescent="0.2">
      <c r="A1238" s="23" t="s">
        <v>92</v>
      </c>
      <c r="C1238" s="23" t="s">
        <v>7806</v>
      </c>
      <c r="D1238" s="23" t="s">
        <v>7807</v>
      </c>
      <c r="E1238" s="23" t="s">
        <v>7808</v>
      </c>
      <c r="G1238" s="23" t="s">
        <v>7809</v>
      </c>
      <c r="K1238" s="23" t="s">
        <v>7810</v>
      </c>
      <c r="L1238" s="23" t="s">
        <v>7811</v>
      </c>
      <c r="O1238" s="23" t="s">
        <v>12148</v>
      </c>
      <c r="P1238" s="23" t="s">
        <v>14659</v>
      </c>
      <c r="Q1238" s="23" t="s">
        <v>14664</v>
      </c>
      <c r="R1238" s="23" t="s">
        <v>14669</v>
      </c>
      <c r="S1238" s="23" t="s">
        <v>14674</v>
      </c>
      <c r="T1238" s="23" t="s">
        <v>14679</v>
      </c>
    </row>
    <row r="1239" spans="1:20" x14ac:dyDescent="0.2">
      <c r="A1239" s="23" t="s">
        <v>92</v>
      </c>
      <c r="C1239" s="23" t="s">
        <v>7782</v>
      </c>
      <c r="D1239" s="23" t="s">
        <v>7783</v>
      </c>
      <c r="E1239" s="23" t="s">
        <v>7784</v>
      </c>
      <c r="G1239" s="23" t="s">
        <v>7785</v>
      </c>
      <c r="K1239" s="23" t="s">
        <v>7786</v>
      </c>
      <c r="L1239" s="23" t="s">
        <v>7787</v>
      </c>
    </row>
    <row r="1240" spans="1:20" x14ac:dyDescent="0.2">
      <c r="A1240" s="23" t="s">
        <v>92</v>
      </c>
      <c r="C1240" s="23" t="s">
        <v>7812</v>
      </c>
      <c r="D1240" s="23" t="s">
        <v>7813</v>
      </c>
      <c r="E1240" s="23" t="s">
        <v>7814</v>
      </c>
      <c r="G1240" s="23" t="s">
        <v>7815</v>
      </c>
      <c r="K1240" s="23" t="s">
        <v>7816</v>
      </c>
      <c r="L1240" s="23" t="s">
        <v>7817</v>
      </c>
      <c r="M1240" s="23" t="s">
        <v>7818</v>
      </c>
      <c r="N1240" s="23" t="s">
        <v>7819</v>
      </c>
      <c r="T1240" s="23" t="s">
        <v>7820</v>
      </c>
    </row>
    <row r="1241" spans="1:20" x14ac:dyDescent="0.2">
      <c r="A1241" s="23" t="s">
        <v>92</v>
      </c>
      <c r="C1241" s="23" t="s">
        <v>7821</v>
      </c>
      <c r="D1241" s="23" t="s">
        <v>7822</v>
      </c>
      <c r="E1241" s="23" t="s">
        <v>7823</v>
      </c>
      <c r="G1241" s="23" t="s">
        <v>7824</v>
      </c>
      <c r="K1241" s="23" t="s">
        <v>7825</v>
      </c>
      <c r="L1241" s="23" t="s">
        <v>7826</v>
      </c>
      <c r="M1241" s="23" t="s">
        <v>7827</v>
      </c>
      <c r="N1241" s="23" t="s">
        <v>7828</v>
      </c>
    </row>
    <row r="1242" spans="1:20" x14ac:dyDescent="0.2">
      <c r="A1242" s="23" t="s">
        <v>92</v>
      </c>
      <c r="C1242" s="23" t="s">
        <v>7829</v>
      </c>
      <c r="D1242" s="23" t="s">
        <v>7830</v>
      </c>
      <c r="E1242" s="23" t="s">
        <v>7831</v>
      </c>
      <c r="G1242" s="23" t="s">
        <v>7832</v>
      </c>
      <c r="K1242" s="23" t="s">
        <v>7833</v>
      </c>
      <c r="L1242" s="23" t="s">
        <v>7834</v>
      </c>
      <c r="O1242" s="23" t="s">
        <v>12149</v>
      </c>
      <c r="P1242" s="23" t="s">
        <v>7835</v>
      </c>
      <c r="Q1242" s="23" t="s">
        <v>7836</v>
      </c>
      <c r="R1242" s="23" t="s">
        <v>7837</v>
      </c>
      <c r="S1242" s="23" t="s">
        <v>7838</v>
      </c>
      <c r="T1242" s="23" t="s">
        <v>7839</v>
      </c>
    </row>
    <row r="1243" spans="1:20" x14ac:dyDescent="0.2">
      <c r="A1243" s="23" t="s">
        <v>92</v>
      </c>
      <c r="C1243" s="23" t="s">
        <v>7840</v>
      </c>
      <c r="D1243" s="23" t="s">
        <v>7841</v>
      </c>
      <c r="E1243" s="23" t="s">
        <v>7842</v>
      </c>
      <c r="G1243" s="23" t="s">
        <v>7843</v>
      </c>
      <c r="K1243" s="23" t="s">
        <v>7844</v>
      </c>
      <c r="L1243" s="23" t="s">
        <v>7845</v>
      </c>
      <c r="O1243" s="23" t="s">
        <v>12150</v>
      </c>
      <c r="P1243" s="23" t="s">
        <v>14780</v>
      </c>
      <c r="Q1243" s="23" t="s">
        <v>14786</v>
      </c>
      <c r="R1243" s="23" t="s">
        <v>14792</v>
      </c>
      <c r="S1243" s="23" t="s">
        <v>14798</v>
      </c>
      <c r="T1243" s="23" t="s">
        <v>14804</v>
      </c>
    </row>
    <row r="1244" spans="1:20" x14ac:dyDescent="0.2">
      <c r="A1244" s="23" t="s">
        <v>92</v>
      </c>
      <c r="C1244" s="23" t="s">
        <v>7846</v>
      </c>
      <c r="D1244" s="23" t="s">
        <v>7847</v>
      </c>
      <c r="E1244" s="23" t="s">
        <v>7848</v>
      </c>
      <c r="G1244" s="23" t="s">
        <v>7849</v>
      </c>
      <c r="K1244" s="23" t="s">
        <v>7850</v>
      </c>
      <c r="L1244" s="23" t="s">
        <v>7851</v>
      </c>
      <c r="O1244" s="23" t="s">
        <v>11622</v>
      </c>
      <c r="P1244" s="23" t="s">
        <v>14781</v>
      </c>
      <c r="Q1244" s="23" t="s">
        <v>14787</v>
      </c>
      <c r="R1244" s="23" t="s">
        <v>14793</v>
      </c>
      <c r="S1244" s="23" t="s">
        <v>14799</v>
      </c>
      <c r="T1244" s="23" t="s">
        <v>14805</v>
      </c>
    </row>
    <row r="1245" spans="1:20" x14ac:dyDescent="0.2">
      <c r="A1245" s="23" t="s">
        <v>92</v>
      </c>
      <c r="C1245" s="23" t="s">
        <v>7852</v>
      </c>
      <c r="D1245" s="23" t="s">
        <v>7853</v>
      </c>
      <c r="E1245" s="23" t="s">
        <v>7854</v>
      </c>
      <c r="G1245" s="23" t="s">
        <v>7855</v>
      </c>
      <c r="K1245" s="23" t="s">
        <v>7856</v>
      </c>
      <c r="L1245" s="23" t="s">
        <v>7857</v>
      </c>
      <c r="O1245" s="23" t="s">
        <v>12151</v>
      </c>
      <c r="P1245" s="23" t="s">
        <v>14782</v>
      </c>
      <c r="Q1245" s="23" t="s">
        <v>14788</v>
      </c>
      <c r="R1245" s="23" t="s">
        <v>14794</v>
      </c>
      <c r="S1245" s="23" t="s">
        <v>14800</v>
      </c>
      <c r="T1245" s="23" t="s">
        <v>14806</v>
      </c>
    </row>
    <row r="1246" spans="1:20" x14ac:dyDescent="0.2">
      <c r="A1246" s="23" t="s">
        <v>92</v>
      </c>
      <c r="C1246" s="23" t="s">
        <v>7858</v>
      </c>
      <c r="D1246" s="23" t="s">
        <v>7859</v>
      </c>
      <c r="E1246" s="23" t="s">
        <v>7860</v>
      </c>
      <c r="G1246" s="23" t="s">
        <v>7861</v>
      </c>
      <c r="K1246" s="23" t="s">
        <v>7862</v>
      </c>
      <c r="L1246" s="23" t="s">
        <v>7863</v>
      </c>
      <c r="O1246" s="23" t="s">
        <v>11524</v>
      </c>
      <c r="P1246" s="23" t="s">
        <v>14783</v>
      </c>
      <c r="Q1246" s="23" t="s">
        <v>14789</v>
      </c>
      <c r="R1246" s="23" t="s">
        <v>14795</v>
      </c>
      <c r="S1246" s="23" t="s">
        <v>14801</v>
      </c>
      <c r="T1246" s="23" t="s">
        <v>14807</v>
      </c>
    </row>
    <row r="1247" spans="1:20" x14ac:dyDescent="0.2">
      <c r="A1247" s="23" t="s">
        <v>92</v>
      </c>
      <c r="C1247" s="23" t="s">
        <v>7864</v>
      </c>
      <c r="D1247" s="23" t="s">
        <v>7865</v>
      </c>
      <c r="E1247" s="23" t="s">
        <v>7866</v>
      </c>
      <c r="G1247" s="23" t="s">
        <v>7867</v>
      </c>
      <c r="K1247" s="23" t="s">
        <v>7868</v>
      </c>
      <c r="L1247" s="23" t="s">
        <v>7869</v>
      </c>
      <c r="O1247" s="23" t="s">
        <v>11567</v>
      </c>
      <c r="P1247" s="23" t="s">
        <v>14784</v>
      </c>
      <c r="Q1247" s="23" t="s">
        <v>14790</v>
      </c>
      <c r="R1247" s="23" t="s">
        <v>14796</v>
      </c>
      <c r="S1247" s="23" t="s">
        <v>14802</v>
      </c>
      <c r="T1247" s="23" t="s">
        <v>14808</v>
      </c>
    </row>
    <row r="1248" spans="1:20" x14ac:dyDescent="0.2">
      <c r="A1248" s="23" t="s">
        <v>92</v>
      </c>
      <c r="C1248" s="23" t="s">
        <v>7870</v>
      </c>
      <c r="D1248" s="23" t="s">
        <v>7871</v>
      </c>
      <c r="E1248" s="23" t="s">
        <v>7872</v>
      </c>
      <c r="G1248" s="23" t="s">
        <v>7873</v>
      </c>
      <c r="K1248" s="23" t="s">
        <v>7874</v>
      </c>
      <c r="L1248" s="23" t="s">
        <v>7875</v>
      </c>
      <c r="O1248" s="23" t="s">
        <v>12152</v>
      </c>
      <c r="P1248" s="23" t="s">
        <v>14785</v>
      </c>
      <c r="Q1248" s="23" t="s">
        <v>14791</v>
      </c>
      <c r="R1248" s="23" t="s">
        <v>14797</v>
      </c>
      <c r="S1248" s="23" t="s">
        <v>14803</v>
      </c>
      <c r="T1248" s="23" t="s">
        <v>14809</v>
      </c>
    </row>
    <row r="1249" spans="1:20" x14ac:dyDescent="0.2">
      <c r="A1249" s="23" t="s">
        <v>92</v>
      </c>
      <c r="C1249" s="23" t="s">
        <v>7840</v>
      </c>
      <c r="D1249" s="23" t="s">
        <v>7841</v>
      </c>
      <c r="E1249" s="23" t="s">
        <v>7842</v>
      </c>
      <c r="G1249" s="23" t="s">
        <v>7843</v>
      </c>
      <c r="K1249" s="23" t="s">
        <v>7844</v>
      </c>
      <c r="L1249" s="23" t="s">
        <v>7845</v>
      </c>
    </row>
    <row r="1250" spans="1:20" x14ac:dyDescent="0.2">
      <c r="A1250" s="23" t="s">
        <v>92</v>
      </c>
      <c r="C1250" s="23" t="s">
        <v>7876</v>
      </c>
      <c r="D1250" s="23" t="s">
        <v>7877</v>
      </c>
      <c r="E1250" s="23" t="s">
        <v>7878</v>
      </c>
      <c r="G1250" s="23" t="s">
        <v>7879</v>
      </c>
      <c r="K1250" s="23" t="s">
        <v>7880</v>
      </c>
      <c r="L1250" s="23" t="s">
        <v>7881</v>
      </c>
      <c r="M1250" s="23" t="s">
        <v>7882</v>
      </c>
      <c r="N1250" s="23" t="s">
        <v>7883</v>
      </c>
      <c r="T1250" s="23" t="s">
        <v>7884</v>
      </c>
    </row>
    <row r="1251" spans="1:20" x14ac:dyDescent="0.2">
      <c r="A1251" s="23" t="s">
        <v>92</v>
      </c>
      <c r="C1251" s="23" t="s">
        <v>7885</v>
      </c>
      <c r="D1251" s="23" t="s">
        <v>7886</v>
      </c>
      <c r="E1251" s="23" t="s">
        <v>7887</v>
      </c>
      <c r="G1251" s="23" t="s">
        <v>7888</v>
      </c>
      <c r="K1251" s="23" t="s">
        <v>7889</v>
      </c>
      <c r="L1251" s="23" t="s">
        <v>7890</v>
      </c>
      <c r="M1251" s="23" t="s">
        <v>7891</v>
      </c>
      <c r="N1251" s="23" t="s">
        <v>7892</v>
      </c>
    </row>
    <row r="1252" spans="1:20" x14ac:dyDescent="0.2">
      <c r="A1252" s="23" t="s">
        <v>92</v>
      </c>
      <c r="C1252" s="23" t="s">
        <v>7893</v>
      </c>
      <c r="D1252" s="23" t="s">
        <v>7894</v>
      </c>
      <c r="E1252" s="23" t="s">
        <v>7895</v>
      </c>
      <c r="G1252" s="23" t="s">
        <v>7896</v>
      </c>
      <c r="K1252" s="23" t="s">
        <v>7897</v>
      </c>
      <c r="L1252" s="23" t="s">
        <v>7898</v>
      </c>
      <c r="O1252" s="23" t="s">
        <v>12153</v>
      </c>
      <c r="P1252" s="23" t="s">
        <v>7899</v>
      </c>
      <c r="Q1252" s="23" t="s">
        <v>7900</v>
      </c>
      <c r="R1252" s="23" t="s">
        <v>7901</v>
      </c>
      <c r="S1252" s="23" t="s">
        <v>7902</v>
      </c>
      <c r="T1252" s="23" t="s">
        <v>7903</v>
      </c>
    </row>
    <row r="1253" spans="1:20" x14ac:dyDescent="0.2">
      <c r="A1253" s="23" t="s">
        <v>92</v>
      </c>
      <c r="C1253" s="23" t="s">
        <v>7904</v>
      </c>
      <c r="D1253" s="23" t="s">
        <v>7905</v>
      </c>
      <c r="E1253" s="23" t="s">
        <v>7906</v>
      </c>
      <c r="G1253" s="23" t="s">
        <v>7907</v>
      </c>
      <c r="K1253" s="23" t="s">
        <v>7908</v>
      </c>
      <c r="L1253" s="23" t="s">
        <v>7909</v>
      </c>
      <c r="O1253" s="23" t="s">
        <v>12154</v>
      </c>
      <c r="P1253" s="23" t="s">
        <v>14755</v>
      </c>
      <c r="Q1253" s="23" t="s">
        <v>14760</v>
      </c>
      <c r="R1253" s="23" t="s">
        <v>14765</v>
      </c>
      <c r="S1253" s="23" t="s">
        <v>14770</v>
      </c>
      <c r="T1253" s="23" t="s">
        <v>14775</v>
      </c>
    </row>
    <row r="1254" spans="1:20" x14ac:dyDescent="0.2">
      <c r="A1254" s="23" t="s">
        <v>92</v>
      </c>
      <c r="C1254" s="23" t="s">
        <v>7910</v>
      </c>
      <c r="D1254" s="23" t="s">
        <v>7911</v>
      </c>
      <c r="E1254" s="23" t="s">
        <v>7912</v>
      </c>
      <c r="G1254" s="23" t="s">
        <v>7913</v>
      </c>
      <c r="K1254" s="23" t="s">
        <v>7914</v>
      </c>
      <c r="L1254" s="23" t="s">
        <v>7915</v>
      </c>
      <c r="O1254" s="23" t="s">
        <v>12155</v>
      </c>
      <c r="P1254" s="23" t="s">
        <v>14756</v>
      </c>
      <c r="Q1254" s="23" t="s">
        <v>14761</v>
      </c>
      <c r="R1254" s="23" t="s">
        <v>14766</v>
      </c>
      <c r="S1254" s="23" t="s">
        <v>14771</v>
      </c>
      <c r="T1254" s="23" t="s">
        <v>14776</v>
      </c>
    </row>
    <row r="1255" spans="1:20" x14ac:dyDescent="0.2">
      <c r="A1255" s="23" t="s">
        <v>92</v>
      </c>
      <c r="C1255" s="23" t="s">
        <v>7916</v>
      </c>
      <c r="D1255" s="23" t="s">
        <v>7917</v>
      </c>
      <c r="E1255" s="23" t="s">
        <v>7918</v>
      </c>
      <c r="G1255" s="23" t="s">
        <v>7919</v>
      </c>
      <c r="K1255" s="23" t="s">
        <v>7920</v>
      </c>
      <c r="L1255" s="23" t="s">
        <v>7921</v>
      </c>
      <c r="O1255" s="23" t="s">
        <v>11531</v>
      </c>
      <c r="P1255" s="23" t="s">
        <v>14757</v>
      </c>
      <c r="Q1255" s="23" t="s">
        <v>14762</v>
      </c>
      <c r="R1255" s="23" t="s">
        <v>14767</v>
      </c>
      <c r="S1255" s="23" t="s">
        <v>14772</v>
      </c>
      <c r="T1255" s="23" t="s">
        <v>14777</v>
      </c>
    </row>
    <row r="1256" spans="1:20" x14ac:dyDescent="0.2">
      <c r="A1256" s="23" t="s">
        <v>92</v>
      </c>
      <c r="C1256" s="23" t="s">
        <v>7922</v>
      </c>
      <c r="D1256" s="23" t="s">
        <v>7923</v>
      </c>
      <c r="E1256" s="23" t="s">
        <v>7924</v>
      </c>
      <c r="G1256" s="23" t="s">
        <v>7925</v>
      </c>
      <c r="K1256" s="23" t="s">
        <v>7926</v>
      </c>
      <c r="L1256" s="23" t="s">
        <v>7927</v>
      </c>
      <c r="O1256" s="23" t="s">
        <v>11573</v>
      </c>
      <c r="P1256" s="23" t="s">
        <v>14758</v>
      </c>
      <c r="Q1256" s="23" t="s">
        <v>14763</v>
      </c>
      <c r="R1256" s="23" t="s">
        <v>14768</v>
      </c>
      <c r="S1256" s="23" t="s">
        <v>14773</v>
      </c>
      <c r="T1256" s="23" t="s">
        <v>14778</v>
      </c>
    </row>
    <row r="1257" spans="1:20" x14ac:dyDescent="0.2">
      <c r="A1257" s="23" t="s">
        <v>92</v>
      </c>
      <c r="C1257" s="23" t="s">
        <v>7928</v>
      </c>
      <c r="D1257" s="23" t="s">
        <v>7929</v>
      </c>
      <c r="E1257" s="23" t="s">
        <v>7930</v>
      </c>
      <c r="G1257" s="23" t="s">
        <v>7931</v>
      </c>
      <c r="K1257" s="23" t="s">
        <v>7932</v>
      </c>
      <c r="L1257" s="23" t="s">
        <v>7933</v>
      </c>
      <c r="O1257" s="23" t="s">
        <v>12156</v>
      </c>
      <c r="P1257" s="23" t="s">
        <v>14759</v>
      </c>
      <c r="Q1257" s="23" t="s">
        <v>14764</v>
      </c>
      <c r="R1257" s="23" t="s">
        <v>14769</v>
      </c>
      <c r="S1257" s="23" t="s">
        <v>14774</v>
      </c>
      <c r="T1257" s="23" t="s">
        <v>14779</v>
      </c>
    </row>
    <row r="1258" spans="1:20" x14ac:dyDescent="0.2">
      <c r="A1258" s="23" t="s">
        <v>92</v>
      </c>
      <c r="C1258" s="23" t="s">
        <v>7904</v>
      </c>
      <c r="D1258" s="23" t="s">
        <v>7905</v>
      </c>
      <c r="E1258" s="23" t="s">
        <v>7906</v>
      </c>
      <c r="G1258" s="23" t="s">
        <v>7907</v>
      </c>
      <c r="K1258" s="23" t="s">
        <v>7908</v>
      </c>
      <c r="L1258" s="23" t="s">
        <v>7909</v>
      </c>
    </row>
    <row r="1259" spans="1:20" x14ac:dyDescent="0.2">
      <c r="A1259" s="23" t="s">
        <v>92</v>
      </c>
      <c r="C1259" s="23" t="s">
        <v>7934</v>
      </c>
      <c r="D1259" s="23" t="s">
        <v>7935</v>
      </c>
      <c r="E1259" s="23" t="s">
        <v>7936</v>
      </c>
      <c r="G1259" s="23" t="s">
        <v>7937</v>
      </c>
      <c r="K1259" s="23" t="s">
        <v>7938</v>
      </c>
      <c r="L1259" s="23" t="s">
        <v>7939</v>
      </c>
      <c r="M1259" s="23" t="s">
        <v>7940</v>
      </c>
      <c r="N1259" s="23" t="s">
        <v>7941</v>
      </c>
      <c r="T1259" s="23" t="s">
        <v>7942</v>
      </c>
    </row>
    <row r="1260" spans="1:20" x14ac:dyDescent="0.2">
      <c r="A1260" s="23" t="s">
        <v>92</v>
      </c>
      <c r="C1260" s="23" t="s">
        <v>7943</v>
      </c>
      <c r="D1260" s="23" t="s">
        <v>7944</v>
      </c>
      <c r="E1260" s="23" t="s">
        <v>7945</v>
      </c>
      <c r="G1260" s="23" t="s">
        <v>7946</v>
      </c>
      <c r="K1260" s="23" t="s">
        <v>7947</v>
      </c>
      <c r="L1260" s="23" t="s">
        <v>7948</v>
      </c>
      <c r="M1260" s="23" t="s">
        <v>7949</v>
      </c>
      <c r="N1260" s="23" t="s">
        <v>7950</v>
      </c>
    </row>
    <row r="1261" spans="1:20" x14ac:dyDescent="0.2">
      <c r="A1261" s="23" t="s">
        <v>92</v>
      </c>
      <c r="C1261" s="23" t="s">
        <v>7951</v>
      </c>
      <c r="D1261" s="23" t="s">
        <v>7952</v>
      </c>
      <c r="E1261" s="23" t="s">
        <v>7953</v>
      </c>
      <c r="G1261" s="23" t="s">
        <v>7954</v>
      </c>
      <c r="K1261" s="23" t="s">
        <v>7955</v>
      </c>
      <c r="L1261" s="23" t="s">
        <v>7956</v>
      </c>
      <c r="O1261" s="23" t="s">
        <v>12157</v>
      </c>
      <c r="P1261" s="23" t="s">
        <v>7957</v>
      </c>
      <c r="Q1261" s="23" t="s">
        <v>7958</v>
      </c>
      <c r="R1261" s="23" t="s">
        <v>7959</v>
      </c>
      <c r="S1261" s="23" t="s">
        <v>7960</v>
      </c>
      <c r="T1261" s="23" t="s">
        <v>7961</v>
      </c>
    </row>
    <row r="1262" spans="1:20" x14ac:dyDescent="0.2">
      <c r="A1262" s="23" t="s">
        <v>92</v>
      </c>
      <c r="C1262" s="23" t="s">
        <v>7962</v>
      </c>
      <c r="D1262" s="23" t="s">
        <v>7963</v>
      </c>
      <c r="E1262" s="23" t="s">
        <v>7964</v>
      </c>
      <c r="G1262" s="23" t="s">
        <v>7965</v>
      </c>
      <c r="K1262" s="23" t="s">
        <v>7966</v>
      </c>
      <c r="L1262" s="23" t="s">
        <v>7967</v>
      </c>
      <c r="O1262" s="23" t="s">
        <v>12158</v>
      </c>
      <c r="P1262" s="23" t="s">
        <v>14730</v>
      </c>
      <c r="Q1262" s="23" t="s">
        <v>14735</v>
      </c>
      <c r="R1262" s="23" t="s">
        <v>14740</v>
      </c>
      <c r="S1262" s="23" t="s">
        <v>14745</v>
      </c>
      <c r="T1262" s="23" t="s">
        <v>14750</v>
      </c>
    </row>
    <row r="1263" spans="1:20" x14ac:dyDescent="0.2">
      <c r="A1263" s="23" t="s">
        <v>92</v>
      </c>
      <c r="C1263" s="23" t="s">
        <v>7968</v>
      </c>
      <c r="D1263" s="23" t="s">
        <v>7969</v>
      </c>
      <c r="E1263" s="23" t="s">
        <v>7970</v>
      </c>
      <c r="G1263" s="23" t="s">
        <v>7971</v>
      </c>
      <c r="K1263" s="23" t="s">
        <v>7972</v>
      </c>
      <c r="L1263" s="23" t="s">
        <v>7973</v>
      </c>
      <c r="O1263" s="23" t="s">
        <v>12159</v>
      </c>
      <c r="P1263" s="23" t="s">
        <v>14731</v>
      </c>
      <c r="Q1263" s="23" t="s">
        <v>14736</v>
      </c>
      <c r="R1263" s="23" t="s">
        <v>14741</v>
      </c>
      <c r="S1263" s="23" t="s">
        <v>14746</v>
      </c>
      <c r="T1263" s="23" t="s">
        <v>14751</v>
      </c>
    </row>
    <row r="1264" spans="1:20" x14ac:dyDescent="0.2">
      <c r="A1264" s="23" t="s">
        <v>92</v>
      </c>
      <c r="C1264" s="23" t="s">
        <v>7974</v>
      </c>
      <c r="D1264" s="23" t="s">
        <v>7975</v>
      </c>
      <c r="E1264" s="23" t="s">
        <v>7976</v>
      </c>
      <c r="G1264" s="23" t="s">
        <v>7977</v>
      </c>
      <c r="K1264" s="23" t="s">
        <v>7978</v>
      </c>
      <c r="L1264" s="23" t="s">
        <v>7979</v>
      </c>
      <c r="O1264" s="23" t="s">
        <v>11538</v>
      </c>
      <c r="P1264" s="23" t="s">
        <v>14732</v>
      </c>
      <c r="Q1264" s="23" t="s">
        <v>14737</v>
      </c>
      <c r="R1264" s="23" t="s">
        <v>14742</v>
      </c>
      <c r="S1264" s="23" t="s">
        <v>14747</v>
      </c>
      <c r="T1264" s="23" t="s">
        <v>14752</v>
      </c>
    </row>
    <row r="1265" spans="1:20" x14ac:dyDescent="0.2">
      <c r="A1265" s="23" t="s">
        <v>92</v>
      </c>
      <c r="C1265" s="23" t="s">
        <v>7980</v>
      </c>
      <c r="D1265" s="23" t="s">
        <v>7981</v>
      </c>
      <c r="E1265" s="23" t="s">
        <v>7982</v>
      </c>
      <c r="G1265" s="23" t="s">
        <v>7983</v>
      </c>
      <c r="K1265" s="23" t="s">
        <v>7984</v>
      </c>
      <c r="L1265" s="23" t="s">
        <v>7985</v>
      </c>
      <c r="O1265" s="23" t="s">
        <v>11578</v>
      </c>
      <c r="P1265" s="23" t="s">
        <v>14733</v>
      </c>
      <c r="Q1265" s="23" t="s">
        <v>14738</v>
      </c>
      <c r="R1265" s="23" t="s">
        <v>14743</v>
      </c>
      <c r="S1265" s="23" t="s">
        <v>14748</v>
      </c>
      <c r="T1265" s="23" t="s">
        <v>14753</v>
      </c>
    </row>
    <row r="1266" spans="1:20" x14ac:dyDescent="0.2">
      <c r="A1266" s="23" t="s">
        <v>92</v>
      </c>
      <c r="C1266" s="23" t="s">
        <v>7986</v>
      </c>
      <c r="D1266" s="23" t="s">
        <v>7987</v>
      </c>
      <c r="E1266" s="23" t="s">
        <v>7988</v>
      </c>
      <c r="G1266" s="23" t="s">
        <v>7989</v>
      </c>
      <c r="K1266" s="23" t="s">
        <v>7990</v>
      </c>
      <c r="L1266" s="23" t="s">
        <v>7991</v>
      </c>
      <c r="O1266" s="23" t="s">
        <v>12160</v>
      </c>
      <c r="P1266" s="23" t="s">
        <v>14734</v>
      </c>
      <c r="Q1266" s="23" t="s">
        <v>14739</v>
      </c>
      <c r="R1266" s="23" t="s">
        <v>14744</v>
      </c>
      <c r="S1266" s="23" t="s">
        <v>14749</v>
      </c>
      <c r="T1266" s="23" t="s">
        <v>14754</v>
      </c>
    </row>
    <row r="1267" spans="1:20" x14ac:dyDescent="0.2">
      <c r="A1267" s="23" t="s">
        <v>92</v>
      </c>
      <c r="C1267" s="23" t="s">
        <v>7962</v>
      </c>
      <c r="D1267" s="23" t="s">
        <v>7963</v>
      </c>
      <c r="E1267" s="23" t="s">
        <v>7964</v>
      </c>
      <c r="G1267" s="23" t="s">
        <v>7965</v>
      </c>
      <c r="K1267" s="23" t="s">
        <v>7966</v>
      </c>
      <c r="L1267" s="23" t="s">
        <v>7967</v>
      </c>
    </row>
    <row r="1268" spans="1:20" x14ac:dyDescent="0.2">
      <c r="A1268" s="23" t="s">
        <v>92</v>
      </c>
      <c r="C1268" s="23" t="s">
        <v>7992</v>
      </c>
      <c r="D1268" s="23" t="s">
        <v>7993</v>
      </c>
      <c r="E1268" s="23" t="s">
        <v>7994</v>
      </c>
      <c r="G1268" s="23" t="s">
        <v>7995</v>
      </c>
      <c r="K1268" s="23" t="s">
        <v>7996</v>
      </c>
      <c r="L1268" s="23" t="s">
        <v>7997</v>
      </c>
      <c r="M1268" s="23" t="s">
        <v>7998</v>
      </c>
      <c r="N1268" s="23" t="s">
        <v>7999</v>
      </c>
      <c r="T1268" s="23" t="s">
        <v>8000</v>
      </c>
    </row>
    <row r="1269" spans="1:20" x14ac:dyDescent="0.2">
      <c r="A1269" s="23" t="s">
        <v>92</v>
      </c>
      <c r="C1269" s="23" t="s">
        <v>8001</v>
      </c>
      <c r="D1269" s="23" t="s">
        <v>8002</v>
      </c>
      <c r="E1269" s="23" t="s">
        <v>8003</v>
      </c>
      <c r="G1269" s="23" t="s">
        <v>8004</v>
      </c>
      <c r="K1269" s="23" t="s">
        <v>8005</v>
      </c>
      <c r="L1269" s="23" t="s">
        <v>8006</v>
      </c>
      <c r="M1269" s="23" t="s">
        <v>8007</v>
      </c>
      <c r="N1269" s="23" t="s">
        <v>8008</v>
      </c>
    </row>
    <row r="1270" spans="1:20" x14ac:dyDescent="0.2">
      <c r="A1270" s="23" t="s">
        <v>92</v>
      </c>
      <c r="C1270" s="23" t="s">
        <v>8009</v>
      </c>
      <c r="D1270" s="23" t="s">
        <v>8010</v>
      </c>
      <c r="E1270" s="23" t="s">
        <v>8011</v>
      </c>
      <c r="G1270" s="23" t="s">
        <v>8012</v>
      </c>
      <c r="K1270" s="23" t="s">
        <v>8013</v>
      </c>
      <c r="L1270" s="23" t="s">
        <v>8014</v>
      </c>
      <c r="O1270" s="23" t="s">
        <v>12161</v>
      </c>
      <c r="P1270" s="23" t="s">
        <v>8015</v>
      </c>
      <c r="Q1270" s="23" t="s">
        <v>8016</v>
      </c>
      <c r="R1270" s="23" t="s">
        <v>8017</v>
      </c>
      <c r="S1270" s="23" t="s">
        <v>8018</v>
      </c>
      <c r="T1270" s="23" t="s">
        <v>8019</v>
      </c>
    </row>
    <row r="1271" spans="1:20" x14ac:dyDescent="0.2">
      <c r="A1271" s="23" t="s">
        <v>92</v>
      </c>
      <c r="C1271" s="23" t="s">
        <v>8020</v>
      </c>
      <c r="D1271" s="23" t="s">
        <v>8021</v>
      </c>
      <c r="E1271" s="23" t="s">
        <v>8022</v>
      </c>
      <c r="G1271" s="23" t="s">
        <v>8023</v>
      </c>
      <c r="K1271" s="23" t="s">
        <v>8024</v>
      </c>
      <c r="L1271" s="23" t="s">
        <v>8025</v>
      </c>
      <c r="O1271" s="23" t="s">
        <v>12162</v>
      </c>
      <c r="P1271" s="23" t="s">
        <v>14705</v>
      </c>
      <c r="Q1271" s="23" t="s">
        <v>14710</v>
      </c>
      <c r="R1271" s="23" t="s">
        <v>14715</v>
      </c>
      <c r="S1271" s="23" t="s">
        <v>14720</v>
      </c>
      <c r="T1271" s="23" t="s">
        <v>14725</v>
      </c>
    </row>
    <row r="1272" spans="1:20" x14ac:dyDescent="0.2">
      <c r="A1272" s="23" t="s">
        <v>92</v>
      </c>
      <c r="C1272" s="23" t="s">
        <v>8026</v>
      </c>
      <c r="D1272" s="23" t="s">
        <v>8027</v>
      </c>
      <c r="E1272" s="23" t="s">
        <v>8028</v>
      </c>
      <c r="G1272" s="23" t="s">
        <v>8029</v>
      </c>
      <c r="K1272" s="23" t="s">
        <v>8030</v>
      </c>
      <c r="L1272" s="23" t="s">
        <v>8031</v>
      </c>
      <c r="O1272" s="23" t="s">
        <v>12163</v>
      </c>
      <c r="P1272" s="23" t="s">
        <v>14706</v>
      </c>
      <c r="Q1272" s="23" t="s">
        <v>14711</v>
      </c>
      <c r="R1272" s="23" t="s">
        <v>14716</v>
      </c>
      <c r="S1272" s="23" t="s">
        <v>14721</v>
      </c>
      <c r="T1272" s="23" t="s">
        <v>14726</v>
      </c>
    </row>
    <row r="1273" spans="1:20" x14ac:dyDescent="0.2">
      <c r="A1273" s="23" t="s">
        <v>92</v>
      </c>
      <c r="C1273" s="23" t="s">
        <v>8032</v>
      </c>
      <c r="D1273" s="23" t="s">
        <v>8033</v>
      </c>
      <c r="E1273" s="23" t="s">
        <v>8034</v>
      </c>
      <c r="G1273" s="23" t="s">
        <v>8035</v>
      </c>
      <c r="K1273" s="23" t="s">
        <v>8036</v>
      </c>
      <c r="L1273" s="23" t="s">
        <v>8037</v>
      </c>
      <c r="O1273" s="23" t="s">
        <v>11546</v>
      </c>
      <c r="P1273" s="23" t="s">
        <v>14707</v>
      </c>
      <c r="Q1273" s="23" t="s">
        <v>14712</v>
      </c>
      <c r="R1273" s="23" t="s">
        <v>14717</v>
      </c>
      <c r="S1273" s="23" t="s">
        <v>14722</v>
      </c>
      <c r="T1273" s="23" t="s">
        <v>14727</v>
      </c>
    </row>
    <row r="1274" spans="1:20" x14ac:dyDescent="0.2">
      <c r="A1274" s="23" t="s">
        <v>92</v>
      </c>
      <c r="C1274" s="23" t="s">
        <v>8038</v>
      </c>
      <c r="D1274" s="23" t="s">
        <v>8039</v>
      </c>
      <c r="E1274" s="23" t="s">
        <v>8040</v>
      </c>
      <c r="G1274" s="23" t="s">
        <v>8041</v>
      </c>
      <c r="K1274" s="23" t="s">
        <v>8042</v>
      </c>
      <c r="L1274" s="23" t="s">
        <v>8043</v>
      </c>
      <c r="O1274" s="23" t="s">
        <v>11583</v>
      </c>
      <c r="P1274" s="23" t="s">
        <v>14708</v>
      </c>
      <c r="Q1274" s="23" t="s">
        <v>14713</v>
      </c>
      <c r="R1274" s="23" t="s">
        <v>14718</v>
      </c>
      <c r="S1274" s="23" t="s">
        <v>14723</v>
      </c>
      <c r="T1274" s="23" t="s">
        <v>14728</v>
      </c>
    </row>
    <row r="1275" spans="1:20" x14ac:dyDescent="0.2">
      <c r="A1275" s="23" t="s">
        <v>92</v>
      </c>
      <c r="C1275" s="23" t="s">
        <v>8044</v>
      </c>
      <c r="D1275" s="23" t="s">
        <v>8045</v>
      </c>
      <c r="E1275" s="23" t="s">
        <v>8046</v>
      </c>
      <c r="G1275" s="23" t="s">
        <v>8047</v>
      </c>
      <c r="K1275" s="23" t="s">
        <v>8048</v>
      </c>
      <c r="L1275" s="23" t="s">
        <v>8049</v>
      </c>
      <c r="O1275" s="23" t="s">
        <v>12164</v>
      </c>
      <c r="P1275" s="23" t="s">
        <v>14709</v>
      </c>
      <c r="Q1275" s="23" t="s">
        <v>14714</v>
      </c>
      <c r="R1275" s="23" t="s">
        <v>14719</v>
      </c>
      <c r="S1275" s="23" t="s">
        <v>14724</v>
      </c>
      <c r="T1275" s="23" t="s">
        <v>14729</v>
      </c>
    </row>
    <row r="1276" spans="1:20" x14ac:dyDescent="0.2">
      <c r="A1276" s="23" t="s">
        <v>92</v>
      </c>
      <c r="C1276" s="23" t="s">
        <v>8020</v>
      </c>
      <c r="D1276" s="23" t="s">
        <v>8021</v>
      </c>
      <c r="E1276" s="23" t="s">
        <v>8022</v>
      </c>
      <c r="G1276" s="23" t="s">
        <v>8023</v>
      </c>
      <c r="K1276" s="23" t="s">
        <v>8024</v>
      </c>
      <c r="L1276" s="23" t="s">
        <v>8025</v>
      </c>
    </row>
    <row r="1277" spans="1:20" x14ac:dyDescent="0.2">
      <c r="A1277" s="23" t="s">
        <v>92</v>
      </c>
      <c r="C1277" s="23" t="s">
        <v>8050</v>
      </c>
      <c r="D1277" s="23" t="s">
        <v>8051</v>
      </c>
      <c r="E1277" s="23" t="s">
        <v>8052</v>
      </c>
      <c r="G1277" s="23" t="s">
        <v>8053</v>
      </c>
      <c r="K1277" s="23" t="s">
        <v>8054</v>
      </c>
      <c r="L1277" s="23" t="s">
        <v>8055</v>
      </c>
      <c r="M1277" s="23" t="s">
        <v>8056</v>
      </c>
      <c r="N1277" s="23" t="s">
        <v>8057</v>
      </c>
      <c r="T1277" s="23" t="s">
        <v>8058</v>
      </c>
    </row>
    <row r="1278" spans="1:20" x14ac:dyDescent="0.2">
      <c r="A1278" s="23" t="s">
        <v>92</v>
      </c>
      <c r="C1278" s="23" t="s">
        <v>8059</v>
      </c>
      <c r="D1278" s="23" t="s">
        <v>8060</v>
      </c>
      <c r="E1278" s="23" t="s">
        <v>8061</v>
      </c>
      <c r="G1278" s="23" t="s">
        <v>8062</v>
      </c>
      <c r="K1278" s="23" t="s">
        <v>8063</v>
      </c>
      <c r="L1278" s="23" t="s">
        <v>8064</v>
      </c>
      <c r="M1278" s="23" t="s">
        <v>8065</v>
      </c>
      <c r="N1278" s="23" t="s">
        <v>8066</v>
      </c>
    </row>
    <row r="1279" spans="1:20" x14ac:dyDescent="0.2">
      <c r="A1279" s="23" t="s">
        <v>92</v>
      </c>
      <c r="C1279" s="23" t="s">
        <v>8067</v>
      </c>
      <c r="D1279" s="23" t="s">
        <v>8068</v>
      </c>
      <c r="E1279" s="23" t="s">
        <v>8069</v>
      </c>
      <c r="G1279" s="23" t="s">
        <v>8070</v>
      </c>
      <c r="K1279" s="23" t="s">
        <v>8071</v>
      </c>
      <c r="L1279" s="23" t="s">
        <v>8072</v>
      </c>
      <c r="O1279" s="23" t="s">
        <v>12165</v>
      </c>
      <c r="P1279" s="23" t="s">
        <v>8073</v>
      </c>
      <c r="Q1279" s="23" t="s">
        <v>8074</v>
      </c>
      <c r="R1279" s="23" t="s">
        <v>8075</v>
      </c>
      <c r="S1279" s="23" t="s">
        <v>8076</v>
      </c>
      <c r="T1279" s="23" t="s">
        <v>8077</v>
      </c>
    </row>
    <row r="1280" spans="1:20" x14ac:dyDescent="0.2">
      <c r="A1280" s="23" t="s">
        <v>92</v>
      </c>
      <c r="C1280" s="23" t="s">
        <v>8078</v>
      </c>
      <c r="D1280" s="23" t="s">
        <v>8079</v>
      </c>
      <c r="E1280" s="23" t="s">
        <v>8080</v>
      </c>
      <c r="G1280" s="23" t="s">
        <v>8081</v>
      </c>
      <c r="K1280" s="23" t="s">
        <v>8082</v>
      </c>
      <c r="L1280" s="23" t="s">
        <v>8083</v>
      </c>
      <c r="O1280" s="23" t="s">
        <v>12166</v>
      </c>
      <c r="P1280" s="23" t="s">
        <v>14680</v>
      </c>
      <c r="Q1280" s="23" t="s">
        <v>14685</v>
      </c>
      <c r="R1280" s="23" t="s">
        <v>14690</v>
      </c>
      <c r="S1280" s="23" t="s">
        <v>14695</v>
      </c>
      <c r="T1280" s="23" t="s">
        <v>14700</v>
      </c>
    </row>
    <row r="1281" spans="1:20" x14ac:dyDescent="0.2">
      <c r="A1281" s="23" t="s">
        <v>92</v>
      </c>
      <c r="C1281" s="23" t="s">
        <v>8084</v>
      </c>
      <c r="D1281" s="23" t="s">
        <v>8085</v>
      </c>
      <c r="E1281" s="23" t="s">
        <v>8086</v>
      </c>
      <c r="G1281" s="23" t="s">
        <v>8087</v>
      </c>
      <c r="K1281" s="23" t="s">
        <v>8088</v>
      </c>
      <c r="L1281" s="23" t="s">
        <v>8089</v>
      </c>
      <c r="O1281" s="23" t="s">
        <v>12167</v>
      </c>
      <c r="P1281" s="23" t="s">
        <v>14681</v>
      </c>
      <c r="Q1281" s="23" t="s">
        <v>14686</v>
      </c>
      <c r="R1281" s="23" t="s">
        <v>14691</v>
      </c>
      <c r="S1281" s="23" t="s">
        <v>14696</v>
      </c>
      <c r="T1281" s="23" t="s">
        <v>14701</v>
      </c>
    </row>
    <row r="1282" spans="1:20" x14ac:dyDescent="0.2">
      <c r="A1282" s="23" t="s">
        <v>92</v>
      </c>
      <c r="C1282" s="23" t="s">
        <v>8090</v>
      </c>
      <c r="D1282" s="23" t="s">
        <v>8091</v>
      </c>
      <c r="E1282" s="23" t="s">
        <v>8092</v>
      </c>
      <c r="G1282" s="23" t="s">
        <v>8093</v>
      </c>
      <c r="K1282" s="23" t="s">
        <v>8094</v>
      </c>
      <c r="L1282" s="23" t="s">
        <v>8095</v>
      </c>
      <c r="O1282" s="23" t="s">
        <v>11554</v>
      </c>
      <c r="P1282" s="23" t="s">
        <v>14682</v>
      </c>
      <c r="Q1282" s="23" t="s">
        <v>14687</v>
      </c>
      <c r="R1282" s="23" t="s">
        <v>14692</v>
      </c>
      <c r="S1282" s="23" t="s">
        <v>14697</v>
      </c>
      <c r="T1282" s="23" t="s">
        <v>14702</v>
      </c>
    </row>
    <row r="1283" spans="1:20" x14ac:dyDescent="0.2">
      <c r="A1283" s="23" t="s">
        <v>92</v>
      </c>
      <c r="C1283" s="23" t="s">
        <v>8096</v>
      </c>
      <c r="D1283" s="23" t="s">
        <v>8097</v>
      </c>
      <c r="E1283" s="23" t="s">
        <v>8098</v>
      </c>
      <c r="G1283" s="23" t="s">
        <v>8099</v>
      </c>
      <c r="K1283" s="23" t="s">
        <v>8100</v>
      </c>
      <c r="L1283" s="23" t="s">
        <v>8101</v>
      </c>
      <c r="O1283" s="23" t="s">
        <v>11588</v>
      </c>
      <c r="P1283" s="23" t="s">
        <v>14683</v>
      </c>
      <c r="Q1283" s="23" t="s">
        <v>14688</v>
      </c>
      <c r="R1283" s="23" t="s">
        <v>14693</v>
      </c>
      <c r="S1283" s="23" t="s">
        <v>14698</v>
      </c>
      <c r="T1283" s="23" t="s">
        <v>14703</v>
      </c>
    </row>
    <row r="1284" spans="1:20" x14ac:dyDescent="0.2">
      <c r="A1284" s="23" t="s">
        <v>92</v>
      </c>
      <c r="C1284" s="23" t="s">
        <v>8102</v>
      </c>
      <c r="D1284" s="23" t="s">
        <v>8103</v>
      </c>
      <c r="E1284" s="23" t="s">
        <v>8104</v>
      </c>
      <c r="G1284" s="23" t="s">
        <v>8105</v>
      </c>
      <c r="K1284" s="23" t="s">
        <v>8106</v>
      </c>
      <c r="L1284" s="23" t="s">
        <v>8107</v>
      </c>
      <c r="O1284" s="23" t="s">
        <v>12168</v>
      </c>
      <c r="P1284" s="23" t="s">
        <v>14684</v>
      </c>
      <c r="Q1284" s="23" t="s">
        <v>14689</v>
      </c>
      <c r="R1284" s="23" t="s">
        <v>14694</v>
      </c>
      <c r="S1284" s="23" t="s">
        <v>14699</v>
      </c>
      <c r="T1284" s="23" t="s">
        <v>14704</v>
      </c>
    </row>
    <row r="1285" spans="1:20" x14ac:dyDescent="0.2">
      <c r="A1285" s="23" t="s">
        <v>92</v>
      </c>
      <c r="C1285" s="23" t="s">
        <v>8078</v>
      </c>
      <c r="D1285" s="23" t="s">
        <v>8079</v>
      </c>
      <c r="E1285" s="23" t="s">
        <v>8080</v>
      </c>
      <c r="G1285" s="23" t="s">
        <v>8081</v>
      </c>
      <c r="K1285" s="23" t="s">
        <v>8082</v>
      </c>
      <c r="L1285" s="23" t="s">
        <v>8083</v>
      </c>
    </row>
    <row r="1286" spans="1:20" x14ac:dyDescent="0.2">
      <c r="A1286" s="23" t="s">
        <v>92</v>
      </c>
      <c r="C1286" s="23" t="s">
        <v>8108</v>
      </c>
      <c r="D1286" s="23" t="s">
        <v>8109</v>
      </c>
      <c r="E1286" s="23" t="s">
        <v>8110</v>
      </c>
      <c r="G1286" s="23" t="s">
        <v>8111</v>
      </c>
      <c r="K1286" s="23" t="s">
        <v>8112</v>
      </c>
      <c r="L1286" s="23" t="s">
        <v>8113</v>
      </c>
      <c r="M1286" s="23" t="s">
        <v>8114</v>
      </c>
      <c r="N1286" s="23" t="s">
        <v>8115</v>
      </c>
      <c r="T1286" s="23" t="s">
        <v>8116</v>
      </c>
    </row>
    <row r="1287" spans="1:20" x14ac:dyDescent="0.2">
      <c r="A1287" s="23" t="s">
        <v>92</v>
      </c>
      <c r="C1287" s="23" t="s">
        <v>7821</v>
      </c>
      <c r="D1287" s="23" t="s">
        <v>7822</v>
      </c>
      <c r="E1287" s="23" t="s">
        <v>7823</v>
      </c>
      <c r="G1287" s="23" t="s">
        <v>7824</v>
      </c>
    </row>
    <row r="1288" spans="1:20" x14ac:dyDescent="0.2">
      <c r="A1288" s="23" t="s">
        <v>92</v>
      </c>
      <c r="C1288" s="23" t="s">
        <v>8117</v>
      </c>
      <c r="D1288" s="23" t="s">
        <v>8118</v>
      </c>
      <c r="E1288" s="23" t="s">
        <v>8119</v>
      </c>
      <c r="G1288" s="23" t="s">
        <v>8120</v>
      </c>
      <c r="H1288" s="23" t="s">
        <v>8121</v>
      </c>
      <c r="I1288" s="23" t="s">
        <v>8122</v>
      </c>
      <c r="J1288" s="23" t="s">
        <v>8123</v>
      </c>
      <c r="T1288" s="23" t="s">
        <v>8124</v>
      </c>
    </row>
    <row r="1289" spans="1:20" x14ac:dyDescent="0.2">
      <c r="A1289" s="23" t="s">
        <v>92</v>
      </c>
      <c r="C1289" s="23" t="s">
        <v>8125</v>
      </c>
      <c r="D1289" s="23" t="s">
        <v>8126</v>
      </c>
      <c r="E1289" s="23" t="s">
        <v>8127</v>
      </c>
      <c r="G1289" s="23" t="s">
        <v>8128</v>
      </c>
      <c r="H1289" s="23" t="s">
        <v>8129</v>
      </c>
      <c r="I1289" s="23" t="s">
        <v>8130</v>
      </c>
      <c r="J1289" s="23" t="s">
        <v>8131</v>
      </c>
    </row>
    <row r="1290" spans="1:20" x14ac:dyDescent="0.2">
      <c r="A1290" s="23" t="s">
        <v>92</v>
      </c>
      <c r="C1290" s="23" t="s">
        <v>8132</v>
      </c>
      <c r="D1290" s="23" t="s">
        <v>8133</v>
      </c>
      <c r="E1290" s="23" t="s">
        <v>8134</v>
      </c>
      <c r="G1290" s="23" t="s">
        <v>8135</v>
      </c>
      <c r="K1290" s="23" t="s">
        <v>8136</v>
      </c>
      <c r="L1290" s="23" t="s">
        <v>8137</v>
      </c>
      <c r="M1290" s="23" t="s">
        <v>12169</v>
      </c>
      <c r="N1290" s="23" t="s">
        <v>8138</v>
      </c>
    </row>
    <row r="1291" spans="1:20" x14ac:dyDescent="0.2">
      <c r="A1291" s="23" t="s">
        <v>92</v>
      </c>
      <c r="C1291" s="23" t="s">
        <v>8139</v>
      </c>
      <c r="D1291" s="23" t="s">
        <v>8140</v>
      </c>
      <c r="E1291" s="23" t="s">
        <v>8141</v>
      </c>
      <c r="G1291" s="23" t="s">
        <v>8142</v>
      </c>
      <c r="K1291" s="23" t="s">
        <v>8143</v>
      </c>
      <c r="L1291" s="23" t="s">
        <v>8144</v>
      </c>
      <c r="O1291" s="23" t="s">
        <v>12170</v>
      </c>
      <c r="P1291" s="23" t="s">
        <v>8145</v>
      </c>
      <c r="Q1291" s="23" t="s">
        <v>8146</v>
      </c>
      <c r="R1291" s="23" t="s">
        <v>8147</v>
      </c>
      <c r="S1291" s="23" t="s">
        <v>8148</v>
      </c>
      <c r="T1291" s="23" t="s">
        <v>8149</v>
      </c>
    </row>
    <row r="1292" spans="1:20" x14ac:dyDescent="0.2">
      <c r="A1292" s="23" t="s">
        <v>92</v>
      </c>
      <c r="C1292" s="23" t="s">
        <v>8150</v>
      </c>
      <c r="D1292" s="23" t="s">
        <v>8151</v>
      </c>
      <c r="E1292" s="23" t="s">
        <v>8152</v>
      </c>
      <c r="G1292" s="23" t="s">
        <v>8153</v>
      </c>
      <c r="K1292" s="23" t="s">
        <v>8154</v>
      </c>
      <c r="L1292" s="23" t="s">
        <v>8155</v>
      </c>
      <c r="O1292" s="23" t="s">
        <v>12171</v>
      </c>
      <c r="P1292" s="23" t="s">
        <v>14475</v>
      </c>
      <c r="Q1292" s="23" t="s">
        <v>14481</v>
      </c>
      <c r="R1292" s="23" t="s">
        <v>14487</v>
      </c>
      <c r="S1292" s="23" t="s">
        <v>14493</v>
      </c>
      <c r="T1292" s="23" t="s">
        <v>14499</v>
      </c>
    </row>
    <row r="1293" spans="1:20" x14ac:dyDescent="0.2">
      <c r="A1293" s="23" t="s">
        <v>92</v>
      </c>
      <c r="C1293" s="23" t="s">
        <v>8156</v>
      </c>
      <c r="D1293" s="23" t="s">
        <v>8157</v>
      </c>
      <c r="E1293" s="23" t="s">
        <v>8158</v>
      </c>
      <c r="G1293" s="23" t="s">
        <v>8159</v>
      </c>
      <c r="K1293" s="23" t="s">
        <v>8160</v>
      </c>
      <c r="L1293" s="23" t="s">
        <v>8161</v>
      </c>
      <c r="O1293" s="23" t="s">
        <v>12172</v>
      </c>
      <c r="P1293" s="23" t="s">
        <v>14476</v>
      </c>
      <c r="Q1293" s="23" t="s">
        <v>14482</v>
      </c>
      <c r="R1293" s="23" t="s">
        <v>14488</v>
      </c>
      <c r="S1293" s="23" t="s">
        <v>14494</v>
      </c>
      <c r="T1293" s="23" t="s">
        <v>14500</v>
      </c>
    </row>
    <row r="1294" spans="1:20" x14ac:dyDescent="0.2">
      <c r="A1294" s="23" t="s">
        <v>92</v>
      </c>
      <c r="C1294" s="23" t="s">
        <v>8162</v>
      </c>
      <c r="D1294" s="23" t="s">
        <v>8163</v>
      </c>
      <c r="E1294" s="23" t="s">
        <v>8164</v>
      </c>
      <c r="G1294" s="23" t="s">
        <v>8165</v>
      </c>
      <c r="K1294" s="23" t="s">
        <v>8166</v>
      </c>
      <c r="L1294" s="23" t="s">
        <v>8167</v>
      </c>
      <c r="O1294" s="23" t="s">
        <v>11517</v>
      </c>
      <c r="P1294" s="23" t="s">
        <v>14477</v>
      </c>
      <c r="Q1294" s="23" t="s">
        <v>14483</v>
      </c>
      <c r="R1294" s="23" t="s">
        <v>14489</v>
      </c>
      <c r="S1294" s="23" t="s">
        <v>14495</v>
      </c>
      <c r="T1294" s="23" t="s">
        <v>14501</v>
      </c>
    </row>
    <row r="1295" spans="1:20" x14ac:dyDescent="0.2">
      <c r="A1295" s="23" t="s">
        <v>92</v>
      </c>
      <c r="C1295" s="23" t="s">
        <v>8168</v>
      </c>
      <c r="D1295" s="23" t="s">
        <v>8169</v>
      </c>
      <c r="E1295" s="23" t="s">
        <v>8170</v>
      </c>
      <c r="G1295" s="23" t="s">
        <v>8171</v>
      </c>
      <c r="K1295" s="23" t="s">
        <v>8172</v>
      </c>
      <c r="L1295" s="23" t="s">
        <v>8173</v>
      </c>
      <c r="O1295" s="23" t="s">
        <v>11518</v>
      </c>
      <c r="P1295" s="23" t="s">
        <v>14478</v>
      </c>
      <c r="Q1295" s="23" t="s">
        <v>14484</v>
      </c>
      <c r="R1295" s="23" t="s">
        <v>14490</v>
      </c>
      <c r="S1295" s="23" t="s">
        <v>14496</v>
      </c>
      <c r="T1295" s="23" t="s">
        <v>14502</v>
      </c>
    </row>
    <row r="1296" spans="1:20" x14ac:dyDescent="0.2">
      <c r="A1296" s="23" t="s">
        <v>92</v>
      </c>
      <c r="C1296" s="23" t="s">
        <v>8174</v>
      </c>
      <c r="D1296" s="23" t="s">
        <v>8175</v>
      </c>
      <c r="E1296" s="23" t="s">
        <v>8176</v>
      </c>
      <c r="G1296" s="23" t="s">
        <v>8177</v>
      </c>
      <c r="K1296" s="23" t="s">
        <v>8178</v>
      </c>
      <c r="L1296" s="23" t="s">
        <v>8179</v>
      </c>
      <c r="O1296" s="23" t="s">
        <v>11519</v>
      </c>
      <c r="P1296" s="23" t="s">
        <v>14479</v>
      </c>
      <c r="Q1296" s="23" t="s">
        <v>14485</v>
      </c>
      <c r="R1296" s="23" t="s">
        <v>14491</v>
      </c>
      <c r="S1296" s="23" t="s">
        <v>14497</v>
      </c>
      <c r="T1296" s="23" t="s">
        <v>14503</v>
      </c>
    </row>
    <row r="1297" spans="1:20" x14ac:dyDescent="0.2">
      <c r="A1297" s="23" t="s">
        <v>92</v>
      </c>
      <c r="C1297" s="23" t="s">
        <v>8180</v>
      </c>
      <c r="D1297" s="23" t="s">
        <v>8181</v>
      </c>
      <c r="E1297" s="23" t="s">
        <v>8182</v>
      </c>
      <c r="G1297" s="23" t="s">
        <v>8183</v>
      </c>
      <c r="K1297" s="23" t="s">
        <v>8184</v>
      </c>
      <c r="L1297" s="23" t="s">
        <v>8185</v>
      </c>
      <c r="O1297" s="23" t="s">
        <v>12173</v>
      </c>
      <c r="P1297" s="23" t="s">
        <v>14480</v>
      </c>
      <c r="Q1297" s="23" t="s">
        <v>14486</v>
      </c>
      <c r="R1297" s="23" t="s">
        <v>14492</v>
      </c>
      <c r="S1297" s="23" t="s">
        <v>14498</v>
      </c>
      <c r="T1297" s="23" t="s">
        <v>14504</v>
      </c>
    </row>
    <row r="1298" spans="1:20" x14ac:dyDescent="0.2">
      <c r="A1298" s="23" t="s">
        <v>92</v>
      </c>
      <c r="C1298" s="23" t="s">
        <v>8150</v>
      </c>
      <c r="D1298" s="23" t="s">
        <v>8151</v>
      </c>
      <c r="E1298" s="23" t="s">
        <v>8152</v>
      </c>
      <c r="G1298" s="23" t="s">
        <v>8153</v>
      </c>
      <c r="K1298" s="23" t="s">
        <v>8154</v>
      </c>
      <c r="L1298" s="23" t="s">
        <v>8155</v>
      </c>
    </row>
    <row r="1299" spans="1:20" x14ac:dyDescent="0.2">
      <c r="A1299" s="23" t="s">
        <v>92</v>
      </c>
      <c r="C1299" s="23" t="s">
        <v>8186</v>
      </c>
      <c r="D1299" s="23" t="s">
        <v>8187</v>
      </c>
      <c r="E1299" s="23" t="s">
        <v>8188</v>
      </c>
      <c r="G1299" s="23" t="s">
        <v>8189</v>
      </c>
      <c r="K1299" s="23" t="s">
        <v>8190</v>
      </c>
      <c r="L1299" s="23" t="s">
        <v>8191</v>
      </c>
      <c r="M1299" s="23" t="s">
        <v>8192</v>
      </c>
      <c r="N1299" s="23" t="s">
        <v>8193</v>
      </c>
      <c r="T1299" s="23" t="s">
        <v>8194</v>
      </c>
    </row>
    <row r="1300" spans="1:20" x14ac:dyDescent="0.2">
      <c r="A1300" s="23" t="s">
        <v>92</v>
      </c>
      <c r="C1300" s="23" t="s">
        <v>8195</v>
      </c>
      <c r="D1300" s="23" t="s">
        <v>8196</v>
      </c>
      <c r="E1300" s="23" t="s">
        <v>8197</v>
      </c>
      <c r="G1300" s="23" t="s">
        <v>8198</v>
      </c>
      <c r="K1300" s="23" t="s">
        <v>8199</v>
      </c>
      <c r="L1300" s="23" t="s">
        <v>8200</v>
      </c>
      <c r="M1300" s="23" t="s">
        <v>8201</v>
      </c>
      <c r="N1300" s="23" t="s">
        <v>8202</v>
      </c>
    </row>
    <row r="1301" spans="1:20" x14ac:dyDescent="0.2">
      <c r="A1301" s="23" t="s">
        <v>92</v>
      </c>
      <c r="C1301" s="23" t="s">
        <v>8203</v>
      </c>
      <c r="D1301" s="23" t="s">
        <v>8204</v>
      </c>
      <c r="E1301" s="23" t="s">
        <v>8205</v>
      </c>
      <c r="G1301" s="23" t="s">
        <v>8206</v>
      </c>
      <c r="K1301" s="23" t="s">
        <v>8207</v>
      </c>
      <c r="L1301" s="23" t="s">
        <v>8208</v>
      </c>
      <c r="O1301" s="23" t="s">
        <v>12174</v>
      </c>
      <c r="P1301" s="23" t="s">
        <v>8209</v>
      </c>
      <c r="Q1301" s="23" t="s">
        <v>8210</v>
      </c>
      <c r="R1301" s="23" t="s">
        <v>8211</v>
      </c>
      <c r="S1301" s="23" t="s">
        <v>8212</v>
      </c>
      <c r="T1301" s="23" t="s">
        <v>8213</v>
      </c>
    </row>
    <row r="1302" spans="1:20" x14ac:dyDescent="0.2">
      <c r="A1302" s="23" t="s">
        <v>92</v>
      </c>
      <c r="C1302" s="23" t="s">
        <v>8214</v>
      </c>
      <c r="D1302" s="23" t="s">
        <v>8215</v>
      </c>
      <c r="E1302" s="23" t="s">
        <v>8216</v>
      </c>
      <c r="G1302" s="23" t="s">
        <v>8217</v>
      </c>
      <c r="K1302" s="23" t="s">
        <v>8218</v>
      </c>
      <c r="L1302" s="23" t="s">
        <v>8219</v>
      </c>
      <c r="O1302" s="23" t="s">
        <v>12175</v>
      </c>
      <c r="P1302" s="23" t="s">
        <v>14625</v>
      </c>
      <c r="Q1302" s="23" t="s">
        <v>14631</v>
      </c>
      <c r="R1302" s="23" t="s">
        <v>14637</v>
      </c>
      <c r="S1302" s="23" t="s">
        <v>14643</v>
      </c>
      <c r="T1302" s="23" t="s">
        <v>14649</v>
      </c>
    </row>
    <row r="1303" spans="1:20" x14ac:dyDescent="0.2">
      <c r="A1303" s="23" t="s">
        <v>92</v>
      </c>
      <c r="C1303" s="23" t="s">
        <v>8220</v>
      </c>
      <c r="D1303" s="23" t="s">
        <v>8221</v>
      </c>
      <c r="E1303" s="23" t="s">
        <v>8222</v>
      </c>
      <c r="G1303" s="23" t="s">
        <v>8223</v>
      </c>
      <c r="K1303" s="23" t="s">
        <v>8224</v>
      </c>
      <c r="L1303" s="23" t="s">
        <v>8225</v>
      </c>
      <c r="O1303" s="23" t="s">
        <v>12176</v>
      </c>
      <c r="P1303" s="23" t="s">
        <v>14626</v>
      </c>
      <c r="Q1303" s="23" t="s">
        <v>14632</v>
      </c>
      <c r="R1303" s="23" t="s">
        <v>14638</v>
      </c>
      <c r="S1303" s="23" t="s">
        <v>14644</v>
      </c>
      <c r="T1303" s="23" t="s">
        <v>14650</v>
      </c>
    </row>
    <row r="1304" spans="1:20" x14ac:dyDescent="0.2">
      <c r="A1304" s="23" t="s">
        <v>92</v>
      </c>
      <c r="C1304" s="23" t="s">
        <v>8226</v>
      </c>
      <c r="D1304" s="23" t="s">
        <v>8227</v>
      </c>
      <c r="E1304" s="23" t="s">
        <v>8228</v>
      </c>
      <c r="G1304" s="23" t="s">
        <v>8229</v>
      </c>
      <c r="K1304" s="23" t="s">
        <v>8230</v>
      </c>
      <c r="L1304" s="23" t="s">
        <v>8231</v>
      </c>
      <c r="O1304" s="23" t="s">
        <v>11524</v>
      </c>
      <c r="P1304" s="23" t="s">
        <v>14627</v>
      </c>
      <c r="Q1304" s="23" t="s">
        <v>14633</v>
      </c>
      <c r="R1304" s="23" t="s">
        <v>14639</v>
      </c>
      <c r="S1304" s="23" t="s">
        <v>14645</v>
      </c>
      <c r="T1304" s="23" t="s">
        <v>14651</v>
      </c>
    </row>
    <row r="1305" spans="1:20" x14ac:dyDescent="0.2">
      <c r="A1305" s="23" t="s">
        <v>92</v>
      </c>
      <c r="C1305" s="23" t="s">
        <v>8232</v>
      </c>
      <c r="D1305" s="23" t="s">
        <v>8233</v>
      </c>
      <c r="E1305" s="23" t="s">
        <v>8234</v>
      </c>
      <c r="G1305" s="23" t="s">
        <v>8235</v>
      </c>
      <c r="K1305" s="23" t="s">
        <v>8236</v>
      </c>
      <c r="L1305" s="23" t="s">
        <v>8237</v>
      </c>
      <c r="O1305" s="23" t="s">
        <v>11525</v>
      </c>
      <c r="P1305" s="23" t="s">
        <v>14628</v>
      </c>
      <c r="Q1305" s="23" t="s">
        <v>14634</v>
      </c>
      <c r="R1305" s="23" t="s">
        <v>14640</v>
      </c>
      <c r="S1305" s="23" t="s">
        <v>14646</v>
      </c>
      <c r="T1305" s="23" t="s">
        <v>14652</v>
      </c>
    </row>
    <row r="1306" spans="1:20" x14ac:dyDescent="0.2">
      <c r="A1306" s="23" t="s">
        <v>92</v>
      </c>
      <c r="C1306" s="23" t="s">
        <v>8238</v>
      </c>
      <c r="D1306" s="23" t="s">
        <v>8239</v>
      </c>
      <c r="E1306" s="23" t="s">
        <v>8240</v>
      </c>
      <c r="G1306" s="23" t="s">
        <v>8241</v>
      </c>
      <c r="K1306" s="23" t="s">
        <v>8242</v>
      </c>
      <c r="L1306" s="23" t="s">
        <v>8243</v>
      </c>
      <c r="O1306" s="23" t="s">
        <v>11526</v>
      </c>
      <c r="P1306" s="23" t="s">
        <v>14629</v>
      </c>
      <c r="Q1306" s="23" t="s">
        <v>14635</v>
      </c>
      <c r="R1306" s="23" t="s">
        <v>14641</v>
      </c>
      <c r="S1306" s="23" t="s">
        <v>14647</v>
      </c>
      <c r="T1306" s="23" t="s">
        <v>14653</v>
      </c>
    </row>
    <row r="1307" spans="1:20" x14ac:dyDescent="0.2">
      <c r="A1307" s="23" t="s">
        <v>92</v>
      </c>
      <c r="C1307" s="23" t="s">
        <v>8244</v>
      </c>
      <c r="D1307" s="23" t="s">
        <v>8245</v>
      </c>
      <c r="E1307" s="23" t="s">
        <v>8246</v>
      </c>
      <c r="G1307" s="23" t="s">
        <v>8247</v>
      </c>
      <c r="K1307" s="23" t="s">
        <v>8248</v>
      </c>
      <c r="L1307" s="23" t="s">
        <v>8249</v>
      </c>
      <c r="O1307" s="23" t="s">
        <v>12177</v>
      </c>
      <c r="P1307" s="23" t="s">
        <v>14630</v>
      </c>
      <c r="Q1307" s="23" t="s">
        <v>14636</v>
      </c>
      <c r="R1307" s="23" t="s">
        <v>14642</v>
      </c>
      <c r="S1307" s="23" t="s">
        <v>14648</v>
      </c>
      <c r="T1307" s="23" t="s">
        <v>14654</v>
      </c>
    </row>
    <row r="1308" spans="1:20" x14ac:dyDescent="0.2">
      <c r="A1308" s="23" t="s">
        <v>92</v>
      </c>
      <c r="C1308" s="23" t="s">
        <v>8214</v>
      </c>
      <c r="D1308" s="23" t="s">
        <v>8215</v>
      </c>
      <c r="E1308" s="23" t="s">
        <v>8216</v>
      </c>
      <c r="G1308" s="23" t="s">
        <v>8217</v>
      </c>
      <c r="K1308" s="23" t="s">
        <v>8218</v>
      </c>
      <c r="L1308" s="23" t="s">
        <v>8219</v>
      </c>
    </row>
    <row r="1309" spans="1:20" x14ac:dyDescent="0.2">
      <c r="A1309" s="23" t="s">
        <v>92</v>
      </c>
      <c r="C1309" s="23" t="s">
        <v>8250</v>
      </c>
      <c r="D1309" s="23" t="s">
        <v>8251</v>
      </c>
      <c r="E1309" s="23" t="s">
        <v>8252</v>
      </c>
      <c r="G1309" s="23" t="s">
        <v>8253</v>
      </c>
      <c r="K1309" s="23" t="s">
        <v>8254</v>
      </c>
      <c r="L1309" s="23" t="s">
        <v>8255</v>
      </c>
      <c r="M1309" s="23" t="s">
        <v>8256</v>
      </c>
      <c r="N1309" s="23" t="s">
        <v>8257</v>
      </c>
      <c r="T1309" s="23" t="s">
        <v>8258</v>
      </c>
    </row>
    <row r="1310" spans="1:20" x14ac:dyDescent="0.2">
      <c r="A1310" s="23" t="s">
        <v>92</v>
      </c>
      <c r="C1310" s="23" t="s">
        <v>8259</v>
      </c>
      <c r="D1310" s="23" t="s">
        <v>8260</v>
      </c>
      <c r="E1310" s="23" t="s">
        <v>8261</v>
      </c>
      <c r="G1310" s="23" t="s">
        <v>8262</v>
      </c>
      <c r="K1310" s="23" t="s">
        <v>8263</v>
      </c>
      <c r="L1310" s="23" t="s">
        <v>8264</v>
      </c>
      <c r="M1310" s="23" t="s">
        <v>8265</v>
      </c>
      <c r="N1310" s="23" t="s">
        <v>8266</v>
      </c>
    </row>
    <row r="1311" spans="1:20" x14ac:dyDescent="0.2">
      <c r="A1311" s="23" t="s">
        <v>92</v>
      </c>
      <c r="C1311" s="23" t="s">
        <v>8267</v>
      </c>
      <c r="D1311" s="23" t="s">
        <v>8268</v>
      </c>
      <c r="E1311" s="23" t="s">
        <v>8269</v>
      </c>
      <c r="G1311" s="23" t="s">
        <v>8270</v>
      </c>
      <c r="K1311" s="23" t="s">
        <v>8271</v>
      </c>
      <c r="L1311" s="23" t="s">
        <v>8272</v>
      </c>
      <c r="O1311" s="23" t="s">
        <v>12178</v>
      </c>
      <c r="P1311" s="23" t="s">
        <v>8273</v>
      </c>
      <c r="Q1311" s="23" t="s">
        <v>8274</v>
      </c>
      <c r="R1311" s="23" t="s">
        <v>8275</v>
      </c>
      <c r="S1311" s="23" t="s">
        <v>8276</v>
      </c>
      <c r="T1311" s="23" t="s">
        <v>8277</v>
      </c>
    </row>
    <row r="1312" spans="1:20" x14ac:dyDescent="0.2">
      <c r="A1312" s="23" t="s">
        <v>92</v>
      </c>
      <c r="C1312" s="23" t="s">
        <v>8278</v>
      </c>
      <c r="D1312" s="23" t="s">
        <v>8279</v>
      </c>
      <c r="E1312" s="23" t="s">
        <v>8280</v>
      </c>
      <c r="G1312" s="23" t="s">
        <v>8281</v>
      </c>
      <c r="K1312" s="23" t="s">
        <v>8282</v>
      </c>
      <c r="L1312" s="23" t="s">
        <v>8283</v>
      </c>
      <c r="O1312" s="23" t="s">
        <v>12179</v>
      </c>
      <c r="P1312" s="23" t="s">
        <v>14595</v>
      </c>
      <c r="Q1312" s="23" t="s">
        <v>14601</v>
      </c>
      <c r="R1312" s="23" t="s">
        <v>14607</v>
      </c>
      <c r="S1312" s="23" t="s">
        <v>14613</v>
      </c>
      <c r="T1312" s="23" t="s">
        <v>14619</v>
      </c>
    </row>
    <row r="1313" spans="1:20" x14ac:dyDescent="0.2">
      <c r="A1313" s="23" t="s">
        <v>92</v>
      </c>
      <c r="C1313" s="23" t="s">
        <v>8284</v>
      </c>
      <c r="D1313" s="23" t="s">
        <v>8285</v>
      </c>
      <c r="E1313" s="23" t="s">
        <v>8286</v>
      </c>
      <c r="G1313" s="23" t="s">
        <v>8287</v>
      </c>
      <c r="K1313" s="23" t="s">
        <v>8288</v>
      </c>
      <c r="L1313" s="23" t="s">
        <v>8289</v>
      </c>
      <c r="O1313" s="23" t="s">
        <v>12180</v>
      </c>
      <c r="P1313" s="23" t="s">
        <v>14596</v>
      </c>
      <c r="Q1313" s="23" t="s">
        <v>14602</v>
      </c>
      <c r="R1313" s="23" t="s">
        <v>14608</v>
      </c>
      <c r="S1313" s="23" t="s">
        <v>14614</v>
      </c>
      <c r="T1313" s="23" t="s">
        <v>14620</v>
      </c>
    </row>
    <row r="1314" spans="1:20" x14ac:dyDescent="0.2">
      <c r="A1314" s="23" t="s">
        <v>92</v>
      </c>
      <c r="C1314" s="23" t="s">
        <v>8290</v>
      </c>
      <c r="D1314" s="23" t="s">
        <v>8291</v>
      </c>
      <c r="E1314" s="23" t="s">
        <v>8292</v>
      </c>
      <c r="G1314" s="23" t="s">
        <v>8293</v>
      </c>
      <c r="K1314" s="23" t="s">
        <v>8294</v>
      </c>
      <c r="L1314" s="23" t="s">
        <v>8295</v>
      </c>
      <c r="O1314" s="23" t="s">
        <v>11531</v>
      </c>
      <c r="P1314" s="23" t="s">
        <v>14597</v>
      </c>
      <c r="Q1314" s="23" t="s">
        <v>14603</v>
      </c>
      <c r="R1314" s="23" t="s">
        <v>14609</v>
      </c>
      <c r="S1314" s="23" t="s">
        <v>14615</v>
      </c>
      <c r="T1314" s="23" t="s">
        <v>14621</v>
      </c>
    </row>
    <row r="1315" spans="1:20" x14ac:dyDescent="0.2">
      <c r="A1315" s="23" t="s">
        <v>92</v>
      </c>
      <c r="C1315" s="23" t="s">
        <v>8296</v>
      </c>
      <c r="D1315" s="23" t="s">
        <v>8297</v>
      </c>
      <c r="E1315" s="23" t="s">
        <v>8298</v>
      </c>
      <c r="G1315" s="23" t="s">
        <v>8299</v>
      </c>
      <c r="K1315" s="23" t="s">
        <v>8300</v>
      </c>
      <c r="L1315" s="23" t="s">
        <v>8301</v>
      </c>
      <c r="O1315" s="23" t="s">
        <v>11532</v>
      </c>
      <c r="P1315" s="23" t="s">
        <v>14598</v>
      </c>
      <c r="Q1315" s="23" t="s">
        <v>14604</v>
      </c>
      <c r="R1315" s="23" t="s">
        <v>14610</v>
      </c>
      <c r="S1315" s="23" t="s">
        <v>14616</v>
      </c>
      <c r="T1315" s="23" t="s">
        <v>14622</v>
      </c>
    </row>
    <row r="1316" spans="1:20" x14ac:dyDescent="0.2">
      <c r="A1316" s="23" t="s">
        <v>92</v>
      </c>
      <c r="C1316" s="23" t="s">
        <v>8302</v>
      </c>
      <c r="D1316" s="23" t="s">
        <v>8303</v>
      </c>
      <c r="E1316" s="23" t="s">
        <v>8304</v>
      </c>
      <c r="G1316" s="23" t="s">
        <v>8305</v>
      </c>
      <c r="K1316" s="23" t="s">
        <v>8306</v>
      </c>
      <c r="L1316" s="23" t="s">
        <v>8307</v>
      </c>
      <c r="O1316" s="23" t="s">
        <v>11533</v>
      </c>
      <c r="P1316" s="23" t="s">
        <v>14599</v>
      </c>
      <c r="Q1316" s="23" t="s">
        <v>14605</v>
      </c>
      <c r="R1316" s="23" t="s">
        <v>14611</v>
      </c>
      <c r="S1316" s="23" t="s">
        <v>14617</v>
      </c>
      <c r="T1316" s="23" t="s">
        <v>14623</v>
      </c>
    </row>
    <row r="1317" spans="1:20" x14ac:dyDescent="0.2">
      <c r="A1317" s="23" t="s">
        <v>92</v>
      </c>
      <c r="C1317" s="23" t="s">
        <v>8308</v>
      </c>
      <c r="D1317" s="23" t="s">
        <v>8309</v>
      </c>
      <c r="E1317" s="23" t="s">
        <v>8310</v>
      </c>
      <c r="G1317" s="23" t="s">
        <v>8311</v>
      </c>
      <c r="K1317" s="23" t="s">
        <v>8312</v>
      </c>
      <c r="L1317" s="23" t="s">
        <v>8313</v>
      </c>
      <c r="O1317" s="23" t="s">
        <v>12181</v>
      </c>
      <c r="P1317" s="23" t="s">
        <v>14600</v>
      </c>
      <c r="Q1317" s="23" t="s">
        <v>14606</v>
      </c>
      <c r="R1317" s="23" t="s">
        <v>14612</v>
      </c>
      <c r="S1317" s="23" t="s">
        <v>14618</v>
      </c>
      <c r="T1317" s="23" t="s">
        <v>14624</v>
      </c>
    </row>
    <row r="1318" spans="1:20" x14ac:dyDescent="0.2">
      <c r="A1318" s="23" t="s">
        <v>92</v>
      </c>
      <c r="C1318" s="23" t="s">
        <v>8278</v>
      </c>
      <c r="D1318" s="23" t="s">
        <v>8279</v>
      </c>
      <c r="E1318" s="23" t="s">
        <v>8280</v>
      </c>
      <c r="G1318" s="23" t="s">
        <v>8281</v>
      </c>
      <c r="K1318" s="23" t="s">
        <v>8282</v>
      </c>
      <c r="L1318" s="23" t="s">
        <v>8283</v>
      </c>
    </row>
    <row r="1319" spans="1:20" x14ac:dyDescent="0.2">
      <c r="A1319" s="23" t="s">
        <v>92</v>
      </c>
      <c r="C1319" s="23" t="s">
        <v>8314</v>
      </c>
      <c r="D1319" s="23" t="s">
        <v>8315</v>
      </c>
      <c r="E1319" s="23" t="s">
        <v>8316</v>
      </c>
      <c r="G1319" s="23" t="s">
        <v>8317</v>
      </c>
      <c r="K1319" s="23" t="s">
        <v>8318</v>
      </c>
      <c r="L1319" s="23" t="s">
        <v>8319</v>
      </c>
      <c r="M1319" s="23" t="s">
        <v>8320</v>
      </c>
      <c r="N1319" s="23" t="s">
        <v>8321</v>
      </c>
      <c r="T1319" s="23" t="s">
        <v>8322</v>
      </c>
    </row>
    <row r="1320" spans="1:20" x14ac:dyDescent="0.2">
      <c r="A1320" s="23" t="s">
        <v>92</v>
      </c>
      <c r="C1320" s="23" t="s">
        <v>8323</v>
      </c>
      <c r="D1320" s="23" t="s">
        <v>8324</v>
      </c>
      <c r="E1320" s="23" t="s">
        <v>8325</v>
      </c>
      <c r="G1320" s="23" t="s">
        <v>8326</v>
      </c>
      <c r="K1320" s="23" t="s">
        <v>8327</v>
      </c>
      <c r="L1320" s="23" t="s">
        <v>8328</v>
      </c>
      <c r="M1320" s="23" t="s">
        <v>8329</v>
      </c>
      <c r="N1320" s="23" t="s">
        <v>8330</v>
      </c>
    </row>
    <row r="1321" spans="1:20" x14ac:dyDescent="0.2">
      <c r="A1321" s="23" t="s">
        <v>92</v>
      </c>
      <c r="C1321" s="23" t="s">
        <v>8331</v>
      </c>
      <c r="D1321" s="23" t="s">
        <v>8332</v>
      </c>
      <c r="E1321" s="23" t="s">
        <v>8333</v>
      </c>
      <c r="G1321" s="23" t="s">
        <v>8334</v>
      </c>
      <c r="K1321" s="23" t="s">
        <v>8335</v>
      </c>
      <c r="L1321" s="23" t="s">
        <v>8336</v>
      </c>
      <c r="O1321" s="23" t="s">
        <v>12182</v>
      </c>
      <c r="P1321" s="23" t="s">
        <v>8337</v>
      </c>
      <c r="Q1321" s="23" t="s">
        <v>8338</v>
      </c>
      <c r="R1321" s="23" t="s">
        <v>8339</v>
      </c>
      <c r="S1321" s="23" t="s">
        <v>8340</v>
      </c>
      <c r="T1321" s="23" t="s">
        <v>8341</v>
      </c>
    </row>
    <row r="1322" spans="1:20" x14ac:dyDescent="0.2">
      <c r="A1322" s="23" t="s">
        <v>92</v>
      </c>
      <c r="C1322" s="23" t="s">
        <v>8342</v>
      </c>
      <c r="D1322" s="23" t="s">
        <v>8343</v>
      </c>
      <c r="E1322" s="23" t="s">
        <v>8344</v>
      </c>
      <c r="G1322" s="23" t="s">
        <v>8345</v>
      </c>
      <c r="K1322" s="23" t="s">
        <v>8346</v>
      </c>
      <c r="L1322" s="23" t="s">
        <v>8347</v>
      </c>
      <c r="O1322" s="23" t="s">
        <v>12183</v>
      </c>
      <c r="P1322" s="23" t="s">
        <v>14565</v>
      </c>
      <c r="Q1322" s="23" t="s">
        <v>14571</v>
      </c>
      <c r="R1322" s="23" t="s">
        <v>14577</v>
      </c>
      <c r="S1322" s="23" t="s">
        <v>14583</v>
      </c>
      <c r="T1322" s="23" t="s">
        <v>14589</v>
      </c>
    </row>
    <row r="1323" spans="1:20" x14ac:dyDescent="0.2">
      <c r="A1323" s="23" t="s">
        <v>92</v>
      </c>
      <c r="C1323" s="23" t="s">
        <v>8348</v>
      </c>
      <c r="D1323" s="23" t="s">
        <v>8349</v>
      </c>
      <c r="E1323" s="23" t="s">
        <v>8350</v>
      </c>
      <c r="G1323" s="23" t="s">
        <v>8351</v>
      </c>
      <c r="K1323" s="23" t="s">
        <v>8352</v>
      </c>
      <c r="L1323" s="23" t="s">
        <v>8353</v>
      </c>
      <c r="O1323" s="23" t="s">
        <v>12184</v>
      </c>
      <c r="P1323" s="23" t="s">
        <v>14566</v>
      </c>
      <c r="Q1323" s="23" t="s">
        <v>14572</v>
      </c>
      <c r="R1323" s="23" t="s">
        <v>14578</v>
      </c>
      <c r="S1323" s="23" t="s">
        <v>14584</v>
      </c>
      <c r="T1323" s="23" t="s">
        <v>14590</v>
      </c>
    </row>
    <row r="1324" spans="1:20" x14ac:dyDescent="0.2">
      <c r="A1324" s="23" t="s">
        <v>92</v>
      </c>
      <c r="C1324" s="23" t="s">
        <v>8354</v>
      </c>
      <c r="D1324" s="23" t="s">
        <v>8355</v>
      </c>
      <c r="E1324" s="23" t="s">
        <v>8356</v>
      </c>
      <c r="G1324" s="23" t="s">
        <v>8357</v>
      </c>
      <c r="K1324" s="23" t="s">
        <v>8358</v>
      </c>
      <c r="L1324" s="23" t="s">
        <v>8359</v>
      </c>
      <c r="O1324" s="23" t="s">
        <v>11538</v>
      </c>
      <c r="P1324" s="23" t="s">
        <v>14567</v>
      </c>
      <c r="Q1324" s="23" t="s">
        <v>14573</v>
      </c>
      <c r="R1324" s="23" t="s">
        <v>14579</v>
      </c>
      <c r="S1324" s="23" t="s">
        <v>14585</v>
      </c>
      <c r="T1324" s="23" t="s">
        <v>14591</v>
      </c>
    </row>
    <row r="1325" spans="1:20" x14ac:dyDescent="0.2">
      <c r="A1325" s="23" t="s">
        <v>92</v>
      </c>
      <c r="C1325" s="23" t="s">
        <v>8360</v>
      </c>
      <c r="D1325" s="23" t="s">
        <v>8361</v>
      </c>
      <c r="E1325" s="23" t="s">
        <v>8362</v>
      </c>
      <c r="G1325" s="23" t="s">
        <v>8363</v>
      </c>
      <c r="K1325" s="23" t="s">
        <v>8364</v>
      </c>
      <c r="L1325" s="23" t="s">
        <v>8365</v>
      </c>
      <c r="O1325" s="23" t="s">
        <v>11539</v>
      </c>
      <c r="P1325" s="23" t="s">
        <v>14568</v>
      </c>
      <c r="Q1325" s="23" t="s">
        <v>14574</v>
      </c>
      <c r="R1325" s="23" t="s">
        <v>14580</v>
      </c>
      <c r="S1325" s="23" t="s">
        <v>14586</v>
      </c>
      <c r="T1325" s="23" t="s">
        <v>14592</v>
      </c>
    </row>
    <row r="1326" spans="1:20" x14ac:dyDescent="0.2">
      <c r="A1326" s="23" t="s">
        <v>92</v>
      </c>
      <c r="C1326" s="23" t="s">
        <v>8366</v>
      </c>
      <c r="D1326" s="23" t="s">
        <v>8367</v>
      </c>
      <c r="E1326" s="23" t="s">
        <v>8368</v>
      </c>
      <c r="G1326" s="23" t="s">
        <v>8369</v>
      </c>
      <c r="K1326" s="23" t="s">
        <v>8370</v>
      </c>
      <c r="L1326" s="23" t="s">
        <v>8371</v>
      </c>
      <c r="O1326" s="23" t="s">
        <v>11540</v>
      </c>
      <c r="P1326" s="23" t="s">
        <v>14569</v>
      </c>
      <c r="Q1326" s="23" t="s">
        <v>14575</v>
      </c>
      <c r="R1326" s="23" t="s">
        <v>14581</v>
      </c>
      <c r="S1326" s="23" t="s">
        <v>14587</v>
      </c>
      <c r="T1326" s="23" t="s">
        <v>14593</v>
      </c>
    </row>
    <row r="1327" spans="1:20" x14ac:dyDescent="0.2">
      <c r="A1327" s="23" t="s">
        <v>92</v>
      </c>
      <c r="C1327" s="23" t="s">
        <v>8372</v>
      </c>
      <c r="D1327" s="23" t="s">
        <v>8373</v>
      </c>
      <c r="E1327" s="23" t="s">
        <v>8374</v>
      </c>
      <c r="G1327" s="23" t="s">
        <v>8375</v>
      </c>
      <c r="K1327" s="23" t="s">
        <v>8376</v>
      </c>
      <c r="L1327" s="23" t="s">
        <v>8377</v>
      </c>
      <c r="O1327" s="23" t="s">
        <v>12185</v>
      </c>
      <c r="P1327" s="23" t="s">
        <v>14570</v>
      </c>
      <c r="Q1327" s="23" t="s">
        <v>14576</v>
      </c>
      <c r="R1327" s="23" t="s">
        <v>14582</v>
      </c>
      <c r="S1327" s="23" t="s">
        <v>14588</v>
      </c>
      <c r="T1327" s="23" t="s">
        <v>14594</v>
      </c>
    </row>
    <row r="1328" spans="1:20" x14ac:dyDescent="0.2">
      <c r="A1328" s="23" t="s">
        <v>92</v>
      </c>
      <c r="C1328" s="23" t="s">
        <v>8342</v>
      </c>
      <c r="D1328" s="23" t="s">
        <v>8343</v>
      </c>
      <c r="E1328" s="23" t="s">
        <v>8344</v>
      </c>
      <c r="G1328" s="23" t="s">
        <v>8345</v>
      </c>
      <c r="K1328" s="23" t="s">
        <v>8346</v>
      </c>
      <c r="L1328" s="23" t="s">
        <v>8347</v>
      </c>
    </row>
    <row r="1329" spans="1:20" x14ac:dyDescent="0.2">
      <c r="A1329" s="23" t="s">
        <v>92</v>
      </c>
      <c r="C1329" s="23" t="s">
        <v>8378</v>
      </c>
      <c r="D1329" s="23" t="s">
        <v>8379</v>
      </c>
      <c r="E1329" s="23" t="s">
        <v>8380</v>
      </c>
      <c r="G1329" s="23" t="s">
        <v>8381</v>
      </c>
      <c r="K1329" s="23" t="s">
        <v>8382</v>
      </c>
      <c r="L1329" s="23" t="s">
        <v>8383</v>
      </c>
      <c r="M1329" s="23" t="s">
        <v>8384</v>
      </c>
      <c r="N1329" s="23" t="s">
        <v>8385</v>
      </c>
      <c r="T1329" s="23" t="s">
        <v>8386</v>
      </c>
    </row>
    <row r="1330" spans="1:20" x14ac:dyDescent="0.2">
      <c r="A1330" s="23" t="s">
        <v>92</v>
      </c>
      <c r="C1330" s="23" t="s">
        <v>8387</v>
      </c>
      <c r="D1330" s="23" t="s">
        <v>8388</v>
      </c>
      <c r="E1330" s="23" t="s">
        <v>8389</v>
      </c>
      <c r="G1330" s="23" t="s">
        <v>8390</v>
      </c>
      <c r="K1330" s="23" t="s">
        <v>8391</v>
      </c>
      <c r="L1330" s="23" t="s">
        <v>8392</v>
      </c>
      <c r="M1330" s="23" t="s">
        <v>8393</v>
      </c>
      <c r="N1330" s="23" t="s">
        <v>8394</v>
      </c>
    </row>
    <row r="1331" spans="1:20" x14ac:dyDescent="0.2">
      <c r="A1331" s="23" t="s">
        <v>92</v>
      </c>
      <c r="C1331" s="23" t="s">
        <v>8395</v>
      </c>
      <c r="D1331" s="23" t="s">
        <v>8396</v>
      </c>
      <c r="E1331" s="23" t="s">
        <v>8397</v>
      </c>
      <c r="G1331" s="23" t="s">
        <v>8398</v>
      </c>
      <c r="K1331" s="23" t="s">
        <v>8399</v>
      </c>
      <c r="L1331" s="23" t="s">
        <v>8400</v>
      </c>
      <c r="O1331" s="23" t="s">
        <v>12186</v>
      </c>
      <c r="P1331" s="23" t="s">
        <v>8401</v>
      </c>
      <c r="Q1331" s="23" t="s">
        <v>8402</v>
      </c>
      <c r="R1331" s="23" t="s">
        <v>8403</v>
      </c>
      <c r="S1331" s="23" t="s">
        <v>8404</v>
      </c>
      <c r="T1331" s="23" t="s">
        <v>8405</v>
      </c>
    </row>
    <row r="1332" spans="1:20" x14ac:dyDescent="0.2">
      <c r="A1332" s="23" t="s">
        <v>92</v>
      </c>
      <c r="C1332" s="23" t="s">
        <v>8406</v>
      </c>
      <c r="D1332" s="23" t="s">
        <v>8407</v>
      </c>
      <c r="E1332" s="23" t="s">
        <v>8408</v>
      </c>
      <c r="G1332" s="23" t="s">
        <v>8409</v>
      </c>
      <c r="K1332" s="23" t="s">
        <v>8410</v>
      </c>
      <c r="L1332" s="23" t="s">
        <v>8411</v>
      </c>
      <c r="O1332" s="23" t="s">
        <v>12187</v>
      </c>
      <c r="P1332" s="23" t="s">
        <v>14535</v>
      </c>
      <c r="Q1332" s="23" t="s">
        <v>14541</v>
      </c>
      <c r="R1332" s="23" t="s">
        <v>14547</v>
      </c>
      <c r="S1332" s="23" t="s">
        <v>14553</v>
      </c>
      <c r="T1332" s="23" t="s">
        <v>14559</v>
      </c>
    </row>
    <row r="1333" spans="1:20" x14ac:dyDescent="0.2">
      <c r="A1333" s="23" t="s">
        <v>92</v>
      </c>
      <c r="C1333" s="23" t="s">
        <v>8412</v>
      </c>
      <c r="D1333" s="23" t="s">
        <v>8413</v>
      </c>
      <c r="E1333" s="23" t="s">
        <v>8414</v>
      </c>
      <c r="G1333" s="23" t="s">
        <v>8415</v>
      </c>
      <c r="K1333" s="23" t="s">
        <v>8416</v>
      </c>
      <c r="L1333" s="23" t="s">
        <v>8417</v>
      </c>
      <c r="O1333" s="23" t="s">
        <v>12188</v>
      </c>
      <c r="P1333" s="23" t="s">
        <v>14536</v>
      </c>
      <c r="Q1333" s="23" t="s">
        <v>14542</v>
      </c>
      <c r="R1333" s="23" t="s">
        <v>14548</v>
      </c>
      <c r="S1333" s="23" t="s">
        <v>14554</v>
      </c>
      <c r="T1333" s="23" t="s">
        <v>14560</v>
      </c>
    </row>
    <row r="1334" spans="1:20" x14ac:dyDescent="0.2">
      <c r="A1334" s="23" t="s">
        <v>92</v>
      </c>
      <c r="C1334" s="23" t="s">
        <v>8418</v>
      </c>
      <c r="D1334" s="23" t="s">
        <v>8419</v>
      </c>
      <c r="E1334" s="23" t="s">
        <v>8420</v>
      </c>
      <c r="G1334" s="23" t="s">
        <v>8421</v>
      </c>
      <c r="K1334" s="23" t="s">
        <v>8422</v>
      </c>
      <c r="L1334" s="23" t="s">
        <v>8423</v>
      </c>
      <c r="O1334" s="23" t="s">
        <v>11546</v>
      </c>
      <c r="P1334" s="23" t="s">
        <v>14537</v>
      </c>
      <c r="Q1334" s="23" t="s">
        <v>14543</v>
      </c>
      <c r="R1334" s="23" t="s">
        <v>14549</v>
      </c>
      <c r="S1334" s="23" t="s">
        <v>14555</v>
      </c>
      <c r="T1334" s="23" t="s">
        <v>14561</v>
      </c>
    </row>
    <row r="1335" spans="1:20" x14ac:dyDescent="0.2">
      <c r="A1335" s="23" t="s">
        <v>92</v>
      </c>
      <c r="C1335" s="23" t="s">
        <v>8424</v>
      </c>
      <c r="D1335" s="23" t="s">
        <v>8425</v>
      </c>
      <c r="E1335" s="23" t="s">
        <v>8426</v>
      </c>
      <c r="G1335" s="23" t="s">
        <v>8427</v>
      </c>
      <c r="K1335" s="23" t="s">
        <v>8428</v>
      </c>
      <c r="L1335" s="23" t="s">
        <v>8429</v>
      </c>
      <c r="O1335" s="23" t="s">
        <v>11547</v>
      </c>
      <c r="P1335" s="23" t="s">
        <v>14538</v>
      </c>
      <c r="Q1335" s="23" t="s">
        <v>14544</v>
      </c>
      <c r="R1335" s="23" t="s">
        <v>14550</v>
      </c>
      <c r="S1335" s="23" t="s">
        <v>14556</v>
      </c>
      <c r="T1335" s="23" t="s">
        <v>14562</v>
      </c>
    </row>
    <row r="1336" spans="1:20" x14ac:dyDescent="0.2">
      <c r="A1336" s="23" t="s">
        <v>92</v>
      </c>
      <c r="C1336" s="23" t="s">
        <v>8430</v>
      </c>
      <c r="D1336" s="23" t="s">
        <v>8431</v>
      </c>
      <c r="E1336" s="23" t="s">
        <v>8432</v>
      </c>
      <c r="G1336" s="23" t="s">
        <v>8433</v>
      </c>
      <c r="K1336" s="23" t="s">
        <v>8434</v>
      </c>
      <c r="L1336" s="23" t="s">
        <v>8435</v>
      </c>
      <c r="O1336" s="23" t="s">
        <v>11548</v>
      </c>
      <c r="P1336" s="23" t="s">
        <v>14539</v>
      </c>
      <c r="Q1336" s="23" t="s">
        <v>14545</v>
      </c>
      <c r="R1336" s="23" t="s">
        <v>14551</v>
      </c>
      <c r="S1336" s="23" t="s">
        <v>14557</v>
      </c>
      <c r="T1336" s="23" t="s">
        <v>14563</v>
      </c>
    </row>
    <row r="1337" spans="1:20" x14ac:dyDescent="0.2">
      <c r="A1337" s="23" t="s">
        <v>92</v>
      </c>
      <c r="C1337" s="23" t="s">
        <v>8436</v>
      </c>
      <c r="D1337" s="23" t="s">
        <v>8437</v>
      </c>
      <c r="E1337" s="23" t="s">
        <v>8438</v>
      </c>
      <c r="G1337" s="23" t="s">
        <v>8439</v>
      </c>
      <c r="K1337" s="23" t="s">
        <v>8440</v>
      </c>
      <c r="L1337" s="23" t="s">
        <v>8441</v>
      </c>
      <c r="O1337" s="23" t="s">
        <v>12189</v>
      </c>
      <c r="P1337" s="23" t="s">
        <v>14540</v>
      </c>
      <c r="Q1337" s="23" t="s">
        <v>14546</v>
      </c>
      <c r="R1337" s="23" t="s">
        <v>14552</v>
      </c>
      <c r="S1337" s="23" t="s">
        <v>14558</v>
      </c>
      <c r="T1337" s="23" t="s">
        <v>14564</v>
      </c>
    </row>
    <row r="1338" spans="1:20" x14ac:dyDescent="0.2">
      <c r="A1338" s="23" t="s">
        <v>92</v>
      </c>
      <c r="C1338" s="23" t="s">
        <v>8406</v>
      </c>
      <c r="D1338" s="23" t="s">
        <v>8407</v>
      </c>
      <c r="E1338" s="23" t="s">
        <v>8408</v>
      </c>
      <c r="G1338" s="23" t="s">
        <v>8409</v>
      </c>
      <c r="K1338" s="23" t="s">
        <v>8410</v>
      </c>
      <c r="L1338" s="23" t="s">
        <v>8411</v>
      </c>
    </row>
    <row r="1339" spans="1:20" x14ac:dyDescent="0.2">
      <c r="A1339" s="23" t="s">
        <v>92</v>
      </c>
      <c r="C1339" s="23" t="s">
        <v>8442</v>
      </c>
      <c r="D1339" s="23" t="s">
        <v>8443</v>
      </c>
      <c r="E1339" s="23" t="s">
        <v>8444</v>
      </c>
      <c r="G1339" s="23" t="s">
        <v>8445</v>
      </c>
      <c r="K1339" s="23" t="s">
        <v>8446</v>
      </c>
      <c r="L1339" s="23" t="s">
        <v>8447</v>
      </c>
      <c r="M1339" s="23" t="s">
        <v>8448</v>
      </c>
      <c r="N1339" s="23" t="s">
        <v>8449</v>
      </c>
      <c r="T1339" s="23" t="s">
        <v>8450</v>
      </c>
    </row>
    <row r="1340" spans="1:20" x14ac:dyDescent="0.2">
      <c r="A1340" s="23" t="s">
        <v>92</v>
      </c>
      <c r="C1340" s="23" t="s">
        <v>8451</v>
      </c>
      <c r="D1340" s="23" t="s">
        <v>8452</v>
      </c>
      <c r="E1340" s="23" t="s">
        <v>8453</v>
      </c>
      <c r="G1340" s="23" t="s">
        <v>8454</v>
      </c>
      <c r="K1340" s="23" t="s">
        <v>8455</v>
      </c>
      <c r="L1340" s="23" t="s">
        <v>8456</v>
      </c>
      <c r="M1340" s="23" t="s">
        <v>8457</v>
      </c>
      <c r="N1340" s="23" t="s">
        <v>8458</v>
      </c>
    </row>
    <row r="1341" spans="1:20" x14ac:dyDescent="0.2">
      <c r="A1341" s="23" t="s">
        <v>92</v>
      </c>
      <c r="C1341" s="23" t="s">
        <v>8459</v>
      </c>
      <c r="D1341" s="23" t="s">
        <v>8460</v>
      </c>
      <c r="E1341" s="23" t="s">
        <v>8461</v>
      </c>
      <c r="G1341" s="23" t="s">
        <v>8462</v>
      </c>
      <c r="K1341" s="23" t="s">
        <v>8463</v>
      </c>
      <c r="L1341" s="23" t="s">
        <v>8464</v>
      </c>
      <c r="O1341" s="23" t="s">
        <v>12190</v>
      </c>
      <c r="P1341" s="23" t="s">
        <v>8465</v>
      </c>
      <c r="Q1341" s="23" t="s">
        <v>8466</v>
      </c>
      <c r="R1341" s="23" t="s">
        <v>8467</v>
      </c>
      <c r="S1341" s="23" t="s">
        <v>8468</v>
      </c>
      <c r="T1341" s="23" t="s">
        <v>8469</v>
      </c>
    </row>
    <row r="1342" spans="1:20" x14ac:dyDescent="0.2">
      <c r="A1342" s="23" t="s">
        <v>92</v>
      </c>
      <c r="C1342" s="23" t="s">
        <v>8470</v>
      </c>
      <c r="D1342" s="23" t="s">
        <v>8471</v>
      </c>
      <c r="E1342" s="23" t="s">
        <v>8472</v>
      </c>
      <c r="G1342" s="23" t="s">
        <v>8473</v>
      </c>
      <c r="K1342" s="23" t="s">
        <v>8474</v>
      </c>
      <c r="L1342" s="23" t="s">
        <v>8475</v>
      </c>
      <c r="O1342" s="23" t="s">
        <v>12191</v>
      </c>
      <c r="P1342" s="23" t="s">
        <v>14505</v>
      </c>
      <c r="Q1342" s="23" t="s">
        <v>14511</v>
      </c>
      <c r="R1342" s="23" t="s">
        <v>14517</v>
      </c>
      <c r="S1342" s="23" t="s">
        <v>14523</v>
      </c>
      <c r="T1342" s="23" t="s">
        <v>14529</v>
      </c>
    </row>
    <row r="1343" spans="1:20" x14ac:dyDescent="0.2">
      <c r="A1343" s="23" t="s">
        <v>92</v>
      </c>
      <c r="C1343" s="23" t="s">
        <v>8476</v>
      </c>
      <c r="D1343" s="23" t="s">
        <v>8477</v>
      </c>
      <c r="E1343" s="23" t="s">
        <v>8478</v>
      </c>
      <c r="G1343" s="23" t="s">
        <v>8479</v>
      </c>
      <c r="K1343" s="23" t="s">
        <v>8480</v>
      </c>
      <c r="L1343" s="23" t="s">
        <v>8481</v>
      </c>
      <c r="O1343" s="23" t="s">
        <v>12192</v>
      </c>
      <c r="P1343" s="23" t="s">
        <v>14506</v>
      </c>
      <c r="Q1343" s="23" t="s">
        <v>14512</v>
      </c>
      <c r="R1343" s="23" t="s">
        <v>14518</v>
      </c>
      <c r="S1343" s="23" t="s">
        <v>14524</v>
      </c>
      <c r="T1343" s="23" t="s">
        <v>14530</v>
      </c>
    </row>
    <row r="1344" spans="1:20" x14ac:dyDescent="0.2">
      <c r="A1344" s="23" t="s">
        <v>92</v>
      </c>
      <c r="C1344" s="23" t="s">
        <v>8482</v>
      </c>
      <c r="D1344" s="23" t="s">
        <v>8483</v>
      </c>
      <c r="E1344" s="23" t="s">
        <v>8484</v>
      </c>
      <c r="G1344" s="23" t="s">
        <v>8485</v>
      </c>
      <c r="K1344" s="23" t="s">
        <v>8486</v>
      </c>
      <c r="L1344" s="23" t="s">
        <v>8487</v>
      </c>
      <c r="O1344" s="23" t="s">
        <v>11554</v>
      </c>
      <c r="P1344" s="23" t="s">
        <v>14507</v>
      </c>
      <c r="Q1344" s="23" t="s">
        <v>14513</v>
      </c>
      <c r="R1344" s="23" t="s">
        <v>14519</v>
      </c>
      <c r="S1344" s="23" t="s">
        <v>14525</v>
      </c>
      <c r="T1344" s="23" t="s">
        <v>14531</v>
      </c>
    </row>
    <row r="1345" spans="1:20" x14ac:dyDescent="0.2">
      <c r="A1345" s="23" t="s">
        <v>92</v>
      </c>
      <c r="C1345" s="23" t="s">
        <v>8488</v>
      </c>
      <c r="D1345" s="23" t="s">
        <v>8489</v>
      </c>
      <c r="E1345" s="23" t="s">
        <v>8490</v>
      </c>
      <c r="G1345" s="23" t="s">
        <v>8491</v>
      </c>
      <c r="K1345" s="23" t="s">
        <v>8492</v>
      </c>
      <c r="L1345" s="23" t="s">
        <v>8493</v>
      </c>
      <c r="O1345" s="23" t="s">
        <v>11555</v>
      </c>
      <c r="P1345" s="23" t="s">
        <v>14508</v>
      </c>
      <c r="Q1345" s="23" t="s">
        <v>14514</v>
      </c>
      <c r="R1345" s="23" t="s">
        <v>14520</v>
      </c>
      <c r="S1345" s="23" t="s">
        <v>14526</v>
      </c>
      <c r="T1345" s="23" t="s">
        <v>14532</v>
      </c>
    </row>
    <row r="1346" spans="1:20" x14ac:dyDescent="0.2">
      <c r="A1346" s="23" t="s">
        <v>92</v>
      </c>
      <c r="C1346" s="23" t="s">
        <v>8494</v>
      </c>
      <c r="D1346" s="23" t="s">
        <v>8495</v>
      </c>
      <c r="E1346" s="23" t="s">
        <v>8496</v>
      </c>
      <c r="G1346" s="23" t="s">
        <v>8497</v>
      </c>
      <c r="K1346" s="23" t="s">
        <v>8498</v>
      </c>
      <c r="L1346" s="23" t="s">
        <v>8499</v>
      </c>
      <c r="O1346" s="23" t="s">
        <v>11556</v>
      </c>
      <c r="P1346" s="23" t="s">
        <v>14509</v>
      </c>
      <c r="Q1346" s="23" t="s">
        <v>14515</v>
      </c>
      <c r="R1346" s="23" t="s">
        <v>14521</v>
      </c>
      <c r="S1346" s="23" t="s">
        <v>14527</v>
      </c>
      <c r="T1346" s="23" t="s">
        <v>14533</v>
      </c>
    </row>
    <row r="1347" spans="1:20" x14ac:dyDescent="0.2">
      <c r="A1347" s="23" t="s">
        <v>92</v>
      </c>
      <c r="C1347" s="23" t="s">
        <v>8500</v>
      </c>
      <c r="D1347" s="23" t="s">
        <v>8501</v>
      </c>
      <c r="E1347" s="23" t="s">
        <v>8502</v>
      </c>
      <c r="G1347" s="23" t="s">
        <v>8503</v>
      </c>
      <c r="K1347" s="23" t="s">
        <v>8504</v>
      </c>
      <c r="L1347" s="23" t="s">
        <v>8505</v>
      </c>
      <c r="O1347" s="23" t="s">
        <v>12193</v>
      </c>
      <c r="P1347" s="23" t="s">
        <v>14510</v>
      </c>
      <c r="Q1347" s="23" t="s">
        <v>14516</v>
      </c>
      <c r="R1347" s="23" t="s">
        <v>14522</v>
      </c>
      <c r="S1347" s="23" t="s">
        <v>14528</v>
      </c>
      <c r="T1347" s="23" t="s">
        <v>14534</v>
      </c>
    </row>
    <row r="1348" spans="1:20" x14ac:dyDescent="0.2">
      <c r="A1348" s="23" t="s">
        <v>92</v>
      </c>
      <c r="C1348" s="23" t="s">
        <v>8470</v>
      </c>
      <c r="D1348" s="23" t="s">
        <v>8471</v>
      </c>
      <c r="E1348" s="23" t="s">
        <v>8472</v>
      </c>
      <c r="G1348" s="23" t="s">
        <v>8473</v>
      </c>
      <c r="K1348" s="23" t="s">
        <v>8474</v>
      </c>
      <c r="L1348" s="23" t="s">
        <v>8475</v>
      </c>
    </row>
    <row r="1349" spans="1:20" x14ac:dyDescent="0.2">
      <c r="A1349" s="23" t="s">
        <v>92</v>
      </c>
      <c r="C1349" s="23" t="s">
        <v>8506</v>
      </c>
      <c r="D1349" s="23" t="s">
        <v>8507</v>
      </c>
      <c r="E1349" s="23" t="s">
        <v>8508</v>
      </c>
      <c r="G1349" s="23" t="s">
        <v>8509</v>
      </c>
      <c r="K1349" s="23" t="s">
        <v>8510</v>
      </c>
      <c r="L1349" s="23" t="s">
        <v>8511</v>
      </c>
      <c r="M1349" s="23" t="s">
        <v>8512</v>
      </c>
      <c r="N1349" s="23" t="s">
        <v>8513</v>
      </c>
      <c r="T1349" s="23" t="s">
        <v>8514</v>
      </c>
    </row>
    <row r="1350" spans="1:20" x14ac:dyDescent="0.2">
      <c r="A1350" s="23" t="s">
        <v>92</v>
      </c>
      <c r="C1350" s="23" t="s">
        <v>8195</v>
      </c>
      <c r="D1350" s="23" t="s">
        <v>8196</v>
      </c>
      <c r="E1350" s="23" t="s">
        <v>8197</v>
      </c>
      <c r="G1350" s="23" t="s">
        <v>8198</v>
      </c>
    </row>
    <row r="1351" spans="1:20" x14ac:dyDescent="0.2">
      <c r="A1351" s="23" t="s">
        <v>92</v>
      </c>
      <c r="C1351" s="23" t="s">
        <v>8515</v>
      </c>
      <c r="D1351" s="23" t="s">
        <v>8516</v>
      </c>
      <c r="E1351" s="23" t="s">
        <v>8517</v>
      </c>
      <c r="G1351" s="23" t="s">
        <v>8518</v>
      </c>
      <c r="H1351" s="23" t="s">
        <v>8519</v>
      </c>
      <c r="I1351" s="23" t="s">
        <v>8520</v>
      </c>
      <c r="J1351" s="23" t="s">
        <v>8521</v>
      </c>
      <c r="T1351" s="23" t="s">
        <v>8522</v>
      </c>
    </row>
    <row r="1352" spans="1:20" x14ac:dyDescent="0.2">
      <c r="A1352" s="23" t="s">
        <v>92</v>
      </c>
      <c r="C1352" s="23" t="s">
        <v>8523</v>
      </c>
      <c r="D1352" s="23" t="s">
        <v>8524</v>
      </c>
      <c r="E1352" s="23" t="s">
        <v>8525</v>
      </c>
      <c r="G1352" s="23" t="s">
        <v>8526</v>
      </c>
      <c r="H1352" s="23" t="s">
        <v>8527</v>
      </c>
      <c r="I1352" s="23" t="s">
        <v>8528</v>
      </c>
      <c r="J1352" s="23" t="s">
        <v>8529</v>
      </c>
    </row>
    <row r="1353" spans="1:20" x14ac:dyDescent="0.2">
      <c r="A1353" s="23" t="s">
        <v>92</v>
      </c>
      <c r="C1353" s="23" t="s">
        <v>8530</v>
      </c>
      <c r="D1353" s="23" t="s">
        <v>8531</v>
      </c>
      <c r="E1353" s="23" t="s">
        <v>8532</v>
      </c>
      <c r="G1353" s="23" t="s">
        <v>8533</v>
      </c>
      <c r="K1353" s="23" t="s">
        <v>8534</v>
      </c>
      <c r="L1353" s="23" t="s">
        <v>8535</v>
      </c>
      <c r="M1353" s="23" t="s">
        <v>12194</v>
      </c>
      <c r="N1353" s="23" t="s">
        <v>8536</v>
      </c>
    </row>
    <row r="1354" spans="1:20" x14ac:dyDescent="0.2">
      <c r="A1354" s="23" t="s">
        <v>92</v>
      </c>
      <c r="C1354" s="23" t="s">
        <v>8537</v>
      </c>
      <c r="D1354" s="23" t="s">
        <v>8538</v>
      </c>
      <c r="E1354" s="23" t="s">
        <v>8539</v>
      </c>
      <c r="G1354" s="23" t="s">
        <v>8540</v>
      </c>
      <c r="K1354" s="23" t="s">
        <v>8541</v>
      </c>
      <c r="L1354" s="23" t="s">
        <v>8542</v>
      </c>
      <c r="O1354" s="23" t="s">
        <v>12195</v>
      </c>
      <c r="P1354" s="23" t="s">
        <v>8543</v>
      </c>
      <c r="Q1354" s="23" t="s">
        <v>8544</v>
      </c>
      <c r="R1354" s="23" t="s">
        <v>8545</v>
      </c>
      <c r="S1354" s="23" t="s">
        <v>8546</v>
      </c>
      <c r="T1354" s="23" t="s">
        <v>8547</v>
      </c>
    </row>
    <row r="1355" spans="1:20" x14ac:dyDescent="0.2">
      <c r="A1355" s="23" t="s">
        <v>92</v>
      </c>
      <c r="C1355" s="23" t="s">
        <v>8548</v>
      </c>
      <c r="D1355" s="23" t="s">
        <v>8549</v>
      </c>
      <c r="E1355" s="23" t="s">
        <v>8550</v>
      </c>
      <c r="G1355" s="23" t="s">
        <v>8551</v>
      </c>
      <c r="K1355" s="23" t="s">
        <v>8552</v>
      </c>
      <c r="L1355" s="23" t="s">
        <v>8553</v>
      </c>
      <c r="O1355" s="23" t="s">
        <v>12082</v>
      </c>
      <c r="P1355" s="23" t="s">
        <v>14315</v>
      </c>
      <c r="Q1355" s="23" t="s">
        <v>14320</v>
      </c>
      <c r="R1355" s="23" t="s">
        <v>14325</v>
      </c>
      <c r="S1355" s="23" t="s">
        <v>14330</v>
      </c>
      <c r="T1355" s="23" t="s">
        <v>14335</v>
      </c>
    </row>
    <row r="1356" spans="1:20" x14ac:dyDescent="0.2">
      <c r="A1356" s="23" t="s">
        <v>92</v>
      </c>
      <c r="C1356" s="23" t="s">
        <v>8554</v>
      </c>
      <c r="D1356" s="23" t="s">
        <v>8555</v>
      </c>
      <c r="E1356" s="23" t="s">
        <v>8556</v>
      </c>
      <c r="G1356" s="23" t="s">
        <v>8557</v>
      </c>
      <c r="K1356" s="23" t="s">
        <v>8558</v>
      </c>
      <c r="L1356" s="23" t="s">
        <v>8559</v>
      </c>
      <c r="O1356" s="23" t="s">
        <v>11517</v>
      </c>
      <c r="P1356" s="23" t="s">
        <v>14316</v>
      </c>
      <c r="Q1356" s="23" t="s">
        <v>14321</v>
      </c>
      <c r="R1356" s="23" t="s">
        <v>14326</v>
      </c>
      <c r="S1356" s="23" t="s">
        <v>14331</v>
      </c>
      <c r="T1356" s="23" t="s">
        <v>14336</v>
      </c>
    </row>
    <row r="1357" spans="1:20" x14ac:dyDescent="0.2">
      <c r="A1357" s="23" t="s">
        <v>92</v>
      </c>
      <c r="C1357" s="23" t="s">
        <v>8560</v>
      </c>
      <c r="D1357" s="23" t="s">
        <v>8561</v>
      </c>
      <c r="E1357" s="23" t="s">
        <v>8562</v>
      </c>
      <c r="G1357" s="23" t="s">
        <v>8563</v>
      </c>
      <c r="K1357" s="23" t="s">
        <v>8564</v>
      </c>
      <c r="L1357" s="23" t="s">
        <v>8565</v>
      </c>
      <c r="O1357" s="23" t="s">
        <v>12196</v>
      </c>
      <c r="P1357" s="23" t="s">
        <v>14317</v>
      </c>
      <c r="Q1357" s="23" t="s">
        <v>14322</v>
      </c>
      <c r="R1357" s="23" t="s">
        <v>14327</v>
      </c>
      <c r="S1357" s="23" t="s">
        <v>14332</v>
      </c>
      <c r="T1357" s="23" t="s">
        <v>14337</v>
      </c>
    </row>
    <row r="1358" spans="1:20" x14ac:dyDescent="0.2">
      <c r="A1358" s="23" t="s">
        <v>92</v>
      </c>
      <c r="C1358" s="23" t="s">
        <v>8566</v>
      </c>
      <c r="D1358" s="23" t="s">
        <v>8567</v>
      </c>
      <c r="E1358" s="23" t="s">
        <v>8568</v>
      </c>
      <c r="G1358" s="23" t="s">
        <v>8569</v>
      </c>
      <c r="K1358" s="23" t="s">
        <v>8570</v>
      </c>
      <c r="L1358" s="23" t="s">
        <v>8571</v>
      </c>
      <c r="O1358" s="23" t="s">
        <v>12197</v>
      </c>
      <c r="P1358" s="23" t="s">
        <v>14318</v>
      </c>
      <c r="Q1358" s="23" t="s">
        <v>14323</v>
      </c>
      <c r="R1358" s="23" t="s">
        <v>14328</v>
      </c>
      <c r="S1358" s="23" t="s">
        <v>14333</v>
      </c>
      <c r="T1358" s="23" t="s">
        <v>14338</v>
      </c>
    </row>
    <row r="1359" spans="1:20" x14ac:dyDescent="0.2">
      <c r="A1359" s="23" t="s">
        <v>92</v>
      </c>
      <c r="C1359" s="23" t="s">
        <v>8572</v>
      </c>
      <c r="D1359" s="23" t="s">
        <v>8573</v>
      </c>
      <c r="E1359" s="23" t="s">
        <v>8574</v>
      </c>
      <c r="G1359" s="23" t="s">
        <v>8575</v>
      </c>
      <c r="K1359" s="23" t="s">
        <v>8576</v>
      </c>
      <c r="L1359" s="23" t="s">
        <v>8577</v>
      </c>
      <c r="O1359" s="23" t="s">
        <v>12198</v>
      </c>
      <c r="P1359" s="23" t="s">
        <v>14319</v>
      </c>
      <c r="Q1359" s="23" t="s">
        <v>14324</v>
      </c>
      <c r="R1359" s="23" t="s">
        <v>14329</v>
      </c>
      <c r="S1359" s="23" t="s">
        <v>14334</v>
      </c>
      <c r="T1359" s="23" t="s">
        <v>14339</v>
      </c>
    </row>
    <row r="1360" spans="1:20" x14ac:dyDescent="0.2">
      <c r="A1360" s="23" t="s">
        <v>92</v>
      </c>
      <c r="C1360" s="23" t="s">
        <v>8548</v>
      </c>
      <c r="D1360" s="23" t="s">
        <v>8549</v>
      </c>
      <c r="E1360" s="23" t="s">
        <v>8550</v>
      </c>
      <c r="G1360" s="23" t="s">
        <v>8551</v>
      </c>
      <c r="K1360" s="23" t="s">
        <v>8552</v>
      </c>
      <c r="L1360" s="23" t="s">
        <v>8553</v>
      </c>
    </row>
    <row r="1361" spans="1:20" x14ac:dyDescent="0.2">
      <c r="A1361" s="23" t="s">
        <v>92</v>
      </c>
      <c r="C1361" s="23" t="s">
        <v>8578</v>
      </c>
      <c r="D1361" s="23" t="s">
        <v>8579</v>
      </c>
      <c r="E1361" s="23" t="s">
        <v>8580</v>
      </c>
      <c r="G1361" s="23" t="s">
        <v>8581</v>
      </c>
      <c r="K1361" s="23" t="s">
        <v>8582</v>
      </c>
      <c r="L1361" s="23" t="s">
        <v>8583</v>
      </c>
      <c r="M1361" s="23" t="s">
        <v>8584</v>
      </c>
      <c r="N1361" s="23" t="s">
        <v>8585</v>
      </c>
      <c r="T1361" s="23" t="s">
        <v>8586</v>
      </c>
    </row>
    <row r="1362" spans="1:20" x14ac:dyDescent="0.2">
      <c r="A1362" s="23" t="s">
        <v>92</v>
      </c>
      <c r="C1362" s="23" t="s">
        <v>8587</v>
      </c>
      <c r="D1362" s="23" t="s">
        <v>8588</v>
      </c>
      <c r="E1362" s="23" t="s">
        <v>8589</v>
      </c>
      <c r="G1362" s="23" t="s">
        <v>8590</v>
      </c>
      <c r="K1362" s="23" t="s">
        <v>8591</v>
      </c>
      <c r="L1362" s="23" t="s">
        <v>8592</v>
      </c>
      <c r="M1362" s="23" t="s">
        <v>8593</v>
      </c>
      <c r="N1362" s="23" t="s">
        <v>8594</v>
      </c>
    </row>
    <row r="1363" spans="1:20" x14ac:dyDescent="0.2">
      <c r="A1363" s="23" t="s">
        <v>92</v>
      </c>
      <c r="C1363" s="23" t="s">
        <v>8595</v>
      </c>
      <c r="D1363" s="23" t="s">
        <v>8596</v>
      </c>
      <c r="E1363" s="23" t="s">
        <v>8597</v>
      </c>
      <c r="G1363" s="23" t="s">
        <v>8598</v>
      </c>
      <c r="K1363" s="23" t="s">
        <v>8599</v>
      </c>
      <c r="L1363" s="23" t="s">
        <v>8600</v>
      </c>
      <c r="O1363" s="23" t="s">
        <v>12199</v>
      </c>
      <c r="P1363" s="23" t="s">
        <v>8601</v>
      </c>
      <c r="Q1363" s="23" t="s">
        <v>8602</v>
      </c>
      <c r="R1363" s="23" t="s">
        <v>8603</v>
      </c>
      <c r="S1363" s="23" t="s">
        <v>8604</v>
      </c>
      <c r="T1363" s="23" t="s">
        <v>8605</v>
      </c>
    </row>
    <row r="1364" spans="1:20" x14ac:dyDescent="0.2">
      <c r="A1364" s="23" t="s">
        <v>92</v>
      </c>
      <c r="C1364" s="23" t="s">
        <v>8606</v>
      </c>
      <c r="D1364" s="23" t="s">
        <v>8607</v>
      </c>
      <c r="E1364" s="23" t="s">
        <v>8608</v>
      </c>
      <c r="G1364" s="23" t="s">
        <v>8609</v>
      </c>
      <c r="K1364" s="23" t="s">
        <v>8610</v>
      </c>
      <c r="L1364" s="23" t="s">
        <v>8611</v>
      </c>
      <c r="O1364" s="23" t="s">
        <v>12200</v>
      </c>
      <c r="P1364" s="23" t="s">
        <v>14445</v>
      </c>
      <c r="Q1364" s="23" t="s">
        <v>14451</v>
      </c>
      <c r="R1364" s="23" t="s">
        <v>14457</v>
      </c>
      <c r="S1364" s="23" t="s">
        <v>14463</v>
      </c>
      <c r="T1364" s="23" t="s">
        <v>14469</v>
      </c>
    </row>
    <row r="1365" spans="1:20" x14ac:dyDescent="0.2">
      <c r="A1365" s="23" t="s">
        <v>92</v>
      </c>
      <c r="C1365" s="23" t="s">
        <v>8612</v>
      </c>
      <c r="D1365" s="23" t="s">
        <v>8613</v>
      </c>
      <c r="E1365" s="23" t="s">
        <v>8614</v>
      </c>
      <c r="G1365" s="23" t="s">
        <v>8615</v>
      </c>
      <c r="K1365" s="23" t="s">
        <v>8616</v>
      </c>
      <c r="L1365" s="23" t="s">
        <v>8617</v>
      </c>
      <c r="O1365" s="23" t="s">
        <v>12201</v>
      </c>
      <c r="P1365" s="23" t="s">
        <v>14446</v>
      </c>
      <c r="Q1365" s="23" t="s">
        <v>14452</v>
      </c>
      <c r="R1365" s="23" t="s">
        <v>14458</v>
      </c>
      <c r="S1365" s="23" t="s">
        <v>14464</v>
      </c>
      <c r="T1365" s="23" t="s">
        <v>14470</v>
      </c>
    </row>
    <row r="1366" spans="1:20" x14ac:dyDescent="0.2">
      <c r="A1366" s="23" t="s">
        <v>92</v>
      </c>
      <c r="C1366" s="23" t="s">
        <v>8618</v>
      </c>
      <c r="D1366" s="23" t="s">
        <v>8619</v>
      </c>
      <c r="E1366" s="23" t="s">
        <v>8620</v>
      </c>
      <c r="G1366" s="23" t="s">
        <v>8621</v>
      </c>
      <c r="K1366" s="23" t="s">
        <v>8622</v>
      </c>
      <c r="L1366" s="23" t="s">
        <v>8623</v>
      </c>
      <c r="O1366" s="23" t="s">
        <v>11524</v>
      </c>
      <c r="P1366" s="23" t="s">
        <v>14447</v>
      </c>
      <c r="Q1366" s="23" t="s">
        <v>14453</v>
      </c>
      <c r="R1366" s="23" t="s">
        <v>14459</v>
      </c>
      <c r="S1366" s="23" t="s">
        <v>14465</v>
      </c>
      <c r="T1366" s="23" t="s">
        <v>14471</v>
      </c>
    </row>
    <row r="1367" spans="1:20" x14ac:dyDescent="0.2">
      <c r="A1367" s="23" t="s">
        <v>92</v>
      </c>
      <c r="C1367" s="23" t="s">
        <v>8624</v>
      </c>
      <c r="D1367" s="23" t="s">
        <v>8625</v>
      </c>
      <c r="E1367" s="23" t="s">
        <v>8626</v>
      </c>
      <c r="G1367" s="23" t="s">
        <v>8627</v>
      </c>
      <c r="K1367" s="23" t="s">
        <v>8628</v>
      </c>
      <c r="L1367" s="23" t="s">
        <v>8629</v>
      </c>
      <c r="O1367" s="23" t="s">
        <v>12202</v>
      </c>
      <c r="P1367" s="23" t="s">
        <v>14448</v>
      </c>
      <c r="Q1367" s="23" t="s">
        <v>14454</v>
      </c>
      <c r="R1367" s="23" t="s">
        <v>14460</v>
      </c>
      <c r="S1367" s="23" t="s">
        <v>14466</v>
      </c>
      <c r="T1367" s="23" t="s">
        <v>14472</v>
      </c>
    </row>
    <row r="1368" spans="1:20" x14ac:dyDescent="0.2">
      <c r="A1368" s="23" t="s">
        <v>92</v>
      </c>
      <c r="C1368" s="23" t="s">
        <v>8630</v>
      </c>
      <c r="D1368" s="23" t="s">
        <v>8631</v>
      </c>
      <c r="E1368" s="23" t="s">
        <v>8632</v>
      </c>
      <c r="G1368" s="23" t="s">
        <v>8633</v>
      </c>
      <c r="K1368" s="23" t="s">
        <v>8634</v>
      </c>
      <c r="L1368" s="23" t="s">
        <v>8635</v>
      </c>
      <c r="O1368" s="23" t="s">
        <v>12203</v>
      </c>
      <c r="P1368" s="23" t="s">
        <v>14449</v>
      </c>
      <c r="Q1368" s="23" t="s">
        <v>14455</v>
      </c>
      <c r="R1368" s="23" t="s">
        <v>14461</v>
      </c>
      <c r="S1368" s="23" t="s">
        <v>14467</v>
      </c>
      <c r="T1368" s="23" t="s">
        <v>14473</v>
      </c>
    </row>
    <row r="1369" spans="1:20" x14ac:dyDescent="0.2">
      <c r="A1369" s="23" t="s">
        <v>92</v>
      </c>
      <c r="C1369" s="23" t="s">
        <v>8636</v>
      </c>
      <c r="D1369" s="23" t="s">
        <v>8637</v>
      </c>
      <c r="E1369" s="23" t="s">
        <v>8638</v>
      </c>
      <c r="G1369" s="23" t="s">
        <v>8639</v>
      </c>
      <c r="K1369" s="23" t="s">
        <v>8640</v>
      </c>
      <c r="L1369" s="23" t="s">
        <v>8641</v>
      </c>
      <c r="O1369" s="23" t="s">
        <v>12204</v>
      </c>
      <c r="P1369" s="23" t="s">
        <v>14450</v>
      </c>
      <c r="Q1369" s="23" t="s">
        <v>14456</v>
      </c>
      <c r="R1369" s="23" t="s">
        <v>14462</v>
      </c>
      <c r="S1369" s="23" t="s">
        <v>14468</v>
      </c>
      <c r="T1369" s="23" t="s">
        <v>14474</v>
      </c>
    </row>
    <row r="1370" spans="1:20" x14ac:dyDescent="0.2">
      <c r="A1370" s="23" t="s">
        <v>92</v>
      </c>
      <c r="C1370" s="23" t="s">
        <v>8606</v>
      </c>
      <c r="D1370" s="23" t="s">
        <v>8607</v>
      </c>
      <c r="E1370" s="23" t="s">
        <v>8608</v>
      </c>
      <c r="G1370" s="23" t="s">
        <v>8609</v>
      </c>
      <c r="K1370" s="23" t="s">
        <v>8610</v>
      </c>
      <c r="L1370" s="23" t="s">
        <v>8611</v>
      </c>
    </row>
    <row r="1371" spans="1:20" x14ac:dyDescent="0.2">
      <c r="A1371" s="23" t="s">
        <v>92</v>
      </c>
      <c r="C1371" s="23" t="s">
        <v>8642</v>
      </c>
      <c r="D1371" s="23" t="s">
        <v>8643</v>
      </c>
      <c r="E1371" s="23" t="s">
        <v>8644</v>
      </c>
      <c r="G1371" s="23" t="s">
        <v>8645</v>
      </c>
      <c r="K1371" s="23" t="s">
        <v>8646</v>
      </c>
      <c r="L1371" s="23" t="s">
        <v>8647</v>
      </c>
      <c r="M1371" s="23" t="s">
        <v>8648</v>
      </c>
      <c r="N1371" s="23" t="s">
        <v>8649</v>
      </c>
      <c r="T1371" s="23" t="s">
        <v>8650</v>
      </c>
    </row>
    <row r="1372" spans="1:20" x14ac:dyDescent="0.2">
      <c r="A1372" s="23" t="s">
        <v>92</v>
      </c>
      <c r="C1372" s="23" t="s">
        <v>8651</v>
      </c>
      <c r="D1372" s="23" t="s">
        <v>8652</v>
      </c>
      <c r="E1372" s="23" t="s">
        <v>8653</v>
      </c>
      <c r="G1372" s="23" t="s">
        <v>8654</v>
      </c>
      <c r="K1372" s="23" t="s">
        <v>8655</v>
      </c>
      <c r="L1372" s="23" t="s">
        <v>8656</v>
      </c>
      <c r="M1372" s="23" t="s">
        <v>8657</v>
      </c>
      <c r="N1372" s="23" t="s">
        <v>8658</v>
      </c>
    </row>
    <row r="1373" spans="1:20" x14ac:dyDescent="0.2">
      <c r="A1373" s="23" t="s">
        <v>92</v>
      </c>
      <c r="C1373" s="23" t="s">
        <v>8659</v>
      </c>
      <c r="D1373" s="23" t="s">
        <v>8660</v>
      </c>
      <c r="E1373" s="23" t="s">
        <v>8661</v>
      </c>
      <c r="G1373" s="23" t="s">
        <v>8662</v>
      </c>
      <c r="K1373" s="23" t="s">
        <v>8663</v>
      </c>
      <c r="L1373" s="23" t="s">
        <v>8664</v>
      </c>
      <c r="O1373" s="23" t="s">
        <v>12205</v>
      </c>
      <c r="P1373" s="23" t="s">
        <v>8665</v>
      </c>
      <c r="Q1373" s="23" t="s">
        <v>8666</v>
      </c>
      <c r="R1373" s="23" t="s">
        <v>8667</v>
      </c>
      <c r="S1373" s="23" t="s">
        <v>8668</v>
      </c>
      <c r="T1373" s="23" t="s">
        <v>8669</v>
      </c>
    </row>
    <row r="1374" spans="1:20" x14ac:dyDescent="0.2">
      <c r="A1374" s="23" t="s">
        <v>92</v>
      </c>
      <c r="C1374" s="23" t="s">
        <v>8670</v>
      </c>
      <c r="D1374" s="23" t="s">
        <v>8671</v>
      </c>
      <c r="E1374" s="23" t="s">
        <v>8672</v>
      </c>
      <c r="G1374" s="23" t="s">
        <v>8673</v>
      </c>
      <c r="K1374" s="23" t="s">
        <v>8674</v>
      </c>
      <c r="L1374" s="23" t="s">
        <v>8675</v>
      </c>
      <c r="O1374" s="23" t="s">
        <v>12090</v>
      </c>
      <c r="P1374" s="23" t="s">
        <v>14420</v>
      </c>
      <c r="Q1374" s="23" t="s">
        <v>14425</v>
      </c>
      <c r="R1374" s="23" t="s">
        <v>14430</v>
      </c>
      <c r="S1374" s="23" t="s">
        <v>14435</v>
      </c>
      <c r="T1374" s="23" t="s">
        <v>14440</v>
      </c>
    </row>
    <row r="1375" spans="1:20" x14ac:dyDescent="0.2">
      <c r="A1375" s="23" t="s">
        <v>92</v>
      </c>
      <c r="C1375" s="23" t="s">
        <v>8676</v>
      </c>
      <c r="D1375" s="23" t="s">
        <v>8677</v>
      </c>
      <c r="E1375" s="23" t="s">
        <v>8678</v>
      </c>
      <c r="G1375" s="23" t="s">
        <v>8679</v>
      </c>
      <c r="K1375" s="23" t="s">
        <v>8680</v>
      </c>
      <c r="L1375" s="23" t="s">
        <v>8681</v>
      </c>
      <c r="O1375" s="23" t="s">
        <v>11531</v>
      </c>
      <c r="P1375" s="23" t="s">
        <v>14421</v>
      </c>
      <c r="Q1375" s="23" t="s">
        <v>14426</v>
      </c>
      <c r="R1375" s="23" t="s">
        <v>14431</v>
      </c>
      <c r="S1375" s="23" t="s">
        <v>14436</v>
      </c>
      <c r="T1375" s="23" t="s">
        <v>14441</v>
      </c>
    </row>
    <row r="1376" spans="1:20" x14ac:dyDescent="0.2">
      <c r="A1376" s="23" t="s">
        <v>92</v>
      </c>
      <c r="C1376" s="23" t="s">
        <v>8682</v>
      </c>
      <c r="D1376" s="23" t="s">
        <v>8683</v>
      </c>
      <c r="E1376" s="23" t="s">
        <v>8684</v>
      </c>
      <c r="G1376" s="23" t="s">
        <v>8685</v>
      </c>
      <c r="K1376" s="23" t="s">
        <v>8686</v>
      </c>
      <c r="L1376" s="23" t="s">
        <v>8687</v>
      </c>
      <c r="O1376" s="23" t="s">
        <v>12206</v>
      </c>
      <c r="P1376" s="23" t="s">
        <v>14422</v>
      </c>
      <c r="Q1376" s="23" t="s">
        <v>14427</v>
      </c>
      <c r="R1376" s="23" t="s">
        <v>14432</v>
      </c>
      <c r="S1376" s="23" t="s">
        <v>14437</v>
      </c>
      <c r="T1376" s="23" t="s">
        <v>14442</v>
      </c>
    </row>
    <row r="1377" spans="1:20" x14ac:dyDescent="0.2">
      <c r="A1377" s="23" t="s">
        <v>92</v>
      </c>
      <c r="C1377" s="23" t="s">
        <v>8688</v>
      </c>
      <c r="D1377" s="23" t="s">
        <v>8689</v>
      </c>
      <c r="E1377" s="23" t="s">
        <v>8690</v>
      </c>
      <c r="G1377" s="23" t="s">
        <v>8691</v>
      </c>
      <c r="K1377" s="23" t="s">
        <v>8692</v>
      </c>
      <c r="L1377" s="23" t="s">
        <v>8693</v>
      </c>
      <c r="O1377" s="23" t="s">
        <v>12207</v>
      </c>
      <c r="P1377" s="23" t="s">
        <v>14423</v>
      </c>
      <c r="Q1377" s="23" t="s">
        <v>14428</v>
      </c>
      <c r="R1377" s="23" t="s">
        <v>14433</v>
      </c>
      <c r="S1377" s="23" t="s">
        <v>14438</v>
      </c>
      <c r="T1377" s="23" t="s">
        <v>14443</v>
      </c>
    </row>
    <row r="1378" spans="1:20" x14ac:dyDescent="0.2">
      <c r="A1378" s="23" t="s">
        <v>92</v>
      </c>
      <c r="C1378" s="23" t="s">
        <v>8694</v>
      </c>
      <c r="D1378" s="23" t="s">
        <v>8695</v>
      </c>
      <c r="E1378" s="23" t="s">
        <v>8696</v>
      </c>
      <c r="G1378" s="23" t="s">
        <v>8697</v>
      </c>
      <c r="K1378" s="23" t="s">
        <v>8698</v>
      </c>
      <c r="L1378" s="23" t="s">
        <v>8699</v>
      </c>
      <c r="O1378" s="23" t="s">
        <v>12208</v>
      </c>
      <c r="P1378" s="23" t="s">
        <v>14424</v>
      </c>
      <c r="Q1378" s="23" t="s">
        <v>14429</v>
      </c>
      <c r="R1378" s="23" t="s">
        <v>14434</v>
      </c>
      <c r="S1378" s="23" t="s">
        <v>14439</v>
      </c>
      <c r="T1378" s="23" t="s">
        <v>14444</v>
      </c>
    </row>
    <row r="1379" spans="1:20" x14ac:dyDescent="0.2">
      <c r="A1379" s="23" t="s">
        <v>92</v>
      </c>
      <c r="C1379" s="23" t="s">
        <v>8670</v>
      </c>
      <c r="D1379" s="23" t="s">
        <v>8671</v>
      </c>
      <c r="E1379" s="23" t="s">
        <v>8672</v>
      </c>
      <c r="G1379" s="23" t="s">
        <v>8673</v>
      </c>
      <c r="K1379" s="23" t="s">
        <v>8674</v>
      </c>
      <c r="L1379" s="23" t="s">
        <v>8675</v>
      </c>
    </row>
    <row r="1380" spans="1:20" x14ac:dyDescent="0.2">
      <c r="A1380" s="23" t="s">
        <v>92</v>
      </c>
      <c r="C1380" s="23" t="s">
        <v>8700</v>
      </c>
      <c r="D1380" s="23" t="s">
        <v>8701</v>
      </c>
      <c r="E1380" s="23" t="s">
        <v>8702</v>
      </c>
      <c r="G1380" s="23" t="s">
        <v>8703</v>
      </c>
      <c r="K1380" s="23" t="s">
        <v>8704</v>
      </c>
      <c r="L1380" s="23" t="s">
        <v>8705</v>
      </c>
      <c r="M1380" s="23" t="s">
        <v>8706</v>
      </c>
      <c r="N1380" s="23" t="s">
        <v>8707</v>
      </c>
      <c r="T1380" s="23" t="s">
        <v>8708</v>
      </c>
    </row>
    <row r="1381" spans="1:20" x14ac:dyDescent="0.2">
      <c r="A1381" s="23" t="s">
        <v>92</v>
      </c>
      <c r="C1381" s="23" t="s">
        <v>8709</v>
      </c>
      <c r="D1381" s="23" t="s">
        <v>8710</v>
      </c>
      <c r="E1381" s="23" t="s">
        <v>8711</v>
      </c>
      <c r="G1381" s="23" t="s">
        <v>8712</v>
      </c>
      <c r="K1381" s="23" t="s">
        <v>8713</v>
      </c>
      <c r="L1381" s="23" t="s">
        <v>8714</v>
      </c>
      <c r="M1381" s="23" t="s">
        <v>8715</v>
      </c>
      <c r="N1381" s="23" t="s">
        <v>8716</v>
      </c>
    </row>
    <row r="1382" spans="1:20" x14ac:dyDescent="0.2">
      <c r="A1382" s="23" t="s">
        <v>92</v>
      </c>
      <c r="C1382" s="23" t="s">
        <v>8717</v>
      </c>
      <c r="D1382" s="23" t="s">
        <v>8718</v>
      </c>
      <c r="E1382" s="23" t="s">
        <v>8719</v>
      </c>
      <c r="G1382" s="23" t="s">
        <v>8720</v>
      </c>
      <c r="K1382" s="23" t="s">
        <v>8721</v>
      </c>
      <c r="L1382" s="23" t="s">
        <v>8722</v>
      </c>
      <c r="O1382" s="23" t="s">
        <v>12209</v>
      </c>
      <c r="P1382" s="23" t="s">
        <v>8723</v>
      </c>
      <c r="Q1382" s="23" t="s">
        <v>8724</v>
      </c>
      <c r="R1382" s="23" t="s">
        <v>8725</v>
      </c>
      <c r="S1382" s="23" t="s">
        <v>8726</v>
      </c>
      <c r="T1382" s="23" t="s">
        <v>8727</v>
      </c>
    </row>
    <row r="1383" spans="1:20" x14ac:dyDescent="0.2">
      <c r="A1383" s="23" t="s">
        <v>92</v>
      </c>
      <c r="C1383" s="23" t="s">
        <v>8728</v>
      </c>
      <c r="D1383" s="23" t="s">
        <v>8729</v>
      </c>
      <c r="E1383" s="23" t="s">
        <v>8730</v>
      </c>
      <c r="G1383" s="23" t="s">
        <v>8731</v>
      </c>
      <c r="K1383" s="23" t="s">
        <v>8732</v>
      </c>
      <c r="L1383" s="23" t="s">
        <v>8733</v>
      </c>
      <c r="O1383" s="23" t="s">
        <v>12094</v>
      </c>
      <c r="P1383" s="23" t="s">
        <v>14395</v>
      </c>
      <c r="Q1383" s="23" t="s">
        <v>14400</v>
      </c>
      <c r="R1383" s="23" t="s">
        <v>14405</v>
      </c>
      <c r="S1383" s="23" t="s">
        <v>14410</v>
      </c>
      <c r="T1383" s="23" t="s">
        <v>14415</v>
      </c>
    </row>
    <row r="1384" spans="1:20" x14ac:dyDescent="0.2">
      <c r="A1384" s="23" t="s">
        <v>92</v>
      </c>
      <c r="C1384" s="23" t="s">
        <v>8734</v>
      </c>
      <c r="D1384" s="23" t="s">
        <v>8735</v>
      </c>
      <c r="E1384" s="23" t="s">
        <v>8736</v>
      </c>
      <c r="G1384" s="23" t="s">
        <v>8737</v>
      </c>
      <c r="K1384" s="23" t="s">
        <v>8738</v>
      </c>
      <c r="L1384" s="23" t="s">
        <v>8739</v>
      </c>
      <c r="O1384" s="23" t="s">
        <v>11538</v>
      </c>
      <c r="P1384" s="23" t="s">
        <v>14396</v>
      </c>
      <c r="Q1384" s="23" t="s">
        <v>14401</v>
      </c>
      <c r="R1384" s="23" t="s">
        <v>14406</v>
      </c>
      <c r="S1384" s="23" t="s">
        <v>14411</v>
      </c>
      <c r="T1384" s="23" t="s">
        <v>14416</v>
      </c>
    </row>
    <row r="1385" spans="1:20" x14ac:dyDescent="0.2">
      <c r="A1385" s="23" t="s">
        <v>92</v>
      </c>
      <c r="C1385" s="23" t="s">
        <v>8740</v>
      </c>
      <c r="D1385" s="23" t="s">
        <v>8741</v>
      </c>
      <c r="E1385" s="23" t="s">
        <v>8742</v>
      </c>
      <c r="G1385" s="23" t="s">
        <v>8743</v>
      </c>
      <c r="K1385" s="23" t="s">
        <v>8744</v>
      </c>
      <c r="L1385" s="23" t="s">
        <v>8745</v>
      </c>
      <c r="O1385" s="23" t="s">
        <v>12210</v>
      </c>
      <c r="P1385" s="23" t="s">
        <v>14397</v>
      </c>
      <c r="Q1385" s="23" t="s">
        <v>14402</v>
      </c>
      <c r="R1385" s="23" t="s">
        <v>14407</v>
      </c>
      <c r="S1385" s="23" t="s">
        <v>14412</v>
      </c>
      <c r="T1385" s="23" t="s">
        <v>14417</v>
      </c>
    </row>
    <row r="1386" spans="1:20" x14ac:dyDescent="0.2">
      <c r="A1386" s="23" t="s">
        <v>92</v>
      </c>
      <c r="C1386" s="23" t="s">
        <v>8746</v>
      </c>
      <c r="D1386" s="23" t="s">
        <v>8747</v>
      </c>
      <c r="E1386" s="23" t="s">
        <v>8748</v>
      </c>
      <c r="G1386" s="23" t="s">
        <v>8749</v>
      </c>
      <c r="K1386" s="23" t="s">
        <v>8750</v>
      </c>
      <c r="L1386" s="23" t="s">
        <v>8751</v>
      </c>
      <c r="O1386" s="23" t="s">
        <v>12211</v>
      </c>
      <c r="P1386" s="23" t="s">
        <v>14398</v>
      </c>
      <c r="Q1386" s="23" t="s">
        <v>14403</v>
      </c>
      <c r="R1386" s="23" t="s">
        <v>14408</v>
      </c>
      <c r="S1386" s="23" t="s">
        <v>14413</v>
      </c>
      <c r="T1386" s="23" t="s">
        <v>14418</v>
      </c>
    </row>
    <row r="1387" spans="1:20" x14ac:dyDescent="0.2">
      <c r="A1387" s="23" t="s">
        <v>92</v>
      </c>
      <c r="C1387" s="23" t="s">
        <v>8752</v>
      </c>
      <c r="D1387" s="23" t="s">
        <v>8753</v>
      </c>
      <c r="E1387" s="23" t="s">
        <v>8754</v>
      </c>
      <c r="G1387" s="23" t="s">
        <v>8755</v>
      </c>
      <c r="K1387" s="23" t="s">
        <v>8756</v>
      </c>
      <c r="L1387" s="23" t="s">
        <v>8757</v>
      </c>
      <c r="O1387" s="23" t="s">
        <v>12212</v>
      </c>
      <c r="P1387" s="23" t="s">
        <v>14399</v>
      </c>
      <c r="Q1387" s="23" t="s">
        <v>14404</v>
      </c>
      <c r="R1387" s="23" t="s">
        <v>14409</v>
      </c>
      <c r="S1387" s="23" t="s">
        <v>14414</v>
      </c>
      <c r="T1387" s="23" t="s">
        <v>14419</v>
      </c>
    </row>
    <row r="1388" spans="1:20" x14ac:dyDescent="0.2">
      <c r="A1388" s="23" t="s">
        <v>92</v>
      </c>
      <c r="C1388" s="23" t="s">
        <v>8728</v>
      </c>
      <c r="D1388" s="23" t="s">
        <v>8729</v>
      </c>
      <c r="E1388" s="23" t="s">
        <v>8730</v>
      </c>
      <c r="G1388" s="23" t="s">
        <v>8731</v>
      </c>
      <c r="K1388" s="23" t="s">
        <v>8732</v>
      </c>
      <c r="L1388" s="23" t="s">
        <v>8733</v>
      </c>
    </row>
    <row r="1389" spans="1:20" x14ac:dyDescent="0.2">
      <c r="A1389" s="23" t="s">
        <v>92</v>
      </c>
      <c r="C1389" s="23" t="s">
        <v>8758</v>
      </c>
      <c r="D1389" s="23" t="s">
        <v>8759</v>
      </c>
      <c r="E1389" s="23" t="s">
        <v>8760</v>
      </c>
      <c r="G1389" s="23" t="s">
        <v>8761</v>
      </c>
      <c r="K1389" s="23" t="s">
        <v>8762</v>
      </c>
      <c r="L1389" s="23" t="s">
        <v>8763</v>
      </c>
      <c r="M1389" s="23" t="s">
        <v>8764</v>
      </c>
      <c r="N1389" s="23" t="s">
        <v>8765</v>
      </c>
      <c r="T1389" s="23" t="s">
        <v>8766</v>
      </c>
    </row>
    <row r="1390" spans="1:20" x14ac:dyDescent="0.2">
      <c r="A1390" s="23" t="s">
        <v>92</v>
      </c>
      <c r="C1390" s="23" t="s">
        <v>8767</v>
      </c>
      <c r="D1390" s="23" t="s">
        <v>8768</v>
      </c>
      <c r="E1390" s="23" t="s">
        <v>8769</v>
      </c>
      <c r="G1390" s="23" t="s">
        <v>8770</v>
      </c>
      <c r="K1390" s="23" t="s">
        <v>8771</v>
      </c>
      <c r="L1390" s="23" t="s">
        <v>8772</v>
      </c>
      <c r="M1390" s="23" t="s">
        <v>8773</v>
      </c>
      <c r="N1390" s="23" t="s">
        <v>8774</v>
      </c>
    </row>
    <row r="1391" spans="1:20" x14ac:dyDescent="0.2">
      <c r="A1391" s="23" t="s">
        <v>92</v>
      </c>
      <c r="C1391" s="23" t="s">
        <v>8775</v>
      </c>
      <c r="D1391" s="23" t="s">
        <v>8776</v>
      </c>
      <c r="E1391" s="23" t="s">
        <v>8777</v>
      </c>
      <c r="G1391" s="23" t="s">
        <v>8778</v>
      </c>
      <c r="K1391" s="23" t="s">
        <v>8779</v>
      </c>
      <c r="L1391" s="23" t="s">
        <v>8780</v>
      </c>
      <c r="O1391" s="23" t="s">
        <v>12213</v>
      </c>
      <c r="P1391" s="23" t="s">
        <v>8781</v>
      </c>
      <c r="Q1391" s="23" t="s">
        <v>8782</v>
      </c>
      <c r="R1391" s="23" t="s">
        <v>8783</v>
      </c>
      <c r="S1391" s="23" t="s">
        <v>8784</v>
      </c>
      <c r="T1391" s="23" t="s">
        <v>8785</v>
      </c>
    </row>
    <row r="1392" spans="1:20" x14ac:dyDescent="0.2">
      <c r="A1392" s="23" t="s">
        <v>92</v>
      </c>
      <c r="C1392" s="23" t="s">
        <v>8786</v>
      </c>
      <c r="D1392" s="23" t="s">
        <v>8787</v>
      </c>
      <c r="E1392" s="23" t="s">
        <v>8788</v>
      </c>
      <c r="G1392" s="23" t="s">
        <v>8789</v>
      </c>
      <c r="K1392" s="23" t="s">
        <v>8790</v>
      </c>
      <c r="L1392" s="23" t="s">
        <v>8791</v>
      </c>
      <c r="O1392" s="23" t="s">
        <v>12214</v>
      </c>
      <c r="P1392" s="23" t="s">
        <v>14365</v>
      </c>
      <c r="Q1392" s="23" t="s">
        <v>14371</v>
      </c>
      <c r="R1392" s="23" t="s">
        <v>14377</v>
      </c>
      <c r="S1392" s="23" t="s">
        <v>14383</v>
      </c>
      <c r="T1392" s="23" t="s">
        <v>14389</v>
      </c>
    </row>
    <row r="1393" spans="1:20" x14ac:dyDescent="0.2">
      <c r="A1393" s="23" t="s">
        <v>92</v>
      </c>
      <c r="C1393" s="23" t="s">
        <v>8792</v>
      </c>
      <c r="D1393" s="23" t="s">
        <v>8793</v>
      </c>
      <c r="E1393" s="23" t="s">
        <v>8794</v>
      </c>
      <c r="G1393" s="23" t="s">
        <v>8795</v>
      </c>
      <c r="K1393" s="23" t="s">
        <v>8796</v>
      </c>
      <c r="L1393" s="23" t="s">
        <v>8797</v>
      </c>
      <c r="O1393" s="23" t="s">
        <v>11546</v>
      </c>
      <c r="P1393" s="23" t="s">
        <v>14366</v>
      </c>
      <c r="Q1393" s="23" t="s">
        <v>14372</v>
      </c>
      <c r="R1393" s="23" t="s">
        <v>14378</v>
      </c>
      <c r="S1393" s="23" t="s">
        <v>14384</v>
      </c>
      <c r="T1393" s="23" t="s">
        <v>14390</v>
      </c>
    </row>
    <row r="1394" spans="1:20" x14ac:dyDescent="0.2">
      <c r="A1394" s="23" t="s">
        <v>92</v>
      </c>
      <c r="C1394" s="23" t="s">
        <v>8798</v>
      </c>
      <c r="D1394" s="23" t="s">
        <v>8799</v>
      </c>
      <c r="E1394" s="23" t="s">
        <v>8800</v>
      </c>
      <c r="G1394" s="23" t="s">
        <v>8801</v>
      </c>
      <c r="K1394" s="23" t="s">
        <v>8802</v>
      </c>
      <c r="L1394" s="23" t="s">
        <v>8803</v>
      </c>
      <c r="O1394" s="23" t="s">
        <v>12215</v>
      </c>
      <c r="P1394" s="23" t="s">
        <v>14367</v>
      </c>
      <c r="Q1394" s="23" t="s">
        <v>14373</v>
      </c>
      <c r="R1394" s="23" t="s">
        <v>14379</v>
      </c>
      <c r="S1394" s="23" t="s">
        <v>14385</v>
      </c>
      <c r="T1394" s="23" t="s">
        <v>14391</v>
      </c>
    </row>
    <row r="1395" spans="1:20" x14ac:dyDescent="0.2">
      <c r="A1395" s="23" t="s">
        <v>92</v>
      </c>
      <c r="C1395" s="23" t="s">
        <v>8804</v>
      </c>
      <c r="D1395" s="23" t="s">
        <v>8805</v>
      </c>
      <c r="E1395" s="23" t="s">
        <v>8806</v>
      </c>
      <c r="G1395" s="23" t="s">
        <v>8807</v>
      </c>
      <c r="K1395" s="23" t="s">
        <v>8808</v>
      </c>
      <c r="L1395" s="23" t="s">
        <v>8809</v>
      </c>
      <c r="O1395" s="23" t="s">
        <v>12216</v>
      </c>
      <c r="P1395" s="23" t="s">
        <v>14368</v>
      </c>
      <c r="Q1395" s="23" t="s">
        <v>14374</v>
      </c>
      <c r="R1395" s="23" t="s">
        <v>14380</v>
      </c>
      <c r="S1395" s="23" t="s">
        <v>14386</v>
      </c>
      <c r="T1395" s="23" t="s">
        <v>14392</v>
      </c>
    </row>
    <row r="1396" spans="1:20" x14ac:dyDescent="0.2">
      <c r="A1396" s="23" t="s">
        <v>92</v>
      </c>
      <c r="C1396" s="23" t="s">
        <v>8810</v>
      </c>
      <c r="D1396" s="23" t="s">
        <v>8811</v>
      </c>
      <c r="E1396" s="23" t="s">
        <v>8812</v>
      </c>
      <c r="G1396" s="23" t="s">
        <v>8813</v>
      </c>
      <c r="K1396" s="23" t="s">
        <v>8814</v>
      </c>
      <c r="L1396" s="23" t="s">
        <v>8815</v>
      </c>
      <c r="O1396" s="23" t="s">
        <v>12217</v>
      </c>
      <c r="P1396" s="23" t="s">
        <v>14369</v>
      </c>
      <c r="Q1396" s="23" t="s">
        <v>14375</v>
      </c>
      <c r="R1396" s="23" t="s">
        <v>14381</v>
      </c>
      <c r="S1396" s="23" t="s">
        <v>14387</v>
      </c>
      <c r="T1396" s="23" t="s">
        <v>14393</v>
      </c>
    </row>
    <row r="1397" spans="1:20" x14ac:dyDescent="0.2">
      <c r="A1397" s="23" t="s">
        <v>92</v>
      </c>
      <c r="C1397" s="23" t="s">
        <v>8816</v>
      </c>
      <c r="D1397" s="23" t="s">
        <v>8817</v>
      </c>
      <c r="E1397" s="23" t="s">
        <v>8818</v>
      </c>
      <c r="G1397" s="23" t="s">
        <v>8819</v>
      </c>
      <c r="K1397" s="23" t="s">
        <v>8820</v>
      </c>
      <c r="L1397" s="23" t="s">
        <v>8821</v>
      </c>
      <c r="O1397" s="23" t="s">
        <v>12218</v>
      </c>
      <c r="P1397" s="23" t="s">
        <v>14370</v>
      </c>
      <c r="Q1397" s="23" t="s">
        <v>14376</v>
      </c>
      <c r="R1397" s="23" t="s">
        <v>14382</v>
      </c>
      <c r="S1397" s="23" t="s">
        <v>14388</v>
      </c>
      <c r="T1397" s="23" t="s">
        <v>14394</v>
      </c>
    </row>
    <row r="1398" spans="1:20" x14ac:dyDescent="0.2">
      <c r="A1398" s="23" t="s">
        <v>92</v>
      </c>
      <c r="C1398" s="23" t="s">
        <v>8786</v>
      </c>
      <c r="D1398" s="23" t="s">
        <v>8787</v>
      </c>
      <c r="E1398" s="23" t="s">
        <v>8788</v>
      </c>
      <c r="G1398" s="23" t="s">
        <v>8789</v>
      </c>
      <c r="K1398" s="23" t="s">
        <v>8790</v>
      </c>
      <c r="L1398" s="23" t="s">
        <v>8791</v>
      </c>
    </row>
    <row r="1399" spans="1:20" x14ac:dyDescent="0.2">
      <c r="A1399" s="23" t="s">
        <v>92</v>
      </c>
      <c r="C1399" s="23" t="s">
        <v>8822</v>
      </c>
      <c r="D1399" s="23" t="s">
        <v>8823</v>
      </c>
      <c r="E1399" s="23" t="s">
        <v>8824</v>
      </c>
      <c r="G1399" s="23" t="s">
        <v>8825</v>
      </c>
      <c r="K1399" s="23" t="s">
        <v>8826</v>
      </c>
      <c r="L1399" s="23" t="s">
        <v>8827</v>
      </c>
      <c r="M1399" s="23" t="s">
        <v>8828</v>
      </c>
      <c r="N1399" s="23" t="s">
        <v>8829</v>
      </c>
      <c r="T1399" s="23" t="s">
        <v>8830</v>
      </c>
    </row>
    <row r="1400" spans="1:20" x14ac:dyDescent="0.2">
      <c r="A1400" s="23" t="s">
        <v>92</v>
      </c>
      <c r="C1400" s="23" t="s">
        <v>8831</v>
      </c>
      <c r="D1400" s="23" t="s">
        <v>8832</v>
      </c>
      <c r="E1400" s="23" t="s">
        <v>8833</v>
      </c>
      <c r="G1400" s="23" t="s">
        <v>8834</v>
      </c>
      <c r="K1400" s="23" t="s">
        <v>8835</v>
      </c>
      <c r="L1400" s="23" t="s">
        <v>8836</v>
      </c>
      <c r="M1400" s="23" t="s">
        <v>8837</v>
      </c>
      <c r="N1400" s="23" t="s">
        <v>8838</v>
      </c>
    </row>
    <row r="1401" spans="1:20" x14ac:dyDescent="0.2">
      <c r="A1401" s="23" t="s">
        <v>92</v>
      </c>
      <c r="C1401" s="23" t="s">
        <v>8839</v>
      </c>
      <c r="D1401" s="23" t="s">
        <v>8840</v>
      </c>
      <c r="E1401" s="23" t="s">
        <v>8841</v>
      </c>
      <c r="G1401" s="23" t="s">
        <v>8842</v>
      </c>
      <c r="K1401" s="23" t="s">
        <v>8843</v>
      </c>
      <c r="L1401" s="23" t="s">
        <v>8844</v>
      </c>
      <c r="O1401" s="23" t="s">
        <v>12219</v>
      </c>
      <c r="P1401" s="23" t="s">
        <v>8845</v>
      </c>
      <c r="Q1401" s="23" t="s">
        <v>8846</v>
      </c>
      <c r="R1401" s="23" t="s">
        <v>8847</v>
      </c>
      <c r="S1401" s="23" t="s">
        <v>8848</v>
      </c>
      <c r="T1401" s="23" t="s">
        <v>8849</v>
      </c>
    </row>
    <row r="1402" spans="1:20" x14ac:dyDescent="0.2">
      <c r="A1402" s="23" t="s">
        <v>92</v>
      </c>
      <c r="C1402" s="23" t="s">
        <v>8850</v>
      </c>
      <c r="D1402" s="23" t="s">
        <v>8851</v>
      </c>
      <c r="E1402" s="23" t="s">
        <v>8852</v>
      </c>
      <c r="G1402" s="23" t="s">
        <v>8853</v>
      </c>
      <c r="K1402" s="23" t="s">
        <v>8854</v>
      </c>
      <c r="L1402" s="23" t="s">
        <v>8855</v>
      </c>
      <c r="O1402" s="23" t="s">
        <v>12102</v>
      </c>
      <c r="P1402" s="23" t="s">
        <v>14340</v>
      </c>
      <c r="Q1402" s="23" t="s">
        <v>14345</v>
      </c>
      <c r="R1402" s="23" t="s">
        <v>14350</v>
      </c>
      <c r="S1402" s="23" t="s">
        <v>14355</v>
      </c>
      <c r="T1402" s="23" t="s">
        <v>14360</v>
      </c>
    </row>
    <row r="1403" spans="1:20" x14ac:dyDescent="0.2">
      <c r="A1403" s="23" t="s">
        <v>92</v>
      </c>
      <c r="C1403" s="23" t="s">
        <v>8856</v>
      </c>
      <c r="D1403" s="23" t="s">
        <v>8857</v>
      </c>
      <c r="E1403" s="23" t="s">
        <v>8858</v>
      </c>
      <c r="G1403" s="23" t="s">
        <v>8859</v>
      </c>
      <c r="K1403" s="23" t="s">
        <v>8860</v>
      </c>
      <c r="L1403" s="23" t="s">
        <v>8861</v>
      </c>
      <c r="O1403" s="23" t="s">
        <v>11554</v>
      </c>
      <c r="P1403" s="23" t="s">
        <v>14341</v>
      </c>
      <c r="Q1403" s="23" t="s">
        <v>14346</v>
      </c>
      <c r="R1403" s="23" t="s">
        <v>14351</v>
      </c>
      <c r="S1403" s="23" t="s">
        <v>14356</v>
      </c>
      <c r="T1403" s="23" t="s">
        <v>14361</v>
      </c>
    </row>
    <row r="1404" spans="1:20" x14ac:dyDescent="0.2">
      <c r="A1404" s="23" t="s">
        <v>92</v>
      </c>
      <c r="C1404" s="23" t="s">
        <v>8862</v>
      </c>
      <c r="D1404" s="23" t="s">
        <v>8863</v>
      </c>
      <c r="E1404" s="23" t="s">
        <v>8864</v>
      </c>
      <c r="G1404" s="23" t="s">
        <v>8865</v>
      </c>
      <c r="K1404" s="23" t="s">
        <v>8866</v>
      </c>
      <c r="L1404" s="23" t="s">
        <v>8867</v>
      </c>
      <c r="O1404" s="23" t="s">
        <v>12220</v>
      </c>
      <c r="P1404" s="23" t="s">
        <v>14342</v>
      </c>
      <c r="Q1404" s="23" t="s">
        <v>14347</v>
      </c>
      <c r="R1404" s="23" t="s">
        <v>14352</v>
      </c>
      <c r="S1404" s="23" t="s">
        <v>14357</v>
      </c>
      <c r="T1404" s="23" t="s">
        <v>14362</v>
      </c>
    </row>
    <row r="1405" spans="1:20" x14ac:dyDescent="0.2">
      <c r="A1405" s="23" t="s">
        <v>92</v>
      </c>
      <c r="C1405" s="23" t="s">
        <v>8868</v>
      </c>
      <c r="D1405" s="23" t="s">
        <v>8869</v>
      </c>
      <c r="E1405" s="23" t="s">
        <v>8870</v>
      </c>
      <c r="G1405" s="23" t="s">
        <v>8871</v>
      </c>
      <c r="K1405" s="23" t="s">
        <v>8872</v>
      </c>
      <c r="L1405" s="23" t="s">
        <v>8873</v>
      </c>
      <c r="O1405" s="23" t="s">
        <v>12221</v>
      </c>
      <c r="P1405" s="23" t="s">
        <v>14343</v>
      </c>
      <c r="Q1405" s="23" t="s">
        <v>14348</v>
      </c>
      <c r="R1405" s="23" t="s">
        <v>14353</v>
      </c>
      <c r="S1405" s="23" t="s">
        <v>14358</v>
      </c>
      <c r="T1405" s="23" t="s">
        <v>14363</v>
      </c>
    </row>
    <row r="1406" spans="1:20" x14ac:dyDescent="0.2">
      <c r="A1406" s="23" t="s">
        <v>92</v>
      </c>
      <c r="C1406" s="23" t="s">
        <v>8874</v>
      </c>
      <c r="D1406" s="23" t="s">
        <v>8875</v>
      </c>
      <c r="E1406" s="23" t="s">
        <v>8876</v>
      </c>
      <c r="G1406" s="23" t="s">
        <v>8877</v>
      </c>
      <c r="K1406" s="23" t="s">
        <v>8878</v>
      </c>
      <c r="L1406" s="23" t="s">
        <v>8879</v>
      </c>
      <c r="O1406" s="23" t="s">
        <v>12222</v>
      </c>
      <c r="P1406" s="23" t="s">
        <v>14344</v>
      </c>
      <c r="Q1406" s="23" t="s">
        <v>14349</v>
      </c>
      <c r="R1406" s="23" t="s">
        <v>14354</v>
      </c>
      <c r="S1406" s="23" t="s">
        <v>14359</v>
      </c>
      <c r="T1406" s="23" t="s">
        <v>14364</v>
      </c>
    </row>
    <row r="1407" spans="1:20" x14ac:dyDescent="0.2">
      <c r="A1407" s="23" t="s">
        <v>92</v>
      </c>
      <c r="C1407" s="23" t="s">
        <v>8850</v>
      </c>
      <c r="D1407" s="23" t="s">
        <v>8851</v>
      </c>
      <c r="E1407" s="23" t="s">
        <v>8852</v>
      </c>
      <c r="G1407" s="23" t="s">
        <v>8853</v>
      </c>
      <c r="K1407" s="23" t="s">
        <v>8854</v>
      </c>
      <c r="L1407" s="23" t="s">
        <v>8855</v>
      </c>
    </row>
    <row r="1408" spans="1:20" x14ac:dyDescent="0.2">
      <c r="A1408" s="23" t="s">
        <v>92</v>
      </c>
      <c r="C1408" s="23" t="s">
        <v>8880</v>
      </c>
      <c r="D1408" s="23" t="s">
        <v>8881</v>
      </c>
      <c r="E1408" s="23" t="s">
        <v>8882</v>
      </c>
      <c r="G1408" s="23" t="s">
        <v>8883</v>
      </c>
      <c r="K1408" s="23" t="s">
        <v>8884</v>
      </c>
      <c r="L1408" s="23" t="s">
        <v>8885</v>
      </c>
      <c r="M1408" s="23" t="s">
        <v>8886</v>
      </c>
      <c r="N1408" s="23" t="s">
        <v>8887</v>
      </c>
      <c r="T1408" s="23" t="s">
        <v>8888</v>
      </c>
    </row>
    <row r="1409" spans="1:20" x14ac:dyDescent="0.2">
      <c r="A1409" s="23" t="s">
        <v>92</v>
      </c>
      <c r="C1409" s="23" t="s">
        <v>8889</v>
      </c>
      <c r="D1409" s="23" t="s">
        <v>8890</v>
      </c>
      <c r="E1409" s="23" t="s">
        <v>8891</v>
      </c>
      <c r="G1409" s="23" t="s">
        <v>8892</v>
      </c>
      <c r="K1409" s="23" t="s">
        <v>8893</v>
      </c>
      <c r="L1409" s="23" t="s">
        <v>8894</v>
      </c>
      <c r="M1409" s="23" t="s">
        <v>8895</v>
      </c>
      <c r="N1409" s="23" t="s">
        <v>8896</v>
      </c>
    </row>
    <row r="1410" spans="1:20" x14ac:dyDescent="0.2">
      <c r="A1410" s="23" t="s">
        <v>92</v>
      </c>
      <c r="C1410" s="23" t="s">
        <v>8897</v>
      </c>
      <c r="D1410" s="23" t="s">
        <v>8898</v>
      </c>
      <c r="E1410" s="23" t="s">
        <v>8899</v>
      </c>
      <c r="G1410" s="23" t="s">
        <v>8900</v>
      </c>
      <c r="K1410" s="23" t="s">
        <v>8901</v>
      </c>
      <c r="L1410" s="23" t="s">
        <v>8902</v>
      </c>
      <c r="O1410" s="23" t="s">
        <v>12223</v>
      </c>
      <c r="P1410" s="23" t="s">
        <v>8903</v>
      </c>
      <c r="Q1410" s="23" t="s">
        <v>8904</v>
      </c>
      <c r="R1410" s="23" t="s">
        <v>8905</v>
      </c>
      <c r="S1410" s="23" t="s">
        <v>8906</v>
      </c>
      <c r="T1410" s="23" t="s">
        <v>8907</v>
      </c>
    </row>
    <row r="1411" spans="1:20" x14ac:dyDescent="0.2">
      <c r="A1411" s="23" t="s">
        <v>92</v>
      </c>
      <c r="C1411" s="23" t="s">
        <v>8908</v>
      </c>
      <c r="D1411" s="23" t="s">
        <v>8909</v>
      </c>
      <c r="E1411" s="23" t="s">
        <v>8910</v>
      </c>
      <c r="G1411" s="23" t="s">
        <v>8911</v>
      </c>
      <c r="K1411" s="23" t="s">
        <v>8912</v>
      </c>
      <c r="L1411" s="23" t="s">
        <v>8913</v>
      </c>
      <c r="O1411" s="23" t="s">
        <v>12224</v>
      </c>
      <c r="P1411" s="23" t="s">
        <v>12225</v>
      </c>
      <c r="Q1411" s="23" t="s">
        <v>12226</v>
      </c>
      <c r="R1411" s="23" t="s">
        <v>12227</v>
      </c>
      <c r="S1411" s="23" t="s">
        <v>12228</v>
      </c>
      <c r="T1411" s="23" t="s">
        <v>12229</v>
      </c>
    </row>
    <row r="1412" spans="1:20" x14ac:dyDescent="0.2">
      <c r="A1412" s="23" t="s">
        <v>92</v>
      </c>
      <c r="C1412" s="23" t="s">
        <v>8908</v>
      </c>
      <c r="D1412" s="23" t="s">
        <v>8909</v>
      </c>
      <c r="E1412" s="23" t="s">
        <v>8910</v>
      </c>
      <c r="G1412" s="23" t="s">
        <v>8911</v>
      </c>
      <c r="K1412" s="23" t="s">
        <v>8912</v>
      </c>
      <c r="L1412" s="23" t="s">
        <v>8913</v>
      </c>
    </row>
    <row r="1413" spans="1:20" x14ac:dyDescent="0.2">
      <c r="A1413" s="23" t="s">
        <v>92</v>
      </c>
      <c r="C1413" s="23" t="s">
        <v>8914</v>
      </c>
      <c r="D1413" s="23" t="s">
        <v>8915</v>
      </c>
      <c r="E1413" s="23" t="s">
        <v>8916</v>
      </c>
      <c r="G1413" s="23" t="s">
        <v>8917</v>
      </c>
      <c r="K1413" s="23" t="s">
        <v>8918</v>
      </c>
      <c r="L1413" s="23" t="s">
        <v>8919</v>
      </c>
      <c r="M1413" s="23" t="s">
        <v>8920</v>
      </c>
      <c r="N1413" s="23" t="s">
        <v>8921</v>
      </c>
      <c r="T1413" s="23" t="s">
        <v>8922</v>
      </c>
    </row>
    <row r="1414" spans="1:20" x14ac:dyDescent="0.2">
      <c r="A1414" s="23" t="s">
        <v>92</v>
      </c>
      <c r="C1414" s="23" t="s">
        <v>8923</v>
      </c>
      <c r="D1414" s="23" t="s">
        <v>8924</v>
      </c>
      <c r="E1414" s="23" t="s">
        <v>8925</v>
      </c>
      <c r="G1414" s="23" t="s">
        <v>8926</v>
      </c>
      <c r="K1414" s="23" t="s">
        <v>8927</v>
      </c>
      <c r="L1414" s="23" t="s">
        <v>8928</v>
      </c>
      <c r="M1414" s="23" t="s">
        <v>8929</v>
      </c>
      <c r="N1414" s="23" t="s">
        <v>8930</v>
      </c>
    </row>
    <row r="1415" spans="1:20" x14ac:dyDescent="0.2">
      <c r="A1415" s="23" t="s">
        <v>92</v>
      </c>
      <c r="C1415" s="23" t="s">
        <v>8931</v>
      </c>
      <c r="D1415" s="23" t="s">
        <v>8932</v>
      </c>
      <c r="E1415" s="23" t="s">
        <v>8933</v>
      </c>
      <c r="G1415" s="23" t="s">
        <v>8934</v>
      </c>
      <c r="K1415" s="23" t="s">
        <v>8935</v>
      </c>
      <c r="L1415" s="23" t="s">
        <v>8936</v>
      </c>
      <c r="O1415" s="23" t="s">
        <v>12230</v>
      </c>
      <c r="P1415" s="23" t="s">
        <v>8937</v>
      </c>
      <c r="Q1415" s="23" t="s">
        <v>8938</v>
      </c>
      <c r="R1415" s="23" t="s">
        <v>8939</v>
      </c>
      <c r="S1415" s="23" t="s">
        <v>8940</v>
      </c>
      <c r="T1415" s="23" t="s">
        <v>8941</v>
      </c>
    </row>
    <row r="1416" spans="1:20" x14ac:dyDescent="0.2">
      <c r="A1416" s="23" t="s">
        <v>92</v>
      </c>
      <c r="C1416" s="23" t="s">
        <v>8942</v>
      </c>
      <c r="D1416" s="23" t="s">
        <v>8943</v>
      </c>
      <c r="E1416" s="23" t="s">
        <v>8944</v>
      </c>
      <c r="G1416" s="23" t="s">
        <v>8945</v>
      </c>
      <c r="K1416" s="23" t="s">
        <v>8946</v>
      </c>
      <c r="L1416" s="23" t="s">
        <v>8947</v>
      </c>
      <c r="O1416" s="23" t="s">
        <v>12231</v>
      </c>
      <c r="P1416" s="23" t="s">
        <v>12232</v>
      </c>
      <c r="Q1416" s="23" t="s">
        <v>12233</v>
      </c>
      <c r="R1416" s="23" t="s">
        <v>12234</v>
      </c>
      <c r="S1416" s="23" t="s">
        <v>12235</v>
      </c>
      <c r="T1416" s="23" t="s">
        <v>12236</v>
      </c>
    </row>
    <row r="1417" spans="1:20" x14ac:dyDescent="0.2">
      <c r="A1417" s="23" t="s">
        <v>92</v>
      </c>
      <c r="C1417" s="23" t="s">
        <v>8942</v>
      </c>
      <c r="D1417" s="23" t="s">
        <v>8943</v>
      </c>
      <c r="E1417" s="23" t="s">
        <v>8944</v>
      </c>
      <c r="G1417" s="23" t="s">
        <v>8945</v>
      </c>
      <c r="K1417" s="23" t="s">
        <v>8946</v>
      </c>
      <c r="L1417" s="23" t="s">
        <v>8947</v>
      </c>
    </row>
    <row r="1418" spans="1:20" x14ac:dyDescent="0.2">
      <c r="A1418" s="23" t="s">
        <v>92</v>
      </c>
      <c r="C1418" s="23" t="s">
        <v>8948</v>
      </c>
      <c r="D1418" s="23" t="s">
        <v>8949</v>
      </c>
      <c r="E1418" s="23" t="s">
        <v>8950</v>
      </c>
      <c r="G1418" s="23" t="s">
        <v>8951</v>
      </c>
      <c r="K1418" s="23" t="s">
        <v>8952</v>
      </c>
      <c r="L1418" s="23" t="s">
        <v>8953</v>
      </c>
      <c r="M1418" s="23" t="s">
        <v>8954</v>
      </c>
      <c r="N1418" s="23" t="s">
        <v>8955</v>
      </c>
      <c r="T1418" s="23" t="s">
        <v>8956</v>
      </c>
    </row>
    <row r="1419" spans="1:20" x14ac:dyDescent="0.2">
      <c r="A1419" s="23" t="s">
        <v>92</v>
      </c>
      <c r="C1419" s="23" t="s">
        <v>8587</v>
      </c>
      <c r="D1419" s="23" t="s">
        <v>8588</v>
      </c>
      <c r="E1419" s="23" t="s">
        <v>8589</v>
      </c>
      <c r="G1419" s="23" t="s">
        <v>8590</v>
      </c>
    </row>
    <row r="1420" spans="1:20" x14ac:dyDescent="0.2">
      <c r="A1420" s="23" t="s">
        <v>92</v>
      </c>
      <c r="C1420" s="23" t="s">
        <v>8957</v>
      </c>
      <c r="D1420" s="23" t="s">
        <v>8958</v>
      </c>
      <c r="E1420" s="23" t="s">
        <v>8959</v>
      </c>
      <c r="G1420" s="23" t="s">
        <v>8960</v>
      </c>
      <c r="H1420" s="23" t="s">
        <v>8961</v>
      </c>
      <c r="I1420" s="23" t="s">
        <v>8962</v>
      </c>
      <c r="J1420" s="23" t="s">
        <v>8963</v>
      </c>
      <c r="T1420" s="23" t="s">
        <v>8964</v>
      </c>
    </row>
    <row r="1421" spans="1:20" x14ac:dyDescent="0.2">
      <c r="A1421" s="23" t="s">
        <v>92</v>
      </c>
      <c r="C1421" s="23" t="s">
        <v>8965</v>
      </c>
      <c r="D1421" s="23" t="s">
        <v>8966</v>
      </c>
      <c r="E1421" s="23" t="s">
        <v>8967</v>
      </c>
      <c r="G1421" s="23" t="s">
        <v>8968</v>
      </c>
      <c r="H1421" s="23" t="s">
        <v>8969</v>
      </c>
      <c r="I1421" s="23" t="s">
        <v>8970</v>
      </c>
      <c r="J1421" s="23" t="s">
        <v>8971</v>
      </c>
    </row>
    <row r="1422" spans="1:20" x14ac:dyDescent="0.2">
      <c r="A1422" s="23" t="s">
        <v>92</v>
      </c>
      <c r="C1422" s="23" t="s">
        <v>8972</v>
      </c>
      <c r="D1422" s="23" t="s">
        <v>8973</v>
      </c>
      <c r="E1422" s="23" t="s">
        <v>8974</v>
      </c>
      <c r="G1422" s="23" t="s">
        <v>8975</v>
      </c>
      <c r="K1422" s="23" t="s">
        <v>8976</v>
      </c>
      <c r="L1422" s="23" t="s">
        <v>8977</v>
      </c>
      <c r="M1422" s="23" t="s">
        <v>12237</v>
      </c>
      <c r="N1422" s="23" t="s">
        <v>8978</v>
      </c>
    </row>
    <row r="1423" spans="1:20" x14ac:dyDescent="0.2">
      <c r="A1423" s="23" t="s">
        <v>92</v>
      </c>
      <c r="C1423" s="23" t="s">
        <v>8979</v>
      </c>
      <c r="D1423" s="23" t="s">
        <v>8980</v>
      </c>
      <c r="E1423" s="23" t="s">
        <v>8981</v>
      </c>
      <c r="G1423" s="23" t="s">
        <v>8982</v>
      </c>
      <c r="K1423" s="23" t="s">
        <v>8983</v>
      </c>
      <c r="L1423" s="23" t="s">
        <v>8984</v>
      </c>
      <c r="O1423" s="23" t="s">
        <v>12238</v>
      </c>
      <c r="P1423" s="23" t="s">
        <v>8985</v>
      </c>
      <c r="Q1423" s="23" t="s">
        <v>8986</v>
      </c>
      <c r="R1423" s="23" t="s">
        <v>8987</v>
      </c>
      <c r="S1423" s="23" t="s">
        <v>8988</v>
      </c>
      <c r="T1423" s="23" t="s">
        <v>8989</v>
      </c>
    </row>
    <row r="1424" spans="1:20" x14ac:dyDescent="0.2">
      <c r="A1424" s="23" t="s">
        <v>92</v>
      </c>
      <c r="C1424" s="23" t="s">
        <v>8990</v>
      </c>
      <c r="D1424" s="23" t="s">
        <v>8991</v>
      </c>
      <c r="E1424" s="23" t="s">
        <v>8992</v>
      </c>
      <c r="G1424" s="23" t="s">
        <v>8993</v>
      </c>
      <c r="K1424" s="23" t="s">
        <v>8994</v>
      </c>
      <c r="L1424" s="23" t="s">
        <v>8995</v>
      </c>
      <c r="O1424" s="23" t="s">
        <v>12239</v>
      </c>
      <c r="P1424" s="23" t="s">
        <v>14165</v>
      </c>
      <c r="Q1424" s="23" t="s">
        <v>14170</v>
      </c>
      <c r="R1424" s="23" t="s">
        <v>14175</v>
      </c>
      <c r="S1424" s="23" t="s">
        <v>14180</v>
      </c>
      <c r="T1424" s="23" t="s">
        <v>14185</v>
      </c>
    </row>
    <row r="1425" spans="1:20" x14ac:dyDescent="0.2">
      <c r="A1425" s="23" t="s">
        <v>92</v>
      </c>
      <c r="C1425" s="23" t="s">
        <v>8996</v>
      </c>
      <c r="D1425" s="23" t="s">
        <v>8997</v>
      </c>
      <c r="E1425" s="23" t="s">
        <v>8998</v>
      </c>
      <c r="G1425" s="23" t="s">
        <v>8999</v>
      </c>
      <c r="K1425" s="23" t="s">
        <v>9000</v>
      </c>
      <c r="L1425" s="23" t="s">
        <v>9001</v>
      </c>
      <c r="O1425" s="23" t="s">
        <v>12240</v>
      </c>
      <c r="P1425" s="23" t="s">
        <v>14166</v>
      </c>
      <c r="Q1425" s="23" t="s">
        <v>14171</v>
      </c>
      <c r="R1425" s="23" t="s">
        <v>14176</v>
      </c>
      <c r="S1425" s="23" t="s">
        <v>14181</v>
      </c>
      <c r="T1425" s="23" t="s">
        <v>14186</v>
      </c>
    </row>
    <row r="1426" spans="1:20" x14ac:dyDescent="0.2">
      <c r="A1426" s="23" t="s">
        <v>92</v>
      </c>
      <c r="C1426" s="23" t="s">
        <v>9002</v>
      </c>
      <c r="D1426" s="23" t="s">
        <v>9003</v>
      </c>
      <c r="E1426" s="23" t="s">
        <v>9004</v>
      </c>
      <c r="G1426" s="23" t="s">
        <v>9005</v>
      </c>
      <c r="K1426" s="23" t="s">
        <v>9006</v>
      </c>
      <c r="L1426" s="23" t="s">
        <v>9007</v>
      </c>
      <c r="O1426" s="23" t="s">
        <v>11517</v>
      </c>
      <c r="P1426" s="23" t="s">
        <v>14167</v>
      </c>
      <c r="Q1426" s="23" t="s">
        <v>14172</v>
      </c>
      <c r="R1426" s="23" t="s">
        <v>14177</v>
      </c>
      <c r="S1426" s="23" t="s">
        <v>14182</v>
      </c>
      <c r="T1426" s="23" t="s">
        <v>14187</v>
      </c>
    </row>
    <row r="1427" spans="1:20" x14ac:dyDescent="0.2">
      <c r="A1427" s="23" t="s">
        <v>92</v>
      </c>
      <c r="C1427" s="23" t="s">
        <v>9008</v>
      </c>
      <c r="D1427" s="23" t="s">
        <v>9009</v>
      </c>
      <c r="E1427" s="23" t="s">
        <v>9010</v>
      </c>
      <c r="G1427" s="23" t="s">
        <v>9011</v>
      </c>
      <c r="K1427" s="23" t="s">
        <v>9012</v>
      </c>
      <c r="L1427" s="23" t="s">
        <v>9013</v>
      </c>
      <c r="O1427" s="23" t="s">
        <v>11562</v>
      </c>
      <c r="P1427" s="23" t="s">
        <v>14168</v>
      </c>
      <c r="Q1427" s="23" t="s">
        <v>14173</v>
      </c>
      <c r="R1427" s="23" t="s">
        <v>14178</v>
      </c>
      <c r="S1427" s="23" t="s">
        <v>14183</v>
      </c>
      <c r="T1427" s="23" t="s">
        <v>14188</v>
      </c>
    </row>
    <row r="1428" spans="1:20" x14ac:dyDescent="0.2">
      <c r="A1428" s="23" t="s">
        <v>92</v>
      </c>
      <c r="C1428" s="23" t="s">
        <v>9014</v>
      </c>
      <c r="D1428" s="23" t="s">
        <v>9015</v>
      </c>
      <c r="E1428" s="23" t="s">
        <v>9016</v>
      </c>
      <c r="G1428" s="23" t="s">
        <v>9017</v>
      </c>
      <c r="K1428" s="23" t="s">
        <v>9018</v>
      </c>
      <c r="L1428" s="23" t="s">
        <v>9019</v>
      </c>
      <c r="O1428" s="23" t="s">
        <v>12241</v>
      </c>
      <c r="P1428" s="23" t="s">
        <v>14169</v>
      </c>
      <c r="Q1428" s="23" t="s">
        <v>14174</v>
      </c>
      <c r="R1428" s="23" t="s">
        <v>14179</v>
      </c>
      <c r="S1428" s="23" t="s">
        <v>14184</v>
      </c>
      <c r="T1428" s="23" t="s">
        <v>14189</v>
      </c>
    </row>
    <row r="1429" spans="1:20" x14ac:dyDescent="0.2">
      <c r="A1429" s="23" t="s">
        <v>92</v>
      </c>
      <c r="C1429" s="23" t="s">
        <v>8990</v>
      </c>
      <c r="D1429" s="23" t="s">
        <v>8991</v>
      </c>
      <c r="E1429" s="23" t="s">
        <v>8992</v>
      </c>
      <c r="G1429" s="23" t="s">
        <v>8993</v>
      </c>
      <c r="K1429" s="23" t="s">
        <v>8994</v>
      </c>
      <c r="L1429" s="23" t="s">
        <v>8995</v>
      </c>
    </row>
    <row r="1430" spans="1:20" x14ac:dyDescent="0.2">
      <c r="A1430" s="23" t="s">
        <v>92</v>
      </c>
      <c r="C1430" s="23" t="s">
        <v>9020</v>
      </c>
      <c r="D1430" s="23" t="s">
        <v>9021</v>
      </c>
      <c r="E1430" s="23" t="s">
        <v>9022</v>
      </c>
      <c r="G1430" s="23" t="s">
        <v>9023</v>
      </c>
      <c r="K1430" s="23" t="s">
        <v>9024</v>
      </c>
      <c r="L1430" s="23" t="s">
        <v>9025</v>
      </c>
      <c r="M1430" s="23" t="s">
        <v>9026</v>
      </c>
      <c r="N1430" s="23" t="s">
        <v>9027</v>
      </c>
      <c r="T1430" s="23" t="s">
        <v>9028</v>
      </c>
    </row>
    <row r="1431" spans="1:20" x14ac:dyDescent="0.2">
      <c r="A1431" s="23" t="s">
        <v>92</v>
      </c>
      <c r="C1431" s="23" t="s">
        <v>9029</v>
      </c>
      <c r="D1431" s="23" t="s">
        <v>9030</v>
      </c>
      <c r="E1431" s="23" t="s">
        <v>9031</v>
      </c>
      <c r="G1431" s="23" t="s">
        <v>9032</v>
      </c>
      <c r="K1431" s="23" t="s">
        <v>9033</v>
      </c>
      <c r="L1431" s="23" t="s">
        <v>9034</v>
      </c>
      <c r="M1431" s="23" t="s">
        <v>9035</v>
      </c>
      <c r="N1431" s="23" t="s">
        <v>9036</v>
      </c>
    </row>
    <row r="1432" spans="1:20" x14ac:dyDescent="0.2">
      <c r="A1432" s="23" t="s">
        <v>92</v>
      </c>
      <c r="C1432" s="23" t="s">
        <v>9037</v>
      </c>
      <c r="D1432" s="23" t="s">
        <v>9038</v>
      </c>
      <c r="E1432" s="23" t="s">
        <v>9039</v>
      </c>
      <c r="G1432" s="23" t="s">
        <v>9040</v>
      </c>
      <c r="K1432" s="23" t="s">
        <v>9041</v>
      </c>
      <c r="L1432" s="23" t="s">
        <v>9042</v>
      </c>
      <c r="O1432" s="23" t="s">
        <v>12242</v>
      </c>
      <c r="P1432" s="23" t="s">
        <v>9043</v>
      </c>
      <c r="Q1432" s="23" t="s">
        <v>9044</v>
      </c>
      <c r="R1432" s="23" t="s">
        <v>9045</v>
      </c>
      <c r="S1432" s="23" t="s">
        <v>9046</v>
      </c>
      <c r="T1432" s="23" t="s">
        <v>9047</v>
      </c>
    </row>
    <row r="1433" spans="1:20" x14ac:dyDescent="0.2">
      <c r="A1433" s="23" t="s">
        <v>92</v>
      </c>
      <c r="C1433" s="23" t="s">
        <v>9048</v>
      </c>
      <c r="D1433" s="23" t="s">
        <v>9049</v>
      </c>
      <c r="E1433" s="23" t="s">
        <v>9050</v>
      </c>
      <c r="G1433" s="23" t="s">
        <v>9051</v>
      </c>
      <c r="K1433" s="23" t="s">
        <v>9052</v>
      </c>
      <c r="L1433" s="23" t="s">
        <v>9053</v>
      </c>
      <c r="O1433" s="23" t="s">
        <v>12243</v>
      </c>
      <c r="P1433" s="23" t="s">
        <v>14290</v>
      </c>
      <c r="Q1433" s="23" t="s">
        <v>14295</v>
      </c>
      <c r="R1433" s="23" t="s">
        <v>14300</v>
      </c>
      <c r="S1433" s="23" t="s">
        <v>14305</v>
      </c>
      <c r="T1433" s="23" t="s">
        <v>14310</v>
      </c>
    </row>
    <row r="1434" spans="1:20" x14ac:dyDescent="0.2">
      <c r="A1434" s="23" t="s">
        <v>92</v>
      </c>
      <c r="C1434" s="23" t="s">
        <v>9054</v>
      </c>
      <c r="D1434" s="23" t="s">
        <v>9055</v>
      </c>
      <c r="E1434" s="23" t="s">
        <v>9056</v>
      </c>
      <c r="G1434" s="23" t="s">
        <v>9057</v>
      </c>
      <c r="K1434" s="23" t="s">
        <v>9058</v>
      </c>
      <c r="L1434" s="23" t="s">
        <v>9059</v>
      </c>
      <c r="O1434" s="23" t="s">
        <v>12244</v>
      </c>
      <c r="P1434" s="23" t="s">
        <v>14291</v>
      </c>
      <c r="Q1434" s="23" t="s">
        <v>14296</v>
      </c>
      <c r="R1434" s="23" t="s">
        <v>14301</v>
      </c>
      <c r="S1434" s="23" t="s">
        <v>14306</v>
      </c>
      <c r="T1434" s="23" t="s">
        <v>14311</v>
      </c>
    </row>
    <row r="1435" spans="1:20" x14ac:dyDescent="0.2">
      <c r="A1435" s="23" t="s">
        <v>92</v>
      </c>
      <c r="C1435" s="23" t="s">
        <v>9060</v>
      </c>
      <c r="D1435" s="23" t="s">
        <v>9061</v>
      </c>
      <c r="E1435" s="23" t="s">
        <v>9062</v>
      </c>
      <c r="G1435" s="23" t="s">
        <v>9063</v>
      </c>
      <c r="K1435" s="23" t="s">
        <v>9064</v>
      </c>
      <c r="L1435" s="23" t="s">
        <v>9065</v>
      </c>
      <c r="O1435" s="23" t="s">
        <v>11524</v>
      </c>
      <c r="P1435" s="23" t="s">
        <v>14292</v>
      </c>
      <c r="Q1435" s="23" t="s">
        <v>14297</v>
      </c>
      <c r="R1435" s="23" t="s">
        <v>14302</v>
      </c>
      <c r="S1435" s="23" t="s">
        <v>14307</v>
      </c>
      <c r="T1435" s="23" t="s">
        <v>14312</v>
      </c>
    </row>
    <row r="1436" spans="1:20" x14ac:dyDescent="0.2">
      <c r="A1436" s="23" t="s">
        <v>92</v>
      </c>
      <c r="C1436" s="23" t="s">
        <v>9066</v>
      </c>
      <c r="D1436" s="23" t="s">
        <v>9067</v>
      </c>
      <c r="E1436" s="23" t="s">
        <v>9068</v>
      </c>
      <c r="G1436" s="23" t="s">
        <v>9069</v>
      </c>
      <c r="K1436" s="23" t="s">
        <v>9070</v>
      </c>
      <c r="L1436" s="23" t="s">
        <v>9071</v>
      </c>
      <c r="O1436" s="23" t="s">
        <v>11567</v>
      </c>
      <c r="P1436" s="23" t="s">
        <v>14293</v>
      </c>
      <c r="Q1436" s="23" t="s">
        <v>14298</v>
      </c>
      <c r="R1436" s="23" t="s">
        <v>14303</v>
      </c>
      <c r="S1436" s="23" t="s">
        <v>14308</v>
      </c>
      <c r="T1436" s="23" t="s">
        <v>14313</v>
      </c>
    </row>
    <row r="1437" spans="1:20" x14ac:dyDescent="0.2">
      <c r="A1437" s="23" t="s">
        <v>92</v>
      </c>
      <c r="C1437" s="23" t="s">
        <v>9072</v>
      </c>
      <c r="D1437" s="23" t="s">
        <v>9073</v>
      </c>
      <c r="E1437" s="23" t="s">
        <v>9074</v>
      </c>
      <c r="G1437" s="23" t="s">
        <v>9075</v>
      </c>
      <c r="K1437" s="23" t="s">
        <v>9076</v>
      </c>
      <c r="L1437" s="23" t="s">
        <v>9077</v>
      </c>
      <c r="O1437" s="23" t="s">
        <v>12245</v>
      </c>
      <c r="P1437" s="23" t="s">
        <v>14294</v>
      </c>
      <c r="Q1437" s="23" t="s">
        <v>14299</v>
      </c>
      <c r="R1437" s="23" t="s">
        <v>14304</v>
      </c>
      <c r="S1437" s="23" t="s">
        <v>14309</v>
      </c>
      <c r="T1437" s="23" t="s">
        <v>14314</v>
      </c>
    </row>
    <row r="1438" spans="1:20" x14ac:dyDescent="0.2">
      <c r="A1438" s="23" t="s">
        <v>92</v>
      </c>
      <c r="C1438" s="23" t="s">
        <v>9048</v>
      </c>
      <c r="D1438" s="23" t="s">
        <v>9049</v>
      </c>
      <c r="E1438" s="23" t="s">
        <v>9050</v>
      </c>
      <c r="G1438" s="23" t="s">
        <v>9051</v>
      </c>
      <c r="K1438" s="23" t="s">
        <v>9052</v>
      </c>
      <c r="L1438" s="23" t="s">
        <v>9053</v>
      </c>
    </row>
    <row r="1439" spans="1:20" x14ac:dyDescent="0.2">
      <c r="A1439" s="23" t="s">
        <v>92</v>
      </c>
      <c r="C1439" s="23" t="s">
        <v>9078</v>
      </c>
      <c r="D1439" s="23" t="s">
        <v>9079</v>
      </c>
      <c r="E1439" s="23" t="s">
        <v>9080</v>
      </c>
      <c r="G1439" s="23" t="s">
        <v>9081</v>
      </c>
      <c r="K1439" s="23" t="s">
        <v>9082</v>
      </c>
      <c r="L1439" s="23" t="s">
        <v>9083</v>
      </c>
      <c r="M1439" s="23" t="s">
        <v>9084</v>
      </c>
      <c r="N1439" s="23" t="s">
        <v>9085</v>
      </c>
      <c r="T1439" s="23" t="s">
        <v>9086</v>
      </c>
    </row>
    <row r="1440" spans="1:20" x14ac:dyDescent="0.2">
      <c r="A1440" s="23" t="s">
        <v>92</v>
      </c>
      <c r="C1440" s="23" t="s">
        <v>9087</v>
      </c>
      <c r="D1440" s="23" t="s">
        <v>9088</v>
      </c>
      <c r="E1440" s="23" t="s">
        <v>9089</v>
      </c>
      <c r="G1440" s="23" t="s">
        <v>9090</v>
      </c>
      <c r="K1440" s="23" t="s">
        <v>9091</v>
      </c>
      <c r="L1440" s="23" t="s">
        <v>9092</v>
      </c>
      <c r="M1440" s="23" t="s">
        <v>9093</v>
      </c>
      <c r="N1440" s="23" t="s">
        <v>9094</v>
      </c>
    </row>
    <row r="1441" spans="1:20" x14ac:dyDescent="0.2">
      <c r="A1441" s="23" t="s">
        <v>92</v>
      </c>
      <c r="C1441" s="23" t="s">
        <v>9095</v>
      </c>
      <c r="D1441" s="23" t="s">
        <v>9096</v>
      </c>
      <c r="E1441" s="23" t="s">
        <v>9097</v>
      </c>
      <c r="G1441" s="23" t="s">
        <v>9098</v>
      </c>
      <c r="K1441" s="23" t="s">
        <v>9099</v>
      </c>
      <c r="L1441" s="23" t="s">
        <v>9100</v>
      </c>
      <c r="O1441" s="23" t="s">
        <v>12246</v>
      </c>
      <c r="P1441" s="23" t="s">
        <v>9101</v>
      </c>
      <c r="Q1441" s="23" t="s">
        <v>9102</v>
      </c>
      <c r="R1441" s="23" t="s">
        <v>9103</v>
      </c>
      <c r="S1441" s="23" t="s">
        <v>9104</v>
      </c>
      <c r="T1441" s="23" t="s">
        <v>9105</v>
      </c>
    </row>
    <row r="1442" spans="1:20" x14ac:dyDescent="0.2">
      <c r="A1442" s="23" t="s">
        <v>92</v>
      </c>
      <c r="C1442" s="23" t="s">
        <v>9106</v>
      </c>
      <c r="D1442" s="23" t="s">
        <v>9107</v>
      </c>
      <c r="E1442" s="23" t="s">
        <v>9108</v>
      </c>
      <c r="G1442" s="23" t="s">
        <v>9109</v>
      </c>
      <c r="K1442" s="23" t="s">
        <v>9110</v>
      </c>
      <c r="L1442" s="23" t="s">
        <v>9111</v>
      </c>
      <c r="O1442" s="23" t="s">
        <v>12247</v>
      </c>
      <c r="P1442" s="23" t="s">
        <v>14265</v>
      </c>
      <c r="Q1442" s="23" t="s">
        <v>14270</v>
      </c>
      <c r="R1442" s="23" t="s">
        <v>14275</v>
      </c>
      <c r="S1442" s="23" t="s">
        <v>14280</v>
      </c>
      <c r="T1442" s="23" t="s">
        <v>14285</v>
      </c>
    </row>
    <row r="1443" spans="1:20" x14ac:dyDescent="0.2">
      <c r="A1443" s="23" t="s">
        <v>92</v>
      </c>
      <c r="C1443" s="23" t="s">
        <v>9112</v>
      </c>
      <c r="D1443" s="23" t="s">
        <v>9113</v>
      </c>
      <c r="E1443" s="23" t="s">
        <v>9114</v>
      </c>
      <c r="G1443" s="23" t="s">
        <v>9115</v>
      </c>
      <c r="K1443" s="23" t="s">
        <v>9116</v>
      </c>
      <c r="L1443" s="23" t="s">
        <v>9117</v>
      </c>
      <c r="O1443" s="23" t="s">
        <v>12248</v>
      </c>
      <c r="P1443" s="23" t="s">
        <v>14266</v>
      </c>
      <c r="Q1443" s="23" t="s">
        <v>14271</v>
      </c>
      <c r="R1443" s="23" t="s">
        <v>14276</v>
      </c>
      <c r="S1443" s="23" t="s">
        <v>14281</v>
      </c>
      <c r="T1443" s="23" t="s">
        <v>14286</v>
      </c>
    </row>
    <row r="1444" spans="1:20" x14ac:dyDescent="0.2">
      <c r="A1444" s="23" t="s">
        <v>92</v>
      </c>
      <c r="C1444" s="23" t="s">
        <v>9118</v>
      </c>
      <c r="D1444" s="23" t="s">
        <v>9119</v>
      </c>
      <c r="E1444" s="23" t="s">
        <v>9120</v>
      </c>
      <c r="G1444" s="23" t="s">
        <v>9121</v>
      </c>
      <c r="K1444" s="23" t="s">
        <v>9122</v>
      </c>
      <c r="L1444" s="23" t="s">
        <v>9123</v>
      </c>
      <c r="O1444" s="23" t="s">
        <v>11531</v>
      </c>
      <c r="P1444" s="23" t="s">
        <v>14267</v>
      </c>
      <c r="Q1444" s="23" t="s">
        <v>14272</v>
      </c>
      <c r="R1444" s="23" t="s">
        <v>14277</v>
      </c>
      <c r="S1444" s="23" t="s">
        <v>14282</v>
      </c>
      <c r="T1444" s="23" t="s">
        <v>14287</v>
      </c>
    </row>
    <row r="1445" spans="1:20" x14ac:dyDescent="0.2">
      <c r="A1445" s="23" t="s">
        <v>92</v>
      </c>
      <c r="C1445" s="23" t="s">
        <v>9124</v>
      </c>
      <c r="D1445" s="23" t="s">
        <v>9125</v>
      </c>
      <c r="E1445" s="23" t="s">
        <v>9126</v>
      </c>
      <c r="G1445" s="23" t="s">
        <v>9127</v>
      </c>
      <c r="K1445" s="23" t="s">
        <v>9128</v>
      </c>
      <c r="L1445" s="23" t="s">
        <v>9129</v>
      </c>
      <c r="O1445" s="23" t="s">
        <v>11573</v>
      </c>
      <c r="P1445" s="23" t="s">
        <v>14268</v>
      </c>
      <c r="Q1445" s="23" t="s">
        <v>14273</v>
      </c>
      <c r="R1445" s="23" t="s">
        <v>14278</v>
      </c>
      <c r="S1445" s="23" t="s">
        <v>14283</v>
      </c>
      <c r="T1445" s="23" t="s">
        <v>14288</v>
      </c>
    </row>
    <row r="1446" spans="1:20" x14ac:dyDescent="0.2">
      <c r="A1446" s="23" t="s">
        <v>92</v>
      </c>
      <c r="C1446" s="23" t="s">
        <v>9130</v>
      </c>
      <c r="D1446" s="23" t="s">
        <v>9131</v>
      </c>
      <c r="E1446" s="23" t="s">
        <v>9132</v>
      </c>
      <c r="G1446" s="23" t="s">
        <v>9133</v>
      </c>
      <c r="K1446" s="23" t="s">
        <v>9134</v>
      </c>
      <c r="L1446" s="23" t="s">
        <v>9135</v>
      </c>
      <c r="O1446" s="23" t="s">
        <v>12249</v>
      </c>
      <c r="P1446" s="23" t="s">
        <v>14269</v>
      </c>
      <c r="Q1446" s="23" t="s">
        <v>14274</v>
      </c>
      <c r="R1446" s="23" t="s">
        <v>14279</v>
      </c>
      <c r="S1446" s="23" t="s">
        <v>14284</v>
      </c>
      <c r="T1446" s="23" t="s">
        <v>14289</v>
      </c>
    </row>
    <row r="1447" spans="1:20" x14ac:dyDescent="0.2">
      <c r="A1447" s="23" t="s">
        <v>92</v>
      </c>
      <c r="C1447" s="23" t="s">
        <v>9106</v>
      </c>
      <c r="D1447" s="23" t="s">
        <v>9107</v>
      </c>
      <c r="E1447" s="23" t="s">
        <v>9108</v>
      </c>
      <c r="G1447" s="23" t="s">
        <v>9109</v>
      </c>
      <c r="K1447" s="23" t="s">
        <v>9110</v>
      </c>
      <c r="L1447" s="23" t="s">
        <v>9111</v>
      </c>
    </row>
    <row r="1448" spans="1:20" x14ac:dyDescent="0.2">
      <c r="A1448" s="23" t="s">
        <v>92</v>
      </c>
      <c r="C1448" s="23" t="s">
        <v>9136</v>
      </c>
      <c r="D1448" s="23" t="s">
        <v>9137</v>
      </c>
      <c r="E1448" s="23" t="s">
        <v>9138</v>
      </c>
      <c r="G1448" s="23" t="s">
        <v>9139</v>
      </c>
      <c r="K1448" s="23" t="s">
        <v>9140</v>
      </c>
      <c r="L1448" s="23" t="s">
        <v>9141</v>
      </c>
      <c r="M1448" s="23" t="s">
        <v>9142</v>
      </c>
      <c r="N1448" s="23" t="s">
        <v>9143</v>
      </c>
      <c r="T1448" s="23" t="s">
        <v>9144</v>
      </c>
    </row>
    <row r="1449" spans="1:20" x14ac:dyDescent="0.2">
      <c r="A1449" s="23" t="s">
        <v>92</v>
      </c>
      <c r="C1449" s="23" t="s">
        <v>9145</v>
      </c>
      <c r="D1449" s="23" t="s">
        <v>9146</v>
      </c>
      <c r="E1449" s="23" t="s">
        <v>9147</v>
      </c>
      <c r="G1449" s="23" t="s">
        <v>9148</v>
      </c>
      <c r="K1449" s="23" t="s">
        <v>9149</v>
      </c>
      <c r="L1449" s="23" t="s">
        <v>9150</v>
      </c>
      <c r="M1449" s="23" t="s">
        <v>9151</v>
      </c>
      <c r="N1449" s="23" t="s">
        <v>9152</v>
      </c>
    </row>
    <row r="1450" spans="1:20" x14ac:dyDescent="0.2">
      <c r="A1450" s="23" t="s">
        <v>92</v>
      </c>
      <c r="C1450" s="23" t="s">
        <v>9153</v>
      </c>
      <c r="D1450" s="23" t="s">
        <v>9154</v>
      </c>
      <c r="E1450" s="23" t="s">
        <v>9155</v>
      </c>
      <c r="G1450" s="23" t="s">
        <v>9156</v>
      </c>
      <c r="K1450" s="23" t="s">
        <v>9157</v>
      </c>
      <c r="L1450" s="23" t="s">
        <v>9158</v>
      </c>
      <c r="O1450" s="23" t="s">
        <v>12250</v>
      </c>
      <c r="P1450" s="23" t="s">
        <v>9159</v>
      </c>
      <c r="Q1450" s="23" t="s">
        <v>9160</v>
      </c>
      <c r="R1450" s="23" t="s">
        <v>9161</v>
      </c>
      <c r="S1450" s="23" t="s">
        <v>9162</v>
      </c>
      <c r="T1450" s="23" t="s">
        <v>9163</v>
      </c>
    </row>
    <row r="1451" spans="1:20" x14ac:dyDescent="0.2">
      <c r="A1451" s="23" t="s">
        <v>92</v>
      </c>
      <c r="C1451" s="23" t="s">
        <v>9164</v>
      </c>
      <c r="D1451" s="23" t="s">
        <v>9165</v>
      </c>
      <c r="E1451" s="23" t="s">
        <v>9166</v>
      </c>
      <c r="G1451" s="23" t="s">
        <v>9167</v>
      </c>
      <c r="K1451" s="23" t="s">
        <v>9168</v>
      </c>
      <c r="L1451" s="23" t="s">
        <v>9169</v>
      </c>
      <c r="O1451" s="23" t="s">
        <v>12251</v>
      </c>
      <c r="P1451" s="23" t="s">
        <v>14240</v>
      </c>
      <c r="Q1451" s="23" t="s">
        <v>14245</v>
      </c>
      <c r="R1451" s="23" t="s">
        <v>14250</v>
      </c>
      <c r="S1451" s="23" t="s">
        <v>14255</v>
      </c>
      <c r="T1451" s="23" t="s">
        <v>14260</v>
      </c>
    </row>
    <row r="1452" spans="1:20" x14ac:dyDescent="0.2">
      <c r="A1452" s="23" t="s">
        <v>92</v>
      </c>
      <c r="C1452" s="23" t="s">
        <v>9170</v>
      </c>
      <c r="D1452" s="23" t="s">
        <v>9171</v>
      </c>
      <c r="E1452" s="23" t="s">
        <v>9172</v>
      </c>
      <c r="G1452" s="23" t="s">
        <v>9173</v>
      </c>
      <c r="K1452" s="23" t="s">
        <v>9174</v>
      </c>
      <c r="L1452" s="23" t="s">
        <v>9175</v>
      </c>
      <c r="O1452" s="23" t="s">
        <v>12252</v>
      </c>
      <c r="P1452" s="23" t="s">
        <v>14241</v>
      </c>
      <c r="Q1452" s="23" t="s">
        <v>14246</v>
      </c>
      <c r="R1452" s="23" t="s">
        <v>14251</v>
      </c>
      <c r="S1452" s="23" t="s">
        <v>14256</v>
      </c>
      <c r="T1452" s="23" t="s">
        <v>14261</v>
      </c>
    </row>
    <row r="1453" spans="1:20" x14ac:dyDescent="0.2">
      <c r="A1453" s="23" t="s">
        <v>92</v>
      </c>
      <c r="C1453" s="23" t="s">
        <v>9176</v>
      </c>
      <c r="D1453" s="23" t="s">
        <v>9177</v>
      </c>
      <c r="E1453" s="23" t="s">
        <v>9178</v>
      </c>
      <c r="G1453" s="23" t="s">
        <v>9179</v>
      </c>
      <c r="K1453" s="23" t="s">
        <v>9180</v>
      </c>
      <c r="L1453" s="23" t="s">
        <v>9181</v>
      </c>
      <c r="O1453" s="23" t="s">
        <v>11538</v>
      </c>
      <c r="P1453" s="23" t="s">
        <v>14242</v>
      </c>
      <c r="Q1453" s="23" t="s">
        <v>14247</v>
      </c>
      <c r="R1453" s="23" t="s">
        <v>14252</v>
      </c>
      <c r="S1453" s="23" t="s">
        <v>14257</v>
      </c>
      <c r="T1453" s="23" t="s">
        <v>14262</v>
      </c>
    </row>
    <row r="1454" spans="1:20" x14ac:dyDescent="0.2">
      <c r="A1454" s="23" t="s">
        <v>92</v>
      </c>
      <c r="C1454" s="23" t="s">
        <v>9182</v>
      </c>
      <c r="D1454" s="23" t="s">
        <v>9183</v>
      </c>
      <c r="E1454" s="23" t="s">
        <v>9184</v>
      </c>
      <c r="G1454" s="23" t="s">
        <v>9185</v>
      </c>
      <c r="K1454" s="23" t="s">
        <v>9186</v>
      </c>
      <c r="L1454" s="23" t="s">
        <v>9187</v>
      </c>
      <c r="O1454" s="23" t="s">
        <v>11578</v>
      </c>
      <c r="P1454" s="23" t="s">
        <v>14243</v>
      </c>
      <c r="Q1454" s="23" t="s">
        <v>14248</v>
      </c>
      <c r="R1454" s="23" t="s">
        <v>14253</v>
      </c>
      <c r="S1454" s="23" t="s">
        <v>14258</v>
      </c>
      <c r="T1454" s="23" t="s">
        <v>14263</v>
      </c>
    </row>
    <row r="1455" spans="1:20" x14ac:dyDescent="0.2">
      <c r="A1455" s="23" t="s">
        <v>92</v>
      </c>
      <c r="C1455" s="23" t="s">
        <v>9188</v>
      </c>
      <c r="D1455" s="23" t="s">
        <v>9189</v>
      </c>
      <c r="E1455" s="23" t="s">
        <v>9190</v>
      </c>
      <c r="G1455" s="23" t="s">
        <v>9191</v>
      </c>
      <c r="K1455" s="23" t="s">
        <v>9192</v>
      </c>
      <c r="L1455" s="23" t="s">
        <v>9193</v>
      </c>
      <c r="O1455" s="23" t="s">
        <v>12253</v>
      </c>
      <c r="P1455" s="23" t="s">
        <v>14244</v>
      </c>
      <c r="Q1455" s="23" t="s">
        <v>14249</v>
      </c>
      <c r="R1455" s="23" t="s">
        <v>14254</v>
      </c>
      <c r="S1455" s="23" t="s">
        <v>14259</v>
      </c>
      <c r="T1455" s="23" t="s">
        <v>14264</v>
      </c>
    </row>
    <row r="1456" spans="1:20" x14ac:dyDescent="0.2">
      <c r="A1456" s="23" t="s">
        <v>92</v>
      </c>
      <c r="C1456" s="23" t="s">
        <v>9164</v>
      </c>
      <c r="D1456" s="23" t="s">
        <v>9165</v>
      </c>
      <c r="E1456" s="23" t="s">
        <v>9166</v>
      </c>
      <c r="G1456" s="23" t="s">
        <v>9167</v>
      </c>
      <c r="K1456" s="23" t="s">
        <v>9168</v>
      </c>
      <c r="L1456" s="23" t="s">
        <v>9169</v>
      </c>
    </row>
    <row r="1457" spans="1:20" x14ac:dyDescent="0.2">
      <c r="A1457" s="23" t="s">
        <v>92</v>
      </c>
      <c r="C1457" s="23" t="s">
        <v>9194</v>
      </c>
      <c r="D1457" s="23" t="s">
        <v>9195</v>
      </c>
      <c r="E1457" s="23" t="s">
        <v>9196</v>
      </c>
      <c r="G1457" s="23" t="s">
        <v>9197</v>
      </c>
      <c r="K1457" s="23" t="s">
        <v>9198</v>
      </c>
      <c r="L1457" s="23" t="s">
        <v>9199</v>
      </c>
      <c r="M1457" s="23" t="s">
        <v>9200</v>
      </c>
      <c r="N1457" s="23" t="s">
        <v>9201</v>
      </c>
      <c r="T1457" s="23" t="s">
        <v>9202</v>
      </c>
    </row>
    <row r="1458" spans="1:20" x14ac:dyDescent="0.2">
      <c r="A1458" s="23" t="s">
        <v>92</v>
      </c>
      <c r="C1458" s="23" t="s">
        <v>9203</v>
      </c>
      <c r="D1458" s="23" t="s">
        <v>9204</v>
      </c>
      <c r="E1458" s="23" t="s">
        <v>9205</v>
      </c>
      <c r="G1458" s="23" t="s">
        <v>9206</v>
      </c>
      <c r="K1458" s="23" t="s">
        <v>9207</v>
      </c>
      <c r="L1458" s="23" t="s">
        <v>9208</v>
      </c>
      <c r="M1458" s="23" t="s">
        <v>9209</v>
      </c>
      <c r="N1458" s="23" t="s">
        <v>9210</v>
      </c>
    </row>
    <row r="1459" spans="1:20" x14ac:dyDescent="0.2">
      <c r="A1459" s="23" t="s">
        <v>92</v>
      </c>
      <c r="C1459" s="23" t="s">
        <v>9211</v>
      </c>
      <c r="D1459" s="23" t="s">
        <v>9212</v>
      </c>
      <c r="E1459" s="23" t="s">
        <v>9213</v>
      </c>
      <c r="G1459" s="23" t="s">
        <v>9214</v>
      </c>
      <c r="K1459" s="23" t="s">
        <v>9215</v>
      </c>
      <c r="L1459" s="23" t="s">
        <v>9216</v>
      </c>
      <c r="O1459" s="23" t="s">
        <v>12254</v>
      </c>
      <c r="P1459" s="23" t="s">
        <v>9217</v>
      </c>
      <c r="Q1459" s="23" t="s">
        <v>9218</v>
      </c>
      <c r="R1459" s="23" t="s">
        <v>9219</v>
      </c>
      <c r="S1459" s="23" t="s">
        <v>9220</v>
      </c>
      <c r="T1459" s="23" t="s">
        <v>9221</v>
      </c>
    </row>
    <row r="1460" spans="1:20" x14ac:dyDescent="0.2">
      <c r="A1460" s="23" t="s">
        <v>92</v>
      </c>
      <c r="C1460" s="23" t="s">
        <v>9222</v>
      </c>
      <c r="D1460" s="23" t="s">
        <v>9223</v>
      </c>
      <c r="E1460" s="23" t="s">
        <v>9224</v>
      </c>
      <c r="G1460" s="23" t="s">
        <v>9225</v>
      </c>
      <c r="K1460" s="23" t="s">
        <v>9226</v>
      </c>
      <c r="L1460" s="23" t="s">
        <v>9227</v>
      </c>
      <c r="O1460" s="23" t="s">
        <v>12255</v>
      </c>
      <c r="P1460" s="23" t="s">
        <v>14215</v>
      </c>
      <c r="Q1460" s="23" t="s">
        <v>14220</v>
      </c>
      <c r="R1460" s="23" t="s">
        <v>14225</v>
      </c>
      <c r="S1460" s="23" t="s">
        <v>14230</v>
      </c>
      <c r="T1460" s="23" t="s">
        <v>14235</v>
      </c>
    </row>
    <row r="1461" spans="1:20" x14ac:dyDescent="0.2">
      <c r="A1461" s="23" t="s">
        <v>92</v>
      </c>
      <c r="C1461" s="23" t="s">
        <v>9228</v>
      </c>
      <c r="D1461" s="23" t="s">
        <v>9229</v>
      </c>
      <c r="E1461" s="23" t="s">
        <v>9230</v>
      </c>
      <c r="G1461" s="23" t="s">
        <v>9231</v>
      </c>
      <c r="K1461" s="23" t="s">
        <v>9232</v>
      </c>
      <c r="L1461" s="23" t="s">
        <v>9233</v>
      </c>
      <c r="O1461" s="23" t="s">
        <v>12256</v>
      </c>
      <c r="P1461" s="23" t="s">
        <v>14216</v>
      </c>
      <c r="Q1461" s="23" t="s">
        <v>14221</v>
      </c>
      <c r="R1461" s="23" t="s">
        <v>14226</v>
      </c>
      <c r="S1461" s="23" t="s">
        <v>14231</v>
      </c>
      <c r="T1461" s="23" t="s">
        <v>14236</v>
      </c>
    </row>
    <row r="1462" spans="1:20" x14ac:dyDescent="0.2">
      <c r="A1462" s="23" t="s">
        <v>92</v>
      </c>
      <c r="C1462" s="23" t="s">
        <v>9234</v>
      </c>
      <c r="D1462" s="23" t="s">
        <v>9235</v>
      </c>
      <c r="E1462" s="23" t="s">
        <v>9236</v>
      </c>
      <c r="G1462" s="23" t="s">
        <v>9237</v>
      </c>
      <c r="K1462" s="23" t="s">
        <v>9238</v>
      </c>
      <c r="L1462" s="23" t="s">
        <v>9239</v>
      </c>
      <c r="O1462" s="23" t="s">
        <v>11546</v>
      </c>
      <c r="P1462" s="23" t="s">
        <v>14217</v>
      </c>
      <c r="Q1462" s="23" t="s">
        <v>14222</v>
      </c>
      <c r="R1462" s="23" t="s">
        <v>14227</v>
      </c>
      <c r="S1462" s="23" t="s">
        <v>14232</v>
      </c>
      <c r="T1462" s="23" t="s">
        <v>14237</v>
      </c>
    </row>
    <row r="1463" spans="1:20" x14ac:dyDescent="0.2">
      <c r="A1463" s="23" t="s">
        <v>92</v>
      </c>
      <c r="C1463" s="23" t="s">
        <v>9240</v>
      </c>
      <c r="D1463" s="23" t="s">
        <v>9241</v>
      </c>
      <c r="E1463" s="23" t="s">
        <v>9242</v>
      </c>
      <c r="G1463" s="23" t="s">
        <v>9243</v>
      </c>
      <c r="K1463" s="23" t="s">
        <v>9244</v>
      </c>
      <c r="L1463" s="23" t="s">
        <v>9245</v>
      </c>
      <c r="O1463" s="23" t="s">
        <v>11583</v>
      </c>
      <c r="P1463" s="23" t="s">
        <v>14218</v>
      </c>
      <c r="Q1463" s="23" t="s">
        <v>14223</v>
      </c>
      <c r="R1463" s="23" t="s">
        <v>14228</v>
      </c>
      <c r="S1463" s="23" t="s">
        <v>14233</v>
      </c>
      <c r="T1463" s="23" t="s">
        <v>14238</v>
      </c>
    </row>
    <row r="1464" spans="1:20" x14ac:dyDescent="0.2">
      <c r="A1464" s="23" t="s">
        <v>92</v>
      </c>
      <c r="C1464" s="23" t="s">
        <v>9246</v>
      </c>
      <c r="D1464" s="23" t="s">
        <v>9247</v>
      </c>
      <c r="E1464" s="23" t="s">
        <v>9248</v>
      </c>
      <c r="G1464" s="23" t="s">
        <v>9249</v>
      </c>
      <c r="K1464" s="23" t="s">
        <v>9250</v>
      </c>
      <c r="L1464" s="23" t="s">
        <v>9251</v>
      </c>
      <c r="O1464" s="23" t="s">
        <v>12257</v>
      </c>
      <c r="P1464" s="23" t="s">
        <v>14219</v>
      </c>
      <c r="Q1464" s="23" t="s">
        <v>14224</v>
      </c>
      <c r="R1464" s="23" t="s">
        <v>14229</v>
      </c>
      <c r="S1464" s="23" t="s">
        <v>14234</v>
      </c>
      <c r="T1464" s="23" t="s">
        <v>14239</v>
      </c>
    </row>
    <row r="1465" spans="1:20" x14ac:dyDescent="0.2">
      <c r="A1465" s="23" t="s">
        <v>92</v>
      </c>
      <c r="C1465" s="23" t="s">
        <v>9222</v>
      </c>
      <c r="D1465" s="23" t="s">
        <v>9223</v>
      </c>
      <c r="E1465" s="23" t="s">
        <v>9224</v>
      </c>
      <c r="G1465" s="23" t="s">
        <v>9225</v>
      </c>
      <c r="K1465" s="23" t="s">
        <v>9226</v>
      </c>
      <c r="L1465" s="23" t="s">
        <v>9227</v>
      </c>
    </row>
    <row r="1466" spans="1:20" x14ac:dyDescent="0.2">
      <c r="A1466" s="23" t="s">
        <v>92</v>
      </c>
      <c r="C1466" s="23" t="s">
        <v>9252</v>
      </c>
      <c r="D1466" s="23" t="s">
        <v>9253</v>
      </c>
      <c r="E1466" s="23" t="s">
        <v>9254</v>
      </c>
      <c r="G1466" s="23" t="s">
        <v>9255</v>
      </c>
      <c r="K1466" s="23" t="s">
        <v>9256</v>
      </c>
      <c r="L1466" s="23" t="s">
        <v>9257</v>
      </c>
      <c r="M1466" s="23" t="s">
        <v>9258</v>
      </c>
      <c r="N1466" s="23" t="s">
        <v>9259</v>
      </c>
      <c r="T1466" s="23" t="s">
        <v>9260</v>
      </c>
    </row>
    <row r="1467" spans="1:20" x14ac:dyDescent="0.2">
      <c r="A1467" s="23" t="s">
        <v>92</v>
      </c>
      <c r="C1467" s="23" t="s">
        <v>9261</v>
      </c>
      <c r="D1467" s="23" t="s">
        <v>9262</v>
      </c>
      <c r="E1467" s="23" t="s">
        <v>9263</v>
      </c>
      <c r="G1467" s="23" t="s">
        <v>9264</v>
      </c>
      <c r="K1467" s="23" t="s">
        <v>9265</v>
      </c>
      <c r="L1467" s="23" t="s">
        <v>9266</v>
      </c>
      <c r="M1467" s="23" t="s">
        <v>9267</v>
      </c>
      <c r="N1467" s="23" t="s">
        <v>9268</v>
      </c>
    </row>
    <row r="1468" spans="1:20" x14ac:dyDescent="0.2">
      <c r="A1468" s="23" t="s">
        <v>92</v>
      </c>
      <c r="C1468" s="23" t="s">
        <v>9269</v>
      </c>
      <c r="D1468" s="23" t="s">
        <v>9270</v>
      </c>
      <c r="E1468" s="23" t="s">
        <v>9271</v>
      </c>
      <c r="G1468" s="23" t="s">
        <v>9272</v>
      </c>
      <c r="K1468" s="23" t="s">
        <v>9273</v>
      </c>
      <c r="L1468" s="23" t="s">
        <v>9274</v>
      </c>
      <c r="O1468" s="23" t="s">
        <v>12258</v>
      </c>
      <c r="P1468" s="23" t="s">
        <v>9275</v>
      </c>
      <c r="Q1468" s="23" t="s">
        <v>9276</v>
      </c>
      <c r="R1468" s="23" t="s">
        <v>9277</v>
      </c>
      <c r="S1468" s="23" t="s">
        <v>9278</v>
      </c>
      <c r="T1468" s="23" t="s">
        <v>9279</v>
      </c>
    </row>
    <row r="1469" spans="1:20" x14ac:dyDescent="0.2">
      <c r="A1469" s="23" t="s">
        <v>92</v>
      </c>
      <c r="C1469" s="23" t="s">
        <v>9280</v>
      </c>
      <c r="D1469" s="23" t="s">
        <v>9281</v>
      </c>
      <c r="E1469" s="23" t="s">
        <v>9282</v>
      </c>
      <c r="G1469" s="23" t="s">
        <v>9283</v>
      </c>
      <c r="K1469" s="23" t="s">
        <v>9284</v>
      </c>
      <c r="L1469" s="23" t="s">
        <v>9285</v>
      </c>
      <c r="O1469" s="23" t="s">
        <v>12259</v>
      </c>
      <c r="P1469" s="23" t="s">
        <v>14190</v>
      </c>
      <c r="Q1469" s="23" t="s">
        <v>14195</v>
      </c>
      <c r="R1469" s="23" t="s">
        <v>14200</v>
      </c>
      <c r="S1469" s="23" t="s">
        <v>14205</v>
      </c>
      <c r="T1469" s="23" t="s">
        <v>14210</v>
      </c>
    </row>
    <row r="1470" spans="1:20" x14ac:dyDescent="0.2">
      <c r="A1470" s="23" t="s">
        <v>92</v>
      </c>
      <c r="C1470" s="23" t="s">
        <v>9286</v>
      </c>
      <c r="D1470" s="23" t="s">
        <v>9287</v>
      </c>
      <c r="E1470" s="23" t="s">
        <v>9288</v>
      </c>
      <c r="G1470" s="23" t="s">
        <v>9289</v>
      </c>
      <c r="K1470" s="23" t="s">
        <v>9290</v>
      </c>
      <c r="L1470" s="23" t="s">
        <v>9291</v>
      </c>
      <c r="O1470" s="23" t="s">
        <v>12260</v>
      </c>
      <c r="P1470" s="23" t="s">
        <v>14191</v>
      </c>
      <c r="Q1470" s="23" t="s">
        <v>14196</v>
      </c>
      <c r="R1470" s="23" t="s">
        <v>14201</v>
      </c>
      <c r="S1470" s="23" t="s">
        <v>14206</v>
      </c>
      <c r="T1470" s="23" t="s">
        <v>14211</v>
      </c>
    </row>
    <row r="1471" spans="1:20" x14ac:dyDescent="0.2">
      <c r="A1471" s="23" t="s">
        <v>92</v>
      </c>
      <c r="C1471" s="23" t="s">
        <v>9292</v>
      </c>
      <c r="D1471" s="23" t="s">
        <v>9293</v>
      </c>
      <c r="E1471" s="23" t="s">
        <v>9294</v>
      </c>
      <c r="G1471" s="23" t="s">
        <v>9295</v>
      </c>
      <c r="K1471" s="23" t="s">
        <v>9296</v>
      </c>
      <c r="L1471" s="23" t="s">
        <v>9297</v>
      </c>
      <c r="O1471" s="23" t="s">
        <v>11554</v>
      </c>
      <c r="P1471" s="23" t="s">
        <v>14192</v>
      </c>
      <c r="Q1471" s="23" t="s">
        <v>14197</v>
      </c>
      <c r="R1471" s="23" t="s">
        <v>14202</v>
      </c>
      <c r="S1471" s="23" t="s">
        <v>14207</v>
      </c>
      <c r="T1471" s="23" t="s">
        <v>14212</v>
      </c>
    </row>
    <row r="1472" spans="1:20" x14ac:dyDescent="0.2">
      <c r="A1472" s="23" t="s">
        <v>92</v>
      </c>
      <c r="C1472" s="23" t="s">
        <v>9298</v>
      </c>
      <c r="D1472" s="23" t="s">
        <v>9299</v>
      </c>
      <c r="E1472" s="23" t="s">
        <v>9300</v>
      </c>
      <c r="G1472" s="23" t="s">
        <v>9301</v>
      </c>
      <c r="K1472" s="23" t="s">
        <v>9302</v>
      </c>
      <c r="L1472" s="23" t="s">
        <v>9303</v>
      </c>
      <c r="O1472" s="23" t="s">
        <v>11588</v>
      </c>
      <c r="P1472" s="23" t="s">
        <v>14193</v>
      </c>
      <c r="Q1472" s="23" t="s">
        <v>14198</v>
      </c>
      <c r="R1472" s="23" t="s">
        <v>14203</v>
      </c>
      <c r="S1472" s="23" t="s">
        <v>14208</v>
      </c>
      <c r="T1472" s="23" t="s">
        <v>14213</v>
      </c>
    </row>
    <row r="1473" spans="1:20" x14ac:dyDescent="0.2">
      <c r="A1473" s="23" t="s">
        <v>92</v>
      </c>
      <c r="C1473" s="23" t="s">
        <v>9304</v>
      </c>
      <c r="D1473" s="23" t="s">
        <v>9305</v>
      </c>
      <c r="E1473" s="23" t="s">
        <v>9306</v>
      </c>
      <c r="G1473" s="23" t="s">
        <v>9307</v>
      </c>
      <c r="K1473" s="23" t="s">
        <v>9308</v>
      </c>
      <c r="L1473" s="23" t="s">
        <v>9309</v>
      </c>
      <c r="O1473" s="23" t="s">
        <v>12261</v>
      </c>
      <c r="P1473" s="23" t="s">
        <v>14194</v>
      </c>
      <c r="Q1473" s="23" t="s">
        <v>14199</v>
      </c>
      <c r="R1473" s="23" t="s">
        <v>14204</v>
      </c>
      <c r="S1473" s="23" t="s">
        <v>14209</v>
      </c>
      <c r="T1473" s="23" t="s">
        <v>14214</v>
      </c>
    </row>
    <row r="1474" spans="1:20" x14ac:dyDescent="0.2">
      <c r="A1474" s="23" t="s">
        <v>92</v>
      </c>
      <c r="C1474" s="23" t="s">
        <v>9280</v>
      </c>
      <c r="D1474" s="23" t="s">
        <v>9281</v>
      </c>
      <c r="E1474" s="23" t="s">
        <v>9282</v>
      </c>
      <c r="G1474" s="23" t="s">
        <v>9283</v>
      </c>
      <c r="K1474" s="23" t="s">
        <v>9284</v>
      </c>
      <c r="L1474" s="23" t="s">
        <v>9285</v>
      </c>
    </row>
    <row r="1475" spans="1:20" x14ac:dyDescent="0.2">
      <c r="A1475" s="23" t="s">
        <v>92</v>
      </c>
      <c r="C1475" s="23" t="s">
        <v>9310</v>
      </c>
      <c r="D1475" s="23" t="s">
        <v>9311</v>
      </c>
      <c r="E1475" s="23" t="s">
        <v>9312</v>
      </c>
      <c r="G1475" s="23" t="s">
        <v>9313</v>
      </c>
      <c r="K1475" s="23" t="s">
        <v>9314</v>
      </c>
      <c r="L1475" s="23" t="s">
        <v>9315</v>
      </c>
      <c r="M1475" s="23" t="s">
        <v>9316</v>
      </c>
      <c r="N1475" s="23" t="s">
        <v>9317</v>
      </c>
      <c r="T1475" s="23" t="s">
        <v>9318</v>
      </c>
    </row>
    <row r="1476" spans="1:20" x14ac:dyDescent="0.2">
      <c r="A1476" s="23" t="s">
        <v>92</v>
      </c>
      <c r="C1476" s="23" t="s">
        <v>9029</v>
      </c>
      <c r="D1476" s="23" t="s">
        <v>9030</v>
      </c>
      <c r="E1476" s="23" t="s">
        <v>9031</v>
      </c>
      <c r="G1476" s="23" t="s">
        <v>9032</v>
      </c>
    </row>
    <row r="1477" spans="1:20" x14ac:dyDescent="0.2">
      <c r="A1477" s="23" t="s">
        <v>92</v>
      </c>
      <c r="C1477" s="23" t="s">
        <v>9319</v>
      </c>
      <c r="D1477" s="23" t="s">
        <v>9320</v>
      </c>
      <c r="E1477" s="23" t="s">
        <v>9321</v>
      </c>
      <c r="G1477" s="23" t="s">
        <v>9322</v>
      </c>
      <c r="H1477" s="23" t="s">
        <v>9323</v>
      </c>
      <c r="I1477" s="23" t="s">
        <v>9324</v>
      </c>
      <c r="J1477" s="23" t="s">
        <v>9325</v>
      </c>
      <c r="T1477" s="23" t="s">
        <v>9326</v>
      </c>
    </row>
    <row r="1478" spans="1:20" x14ac:dyDescent="0.2">
      <c r="A1478" s="23" t="s">
        <v>92</v>
      </c>
      <c r="C1478" s="23" t="s">
        <v>9327</v>
      </c>
      <c r="D1478" s="23" t="s">
        <v>9328</v>
      </c>
      <c r="E1478" s="23" t="s">
        <v>9329</v>
      </c>
      <c r="G1478" s="23" t="s">
        <v>9330</v>
      </c>
      <c r="H1478" s="23" t="s">
        <v>9331</v>
      </c>
      <c r="I1478" s="23" t="s">
        <v>9332</v>
      </c>
      <c r="J1478" s="23" t="s">
        <v>9333</v>
      </c>
    </row>
    <row r="1479" spans="1:20" x14ac:dyDescent="0.2">
      <c r="A1479" s="23" t="s">
        <v>92</v>
      </c>
      <c r="C1479" s="23" t="s">
        <v>9334</v>
      </c>
      <c r="D1479" s="23" t="s">
        <v>9335</v>
      </c>
      <c r="E1479" s="23" t="s">
        <v>9336</v>
      </c>
      <c r="G1479" s="23" t="s">
        <v>9337</v>
      </c>
      <c r="K1479" s="23" t="s">
        <v>9338</v>
      </c>
      <c r="L1479" s="23" t="s">
        <v>9339</v>
      </c>
      <c r="M1479" s="23" t="s">
        <v>12262</v>
      </c>
      <c r="N1479" s="23" t="s">
        <v>9340</v>
      </c>
    </row>
    <row r="1480" spans="1:20" x14ac:dyDescent="0.2">
      <c r="A1480" s="23" t="s">
        <v>92</v>
      </c>
      <c r="C1480" s="23" t="s">
        <v>9341</v>
      </c>
      <c r="D1480" s="23" t="s">
        <v>9342</v>
      </c>
      <c r="E1480" s="23" t="s">
        <v>9343</v>
      </c>
      <c r="G1480" s="23" t="s">
        <v>9344</v>
      </c>
      <c r="K1480" s="23" t="s">
        <v>9345</v>
      </c>
      <c r="L1480" s="23" t="s">
        <v>9346</v>
      </c>
      <c r="O1480" s="23" t="s">
        <v>12263</v>
      </c>
      <c r="P1480" s="23" t="s">
        <v>9347</v>
      </c>
      <c r="Q1480" s="23" t="s">
        <v>9348</v>
      </c>
      <c r="R1480" s="23" t="s">
        <v>9349</v>
      </c>
      <c r="S1480" s="23" t="s">
        <v>9350</v>
      </c>
      <c r="T1480" s="23" t="s">
        <v>9351</v>
      </c>
    </row>
    <row r="1481" spans="1:20" x14ac:dyDescent="0.2">
      <c r="A1481" s="23" t="s">
        <v>92</v>
      </c>
      <c r="C1481" s="23" t="s">
        <v>9352</v>
      </c>
      <c r="D1481" s="23" t="s">
        <v>9353</v>
      </c>
      <c r="E1481" s="23" t="s">
        <v>9354</v>
      </c>
      <c r="G1481" s="23" t="s">
        <v>9355</v>
      </c>
      <c r="K1481" s="23" t="s">
        <v>9356</v>
      </c>
      <c r="L1481" s="23" t="s">
        <v>9357</v>
      </c>
      <c r="O1481" s="23" t="s">
        <v>12082</v>
      </c>
      <c r="P1481" s="23" t="s">
        <v>13985</v>
      </c>
      <c r="Q1481" s="23" t="s">
        <v>13991</v>
      </c>
      <c r="R1481" s="23" t="s">
        <v>13997</v>
      </c>
      <c r="S1481" s="23" t="s">
        <v>14003</v>
      </c>
      <c r="T1481" s="23" t="s">
        <v>14009</v>
      </c>
    </row>
    <row r="1482" spans="1:20" x14ac:dyDescent="0.2">
      <c r="A1482" s="23" t="s">
        <v>92</v>
      </c>
      <c r="C1482" s="23" t="s">
        <v>9358</v>
      </c>
      <c r="D1482" s="23" t="s">
        <v>9359</v>
      </c>
      <c r="E1482" s="23" t="s">
        <v>9360</v>
      </c>
      <c r="G1482" s="23" t="s">
        <v>9361</v>
      </c>
      <c r="K1482" s="23" t="s">
        <v>9362</v>
      </c>
      <c r="L1482" s="23" t="s">
        <v>9363</v>
      </c>
      <c r="O1482" s="23" t="s">
        <v>12264</v>
      </c>
      <c r="P1482" s="23" t="s">
        <v>13986</v>
      </c>
      <c r="Q1482" s="23" t="s">
        <v>13992</v>
      </c>
      <c r="R1482" s="23" t="s">
        <v>13998</v>
      </c>
      <c r="S1482" s="23" t="s">
        <v>14004</v>
      </c>
      <c r="T1482" s="23" t="s">
        <v>14010</v>
      </c>
    </row>
    <row r="1483" spans="1:20" x14ac:dyDescent="0.2">
      <c r="A1483" s="23" t="s">
        <v>92</v>
      </c>
      <c r="C1483" s="23" t="s">
        <v>9364</v>
      </c>
      <c r="D1483" s="23" t="s">
        <v>9365</v>
      </c>
      <c r="E1483" s="23" t="s">
        <v>9366</v>
      </c>
      <c r="G1483" s="23" t="s">
        <v>9367</v>
      </c>
      <c r="K1483" s="23" t="s">
        <v>9368</v>
      </c>
      <c r="L1483" s="23" t="s">
        <v>9369</v>
      </c>
      <c r="O1483" s="23" t="s">
        <v>11517</v>
      </c>
      <c r="P1483" s="23" t="s">
        <v>13987</v>
      </c>
      <c r="Q1483" s="23" t="s">
        <v>13993</v>
      </c>
      <c r="R1483" s="23" t="s">
        <v>13999</v>
      </c>
      <c r="S1483" s="23" t="s">
        <v>14005</v>
      </c>
      <c r="T1483" s="23" t="s">
        <v>14011</v>
      </c>
    </row>
    <row r="1484" spans="1:20" x14ac:dyDescent="0.2">
      <c r="A1484" s="23" t="s">
        <v>92</v>
      </c>
      <c r="C1484" s="23" t="s">
        <v>9370</v>
      </c>
      <c r="D1484" s="23" t="s">
        <v>9371</v>
      </c>
      <c r="E1484" s="23" t="s">
        <v>9372</v>
      </c>
      <c r="G1484" s="23" t="s">
        <v>9373</v>
      </c>
      <c r="K1484" s="23" t="s">
        <v>9374</v>
      </c>
      <c r="L1484" s="23" t="s">
        <v>9375</v>
      </c>
      <c r="O1484" s="23" t="s">
        <v>11841</v>
      </c>
      <c r="P1484" s="23" t="s">
        <v>13988</v>
      </c>
      <c r="Q1484" s="23" t="s">
        <v>13994</v>
      </c>
      <c r="R1484" s="23" t="s">
        <v>14000</v>
      </c>
      <c r="S1484" s="23" t="s">
        <v>14006</v>
      </c>
      <c r="T1484" s="23" t="s">
        <v>14012</v>
      </c>
    </row>
    <row r="1485" spans="1:20" x14ac:dyDescent="0.2">
      <c r="A1485" s="23" t="s">
        <v>92</v>
      </c>
      <c r="C1485" s="23" t="s">
        <v>9376</v>
      </c>
      <c r="D1485" s="23" t="s">
        <v>9377</v>
      </c>
      <c r="E1485" s="23" t="s">
        <v>9378</v>
      </c>
      <c r="G1485" s="23" t="s">
        <v>9379</v>
      </c>
      <c r="K1485" s="23" t="s">
        <v>9380</v>
      </c>
      <c r="L1485" s="23" t="s">
        <v>9381</v>
      </c>
      <c r="O1485" s="23" t="s">
        <v>11562</v>
      </c>
      <c r="P1485" s="23" t="s">
        <v>13989</v>
      </c>
      <c r="Q1485" s="23" t="s">
        <v>13995</v>
      </c>
      <c r="R1485" s="23" t="s">
        <v>14001</v>
      </c>
      <c r="S1485" s="23" t="s">
        <v>14007</v>
      </c>
      <c r="T1485" s="23" t="s">
        <v>14013</v>
      </c>
    </row>
    <row r="1486" spans="1:20" x14ac:dyDescent="0.2">
      <c r="A1486" s="23" t="s">
        <v>92</v>
      </c>
      <c r="C1486" s="23" t="s">
        <v>9382</v>
      </c>
      <c r="D1486" s="23" t="s">
        <v>9383</v>
      </c>
      <c r="E1486" s="23" t="s">
        <v>9384</v>
      </c>
      <c r="G1486" s="23" t="s">
        <v>9385</v>
      </c>
      <c r="K1486" s="23" t="s">
        <v>9386</v>
      </c>
      <c r="L1486" s="23" t="s">
        <v>9387</v>
      </c>
      <c r="O1486" s="23" t="s">
        <v>12265</v>
      </c>
      <c r="P1486" s="23" t="s">
        <v>13990</v>
      </c>
      <c r="Q1486" s="23" t="s">
        <v>13996</v>
      </c>
      <c r="R1486" s="23" t="s">
        <v>14002</v>
      </c>
      <c r="S1486" s="23" t="s">
        <v>14008</v>
      </c>
      <c r="T1486" s="23" t="s">
        <v>14014</v>
      </c>
    </row>
    <row r="1487" spans="1:20" x14ac:dyDescent="0.2">
      <c r="A1487" s="23" t="s">
        <v>92</v>
      </c>
      <c r="C1487" s="23" t="s">
        <v>9352</v>
      </c>
      <c r="D1487" s="23" t="s">
        <v>9353</v>
      </c>
      <c r="E1487" s="23" t="s">
        <v>9354</v>
      </c>
      <c r="G1487" s="23" t="s">
        <v>9355</v>
      </c>
      <c r="K1487" s="23" t="s">
        <v>9356</v>
      </c>
      <c r="L1487" s="23" t="s">
        <v>9357</v>
      </c>
    </row>
    <row r="1488" spans="1:20" x14ac:dyDescent="0.2">
      <c r="A1488" s="23" t="s">
        <v>92</v>
      </c>
      <c r="C1488" s="23" t="s">
        <v>9388</v>
      </c>
      <c r="D1488" s="23" t="s">
        <v>9389</v>
      </c>
      <c r="E1488" s="23" t="s">
        <v>9390</v>
      </c>
      <c r="G1488" s="23" t="s">
        <v>9391</v>
      </c>
      <c r="K1488" s="23" t="s">
        <v>9392</v>
      </c>
      <c r="L1488" s="23" t="s">
        <v>9393</v>
      </c>
      <c r="M1488" s="23" t="s">
        <v>9394</v>
      </c>
      <c r="N1488" s="23" t="s">
        <v>9395</v>
      </c>
      <c r="T1488" s="23" t="s">
        <v>9396</v>
      </c>
    </row>
    <row r="1489" spans="1:20" x14ac:dyDescent="0.2">
      <c r="A1489" s="23" t="s">
        <v>92</v>
      </c>
      <c r="C1489" s="23" t="s">
        <v>9397</v>
      </c>
      <c r="D1489" s="23" t="s">
        <v>9398</v>
      </c>
      <c r="E1489" s="23" t="s">
        <v>9399</v>
      </c>
      <c r="G1489" s="23" t="s">
        <v>9400</v>
      </c>
      <c r="K1489" s="23" t="s">
        <v>9401</v>
      </c>
      <c r="L1489" s="23" t="s">
        <v>9402</v>
      </c>
      <c r="M1489" s="23" t="s">
        <v>9403</v>
      </c>
      <c r="N1489" s="23" t="s">
        <v>9404</v>
      </c>
    </row>
    <row r="1490" spans="1:20" x14ac:dyDescent="0.2">
      <c r="A1490" s="23" t="s">
        <v>92</v>
      </c>
      <c r="C1490" s="23" t="s">
        <v>9405</v>
      </c>
      <c r="D1490" s="23" t="s">
        <v>9406</v>
      </c>
      <c r="E1490" s="23" t="s">
        <v>9407</v>
      </c>
      <c r="G1490" s="23" t="s">
        <v>9408</v>
      </c>
      <c r="K1490" s="23" t="s">
        <v>9409</v>
      </c>
      <c r="L1490" s="23" t="s">
        <v>9410</v>
      </c>
      <c r="O1490" s="23" t="s">
        <v>12266</v>
      </c>
      <c r="P1490" s="23" t="s">
        <v>9411</v>
      </c>
      <c r="Q1490" s="23" t="s">
        <v>9412</v>
      </c>
      <c r="R1490" s="23" t="s">
        <v>9413</v>
      </c>
      <c r="S1490" s="23" t="s">
        <v>9414</v>
      </c>
      <c r="T1490" s="23" t="s">
        <v>9415</v>
      </c>
    </row>
    <row r="1491" spans="1:20" x14ac:dyDescent="0.2">
      <c r="A1491" s="23" t="s">
        <v>92</v>
      </c>
      <c r="C1491" s="23" t="s">
        <v>9416</v>
      </c>
      <c r="D1491" s="23" t="s">
        <v>9417</v>
      </c>
      <c r="E1491" s="23" t="s">
        <v>9418</v>
      </c>
      <c r="G1491" s="23" t="s">
        <v>9419</v>
      </c>
      <c r="K1491" s="23" t="s">
        <v>9420</v>
      </c>
      <c r="L1491" s="23" t="s">
        <v>9421</v>
      </c>
      <c r="O1491" s="23" t="s">
        <v>12086</v>
      </c>
      <c r="P1491" s="23" t="s">
        <v>14135</v>
      </c>
      <c r="Q1491" s="23" t="s">
        <v>14141</v>
      </c>
      <c r="R1491" s="23" t="s">
        <v>14147</v>
      </c>
      <c r="S1491" s="23" t="s">
        <v>14153</v>
      </c>
      <c r="T1491" s="23" t="s">
        <v>14159</v>
      </c>
    </row>
    <row r="1492" spans="1:20" x14ac:dyDescent="0.2">
      <c r="A1492" s="23" t="s">
        <v>92</v>
      </c>
      <c r="C1492" s="23" t="s">
        <v>9422</v>
      </c>
      <c r="D1492" s="23" t="s">
        <v>9423</v>
      </c>
      <c r="E1492" s="23" t="s">
        <v>9424</v>
      </c>
      <c r="G1492" s="23" t="s">
        <v>9425</v>
      </c>
      <c r="K1492" s="23" t="s">
        <v>9426</v>
      </c>
      <c r="L1492" s="23" t="s">
        <v>9427</v>
      </c>
      <c r="O1492" s="23" t="s">
        <v>12267</v>
      </c>
      <c r="P1492" s="23" t="s">
        <v>14136</v>
      </c>
      <c r="Q1492" s="23" t="s">
        <v>14142</v>
      </c>
      <c r="R1492" s="23" t="s">
        <v>14148</v>
      </c>
      <c r="S1492" s="23" t="s">
        <v>14154</v>
      </c>
      <c r="T1492" s="23" t="s">
        <v>14160</v>
      </c>
    </row>
    <row r="1493" spans="1:20" x14ac:dyDescent="0.2">
      <c r="A1493" s="23" t="s">
        <v>92</v>
      </c>
      <c r="C1493" s="23" t="s">
        <v>9428</v>
      </c>
      <c r="D1493" s="23" t="s">
        <v>9429</v>
      </c>
      <c r="E1493" s="23" t="s">
        <v>9430</v>
      </c>
      <c r="G1493" s="23" t="s">
        <v>9431</v>
      </c>
      <c r="K1493" s="23" t="s">
        <v>9432</v>
      </c>
      <c r="L1493" s="23" t="s">
        <v>9433</v>
      </c>
      <c r="O1493" s="23" t="s">
        <v>11524</v>
      </c>
      <c r="P1493" s="23" t="s">
        <v>14137</v>
      </c>
      <c r="Q1493" s="23" t="s">
        <v>14143</v>
      </c>
      <c r="R1493" s="23" t="s">
        <v>14149</v>
      </c>
      <c r="S1493" s="23" t="s">
        <v>14155</v>
      </c>
      <c r="T1493" s="23" t="s">
        <v>14161</v>
      </c>
    </row>
    <row r="1494" spans="1:20" x14ac:dyDescent="0.2">
      <c r="A1494" s="23" t="s">
        <v>92</v>
      </c>
      <c r="C1494" s="23" t="s">
        <v>9434</v>
      </c>
      <c r="D1494" s="23" t="s">
        <v>9435</v>
      </c>
      <c r="E1494" s="23" t="s">
        <v>9436</v>
      </c>
      <c r="G1494" s="23" t="s">
        <v>9437</v>
      </c>
      <c r="K1494" s="23" t="s">
        <v>9438</v>
      </c>
      <c r="L1494" s="23" t="s">
        <v>9439</v>
      </c>
      <c r="O1494" s="23" t="s">
        <v>11846</v>
      </c>
      <c r="P1494" s="23" t="s">
        <v>14138</v>
      </c>
      <c r="Q1494" s="23" t="s">
        <v>14144</v>
      </c>
      <c r="R1494" s="23" t="s">
        <v>14150</v>
      </c>
      <c r="S1494" s="23" t="s">
        <v>14156</v>
      </c>
      <c r="T1494" s="23" t="s">
        <v>14162</v>
      </c>
    </row>
    <row r="1495" spans="1:20" x14ac:dyDescent="0.2">
      <c r="A1495" s="23" t="s">
        <v>92</v>
      </c>
      <c r="C1495" s="23" t="s">
        <v>9440</v>
      </c>
      <c r="D1495" s="23" t="s">
        <v>9441</v>
      </c>
      <c r="E1495" s="23" t="s">
        <v>9442</v>
      </c>
      <c r="G1495" s="23" t="s">
        <v>9443</v>
      </c>
      <c r="K1495" s="23" t="s">
        <v>9444</v>
      </c>
      <c r="L1495" s="23" t="s">
        <v>9445</v>
      </c>
      <c r="O1495" s="23" t="s">
        <v>11567</v>
      </c>
      <c r="P1495" s="23" t="s">
        <v>14139</v>
      </c>
      <c r="Q1495" s="23" t="s">
        <v>14145</v>
      </c>
      <c r="R1495" s="23" t="s">
        <v>14151</v>
      </c>
      <c r="S1495" s="23" t="s">
        <v>14157</v>
      </c>
      <c r="T1495" s="23" t="s">
        <v>14163</v>
      </c>
    </row>
    <row r="1496" spans="1:20" x14ac:dyDescent="0.2">
      <c r="A1496" s="23" t="s">
        <v>92</v>
      </c>
      <c r="C1496" s="23" t="s">
        <v>9446</v>
      </c>
      <c r="D1496" s="23" t="s">
        <v>9447</v>
      </c>
      <c r="E1496" s="23" t="s">
        <v>9448</v>
      </c>
      <c r="G1496" s="23" t="s">
        <v>9449</v>
      </c>
      <c r="K1496" s="23" t="s">
        <v>9450</v>
      </c>
      <c r="L1496" s="23" t="s">
        <v>9451</v>
      </c>
      <c r="O1496" s="23" t="s">
        <v>12268</v>
      </c>
      <c r="P1496" s="23" t="s">
        <v>14140</v>
      </c>
      <c r="Q1496" s="23" t="s">
        <v>14146</v>
      </c>
      <c r="R1496" s="23" t="s">
        <v>14152</v>
      </c>
      <c r="S1496" s="23" t="s">
        <v>14158</v>
      </c>
      <c r="T1496" s="23" t="s">
        <v>14164</v>
      </c>
    </row>
    <row r="1497" spans="1:20" x14ac:dyDescent="0.2">
      <c r="A1497" s="23" t="s">
        <v>92</v>
      </c>
      <c r="C1497" s="23" t="s">
        <v>9416</v>
      </c>
      <c r="D1497" s="23" t="s">
        <v>9417</v>
      </c>
      <c r="E1497" s="23" t="s">
        <v>9418</v>
      </c>
      <c r="G1497" s="23" t="s">
        <v>9419</v>
      </c>
      <c r="K1497" s="23" t="s">
        <v>9420</v>
      </c>
      <c r="L1497" s="23" t="s">
        <v>9421</v>
      </c>
    </row>
    <row r="1498" spans="1:20" x14ac:dyDescent="0.2">
      <c r="A1498" s="23" t="s">
        <v>92</v>
      </c>
      <c r="C1498" s="23" t="s">
        <v>9452</v>
      </c>
      <c r="D1498" s="23" t="s">
        <v>9453</v>
      </c>
      <c r="E1498" s="23" t="s">
        <v>9454</v>
      </c>
      <c r="G1498" s="23" t="s">
        <v>9455</v>
      </c>
      <c r="K1498" s="23" t="s">
        <v>9456</v>
      </c>
      <c r="L1498" s="23" t="s">
        <v>9457</v>
      </c>
      <c r="M1498" s="23" t="s">
        <v>9458</v>
      </c>
      <c r="N1498" s="23" t="s">
        <v>9459</v>
      </c>
      <c r="T1498" s="23" t="s">
        <v>9460</v>
      </c>
    </row>
    <row r="1499" spans="1:20" x14ac:dyDescent="0.2">
      <c r="A1499" s="23" t="s">
        <v>92</v>
      </c>
      <c r="C1499" s="23" t="s">
        <v>9461</v>
      </c>
      <c r="D1499" s="23" t="s">
        <v>9462</v>
      </c>
      <c r="E1499" s="23" t="s">
        <v>9463</v>
      </c>
      <c r="G1499" s="23" t="s">
        <v>9464</v>
      </c>
      <c r="K1499" s="23" t="s">
        <v>9465</v>
      </c>
      <c r="L1499" s="23" t="s">
        <v>9466</v>
      </c>
      <c r="M1499" s="23" t="s">
        <v>9467</v>
      </c>
      <c r="N1499" s="23" t="s">
        <v>9468</v>
      </c>
    </row>
    <row r="1500" spans="1:20" x14ac:dyDescent="0.2">
      <c r="A1500" s="23" t="s">
        <v>92</v>
      </c>
      <c r="C1500" s="23" t="s">
        <v>9469</v>
      </c>
      <c r="D1500" s="23" t="s">
        <v>9470</v>
      </c>
      <c r="E1500" s="23" t="s">
        <v>9471</v>
      </c>
      <c r="G1500" s="23" t="s">
        <v>9472</v>
      </c>
      <c r="K1500" s="23" t="s">
        <v>9473</v>
      </c>
      <c r="L1500" s="23" t="s">
        <v>9474</v>
      </c>
      <c r="O1500" s="23" t="s">
        <v>12269</v>
      </c>
      <c r="P1500" s="23" t="s">
        <v>9475</v>
      </c>
      <c r="Q1500" s="23" t="s">
        <v>9476</v>
      </c>
      <c r="R1500" s="23" t="s">
        <v>9477</v>
      </c>
      <c r="S1500" s="23" t="s">
        <v>9478</v>
      </c>
      <c r="T1500" s="23" t="s">
        <v>9479</v>
      </c>
    </row>
    <row r="1501" spans="1:20" x14ac:dyDescent="0.2">
      <c r="A1501" s="23" t="s">
        <v>92</v>
      </c>
      <c r="C1501" s="23" t="s">
        <v>9480</v>
      </c>
      <c r="D1501" s="23" t="s">
        <v>9481</v>
      </c>
      <c r="E1501" s="23" t="s">
        <v>9482</v>
      </c>
      <c r="G1501" s="23" t="s">
        <v>9483</v>
      </c>
      <c r="K1501" s="23" t="s">
        <v>9484</v>
      </c>
      <c r="L1501" s="23" t="s">
        <v>9485</v>
      </c>
      <c r="O1501" s="23" t="s">
        <v>12090</v>
      </c>
      <c r="P1501" s="23" t="s">
        <v>14105</v>
      </c>
      <c r="Q1501" s="23" t="s">
        <v>14111</v>
      </c>
      <c r="R1501" s="23" t="s">
        <v>14117</v>
      </c>
      <c r="S1501" s="23" t="s">
        <v>14123</v>
      </c>
      <c r="T1501" s="23" t="s">
        <v>14129</v>
      </c>
    </row>
    <row r="1502" spans="1:20" x14ac:dyDescent="0.2">
      <c r="A1502" s="23" t="s">
        <v>92</v>
      </c>
      <c r="C1502" s="23" t="s">
        <v>9486</v>
      </c>
      <c r="D1502" s="23" t="s">
        <v>9487</v>
      </c>
      <c r="E1502" s="23" t="s">
        <v>9488</v>
      </c>
      <c r="G1502" s="23" t="s">
        <v>9489</v>
      </c>
      <c r="K1502" s="23" t="s">
        <v>9490</v>
      </c>
      <c r="L1502" s="23" t="s">
        <v>9491</v>
      </c>
      <c r="O1502" s="23" t="s">
        <v>12270</v>
      </c>
      <c r="P1502" s="23" t="s">
        <v>14106</v>
      </c>
      <c r="Q1502" s="23" t="s">
        <v>14112</v>
      </c>
      <c r="R1502" s="23" t="s">
        <v>14118</v>
      </c>
      <c r="S1502" s="23" t="s">
        <v>14124</v>
      </c>
      <c r="T1502" s="23" t="s">
        <v>14130</v>
      </c>
    </row>
    <row r="1503" spans="1:20" x14ac:dyDescent="0.2">
      <c r="A1503" s="23" t="s">
        <v>92</v>
      </c>
      <c r="C1503" s="23" t="s">
        <v>9492</v>
      </c>
      <c r="D1503" s="23" t="s">
        <v>9493</v>
      </c>
      <c r="E1503" s="23" t="s">
        <v>9494</v>
      </c>
      <c r="G1503" s="23" t="s">
        <v>9495</v>
      </c>
      <c r="K1503" s="23" t="s">
        <v>9496</v>
      </c>
      <c r="L1503" s="23" t="s">
        <v>9497</v>
      </c>
      <c r="O1503" s="23" t="s">
        <v>11531</v>
      </c>
      <c r="P1503" s="23" t="s">
        <v>14107</v>
      </c>
      <c r="Q1503" s="23" t="s">
        <v>14113</v>
      </c>
      <c r="R1503" s="23" t="s">
        <v>14119</v>
      </c>
      <c r="S1503" s="23" t="s">
        <v>14125</v>
      </c>
      <c r="T1503" s="23" t="s">
        <v>14131</v>
      </c>
    </row>
    <row r="1504" spans="1:20" x14ac:dyDescent="0.2">
      <c r="A1504" s="23" t="s">
        <v>92</v>
      </c>
      <c r="C1504" s="23" t="s">
        <v>9498</v>
      </c>
      <c r="D1504" s="23" t="s">
        <v>9499</v>
      </c>
      <c r="E1504" s="23" t="s">
        <v>9500</v>
      </c>
      <c r="G1504" s="23" t="s">
        <v>9501</v>
      </c>
      <c r="K1504" s="23" t="s">
        <v>9502</v>
      </c>
      <c r="L1504" s="23" t="s">
        <v>9503</v>
      </c>
      <c r="O1504" s="23" t="s">
        <v>11851</v>
      </c>
      <c r="P1504" s="23" t="s">
        <v>14108</v>
      </c>
      <c r="Q1504" s="23" t="s">
        <v>14114</v>
      </c>
      <c r="R1504" s="23" t="s">
        <v>14120</v>
      </c>
      <c r="S1504" s="23" t="s">
        <v>14126</v>
      </c>
      <c r="T1504" s="23" t="s">
        <v>14132</v>
      </c>
    </row>
    <row r="1505" spans="1:20" x14ac:dyDescent="0.2">
      <c r="A1505" s="23" t="s">
        <v>92</v>
      </c>
      <c r="C1505" s="23" t="s">
        <v>9504</v>
      </c>
      <c r="D1505" s="23" t="s">
        <v>9505</v>
      </c>
      <c r="E1505" s="23" t="s">
        <v>9506</v>
      </c>
      <c r="G1505" s="23" t="s">
        <v>9507</v>
      </c>
      <c r="K1505" s="23" t="s">
        <v>9508</v>
      </c>
      <c r="L1505" s="23" t="s">
        <v>9509</v>
      </c>
      <c r="O1505" s="23" t="s">
        <v>11573</v>
      </c>
      <c r="P1505" s="23" t="s">
        <v>14109</v>
      </c>
      <c r="Q1505" s="23" t="s">
        <v>14115</v>
      </c>
      <c r="R1505" s="23" t="s">
        <v>14121</v>
      </c>
      <c r="S1505" s="23" t="s">
        <v>14127</v>
      </c>
      <c r="T1505" s="23" t="s">
        <v>14133</v>
      </c>
    </row>
    <row r="1506" spans="1:20" x14ac:dyDescent="0.2">
      <c r="A1506" s="23" t="s">
        <v>92</v>
      </c>
      <c r="C1506" s="23" t="s">
        <v>9510</v>
      </c>
      <c r="D1506" s="23" t="s">
        <v>9511</v>
      </c>
      <c r="E1506" s="23" t="s">
        <v>9512</v>
      </c>
      <c r="G1506" s="23" t="s">
        <v>9513</v>
      </c>
      <c r="K1506" s="23" t="s">
        <v>9514</v>
      </c>
      <c r="L1506" s="23" t="s">
        <v>9515</v>
      </c>
      <c r="O1506" s="23" t="s">
        <v>12271</v>
      </c>
      <c r="P1506" s="23" t="s">
        <v>14110</v>
      </c>
      <c r="Q1506" s="23" t="s">
        <v>14116</v>
      </c>
      <c r="R1506" s="23" t="s">
        <v>14122</v>
      </c>
      <c r="S1506" s="23" t="s">
        <v>14128</v>
      </c>
      <c r="T1506" s="23" t="s">
        <v>14134</v>
      </c>
    </row>
    <row r="1507" spans="1:20" x14ac:dyDescent="0.2">
      <c r="A1507" s="23" t="s">
        <v>92</v>
      </c>
      <c r="C1507" s="23" t="s">
        <v>9480</v>
      </c>
      <c r="D1507" s="23" t="s">
        <v>9481</v>
      </c>
      <c r="E1507" s="23" t="s">
        <v>9482</v>
      </c>
      <c r="G1507" s="23" t="s">
        <v>9483</v>
      </c>
      <c r="K1507" s="23" t="s">
        <v>9484</v>
      </c>
      <c r="L1507" s="23" t="s">
        <v>9485</v>
      </c>
    </row>
    <row r="1508" spans="1:20" x14ac:dyDescent="0.2">
      <c r="A1508" s="23" t="s">
        <v>92</v>
      </c>
      <c r="C1508" s="23" t="s">
        <v>9516</v>
      </c>
      <c r="D1508" s="23" t="s">
        <v>9517</v>
      </c>
      <c r="E1508" s="23" t="s">
        <v>9518</v>
      </c>
      <c r="G1508" s="23" t="s">
        <v>9519</v>
      </c>
      <c r="K1508" s="23" t="s">
        <v>9520</v>
      </c>
      <c r="L1508" s="23" t="s">
        <v>9521</v>
      </c>
      <c r="M1508" s="23" t="s">
        <v>9522</v>
      </c>
      <c r="N1508" s="23" t="s">
        <v>9523</v>
      </c>
      <c r="T1508" s="23" t="s">
        <v>9524</v>
      </c>
    </row>
    <row r="1509" spans="1:20" x14ac:dyDescent="0.2">
      <c r="A1509" s="23" t="s">
        <v>92</v>
      </c>
      <c r="C1509" s="23" t="s">
        <v>9525</v>
      </c>
      <c r="D1509" s="23" t="s">
        <v>9526</v>
      </c>
      <c r="E1509" s="23" t="s">
        <v>9527</v>
      </c>
      <c r="G1509" s="23" t="s">
        <v>9528</v>
      </c>
      <c r="K1509" s="23" t="s">
        <v>9529</v>
      </c>
      <c r="L1509" s="23" t="s">
        <v>9530</v>
      </c>
      <c r="M1509" s="23" t="s">
        <v>9531</v>
      </c>
      <c r="N1509" s="23" t="s">
        <v>9532</v>
      </c>
    </row>
    <row r="1510" spans="1:20" x14ac:dyDescent="0.2">
      <c r="A1510" s="23" t="s">
        <v>92</v>
      </c>
      <c r="C1510" s="23" t="s">
        <v>9533</v>
      </c>
      <c r="D1510" s="23" t="s">
        <v>9534</v>
      </c>
      <c r="E1510" s="23" t="s">
        <v>9535</v>
      </c>
      <c r="G1510" s="23" t="s">
        <v>9536</v>
      </c>
      <c r="K1510" s="23" t="s">
        <v>9537</v>
      </c>
      <c r="L1510" s="23" t="s">
        <v>9538</v>
      </c>
      <c r="O1510" s="23" t="s">
        <v>12272</v>
      </c>
      <c r="P1510" s="23" t="s">
        <v>9539</v>
      </c>
      <c r="Q1510" s="23" t="s">
        <v>9540</v>
      </c>
      <c r="R1510" s="23" t="s">
        <v>9541</v>
      </c>
      <c r="S1510" s="23" t="s">
        <v>9542</v>
      </c>
      <c r="T1510" s="23" t="s">
        <v>9543</v>
      </c>
    </row>
    <row r="1511" spans="1:20" x14ac:dyDescent="0.2">
      <c r="A1511" s="23" t="s">
        <v>92</v>
      </c>
      <c r="C1511" s="23" t="s">
        <v>9544</v>
      </c>
      <c r="D1511" s="23" t="s">
        <v>9545</v>
      </c>
      <c r="E1511" s="23" t="s">
        <v>9546</v>
      </c>
      <c r="G1511" s="23" t="s">
        <v>9547</v>
      </c>
      <c r="K1511" s="23" t="s">
        <v>9548</v>
      </c>
      <c r="L1511" s="23" t="s">
        <v>9549</v>
      </c>
      <c r="O1511" s="23" t="s">
        <v>12094</v>
      </c>
      <c r="P1511" s="23" t="s">
        <v>14075</v>
      </c>
      <c r="Q1511" s="23" t="s">
        <v>14081</v>
      </c>
      <c r="R1511" s="23" t="s">
        <v>14087</v>
      </c>
      <c r="S1511" s="23" t="s">
        <v>14093</v>
      </c>
      <c r="T1511" s="23" t="s">
        <v>14099</v>
      </c>
    </row>
    <row r="1512" spans="1:20" x14ac:dyDescent="0.2">
      <c r="A1512" s="23" t="s">
        <v>92</v>
      </c>
      <c r="C1512" s="23" t="s">
        <v>9550</v>
      </c>
      <c r="D1512" s="23" t="s">
        <v>9551</v>
      </c>
      <c r="E1512" s="23" t="s">
        <v>9552</v>
      </c>
      <c r="G1512" s="23" t="s">
        <v>9553</v>
      </c>
      <c r="K1512" s="23" t="s">
        <v>9554</v>
      </c>
      <c r="L1512" s="23" t="s">
        <v>9555</v>
      </c>
      <c r="O1512" s="23" t="s">
        <v>12273</v>
      </c>
      <c r="P1512" s="23" t="s">
        <v>14076</v>
      </c>
      <c r="Q1512" s="23" t="s">
        <v>14082</v>
      </c>
      <c r="R1512" s="23" t="s">
        <v>14088</v>
      </c>
      <c r="S1512" s="23" t="s">
        <v>14094</v>
      </c>
      <c r="T1512" s="23" t="s">
        <v>14100</v>
      </c>
    </row>
    <row r="1513" spans="1:20" x14ac:dyDescent="0.2">
      <c r="A1513" s="23" t="s">
        <v>92</v>
      </c>
      <c r="C1513" s="23" t="s">
        <v>9556</v>
      </c>
      <c r="D1513" s="23" t="s">
        <v>9557</v>
      </c>
      <c r="E1513" s="23" t="s">
        <v>9558</v>
      </c>
      <c r="G1513" s="23" t="s">
        <v>9559</v>
      </c>
      <c r="K1513" s="23" t="s">
        <v>9560</v>
      </c>
      <c r="L1513" s="23" t="s">
        <v>9561</v>
      </c>
      <c r="O1513" s="23" t="s">
        <v>11538</v>
      </c>
      <c r="P1513" s="23" t="s">
        <v>14077</v>
      </c>
      <c r="Q1513" s="23" t="s">
        <v>14083</v>
      </c>
      <c r="R1513" s="23" t="s">
        <v>14089</v>
      </c>
      <c r="S1513" s="23" t="s">
        <v>14095</v>
      </c>
      <c r="T1513" s="23" t="s">
        <v>14101</v>
      </c>
    </row>
    <row r="1514" spans="1:20" x14ac:dyDescent="0.2">
      <c r="A1514" s="23" t="s">
        <v>92</v>
      </c>
      <c r="C1514" s="23" t="s">
        <v>9562</v>
      </c>
      <c r="D1514" s="23" t="s">
        <v>9563</v>
      </c>
      <c r="E1514" s="23" t="s">
        <v>9564</v>
      </c>
      <c r="G1514" s="23" t="s">
        <v>9565</v>
      </c>
      <c r="K1514" s="23" t="s">
        <v>9566</v>
      </c>
      <c r="L1514" s="23" t="s">
        <v>9567</v>
      </c>
      <c r="O1514" s="23" t="s">
        <v>11856</v>
      </c>
      <c r="P1514" s="23" t="s">
        <v>14078</v>
      </c>
      <c r="Q1514" s="23" t="s">
        <v>14084</v>
      </c>
      <c r="R1514" s="23" t="s">
        <v>14090</v>
      </c>
      <c r="S1514" s="23" t="s">
        <v>14096</v>
      </c>
      <c r="T1514" s="23" t="s">
        <v>14102</v>
      </c>
    </row>
    <row r="1515" spans="1:20" x14ac:dyDescent="0.2">
      <c r="A1515" s="23" t="s">
        <v>92</v>
      </c>
      <c r="C1515" s="23" t="s">
        <v>9568</v>
      </c>
      <c r="D1515" s="23" t="s">
        <v>9569</v>
      </c>
      <c r="E1515" s="23" t="s">
        <v>9570</v>
      </c>
      <c r="G1515" s="23" t="s">
        <v>9571</v>
      </c>
      <c r="K1515" s="23" t="s">
        <v>9572</v>
      </c>
      <c r="L1515" s="23" t="s">
        <v>9573</v>
      </c>
      <c r="O1515" s="23" t="s">
        <v>11578</v>
      </c>
      <c r="P1515" s="23" t="s">
        <v>14079</v>
      </c>
      <c r="Q1515" s="23" t="s">
        <v>14085</v>
      </c>
      <c r="R1515" s="23" t="s">
        <v>14091</v>
      </c>
      <c r="S1515" s="23" t="s">
        <v>14097</v>
      </c>
      <c r="T1515" s="23" t="s">
        <v>14103</v>
      </c>
    </row>
    <row r="1516" spans="1:20" x14ac:dyDescent="0.2">
      <c r="A1516" s="23" t="s">
        <v>92</v>
      </c>
      <c r="C1516" s="23" t="s">
        <v>9574</v>
      </c>
      <c r="D1516" s="23" t="s">
        <v>9575</v>
      </c>
      <c r="E1516" s="23" t="s">
        <v>9576</v>
      </c>
      <c r="G1516" s="23" t="s">
        <v>9577</v>
      </c>
      <c r="K1516" s="23" t="s">
        <v>9578</v>
      </c>
      <c r="L1516" s="23" t="s">
        <v>9579</v>
      </c>
      <c r="O1516" s="23" t="s">
        <v>12274</v>
      </c>
      <c r="P1516" s="23" t="s">
        <v>14080</v>
      </c>
      <c r="Q1516" s="23" t="s">
        <v>14086</v>
      </c>
      <c r="R1516" s="23" t="s">
        <v>14092</v>
      </c>
      <c r="S1516" s="23" t="s">
        <v>14098</v>
      </c>
      <c r="T1516" s="23" t="s">
        <v>14104</v>
      </c>
    </row>
    <row r="1517" spans="1:20" x14ac:dyDescent="0.2">
      <c r="A1517" s="23" t="s">
        <v>92</v>
      </c>
      <c r="C1517" s="23" t="s">
        <v>9544</v>
      </c>
      <c r="D1517" s="23" t="s">
        <v>9545</v>
      </c>
      <c r="E1517" s="23" t="s">
        <v>9546</v>
      </c>
      <c r="G1517" s="23" t="s">
        <v>9547</v>
      </c>
      <c r="K1517" s="23" t="s">
        <v>9548</v>
      </c>
      <c r="L1517" s="23" t="s">
        <v>9549</v>
      </c>
    </row>
    <row r="1518" spans="1:20" x14ac:dyDescent="0.2">
      <c r="A1518" s="23" t="s">
        <v>92</v>
      </c>
      <c r="C1518" s="23" t="s">
        <v>9580</v>
      </c>
      <c r="D1518" s="23" t="s">
        <v>9581</v>
      </c>
      <c r="E1518" s="23" t="s">
        <v>9582</v>
      </c>
      <c r="G1518" s="23" t="s">
        <v>9583</v>
      </c>
      <c r="K1518" s="23" t="s">
        <v>9584</v>
      </c>
      <c r="L1518" s="23" t="s">
        <v>9585</v>
      </c>
      <c r="M1518" s="23" t="s">
        <v>9586</v>
      </c>
      <c r="N1518" s="23" t="s">
        <v>9587</v>
      </c>
      <c r="T1518" s="23" t="s">
        <v>9588</v>
      </c>
    </row>
    <row r="1519" spans="1:20" x14ac:dyDescent="0.2">
      <c r="A1519" s="23" t="s">
        <v>92</v>
      </c>
      <c r="C1519" s="23" t="s">
        <v>9589</v>
      </c>
      <c r="D1519" s="23" t="s">
        <v>9590</v>
      </c>
      <c r="E1519" s="23" t="s">
        <v>9591</v>
      </c>
      <c r="G1519" s="23" t="s">
        <v>9592</v>
      </c>
      <c r="K1519" s="23" t="s">
        <v>9593</v>
      </c>
      <c r="L1519" s="23" t="s">
        <v>9594</v>
      </c>
      <c r="M1519" s="23" t="s">
        <v>9595</v>
      </c>
      <c r="N1519" s="23" t="s">
        <v>9596</v>
      </c>
    </row>
    <row r="1520" spans="1:20" x14ac:dyDescent="0.2">
      <c r="A1520" s="23" t="s">
        <v>92</v>
      </c>
      <c r="C1520" s="23" t="s">
        <v>9597</v>
      </c>
      <c r="D1520" s="23" t="s">
        <v>9598</v>
      </c>
      <c r="E1520" s="23" t="s">
        <v>9599</v>
      </c>
      <c r="G1520" s="23" t="s">
        <v>9600</v>
      </c>
      <c r="K1520" s="23" t="s">
        <v>9601</v>
      </c>
      <c r="L1520" s="23" t="s">
        <v>9602</v>
      </c>
      <c r="O1520" s="23" t="s">
        <v>12275</v>
      </c>
      <c r="P1520" s="23" t="s">
        <v>9603</v>
      </c>
      <c r="Q1520" s="23" t="s">
        <v>9604</v>
      </c>
      <c r="R1520" s="23" t="s">
        <v>9605</v>
      </c>
      <c r="S1520" s="23" t="s">
        <v>9606</v>
      </c>
      <c r="T1520" s="23" t="s">
        <v>9607</v>
      </c>
    </row>
    <row r="1521" spans="1:20" x14ac:dyDescent="0.2">
      <c r="A1521" s="23" t="s">
        <v>92</v>
      </c>
      <c r="C1521" s="23" t="s">
        <v>9608</v>
      </c>
      <c r="D1521" s="23" t="s">
        <v>9609</v>
      </c>
      <c r="E1521" s="23" t="s">
        <v>9610</v>
      </c>
      <c r="G1521" s="23" t="s">
        <v>9611</v>
      </c>
      <c r="K1521" s="23" t="s">
        <v>9612</v>
      </c>
      <c r="L1521" s="23" t="s">
        <v>9613</v>
      </c>
      <c r="O1521" s="23" t="s">
        <v>12098</v>
      </c>
      <c r="P1521" s="23" t="s">
        <v>14045</v>
      </c>
      <c r="Q1521" s="23" t="s">
        <v>14051</v>
      </c>
      <c r="R1521" s="23" t="s">
        <v>14057</v>
      </c>
      <c r="S1521" s="23" t="s">
        <v>14063</v>
      </c>
      <c r="T1521" s="23" t="s">
        <v>14069</v>
      </c>
    </row>
    <row r="1522" spans="1:20" x14ac:dyDescent="0.2">
      <c r="A1522" s="23" t="s">
        <v>92</v>
      </c>
      <c r="C1522" s="23" t="s">
        <v>9614</v>
      </c>
      <c r="D1522" s="23" t="s">
        <v>9615</v>
      </c>
      <c r="E1522" s="23" t="s">
        <v>9616</v>
      </c>
      <c r="G1522" s="23" t="s">
        <v>9617</v>
      </c>
      <c r="K1522" s="23" t="s">
        <v>9618</v>
      </c>
      <c r="L1522" s="23" t="s">
        <v>9619</v>
      </c>
      <c r="O1522" s="23" t="s">
        <v>12276</v>
      </c>
      <c r="P1522" s="23" t="s">
        <v>14046</v>
      </c>
      <c r="Q1522" s="23" t="s">
        <v>14052</v>
      </c>
      <c r="R1522" s="23" t="s">
        <v>14058</v>
      </c>
      <c r="S1522" s="23" t="s">
        <v>14064</v>
      </c>
      <c r="T1522" s="23" t="s">
        <v>14070</v>
      </c>
    </row>
    <row r="1523" spans="1:20" x14ac:dyDescent="0.2">
      <c r="A1523" s="23" t="s">
        <v>92</v>
      </c>
      <c r="C1523" s="23" t="s">
        <v>9620</v>
      </c>
      <c r="D1523" s="23" t="s">
        <v>9621</v>
      </c>
      <c r="E1523" s="23" t="s">
        <v>9622</v>
      </c>
      <c r="G1523" s="23" t="s">
        <v>9623</v>
      </c>
      <c r="K1523" s="23" t="s">
        <v>9624</v>
      </c>
      <c r="L1523" s="23" t="s">
        <v>9625</v>
      </c>
      <c r="O1523" s="23" t="s">
        <v>11546</v>
      </c>
      <c r="P1523" s="23" t="s">
        <v>14047</v>
      </c>
      <c r="Q1523" s="23" t="s">
        <v>14053</v>
      </c>
      <c r="R1523" s="23" t="s">
        <v>14059</v>
      </c>
      <c r="S1523" s="23" t="s">
        <v>14065</v>
      </c>
      <c r="T1523" s="23" t="s">
        <v>14071</v>
      </c>
    </row>
    <row r="1524" spans="1:20" x14ac:dyDescent="0.2">
      <c r="A1524" s="23" t="s">
        <v>92</v>
      </c>
      <c r="C1524" s="23" t="s">
        <v>9626</v>
      </c>
      <c r="D1524" s="23" t="s">
        <v>9627</v>
      </c>
      <c r="E1524" s="23" t="s">
        <v>9628</v>
      </c>
      <c r="G1524" s="23" t="s">
        <v>9629</v>
      </c>
      <c r="K1524" s="23" t="s">
        <v>9630</v>
      </c>
      <c r="L1524" s="23" t="s">
        <v>9631</v>
      </c>
      <c r="O1524" s="23" t="s">
        <v>11861</v>
      </c>
      <c r="P1524" s="23" t="s">
        <v>14048</v>
      </c>
      <c r="Q1524" s="23" t="s">
        <v>14054</v>
      </c>
      <c r="R1524" s="23" t="s">
        <v>14060</v>
      </c>
      <c r="S1524" s="23" t="s">
        <v>14066</v>
      </c>
      <c r="T1524" s="23" t="s">
        <v>14072</v>
      </c>
    </row>
    <row r="1525" spans="1:20" x14ac:dyDescent="0.2">
      <c r="A1525" s="23" t="s">
        <v>92</v>
      </c>
      <c r="C1525" s="23" t="s">
        <v>9632</v>
      </c>
      <c r="D1525" s="23" t="s">
        <v>9633</v>
      </c>
      <c r="E1525" s="23" t="s">
        <v>9634</v>
      </c>
      <c r="G1525" s="23" t="s">
        <v>9635</v>
      </c>
      <c r="K1525" s="23" t="s">
        <v>9636</v>
      </c>
      <c r="L1525" s="23" t="s">
        <v>9637</v>
      </c>
      <c r="O1525" s="23" t="s">
        <v>11583</v>
      </c>
      <c r="P1525" s="23" t="s">
        <v>14049</v>
      </c>
      <c r="Q1525" s="23" t="s">
        <v>14055</v>
      </c>
      <c r="R1525" s="23" t="s">
        <v>14061</v>
      </c>
      <c r="S1525" s="23" t="s">
        <v>14067</v>
      </c>
      <c r="T1525" s="23" t="s">
        <v>14073</v>
      </c>
    </row>
    <row r="1526" spans="1:20" x14ac:dyDescent="0.2">
      <c r="A1526" s="23" t="s">
        <v>92</v>
      </c>
      <c r="C1526" s="23" t="s">
        <v>9638</v>
      </c>
      <c r="D1526" s="23" t="s">
        <v>9639</v>
      </c>
      <c r="E1526" s="23" t="s">
        <v>9640</v>
      </c>
      <c r="G1526" s="23" t="s">
        <v>9641</v>
      </c>
      <c r="K1526" s="23" t="s">
        <v>9642</v>
      </c>
      <c r="L1526" s="23" t="s">
        <v>9643</v>
      </c>
      <c r="O1526" s="23" t="s">
        <v>12277</v>
      </c>
      <c r="P1526" s="23" t="s">
        <v>14050</v>
      </c>
      <c r="Q1526" s="23" t="s">
        <v>14056</v>
      </c>
      <c r="R1526" s="23" t="s">
        <v>14062</v>
      </c>
      <c r="S1526" s="23" t="s">
        <v>14068</v>
      </c>
      <c r="T1526" s="23" t="s">
        <v>14074</v>
      </c>
    </row>
    <row r="1527" spans="1:20" x14ac:dyDescent="0.2">
      <c r="A1527" s="23" t="s">
        <v>92</v>
      </c>
      <c r="C1527" s="23" t="s">
        <v>9608</v>
      </c>
      <c r="D1527" s="23" t="s">
        <v>9609</v>
      </c>
      <c r="E1527" s="23" t="s">
        <v>9610</v>
      </c>
      <c r="G1527" s="23" t="s">
        <v>9611</v>
      </c>
      <c r="K1527" s="23" t="s">
        <v>9612</v>
      </c>
      <c r="L1527" s="23" t="s">
        <v>9613</v>
      </c>
    </row>
    <row r="1528" spans="1:20" x14ac:dyDescent="0.2">
      <c r="A1528" s="23" t="s">
        <v>92</v>
      </c>
      <c r="C1528" s="23" t="s">
        <v>9644</v>
      </c>
      <c r="D1528" s="23" t="s">
        <v>9645</v>
      </c>
      <c r="E1528" s="23" t="s">
        <v>9646</v>
      </c>
      <c r="G1528" s="23" t="s">
        <v>9647</v>
      </c>
      <c r="K1528" s="23" t="s">
        <v>9648</v>
      </c>
      <c r="L1528" s="23" t="s">
        <v>9649</v>
      </c>
      <c r="M1528" s="23" t="s">
        <v>9650</v>
      </c>
      <c r="N1528" s="23" t="s">
        <v>9651</v>
      </c>
      <c r="T1528" s="23" t="s">
        <v>9652</v>
      </c>
    </row>
    <row r="1529" spans="1:20" x14ac:dyDescent="0.2">
      <c r="A1529" s="23" t="s">
        <v>92</v>
      </c>
      <c r="C1529" s="23" t="s">
        <v>9653</v>
      </c>
      <c r="D1529" s="23" t="s">
        <v>9654</v>
      </c>
      <c r="E1529" s="23" t="s">
        <v>9655</v>
      </c>
      <c r="G1529" s="23" t="s">
        <v>9656</v>
      </c>
      <c r="K1529" s="23" t="s">
        <v>9657</v>
      </c>
      <c r="L1529" s="23" t="s">
        <v>9658</v>
      </c>
      <c r="M1529" s="23" t="s">
        <v>9659</v>
      </c>
      <c r="N1529" s="23" t="s">
        <v>9660</v>
      </c>
    </row>
    <row r="1530" spans="1:20" x14ac:dyDescent="0.2">
      <c r="A1530" s="23" t="s">
        <v>92</v>
      </c>
      <c r="C1530" s="23" t="s">
        <v>9661</v>
      </c>
      <c r="D1530" s="23" t="s">
        <v>9662</v>
      </c>
      <c r="E1530" s="23" t="s">
        <v>9663</v>
      </c>
      <c r="G1530" s="23" t="s">
        <v>9664</v>
      </c>
      <c r="K1530" s="23" t="s">
        <v>9665</v>
      </c>
      <c r="L1530" s="23" t="s">
        <v>9666</v>
      </c>
      <c r="O1530" s="23" t="s">
        <v>12278</v>
      </c>
      <c r="P1530" s="23" t="s">
        <v>9667</v>
      </c>
      <c r="Q1530" s="23" t="s">
        <v>9668</v>
      </c>
      <c r="R1530" s="23" t="s">
        <v>9669</v>
      </c>
      <c r="S1530" s="23" t="s">
        <v>9670</v>
      </c>
      <c r="T1530" s="23" t="s">
        <v>9671</v>
      </c>
    </row>
    <row r="1531" spans="1:20" x14ac:dyDescent="0.2">
      <c r="A1531" s="23" t="s">
        <v>92</v>
      </c>
      <c r="C1531" s="23" t="s">
        <v>9672</v>
      </c>
      <c r="D1531" s="23" t="s">
        <v>9673</v>
      </c>
      <c r="E1531" s="23" t="s">
        <v>9674</v>
      </c>
      <c r="G1531" s="23" t="s">
        <v>9675</v>
      </c>
      <c r="K1531" s="23" t="s">
        <v>9676</v>
      </c>
      <c r="L1531" s="23" t="s">
        <v>9677</v>
      </c>
      <c r="O1531" s="23" t="s">
        <v>12102</v>
      </c>
      <c r="P1531" s="23" t="s">
        <v>14015</v>
      </c>
      <c r="Q1531" s="23" t="s">
        <v>14021</v>
      </c>
      <c r="R1531" s="23" t="s">
        <v>14027</v>
      </c>
      <c r="S1531" s="23" t="s">
        <v>14033</v>
      </c>
      <c r="T1531" s="23" t="s">
        <v>14039</v>
      </c>
    </row>
    <row r="1532" spans="1:20" x14ac:dyDescent="0.2">
      <c r="A1532" s="23" t="s">
        <v>92</v>
      </c>
      <c r="C1532" s="23" t="s">
        <v>9678</v>
      </c>
      <c r="D1532" s="23" t="s">
        <v>9679</v>
      </c>
      <c r="E1532" s="23" t="s">
        <v>9680</v>
      </c>
      <c r="G1532" s="23" t="s">
        <v>9681</v>
      </c>
      <c r="K1532" s="23" t="s">
        <v>9682</v>
      </c>
      <c r="L1532" s="23" t="s">
        <v>9683</v>
      </c>
      <c r="O1532" s="23" t="s">
        <v>12279</v>
      </c>
      <c r="P1532" s="23" t="s">
        <v>14016</v>
      </c>
      <c r="Q1532" s="23" t="s">
        <v>14022</v>
      </c>
      <c r="R1532" s="23" t="s">
        <v>14028</v>
      </c>
      <c r="S1532" s="23" t="s">
        <v>14034</v>
      </c>
      <c r="T1532" s="23" t="s">
        <v>14040</v>
      </c>
    </row>
    <row r="1533" spans="1:20" x14ac:dyDescent="0.2">
      <c r="A1533" s="23" t="s">
        <v>92</v>
      </c>
      <c r="C1533" s="23" t="s">
        <v>9684</v>
      </c>
      <c r="D1533" s="23" t="s">
        <v>9685</v>
      </c>
      <c r="E1533" s="23" t="s">
        <v>9686</v>
      </c>
      <c r="G1533" s="23" t="s">
        <v>9687</v>
      </c>
      <c r="K1533" s="23" t="s">
        <v>9688</v>
      </c>
      <c r="L1533" s="23" t="s">
        <v>9689</v>
      </c>
      <c r="O1533" s="23" t="s">
        <v>11554</v>
      </c>
      <c r="P1533" s="23" t="s">
        <v>14017</v>
      </c>
      <c r="Q1533" s="23" t="s">
        <v>14023</v>
      </c>
      <c r="R1533" s="23" t="s">
        <v>14029</v>
      </c>
      <c r="S1533" s="23" t="s">
        <v>14035</v>
      </c>
      <c r="T1533" s="23" t="s">
        <v>14041</v>
      </c>
    </row>
    <row r="1534" spans="1:20" x14ac:dyDescent="0.2">
      <c r="A1534" s="23" t="s">
        <v>92</v>
      </c>
      <c r="C1534" s="23" t="s">
        <v>9690</v>
      </c>
      <c r="D1534" s="23" t="s">
        <v>9691</v>
      </c>
      <c r="E1534" s="23" t="s">
        <v>9692</v>
      </c>
      <c r="G1534" s="23" t="s">
        <v>9693</v>
      </c>
      <c r="K1534" s="23" t="s">
        <v>9694</v>
      </c>
      <c r="L1534" s="23" t="s">
        <v>9695</v>
      </c>
      <c r="O1534" s="23" t="s">
        <v>11866</v>
      </c>
      <c r="P1534" s="23" t="s">
        <v>14018</v>
      </c>
      <c r="Q1534" s="23" t="s">
        <v>14024</v>
      </c>
      <c r="R1534" s="23" t="s">
        <v>14030</v>
      </c>
      <c r="S1534" s="23" t="s">
        <v>14036</v>
      </c>
      <c r="T1534" s="23" t="s">
        <v>14042</v>
      </c>
    </row>
    <row r="1535" spans="1:20" x14ac:dyDescent="0.2">
      <c r="A1535" s="23" t="s">
        <v>92</v>
      </c>
      <c r="C1535" s="23" t="s">
        <v>9696</v>
      </c>
      <c r="D1535" s="23" t="s">
        <v>9697</v>
      </c>
      <c r="E1535" s="23" t="s">
        <v>9698</v>
      </c>
      <c r="G1535" s="23" t="s">
        <v>9699</v>
      </c>
      <c r="K1535" s="23" t="s">
        <v>9700</v>
      </c>
      <c r="L1535" s="23" t="s">
        <v>9701</v>
      </c>
      <c r="O1535" s="23" t="s">
        <v>11588</v>
      </c>
      <c r="P1535" s="23" t="s">
        <v>14019</v>
      </c>
      <c r="Q1535" s="23" t="s">
        <v>14025</v>
      </c>
      <c r="R1535" s="23" t="s">
        <v>14031</v>
      </c>
      <c r="S1535" s="23" t="s">
        <v>14037</v>
      </c>
      <c r="T1535" s="23" t="s">
        <v>14043</v>
      </c>
    </row>
    <row r="1536" spans="1:20" x14ac:dyDescent="0.2">
      <c r="A1536" s="23" t="s">
        <v>92</v>
      </c>
      <c r="C1536" s="23" t="s">
        <v>9702</v>
      </c>
      <c r="D1536" s="23" t="s">
        <v>9703</v>
      </c>
      <c r="E1536" s="23" t="s">
        <v>9704</v>
      </c>
      <c r="G1536" s="23" t="s">
        <v>9705</v>
      </c>
      <c r="K1536" s="23" t="s">
        <v>9706</v>
      </c>
      <c r="L1536" s="23" t="s">
        <v>9707</v>
      </c>
      <c r="O1536" s="23" t="s">
        <v>12280</v>
      </c>
      <c r="P1536" s="23" t="s">
        <v>14020</v>
      </c>
      <c r="Q1536" s="23" t="s">
        <v>14026</v>
      </c>
      <c r="R1536" s="23" t="s">
        <v>14032</v>
      </c>
      <c r="S1536" s="23" t="s">
        <v>14038</v>
      </c>
      <c r="T1536" s="23" t="s">
        <v>14044</v>
      </c>
    </row>
    <row r="1537" spans="1:20" x14ac:dyDescent="0.2">
      <c r="A1537" s="23" t="s">
        <v>92</v>
      </c>
      <c r="C1537" s="23" t="s">
        <v>9672</v>
      </c>
      <c r="D1537" s="23" t="s">
        <v>9673</v>
      </c>
      <c r="E1537" s="23" t="s">
        <v>9674</v>
      </c>
      <c r="G1537" s="23" t="s">
        <v>9675</v>
      </c>
      <c r="K1537" s="23" t="s">
        <v>9676</v>
      </c>
      <c r="L1537" s="23" t="s">
        <v>9677</v>
      </c>
    </row>
    <row r="1538" spans="1:20" x14ac:dyDescent="0.2">
      <c r="A1538" s="23" t="s">
        <v>92</v>
      </c>
      <c r="C1538" s="23" t="s">
        <v>9708</v>
      </c>
      <c r="D1538" s="23" t="s">
        <v>9709</v>
      </c>
      <c r="E1538" s="23" t="s">
        <v>9710</v>
      </c>
      <c r="G1538" s="23" t="s">
        <v>9711</v>
      </c>
      <c r="K1538" s="23" t="s">
        <v>9712</v>
      </c>
      <c r="L1538" s="23" t="s">
        <v>9713</v>
      </c>
      <c r="M1538" s="23" t="s">
        <v>9714</v>
      </c>
      <c r="N1538" s="23" t="s">
        <v>9715</v>
      </c>
      <c r="T1538" s="23" t="s">
        <v>9716</v>
      </c>
    </row>
    <row r="1539" spans="1:20" x14ac:dyDescent="0.2">
      <c r="A1539" s="23" t="s">
        <v>92</v>
      </c>
      <c r="C1539" s="23" t="s">
        <v>9717</v>
      </c>
      <c r="D1539" s="23" t="s">
        <v>9718</v>
      </c>
      <c r="E1539" s="23" t="s">
        <v>9719</v>
      </c>
      <c r="G1539" s="23" t="s">
        <v>9720</v>
      </c>
      <c r="K1539" s="23" t="s">
        <v>9721</v>
      </c>
      <c r="L1539" s="23" t="s">
        <v>9722</v>
      </c>
      <c r="M1539" s="23" t="s">
        <v>9723</v>
      </c>
      <c r="N1539" s="23" t="s">
        <v>9724</v>
      </c>
    </row>
    <row r="1540" spans="1:20" x14ac:dyDescent="0.2">
      <c r="A1540" s="23" t="s">
        <v>92</v>
      </c>
      <c r="C1540" s="23" t="s">
        <v>9725</v>
      </c>
      <c r="D1540" s="23" t="s">
        <v>9726</v>
      </c>
      <c r="E1540" s="23" t="s">
        <v>9727</v>
      </c>
      <c r="G1540" s="23" t="s">
        <v>9728</v>
      </c>
      <c r="K1540" s="23" t="s">
        <v>9729</v>
      </c>
      <c r="L1540" s="23" t="s">
        <v>9730</v>
      </c>
      <c r="O1540" s="23" t="s">
        <v>12281</v>
      </c>
      <c r="P1540" s="23" t="s">
        <v>9731</v>
      </c>
      <c r="Q1540" s="23" t="s">
        <v>9732</v>
      </c>
      <c r="R1540" s="23" t="s">
        <v>9733</v>
      </c>
      <c r="S1540" s="23" t="s">
        <v>9734</v>
      </c>
      <c r="T1540" s="23" t="s">
        <v>9735</v>
      </c>
    </row>
    <row r="1541" spans="1:20" x14ac:dyDescent="0.2">
      <c r="A1541" s="23" t="s">
        <v>92</v>
      </c>
      <c r="C1541" s="23" t="s">
        <v>9736</v>
      </c>
      <c r="D1541" s="23" t="s">
        <v>9737</v>
      </c>
      <c r="E1541" s="23" t="s">
        <v>9738</v>
      </c>
      <c r="G1541" s="23" t="s">
        <v>9739</v>
      </c>
      <c r="K1541" s="23" t="s">
        <v>9740</v>
      </c>
      <c r="L1541" s="23" t="s">
        <v>9741</v>
      </c>
      <c r="O1541" s="23" t="s">
        <v>12282</v>
      </c>
      <c r="P1541" s="23" t="s">
        <v>12283</v>
      </c>
      <c r="Q1541" s="23" t="s">
        <v>12284</v>
      </c>
      <c r="R1541" s="23" t="s">
        <v>12285</v>
      </c>
      <c r="S1541" s="23" t="s">
        <v>12286</v>
      </c>
      <c r="T1541" s="23" t="s">
        <v>12287</v>
      </c>
    </row>
    <row r="1542" spans="1:20" x14ac:dyDescent="0.2">
      <c r="A1542" s="23" t="s">
        <v>92</v>
      </c>
      <c r="C1542" s="23" t="s">
        <v>9736</v>
      </c>
      <c r="D1542" s="23" t="s">
        <v>9737</v>
      </c>
      <c r="E1542" s="23" t="s">
        <v>9738</v>
      </c>
      <c r="G1542" s="23" t="s">
        <v>9739</v>
      </c>
      <c r="K1542" s="23" t="s">
        <v>9740</v>
      </c>
      <c r="L1542" s="23" t="s">
        <v>9741</v>
      </c>
    </row>
    <row r="1543" spans="1:20" x14ac:dyDescent="0.2">
      <c r="A1543" s="23" t="s">
        <v>92</v>
      </c>
      <c r="C1543" s="23" t="s">
        <v>9742</v>
      </c>
      <c r="D1543" s="23" t="s">
        <v>9743</v>
      </c>
      <c r="E1543" s="23" t="s">
        <v>9744</v>
      </c>
      <c r="G1543" s="23" t="s">
        <v>9745</v>
      </c>
      <c r="K1543" s="23" t="s">
        <v>9746</v>
      </c>
      <c r="L1543" s="23" t="s">
        <v>9747</v>
      </c>
      <c r="M1543" s="23" t="s">
        <v>9748</v>
      </c>
      <c r="N1543" s="23" t="s">
        <v>9749</v>
      </c>
      <c r="T1543" s="23" t="s">
        <v>9750</v>
      </c>
    </row>
    <row r="1544" spans="1:20" x14ac:dyDescent="0.2">
      <c r="A1544" s="23" t="s">
        <v>92</v>
      </c>
      <c r="C1544" s="23" t="s">
        <v>9751</v>
      </c>
      <c r="D1544" s="23" t="s">
        <v>9752</v>
      </c>
      <c r="E1544" s="23" t="s">
        <v>9753</v>
      </c>
      <c r="G1544" s="23" t="s">
        <v>9754</v>
      </c>
      <c r="K1544" s="23" t="s">
        <v>9755</v>
      </c>
      <c r="L1544" s="23" t="s">
        <v>9756</v>
      </c>
      <c r="M1544" s="23" t="s">
        <v>9757</v>
      </c>
      <c r="N1544" s="23" t="s">
        <v>9758</v>
      </c>
    </row>
    <row r="1545" spans="1:20" x14ac:dyDescent="0.2">
      <c r="A1545" s="23" t="s">
        <v>92</v>
      </c>
      <c r="C1545" s="23" t="s">
        <v>9759</v>
      </c>
      <c r="D1545" s="23" t="s">
        <v>9760</v>
      </c>
      <c r="E1545" s="23" t="s">
        <v>9761</v>
      </c>
      <c r="G1545" s="23" t="s">
        <v>9762</v>
      </c>
      <c r="K1545" s="23" t="s">
        <v>9763</v>
      </c>
      <c r="L1545" s="23" t="s">
        <v>9764</v>
      </c>
      <c r="O1545" s="23" t="s">
        <v>12288</v>
      </c>
      <c r="P1545" s="23" t="s">
        <v>9765</v>
      </c>
      <c r="Q1545" s="23" t="s">
        <v>9766</v>
      </c>
      <c r="R1545" s="23" t="s">
        <v>9767</v>
      </c>
      <c r="S1545" s="23" t="s">
        <v>9768</v>
      </c>
      <c r="T1545" s="23" t="s">
        <v>9769</v>
      </c>
    </row>
    <row r="1546" spans="1:20" x14ac:dyDescent="0.2">
      <c r="A1546" s="23" t="s">
        <v>92</v>
      </c>
      <c r="C1546" s="23" t="s">
        <v>9770</v>
      </c>
      <c r="D1546" s="23" t="s">
        <v>9771</v>
      </c>
      <c r="E1546" s="23" t="s">
        <v>9772</v>
      </c>
      <c r="G1546" s="23" t="s">
        <v>9773</v>
      </c>
      <c r="K1546" s="23" t="s">
        <v>9774</v>
      </c>
      <c r="L1546" s="23" t="s">
        <v>9775</v>
      </c>
      <c r="O1546" s="23" t="s">
        <v>12289</v>
      </c>
      <c r="P1546" s="23" t="s">
        <v>12290</v>
      </c>
      <c r="Q1546" s="23" t="s">
        <v>12291</v>
      </c>
      <c r="R1546" s="23" t="s">
        <v>12292</v>
      </c>
      <c r="S1546" s="23" t="s">
        <v>12293</v>
      </c>
      <c r="T1546" s="23" t="s">
        <v>12294</v>
      </c>
    </row>
    <row r="1547" spans="1:20" x14ac:dyDescent="0.2">
      <c r="A1547" s="23" t="s">
        <v>92</v>
      </c>
      <c r="C1547" s="23" t="s">
        <v>9770</v>
      </c>
      <c r="D1547" s="23" t="s">
        <v>9771</v>
      </c>
      <c r="E1547" s="23" t="s">
        <v>9772</v>
      </c>
      <c r="G1547" s="23" t="s">
        <v>9773</v>
      </c>
      <c r="K1547" s="23" t="s">
        <v>9774</v>
      </c>
      <c r="L1547" s="23" t="s">
        <v>9775</v>
      </c>
    </row>
    <row r="1548" spans="1:20" x14ac:dyDescent="0.2">
      <c r="A1548" s="23" t="s">
        <v>92</v>
      </c>
      <c r="C1548" s="23" t="s">
        <v>9776</v>
      </c>
      <c r="D1548" s="23" t="s">
        <v>9777</v>
      </c>
      <c r="E1548" s="23" t="s">
        <v>9778</v>
      </c>
      <c r="G1548" s="23" t="s">
        <v>9779</v>
      </c>
      <c r="K1548" s="23" t="s">
        <v>9780</v>
      </c>
      <c r="L1548" s="23" t="s">
        <v>9781</v>
      </c>
      <c r="M1548" s="23" t="s">
        <v>9782</v>
      </c>
      <c r="N1548" s="23" t="s">
        <v>9783</v>
      </c>
      <c r="T1548" s="23" t="s">
        <v>9784</v>
      </c>
    </row>
    <row r="1549" spans="1:20" x14ac:dyDescent="0.2">
      <c r="A1549" s="23" t="s">
        <v>92</v>
      </c>
      <c r="C1549" s="23" t="s">
        <v>9397</v>
      </c>
      <c r="D1549" s="23" t="s">
        <v>9398</v>
      </c>
      <c r="E1549" s="23" t="s">
        <v>9399</v>
      </c>
      <c r="G1549" s="23" t="s">
        <v>9400</v>
      </c>
    </row>
    <row r="1550" spans="1:20" x14ac:dyDescent="0.2">
      <c r="A1550" s="23" t="s">
        <v>92</v>
      </c>
      <c r="C1550" s="23" t="s">
        <v>9785</v>
      </c>
      <c r="D1550" s="23" t="s">
        <v>9786</v>
      </c>
      <c r="E1550" s="23" t="s">
        <v>9787</v>
      </c>
      <c r="G1550" s="23" t="s">
        <v>9788</v>
      </c>
      <c r="H1550" s="23" t="s">
        <v>9789</v>
      </c>
      <c r="I1550" s="23" t="s">
        <v>9790</v>
      </c>
      <c r="J1550" s="23" t="s">
        <v>9791</v>
      </c>
      <c r="T1550" s="23" t="s">
        <v>9792</v>
      </c>
    </row>
    <row r="1551" spans="1:20" x14ac:dyDescent="0.2">
      <c r="A1551" s="23" t="s">
        <v>92</v>
      </c>
      <c r="E1551" s="23" t="s">
        <v>6135</v>
      </c>
    </row>
    <row r="1552" spans="1:20" x14ac:dyDescent="0.2">
      <c r="A1552" s="23" t="s">
        <v>92</v>
      </c>
      <c r="E1552" s="23" t="s">
        <v>9793</v>
      </c>
      <c r="F1552" s="23" t="s">
        <v>9794</v>
      </c>
      <c r="T1552" s="23" t="s">
        <v>9795</v>
      </c>
    </row>
    <row r="1553" spans="1:20" x14ac:dyDescent="0.2">
      <c r="A1553" s="23" t="s">
        <v>92</v>
      </c>
      <c r="D1553" s="23" t="s">
        <v>9796</v>
      </c>
      <c r="E1553" s="23" t="s">
        <v>9797</v>
      </c>
      <c r="F1553" s="23" t="s">
        <v>9798</v>
      </c>
    </row>
    <row r="1554" spans="1:20" x14ac:dyDescent="0.2">
      <c r="A1554" s="23" t="s">
        <v>92</v>
      </c>
      <c r="C1554" s="23" t="s">
        <v>9799</v>
      </c>
      <c r="D1554" s="23" t="s">
        <v>9800</v>
      </c>
      <c r="E1554" s="23" t="s">
        <v>9801</v>
      </c>
      <c r="G1554" s="23" t="s">
        <v>9802</v>
      </c>
      <c r="H1554" s="23" t="s">
        <v>12295</v>
      </c>
      <c r="I1554" s="23" t="s">
        <v>9803</v>
      </c>
      <c r="J1554" s="23" t="s">
        <v>9804</v>
      </c>
    </row>
    <row r="1555" spans="1:20" x14ac:dyDescent="0.2">
      <c r="A1555" s="23" t="s">
        <v>92</v>
      </c>
      <c r="C1555" s="23" t="s">
        <v>9805</v>
      </c>
      <c r="D1555" s="23" t="s">
        <v>9806</v>
      </c>
      <c r="E1555" s="23" t="s">
        <v>9807</v>
      </c>
      <c r="G1555" s="23" t="s">
        <v>9808</v>
      </c>
      <c r="K1555" s="23" t="s">
        <v>9809</v>
      </c>
      <c r="L1555" s="23" t="s">
        <v>9810</v>
      </c>
      <c r="M1555" s="23" t="s">
        <v>12296</v>
      </c>
      <c r="N1555" s="23" t="s">
        <v>9811</v>
      </c>
    </row>
    <row r="1556" spans="1:20" x14ac:dyDescent="0.2">
      <c r="A1556" s="23" t="s">
        <v>92</v>
      </c>
      <c r="C1556" s="23" t="s">
        <v>9812</v>
      </c>
      <c r="D1556" s="23" t="s">
        <v>9813</v>
      </c>
      <c r="E1556" s="23" t="s">
        <v>9814</v>
      </c>
      <c r="G1556" s="23" t="s">
        <v>9815</v>
      </c>
      <c r="K1556" s="23" t="s">
        <v>9816</v>
      </c>
      <c r="L1556" s="23" t="s">
        <v>9817</v>
      </c>
      <c r="O1556" s="23" t="s">
        <v>12297</v>
      </c>
      <c r="P1556" s="23" t="s">
        <v>9818</v>
      </c>
      <c r="Q1556" s="23" t="s">
        <v>9819</v>
      </c>
      <c r="R1556" s="23" t="s">
        <v>9820</v>
      </c>
      <c r="S1556" s="23" t="s">
        <v>9821</v>
      </c>
      <c r="T1556" s="23" t="s">
        <v>9822</v>
      </c>
    </row>
    <row r="1557" spans="1:20" x14ac:dyDescent="0.2">
      <c r="A1557" s="23" t="s">
        <v>92</v>
      </c>
      <c r="C1557" s="23" t="s">
        <v>9823</v>
      </c>
      <c r="D1557" s="23" t="s">
        <v>9824</v>
      </c>
      <c r="E1557" s="23" t="s">
        <v>9825</v>
      </c>
      <c r="G1557" s="23" t="s">
        <v>9826</v>
      </c>
      <c r="K1557" s="23" t="s">
        <v>9827</v>
      </c>
      <c r="L1557" s="23" t="s">
        <v>9828</v>
      </c>
      <c r="O1557" s="23" t="s">
        <v>12298</v>
      </c>
      <c r="P1557" s="23" t="s">
        <v>13090</v>
      </c>
      <c r="Q1557" s="23" t="s">
        <v>13096</v>
      </c>
      <c r="R1557" s="23" t="s">
        <v>13102</v>
      </c>
      <c r="S1557" s="23" t="s">
        <v>13108</v>
      </c>
      <c r="T1557" s="23" t="s">
        <v>13114</v>
      </c>
    </row>
    <row r="1558" spans="1:20" x14ac:dyDescent="0.2">
      <c r="A1558" s="23" t="s">
        <v>92</v>
      </c>
      <c r="C1558" s="23" t="s">
        <v>9829</v>
      </c>
      <c r="D1558" s="23" t="s">
        <v>9830</v>
      </c>
      <c r="E1558" s="23" t="s">
        <v>9831</v>
      </c>
      <c r="G1558" s="23" t="s">
        <v>9832</v>
      </c>
      <c r="K1558" s="23" t="s">
        <v>9833</v>
      </c>
      <c r="L1558" s="23" t="s">
        <v>9834</v>
      </c>
      <c r="O1558" s="23" t="s">
        <v>12299</v>
      </c>
      <c r="P1558" s="23" t="s">
        <v>13091</v>
      </c>
      <c r="Q1558" s="23" t="s">
        <v>13097</v>
      </c>
      <c r="R1558" s="23" t="s">
        <v>13103</v>
      </c>
      <c r="S1558" s="23" t="s">
        <v>13109</v>
      </c>
      <c r="T1558" s="23" t="s">
        <v>13115</v>
      </c>
    </row>
    <row r="1559" spans="1:20" x14ac:dyDescent="0.2">
      <c r="A1559" s="23" t="s">
        <v>92</v>
      </c>
      <c r="C1559" s="23" t="s">
        <v>9835</v>
      </c>
      <c r="D1559" s="23" t="s">
        <v>9836</v>
      </c>
      <c r="E1559" s="23" t="s">
        <v>9837</v>
      </c>
      <c r="G1559" s="23" t="s">
        <v>9838</v>
      </c>
      <c r="K1559" s="23" t="s">
        <v>9839</v>
      </c>
      <c r="L1559" s="23" t="s">
        <v>9840</v>
      </c>
      <c r="O1559" s="23" t="s">
        <v>11517</v>
      </c>
      <c r="P1559" s="23" t="s">
        <v>13092</v>
      </c>
      <c r="Q1559" s="23" t="s">
        <v>13098</v>
      </c>
      <c r="R1559" s="23" t="s">
        <v>13104</v>
      </c>
      <c r="S1559" s="23" t="s">
        <v>13110</v>
      </c>
      <c r="T1559" s="23" t="s">
        <v>13116</v>
      </c>
    </row>
    <row r="1560" spans="1:20" x14ac:dyDescent="0.2">
      <c r="A1560" s="23" t="s">
        <v>92</v>
      </c>
      <c r="C1560" s="23" t="s">
        <v>9841</v>
      </c>
      <c r="D1560" s="23" t="s">
        <v>9842</v>
      </c>
      <c r="E1560" s="23" t="s">
        <v>9843</v>
      </c>
      <c r="G1560" s="23" t="s">
        <v>9844</v>
      </c>
      <c r="K1560" s="23" t="s">
        <v>9845</v>
      </c>
      <c r="L1560" s="23" t="s">
        <v>9846</v>
      </c>
      <c r="O1560" s="23" t="s">
        <v>11518</v>
      </c>
      <c r="P1560" s="23" t="s">
        <v>13093</v>
      </c>
      <c r="Q1560" s="23" t="s">
        <v>13099</v>
      </c>
      <c r="R1560" s="23" t="s">
        <v>13105</v>
      </c>
      <c r="S1560" s="23" t="s">
        <v>13111</v>
      </c>
      <c r="T1560" s="23" t="s">
        <v>13117</v>
      </c>
    </row>
    <row r="1561" spans="1:20" x14ac:dyDescent="0.2">
      <c r="A1561" s="23" t="s">
        <v>92</v>
      </c>
      <c r="C1561" s="23" t="s">
        <v>9847</v>
      </c>
      <c r="D1561" s="23" t="s">
        <v>9848</v>
      </c>
      <c r="E1561" s="23" t="s">
        <v>9849</v>
      </c>
      <c r="G1561" s="23" t="s">
        <v>9850</v>
      </c>
      <c r="K1561" s="23" t="s">
        <v>9851</v>
      </c>
      <c r="L1561" s="23" t="s">
        <v>9852</v>
      </c>
      <c r="O1561" s="23" t="s">
        <v>11519</v>
      </c>
      <c r="P1561" s="23" t="s">
        <v>13094</v>
      </c>
      <c r="Q1561" s="23" t="s">
        <v>13100</v>
      </c>
      <c r="R1561" s="23" t="s">
        <v>13106</v>
      </c>
      <c r="S1561" s="23" t="s">
        <v>13112</v>
      </c>
      <c r="T1561" s="23" t="s">
        <v>13118</v>
      </c>
    </row>
    <row r="1562" spans="1:20" x14ac:dyDescent="0.2">
      <c r="A1562" s="23" t="s">
        <v>92</v>
      </c>
      <c r="C1562" s="23" t="s">
        <v>9853</v>
      </c>
      <c r="D1562" s="23" t="s">
        <v>9854</v>
      </c>
      <c r="E1562" s="23" t="s">
        <v>9855</v>
      </c>
      <c r="G1562" s="23" t="s">
        <v>9856</v>
      </c>
      <c r="K1562" s="23" t="s">
        <v>9857</v>
      </c>
      <c r="L1562" s="23" t="s">
        <v>9858</v>
      </c>
      <c r="O1562" s="23" t="s">
        <v>12300</v>
      </c>
      <c r="P1562" s="23" t="s">
        <v>13095</v>
      </c>
      <c r="Q1562" s="23" t="s">
        <v>13101</v>
      </c>
      <c r="R1562" s="23" t="s">
        <v>13107</v>
      </c>
      <c r="S1562" s="23" t="s">
        <v>13113</v>
      </c>
      <c r="T1562" s="23" t="s">
        <v>13119</v>
      </c>
    </row>
    <row r="1563" spans="1:20" x14ac:dyDescent="0.2">
      <c r="A1563" s="23" t="s">
        <v>92</v>
      </c>
      <c r="C1563" s="23" t="s">
        <v>9823</v>
      </c>
      <c r="D1563" s="23" t="s">
        <v>9824</v>
      </c>
      <c r="E1563" s="23" t="s">
        <v>9825</v>
      </c>
      <c r="G1563" s="23" t="s">
        <v>9826</v>
      </c>
      <c r="K1563" s="23" t="s">
        <v>9827</v>
      </c>
      <c r="L1563" s="23" t="s">
        <v>9828</v>
      </c>
    </row>
    <row r="1564" spans="1:20" x14ac:dyDescent="0.2">
      <c r="A1564" s="23" t="s">
        <v>92</v>
      </c>
      <c r="C1564" s="23" t="s">
        <v>9859</v>
      </c>
      <c r="D1564" s="23" t="s">
        <v>9860</v>
      </c>
      <c r="E1564" s="23" t="s">
        <v>9861</v>
      </c>
      <c r="G1564" s="23" t="s">
        <v>9862</v>
      </c>
      <c r="K1564" s="23" t="s">
        <v>9863</v>
      </c>
      <c r="L1564" s="23" t="s">
        <v>9864</v>
      </c>
      <c r="M1564" s="23" t="s">
        <v>9865</v>
      </c>
      <c r="N1564" s="23" t="s">
        <v>9866</v>
      </c>
      <c r="T1564" s="23" t="s">
        <v>9867</v>
      </c>
    </row>
    <row r="1565" spans="1:20" x14ac:dyDescent="0.2">
      <c r="A1565" s="23" t="s">
        <v>92</v>
      </c>
      <c r="C1565" s="23" t="s">
        <v>9868</v>
      </c>
      <c r="D1565" s="23" t="s">
        <v>9869</v>
      </c>
      <c r="E1565" s="23" t="s">
        <v>9870</v>
      </c>
      <c r="G1565" s="23" t="s">
        <v>9871</v>
      </c>
      <c r="K1565" s="23" t="s">
        <v>9872</v>
      </c>
      <c r="L1565" s="23" t="s">
        <v>9873</v>
      </c>
      <c r="M1565" s="23" t="s">
        <v>9874</v>
      </c>
      <c r="N1565" s="23" t="s">
        <v>9875</v>
      </c>
    </row>
    <row r="1566" spans="1:20" x14ac:dyDescent="0.2">
      <c r="A1566" s="23" t="s">
        <v>92</v>
      </c>
      <c r="C1566" s="23" t="s">
        <v>9876</v>
      </c>
      <c r="D1566" s="23" t="s">
        <v>9877</v>
      </c>
      <c r="E1566" s="23" t="s">
        <v>9878</v>
      </c>
      <c r="G1566" s="23" t="s">
        <v>9879</v>
      </c>
      <c r="K1566" s="23" t="s">
        <v>9880</v>
      </c>
      <c r="L1566" s="23" t="s">
        <v>9881</v>
      </c>
      <c r="O1566" s="23" t="s">
        <v>12301</v>
      </c>
      <c r="P1566" s="23" t="s">
        <v>9882</v>
      </c>
      <c r="Q1566" s="23" t="s">
        <v>9883</v>
      </c>
      <c r="R1566" s="23" t="s">
        <v>9884</v>
      </c>
      <c r="S1566" s="23" t="s">
        <v>9885</v>
      </c>
      <c r="T1566" s="23" t="s">
        <v>9886</v>
      </c>
    </row>
    <row r="1567" spans="1:20" x14ac:dyDescent="0.2">
      <c r="A1567" s="23" t="s">
        <v>92</v>
      </c>
      <c r="C1567" s="23" t="s">
        <v>9887</v>
      </c>
      <c r="D1567" s="23" t="s">
        <v>9888</v>
      </c>
      <c r="E1567" s="23" t="s">
        <v>9889</v>
      </c>
      <c r="G1567" s="23" t="s">
        <v>9890</v>
      </c>
      <c r="K1567" s="23" t="s">
        <v>9891</v>
      </c>
      <c r="L1567" s="23" t="s">
        <v>9892</v>
      </c>
      <c r="O1567" s="23" t="s">
        <v>12302</v>
      </c>
      <c r="P1567" s="23" t="s">
        <v>13240</v>
      </c>
      <c r="Q1567" s="23" t="s">
        <v>13246</v>
      </c>
      <c r="R1567" s="23" t="s">
        <v>13252</v>
      </c>
      <c r="S1567" s="23" t="s">
        <v>13258</v>
      </c>
      <c r="T1567" s="23" t="s">
        <v>13264</v>
      </c>
    </row>
    <row r="1568" spans="1:20" x14ac:dyDescent="0.2">
      <c r="A1568" s="23" t="s">
        <v>92</v>
      </c>
      <c r="C1568" s="23" t="s">
        <v>9893</v>
      </c>
      <c r="D1568" s="23" t="s">
        <v>9894</v>
      </c>
      <c r="E1568" s="23" t="s">
        <v>9895</v>
      </c>
      <c r="G1568" s="23" t="s">
        <v>9896</v>
      </c>
      <c r="K1568" s="23" t="s">
        <v>9897</v>
      </c>
      <c r="L1568" s="23" t="s">
        <v>9898</v>
      </c>
      <c r="O1568" s="23" t="s">
        <v>12303</v>
      </c>
      <c r="P1568" s="23" t="s">
        <v>13241</v>
      </c>
      <c r="Q1568" s="23" t="s">
        <v>13247</v>
      </c>
      <c r="R1568" s="23" t="s">
        <v>13253</v>
      </c>
      <c r="S1568" s="23" t="s">
        <v>13259</v>
      </c>
      <c r="T1568" s="23" t="s">
        <v>13265</v>
      </c>
    </row>
    <row r="1569" spans="1:20" x14ac:dyDescent="0.2">
      <c r="A1569" s="23" t="s">
        <v>92</v>
      </c>
      <c r="C1569" s="23" t="s">
        <v>9899</v>
      </c>
      <c r="D1569" s="23" t="s">
        <v>9900</v>
      </c>
      <c r="E1569" s="23" t="s">
        <v>9901</v>
      </c>
      <c r="G1569" s="23" t="s">
        <v>9902</v>
      </c>
      <c r="K1569" s="23" t="s">
        <v>9903</v>
      </c>
      <c r="L1569" s="23" t="s">
        <v>9904</v>
      </c>
      <c r="O1569" s="23" t="s">
        <v>11524</v>
      </c>
      <c r="P1569" s="23" t="s">
        <v>13242</v>
      </c>
      <c r="Q1569" s="23" t="s">
        <v>13248</v>
      </c>
      <c r="R1569" s="23" t="s">
        <v>13254</v>
      </c>
      <c r="S1569" s="23" t="s">
        <v>13260</v>
      </c>
      <c r="T1569" s="23" t="s">
        <v>13266</v>
      </c>
    </row>
    <row r="1570" spans="1:20" x14ac:dyDescent="0.2">
      <c r="A1570" s="23" t="s">
        <v>92</v>
      </c>
      <c r="C1570" s="23" t="s">
        <v>9905</v>
      </c>
      <c r="D1570" s="23" t="s">
        <v>9906</v>
      </c>
      <c r="E1570" s="23" t="s">
        <v>9907</v>
      </c>
      <c r="G1570" s="23" t="s">
        <v>9908</v>
      </c>
      <c r="K1570" s="23" t="s">
        <v>9909</v>
      </c>
      <c r="L1570" s="23" t="s">
        <v>9910</v>
      </c>
      <c r="O1570" s="23" t="s">
        <v>11525</v>
      </c>
      <c r="P1570" s="23" t="s">
        <v>13243</v>
      </c>
      <c r="Q1570" s="23" t="s">
        <v>13249</v>
      </c>
      <c r="R1570" s="23" t="s">
        <v>13255</v>
      </c>
      <c r="S1570" s="23" t="s">
        <v>13261</v>
      </c>
      <c r="T1570" s="23" t="s">
        <v>13267</v>
      </c>
    </row>
    <row r="1571" spans="1:20" x14ac:dyDescent="0.2">
      <c r="A1571" s="23" t="s">
        <v>92</v>
      </c>
      <c r="C1571" s="23" t="s">
        <v>9911</v>
      </c>
      <c r="D1571" s="23" t="s">
        <v>9912</v>
      </c>
      <c r="E1571" s="23" t="s">
        <v>9913</v>
      </c>
      <c r="G1571" s="23" t="s">
        <v>9914</v>
      </c>
      <c r="K1571" s="23" t="s">
        <v>9915</v>
      </c>
      <c r="L1571" s="23" t="s">
        <v>9916</v>
      </c>
      <c r="O1571" s="23" t="s">
        <v>11526</v>
      </c>
      <c r="P1571" s="23" t="s">
        <v>13244</v>
      </c>
      <c r="Q1571" s="23" t="s">
        <v>13250</v>
      </c>
      <c r="R1571" s="23" t="s">
        <v>13256</v>
      </c>
      <c r="S1571" s="23" t="s">
        <v>13262</v>
      </c>
      <c r="T1571" s="23" t="s">
        <v>13268</v>
      </c>
    </row>
    <row r="1572" spans="1:20" x14ac:dyDescent="0.2">
      <c r="A1572" s="23" t="s">
        <v>92</v>
      </c>
      <c r="C1572" s="23" t="s">
        <v>9917</v>
      </c>
      <c r="D1572" s="23" t="s">
        <v>9918</v>
      </c>
      <c r="E1572" s="23" t="s">
        <v>9919</v>
      </c>
      <c r="G1572" s="23" t="s">
        <v>9920</v>
      </c>
      <c r="K1572" s="23" t="s">
        <v>9921</v>
      </c>
      <c r="L1572" s="23" t="s">
        <v>9922</v>
      </c>
      <c r="O1572" s="23" t="s">
        <v>12304</v>
      </c>
      <c r="P1572" s="23" t="s">
        <v>13245</v>
      </c>
      <c r="Q1572" s="23" t="s">
        <v>13251</v>
      </c>
      <c r="R1572" s="23" t="s">
        <v>13257</v>
      </c>
      <c r="S1572" s="23" t="s">
        <v>13263</v>
      </c>
      <c r="T1572" s="23" t="s">
        <v>13269</v>
      </c>
    </row>
    <row r="1573" spans="1:20" x14ac:dyDescent="0.2">
      <c r="A1573" s="23" t="s">
        <v>92</v>
      </c>
      <c r="C1573" s="23" t="s">
        <v>9887</v>
      </c>
      <c r="D1573" s="23" t="s">
        <v>9888</v>
      </c>
      <c r="E1573" s="23" t="s">
        <v>9889</v>
      </c>
      <c r="G1573" s="23" t="s">
        <v>9890</v>
      </c>
      <c r="K1573" s="23" t="s">
        <v>9891</v>
      </c>
      <c r="L1573" s="23" t="s">
        <v>9892</v>
      </c>
    </row>
    <row r="1574" spans="1:20" x14ac:dyDescent="0.2">
      <c r="A1574" s="23" t="s">
        <v>92</v>
      </c>
      <c r="C1574" s="23" t="s">
        <v>9923</v>
      </c>
      <c r="D1574" s="23" t="s">
        <v>9924</v>
      </c>
      <c r="E1574" s="23" t="s">
        <v>9925</v>
      </c>
      <c r="G1574" s="23" t="s">
        <v>9926</v>
      </c>
      <c r="K1574" s="23" t="s">
        <v>9927</v>
      </c>
      <c r="L1574" s="23" t="s">
        <v>9928</v>
      </c>
      <c r="M1574" s="23" t="s">
        <v>9929</v>
      </c>
      <c r="N1574" s="23" t="s">
        <v>9930</v>
      </c>
      <c r="T1574" s="23" t="s">
        <v>9931</v>
      </c>
    </row>
    <row r="1575" spans="1:20" x14ac:dyDescent="0.2">
      <c r="A1575" s="23" t="s">
        <v>92</v>
      </c>
      <c r="C1575" s="23" t="s">
        <v>9932</v>
      </c>
      <c r="D1575" s="23" t="s">
        <v>9933</v>
      </c>
      <c r="E1575" s="23" t="s">
        <v>9934</v>
      </c>
      <c r="G1575" s="23" t="s">
        <v>9935</v>
      </c>
      <c r="K1575" s="23" t="s">
        <v>9936</v>
      </c>
      <c r="L1575" s="23" t="s">
        <v>9937</v>
      </c>
      <c r="M1575" s="23" t="s">
        <v>9938</v>
      </c>
      <c r="N1575" s="23" t="s">
        <v>9939</v>
      </c>
    </row>
    <row r="1576" spans="1:20" x14ac:dyDescent="0.2">
      <c r="A1576" s="23" t="s">
        <v>92</v>
      </c>
      <c r="C1576" s="23" t="s">
        <v>9940</v>
      </c>
      <c r="D1576" s="23" t="s">
        <v>9941</v>
      </c>
      <c r="E1576" s="23" t="s">
        <v>9942</v>
      </c>
      <c r="G1576" s="23" t="s">
        <v>9943</v>
      </c>
      <c r="K1576" s="23" t="s">
        <v>9944</v>
      </c>
      <c r="L1576" s="23" t="s">
        <v>9945</v>
      </c>
      <c r="O1576" s="23" t="s">
        <v>12305</v>
      </c>
      <c r="P1576" s="23" t="s">
        <v>9946</v>
      </c>
      <c r="Q1576" s="23" t="s">
        <v>9947</v>
      </c>
      <c r="R1576" s="23" t="s">
        <v>9948</v>
      </c>
      <c r="S1576" s="23" t="s">
        <v>9949</v>
      </c>
      <c r="T1576" s="23" t="s">
        <v>9950</v>
      </c>
    </row>
    <row r="1577" spans="1:20" x14ac:dyDescent="0.2">
      <c r="A1577" s="23" t="s">
        <v>92</v>
      </c>
      <c r="C1577" s="23" t="s">
        <v>9951</v>
      </c>
      <c r="D1577" s="23" t="s">
        <v>9952</v>
      </c>
      <c r="E1577" s="23" t="s">
        <v>9953</v>
      </c>
      <c r="G1577" s="23" t="s">
        <v>9954</v>
      </c>
      <c r="K1577" s="23" t="s">
        <v>9955</v>
      </c>
      <c r="L1577" s="23" t="s">
        <v>9956</v>
      </c>
      <c r="O1577" s="23" t="s">
        <v>12306</v>
      </c>
      <c r="P1577" s="23" t="s">
        <v>13210</v>
      </c>
      <c r="Q1577" s="23" t="s">
        <v>13216</v>
      </c>
      <c r="R1577" s="23" t="s">
        <v>13222</v>
      </c>
      <c r="S1577" s="23" t="s">
        <v>13228</v>
      </c>
      <c r="T1577" s="23" t="s">
        <v>13234</v>
      </c>
    </row>
    <row r="1578" spans="1:20" x14ac:dyDescent="0.2">
      <c r="A1578" s="23" t="s">
        <v>92</v>
      </c>
      <c r="C1578" s="23" t="s">
        <v>9957</v>
      </c>
      <c r="D1578" s="23" t="s">
        <v>9958</v>
      </c>
      <c r="E1578" s="23" t="s">
        <v>9959</v>
      </c>
      <c r="G1578" s="23" t="s">
        <v>9960</v>
      </c>
      <c r="K1578" s="23" t="s">
        <v>9961</v>
      </c>
      <c r="L1578" s="23" t="s">
        <v>9962</v>
      </c>
      <c r="O1578" s="23" t="s">
        <v>12307</v>
      </c>
      <c r="P1578" s="23" t="s">
        <v>13211</v>
      </c>
      <c r="Q1578" s="23" t="s">
        <v>13217</v>
      </c>
      <c r="R1578" s="23" t="s">
        <v>13223</v>
      </c>
      <c r="S1578" s="23" t="s">
        <v>13229</v>
      </c>
      <c r="T1578" s="23" t="s">
        <v>13235</v>
      </c>
    </row>
    <row r="1579" spans="1:20" x14ac:dyDescent="0.2">
      <c r="A1579" s="23" t="s">
        <v>92</v>
      </c>
      <c r="C1579" s="23" t="s">
        <v>9963</v>
      </c>
      <c r="D1579" s="23" t="s">
        <v>9964</v>
      </c>
      <c r="E1579" s="23" t="s">
        <v>9965</v>
      </c>
      <c r="G1579" s="23" t="s">
        <v>9966</v>
      </c>
      <c r="K1579" s="23" t="s">
        <v>9967</v>
      </c>
      <c r="L1579" s="23" t="s">
        <v>9968</v>
      </c>
      <c r="O1579" s="23" t="s">
        <v>11531</v>
      </c>
      <c r="P1579" s="23" t="s">
        <v>13212</v>
      </c>
      <c r="Q1579" s="23" t="s">
        <v>13218</v>
      </c>
      <c r="R1579" s="23" t="s">
        <v>13224</v>
      </c>
      <c r="S1579" s="23" t="s">
        <v>13230</v>
      </c>
      <c r="T1579" s="23" t="s">
        <v>13236</v>
      </c>
    </row>
    <row r="1580" spans="1:20" x14ac:dyDescent="0.2">
      <c r="A1580" s="23" t="s">
        <v>92</v>
      </c>
      <c r="C1580" s="23" t="s">
        <v>9969</v>
      </c>
      <c r="D1580" s="23" t="s">
        <v>9970</v>
      </c>
      <c r="E1580" s="23" t="s">
        <v>9971</v>
      </c>
      <c r="G1580" s="23" t="s">
        <v>9972</v>
      </c>
      <c r="K1580" s="23" t="s">
        <v>9973</v>
      </c>
      <c r="L1580" s="23" t="s">
        <v>9974</v>
      </c>
      <c r="O1580" s="23" t="s">
        <v>11532</v>
      </c>
      <c r="P1580" s="23" t="s">
        <v>13213</v>
      </c>
      <c r="Q1580" s="23" t="s">
        <v>13219</v>
      </c>
      <c r="R1580" s="23" t="s">
        <v>13225</v>
      </c>
      <c r="S1580" s="23" t="s">
        <v>13231</v>
      </c>
      <c r="T1580" s="23" t="s">
        <v>13237</v>
      </c>
    </row>
    <row r="1581" spans="1:20" x14ac:dyDescent="0.2">
      <c r="A1581" s="23" t="s">
        <v>92</v>
      </c>
      <c r="C1581" s="23" t="s">
        <v>9975</v>
      </c>
      <c r="D1581" s="23" t="s">
        <v>9976</v>
      </c>
      <c r="E1581" s="23" t="s">
        <v>9977</v>
      </c>
      <c r="G1581" s="23" t="s">
        <v>9978</v>
      </c>
      <c r="K1581" s="23" t="s">
        <v>9979</v>
      </c>
      <c r="L1581" s="23" t="s">
        <v>9980</v>
      </c>
      <c r="O1581" s="23" t="s">
        <v>11533</v>
      </c>
      <c r="P1581" s="23" t="s">
        <v>13214</v>
      </c>
      <c r="Q1581" s="23" t="s">
        <v>13220</v>
      </c>
      <c r="R1581" s="23" t="s">
        <v>13226</v>
      </c>
      <c r="S1581" s="23" t="s">
        <v>13232</v>
      </c>
      <c r="T1581" s="23" t="s">
        <v>13238</v>
      </c>
    </row>
    <row r="1582" spans="1:20" x14ac:dyDescent="0.2">
      <c r="A1582" s="23" t="s">
        <v>92</v>
      </c>
      <c r="C1582" s="23" t="s">
        <v>9981</v>
      </c>
      <c r="D1582" s="23" t="s">
        <v>9982</v>
      </c>
      <c r="E1582" s="23" t="s">
        <v>9983</v>
      </c>
      <c r="G1582" s="23" t="s">
        <v>9984</v>
      </c>
      <c r="K1582" s="23" t="s">
        <v>9985</v>
      </c>
      <c r="L1582" s="23" t="s">
        <v>9986</v>
      </c>
      <c r="O1582" s="23" t="s">
        <v>12308</v>
      </c>
      <c r="P1582" s="23" t="s">
        <v>13215</v>
      </c>
      <c r="Q1582" s="23" t="s">
        <v>13221</v>
      </c>
      <c r="R1582" s="23" t="s">
        <v>13227</v>
      </c>
      <c r="S1582" s="23" t="s">
        <v>13233</v>
      </c>
      <c r="T1582" s="23" t="s">
        <v>13239</v>
      </c>
    </row>
    <row r="1583" spans="1:20" x14ac:dyDescent="0.2">
      <c r="A1583" s="23" t="s">
        <v>92</v>
      </c>
      <c r="C1583" s="23" t="s">
        <v>9951</v>
      </c>
      <c r="D1583" s="23" t="s">
        <v>9952</v>
      </c>
      <c r="E1583" s="23" t="s">
        <v>9953</v>
      </c>
      <c r="G1583" s="23" t="s">
        <v>9954</v>
      </c>
      <c r="K1583" s="23" t="s">
        <v>9955</v>
      </c>
      <c r="L1583" s="23" t="s">
        <v>9956</v>
      </c>
    </row>
    <row r="1584" spans="1:20" x14ac:dyDescent="0.2">
      <c r="A1584" s="23" t="s">
        <v>92</v>
      </c>
      <c r="C1584" s="23" t="s">
        <v>9987</v>
      </c>
      <c r="D1584" s="23" t="s">
        <v>9988</v>
      </c>
      <c r="E1584" s="23" t="s">
        <v>9989</v>
      </c>
      <c r="G1584" s="23" t="s">
        <v>9990</v>
      </c>
      <c r="K1584" s="23" t="s">
        <v>9991</v>
      </c>
      <c r="L1584" s="23" t="s">
        <v>9992</v>
      </c>
      <c r="M1584" s="23" t="s">
        <v>9993</v>
      </c>
      <c r="N1584" s="23" t="s">
        <v>9994</v>
      </c>
      <c r="T1584" s="23" t="s">
        <v>9995</v>
      </c>
    </row>
    <row r="1585" spans="1:20" x14ac:dyDescent="0.2">
      <c r="A1585" s="23" t="s">
        <v>92</v>
      </c>
      <c r="C1585" s="23" t="s">
        <v>9996</v>
      </c>
      <c r="D1585" s="23" t="s">
        <v>9997</v>
      </c>
      <c r="E1585" s="23" t="s">
        <v>9998</v>
      </c>
      <c r="G1585" s="23" t="s">
        <v>9999</v>
      </c>
      <c r="K1585" s="23" t="s">
        <v>10000</v>
      </c>
      <c r="L1585" s="23" t="s">
        <v>10001</v>
      </c>
      <c r="M1585" s="23" t="s">
        <v>10002</v>
      </c>
      <c r="N1585" s="23" t="s">
        <v>10003</v>
      </c>
    </row>
    <row r="1586" spans="1:20" x14ac:dyDescent="0.2">
      <c r="A1586" s="23" t="s">
        <v>92</v>
      </c>
      <c r="C1586" s="23" t="s">
        <v>10004</v>
      </c>
      <c r="D1586" s="23" t="s">
        <v>10005</v>
      </c>
      <c r="E1586" s="23" t="s">
        <v>10006</v>
      </c>
      <c r="G1586" s="23" t="s">
        <v>10007</v>
      </c>
      <c r="K1586" s="23" t="s">
        <v>10008</v>
      </c>
      <c r="L1586" s="23" t="s">
        <v>10009</v>
      </c>
      <c r="O1586" s="23" t="s">
        <v>12309</v>
      </c>
      <c r="P1586" s="23" t="s">
        <v>10010</v>
      </c>
      <c r="Q1586" s="23" t="s">
        <v>10011</v>
      </c>
      <c r="R1586" s="23" t="s">
        <v>10012</v>
      </c>
      <c r="S1586" s="23" t="s">
        <v>10013</v>
      </c>
      <c r="T1586" s="23" t="s">
        <v>10014</v>
      </c>
    </row>
    <row r="1587" spans="1:20" x14ac:dyDescent="0.2">
      <c r="A1587" s="23" t="s">
        <v>92</v>
      </c>
      <c r="C1587" s="23" t="s">
        <v>10015</v>
      </c>
      <c r="D1587" s="23" t="s">
        <v>10016</v>
      </c>
      <c r="E1587" s="23" t="s">
        <v>10017</v>
      </c>
      <c r="G1587" s="23" t="s">
        <v>10018</v>
      </c>
      <c r="K1587" s="23" t="s">
        <v>10019</v>
      </c>
      <c r="L1587" s="23" t="s">
        <v>10020</v>
      </c>
      <c r="O1587" s="23" t="s">
        <v>12310</v>
      </c>
      <c r="P1587" s="23" t="s">
        <v>13180</v>
      </c>
      <c r="Q1587" s="23" t="s">
        <v>13186</v>
      </c>
      <c r="R1587" s="23" t="s">
        <v>13192</v>
      </c>
      <c r="S1587" s="23" t="s">
        <v>13198</v>
      </c>
      <c r="T1587" s="23" t="s">
        <v>13204</v>
      </c>
    </row>
    <row r="1588" spans="1:20" x14ac:dyDescent="0.2">
      <c r="A1588" s="23" t="s">
        <v>92</v>
      </c>
      <c r="C1588" s="23" t="s">
        <v>10021</v>
      </c>
      <c r="D1588" s="23" t="s">
        <v>10022</v>
      </c>
      <c r="E1588" s="23" t="s">
        <v>10023</v>
      </c>
      <c r="G1588" s="23" t="s">
        <v>10024</v>
      </c>
      <c r="K1588" s="23" t="s">
        <v>10025</v>
      </c>
      <c r="L1588" s="23" t="s">
        <v>10026</v>
      </c>
      <c r="O1588" s="23" t="s">
        <v>12311</v>
      </c>
      <c r="P1588" s="23" t="s">
        <v>13181</v>
      </c>
      <c r="Q1588" s="23" t="s">
        <v>13187</v>
      </c>
      <c r="R1588" s="23" t="s">
        <v>13193</v>
      </c>
      <c r="S1588" s="23" t="s">
        <v>13199</v>
      </c>
      <c r="T1588" s="23" t="s">
        <v>13205</v>
      </c>
    </row>
    <row r="1589" spans="1:20" x14ac:dyDescent="0.2">
      <c r="A1589" s="23" t="s">
        <v>92</v>
      </c>
      <c r="C1589" s="23" t="s">
        <v>10027</v>
      </c>
      <c r="D1589" s="23" t="s">
        <v>10028</v>
      </c>
      <c r="E1589" s="23" t="s">
        <v>10029</v>
      </c>
      <c r="G1589" s="23" t="s">
        <v>10030</v>
      </c>
      <c r="K1589" s="23" t="s">
        <v>10031</v>
      </c>
      <c r="L1589" s="23" t="s">
        <v>10032</v>
      </c>
      <c r="O1589" s="23" t="s">
        <v>11538</v>
      </c>
      <c r="P1589" s="23" t="s">
        <v>13182</v>
      </c>
      <c r="Q1589" s="23" t="s">
        <v>13188</v>
      </c>
      <c r="R1589" s="23" t="s">
        <v>13194</v>
      </c>
      <c r="S1589" s="23" t="s">
        <v>13200</v>
      </c>
      <c r="T1589" s="23" t="s">
        <v>13206</v>
      </c>
    </row>
    <row r="1590" spans="1:20" x14ac:dyDescent="0.2">
      <c r="A1590" s="23" t="s">
        <v>92</v>
      </c>
      <c r="C1590" s="23" t="s">
        <v>10033</v>
      </c>
      <c r="D1590" s="23" t="s">
        <v>10034</v>
      </c>
      <c r="E1590" s="23" t="s">
        <v>10035</v>
      </c>
      <c r="G1590" s="23" t="s">
        <v>10036</v>
      </c>
      <c r="K1590" s="23" t="s">
        <v>10037</v>
      </c>
      <c r="L1590" s="23" t="s">
        <v>10038</v>
      </c>
      <c r="O1590" s="23" t="s">
        <v>11539</v>
      </c>
      <c r="P1590" s="23" t="s">
        <v>13183</v>
      </c>
      <c r="Q1590" s="23" t="s">
        <v>13189</v>
      </c>
      <c r="R1590" s="23" t="s">
        <v>13195</v>
      </c>
      <c r="S1590" s="23" t="s">
        <v>13201</v>
      </c>
      <c r="T1590" s="23" t="s">
        <v>13207</v>
      </c>
    </row>
    <row r="1591" spans="1:20" x14ac:dyDescent="0.2">
      <c r="A1591" s="23" t="s">
        <v>92</v>
      </c>
      <c r="C1591" s="23" t="s">
        <v>10039</v>
      </c>
      <c r="D1591" s="23" t="s">
        <v>10040</v>
      </c>
      <c r="E1591" s="23" t="s">
        <v>10041</v>
      </c>
      <c r="G1591" s="23" t="s">
        <v>10042</v>
      </c>
      <c r="K1591" s="23" t="s">
        <v>10043</v>
      </c>
      <c r="L1591" s="23" t="s">
        <v>10044</v>
      </c>
      <c r="O1591" s="23" t="s">
        <v>11540</v>
      </c>
      <c r="P1591" s="23" t="s">
        <v>13184</v>
      </c>
      <c r="Q1591" s="23" t="s">
        <v>13190</v>
      </c>
      <c r="R1591" s="23" t="s">
        <v>13196</v>
      </c>
      <c r="S1591" s="23" t="s">
        <v>13202</v>
      </c>
      <c r="T1591" s="23" t="s">
        <v>13208</v>
      </c>
    </row>
    <row r="1592" spans="1:20" x14ac:dyDescent="0.2">
      <c r="A1592" s="23" t="s">
        <v>92</v>
      </c>
      <c r="C1592" s="23" t="s">
        <v>10045</v>
      </c>
      <c r="D1592" s="23" t="s">
        <v>10046</v>
      </c>
      <c r="E1592" s="23" t="s">
        <v>10047</v>
      </c>
      <c r="G1592" s="23" t="s">
        <v>10048</v>
      </c>
      <c r="K1592" s="23" t="s">
        <v>10049</v>
      </c>
      <c r="L1592" s="23" t="s">
        <v>10050</v>
      </c>
      <c r="O1592" s="23" t="s">
        <v>12312</v>
      </c>
      <c r="P1592" s="23" t="s">
        <v>13185</v>
      </c>
      <c r="Q1592" s="23" t="s">
        <v>13191</v>
      </c>
      <c r="R1592" s="23" t="s">
        <v>13197</v>
      </c>
      <c r="S1592" s="23" t="s">
        <v>13203</v>
      </c>
      <c r="T1592" s="23" t="s">
        <v>13209</v>
      </c>
    </row>
    <row r="1593" spans="1:20" x14ac:dyDescent="0.2">
      <c r="A1593" s="23" t="s">
        <v>92</v>
      </c>
      <c r="C1593" s="23" t="s">
        <v>10015</v>
      </c>
      <c r="D1593" s="23" t="s">
        <v>10016</v>
      </c>
      <c r="E1593" s="23" t="s">
        <v>10017</v>
      </c>
      <c r="G1593" s="23" t="s">
        <v>10018</v>
      </c>
      <c r="K1593" s="23" t="s">
        <v>10019</v>
      </c>
      <c r="L1593" s="23" t="s">
        <v>10020</v>
      </c>
    </row>
    <row r="1594" spans="1:20" x14ac:dyDescent="0.2">
      <c r="A1594" s="23" t="s">
        <v>92</v>
      </c>
      <c r="C1594" s="23" t="s">
        <v>10051</v>
      </c>
      <c r="D1594" s="23" t="s">
        <v>10052</v>
      </c>
      <c r="E1594" s="23" t="s">
        <v>10053</v>
      </c>
      <c r="G1594" s="23" t="s">
        <v>10054</v>
      </c>
      <c r="K1594" s="23" t="s">
        <v>10055</v>
      </c>
      <c r="L1594" s="23" t="s">
        <v>10056</v>
      </c>
      <c r="M1594" s="23" t="s">
        <v>10057</v>
      </c>
      <c r="N1594" s="23" t="s">
        <v>10058</v>
      </c>
      <c r="T1594" s="23" t="s">
        <v>10059</v>
      </c>
    </row>
    <row r="1595" spans="1:20" x14ac:dyDescent="0.2">
      <c r="A1595" s="23" t="s">
        <v>92</v>
      </c>
      <c r="C1595" s="23" t="s">
        <v>10060</v>
      </c>
      <c r="D1595" s="23" t="s">
        <v>10061</v>
      </c>
      <c r="E1595" s="23" t="s">
        <v>10062</v>
      </c>
      <c r="G1595" s="23" t="s">
        <v>10063</v>
      </c>
      <c r="K1595" s="23" t="s">
        <v>10064</v>
      </c>
      <c r="L1595" s="23" t="s">
        <v>10065</v>
      </c>
      <c r="M1595" s="23" t="s">
        <v>10066</v>
      </c>
      <c r="N1595" s="23" t="s">
        <v>10067</v>
      </c>
    </row>
    <row r="1596" spans="1:20" x14ac:dyDescent="0.2">
      <c r="A1596" s="23" t="s">
        <v>92</v>
      </c>
      <c r="C1596" s="23" t="s">
        <v>10068</v>
      </c>
      <c r="D1596" s="23" t="s">
        <v>10069</v>
      </c>
      <c r="E1596" s="23" t="s">
        <v>10070</v>
      </c>
      <c r="G1596" s="23" t="s">
        <v>10071</v>
      </c>
      <c r="K1596" s="23" t="s">
        <v>10072</v>
      </c>
      <c r="L1596" s="23" t="s">
        <v>10073</v>
      </c>
      <c r="O1596" s="23" t="s">
        <v>12313</v>
      </c>
      <c r="P1596" s="23" t="s">
        <v>10074</v>
      </c>
      <c r="Q1596" s="23" t="s">
        <v>10075</v>
      </c>
      <c r="R1596" s="23" t="s">
        <v>10076</v>
      </c>
      <c r="S1596" s="23" t="s">
        <v>10077</v>
      </c>
      <c r="T1596" s="23" t="s">
        <v>10078</v>
      </c>
    </row>
    <row r="1597" spans="1:20" x14ac:dyDescent="0.2">
      <c r="A1597" s="23" t="s">
        <v>92</v>
      </c>
      <c r="C1597" s="23" t="s">
        <v>10079</v>
      </c>
      <c r="D1597" s="23" t="s">
        <v>10080</v>
      </c>
      <c r="E1597" s="23" t="s">
        <v>10081</v>
      </c>
      <c r="G1597" s="23" t="s">
        <v>10082</v>
      </c>
      <c r="K1597" s="23" t="s">
        <v>10083</v>
      </c>
      <c r="L1597" s="23" t="s">
        <v>10084</v>
      </c>
      <c r="O1597" s="23" t="s">
        <v>12314</v>
      </c>
      <c r="P1597" s="23" t="s">
        <v>13150</v>
      </c>
      <c r="Q1597" s="23" t="s">
        <v>13156</v>
      </c>
      <c r="R1597" s="23" t="s">
        <v>13162</v>
      </c>
      <c r="S1597" s="23" t="s">
        <v>13168</v>
      </c>
      <c r="T1597" s="23" t="s">
        <v>13174</v>
      </c>
    </row>
    <row r="1598" spans="1:20" x14ac:dyDescent="0.2">
      <c r="A1598" s="23" t="s">
        <v>92</v>
      </c>
      <c r="C1598" s="23" t="s">
        <v>10085</v>
      </c>
      <c r="D1598" s="23" t="s">
        <v>10086</v>
      </c>
      <c r="E1598" s="23" t="s">
        <v>10087</v>
      </c>
      <c r="G1598" s="23" t="s">
        <v>10088</v>
      </c>
      <c r="K1598" s="23" t="s">
        <v>10089</v>
      </c>
      <c r="L1598" s="23" t="s">
        <v>10090</v>
      </c>
      <c r="O1598" s="23" t="s">
        <v>12315</v>
      </c>
      <c r="P1598" s="23" t="s">
        <v>13151</v>
      </c>
      <c r="Q1598" s="23" t="s">
        <v>13157</v>
      </c>
      <c r="R1598" s="23" t="s">
        <v>13163</v>
      </c>
      <c r="S1598" s="23" t="s">
        <v>13169</v>
      </c>
      <c r="T1598" s="23" t="s">
        <v>13175</v>
      </c>
    </row>
    <row r="1599" spans="1:20" x14ac:dyDescent="0.2">
      <c r="A1599" s="23" t="s">
        <v>92</v>
      </c>
      <c r="C1599" s="23" t="s">
        <v>10091</v>
      </c>
      <c r="D1599" s="23" t="s">
        <v>10092</v>
      </c>
      <c r="E1599" s="23" t="s">
        <v>10093</v>
      </c>
      <c r="G1599" s="23" t="s">
        <v>10094</v>
      </c>
      <c r="K1599" s="23" t="s">
        <v>10095</v>
      </c>
      <c r="L1599" s="23" t="s">
        <v>10096</v>
      </c>
      <c r="O1599" s="23" t="s">
        <v>11546</v>
      </c>
      <c r="P1599" s="23" t="s">
        <v>13152</v>
      </c>
      <c r="Q1599" s="23" t="s">
        <v>13158</v>
      </c>
      <c r="R1599" s="23" t="s">
        <v>13164</v>
      </c>
      <c r="S1599" s="23" t="s">
        <v>13170</v>
      </c>
      <c r="T1599" s="23" t="s">
        <v>13176</v>
      </c>
    </row>
    <row r="1600" spans="1:20" x14ac:dyDescent="0.2">
      <c r="A1600" s="23" t="s">
        <v>92</v>
      </c>
      <c r="C1600" s="23" t="s">
        <v>10097</v>
      </c>
      <c r="D1600" s="23" t="s">
        <v>10098</v>
      </c>
      <c r="E1600" s="23" t="s">
        <v>10099</v>
      </c>
      <c r="G1600" s="23" t="s">
        <v>10100</v>
      </c>
      <c r="K1600" s="23" t="s">
        <v>10101</v>
      </c>
      <c r="L1600" s="23" t="s">
        <v>10102</v>
      </c>
      <c r="O1600" s="23" t="s">
        <v>11547</v>
      </c>
      <c r="P1600" s="23" t="s">
        <v>13153</v>
      </c>
      <c r="Q1600" s="23" t="s">
        <v>13159</v>
      </c>
      <c r="R1600" s="23" t="s">
        <v>13165</v>
      </c>
      <c r="S1600" s="23" t="s">
        <v>13171</v>
      </c>
      <c r="T1600" s="23" t="s">
        <v>13177</v>
      </c>
    </row>
    <row r="1601" spans="1:20" x14ac:dyDescent="0.2">
      <c r="A1601" s="23" t="s">
        <v>92</v>
      </c>
      <c r="C1601" s="23" t="s">
        <v>10103</v>
      </c>
      <c r="D1601" s="23" t="s">
        <v>10104</v>
      </c>
      <c r="E1601" s="23" t="s">
        <v>10105</v>
      </c>
      <c r="G1601" s="23" t="s">
        <v>10106</v>
      </c>
      <c r="K1601" s="23" t="s">
        <v>10107</v>
      </c>
      <c r="L1601" s="23" t="s">
        <v>10108</v>
      </c>
      <c r="O1601" s="23" t="s">
        <v>11548</v>
      </c>
      <c r="P1601" s="23" t="s">
        <v>13154</v>
      </c>
      <c r="Q1601" s="23" t="s">
        <v>13160</v>
      </c>
      <c r="R1601" s="23" t="s">
        <v>13166</v>
      </c>
      <c r="S1601" s="23" t="s">
        <v>13172</v>
      </c>
      <c r="T1601" s="23" t="s">
        <v>13178</v>
      </c>
    </row>
    <row r="1602" spans="1:20" x14ac:dyDescent="0.2">
      <c r="A1602" s="23" t="s">
        <v>92</v>
      </c>
      <c r="C1602" s="23" t="s">
        <v>10109</v>
      </c>
      <c r="D1602" s="23" t="s">
        <v>10110</v>
      </c>
      <c r="E1602" s="23" t="s">
        <v>10111</v>
      </c>
      <c r="G1602" s="23" t="s">
        <v>10112</v>
      </c>
      <c r="K1602" s="23" t="s">
        <v>10113</v>
      </c>
      <c r="L1602" s="23" t="s">
        <v>10114</v>
      </c>
      <c r="O1602" s="23" t="s">
        <v>12316</v>
      </c>
      <c r="P1602" s="23" t="s">
        <v>13155</v>
      </c>
      <c r="Q1602" s="23" t="s">
        <v>13161</v>
      </c>
      <c r="R1602" s="23" t="s">
        <v>13167</v>
      </c>
      <c r="S1602" s="23" t="s">
        <v>13173</v>
      </c>
      <c r="T1602" s="23" t="s">
        <v>13179</v>
      </c>
    </row>
    <row r="1603" spans="1:20" x14ac:dyDescent="0.2">
      <c r="A1603" s="23" t="s">
        <v>92</v>
      </c>
      <c r="C1603" s="23" t="s">
        <v>10079</v>
      </c>
      <c r="D1603" s="23" t="s">
        <v>10080</v>
      </c>
      <c r="E1603" s="23" t="s">
        <v>10081</v>
      </c>
      <c r="G1603" s="23" t="s">
        <v>10082</v>
      </c>
      <c r="K1603" s="23" t="s">
        <v>10083</v>
      </c>
      <c r="L1603" s="23" t="s">
        <v>10084</v>
      </c>
    </row>
    <row r="1604" spans="1:20" x14ac:dyDescent="0.2">
      <c r="A1604" s="23" t="s">
        <v>92</v>
      </c>
      <c r="C1604" s="23" t="s">
        <v>10115</v>
      </c>
      <c r="D1604" s="23" t="s">
        <v>10116</v>
      </c>
      <c r="E1604" s="23" t="s">
        <v>10117</v>
      </c>
      <c r="G1604" s="23" t="s">
        <v>10118</v>
      </c>
      <c r="K1604" s="23" t="s">
        <v>10119</v>
      </c>
      <c r="L1604" s="23" t="s">
        <v>10120</v>
      </c>
      <c r="M1604" s="23" t="s">
        <v>10121</v>
      </c>
      <c r="N1604" s="23" t="s">
        <v>10122</v>
      </c>
      <c r="T1604" s="23" t="s">
        <v>10123</v>
      </c>
    </row>
    <row r="1605" spans="1:20" x14ac:dyDescent="0.2">
      <c r="A1605" s="23" t="s">
        <v>92</v>
      </c>
      <c r="C1605" s="23" t="s">
        <v>10124</v>
      </c>
      <c r="D1605" s="23" t="s">
        <v>10125</v>
      </c>
      <c r="E1605" s="23" t="s">
        <v>10126</v>
      </c>
      <c r="G1605" s="23" t="s">
        <v>10127</v>
      </c>
      <c r="K1605" s="23" t="s">
        <v>10128</v>
      </c>
      <c r="L1605" s="23" t="s">
        <v>10129</v>
      </c>
      <c r="M1605" s="23" t="s">
        <v>10130</v>
      </c>
      <c r="N1605" s="23" t="s">
        <v>10131</v>
      </c>
    </row>
    <row r="1606" spans="1:20" x14ac:dyDescent="0.2">
      <c r="A1606" s="23" t="s">
        <v>92</v>
      </c>
      <c r="C1606" s="23" t="s">
        <v>10132</v>
      </c>
      <c r="D1606" s="23" t="s">
        <v>10133</v>
      </c>
      <c r="E1606" s="23" t="s">
        <v>10134</v>
      </c>
      <c r="G1606" s="23" t="s">
        <v>10135</v>
      </c>
      <c r="K1606" s="23" t="s">
        <v>10136</v>
      </c>
      <c r="L1606" s="23" t="s">
        <v>10137</v>
      </c>
      <c r="O1606" s="23" t="s">
        <v>12317</v>
      </c>
      <c r="P1606" s="23" t="s">
        <v>10138</v>
      </c>
      <c r="Q1606" s="23" t="s">
        <v>10139</v>
      </c>
      <c r="R1606" s="23" t="s">
        <v>10140</v>
      </c>
      <c r="S1606" s="23" t="s">
        <v>10141</v>
      </c>
      <c r="T1606" s="23" t="s">
        <v>10142</v>
      </c>
    </row>
    <row r="1607" spans="1:20" x14ac:dyDescent="0.2">
      <c r="A1607" s="23" t="s">
        <v>92</v>
      </c>
      <c r="C1607" s="23" t="s">
        <v>10143</v>
      </c>
      <c r="D1607" s="23" t="s">
        <v>10144</v>
      </c>
      <c r="E1607" s="23" t="s">
        <v>10145</v>
      </c>
      <c r="G1607" s="23" t="s">
        <v>10146</v>
      </c>
      <c r="K1607" s="23" t="s">
        <v>10147</v>
      </c>
      <c r="L1607" s="23" t="s">
        <v>10148</v>
      </c>
      <c r="O1607" s="23" t="s">
        <v>12318</v>
      </c>
      <c r="P1607" s="23" t="s">
        <v>13120</v>
      </c>
      <c r="Q1607" s="23" t="s">
        <v>13126</v>
      </c>
      <c r="R1607" s="23" t="s">
        <v>13132</v>
      </c>
      <c r="S1607" s="23" t="s">
        <v>13138</v>
      </c>
      <c r="T1607" s="23" t="s">
        <v>13144</v>
      </c>
    </row>
    <row r="1608" spans="1:20" x14ac:dyDescent="0.2">
      <c r="A1608" s="23" t="s">
        <v>92</v>
      </c>
      <c r="C1608" s="23" t="s">
        <v>10149</v>
      </c>
      <c r="D1608" s="23" t="s">
        <v>10150</v>
      </c>
      <c r="E1608" s="23" t="s">
        <v>10151</v>
      </c>
      <c r="G1608" s="23" t="s">
        <v>10152</v>
      </c>
      <c r="K1608" s="23" t="s">
        <v>10153</v>
      </c>
      <c r="L1608" s="23" t="s">
        <v>10154</v>
      </c>
      <c r="O1608" s="23" t="s">
        <v>12319</v>
      </c>
      <c r="P1608" s="23" t="s">
        <v>13121</v>
      </c>
      <c r="Q1608" s="23" t="s">
        <v>13127</v>
      </c>
      <c r="R1608" s="23" t="s">
        <v>13133</v>
      </c>
      <c r="S1608" s="23" t="s">
        <v>13139</v>
      </c>
      <c r="T1608" s="23" t="s">
        <v>13145</v>
      </c>
    </row>
    <row r="1609" spans="1:20" x14ac:dyDescent="0.2">
      <c r="A1609" s="23" t="s">
        <v>92</v>
      </c>
      <c r="C1609" s="23" t="s">
        <v>10155</v>
      </c>
      <c r="D1609" s="23" t="s">
        <v>10156</v>
      </c>
      <c r="E1609" s="23" t="s">
        <v>10157</v>
      </c>
      <c r="G1609" s="23" t="s">
        <v>10158</v>
      </c>
      <c r="K1609" s="23" t="s">
        <v>10159</v>
      </c>
      <c r="L1609" s="23" t="s">
        <v>10160</v>
      </c>
      <c r="O1609" s="23" t="s">
        <v>11554</v>
      </c>
      <c r="P1609" s="23" t="s">
        <v>13122</v>
      </c>
      <c r="Q1609" s="23" t="s">
        <v>13128</v>
      </c>
      <c r="R1609" s="23" t="s">
        <v>13134</v>
      </c>
      <c r="S1609" s="23" t="s">
        <v>13140</v>
      </c>
      <c r="T1609" s="23" t="s">
        <v>13146</v>
      </c>
    </row>
    <row r="1610" spans="1:20" x14ac:dyDescent="0.2">
      <c r="A1610" s="23" t="s">
        <v>92</v>
      </c>
      <c r="C1610" s="23" t="s">
        <v>10161</v>
      </c>
      <c r="D1610" s="23" t="s">
        <v>10162</v>
      </c>
      <c r="E1610" s="23" t="s">
        <v>10163</v>
      </c>
      <c r="G1610" s="23" t="s">
        <v>10164</v>
      </c>
      <c r="K1610" s="23" t="s">
        <v>10165</v>
      </c>
      <c r="L1610" s="23" t="s">
        <v>10166</v>
      </c>
      <c r="O1610" s="23" t="s">
        <v>11555</v>
      </c>
      <c r="P1610" s="23" t="s">
        <v>13123</v>
      </c>
      <c r="Q1610" s="23" t="s">
        <v>13129</v>
      </c>
      <c r="R1610" s="23" t="s">
        <v>13135</v>
      </c>
      <c r="S1610" s="23" t="s">
        <v>13141</v>
      </c>
      <c r="T1610" s="23" t="s">
        <v>13147</v>
      </c>
    </row>
    <row r="1611" spans="1:20" x14ac:dyDescent="0.2">
      <c r="A1611" s="23" t="s">
        <v>92</v>
      </c>
      <c r="C1611" s="23" t="s">
        <v>10167</v>
      </c>
      <c r="D1611" s="23" t="s">
        <v>10168</v>
      </c>
      <c r="E1611" s="23" t="s">
        <v>10169</v>
      </c>
      <c r="G1611" s="23" t="s">
        <v>10170</v>
      </c>
      <c r="K1611" s="23" t="s">
        <v>10171</v>
      </c>
      <c r="L1611" s="23" t="s">
        <v>10172</v>
      </c>
      <c r="O1611" s="23" t="s">
        <v>11556</v>
      </c>
      <c r="P1611" s="23" t="s">
        <v>13124</v>
      </c>
      <c r="Q1611" s="23" t="s">
        <v>13130</v>
      </c>
      <c r="R1611" s="23" t="s">
        <v>13136</v>
      </c>
      <c r="S1611" s="23" t="s">
        <v>13142</v>
      </c>
      <c r="T1611" s="23" t="s">
        <v>13148</v>
      </c>
    </row>
    <row r="1612" spans="1:20" x14ac:dyDescent="0.2">
      <c r="A1612" s="23" t="s">
        <v>92</v>
      </c>
      <c r="C1612" s="23" t="s">
        <v>10173</v>
      </c>
      <c r="D1612" s="23" t="s">
        <v>10174</v>
      </c>
      <c r="E1612" s="23" t="s">
        <v>10175</v>
      </c>
      <c r="G1612" s="23" t="s">
        <v>10176</v>
      </c>
      <c r="K1612" s="23" t="s">
        <v>10177</v>
      </c>
      <c r="L1612" s="23" t="s">
        <v>10178</v>
      </c>
      <c r="O1612" s="23" t="s">
        <v>12320</v>
      </c>
      <c r="P1612" s="23" t="s">
        <v>13125</v>
      </c>
      <c r="Q1612" s="23" t="s">
        <v>13131</v>
      </c>
      <c r="R1612" s="23" t="s">
        <v>13137</v>
      </c>
      <c r="S1612" s="23" t="s">
        <v>13143</v>
      </c>
      <c r="T1612" s="23" t="s">
        <v>13149</v>
      </c>
    </row>
    <row r="1613" spans="1:20" x14ac:dyDescent="0.2">
      <c r="A1613" s="23" t="s">
        <v>92</v>
      </c>
      <c r="C1613" s="23" t="s">
        <v>10143</v>
      </c>
      <c r="D1613" s="23" t="s">
        <v>10144</v>
      </c>
      <c r="E1613" s="23" t="s">
        <v>10145</v>
      </c>
      <c r="G1613" s="23" t="s">
        <v>10146</v>
      </c>
      <c r="K1613" s="23" t="s">
        <v>10147</v>
      </c>
      <c r="L1613" s="23" t="s">
        <v>10148</v>
      </c>
    </row>
    <row r="1614" spans="1:20" x14ac:dyDescent="0.2">
      <c r="A1614" s="23" t="s">
        <v>92</v>
      </c>
      <c r="C1614" s="23" t="s">
        <v>10179</v>
      </c>
      <c r="D1614" s="23" t="s">
        <v>10180</v>
      </c>
      <c r="E1614" s="23" t="s">
        <v>10181</v>
      </c>
      <c r="G1614" s="23" t="s">
        <v>10182</v>
      </c>
      <c r="K1614" s="23" t="s">
        <v>10183</v>
      </c>
      <c r="L1614" s="23" t="s">
        <v>10184</v>
      </c>
      <c r="M1614" s="23" t="s">
        <v>10185</v>
      </c>
      <c r="N1614" s="23" t="s">
        <v>10186</v>
      </c>
      <c r="T1614" s="23" t="s">
        <v>10187</v>
      </c>
    </row>
    <row r="1615" spans="1:20" x14ac:dyDescent="0.2">
      <c r="A1615" s="23" t="s">
        <v>92</v>
      </c>
      <c r="C1615" s="23" t="s">
        <v>10188</v>
      </c>
      <c r="D1615" s="23" t="s">
        <v>10189</v>
      </c>
      <c r="E1615" s="23" t="s">
        <v>10190</v>
      </c>
      <c r="G1615" s="23" t="s">
        <v>10191</v>
      </c>
      <c r="K1615" s="23" t="s">
        <v>10192</v>
      </c>
      <c r="L1615" s="23" t="s">
        <v>10193</v>
      </c>
      <c r="M1615" s="23" t="s">
        <v>10194</v>
      </c>
      <c r="N1615" s="23" t="s">
        <v>10195</v>
      </c>
    </row>
    <row r="1616" spans="1:20" x14ac:dyDescent="0.2">
      <c r="A1616" s="23" t="s">
        <v>92</v>
      </c>
      <c r="C1616" s="23" t="s">
        <v>10196</v>
      </c>
      <c r="D1616" s="23" t="s">
        <v>10197</v>
      </c>
      <c r="E1616" s="23" t="s">
        <v>10198</v>
      </c>
      <c r="G1616" s="23" t="s">
        <v>10199</v>
      </c>
      <c r="K1616" s="23" t="s">
        <v>10200</v>
      </c>
      <c r="L1616" s="23" t="s">
        <v>10201</v>
      </c>
      <c r="O1616" s="23" t="s">
        <v>12321</v>
      </c>
      <c r="P1616" s="23" t="s">
        <v>10202</v>
      </c>
      <c r="Q1616" s="23" t="s">
        <v>10203</v>
      </c>
      <c r="R1616" s="23" t="s">
        <v>10204</v>
      </c>
      <c r="S1616" s="23" t="s">
        <v>10205</v>
      </c>
      <c r="T1616" s="23" t="s">
        <v>10206</v>
      </c>
    </row>
    <row r="1617" spans="1:20" x14ac:dyDescent="0.2">
      <c r="A1617" s="23" t="s">
        <v>92</v>
      </c>
      <c r="C1617" s="23" t="s">
        <v>10207</v>
      </c>
      <c r="D1617" s="23" t="s">
        <v>10208</v>
      </c>
      <c r="E1617" s="23" t="s">
        <v>10209</v>
      </c>
      <c r="G1617" s="23" t="s">
        <v>10210</v>
      </c>
      <c r="K1617" s="23" t="s">
        <v>10211</v>
      </c>
      <c r="L1617" s="23" t="s">
        <v>10212</v>
      </c>
      <c r="O1617" s="23" t="s">
        <v>12322</v>
      </c>
      <c r="P1617" s="23" t="s">
        <v>12323</v>
      </c>
      <c r="Q1617" s="23" t="s">
        <v>12324</v>
      </c>
      <c r="R1617" s="23" t="s">
        <v>12325</v>
      </c>
      <c r="S1617" s="23" t="s">
        <v>12326</v>
      </c>
      <c r="T1617" s="23" t="s">
        <v>12327</v>
      </c>
    </row>
    <row r="1618" spans="1:20" x14ac:dyDescent="0.2">
      <c r="A1618" s="23" t="s">
        <v>92</v>
      </c>
      <c r="C1618" s="23" t="s">
        <v>10207</v>
      </c>
      <c r="D1618" s="23" t="s">
        <v>10208</v>
      </c>
      <c r="E1618" s="23" t="s">
        <v>10209</v>
      </c>
      <c r="G1618" s="23" t="s">
        <v>10210</v>
      </c>
      <c r="K1618" s="23" t="s">
        <v>10211</v>
      </c>
      <c r="L1618" s="23" t="s">
        <v>10212</v>
      </c>
    </row>
    <row r="1619" spans="1:20" x14ac:dyDescent="0.2">
      <c r="A1619" s="23" t="s">
        <v>92</v>
      </c>
      <c r="C1619" s="23" t="s">
        <v>10213</v>
      </c>
      <c r="D1619" s="23" t="s">
        <v>10214</v>
      </c>
      <c r="E1619" s="23" t="s">
        <v>10215</v>
      </c>
      <c r="G1619" s="23" t="s">
        <v>10216</v>
      </c>
      <c r="K1619" s="23" t="s">
        <v>10217</v>
      </c>
      <c r="L1619" s="23" t="s">
        <v>10218</v>
      </c>
      <c r="M1619" s="23" t="s">
        <v>10219</v>
      </c>
      <c r="N1619" s="23" t="s">
        <v>10220</v>
      </c>
      <c r="T1619" s="23" t="s">
        <v>10221</v>
      </c>
    </row>
    <row r="1620" spans="1:20" x14ac:dyDescent="0.2">
      <c r="A1620" s="23" t="s">
        <v>92</v>
      </c>
      <c r="C1620" s="23" t="s">
        <v>10222</v>
      </c>
      <c r="D1620" s="23" t="s">
        <v>10223</v>
      </c>
      <c r="E1620" s="23" t="s">
        <v>10224</v>
      </c>
      <c r="G1620" s="23" t="s">
        <v>10225</v>
      </c>
      <c r="K1620" s="23" t="s">
        <v>10226</v>
      </c>
      <c r="L1620" s="23" t="s">
        <v>10227</v>
      </c>
      <c r="M1620" s="23" t="s">
        <v>10228</v>
      </c>
      <c r="N1620" s="23" t="s">
        <v>10229</v>
      </c>
    </row>
    <row r="1621" spans="1:20" x14ac:dyDescent="0.2">
      <c r="A1621" s="23" t="s">
        <v>92</v>
      </c>
      <c r="C1621" s="23" t="s">
        <v>10230</v>
      </c>
      <c r="D1621" s="23" t="s">
        <v>10231</v>
      </c>
      <c r="E1621" s="23" t="s">
        <v>10232</v>
      </c>
      <c r="G1621" s="23" t="s">
        <v>10233</v>
      </c>
      <c r="K1621" s="23" t="s">
        <v>10234</v>
      </c>
      <c r="L1621" s="23" t="s">
        <v>10235</v>
      </c>
      <c r="O1621" s="23" t="s">
        <v>12328</v>
      </c>
      <c r="P1621" s="23" t="s">
        <v>10236</v>
      </c>
      <c r="Q1621" s="23" t="s">
        <v>10237</v>
      </c>
      <c r="R1621" s="23" t="s">
        <v>10238</v>
      </c>
      <c r="S1621" s="23" t="s">
        <v>10239</v>
      </c>
      <c r="T1621" s="23" t="s">
        <v>10240</v>
      </c>
    </row>
    <row r="1622" spans="1:20" x14ac:dyDescent="0.2">
      <c r="A1622" s="23" t="s">
        <v>92</v>
      </c>
      <c r="C1622" s="23" t="s">
        <v>10241</v>
      </c>
      <c r="D1622" s="23" t="s">
        <v>10242</v>
      </c>
      <c r="E1622" s="23" t="s">
        <v>10243</v>
      </c>
      <c r="G1622" s="23" t="s">
        <v>10244</v>
      </c>
      <c r="K1622" s="23" t="s">
        <v>10245</v>
      </c>
      <c r="L1622" s="23" t="s">
        <v>10246</v>
      </c>
      <c r="O1622" s="23" t="s">
        <v>12329</v>
      </c>
      <c r="P1622" s="23" t="s">
        <v>12330</v>
      </c>
      <c r="Q1622" s="23" t="s">
        <v>12331</v>
      </c>
      <c r="R1622" s="23" t="s">
        <v>12332</v>
      </c>
      <c r="S1622" s="23" t="s">
        <v>12333</v>
      </c>
      <c r="T1622" s="23" t="s">
        <v>12334</v>
      </c>
    </row>
    <row r="1623" spans="1:20" x14ac:dyDescent="0.2">
      <c r="A1623" s="23" t="s">
        <v>92</v>
      </c>
      <c r="C1623" s="23" t="s">
        <v>10241</v>
      </c>
      <c r="D1623" s="23" t="s">
        <v>10242</v>
      </c>
      <c r="E1623" s="23" t="s">
        <v>10243</v>
      </c>
      <c r="G1623" s="23" t="s">
        <v>10244</v>
      </c>
      <c r="K1623" s="23" t="s">
        <v>10245</v>
      </c>
      <c r="L1623" s="23" t="s">
        <v>10246</v>
      </c>
    </row>
    <row r="1624" spans="1:20" x14ac:dyDescent="0.2">
      <c r="A1624" s="23" t="s">
        <v>92</v>
      </c>
      <c r="C1624" s="23" t="s">
        <v>10247</v>
      </c>
      <c r="D1624" s="23" t="s">
        <v>10248</v>
      </c>
      <c r="E1624" s="23" t="s">
        <v>10249</v>
      </c>
      <c r="G1624" s="23" t="s">
        <v>10250</v>
      </c>
      <c r="K1624" s="23" t="s">
        <v>10251</v>
      </c>
      <c r="L1624" s="23" t="s">
        <v>10252</v>
      </c>
      <c r="M1624" s="23" t="s">
        <v>10253</v>
      </c>
      <c r="N1624" s="23" t="s">
        <v>10254</v>
      </c>
      <c r="T1624" s="23" t="s">
        <v>10255</v>
      </c>
    </row>
    <row r="1625" spans="1:20" x14ac:dyDescent="0.2">
      <c r="A1625" s="23" t="s">
        <v>92</v>
      </c>
      <c r="C1625" s="23" t="s">
        <v>9868</v>
      </c>
      <c r="D1625" s="23" t="s">
        <v>9869</v>
      </c>
      <c r="E1625" s="23" t="s">
        <v>9870</v>
      </c>
      <c r="G1625" s="23" t="s">
        <v>9871</v>
      </c>
    </row>
    <row r="1626" spans="1:20" x14ac:dyDescent="0.2">
      <c r="A1626" s="23" t="s">
        <v>92</v>
      </c>
      <c r="C1626" s="23" t="s">
        <v>10256</v>
      </c>
      <c r="D1626" s="23" t="s">
        <v>10257</v>
      </c>
      <c r="E1626" s="23" t="s">
        <v>10258</v>
      </c>
      <c r="G1626" s="23" t="s">
        <v>10259</v>
      </c>
      <c r="H1626" s="23" t="s">
        <v>10260</v>
      </c>
      <c r="I1626" s="23" t="s">
        <v>10261</v>
      </c>
      <c r="J1626" s="23" t="s">
        <v>10262</v>
      </c>
      <c r="T1626" s="23" t="s">
        <v>10263</v>
      </c>
    </row>
    <row r="1627" spans="1:20" x14ac:dyDescent="0.2">
      <c r="A1627" s="23" t="s">
        <v>92</v>
      </c>
      <c r="C1627" s="23" t="s">
        <v>10264</v>
      </c>
      <c r="D1627" s="23" t="s">
        <v>10265</v>
      </c>
      <c r="E1627" s="23" t="s">
        <v>10266</v>
      </c>
      <c r="G1627" s="23" t="s">
        <v>10267</v>
      </c>
      <c r="H1627" s="23" t="s">
        <v>10268</v>
      </c>
      <c r="I1627" s="23" t="s">
        <v>10269</v>
      </c>
      <c r="J1627" s="23" t="s">
        <v>10270</v>
      </c>
    </row>
    <row r="1628" spans="1:20" x14ac:dyDescent="0.2">
      <c r="A1628" s="23" t="s">
        <v>92</v>
      </c>
      <c r="C1628" s="23" t="s">
        <v>10271</v>
      </c>
      <c r="D1628" s="23" t="s">
        <v>10272</v>
      </c>
      <c r="E1628" s="23" t="s">
        <v>10273</v>
      </c>
      <c r="G1628" s="23" t="s">
        <v>10274</v>
      </c>
      <c r="K1628" s="23" t="s">
        <v>10275</v>
      </c>
      <c r="L1628" s="23" t="s">
        <v>10276</v>
      </c>
      <c r="M1628" s="23" t="s">
        <v>12335</v>
      </c>
      <c r="N1628" s="23" t="s">
        <v>10277</v>
      </c>
    </row>
    <row r="1629" spans="1:20" x14ac:dyDescent="0.2">
      <c r="A1629" s="23" t="s">
        <v>92</v>
      </c>
      <c r="C1629" s="23" t="s">
        <v>10278</v>
      </c>
      <c r="D1629" s="23" t="s">
        <v>10279</v>
      </c>
      <c r="E1629" s="23" t="s">
        <v>10280</v>
      </c>
      <c r="G1629" s="23" t="s">
        <v>10281</v>
      </c>
      <c r="K1629" s="23" t="s">
        <v>10282</v>
      </c>
      <c r="L1629" s="23" t="s">
        <v>10283</v>
      </c>
      <c r="O1629" s="23" t="s">
        <v>12336</v>
      </c>
      <c r="P1629" s="23" t="s">
        <v>10284</v>
      </c>
      <c r="Q1629" s="23" t="s">
        <v>10285</v>
      </c>
      <c r="R1629" s="23" t="s">
        <v>10286</v>
      </c>
      <c r="S1629" s="23" t="s">
        <v>10287</v>
      </c>
      <c r="T1629" s="23" t="s">
        <v>10288</v>
      </c>
    </row>
    <row r="1630" spans="1:20" x14ac:dyDescent="0.2">
      <c r="A1630" s="23" t="s">
        <v>92</v>
      </c>
      <c r="C1630" s="23" t="s">
        <v>10289</v>
      </c>
      <c r="D1630" s="23" t="s">
        <v>10290</v>
      </c>
      <c r="E1630" s="23" t="s">
        <v>10291</v>
      </c>
      <c r="G1630" s="23" t="s">
        <v>10292</v>
      </c>
      <c r="K1630" s="23" t="s">
        <v>10293</v>
      </c>
      <c r="L1630" s="23" t="s">
        <v>10294</v>
      </c>
      <c r="O1630" s="23" t="s">
        <v>12337</v>
      </c>
      <c r="P1630" s="23" t="s">
        <v>13640</v>
      </c>
      <c r="Q1630" s="23" t="s">
        <v>13646</v>
      </c>
      <c r="R1630" s="23" t="s">
        <v>13652</v>
      </c>
      <c r="S1630" s="23" t="s">
        <v>13658</v>
      </c>
      <c r="T1630" s="23" t="s">
        <v>13664</v>
      </c>
    </row>
    <row r="1631" spans="1:20" x14ac:dyDescent="0.2">
      <c r="A1631" s="23" t="s">
        <v>92</v>
      </c>
      <c r="C1631" s="23" t="s">
        <v>10295</v>
      </c>
      <c r="D1631" s="23" t="s">
        <v>10296</v>
      </c>
      <c r="E1631" s="23" t="s">
        <v>10297</v>
      </c>
      <c r="G1631" s="23" t="s">
        <v>10298</v>
      </c>
      <c r="K1631" s="23" t="s">
        <v>10299</v>
      </c>
      <c r="L1631" s="23" t="s">
        <v>10300</v>
      </c>
      <c r="O1631" s="23" t="s">
        <v>12338</v>
      </c>
      <c r="P1631" s="23" t="s">
        <v>13641</v>
      </c>
      <c r="Q1631" s="23" t="s">
        <v>13647</v>
      </c>
      <c r="R1631" s="23" t="s">
        <v>13653</v>
      </c>
      <c r="S1631" s="23" t="s">
        <v>13659</v>
      </c>
      <c r="T1631" s="23" t="s">
        <v>13665</v>
      </c>
    </row>
    <row r="1632" spans="1:20" x14ac:dyDescent="0.2">
      <c r="A1632" s="23" t="s">
        <v>92</v>
      </c>
      <c r="C1632" s="23" t="s">
        <v>10301</v>
      </c>
      <c r="D1632" s="23" t="s">
        <v>10302</v>
      </c>
      <c r="E1632" s="23" t="s">
        <v>10303</v>
      </c>
      <c r="G1632" s="23" t="s">
        <v>10304</v>
      </c>
      <c r="K1632" s="23" t="s">
        <v>10305</v>
      </c>
      <c r="L1632" s="23" t="s">
        <v>10306</v>
      </c>
      <c r="O1632" s="23" t="s">
        <v>11517</v>
      </c>
      <c r="P1632" s="23" t="s">
        <v>13642</v>
      </c>
      <c r="Q1632" s="23" t="s">
        <v>13648</v>
      </c>
      <c r="R1632" s="23" t="s">
        <v>13654</v>
      </c>
      <c r="S1632" s="23" t="s">
        <v>13660</v>
      </c>
      <c r="T1632" s="23" t="s">
        <v>13666</v>
      </c>
    </row>
    <row r="1633" spans="1:20" x14ac:dyDescent="0.2">
      <c r="A1633" s="23" t="s">
        <v>92</v>
      </c>
      <c r="C1633" s="23" t="s">
        <v>10307</v>
      </c>
      <c r="D1633" s="23" t="s">
        <v>10308</v>
      </c>
      <c r="E1633" s="23" t="s">
        <v>10309</v>
      </c>
      <c r="G1633" s="23" t="s">
        <v>10310</v>
      </c>
      <c r="K1633" s="23" t="s">
        <v>10311</v>
      </c>
      <c r="L1633" s="23" t="s">
        <v>10312</v>
      </c>
      <c r="O1633" s="23" t="s">
        <v>11518</v>
      </c>
      <c r="P1633" s="23" t="s">
        <v>13643</v>
      </c>
      <c r="Q1633" s="23" t="s">
        <v>13649</v>
      </c>
      <c r="R1633" s="23" t="s">
        <v>13655</v>
      </c>
      <c r="S1633" s="23" t="s">
        <v>13661</v>
      </c>
      <c r="T1633" s="23" t="s">
        <v>13667</v>
      </c>
    </row>
    <row r="1634" spans="1:20" x14ac:dyDescent="0.2">
      <c r="A1634" s="23" t="s">
        <v>92</v>
      </c>
      <c r="C1634" s="23" t="s">
        <v>10313</v>
      </c>
      <c r="D1634" s="23" t="s">
        <v>10314</v>
      </c>
      <c r="E1634" s="23" t="s">
        <v>10315</v>
      </c>
      <c r="G1634" s="23" t="s">
        <v>10316</v>
      </c>
      <c r="K1634" s="23" t="s">
        <v>10317</v>
      </c>
      <c r="L1634" s="23" t="s">
        <v>10318</v>
      </c>
      <c r="O1634" s="23" t="s">
        <v>11519</v>
      </c>
      <c r="P1634" s="23" t="s">
        <v>13644</v>
      </c>
      <c r="Q1634" s="23" t="s">
        <v>13650</v>
      </c>
      <c r="R1634" s="23" t="s">
        <v>13656</v>
      </c>
      <c r="S1634" s="23" t="s">
        <v>13662</v>
      </c>
      <c r="T1634" s="23" t="s">
        <v>13668</v>
      </c>
    </row>
    <row r="1635" spans="1:20" x14ac:dyDescent="0.2">
      <c r="A1635" s="23" t="s">
        <v>92</v>
      </c>
      <c r="C1635" s="23" t="s">
        <v>10319</v>
      </c>
      <c r="D1635" s="23" t="s">
        <v>10320</v>
      </c>
      <c r="E1635" s="23" t="s">
        <v>10321</v>
      </c>
      <c r="G1635" s="23" t="s">
        <v>10322</v>
      </c>
      <c r="K1635" s="23" t="s">
        <v>10323</v>
      </c>
      <c r="L1635" s="23" t="s">
        <v>10324</v>
      </c>
      <c r="O1635" s="23" t="s">
        <v>12339</v>
      </c>
      <c r="P1635" s="23" t="s">
        <v>13645</v>
      </c>
      <c r="Q1635" s="23" t="s">
        <v>13651</v>
      </c>
      <c r="R1635" s="23" t="s">
        <v>13657</v>
      </c>
      <c r="S1635" s="23" t="s">
        <v>13663</v>
      </c>
      <c r="T1635" s="23" t="s">
        <v>13669</v>
      </c>
    </row>
    <row r="1636" spans="1:20" x14ac:dyDescent="0.2">
      <c r="A1636" s="23" t="s">
        <v>92</v>
      </c>
      <c r="C1636" s="23" t="s">
        <v>10289</v>
      </c>
      <c r="D1636" s="23" t="s">
        <v>10290</v>
      </c>
      <c r="E1636" s="23" t="s">
        <v>10291</v>
      </c>
      <c r="G1636" s="23" t="s">
        <v>10292</v>
      </c>
      <c r="K1636" s="23" t="s">
        <v>10293</v>
      </c>
      <c r="L1636" s="23" t="s">
        <v>10294</v>
      </c>
    </row>
    <row r="1637" spans="1:20" x14ac:dyDescent="0.2">
      <c r="A1637" s="23" t="s">
        <v>92</v>
      </c>
      <c r="C1637" s="23" t="s">
        <v>10325</v>
      </c>
      <c r="D1637" s="23" t="s">
        <v>10326</v>
      </c>
      <c r="E1637" s="23" t="s">
        <v>10327</v>
      </c>
      <c r="G1637" s="23" t="s">
        <v>10328</v>
      </c>
      <c r="K1637" s="23" t="s">
        <v>10329</v>
      </c>
      <c r="L1637" s="23" t="s">
        <v>10330</v>
      </c>
      <c r="M1637" s="23" t="s">
        <v>10331</v>
      </c>
      <c r="N1637" s="23" t="s">
        <v>10332</v>
      </c>
      <c r="T1637" s="23" t="s">
        <v>10333</v>
      </c>
    </row>
    <row r="1638" spans="1:20" x14ac:dyDescent="0.2">
      <c r="A1638" s="23" t="s">
        <v>92</v>
      </c>
      <c r="C1638" s="23" t="s">
        <v>10334</v>
      </c>
      <c r="D1638" s="23" t="s">
        <v>10335</v>
      </c>
      <c r="E1638" s="23" t="s">
        <v>10336</v>
      </c>
      <c r="G1638" s="23" t="s">
        <v>10337</v>
      </c>
      <c r="K1638" s="23" t="s">
        <v>10338</v>
      </c>
      <c r="L1638" s="23" t="s">
        <v>10339</v>
      </c>
      <c r="M1638" s="23" t="s">
        <v>10340</v>
      </c>
      <c r="N1638" s="23" t="s">
        <v>10341</v>
      </c>
    </row>
    <row r="1639" spans="1:20" x14ac:dyDescent="0.2">
      <c r="A1639" s="23" t="s">
        <v>92</v>
      </c>
      <c r="C1639" s="23" t="s">
        <v>10342</v>
      </c>
      <c r="D1639" s="23" t="s">
        <v>10343</v>
      </c>
      <c r="E1639" s="23" t="s">
        <v>10344</v>
      </c>
      <c r="G1639" s="23" t="s">
        <v>10345</v>
      </c>
      <c r="K1639" s="23" t="s">
        <v>10346</v>
      </c>
      <c r="L1639" s="23" t="s">
        <v>10347</v>
      </c>
      <c r="O1639" s="23" t="s">
        <v>12340</v>
      </c>
      <c r="P1639" s="23" t="s">
        <v>10348</v>
      </c>
      <c r="Q1639" s="23" t="s">
        <v>10349</v>
      </c>
      <c r="R1639" s="23" t="s">
        <v>10350</v>
      </c>
      <c r="S1639" s="23" t="s">
        <v>10351</v>
      </c>
      <c r="T1639" s="23" t="s">
        <v>10352</v>
      </c>
    </row>
    <row r="1640" spans="1:20" x14ac:dyDescent="0.2">
      <c r="A1640" s="23" t="s">
        <v>92</v>
      </c>
      <c r="C1640" s="23" t="s">
        <v>10353</v>
      </c>
      <c r="D1640" s="23" t="s">
        <v>10354</v>
      </c>
      <c r="E1640" s="23" t="s">
        <v>10355</v>
      </c>
      <c r="G1640" s="23" t="s">
        <v>10356</v>
      </c>
      <c r="K1640" s="23" t="s">
        <v>10357</v>
      </c>
      <c r="L1640" s="23" t="s">
        <v>10358</v>
      </c>
      <c r="O1640" s="23" t="s">
        <v>12341</v>
      </c>
      <c r="P1640" s="23" t="s">
        <v>13795</v>
      </c>
      <c r="Q1640" s="23" t="s">
        <v>13801</v>
      </c>
      <c r="R1640" s="23" t="s">
        <v>13807</v>
      </c>
      <c r="S1640" s="23" t="s">
        <v>13813</v>
      </c>
      <c r="T1640" s="23" t="s">
        <v>13819</v>
      </c>
    </row>
    <row r="1641" spans="1:20" x14ac:dyDescent="0.2">
      <c r="A1641" s="23" t="s">
        <v>92</v>
      </c>
      <c r="C1641" s="23" t="s">
        <v>10359</v>
      </c>
      <c r="D1641" s="23" t="s">
        <v>10360</v>
      </c>
      <c r="E1641" s="23" t="s">
        <v>10361</v>
      </c>
      <c r="G1641" s="23" t="s">
        <v>10362</v>
      </c>
      <c r="K1641" s="23" t="s">
        <v>10363</v>
      </c>
      <c r="L1641" s="23" t="s">
        <v>10364</v>
      </c>
      <c r="O1641" s="23" t="s">
        <v>12342</v>
      </c>
      <c r="P1641" s="23" t="s">
        <v>13796</v>
      </c>
      <c r="Q1641" s="23" t="s">
        <v>13802</v>
      </c>
      <c r="R1641" s="23" t="s">
        <v>13808</v>
      </c>
      <c r="S1641" s="23" t="s">
        <v>13814</v>
      </c>
      <c r="T1641" s="23" t="s">
        <v>13820</v>
      </c>
    </row>
    <row r="1642" spans="1:20" x14ac:dyDescent="0.2">
      <c r="A1642" s="23" t="s">
        <v>92</v>
      </c>
      <c r="C1642" s="23" t="s">
        <v>10365</v>
      </c>
      <c r="D1642" s="23" t="s">
        <v>10366</v>
      </c>
      <c r="E1642" s="23" t="s">
        <v>10367</v>
      </c>
      <c r="G1642" s="23" t="s">
        <v>10368</v>
      </c>
      <c r="K1642" s="23" t="s">
        <v>10369</v>
      </c>
      <c r="L1642" s="23" t="s">
        <v>10370</v>
      </c>
      <c r="O1642" s="23" t="s">
        <v>11524</v>
      </c>
      <c r="P1642" s="23" t="s">
        <v>13797</v>
      </c>
      <c r="Q1642" s="23" t="s">
        <v>13803</v>
      </c>
      <c r="R1642" s="23" t="s">
        <v>13809</v>
      </c>
      <c r="S1642" s="23" t="s">
        <v>13815</v>
      </c>
      <c r="T1642" s="23" t="s">
        <v>13821</v>
      </c>
    </row>
    <row r="1643" spans="1:20" x14ac:dyDescent="0.2">
      <c r="A1643" s="23" t="s">
        <v>92</v>
      </c>
      <c r="C1643" s="23" t="s">
        <v>10371</v>
      </c>
      <c r="D1643" s="23" t="s">
        <v>10372</v>
      </c>
      <c r="E1643" s="23" t="s">
        <v>10373</v>
      </c>
      <c r="G1643" s="23" t="s">
        <v>10374</v>
      </c>
      <c r="K1643" s="23" t="s">
        <v>10375</v>
      </c>
      <c r="L1643" s="23" t="s">
        <v>10376</v>
      </c>
      <c r="O1643" s="23" t="s">
        <v>11525</v>
      </c>
      <c r="P1643" s="23" t="s">
        <v>13798</v>
      </c>
      <c r="Q1643" s="23" t="s">
        <v>13804</v>
      </c>
      <c r="R1643" s="23" t="s">
        <v>13810</v>
      </c>
      <c r="S1643" s="23" t="s">
        <v>13816</v>
      </c>
      <c r="T1643" s="23" t="s">
        <v>13822</v>
      </c>
    </row>
    <row r="1644" spans="1:20" x14ac:dyDescent="0.2">
      <c r="A1644" s="23" t="s">
        <v>92</v>
      </c>
      <c r="C1644" s="23" t="s">
        <v>10377</v>
      </c>
      <c r="D1644" s="23" t="s">
        <v>10378</v>
      </c>
      <c r="E1644" s="23" t="s">
        <v>10379</v>
      </c>
      <c r="G1644" s="23" t="s">
        <v>10380</v>
      </c>
      <c r="K1644" s="23" t="s">
        <v>10381</v>
      </c>
      <c r="L1644" s="23" t="s">
        <v>10382</v>
      </c>
      <c r="O1644" s="23" t="s">
        <v>11526</v>
      </c>
      <c r="P1644" s="23" t="s">
        <v>13799</v>
      </c>
      <c r="Q1644" s="23" t="s">
        <v>13805</v>
      </c>
      <c r="R1644" s="23" t="s">
        <v>13811</v>
      </c>
      <c r="S1644" s="23" t="s">
        <v>13817</v>
      </c>
      <c r="T1644" s="23" t="s">
        <v>13823</v>
      </c>
    </row>
    <row r="1645" spans="1:20" x14ac:dyDescent="0.2">
      <c r="A1645" s="23" t="s">
        <v>92</v>
      </c>
      <c r="C1645" s="23" t="s">
        <v>10383</v>
      </c>
      <c r="D1645" s="23" t="s">
        <v>10384</v>
      </c>
      <c r="E1645" s="23" t="s">
        <v>10385</v>
      </c>
      <c r="G1645" s="23" t="s">
        <v>10386</v>
      </c>
      <c r="K1645" s="23" t="s">
        <v>10387</v>
      </c>
      <c r="L1645" s="23" t="s">
        <v>10388</v>
      </c>
      <c r="O1645" s="23" t="s">
        <v>12343</v>
      </c>
      <c r="P1645" s="23" t="s">
        <v>13800</v>
      </c>
      <c r="Q1645" s="23" t="s">
        <v>13806</v>
      </c>
      <c r="R1645" s="23" t="s">
        <v>13812</v>
      </c>
      <c r="S1645" s="23" t="s">
        <v>13818</v>
      </c>
      <c r="T1645" s="23" t="s">
        <v>13824</v>
      </c>
    </row>
    <row r="1646" spans="1:20" x14ac:dyDescent="0.2">
      <c r="A1646" s="23" t="s">
        <v>92</v>
      </c>
      <c r="C1646" s="23" t="s">
        <v>10353</v>
      </c>
      <c r="D1646" s="23" t="s">
        <v>10354</v>
      </c>
      <c r="E1646" s="23" t="s">
        <v>10355</v>
      </c>
      <c r="G1646" s="23" t="s">
        <v>10356</v>
      </c>
      <c r="K1646" s="23" t="s">
        <v>10357</v>
      </c>
      <c r="L1646" s="23" t="s">
        <v>10358</v>
      </c>
    </row>
    <row r="1647" spans="1:20" x14ac:dyDescent="0.2">
      <c r="A1647" s="23" t="s">
        <v>92</v>
      </c>
      <c r="C1647" s="23" t="s">
        <v>10389</v>
      </c>
      <c r="D1647" s="23" t="s">
        <v>10390</v>
      </c>
      <c r="E1647" s="23" t="s">
        <v>10391</v>
      </c>
      <c r="G1647" s="23" t="s">
        <v>10392</v>
      </c>
      <c r="K1647" s="23" t="s">
        <v>10393</v>
      </c>
      <c r="L1647" s="23" t="s">
        <v>10394</v>
      </c>
      <c r="M1647" s="23" t="s">
        <v>10395</v>
      </c>
      <c r="N1647" s="23" t="s">
        <v>10396</v>
      </c>
      <c r="T1647" s="23" t="s">
        <v>10397</v>
      </c>
    </row>
    <row r="1648" spans="1:20" x14ac:dyDescent="0.2">
      <c r="A1648" s="23" t="s">
        <v>92</v>
      </c>
      <c r="C1648" s="23" t="s">
        <v>10398</v>
      </c>
      <c r="D1648" s="23" t="s">
        <v>10399</v>
      </c>
      <c r="E1648" s="23" t="s">
        <v>10400</v>
      </c>
      <c r="G1648" s="23" t="s">
        <v>10401</v>
      </c>
      <c r="K1648" s="23" t="s">
        <v>10402</v>
      </c>
      <c r="L1648" s="23" t="s">
        <v>10403</v>
      </c>
      <c r="M1648" s="23" t="s">
        <v>10404</v>
      </c>
      <c r="N1648" s="23" t="s">
        <v>10405</v>
      </c>
    </row>
    <row r="1649" spans="1:20" x14ac:dyDescent="0.2">
      <c r="A1649" s="23" t="s">
        <v>92</v>
      </c>
      <c r="C1649" s="23" t="s">
        <v>10406</v>
      </c>
      <c r="D1649" s="23" t="s">
        <v>10407</v>
      </c>
      <c r="E1649" s="23" t="s">
        <v>10408</v>
      </c>
      <c r="G1649" s="23" t="s">
        <v>10409</v>
      </c>
      <c r="K1649" s="23" t="s">
        <v>10410</v>
      </c>
      <c r="L1649" s="23" t="s">
        <v>10411</v>
      </c>
      <c r="O1649" s="23" t="s">
        <v>12344</v>
      </c>
      <c r="P1649" s="23" t="s">
        <v>10412</v>
      </c>
      <c r="Q1649" s="23" t="s">
        <v>10413</v>
      </c>
      <c r="R1649" s="23" t="s">
        <v>10414</v>
      </c>
      <c r="S1649" s="23" t="s">
        <v>10415</v>
      </c>
      <c r="T1649" s="23" t="s">
        <v>10416</v>
      </c>
    </row>
    <row r="1650" spans="1:20" x14ac:dyDescent="0.2">
      <c r="A1650" s="23" t="s">
        <v>92</v>
      </c>
      <c r="C1650" s="23" t="s">
        <v>10417</v>
      </c>
      <c r="D1650" s="23" t="s">
        <v>10418</v>
      </c>
      <c r="E1650" s="23" t="s">
        <v>10419</v>
      </c>
      <c r="G1650" s="23" t="s">
        <v>10420</v>
      </c>
      <c r="K1650" s="23" t="s">
        <v>10421</v>
      </c>
      <c r="L1650" s="23" t="s">
        <v>10422</v>
      </c>
      <c r="O1650" s="23" t="s">
        <v>12345</v>
      </c>
      <c r="P1650" s="23" t="s">
        <v>13760</v>
      </c>
      <c r="Q1650" s="23" t="s">
        <v>13767</v>
      </c>
      <c r="R1650" s="23" t="s">
        <v>13774</v>
      </c>
      <c r="S1650" s="23" t="s">
        <v>13781</v>
      </c>
      <c r="T1650" s="23" t="s">
        <v>13788</v>
      </c>
    </row>
    <row r="1651" spans="1:20" x14ac:dyDescent="0.2">
      <c r="A1651" s="23" t="s">
        <v>92</v>
      </c>
      <c r="C1651" s="23" t="s">
        <v>10423</v>
      </c>
      <c r="D1651" s="23" t="s">
        <v>10424</v>
      </c>
      <c r="E1651" s="23" t="s">
        <v>10425</v>
      </c>
      <c r="G1651" s="23" t="s">
        <v>10426</v>
      </c>
      <c r="K1651" s="23" t="s">
        <v>10427</v>
      </c>
      <c r="L1651" s="23" t="s">
        <v>10428</v>
      </c>
      <c r="O1651" s="23" t="s">
        <v>11571</v>
      </c>
      <c r="P1651" s="23" t="s">
        <v>13761</v>
      </c>
      <c r="Q1651" s="23" t="s">
        <v>13768</v>
      </c>
      <c r="R1651" s="23" t="s">
        <v>13775</v>
      </c>
      <c r="S1651" s="23" t="s">
        <v>13782</v>
      </c>
      <c r="T1651" s="23" t="s">
        <v>13789</v>
      </c>
    </row>
    <row r="1652" spans="1:20" x14ac:dyDescent="0.2">
      <c r="A1652" s="23" t="s">
        <v>92</v>
      </c>
      <c r="C1652" s="23" t="s">
        <v>10429</v>
      </c>
      <c r="D1652" s="23" t="s">
        <v>10430</v>
      </c>
      <c r="E1652" s="23" t="s">
        <v>10431</v>
      </c>
      <c r="G1652" s="23" t="s">
        <v>10432</v>
      </c>
      <c r="K1652" s="23" t="s">
        <v>10433</v>
      </c>
      <c r="L1652" s="23" t="s">
        <v>10434</v>
      </c>
      <c r="O1652" s="23" t="s">
        <v>12346</v>
      </c>
      <c r="P1652" s="23" t="s">
        <v>13762</v>
      </c>
      <c r="Q1652" s="23" t="s">
        <v>13769</v>
      </c>
      <c r="R1652" s="23" t="s">
        <v>13776</v>
      </c>
      <c r="S1652" s="23" t="s">
        <v>13783</v>
      </c>
      <c r="T1652" s="23" t="s">
        <v>13790</v>
      </c>
    </row>
    <row r="1653" spans="1:20" x14ac:dyDescent="0.2">
      <c r="A1653" s="23" t="s">
        <v>92</v>
      </c>
      <c r="C1653" s="23" t="s">
        <v>10435</v>
      </c>
      <c r="D1653" s="23" t="s">
        <v>10436</v>
      </c>
      <c r="E1653" s="23" t="s">
        <v>10437</v>
      </c>
      <c r="G1653" s="23" t="s">
        <v>10438</v>
      </c>
      <c r="K1653" s="23" t="s">
        <v>10439</v>
      </c>
      <c r="L1653" s="23" t="s">
        <v>10440</v>
      </c>
      <c r="O1653" s="23" t="s">
        <v>11531</v>
      </c>
      <c r="P1653" s="23" t="s">
        <v>13763</v>
      </c>
      <c r="Q1653" s="23" t="s">
        <v>13770</v>
      </c>
      <c r="R1653" s="23" t="s">
        <v>13777</v>
      </c>
      <c r="S1653" s="23" t="s">
        <v>13784</v>
      </c>
      <c r="T1653" s="23" t="s">
        <v>13791</v>
      </c>
    </row>
    <row r="1654" spans="1:20" x14ac:dyDescent="0.2">
      <c r="A1654" s="23" t="s">
        <v>92</v>
      </c>
      <c r="C1654" s="23" t="s">
        <v>10441</v>
      </c>
      <c r="D1654" s="23" t="s">
        <v>10442</v>
      </c>
      <c r="E1654" s="23" t="s">
        <v>10443</v>
      </c>
      <c r="G1654" s="23" t="s">
        <v>10444</v>
      </c>
      <c r="K1654" s="23" t="s">
        <v>10445</v>
      </c>
      <c r="L1654" s="23" t="s">
        <v>10446</v>
      </c>
      <c r="O1654" s="23" t="s">
        <v>11532</v>
      </c>
      <c r="P1654" s="23" t="s">
        <v>13764</v>
      </c>
      <c r="Q1654" s="23" t="s">
        <v>13771</v>
      </c>
      <c r="R1654" s="23" t="s">
        <v>13778</v>
      </c>
      <c r="S1654" s="23" t="s">
        <v>13785</v>
      </c>
      <c r="T1654" s="23" t="s">
        <v>13792</v>
      </c>
    </row>
    <row r="1655" spans="1:20" x14ac:dyDescent="0.2">
      <c r="A1655" s="23" t="s">
        <v>92</v>
      </c>
      <c r="C1655" s="23" t="s">
        <v>10447</v>
      </c>
      <c r="D1655" s="23" t="s">
        <v>10448</v>
      </c>
      <c r="E1655" s="23" t="s">
        <v>10449</v>
      </c>
      <c r="G1655" s="23" t="s">
        <v>10450</v>
      </c>
      <c r="K1655" s="23" t="s">
        <v>10451</v>
      </c>
      <c r="L1655" s="23" t="s">
        <v>10452</v>
      </c>
      <c r="O1655" s="23" t="s">
        <v>11533</v>
      </c>
      <c r="P1655" s="23" t="s">
        <v>13765</v>
      </c>
      <c r="Q1655" s="23" t="s">
        <v>13772</v>
      </c>
      <c r="R1655" s="23" t="s">
        <v>13779</v>
      </c>
      <c r="S1655" s="23" t="s">
        <v>13786</v>
      </c>
      <c r="T1655" s="23" t="s">
        <v>13793</v>
      </c>
    </row>
    <row r="1656" spans="1:20" x14ac:dyDescent="0.2">
      <c r="A1656" s="23" t="s">
        <v>92</v>
      </c>
      <c r="C1656" s="23" t="s">
        <v>10453</v>
      </c>
      <c r="D1656" s="23" t="s">
        <v>10454</v>
      </c>
      <c r="E1656" s="23" t="s">
        <v>10455</v>
      </c>
      <c r="G1656" s="23" t="s">
        <v>10456</v>
      </c>
      <c r="K1656" s="23" t="s">
        <v>10457</v>
      </c>
      <c r="L1656" s="23" t="s">
        <v>10458</v>
      </c>
      <c r="O1656" s="23" t="s">
        <v>12347</v>
      </c>
      <c r="P1656" s="23" t="s">
        <v>13766</v>
      </c>
      <c r="Q1656" s="23" t="s">
        <v>13773</v>
      </c>
      <c r="R1656" s="23" t="s">
        <v>13780</v>
      </c>
      <c r="S1656" s="23" t="s">
        <v>13787</v>
      </c>
      <c r="T1656" s="23" t="s">
        <v>13794</v>
      </c>
    </row>
    <row r="1657" spans="1:20" x14ac:dyDescent="0.2">
      <c r="A1657" s="23" t="s">
        <v>92</v>
      </c>
      <c r="C1657" s="23" t="s">
        <v>10417</v>
      </c>
      <c r="D1657" s="23" t="s">
        <v>10418</v>
      </c>
      <c r="E1657" s="23" t="s">
        <v>10419</v>
      </c>
      <c r="G1657" s="23" t="s">
        <v>10420</v>
      </c>
      <c r="K1657" s="23" t="s">
        <v>10421</v>
      </c>
      <c r="L1657" s="23" t="s">
        <v>10422</v>
      </c>
    </row>
    <row r="1658" spans="1:20" x14ac:dyDescent="0.2">
      <c r="A1658" s="23" t="s">
        <v>92</v>
      </c>
      <c r="C1658" s="23" t="s">
        <v>10459</v>
      </c>
      <c r="D1658" s="23" t="s">
        <v>10460</v>
      </c>
      <c r="E1658" s="23" t="s">
        <v>10461</v>
      </c>
      <c r="G1658" s="23" t="s">
        <v>10462</v>
      </c>
      <c r="K1658" s="23" t="s">
        <v>10463</v>
      </c>
      <c r="L1658" s="23" t="s">
        <v>10464</v>
      </c>
      <c r="M1658" s="23" t="s">
        <v>10465</v>
      </c>
      <c r="N1658" s="23" t="s">
        <v>10466</v>
      </c>
      <c r="T1658" s="23" t="s">
        <v>10467</v>
      </c>
    </row>
    <row r="1659" spans="1:20" x14ac:dyDescent="0.2">
      <c r="A1659" s="23" t="s">
        <v>92</v>
      </c>
      <c r="C1659" s="23" t="s">
        <v>10468</v>
      </c>
      <c r="D1659" s="23" t="s">
        <v>10469</v>
      </c>
      <c r="E1659" s="23" t="s">
        <v>10470</v>
      </c>
      <c r="G1659" s="23" t="s">
        <v>10471</v>
      </c>
      <c r="K1659" s="23" t="s">
        <v>10472</v>
      </c>
      <c r="L1659" s="23" t="s">
        <v>10473</v>
      </c>
      <c r="M1659" s="23" t="s">
        <v>10474</v>
      </c>
      <c r="N1659" s="23" t="s">
        <v>10475</v>
      </c>
    </row>
    <row r="1660" spans="1:20" x14ac:dyDescent="0.2">
      <c r="A1660" s="23" t="s">
        <v>92</v>
      </c>
      <c r="C1660" s="23" t="s">
        <v>10476</v>
      </c>
      <c r="D1660" s="23" t="s">
        <v>10477</v>
      </c>
      <c r="E1660" s="23" t="s">
        <v>10478</v>
      </c>
      <c r="G1660" s="23" t="s">
        <v>10479</v>
      </c>
      <c r="K1660" s="23" t="s">
        <v>10480</v>
      </c>
      <c r="L1660" s="23" t="s">
        <v>10481</v>
      </c>
      <c r="O1660" s="23" t="s">
        <v>12348</v>
      </c>
      <c r="P1660" s="23" t="s">
        <v>10482</v>
      </c>
      <c r="Q1660" s="23" t="s">
        <v>10483</v>
      </c>
      <c r="R1660" s="23" t="s">
        <v>10484</v>
      </c>
      <c r="S1660" s="23" t="s">
        <v>10485</v>
      </c>
      <c r="T1660" s="23" t="s">
        <v>10486</v>
      </c>
    </row>
    <row r="1661" spans="1:20" x14ac:dyDescent="0.2">
      <c r="A1661" s="23" t="s">
        <v>92</v>
      </c>
      <c r="C1661" s="23" t="s">
        <v>10487</v>
      </c>
      <c r="D1661" s="23" t="s">
        <v>10488</v>
      </c>
      <c r="E1661" s="23" t="s">
        <v>10489</v>
      </c>
      <c r="G1661" s="23" t="s">
        <v>10490</v>
      </c>
      <c r="K1661" s="23" t="s">
        <v>10491</v>
      </c>
      <c r="L1661" s="23" t="s">
        <v>10492</v>
      </c>
      <c r="O1661" s="23" t="s">
        <v>12349</v>
      </c>
      <c r="P1661" s="23" t="s">
        <v>13730</v>
      </c>
      <c r="Q1661" s="23" t="s">
        <v>13736</v>
      </c>
      <c r="R1661" s="23" t="s">
        <v>13742</v>
      </c>
      <c r="S1661" s="23" t="s">
        <v>13748</v>
      </c>
      <c r="T1661" s="23" t="s">
        <v>13754</v>
      </c>
    </row>
    <row r="1662" spans="1:20" x14ac:dyDescent="0.2">
      <c r="A1662" s="23" t="s">
        <v>92</v>
      </c>
      <c r="C1662" s="23" t="s">
        <v>10493</v>
      </c>
      <c r="D1662" s="23" t="s">
        <v>10494</v>
      </c>
      <c r="E1662" s="23" t="s">
        <v>10495</v>
      </c>
      <c r="G1662" s="23" t="s">
        <v>10496</v>
      </c>
      <c r="K1662" s="23" t="s">
        <v>10497</v>
      </c>
      <c r="L1662" s="23" t="s">
        <v>10498</v>
      </c>
      <c r="O1662" s="23" t="s">
        <v>12350</v>
      </c>
      <c r="P1662" s="23" t="s">
        <v>13731</v>
      </c>
      <c r="Q1662" s="23" t="s">
        <v>13737</v>
      </c>
      <c r="R1662" s="23" t="s">
        <v>13743</v>
      </c>
      <c r="S1662" s="23" t="s">
        <v>13749</v>
      </c>
      <c r="T1662" s="23" t="s">
        <v>13755</v>
      </c>
    </row>
    <row r="1663" spans="1:20" x14ac:dyDescent="0.2">
      <c r="A1663" s="23" t="s">
        <v>92</v>
      </c>
      <c r="C1663" s="23" t="s">
        <v>10499</v>
      </c>
      <c r="D1663" s="23" t="s">
        <v>10500</v>
      </c>
      <c r="E1663" s="23" t="s">
        <v>10501</v>
      </c>
      <c r="G1663" s="23" t="s">
        <v>10502</v>
      </c>
      <c r="K1663" s="23" t="s">
        <v>10503</v>
      </c>
      <c r="L1663" s="23" t="s">
        <v>10504</v>
      </c>
      <c r="O1663" s="23" t="s">
        <v>11538</v>
      </c>
      <c r="P1663" s="23" t="s">
        <v>13732</v>
      </c>
      <c r="Q1663" s="23" t="s">
        <v>13738</v>
      </c>
      <c r="R1663" s="23" t="s">
        <v>13744</v>
      </c>
      <c r="S1663" s="23" t="s">
        <v>13750</v>
      </c>
      <c r="T1663" s="23" t="s">
        <v>13756</v>
      </c>
    </row>
    <row r="1664" spans="1:20" x14ac:dyDescent="0.2">
      <c r="A1664" s="23" t="s">
        <v>92</v>
      </c>
      <c r="C1664" s="23" t="s">
        <v>10505</v>
      </c>
      <c r="D1664" s="23" t="s">
        <v>10506</v>
      </c>
      <c r="E1664" s="23" t="s">
        <v>10507</v>
      </c>
      <c r="G1664" s="23" t="s">
        <v>10508</v>
      </c>
      <c r="K1664" s="23" t="s">
        <v>10509</v>
      </c>
      <c r="L1664" s="23" t="s">
        <v>10510</v>
      </c>
      <c r="O1664" s="23" t="s">
        <v>11539</v>
      </c>
      <c r="P1664" s="23" t="s">
        <v>13733</v>
      </c>
      <c r="Q1664" s="23" t="s">
        <v>13739</v>
      </c>
      <c r="R1664" s="23" t="s">
        <v>13745</v>
      </c>
      <c r="S1664" s="23" t="s">
        <v>13751</v>
      </c>
      <c r="T1664" s="23" t="s">
        <v>13757</v>
      </c>
    </row>
    <row r="1665" spans="1:20" x14ac:dyDescent="0.2">
      <c r="A1665" s="23" t="s">
        <v>92</v>
      </c>
      <c r="C1665" s="23" t="s">
        <v>10511</v>
      </c>
      <c r="D1665" s="23" t="s">
        <v>10512</v>
      </c>
      <c r="E1665" s="23" t="s">
        <v>10513</v>
      </c>
      <c r="G1665" s="23" t="s">
        <v>10514</v>
      </c>
      <c r="K1665" s="23" t="s">
        <v>10515</v>
      </c>
      <c r="L1665" s="23" t="s">
        <v>10516</v>
      </c>
      <c r="O1665" s="23" t="s">
        <v>11540</v>
      </c>
      <c r="P1665" s="23" t="s">
        <v>13734</v>
      </c>
      <c r="Q1665" s="23" t="s">
        <v>13740</v>
      </c>
      <c r="R1665" s="23" t="s">
        <v>13746</v>
      </c>
      <c r="S1665" s="23" t="s">
        <v>13752</v>
      </c>
      <c r="T1665" s="23" t="s">
        <v>13758</v>
      </c>
    </row>
    <row r="1666" spans="1:20" x14ac:dyDescent="0.2">
      <c r="A1666" s="23" t="s">
        <v>92</v>
      </c>
      <c r="C1666" s="23" t="s">
        <v>10517</v>
      </c>
      <c r="D1666" s="23" t="s">
        <v>10518</v>
      </c>
      <c r="E1666" s="23" t="s">
        <v>10519</v>
      </c>
      <c r="G1666" s="23" t="s">
        <v>10520</v>
      </c>
      <c r="K1666" s="23" t="s">
        <v>10521</v>
      </c>
      <c r="L1666" s="23" t="s">
        <v>10522</v>
      </c>
      <c r="O1666" s="23" t="s">
        <v>12351</v>
      </c>
      <c r="P1666" s="23" t="s">
        <v>13735</v>
      </c>
      <c r="Q1666" s="23" t="s">
        <v>13741</v>
      </c>
      <c r="R1666" s="23" t="s">
        <v>13747</v>
      </c>
      <c r="S1666" s="23" t="s">
        <v>13753</v>
      </c>
      <c r="T1666" s="23" t="s">
        <v>13759</v>
      </c>
    </row>
    <row r="1667" spans="1:20" x14ac:dyDescent="0.2">
      <c r="A1667" s="23" t="s">
        <v>92</v>
      </c>
      <c r="C1667" s="23" t="s">
        <v>10487</v>
      </c>
      <c r="D1667" s="23" t="s">
        <v>10488</v>
      </c>
      <c r="E1667" s="23" t="s">
        <v>10489</v>
      </c>
      <c r="G1667" s="23" t="s">
        <v>10490</v>
      </c>
      <c r="K1667" s="23" t="s">
        <v>10491</v>
      </c>
      <c r="L1667" s="23" t="s">
        <v>10492</v>
      </c>
    </row>
    <row r="1668" spans="1:20" x14ac:dyDescent="0.2">
      <c r="A1668" s="23" t="s">
        <v>92</v>
      </c>
      <c r="C1668" s="23" t="s">
        <v>10523</v>
      </c>
      <c r="D1668" s="23" t="s">
        <v>10524</v>
      </c>
      <c r="E1668" s="23" t="s">
        <v>10525</v>
      </c>
      <c r="G1668" s="23" t="s">
        <v>10526</v>
      </c>
      <c r="K1668" s="23" t="s">
        <v>10527</v>
      </c>
      <c r="L1668" s="23" t="s">
        <v>10528</v>
      </c>
      <c r="M1668" s="23" t="s">
        <v>10529</v>
      </c>
      <c r="N1668" s="23" t="s">
        <v>10530</v>
      </c>
      <c r="T1668" s="23" t="s">
        <v>10531</v>
      </c>
    </row>
    <row r="1669" spans="1:20" x14ac:dyDescent="0.2">
      <c r="A1669" s="23" t="s">
        <v>92</v>
      </c>
      <c r="C1669" s="23" t="s">
        <v>10532</v>
      </c>
      <c r="D1669" s="23" t="s">
        <v>10533</v>
      </c>
      <c r="E1669" s="23" t="s">
        <v>10534</v>
      </c>
      <c r="G1669" s="23" t="s">
        <v>10535</v>
      </c>
      <c r="K1669" s="23" t="s">
        <v>10536</v>
      </c>
      <c r="L1669" s="23" t="s">
        <v>10537</v>
      </c>
      <c r="M1669" s="23" t="s">
        <v>10538</v>
      </c>
      <c r="N1669" s="23" t="s">
        <v>10539</v>
      </c>
    </row>
    <row r="1670" spans="1:20" x14ac:dyDescent="0.2">
      <c r="A1670" s="23" t="s">
        <v>92</v>
      </c>
      <c r="C1670" s="23" t="s">
        <v>10540</v>
      </c>
      <c r="D1670" s="23" t="s">
        <v>10541</v>
      </c>
      <c r="E1670" s="23" t="s">
        <v>10542</v>
      </c>
      <c r="G1670" s="23" t="s">
        <v>10543</v>
      </c>
      <c r="K1670" s="23" t="s">
        <v>10544</v>
      </c>
      <c r="L1670" s="23" t="s">
        <v>10545</v>
      </c>
      <c r="O1670" s="23" t="s">
        <v>12352</v>
      </c>
      <c r="P1670" s="23" t="s">
        <v>10546</v>
      </c>
      <c r="Q1670" s="23" t="s">
        <v>10547</v>
      </c>
      <c r="R1670" s="23" t="s">
        <v>10548</v>
      </c>
      <c r="S1670" s="23" t="s">
        <v>10549</v>
      </c>
      <c r="T1670" s="23" t="s">
        <v>10550</v>
      </c>
    </row>
    <row r="1671" spans="1:20" x14ac:dyDescent="0.2">
      <c r="A1671" s="23" t="s">
        <v>92</v>
      </c>
      <c r="C1671" s="23" t="s">
        <v>10551</v>
      </c>
      <c r="D1671" s="23" t="s">
        <v>10552</v>
      </c>
      <c r="E1671" s="23" t="s">
        <v>10553</v>
      </c>
      <c r="G1671" s="23" t="s">
        <v>10554</v>
      </c>
      <c r="K1671" s="23" t="s">
        <v>10555</v>
      </c>
      <c r="L1671" s="23" t="s">
        <v>10556</v>
      </c>
      <c r="O1671" s="23" t="s">
        <v>12353</v>
      </c>
      <c r="P1671" s="23" t="s">
        <v>13700</v>
      </c>
      <c r="Q1671" s="23" t="s">
        <v>13706</v>
      </c>
      <c r="R1671" s="23" t="s">
        <v>13712</v>
      </c>
      <c r="S1671" s="23" t="s">
        <v>13718</v>
      </c>
      <c r="T1671" s="23" t="s">
        <v>13724</v>
      </c>
    </row>
    <row r="1672" spans="1:20" x14ac:dyDescent="0.2">
      <c r="A1672" s="23" t="s">
        <v>92</v>
      </c>
      <c r="C1672" s="23" t="s">
        <v>10557</v>
      </c>
      <c r="D1672" s="23" t="s">
        <v>10558</v>
      </c>
      <c r="E1672" s="23" t="s">
        <v>10559</v>
      </c>
      <c r="G1672" s="23" t="s">
        <v>10560</v>
      </c>
      <c r="K1672" s="23" t="s">
        <v>10561</v>
      </c>
      <c r="L1672" s="23" t="s">
        <v>10562</v>
      </c>
      <c r="O1672" s="23" t="s">
        <v>12354</v>
      </c>
      <c r="P1672" s="23" t="s">
        <v>13701</v>
      </c>
      <c r="Q1672" s="23" t="s">
        <v>13707</v>
      </c>
      <c r="R1672" s="23" t="s">
        <v>13713</v>
      </c>
      <c r="S1672" s="23" t="s">
        <v>13719</v>
      </c>
      <c r="T1672" s="23" t="s">
        <v>13725</v>
      </c>
    </row>
    <row r="1673" spans="1:20" x14ac:dyDescent="0.2">
      <c r="A1673" s="23" t="s">
        <v>92</v>
      </c>
      <c r="C1673" s="23" t="s">
        <v>10563</v>
      </c>
      <c r="D1673" s="23" t="s">
        <v>10564</v>
      </c>
      <c r="E1673" s="23" t="s">
        <v>10565</v>
      </c>
      <c r="G1673" s="23" t="s">
        <v>10566</v>
      </c>
      <c r="K1673" s="23" t="s">
        <v>10567</v>
      </c>
      <c r="L1673" s="23" t="s">
        <v>10568</v>
      </c>
      <c r="O1673" s="23" t="s">
        <v>11546</v>
      </c>
      <c r="P1673" s="23" t="s">
        <v>13702</v>
      </c>
      <c r="Q1673" s="23" t="s">
        <v>13708</v>
      </c>
      <c r="R1673" s="23" t="s">
        <v>13714</v>
      </c>
      <c r="S1673" s="23" t="s">
        <v>13720</v>
      </c>
      <c r="T1673" s="23" t="s">
        <v>13726</v>
      </c>
    </row>
    <row r="1674" spans="1:20" x14ac:dyDescent="0.2">
      <c r="A1674" s="23" t="s">
        <v>92</v>
      </c>
      <c r="C1674" s="23" t="s">
        <v>10569</v>
      </c>
      <c r="D1674" s="23" t="s">
        <v>10570</v>
      </c>
      <c r="E1674" s="23" t="s">
        <v>10571</v>
      </c>
      <c r="G1674" s="23" t="s">
        <v>10572</v>
      </c>
      <c r="K1674" s="23" t="s">
        <v>10573</v>
      </c>
      <c r="L1674" s="23" t="s">
        <v>10574</v>
      </c>
      <c r="O1674" s="23" t="s">
        <v>11547</v>
      </c>
      <c r="P1674" s="23" t="s">
        <v>13703</v>
      </c>
      <c r="Q1674" s="23" t="s">
        <v>13709</v>
      </c>
      <c r="R1674" s="23" t="s">
        <v>13715</v>
      </c>
      <c r="S1674" s="23" t="s">
        <v>13721</v>
      </c>
      <c r="T1674" s="23" t="s">
        <v>13727</v>
      </c>
    </row>
    <row r="1675" spans="1:20" x14ac:dyDescent="0.2">
      <c r="A1675" s="23" t="s">
        <v>92</v>
      </c>
      <c r="C1675" s="23" t="s">
        <v>10575</v>
      </c>
      <c r="D1675" s="23" t="s">
        <v>10576</v>
      </c>
      <c r="E1675" s="23" t="s">
        <v>10577</v>
      </c>
      <c r="G1675" s="23" t="s">
        <v>10578</v>
      </c>
      <c r="K1675" s="23" t="s">
        <v>10579</v>
      </c>
      <c r="L1675" s="23" t="s">
        <v>10580</v>
      </c>
      <c r="O1675" s="23" t="s">
        <v>11548</v>
      </c>
      <c r="P1675" s="23" t="s">
        <v>13704</v>
      </c>
      <c r="Q1675" s="23" t="s">
        <v>13710</v>
      </c>
      <c r="R1675" s="23" t="s">
        <v>13716</v>
      </c>
      <c r="S1675" s="23" t="s">
        <v>13722</v>
      </c>
      <c r="T1675" s="23" t="s">
        <v>13728</v>
      </c>
    </row>
    <row r="1676" spans="1:20" x14ac:dyDescent="0.2">
      <c r="A1676" s="23" t="s">
        <v>92</v>
      </c>
      <c r="C1676" s="23" t="s">
        <v>10581</v>
      </c>
      <c r="D1676" s="23" t="s">
        <v>10582</v>
      </c>
      <c r="E1676" s="23" t="s">
        <v>10583</v>
      </c>
      <c r="G1676" s="23" t="s">
        <v>10584</v>
      </c>
      <c r="K1676" s="23" t="s">
        <v>10585</v>
      </c>
      <c r="L1676" s="23" t="s">
        <v>10586</v>
      </c>
      <c r="O1676" s="23" t="s">
        <v>12355</v>
      </c>
      <c r="P1676" s="23" t="s">
        <v>13705</v>
      </c>
      <c r="Q1676" s="23" t="s">
        <v>13711</v>
      </c>
      <c r="R1676" s="23" t="s">
        <v>13717</v>
      </c>
      <c r="S1676" s="23" t="s">
        <v>13723</v>
      </c>
      <c r="T1676" s="23" t="s">
        <v>13729</v>
      </c>
    </row>
    <row r="1677" spans="1:20" x14ac:dyDescent="0.2">
      <c r="A1677" s="23" t="s">
        <v>92</v>
      </c>
      <c r="C1677" s="23" t="s">
        <v>10551</v>
      </c>
      <c r="D1677" s="23" t="s">
        <v>10552</v>
      </c>
      <c r="E1677" s="23" t="s">
        <v>10553</v>
      </c>
      <c r="G1677" s="23" t="s">
        <v>10554</v>
      </c>
      <c r="K1677" s="23" t="s">
        <v>10555</v>
      </c>
      <c r="L1677" s="23" t="s">
        <v>10556</v>
      </c>
    </row>
    <row r="1678" spans="1:20" x14ac:dyDescent="0.2">
      <c r="A1678" s="23" t="s">
        <v>92</v>
      </c>
      <c r="C1678" s="23" t="s">
        <v>10587</v>
      </c>
      <c r="D1678" s="23" t="s">
        <v>10588</v>
      </c>
      <c r="E1678" s="23" t="s">
        <v>10589</v>
      </c>
      <c r="G1678" s="23" t="s">
        <v>10590</v>
      </c>
      <c r="K1678" s="23" t="s">
        <v>10591</v>
      </c>
      <c r="L1678" s="23" t="s">
        <v>10592</v>
      </c>
      <c r="M1678" s="23" t="s">
        <v>10593</v>
      </c>
      <c r="N1678" s="23" t="s">
        <v>10594</v>
      </c>
      <c r="T1678" s="23" t="s">
        <v>10595</v>
      </c>
    </row>
    <row r="1679" spans="1:20" x14ac:dyDescent="0.2">
      <c r="A1679" s="23" t="s">
        <v>92</v>
      </c>
      <c r="C1679" s="23" t="s">
        <v>10596</v>
      </c>
      <c r="D1679" s="23" t="s">
        <v>10597</v>
      </c>
      <c r="E1679" s="23" t="s">
        <v>10598</v>
      </c>
      <c r="G1679" s="23" t="s">
        <v>10599</v>
      </c>
      <c r="K1679" s="23" t="s">
        <v>10600</v>
      </c>
      <c r="L1679" s="23" t="s">
        <v>10601</v>
      </c>
      <c r="M1679" s="23" t="s">
        <v>10602</v>
      </c>
      <c r="N1679" s="23" t="s">
        <v>10603</v>
      </c>
    </row>
    <row r="1680" spans="1:20" x14ac:dyDescent="0.2">
      <c r="A1680" s="23" t="s">
        <v>92</v>
      </c>
      <c r="C1680" s="23" t="s">
        <v>10604</v>
      </c>
      <c r="D1680" s="23" t="s">
        <v>10605</v>
      </c>
      <c r="E1680" s="23" t="s">
        <v>10606</v>
      </c>
      <c r="G1680" s="23" t="s">
        <v>10607</v>
      </c>
      <c r="K1680" s="23" t="s">
        <v>10608</v>
      </c>
      <c r="L1680" s="23" t="s">
        <v>10609</v>
      </c>
      <c r="O1680" s="23" t="s">
        <v>12356</v>
      </c>
      <c r="P1680" s="23" t="s">
        <v>10610</v>
      </c>
      <c r="Q1680" s="23" t="s">
        <v>10611</v>
      </c>
      <c r="R1680" s="23" t="s">
        <v>10612</v>
      </c>
      <c r="S1680" s="23" t="s">
        <v>10613</v>
      </c>
      <c r="T1680" s="23" t="s">
        <v>10614</v>
      </c>
    </row>
    <row r="1681" spans="1:20" x14ac:dyDescent="0.2">
      <c r="A1681" s="23" t="s">
        <v>92</v>
      </c>
      <c r="C1681" s="23" t="s">
        <v>10615</v>
      </c>
      <c r="D1681" s="23" t="s">
        <v>10616</v>
      </c>
      <c r="E1681" s="23" t="s">
        <v>10617</v>
      </c>
      <c r="G1681" s="23" t="s">
        <v>10618</v>
      </c>
      <c r="K1681" s="23" t="s">
        <v>10619</v>
      </c>
      <c r="L1681" s="23" t="s">
        <v>10620</v>
      </c>
      <c r="O1681" s="23" t="s">
        <v>12357</v>
      </c>
      <c r="P1681" s="23" t="s">
        <v>13670</v>
      </c>
      <c r="Q1681" s="23" t="s">
        <v>13676</v>
      </c>
      <c r="R1681" s="23" t="s">
        <v>13682</v>
      </c>
      <c r="S1681" s="23" t="s">
        <v>13688</v>
      </c>
      <c r="T1681" s="23" t="s">
        <v>13694</v>
      </c>
    </row>
    <row r="1682" spans="1:20" x14ac:dyDescent="0.2">
      <c r="A1682" s="23" t="s">
        <v>92</v>
      </c>
      <c r="C1682" s="23" t="s">
        <v>10621</v>
      </c>
      <c r="D1682" s="23" t="s">
        <v>10622</v>
      </c>
      <c r="E1682" s="23" t="s">
        <v>10623</v>
      </c>
      <c r="G1682" s="23" t="s">
        <v>10624</v>
      </c>
      <c r="K1682" s="23" t="s">
        <v>10625</v>
      </c>
      <c r="L1682" s="23" t="s">
        <v>10626</v>
      </c>
      <c r="O1682" s="23" t="s">
        <v>12358</v>
      </c>
      <c r="P1682" s="23" t="s">
        <v>13671</v>
      </c>
      <c r="Q1682" s="23" t="s">
        <v>13677</v>
      </c>
      <c r="R1682" s="23" t="s">
        <v>13683</v>
      </c>
      <c r="S1682" s="23" t="s">
        <v>13689</v>
      </c>
      <c r="T1682" s="23" t="s">
        <v>13695</v>
      </c>
    </row>
    <row r="1683" spans="1:20" x14ac:dyDescent="0.2">
      <c r="A1683" s="23" t="s">
        <v>92</v>
      </c>
      <c r="C1683" s="23" t="s">
        <v>10627</v>
      </c>
      <c r="D1683" s="23" t="s">
        <v>10628</v>
      </c>
      <c r="E1683" s="23" t="s">
        <v>10629</v>
      </c>
      <c r="G1683" s="23" t="s">
        <v>10630</v>
      </c>
      <c r="K1683" s="23" t="s">
        <v>10631</v>
      </c>
      <c r="L1683" s="23" t="s">
        <v>10632</v>
      </c>
      <c r="O1683" s="23" t="s">
        <v>11554</v>
      </c>
      <c r="P1683" s="23" t="s">
        <v>13672</v>
      </c>
      <c r="Q1683" s="23" t="s">
        <v>13678</v>
      </c>
      <c r="R1683" s="23" t="s">
        <v>13684</v>
      </c>
      <c r="S1683" s="23" t="s">
        <v>13690</v>
      </c>
      <c r="T1683" s="23" t="s">
        <v>13696</v>
      </c>
    </row>
    <row r="1684" spans="1:20" x14ac:dyDescent="0.2">
      <c r="A1684" s="23" t="s">
        <v>92</v>
      </c>
      <c r="C1684" s="23" t="s">
        <v>10633</v>
      </c>
      <c r="D1684" s="23" t="s">
        <v>10634</v>
      </c>
      <c r="E1684" s="23" t="s">
        <v>10635</v>
      </c>
      <c r="G1684" s="23" t="s">
        <v>10636</v>
      </c>
      <c r="K1684" s="23" t="s">
        <v>10637</v>
      </c>
      <c r="L1684" s="23" t="s">
        <v>10638</v>
      </c>
      <c r="O1684" s="23" t="s">
        <v>11555</v>
      </c>
      <c r="P1684" s="23" t="s">
        <v>13673</v>
      </c>
      <c r="Q1684" s="23" t="s">
        <v>13679</v>
      </c>
      <c r="R1684" s="23" t="s">
        <v>13685</v>
      </c>
      <c r="S1684" s="23" t="s">
        <v>13691</v>
      </c>
      <c r="T1684" s="23" t="s">
        <v>13697</v>
      </c>
    </row>
    <row r="1685" spans="1:20" x14ac:dyDescent="0.2">
      <c r="A1685" s="23" t="s">
        <v>92</v>
      </c>
      <c r="C1685" s="23" t="s">
        <v>10639</v>
      </c>
      <c r="D1685" s="23" t="s">
        <v>10640</v>
      </c>
      <c r="E1685" s="23" t="s">
        <v>10641</v>
      </c>
      <c r="G1685" s="23" t="s">
        <v>10642</v>
      </c>
      <c r="K1685" s="23" t="s">
        <v>10643</v>
      </c>
      <c r="L1685" s="23" t="s">
        <v>10644</v>
      </c>
      <c r="O1685" s="23" t="s">
        <v>11556</v>
      </c>
      <c r="P1685" s="23" t="s">
        <v>13674</v>
      </c>
      <c r="Q1685" s="23" t="s">
        <v>13680</v>
      </c>
      <c r="R1685" s="23" t="s">
        <v>13686</v>
      </c>
      <c r="S1685" s="23" t="s">
        <v>13692</v>
      </c>
      <c r="T1685" s="23" t="s">
        <v>13698</v>
      </c>
    </row>
    <row r="1686" spans="1:20" x14ac:dyDescent="0.2">
      <c r="A1686" s="23" t="s">
        <v>92</v>
      </c>
      <c r="C1686" s="23" t="s">
        <v>10645</v>
      </c>
      <c r="D1686" s="23" t="s">
        <v>10646</v>
      </c>
      <c r="E1686" s="23" t="s">
        <v>10647</v>
      </c>
      <c r="G1686" s="23" t="s">
        <v>10648</v>
      </c>
      <c r="K1686" s="23" t="s">
        <v>10649</v>
      </c>
      <c r="L1686" s="23" t="s">
        <v>10650</v>
      </c>
      <c r="O1686" s="23" t="s">
        <v>12359</v>
      </c>
      <c r="P1686" s="23" t="s">
        <v>13675</v>
      </c>
      <c r="Q1686" s="23" t="s">
        <v>13681</v>
      </c>
      <c r="R1686" s="23" t="s">
        <v>13687</v>
      </c>
      <c r="S1686" s="23" t="s">
        <v>13693</v>
      </c>
      <c r="T1686" s="23" t="s">
        <v>13699</v>
      </c>
    </row>
    <row r="1687" spans="1:20" x14ac:dyDescent="0.2">
      <c r="A1687" s="23" t="s">
        <v>92</v>
      </c>
      <c r="C1687" s="23" t="s">
        <v>10615</v>
      </c>
      <c r="D1687" s="23" t="s">
        <v>10616</v>
      </c>
      <c r="E1687" s="23" t="s">
        <v>10617</v>
      </c>
      <c r="G1687" s="23" t="s">
        <v>10618</v>
      </c>
      <c r="K1687" s="23" t="s">
        <v>10619</v>
      </c>
      <c r="L1687" s="23" t="s">
        <v>10620</v>
      </c>
    </row>
    <row r="1688" spans="1:20" x14ac:dyDescent="0.2">
      <c r="A1688" s="23" t="s">
        <v>92</v>
      </c>
      <c r="C1688" s="23" t="s">
        <v>10651</v>
      </c>
      <c r="D1688" s="23" t="s">
        <v>10652</v>
      </c>
      <c r="E1688" s="23" t="s">
        <v>10653</v>
      </c>
      <c r="G1688" s="23" t="s">
        <v>10654</v>
      </c>
      <c r="K1688" s="23" t="s">
        <v>10655</v>
      </c>
      <c r="L1688" s="23" t="s">
        <v>10656</v>
      </c>
      <c r="M1688" s="23" t="s">
        <v>10657</v>
      </c>
      <c r="N1688" s="23" t="s">
        <v>10658</v>
      </c>
      <c r="T1688" s="23" t="s">
        <v>10659</v>
      </c>
    </row>
    <row r="1689" spans="1:20" x14ac:dyDescent="0.2">
      <c r="A1689" s="23" t="s">
        <v>92</v>
      </c>
      <c r="C1689" s="23" t="s">
        <v>10334</v>
      </c>
      <c r="D1689" s="23" t="s">
        <v>10335</v>
      </c>
      <c r="E1689" s="23" t="s">
        <v>10336</v>
      </c>
      <c r="G1689" s="23" t="s">
        <v>10337</v>
      </c>
    </row>
    <row r="1690" spans="1:20" x14ac:dyDescent="0.2">
      <c r="A1690" s="23" t="s">
        <v>92</v>
      </c>
      <c r="C1690" s="23" t="s">
        <v>10660</v>
      </c>
      <c r="D1690" s="23" t="s">
        <v>10661</v>
      </c>
      <c r="E1690" s="23" t="s">
        <v>10662</v>
      </c>
      <c r="G1690" s="23" t="s">
        <v>10663</v>
      </c>
      <c r="H1690" s="23" t="s">
        <v>10664</v>
      </c>
      <c r="I1690" s="23" t="s">
        <v>10665</v>
      </c>
      <c r="J1690" s="23" t="s">
        <v>10666</v>
      </c>
      <c r="T1690" s="23" t="s">
        <v>10667</v>
      </c>
    </row>
    <row r="1691" spans="1:20" x14ac:dyDescent="0.2">
      <c r="A1691" s="23" t="s">
        <v>92</v>
      </c>
      <c r="C1691" s="23" t="s">
        <v>10668</v>
      </c>
      <c r="D1691" s="23" t="s">
        <v>10669</v>
      </c>
      <c r="E1691" s="23" t="s">
        <v>10670</v>
      </c>
      <c r="G1691" s="23" t="s">
        <v>10671</v>
      </c>
      <c r="H1691" s="23" t="s">
        <v>10672</v>
      </c>
      <c r="I1691" s="23" t="s">
        <v>10673</v>
      </c>
      <c r="J1691" s="23" t="s">
        <v>10674</v>
      </c>
    </row>
    <row r="1692" spans="1:20" x14ac:dyDescent="0.2">
      <c r="A1692" s="23" t="s">
        <v>92</v>
      </c>
      <c r="C1692" s="23" t="s">
        <v>10675</v>
      </c>
      <c r="D1692" s="23" t="s">
        <v>10676</v>
      </c>
      <c r="E1692" s="23" t="s">
        <v>10677</v>
      </c>
      <c r="G1692" s="23" t="s">
        <v>10678</v>
      </c>
      <c r="K1692" s="23" t="s">
        <v>10679</v>
      </c>
      <c r="L1692" s="23" t="s">
        <v>10680</v>
      </c>
      <c r="M1692" s="23" t="s">
        <v>12360</v>
      </c>
      <c r="N1692" s="23" t="s">
        <v>10681</v>
      </c>
    </row>
    <row r="1693" spans="1:20" x14ac:dyDescent="0.2">
      <c r="A1693" s="23" t="s">
        <v>92</v>
      </c>
      <c r="C1693" s="23" t="s">
        <v>10682</v>
      </c>
      <c r="D1693" s="23" t="s">
        <v>10683</v>
      </c>
      <c r="E1693" s="23" t="s">
        <v>10684</v>
      </c>
      <c r="G1693" s="23" t="s">
        <v>10685</v>
      </c>
      <c r="K1693" s="23" t="s">
        <v>10686</v>
      </c>
      <c r="L1693" s="23" t="s">
        <v>10687</v>
      </c>
      <c r="O1693" s="23" t="s">
        <v>12361</v>
      </c>
      <c r="P1693" s="23" t="s">
        <v>10688</v>
      </c>
      <c r="Q1693" s="23" t="s">
        <v>10689</v>
      </c>
      <c r="R1693" s="23" t="s">
        <v>10690</v>
      </c>
      <c r="S1693" s="23" t="s">
        <v>10691</v>
      </c>
      <c r="T1693" s="23" t="s">
        <v>10692</v>
      </c>
    </row>
    <row r="1694" spans="1:20" x14ac:dyDescent="0.2">
      <c r="A1694" s="23" t="s">
        <v>92</v>
      </c>
      <c r="C1694" s="23" t="s">
        <v>10693</v>
      </c>
      <c r="D1694" s="23" t="s">
        <v>10694</v>
      </c>
      <c r="E1694" s="23" t="s">
        <v>10695</v>
      </c>
      <c r="G1694" s="23" t="s">
        <v>10696</v>
      </c>
      <c r="K1694" s="23" t="s">
        <v>10697</v>
      </c>
      <c r="L1694" s="23" t="s">
        <v>10698</v>
      </c>
      <c r="O1694" s="23" t="s">
        <v>12362</v>
      </c>
      <c r="P1694" s="23" t="s">
        <v>13455</v>
      </c>
      <c r="Q1694" s="23" t="s">
        <v>13462</v>
      </c>
      <c r="R1694" s="23" t="s">
        <v>13469</v>
      </c>
      <c r="S1694" s="23" t="s">
        <v>13476</v>
      </c>
      <c r="T1694" s="23" t="s">
        <v>13483</v>
      </c>
    </row>
    <row r="1695" spans="1:20" x14ac:dyDescent="0.2">
      <c r="A1695" s="23" t="s">
        <v>92</v>
      </c>
      <c r="C1695" s="23" t="s">
        <v>10699</v>
      </c>
      <c r="D1695" s="23" t="s">
        <v>10700</v>
      </c>
      <c r="E1695" s="23" t="s">
        <v>10701</v>
      </c>
      <c r="G1695" s="23" t="s">
        <v>10702</v>
      </c>
      <c r="K1695" s="23" t="s">
        <v>10703</v>
      </c>
      <c r="L1695" s="23" t="s">
        <v>10704</v>
      </c>
      <c r="O1695" s="23" t="s">
        <v>11734</v>
      </c>
      <c r="P1695" s="23" t="s">
        <v>13456</v>
      </c>
      <c r="Q1695" s="23" t="s">
        <v>13463</v>
      </c>
      <c r="R1695" s="23" t="s">
        <v>13470</v>
      </c>
      <c r="S1695" s="23" t="s">
        <v>13477</v>
      </c>
      <c r="T1695" s="23" t="s">
        <v>13484</v>
      </c>
    </row>
    <row r="1696" spans="1:20" x14ac:dyDescent="0.2">
      <c r="A1696" s="23" t="s">
        <v>92</v>
      </c>
      <c r="C1696" s="23" t="s">
        <v>10705</v>
      </c>
      <c r="D1696" s="23" t="s">
        <v>10706</v>
      </c>
      <c r="E1696" s="23" t="s">
        <v>10707</v>
      </c>
      <c r="G1696" s="23" t="s">
        <v>10708</v>
      </c>
      <c r="K1696" s="23" t="s">
        <v>10709</v>
      </c>
      <c r="L1696" s="23" t="s">
        <v>10710</v>
      </c>
      <c r="O1696" s="23" t="s">
        <v>12363</v>
      </c>
      <c r="P1696" s="23" t="s">
        <v>13457</v>
      </c>
      <c r="Q1696" s="23" t="s">
        <v>13464</v>
      </c>
      <c r="R1696" s="23" t="s">
        <v>13471</v>
      </c>
      <c r="S1696" s="23" t="s">
        <v>13478</v>
      </c>
      <c r="T1696" s="23" t="s">
        <v>13485</v>
      </c>
    </row>
    <row r="1697" spans="1:20" x14ac:dyDescent="0.2">
      <c r="A1697" s="23" t="s">
        <v>92</v>
      </c>
      <c r="C1697" s="23" t="s">
        <v>10711</v>
      </c>
      <c r="D1697" s="23" t="s">
        <v>10712</v>
      </c>
      <c r="E1697" s="23" t="s">
        <v>10713</v>
      </c>
      <c r="G1697" s="23" t="s">
        <v>10714</v>
      </c>
      <c r="K1697" s="23" t="s">
        <v>10715</v>
      </c>
      <c r="L1697" s="23" t="s">
        <v>10716</v>
      </c>
      <c r="O1697" s="23" t="s">
        <v>11517</v>
      </c>
      <c r="P1697" s="23" t="s">
        <v>13458</v>
      </c>
      <c r="Q1697" s="23" t="s">
        <v>13465</v>
      </c>
      <c r="R1697" s="23" t="s">
        <v>13472</v>
      </c>
      <c r="S1697" s="23" t="s">
        <v>13479</v>
      </c>
      <c r="T1697" s="23" t="s">
        <v>13486</v>
      </c>
    </row>
    <row r="1698" spans="1:20" x14ac:dyDescent="0.2">
      <c r="A1698" s="23" t="s">
        <v>92</v>
      </c>
      <c r="C1698" s="23" t="s">
        <v>10717</v>
      </c>
      <c r="D1698" s="23" t="s">
        <v>10718</v>
      </c>
      <c r="E1698" s="23" t="s">
        <v>10719</v>
      </c>
      <c r="G1698" s="23" t="s">
        <v>10720</v>
      </c>
      <c r="K1698" s="23" t="s">
        <v>10721</v>
      </c>
      <c r="L1698" s="23" t="s">
        <v>10722</v>
      </c>
      <c r="O1698" s="23" t="s">
        <v>11518</v>
      </c>
      <c r="P1698" s="23" t="s">
        <v>13459</v>
      </c>
      <c r="Q1698" s="23" t="s">
        <v>13466</v>
      </c>
      <c r="R1698" s="23" t="s">
        <v>13473</v>
      </c>
      <c r="S1698" s="23" t="s">
        <v>13480</v>
      </c>
      <c r="T1698" s="23" t="s">
        <v>13487</v>
      </c>
    </row>
    <row r="1699" spans="1:20" x14ac:dyDescent="0.2">
      <c r="A1699" s="23" t="s">
        <v>92</v>
      </c>
      <c r="C1699" s="23" t="s">
        <v>10723</v>
      </c>
      <c r="D1699" s="23" t="s">
        <v>10724</v>
      </c>
      <c r="E1699" s="23" t="s">
        <v>10725</v>
      </c>
      <c r="G1699" s="23" t="s">
        <v>10726</v>
      </c>
      <c r="K1699" s="23" t="s">
        <v>10727</v>
      </c>
      <c r="L1699" s="23" t="s">
        <v>10728</v>
      </c>
      <c r="O1699" s="23" t="s">
        <v>11562</v>
      </c>
      <c r="P1699" s="23" t="s">
        <v>13460</v>
      </c>
      <c r="Q1699" s="23" t="s">
        <v>13467</v>
      </c>
      <c r="R1699" s="23" t="s">
        <v>13474</v>
      </c>
      <c r="S1699" s="23" t="s">
        <v>13481</v>
      </c>
      <c r="T1699" s="23" t="s">
        <v>13488</v>
      </c>
    </row>
    <row r="1700" spans="1:20" x14ac:dyDescent="0.2">
      <c r="A1700" s="23" t="s">
        <v>92</v>
      </c>
      <c r="C1700" s="23" t="s">
        <v>10729</v>
      </c>
      <c r="D1700" s="23" t="s">
        <v>10730</v>
      </c>
      <c r="E1700" s="23" t="s">
        <v>10731</v>
      </c>
      <c r="G1700" s="23" t="s">
        <v>10732</v>
      </c>
      <c r="K1700" s="23" t="s">
        <v>10733</v>
      </c>
      <c r="L1700" s="23" t="s">
        <v>10734</v>
      </c>
      <c r="O1700" s="23" t="s">
        <v>12364</v>
      </c>
      <c r="P1700" s="23" t="s">
        <v>13461</v>
      </c>
      <c r="Q1700" s="23" t="s">
        <v>13468</v>
      </c>
      <c r="R1700" s="23" t="s">
        <v>13475</v>
      </c>
      <c r="S1700" s="23" t="s">
        <v>13482</v>
      </c>
      <c r="T1700" s="23" t="s">
        <v>13489</v>
      </c>
    </row>
    <row r="1701" spans="1:20" x14ac:dyDescent="0.2">
      <c r="A1701" s="23" t="s">
        <v>92</v>
      </c>
      <c r="C1701" s="23" t="s">
        <v>10693</v>
      </c>
      <c r="D1701" s="23" t="s">
        <v>10694</v>
      </c>
      <c r="E1701" s="23" t="s">
        <v>10695</v>
      </c>
      <c r="G1701" s="23" t="s">
        <v>10696</v>
      </c>
      <c r="K1701" s="23" t="s">
        <v>10697</v>
      </c>
      <c r="L1701" s="23" t="s">
        <v>10698</v>
      </c>
    </row>
    <row r="1702" spans="1:20" x14ac:dyDescent="0.2">
      <c r="A1702" s="23" t="s">
        <v>92</v>
      </c>
      <c r="C1702" s="23" t="s">
        <v>10735</v>
      </c>
      <c r="D1702" s="23" t="s">
        <v>10736</v>
      </c>
      <c r="E1702" s="23" t="s">
        <v>10737</v>
      </c>
      <c r="G1702" s="23" t="s">
        <v>10738</v>
      </c>
      <c r="K1702" s="23" t="s">
        <v>10739</v>
      </c>
      <c r="L1702" s="23" t="s">
        <v>10740</v>
      </c>
      <c r="M1702" s="23" t="s">
        <v>10741</v>
      </c>
      <c r="N1702" s="23" t="s">
        <v>10742</v>
      </c>
      <c r="T1702" s="23" t="s">
        <v>10743</v>
      </c>
    </row>
    <row r="1703" spans="1:20" x14ac:dyDescent="0.2">
      <c r="A1703" s="23" t="s">
        <v>92</v>
      </c>
      <c r="C1703" s="23" t="s">
        <v>10744</v>
      </c>
      <c r="D1703" s="23" t="s">
        <v>10745</v>
      </c>
      <c r="E1703" s="23" t="s">
        <v>10746</v>
      </c>
      <c r="G1703" s="23" t="s">
        <v>10747</v>
      </c>
      <c r="K1703" s="23" t="s">
        <v>10748</v>
      </c>
      <c r="L1703" s="23" t="s">
        <v>10749</v>
      </c>
      <c r="M1703" s="23" t="s">
        <v>10750</v>
      </c>
      <c r="N1703" s="23" t="s">
        <v>10751</v>
      </c>
    </row>
    <row r="1704" spans="1:20" x14ac:dyDescent="0.2">
      <c r="A1704" s="23" t="s">
        <v>92</v>
      </c>
      <c r="C1704" s="23" t="s">
        <v>10752</v>
      </c>
      <c r="D1704" s="23" t="s">
        <v>10753</v>
      </c>
      <c r="E1704" s="23" t="s">
        <v>10754</v>
      </c>
      <c r="G1704" s="23" t="s">
        <v>10755</v>
      </c>
      <c r="K1704" s="23" t="s">
        <v>10756</v>
      </c>
      <c r="L1704" s="23" t="s">
        <v>10757</v>
      </c>
      <c r="O1704" s="23" t="s">
        <v>12365</v>
      </c>
      <c r="P1704" s="23" t="s">
        <v>10758</v>
      </c>
      <c r="Q1704" s="23" t="s">
        <v>10759</v>
      </c>
      <c r="R1704" s="23" t="s">
        <v>10760</v>
      </c>
      <c r="S1704" s="23" t="s">
        <v>10761</v>
      </c>
      <c r="T1704" s="23" t="s">
        <v>10762</v>
      </c>
    </row>
    <row r="1705" spans="1:20" x14ac:dyDescent="0.2">
      <c r="A1705" s="23" t="s">
        <v>92</v>
      </c>
      <c r="C1705" s="23" t="s">
        <v>10763</v>
      </c>
      <c r="D1705" s="23" t="s">
        <v>10764</v>
      </c>
      <c r="E1705" s="23" t="s">
        <v>10765</v>
      </c>
      <c r="G1705" s="23" t="s">
        <v>10766</v>
      </c>
      <c r="K1705" s="23" t="s">
        <v>10767</v>
      </c>
      <c r="L1705" s="23" t="s">
        <v>10768</v>
      </c>
      <c r="O1705" s="23" t="s">
        <v>12366</v>
      </c>
      <c r="P1705" s="23" t="s">
        <v>13610</v>
      </c>
      <c r="Q1705" s="23" t="s">
        <v>13616</v>
      </c>
      <c r="R1705" s="23" t="s">
        <v>13622</v>
      </c>
      <c r="S1705" s="23" t="s">
        <v>13628</v>
      </c>
      <c r="T1705" s="23" t="s">
        <v>13634</v>
      </c>
    </row>
    <row r="1706" spans="1:20" x14ac:dyDescent="0.2">
      <c r="A1706" s="23" t="s">
        <v>92</v>
      </c>
      <c r="C1706" s="23" t="s">
        <v>10769</v>
      </c>
      <c r="D1706" s="23" t="s">
        <v>10770</v>
      </c>
      <c r="E1706" s="23" t="s">
        <v>10771</v>
      </c>
      <c r="G1706" s="23" t="s">
        <v>10772</v>
      </c>
      <c r="K1706" s="23" t="s">
        <v>10773</v>
      </c>
      <c r="L1706" s="23" t="s">
        <v>10774</v>
      </c>
      <c r="O1706" s="23" t="s">
        <v>12367</v>
      </c>
      <c r="P1706" s="23" t="s">
        <v>13611</v>
      </c>
      <c r="Q1706" s="23" t="s">
        <v>13617</v>
      </c>
      <c r="R1706" s="23" t="s">
        <v>13623</v>
      </c>
      <c r="S1706" s="23" t="s">
        <v>13629</v>
      </c>
      <c r="T1706" s="23" t="s">
        <v>13635</v>
      </c>
    </row>
    <row r="1707" spans="1:20" x14ac:dyDescent="0.2">
      <c r="A1707" s="23" t="s">
        <v>92</v>
      </c>
      <c r="C1707" s="23" t="s">
        <v>10775</v>
      </c>
      <c r="D1707" s="23" t="s">
        <v>10776</v>
      </c>
      <c r="E1707" s="23" t="s">
        <v>10777</v>
      </c>
      <c r="G1707" s="23" t="s">
        <v>10778</v>
      </c>
      <c r="K1707" s="23" t="s">
        <v>10779</v>
      </c>
      <c r="L1707" s="23" t="s">
        <v>10780</v>
      </c>
      <c r="O1707" s="23" t="s">
        <v>11524</v>
      </c>
      <c r="P1707" s="23" t="s">
        <v>13612</v>
      </c>
      <c r="Q1707" s="23" t="s">
        <v>13618</v>
      </c>
      <c r="R1707" s="23" t="s">
        <v>13624</v>
      </c>
      <c r="S1707" s="23" t="s">
        <v>13630</v>
      </c>
      <c r="T1707" s="23" t="s">
        <v>13636</v>
      </c>
    </row>
    <row r="1708" spans="1:20" x14ac:dyDescent="0.2">
      <c r="A1708" s="23" t="s">
        <v>92</v>
      </c>
      <c r="C1708" s="23" t="s">
        <v>10781</v>
      </c>
      <c r="D1708" s="23" t="s">
        <v>10782</v>
      </c>
      <c r="E1708" s="23" t="s">
        <v>10783</v>
      </c>
      <c r="G1708" s="23" t="s">
        <v>10784</v>
      </c>
      <c r="K1708" s="23" t="s">
        <v>10785</v>
      </c>
      <c r="L1708" s="23" t="s">
        <v>10786</v>
      </c>
      <c r="O1708" s="23" t="s">
        <v>11525</v>
      </c>
      <c r="P1708" s="23" t="s">
        <v>13613</v>
      </c>
      <c r="Q1708" s="23" t="s">
        <v>13619</v>
      </c>
      <c r="R1708" s="23" t="s">
        <v>13625</v>
      </c>
      <c r="S1708" s="23" t="s">
        <v>13631</v>
      </c>
      <c r="T1708" s="23" t="s">
        <v>13637</v>
      </c>
    </row>
    <row r="1709" spans="1:20" x14ac:dyDescent="0.2">
      <c r="A1709" s="23" t="s">
        <v>92</v>
      </c>
      <c r="C1709" s="23" t="s">
        <v>10787</v>
      </c>
      <c r="D1709" s="23" t="s">
        <v>10788</v>
      </c>
      <c r="E1709" s="23" t="s">
        <v>10789</v>
      </c>
      <c r="G1709" s="23" t="s">
        <v>10790</v>
      </c>
      <c r="K1709" s="23" t="s">
        <v>10791</v>
      </c>
      <c r="L1709" s="23" t="s">
        <v>10792</v>
      </c>
      <c r="O1709" s="23" t="s">
        <v>11567</v>
      </c>
      <c r="P1709" s="23" t="s">
        <v>13614</v>
      </c>
      <c r="Q1709" s="23" t="s">
        <v>13620</v>
      </c>
      <c r="R1709" s="23" t="s">
        <v>13626</v>
      </c>
      <c r="S1709" s="23" t="s">
        <v>13632</v>
      </c>
      <c r="T1709" s="23" t="s">
        <v>13638</v>
      </c>
    </row>
    <row r="1710" spans="1:20" x14ac:dyDescent="0.2">
      <c r="A1710" s="23" t="s">
        <v>92</v>
      </c>
      <c r="C1710" s="23" t="s">
        <v>10793</v>
      </c>
      <c r="D1710" s="23" t="s">
        <v>10794</v>
      </c>
      <c r="E1710" s="23" t="s">
        <v>10795</v>
      </c>
      <c r="G1710" s="23" t="s">
        <v>10796</v>
      </c>
      <c r="K1710" s="23" t="s">
        <v>10797</v>
      </c>
      <c r="L1710" s="23" t="s">
        <v>10798</v>
      </c>
      <c r="O1710" s="23" t="s">
        <v>12368</v>
      </c>
      <c r="P1710" s="23" t="s">
        <v>13615</v>
      </c>
      <c r="Q1710" s="23" t="s">
        <v>13621</v>
      </c>
      <c r="R1710" s="23" t="s">
        <v>13627</v>
      </c>
      <c r="S1710" s="23" t="s">
        <v>13633</v>
      </c>
      <c r="T1710" s="23" t="s">
        <v>13639</v>
      </c>
    </row>
    <row r="1711" spans="1:20" x14ac:dyDescent="0.2">
      <c r="A1711" s="23" t="s">
        <v>92</v>
      </c>
      <c r="C1711" s="23" t="s">
        <v>10763</v>
      </c>
      <c r="D1711" s="23" t="s">
        <v>10764</v>
      </c>
      <c r="E1711" s="23" t="s">
        <v>10765</v>
      </c>
      <c r="G1711" s="23" t="s">
        <v>10766</v>
      </c>
      <c r="K1711" s="23" t="s">
        <v>10767</v>
      </c>
      <c r="L1711" s="23" t="s">
        <v>10768</v>
      </c>
    </row>
    <row r="1712" spans="1:20" x14ac:dyDescent="0.2">
      <c r="A1712" s="23" t="s">
        <v>92</v>
      </c>
      <c r="C1712" s="23" t="s">
        <v>10799</v>
      </c>
      <c r="D1712" s="23" t="s">
        <v>10800</v>
      </c>
      <c r="E1712" s="23" t="s">
        <v>10801</v>
      </c>
      <c r="G1712" s="23" t="s">
        <v>10802</v>
      </c>
      <c r="K1712" s="23" t="s">
        <v>10803</v>
      </c>
      <c r="L1712" s="23" t="s">
        <v>10804</v>
      </c>
      <c r="M1712" s="23" t="s">
        <v>10805</v>
      </c>
      <c r="N1712" s="23" t="s">
        <v>10806</v>
      </c>
      <c r="T1712" s="23" t="s">
        <v>10807</v>
      </c>
    </row>
    <row r="1713" spans="1:20" x14ac:dyDescent="0.2">
      <c r="A1713" s="23" t="s">
        <v>92</v>
      </c>
      <c r="C1713" s="23" t="s">
        <v>10808</v>
      </c>
      <c r="D1713" s="23" t="s">
        <v>10809</v>
      </c>
      <c r="E1713" s="23" t="s">
        <v>10810</v>
      </c>
      <c r="G1713" s="23" t="s">
        <v>10811</v>
      </c>
      <c r="K1713" s="23" t="s">
        <v>10812</v>
      </c>
      <c r="L1713" s="23" t="s">
        <v>10813</v>
      </c>
      <c r="M1713" s="23" t="s">
        <v>10814</v>
      </c>
      <c r="N1713" s="23" t="s">
        <v>10815</v>
      </c>
    </row>
    <row r="1714" spans="1:20" x14ac:dyDescent="0.2">
      <c r="A1714" s="23" t="s">
        <v>92</v>
      </c>
      <c r="C1714" s="23" t="s">
        <v>10816</v>
      </c>
      <c r="D1714" s="23" t="s">
        <v>10817</v>
      </c>
      <c r="E1714" s="23" t="s">
        <v>10818</v>
      </c>
      <c r="G1714" s="23" t="s">
        <v>10819</v>
      </c>
      <c r="K1714" s="23" t="s">
        <v>10820</v>
      </c>
      <c r="L1714" s="23" t="s">
        <v>10821</v>
      </c>
      <c r="O1714" s="23" t="s">
        <v>12369</v>
      </c>
      <c r="P1714" s="23" t="s">
        <v>10822</v>
      </c>
      <c r="Q1714" s="23" t="s">
        <v>10823</v>
      </c>
      <c r="R1714" s="23" t="s">
        <v>10824</v>
      </c>
      <c r="S1714" s="23" t="s">
        <v>10825</v>
      </c>
      <c r="T1714" s="23" t="s">
        <v>10826</v>
      </c>
    </row>
    <row r="1715" spans="1:20" x14ac:dyDescent="0.2">
      <c r="A1715" s="23" t="s">
        <v>92</v>
      </c>
      <c r="C1715" s="23" t="s">
        <v>10827</v>
      </c>
      <c r="D1715" s="23" t="s">
        <v>10828</v>
      </c>
      <c r="E1715" s="23" t="s">
        <v>10829</v>
      </c>
      <c r="G1715" s="23" t="s">
        <v>10830</v>
      </c>
      <c r="K1715" s="23" t="s">
        <v>10831</v>
      </c>
      <c r="L1715" s="23" t="s">
        <v>10832</v>
      </c>
      <c r="O1715" s="23" t="s">
        <v>12370</v>
      </c>
      <c r="P1715" s="23" t="s">
        <v>13580</v>
      </c>
      <c r="Q1715" s="23" t="s">
        <v>13586</v>
      </c>
      <c r="R1715" s="23" t="s">
        <v>13592</v>
      </c>
      <c r="S1715" s="23" t="s">
        <v>13598</v>
      </c>
      <c r="T1715" s="23" t="s">
        <v>13604</v>
      </c>
    </row>
    <row r="1716" spans="1:20" x14ac:dyDescent="0.2">
      <c r="A1716" s="23" t="s">
        <v>92</v>
      </c>
      <c r="C1716" s="23" t="s">
        <v>10833</v>
      </c>
      <c r="D1716" s="23" t="s">
        <v>10834</v>
      </c>
      <c r="E1716" s="23" t="s">
        <v>10835</v>
      </c>
      <c r="G1716" s="23" t="s">
        <v>10836</v>
      </c>
      <c r="K1716" s="23" t="s">
        <v>10837</v>
      </c>
      <c r="L1716" s="23" t="s">
        <v>10838</v>
      </c>
      <c r="O1716" s="23" t="s">
        <v>12371</v>
      </c>
      <c r="P1716" s="23" t="s">
        <v>13581</v>
      </c>
      <c r="Q1716" s="23" t="s">
        <v>13587</v>
      </c>
      <c r="R1716" s="23" t="s">
        <v>13593</v>
      </c>
      <c r="S1716" s="23" t="s">
        <v>13599</v>
      </c>
      <c r="T1716" s="23" t="s">
        <v>13605</v>
      </c>
    </row>
    <row r="1717" spans="1:20" x14ac:dyDescent="0.2">
      <c r="A1717" s="23" t="s">
        <v>92</v>
      </c>
      <c r="C1717" s="23" t="s">
        <v>10839</v>
      </c>
      <c r="D1717" s="23" t="s">
        <v>10840</v>
      </c>
      <c r="E1717" s="23" t="s">
        <v>10841</v>
      </c>
      <c r="G1717" s="23" t="s">
        <v>10842</v>
      </c>
      <c r="K1717" s="23" t="s">
        <v>10843</v>
      </c>
      <c r="L1717" s="23" t="s">
        <v>10844</v>
      </c>
      <c r="O1717" s="23" t="s">
        <v>11531</v>
      </c>
      <c r="P1717" s="23" t="s">
        <v>13582</v>
      </c>
      <c r="Q1717" s="23" t="s">
        <v>13588</v>
      </c>
      <c r="R1717" s="23" t="s">
        <v>13594</v>
      </c>
      <c r="S1717" s="23" t="s">
        <v>13600</v>
      </c>
      <c r="T1717" s="23" t="s">
        <v>13606</v>
      </c>
    </row>
    <row r="1718" spans="1:20" x14ac:dyDescent="0.2">
      <c r="A1718" s="23" t="s">
        <v>92</v>
      </c>
      <c r="C1718" s="23" t="s">
        <v>10845</v>
      </c>
      <c r="D1718" s="23" t="s">
        <v>10846</v>
      </c>
      <c r="E1718" s="23" t="s">
        <v>10847</v>
      </c>
      <c r="G1718" s="23" t="s">
        <v>10848</v>
      </c>
      <c r="K1718" s="23" t="s">
        <v>10849</v>
      </c>
      <c r="L1718" s="23" t="s">
        <v>10850</v>
      </c>
      <c r="O1718" s="23" t="s">
        <v>11532</v>
      </c>
      <c r="P1718" s="23" t="s">
        <v>13583</v>
      </c>
      <c r="Q1718" s="23" t="s">
        <v>13589</v>
      </c>
      <c r="R1718" s="23" t="s">
        <v>13595</v>
      </c>
      <c r="S1718" s="23" t="s">
        <v>13601</v>
      </c>
      <c r="T1718" s="23" t="s">
        <v>13607</v>
      </c>
    </row>
    <row r="1719" spans="1:20" x14ac:dyDescent="0.2">
      <c r="A1719" s="23" t="s">
        <v>92</v>
      </c>
      <c r="C1719" s="23" t="s">
        <v>10851</v>
      </c>
      <c r="D1719" s="23" t="s">
        <v>10852</v>
      </c>
      <c r="E1719" s="23" t="s">
        <v>10853</v>
      </c>
      <c r="G1719" s="23" t="s">
        <v>10854</v>
      </c>
      <c r="K1719" s="23" t="s">
        <v>10855</v>
      </c>
      <c r="L1719" s="23" t="s">
        <v>10856</v>
      </c>
      <c r="O1719" s="23" t="s">
        <v>11573</v>
      </c>
      <c r="P1719" s="23" t="s">
        <v>13584</v>
      </c>
      <c r="Q1719" s="23" t="s">
        <v>13590</v>
      </c>
      <c r="R1719" s="23" t="s">
        <v>13596</v>
      </c>
      <c r="S1719" s="23" t="s">
        <v>13602</v>
      </c>
      <c r="T1719" s="23" t="s">
        <v>13608</v>
      </c>
    </row>
    <row r="1720" spans="1:20" x14ac:dyDescent="0.2">
      <c r="A1720" s="23" t="s">
        <v>92</v>
      </c>
      <c r="C1720" s="23" t="s">
        <v>10857</v>
      </c>
      <c r="D1720" s="23" t="s">
        <v>10858</v>
      </c>
      <c r="E1720" s="23" t="s">
        <v>10859</v>
      </c>
      <c r="G1720" s="23" t="s">
        <v>10860</v>
      </c>
      <c r="K1720" s="23" t="s">
        <v>10861</v>
      </c>
      <c r="L1720" s="23" t="s">
        <v>10862</v>
      </c>
      <c r="O1720" s="23" t="s">
        <v>12372</v>
      </c>
      <c r="P1720" s="23" t="s">
        <v>13585</v>
      </c>
      <c r="Q1720" s="23" t="s">
        <v>13591</v>
      </c>
      <c r="R1720" s="23" t="s">
        <v>13597</v>
      </c>
      <c r="S1720" s="23" t="s">
        <v>13603</v>
      </c>
      <c r="T1720" s="23" t="s">
        <v>13609</v>
      </c>
    </row>
    <row r="1721" spans="1:20" x14ac:dyDescent="0.2">
      <c r="A1721" s="23" t="s">
        <v>92</v>
      </c>
      <c r="C1721" s="23" t="s">
        <v>10827</v>
      </c>
      <c r="D1721" s="23" t="s">
        <v>10828</v>
      </c>
      <c r="E1721" s="23" t="s">
        <v>10829</v>
      </c>
      <c r="G1721" s="23" t="s">
        <v>10830</v>
      </c>
      <c r="K1721" s="23" t="s">
        <v>10831</v>
      </c>
      <c r="L1721" s="23" t="s">
        <v>10832</v>
      </c>
    </row>
    <row r="1722" spans="1:20" x14ac:dyDescent="0.2">
      <c r="A1722" s="23" t="s">
        <v>92</v>
      </c>
      <c r="C1722" s="23" t="s">
        <v>10863</v>
      </c>
      <c r="D1722" s="23" t="s">
        <v>10864</v>
      </c>
      <c r="E1722" s="23" t="s">
        <v>10865</v>
      </c>
      <c r="G1722" s="23" t="s">
        <v>10866</v>
      </c>
      <c r="K1722" s="23" t="s">
        <v>10867</v>
      </c>
      <c r="L1722" s="23" t="s">
        <v>10868</v>
      </c>
      <c r="M1722" s="23" t="s">
        <v>10869</v>
      </c>
      <c r="N1722" s="23" t="s">
        <v>10870</v>
      </c>
      <c r="T1722" s="23" t="s">
        <v>10871</v>
      </c>
    </row>
    <row r="1723" spans="1:20" x14ac:dyDescent="0.2">
      <c r="A1723" s="23" t="s">
        <v>92</v>
      </c>
      <c r="C1723" s="23" t="s">
        <v>10872</v>
      </c>
      <c r="D1723" s="23" t="s">
        <v>10873</v>
      </c>
      <c r="E1723" s="23" t="s">
        <v>10874</v>
      </c>
      <c r="G1723" s="23" t="s">
        <v>10875</v>
      </c>
      <c r="K1723" s="23" t="s">
        <v>10876</v>
      </c>
      <c r="L1723" s="23" t="s">
        <v>10877</v>
      </c>
      <c r="M1723" s="23" t="s">
        <v>10878</v>
      </c>
      <c r="N1723" s="23" t="s">
        <v>10879</v>
      </c>
    </row>
    <row r="1724" spans="1:20" x14ac:dyDescent="0.2">
      <c r="A1724" s="23" t="s">
        <v>92</v>
      </c>
      <c r="C1724" s="23" t="s">
        <v>10880</v>
      </c>
      <c r="D1724" s="23" t="s">
        <v>10881</v>
      </c>
      <c r="E1724" s="23" t="s">
        <v>10882</v>
      </c>
      <c r="G1724" s="23" t="s">
        <v>10883</v>
      </c>
      <c r="K1724" s="23" t="s">
        <v>10884</v>
      </c>
      <c r="L1724" s="23" t="s">
        <v>10885</v>
      </c>
      <c r="O1724" s="23" t="s">
        <v>12373</v>
      </c>
      <c r="P1724" s="23" t="s">
        <v>10886</v>
      </c>
      <c r="Q1724" s="23" t="s">
        <v>10887</v>
      </c>
      <c r="R1724" s="23" t="s">
        <v>10888</v>
      </c>
      <c r="S1724" s="23" t="s">
        <v>10889</v>
      </c>
      <c r="T1724" s="23" t="s">
        <v>10890</v>
      </c>
    </row>
    <row r="1725" spans="1:20" x14ac:dyDescent="0.2">
      <c r="A1725" s="23" t="s">
        <v>92</v>
      </c>
      <c r="C1725" s="23" t="s">
        <v>10891</v>
      </c>
      <c r="D1725" s="23" t="s">
        <v>10892</v>
      </c>
      <c r="E1725" s="23" t="s">
        <v>10893</v>
      </c>
      <c r="G1725" s="23" t="s">
        <v>10894</v>
      </c>
      <c r="K1725" s="23" t="s">
        <v>10895</v>
      </c>
      <c r="L1725" s="23" t="s">
        <v>10896</v>
      </c>
      <c r="O1725" s="23" t="s">
        <v>12374</v>
      </c>
      <c r="P1725" s="23" t="s">
        <v>13550</v>
      </c>
      <c r="Q1725" s="23" t="s">
        <v>13556</v>
      </c>
      <c r="R1725" s="23" t="s">
        <v>13562</v>
      </c>
      <c r="S1725" s="23" t="s">
        <v>13568</v>
      </c>
      <c r="T1725" s="23" t="s">
        <v>13574</v>
      </c>
    </row>
    <row r="1726" spans="1:20" x14ac:dyDescent="0.2">
      <c r="A1726" s="23" t="s">
        <v>92</v>
      </c>
      <c r="C1726" s="23" t="s">
        <v>10897</v>
      </c>
      <c r="D1726" s="23" t="s">
        <v>10898</v>
      </c>
      <c r="E1726" s="23" t="s">
        <v>10899</v>
      </c>
      <c r="G1726" s="23" t="s">
        <v>10900</v>
      </c>
      <c r="K1726" s="23" t="s">
        <v>10901</v>
      </c>
      <c r="L1726" s="23" t="s">
        <v>10902</v>
      </c>
      <c r="O1726" s="23" t="s">
        <v>12375</v>
      </c>
      <c r="P1726" s="23" t="s">
        <v>13551</v>
      </c>
      <c r="Q1726" s="23" t="s">
        <v>13557</v>
      </c>
      <c r="R1726" s="23" t="s">
        <v>13563</v>
      </c>
      <c r="S1726" s="23" t="s">
        <v>13569</v>
      </c>
      <c r="T1726" s="23" t="s">
        <v>13575</v>
      </c>
    </row>
    <row r="1727" spans="1:20" x14ac:dyDescent="0.2">
      <c r="A1727" s="23" t="s">
        <v>92</v>
      </c>
      <c r="C1727" s="23" t="s">
        <v>10903</v>
      </c>
      <c r="D1727" s="23" t="s">
        <v>10904</v>
      </c>
      <c r="E1727" s="23" t="s">
        <v>10905</v>
      </c>
      <c r="G1727" s="23" t="s">
        <v>10906</v>
      </c>
      <c r="K1727" s="23" t="s">
        <v>10907</v>
      </c>
      <c r="L1727" s="23" t="s">
        <v>10908</v>
      </c>
      <c r="O1727" s="23" t="s">
        <v>11538</v>
      </c>
      <c r="P1727" s="23" t="s">
        <v>13552</v>
      </c>
      <c r="Q1727" s="23" t="s">
        <v>13558</v>
      </c>
      <c r="R1727" s="23" t="s">
        <v>13564</v>
      </c>
      <c r="S1727" s="23" t="s">
        <v>13570</v>
      </c>
      <c r="T1727" s="23" t="s">
        <v>13576</v>
      </c>
    </row>
    <row r="1728" spans="1:20" x14ac:dyDescent="0.2">
      <c r="A1728" s="23" t="s">
        <v>92</v>
      </c>
      <c r="C1728" s="23" t="s">
        <v>10909</v>
      </c>
      <c r="D1728" s="23" t="s">
        <v>10910</v>
      </c>
      <c r="E1728" s="23" t="s">
        <v>10911</v>
      </c>
      <c r="G1728" s="23" t="s">
        <v>10912</v>
      </c>
      <c r="K1728" s="23" t="s">
        <v>10913</v>
      </c>
      <c r="L1728" s="23" t="s">
        <v>10914</v>
      </c>
      <c r="O1728" s="23" t="s">
        <v>11539</v>
      </c>
      <c r="P1728" s="23" t="s">
        <v>13553</v>
      </c>
      <c r="Q1728" s="23" t="s">
        <v>13559</v>
      </c>
      <c r="R1728" s="23" t="s">
        <v>13565</v>
      </c>
      <c r="S1728" s="23" t="s">
        <v>13571</v>
      </c>
      <c r="T1728" s="23" t="s">
        <v>13577</v>
      </c>
    </row>
    <row r="1729" spans="1:20" x14ac:dyDescent="0.2">
      <c r="A1729" s="23" t="s">
        <v>92</v>
      </c>
      <c r="C1729" s="23" t="s">
        <v>10915</v>
      </c>
      <c r="D1729" s="23" t="s">
        <v>10916</v>
      </c>
      <c r="E1729" s="23" t="s">
        <v>10917</v>
      </c>
      <c r="G1729" s="23" t="s">
        <v>10918</v>
      </c>
      <c r="K1729" s="23" t="s">
        <v>10919</v>
      </c>
      <c r="L1729" s="23" t="s">
        <v>10920</v>
      </c>
      <c r="O1729" s="23" t="s">
        <v>11578</v>
      </c>
      <c r="P1729" s="23" t="s">
        <v>13554</v>
      </c>
      <c r="Q1729" s="23" t="s">
        <v>13560</v>
      </c>
      <c r="R1729" s="23" t="s">
        <v>13566</v>
      </c>
      <c r="S1729" s="23" t="s">
        <v>13572</v>
      </c>
      <c r="T1729" s="23" t="s">
        <v>13578</v>
      </c>
    </row>
    <row r="1730" spans="1:20" x14ac:dyDescent="0.2">
      <c r="A1730" s="23" t="s">
        <v>92</v>
      </c>
      <c r="C1730" s="23" t="s">
        <v>10921</v>
      </c>
      <c r="D1730" s="23" t="s">
        <v>10922</v>
      </c>
      <c r="E1730" s="23" t="s">
        <v>10923</v>
      </c>
      <c r="G1730" s="23" t="s">
        <v>10924</v>
      </c>
      <c r="K1730" s="23" t="s">
        <v>10925</v>
      </c>
      <c r="L1730" s="23" t="s">
        <v>10926</v>
      </c>
      <c r="O1730" s="23" t="s">
        <v>12376</v>
      </c>
      <c r="P1730" s="23" t="s">
        <v>13555</v>
      </c>
      <c r="Q1730" s="23" t="s">
        <v>13561</v>
      </c>
      <c r="R1730" s="23" t="s">
        <v>13567</v>
      </c>
      <c r="S1730" s="23" t="s">
        <v>13573</v>
      </c>
      <c r="T1730" s="23" t="s">
        <v>13579</v>
      </c>
    </row>
    <row r="1731" spans="1:20" x14ac:dyDescent="0.2">
      <c r="A1731" s="23" t="s">
        <v>92</v>
      </c>
      <c r="C1731" s="23" t="s">
        <v>10891</v>
      </c>
      <c r="D1731" s="23" t="s">
        <v>10892</v>
      </c>
      <c r="E1731" s="23" t="s">
        <v>10893</v>
      </c>
      <c r="G1731" s="23" t="s">
        <v>10894</v>
      </c>
      <c r="K1731" s="23" t="s">
        <v>10895</v>
      </c>
      <c r="L1731" s="23" t="s">
        <v>10896</v>
      </c>
    </row>
    <row r="1732" spans="1:20" x14ac:dyDescent="0.2">
      <c r="A1732" s="23" t="s">
        <v>92</v>
      </c>
      <c r="C1732" s="23" t="s">
        <v>10927</v>
      </c>
      <c r="D1732" s="23" t="s">
        <v>10928</v>
      </c>
      <c r="E1732" s="23" t="s">
        <v>10929</v>
      </c>
      <c r="G1732" s="23" t="s">
        <v>10930</v>
      </c>
      <c r="K1732" s="23" t="s">
        <v>10931</v>
      </c>
      <c r="L1732" s="23" t="s">
        <v>10932</v>
      </c>
      <c r="M1732" s="23" t="s">
        <v>10933</v>
      </c>
      <c r="N1732" s="23" t="s">
        <v>10934</v>
      </c>
      <c r="T1732" s="23" t="s">
        <v>10935</v>
      </c>
    </row>
    <row r="1733" spans="1:20" x14ac:dyDescent="0.2">
      <c r="A1733" s="23" t="s">
        <v>92</v>
      </c>
      <c r="C1733" s="23" t="s">
        <v>10936</v>
      </c>
      <c r="D1733" s="23" t="s">
        <v>10937</v>
      </c>
      <c r="E1733" s="23" t="s">
        <v>10938</v>
      </c>
      <c r="G1733" s="23" t="s">
        <v>10939</v>
      </c>
      <c r="K1733" s="23" t="s">
        <v>10940</v>
      </c>
      <c r="L1733" s="23" t="s">
        <v>10941</v>
      </c>
      <c r="M1733" s="23" t="s">
        <v>10942</v>
      </c>
      <c r="N1733" s="23" t="s">
        <v>10943</v>
      </c>
    </row>
    <row r="1734" spans="1:20" x14ac:dyDescent="0.2">
      <c r="A1734" s="23" t="s">
        <v>92</v>
      </c>
      <c r="C1734" s="23" t="s">
        <v>10944</v>
      </c>
      <c r="D1734" s="23" t="s">
        <v>10945</v>
      </c>
      <c r="E1734" s="23" t="s">
        <v>10946</v>
      </c>
      <c r="G1734" s="23" t="s">
        <v>10947</v>
      </c>
      <c r="K1734" s="23" t="s">
        <v>10948</v>
      </c>
      <c r="L1734" s="23" t="s">
        <v>10949</v>
      </c>
      <c r="O1734" s="23" t="s">
        <v>12377</v>
      </c>
      <c r="P1734" s="23" t="s">
        <v>10950</v>
      </c>
      <c r="Q1734" s="23" t="s">
        <v>10951</v>
      </c>
      <c r="R1734" s="23" t="s">
        <v>10952</v>
      </c>
      <c r="S1734" s="23" t="s">
        <v>10953</v>
      </c>
      <c r="T1734" s="23" t="s">
        <v>10954</v>
      </c>
    </row>
    <row r="1735" spans="1:20" x14ac:dyDescent="0.2">
      <c r="A1735" s="23" t="s">
        <v>92</v>
      </c>
      <c r="C1735" s="23" t="s">
        <v>10955</v>
      </c>
      <c r="D1735" s="23" t="s">
        <v>10956</v>
      </c>
      <c r="E1735" s="23" t="s">
        <v>10957</v>
      </c>
      <c r="G1735" s="23" t="s">
        <v>10958</v>
      </c>
      <c r="K1735" s="23" t="s">
        <v>10959</v>
      </c>
      <c r="L1735" s="23" t="s">
        <v>10960</v>
      </c>
      <c r="O1735" s="23" t="s">
        <v>12378</v>
      </c>
      <c r="P1735" s="23" t="s">
        <v>13520</v>
      </c>
      <c r="Q1735" s="23" t="s">
        <v>13526</v>
      </c>
      <c r="R1735" s="23" t="s">
        <v>13532</v>
      </c>
      <c r="S1735" s="23" t="s">
        <v>13538</v>
      </c>
      <c r="T1735" s="23" t="s">
        <v>13544</v>
      </c>
    </row>
    <row r="1736" spans="1:20" x14ac:dyDescent="0.2">
      <c r="A1736" s="23" t="s">
        <v>92</v>
      </c>
      <c r="C1736" s="23" t="s">
        <v>10961</v>
      </c>
      <c r="D1736" s="23" t="s">
        <v>10962</v>
      </c>
      <c r="E1736" s="23" t="s">
        <v>10963</v>
      </c>
      <c r="G1736" s="23" t="s">
        <v>10964</v>
      </c>
      <c r="K1736" s="23" t="s">
        <v>10965</v>
      </c>
      <c r="L1736" s="23" t="s">
        <v>10966</v>
      </c>
      <c r="O1736" s="23" t="s">
        <v>12379</v>
      </c>
      <c r="P1736" s="23" t="s">
        <v>13521</v>
      </c>
      <c r="Q1736" s="23" t="s">
        <v>13527</v>
      </c>
      <c r="R1736" s="23" t="s">
        <v>13533</v>
      </c>
      <c r="S1736" s="23" t="s">
        <v>13539</v>
      </c>
      <c r="T1736" s="23" t="s">
        <v>13545</v>
      </c>
    </row>
    <row r="1737" spans="1:20" x14ac:dyDescent="0.2">
      <c r="A1737" s="23" t="s">
        <v>92</v>
      </c>
      <c r="C1737" s="23" t="s">
        <v>10967</v>
      </c>
      <c r="D1737" s="23" t="s">
        <v>10968</v>
      </c>
      <c r="E1737" s="23" t="s">
        <v>10969</v>
      </c>
      <c r="G1737" s="23" t="s">
        <v>10970</v>
      </c>
      <c r="K1737" s="23" t="s">
        <v>10971</v>
      </c>
      <c r="L1737" s="23" t="s">
        <v>10972</v>
      </c>
      <c r="O1737" s="23" t="s">
        <v>11546</v>
      </c>
      <c r="P1737" s="23" t="s">
        <v>13522</v>
      </c>
      <c r="Q1737" s="23" t="s">
        <v>13528</v>
      </c>
      <c r="R1737" s="23" t="s">
        <v>13534</v>
      </c>
      <c r="S1737" s="23" t="s">
        <v>13540</v>
      </c>
      <c r="T1737" s="23" t="s">
        <v>13546</v>
      </c>
    </row>
    <row r="1738" spans="1:20" x14ac:dyDescent="0.2">
      <c r="A1738" s="23" t="s">
        <v>92</v>
      </c>
      <c r="C1738" s="23" t="s">
        <v>10973</v>
      </c>
      <c r="D1738" s="23" t="s">
        <v>10974</v>
      </c>
      <c r="E1738" s="23" t="s">
        <v>10975</v>
      </c>
      <c r="G1738" s="23" t="s">
        <v>10976</v>
      </c>
      <c r="K1738" s="23" t="s">
        <v>10977</v>
      </c>
      <c r="L1738" s="23" t="s">
        <v>10978</v>
      </c>
      <c r="O1738" s="23" t="s">
        <v>11547</v>
      </c>
      <c r="P1738" s="23" t="s">
        <v>13523</v>
      </c>
      <c r="Q1738" s="23" t="s">
        <v>13529</v>
      </c>
      <c r="R1738" s="23" t="s">
        <v>13535</v>
      </c>
      <c r="S1738" s="23" t="s">
        <v>13541</v>
      </c>
      <c r="T1738" s="23" t="s">
        <v>13547</v>
      </c>
    </row>
    <row r="1739" spans="1:20" x14ac:dyDescent="0.2">
      <c r="A1739" s="23" t="s">
        <v>92</v>
      </c>
      <c r="C1739" s="23" t="s">
        <v>10979</v>
      </c>
      <c r="D1739" s="23" t="s">
        <v>10980</v>
      </c>
      <c r="E1739" s="23" t="s">
        <v>10981</v>
      </c>
      <c r="G1739" s="23" t="s">
        <v>10982</v>
      </c>
      <c r="K1739" s="23" t="s">
        <v>10983</v>
      </c>
      <c r="L1739" s="23" t="s">
        <v>10984</v>
      </c>
      <c r="O1739" s="23" t="s">
        <v>11583</v>
      </c>
      <c r="P1739" s="23" t="s">
        <v>13524</v>
      </c>
      <c r="Q1739" s="23" t="s">
        <v>13530</v>
      </c>
      <c r="R1739" s="23" t="s">
        <v>13536</v>
      </c>
      <c r="S1739" s="23" t="s">
        <v>13542</v>
      </c>
      <c r="T1739" s="23" t="s">
        <v>13548</v>
      </c>
    </row>
    <row r="1740" spans="1:20" x14ac:dyDescent="0.2">
      <c r="A1740" s="23" t="s">
        <v>92</v>
      </c>
      <c r="C1740" s="23" t="s">
        <v>10985</v>
      </c>
      <c r="D1740" s="23" t="s">
        <v>10986</v>
      </c>
      <c r="E1740" s="23" t="s">
        <v>10987</v>
      </c>
      <c r="G1740" s="23" t="s">
        <v>10988</v>
      </c>
      <c r="K1740" s="23" t="s">
        <v>10989</v>
      </c>
      <c r="L1740" s="23" t="s">
        <v>10990</v>
      </c>
      <c r="O1740" s="23" t="s">
        <v>12380</v>
      </c>
      <c r="P1740" s="23" t="s">
        <v>13525</v>
      </c>
      <c r="Q1740" s="23" t="s">
        <v>13531</v>
      </c>
      <c r="R1740" s="23" t="s">
        <v>13537</v>
      </c>
      <c r="S1740" s="23" t="s">
        <v>13543</v>
      </c>
      <c r="T1740" s="23" t="s">
        <v>13549</v>
      </c>
    </row>
    <row r="1741" spans="1:20" x14ac:dyDescent="0.2">
      <c r="A1741" s="23" t="s">
        <v>92</v>
      </c>
      <c r="C1741" s="23" t="s">
        <v>10955</v>
      </c>
      <c r="D1741" s="23" t="s">
        <v>10956</v>
      </c>
      <c r="E1741" s="23" t="s">
        <v>10957</v>
      </c>
      <c r="G1741" s="23" t="s">
        <v>10958</v>
      </c>
      <c r="K1741" s="23" t="s">
        <v>10959</v>
      </c>
      <c r="L1741" s="23" t="s">
        <v>10960</v>
      </c>
    </row>
    <row r="1742" spans="1:20" x14ac:dyDescent="0.2">
      <c r="A1742" s="23" t="s">
        <v>92</v>
      </c>
      <c r="C1742" s="23" t="s">
        <v>10991</v>
      </c>
      <c r="D1742" s="23" t="s">
        <v>10992</v>
      </c>
      <c r="E1742" s="23" t="s">
        <v>10993</v>
      </c>
      <c r="G1742" s="23" t="s">
        <v>10994</v>
      </c>
      <c r="K1742" s="23" t="s">
        <v>10995</v>
      </c>
      <c r="L1742" s="23" t="s">
        <v>10996</v>
      </c>
      <c r="M1742" s="23" t="s">
        <v>10997</v>
      </c>
      <c r="N1742" s="23" t="s">
        <v>10998</v>
      </c>
      <c r="T1742" s="23" t="s">
        <v>10999</v>
      </c>
    </row>
    <row r="1743" spans="1:20" x14ac:dyDescent="0.2">
      <c r="A1743" s="23" t="s">
        <v>92</v>
      </c>
      <c r="C1743" s="23" t="s">
        <v>11000</v>
      </c>
      <c r="D1743" s="23" t="s">
        <v>11001</v>
      </c>
      <c r="E1743" s="23" t="s">
        <v>11002</v>
      </c>
      <c r="G1743" s="23" t="s">
        <v>11003</v>
      </c>
      <c r="K1743" s="23" t="s">
        <v>11004</v>
      </c>
      <c r="L1743" s="23" t="s">
        <v>11005</v>
      </c>
      <c r="M1743" s="23" t="s">
        <v>11006</v>
      </c>
      <c r="N1743" s="23" t="s">
        <v>11007</v>
      </c>
    </row>
    <row r="1744" spans="1:20" x14ac:dyDescent="0.2">
      <c r="A1744" s="23" t="s">
        <v>92</v>
      </c>
      <c r="C1744" s="23" t="s">
        <v>11008</v>
      </c>
      <c r="D1744" s="23" t="s">
        <v>11009</v>
      </c>
      <c r="E1744" s="23" t="s">
        <v>11010</v>
      </c>
      <c r="G1744" s="23" t="s">
        <v>11011</v>
      </c>
      <c r="K1744" s="23" t="s">
        <v>11012</v>
      </c>
      <c r="L1744" s="23" t="s">
        <v>11013</v>
      </c>
      <c r="O1744" s="23" t="s">
        <v>12381</v>
      </c>
      <c r="P1744" s="23" t="s">
        <v>11014</v>
      </c>
      <c r="Q1744" s="23" t="s">
        <v>11015</v>
      </c>
      <c r="R1744" s="23" t="s">
        <v>11016</v>
      </c>
      <c r="S1744" s="23" t="s">
        <v>11017</v>
      </c>
      <c r="T1744" s="23" t="s">
        <v>11018</v>
      </c>
    </row>
    <row r="1745" spans="1:20" x14ac:dyDescent="0.2">
      <c r="A1745" s="23" t="s">
        <v>92</v>
      </c>
      <c r="C1745" s="23" t="s">
        <v>11019</v>
      </c>
      <c r="D1745" s="23" t="s">
        <v>11020</v>
      </c>
      <c r="E1745" s="23" t="s">
        <v>11021</v>
      </c>
      <c r="G1745" s="23" t="s">
        <v>11022</v>
      </c>
      <c r="K1745" s="23" t="s">
        <v>11023</v>
      </c>
      <c r="L1745" s="23" t="s">
        <v>11024</v>
      </c>
      <c r="O1745" s="23" t="s">
        <v>12382</v>
      </c>
      <c r="P1745" s="23" t="s">
        <v>13490</v>
      </c>
      <c r="Q1745" s="23" t="s">
        <v>13496</v>
      </c>
      <c r="R1745" s="23" t="s">
        <v>13502</v>
      </c>
      <c r="S1745" s="23" t="s">
        <v>13508</v>
      </c>
      <c r="T1745" s="23" t="s">
        <v>13514</v>
      </c>
    </row>
    <row r="1746" spans="1:20" x14ac:dyDescent="0.2">
      <c r="A1746" s="23" t="s">
        <v>92</v>
      </c>
      <c r="C1746" s="23" t="s">
        <v>11025</v>
      </c>
      <c r="D1746" s="23" t="s">
        <v>11026</v>
      </c>
      <c r="E1746" s="23" t="s">
        <v>11027</v>
      </c>
      <c r="G1746" s="23" t="s">
        <v>11028</v>
      </c>
      <c r="K1746" s="23" t="s">
        <v>11029</v>
      </c>
      <c r="L1746" s="23" t="s">
        <v>11030</v>
      </c>
      <c r="O1746" s="23" t="s">
        <v>12383</v>
      </c>
      <c r="P1746" s="23" t="s">
        <v>13491</v>
      </c>
      <c r="Q1746" s="23" t="s">
        <v>13497</v>
      </c>
      <c r="R1746" s="23" t="s">
        <v>13503</v>
      </c>
      <c r="S1746" s="23" t="s">
        <v>13509</v>
      </c>
      <c r="T1746" s="23" t="s">
        <v>13515</v>
      </c>
    </row>
    <row r="1747" spans="1:20" x14ac:dyDescent="0.2">
      <c r="A1747" s="23" t="s">
        <v>92</v>
      </c>
      <c r="C1747" s="23" t="s">
        <v>11031</v>
      </c>
      <c r="D1747" s="23" t="s">
        <v>11032</v>
      </c>
      <c r="E1747" s="23" t="s">
        <v>11033</v>
      </c>
      <c r="G1747" s="23" t="s">
        <v>11034</v>
      </c>
      <c r="K1747" s="23" t="s">
        <v>11035</v>
      </c>
      <c r="L1747" s="23" t="s">
        <v>11036</v>
      </c>
      <c r="O1747" s="23" t="s">
        <v>11554</v>
      </c>
      <c r="P1747" s="23" t="s">
        <v>13492</v>
      </c>
      <c r="Q1747" s="23" t="s">
        <v>13498</v>
      </c>
      <c r="R1747" s="23" t="s">
        <v>13504</v>
      </c>
      <c r="S1747" s="23" t="s">
        <v>13510</v>
      </c>
      <c r="T1747" s="23" t="s">
        <v>13516</v>
      </c>
    </row>
    <row r="1748" spans="1:20" x14ac:dyDescent="0.2">
      <c r="A1748" s="23" t="s">
        <v>92</v>
      </c>
      <c r="C1748" s="23" t="s">
        <v>11037</v>
      </c>
      <c r="D1748" s="23" t="s">
        <v>11038</v>
      </c>
      <c r="E1748" s="23" t="s">
        <v>11039</v>
      </c>
      <c r="G1748" s="23" t="s">
        <v>11040</v>
      </c>
      <c r="K1748" s="23" t="s">
        <v>11041</v>
      </c>
      <c r="L1748" s="23" t="s">
        <v>11042</v>
      </c>
      <c r="O1748" s="23" t="s">
        <v>11555</v>
      </c>
      <c r="P1748" s="23" t="s">
        <v>13493</v>
      </c>
      <c r="Q1748" s="23" t="s">
        <v>13499</v>
      </c>
      <c r="R1748" s="23" t="s">
        <v>13505</v>
      </c>
      <c r="S1748" s="23" t="s">
        <v>13511</v>
      </c>
      <c r="T1748" s="23" t="s">
        <v>13517</v>
      </c>
    </row>
    <row r="1749" spans="1:20" x14ac:dyDescent="0.2">
      <c r="A1749" s="23" t="s">
        <v>92</v>
      </c>
      <c r="C1749" s="23" t="s">
        <v>11043</v>
      </c>
      <c r="D1749" s="23" t="s">
        <v>11044</v>
      </c>
      <c r="E1749" s="23" t="s">
        <v>11045</v>
      </c>
      <c r="G1749" s="23" t="s">
        <v>11046</v>
      </c>
      <c r="K1749" s="23" t="s">
        <v>11047</v>
      </c>
      <c r="L1749" s="23" t="s">
        <v>11048</v>
      </c>
      <c r="O1749" s="23" t="s">
        <v>11588</v>
      </c>
      <c r="P1749" s="23" t="s">
        <v>13494</v>
      </c>
      <c r="Q1749" s="23" t="s">
        <v>13500</v>
      </c>
      <c r="R1749" s="23" t="s">
        <v>13506</v>
      </c>
      <c r="S1749" s="23" t="s">
        <v>13512</v>
      </c>
      <c r="T1749" s="23" t="s">
        <v>13518</v>
      </c>
    </row>
    <row r="1750" spans="1:20" x14ac:dyDescent="0.2">
      <c r="A1750" s="23" t="s">
        <v>92</v>
      </c>
      <c r="C1750" s="23" t="s">
        <v>11049</v>
      </c>
      <c r="D1750" s="23" t="s">
        <v>11050</v>
      </c>
      <c r="E1750" s="23" t="s">
        <v>11051</v>
      </c>
      <c r="G1750" s="23" t="s">
        <v>11052</v>
      </c>
      <c r="K1750" s="23" t="s">
        <v>11053</v>
      </c>
      <c r="L1750" s="23" t="s">
        <v>11054</v>
      </c>
      <c r="O1750" s="23" t="s">
        <v>12384</v>
      </c>
      <c r="P1750" s="23" t="s">
        <v>13495</v>
      </c>
      <c r="Q1750" s="23" t="s">
        <v>13501</v>
      </c>
      <c r="R1750" s="23" t="s">
        <v>13507</v>
      </c>
      <c r="S1750" s="23" t="s">
        <v>13513</v>
      </c>
      <c r="T1750" s="23" t="s">
        <v>13519</v>
      </c>
    </row>
    <row r="1751" spans="1:20" x14ac:dyDescent="0.2">
      <c r="A1751" s="23" t="s">
        <v>92</v>
      </c>
      <c r="C1751" s="23" t="s">
        <v>11019</v>
      </c>
      <c r="D1751" s="23" t="s">
        <v>11020</v>
      </c>
      <c r="E1751" s="23" t="s">
        <v>11021</v>
      </c>
      <c r="G1751" s="23" t="s">
        <v>11022</v>
      </c>
      <c r="K1751" s="23" t="s">
        <v>11023</v>
      </c>
      <c r="L1751" s="23" t="s">
        <v>11024</v>
      </c>
    </row>
    <row r="1752" spans="1:20" x14ac:dyDescent="0.2">
      <c r="A1752" s="23" t="s">
        <v>92</v>
      </c>
      <c r="C1752" s="23" t="s">
        <v>11055</v>
      </c>
      <c r="D1752" s="23" t="s">
        <v>11056</v>
      </c>
      <c r="E1752" s="23" t="s">
        <v>11057</v>
      </c>
      <c r="G1752" s="23" t="s">
        <v>11058</v>
      </c>
      <c r="K1752" s="23" t="s">
        <v>11059</v>
      </c>
      <c r="L1752" s="23" t="s">
        <v>11060</v>
      </c>
      <c r="M1752" s="23" t="s">
        <v>11061</v>
      </c>
      <c r="N1752" s="23" t="s">
        <v>11062</v>
      </c>
      <c r="T1752" s="23" t="s">
        <v>11063</v>
      </c>
    </row>
    <row r="1753" spans="1:20" x14ac:dyDescent="0.2">
      <c r="A1753" s="23" t="s">
        <v>92</v>
      </c>
      <c r="C1753" s="23" t="s">
        <v>10744</v>
      </c>
      <c r="D1753" s="23" t="s">
        <v>10745</v>
      </c>
      <c r="E1753" s="23" t="s">
        <v>10746</v>
      </c>
      <c r="G1753" s="23" t="s">
        <v>10747</v>
      </c>
    </row>
    <row r="1754" spans="1:20" x14ac:dyDescent="0.2">
      <c r="A1754" s="23" t="s">
        <v>92</v>
      </c>
      <c r="C1754" s="23" t="s">
        <v>11064</v>
      </c>
      <c r="D1754" s="23" t="s">
        <v>11065</v>
      </c>
      <c r="E1754" s="23" t="s">
        <v>11066</v>
      </c>
      <c r="G1754" s="23" t="s">
        <v>11067</v>
      </c>
      <c r="H1754" s="23" t="s">
        <v>11068</v>
      </c>
      <c r="I1754" s="23" t="s">
        <v>11069</v>
      </c>
      <c r="J1754" s="23" t="s">
        <v>11070</v>
      </c>
      <c r="T1754" s="23" t="s">
        <v>11071</v>
      </c>
    </row>
    <row r="1755" spans="1:20" x14ac:dyDescent="0.2">
      <c r="A1755" s="23" t="s">
        <v>92</v>
      </c>
      <c r="C1755" s="23" t="s">
        <v>11072</v>
      </c>
      <c r="D1755" s="23" t="s">
        <v>11073</v>
      </c>
      <c r="E1755" s="23" t="s">
        <v>11074</v>
      </c>
      <c r="G1755" s="23" t="s">
        <v>11075</v>
      </c>
      <c r="H1755" s="23" t="s">
        <v>11076</v>
      </c>
      <c r="I1755" s="23" t="s">
        <v>11077</v>
      </c>
      <c r="J1755" s="23" t="s">
        <v>11078</v>
      </c>
    </row>
    <row r="1756" spans="1:20" x14ac:dyDescent="0.2">
      <c r="A1756" s="23" t="s">
        <v>92</v>
      </c>
      <c r="C1756" s="23" t="s">
        <v>11079</v>
      </c>
      <c r="D1756" s="23" t="s">
        <v>11080</v>
      </c>
      <c r="E1756" s="23" t="s">
        <v>11081</v>
      </c>
      <c r="G1756" s="23" t="s">
        <v>11082</v>
      </c>
      <c r="K1756" s="23" t="s">
        <v>11083</v>
      </c>
      <c r="L1756" s="23" t="s">
        <v>11084</v>
      </c>
      <c r="M1756" s="23" t="s">
        <v>12385</v>
      </c>
      <c r="N1756" s="23" t="s">
        <v>11085</v>
      </c>
    </row>
    <row r="1757" spans="1:20" x14ac:dyDescent="0.2">
      <c r="A1757" s="23" t="s">
        <v>92</v>
      </c>
      <c r="C1757" s="23" t="s">
        <v>11086</v>
      </c>
      <c r="D1757" s="23" t="s">
        <v>11087</v>
      </c>
      <c r="E1757" s="23" t="s">
        <v>11088</v>
      </c>
      <c r="G1757" s="23" t="s">
        <v>11089</v>
      </c>
      <c r="K1757" s="23" t="s">
        <v>11090</v>
      </c>
      <c r="L1757" s="23" t="s">
        <v>11091</v>
      </c>
      <c r="O1757" s="23" t="s">
        <v>12386</v>
      </c>
      <c r="P1757" s="23" t="s">
        <v>11092</v>
      </c>
      <c r="Q1757" s="23" t="s">
        <v>11093</v>
      </c>
      <c r="R1757" s="23" t="s">
        <v>11094</v>
      </c>
      <c r="S1757" s="23" t="s">
        <v>11095</v>
      </c>
      <c r="T1757" s="23" t="s">
        <v>11096</v>
      </c>
    </row>
    <row r="1758" spans="1:20" x14ac:dyDescent="0.2">
      <c r="A1758" s="23" t="s">
        <v>92</v>
      </c>
      <c r="C1758" s="23" t="s">
        <v>11097</v>
      </c>
      <c r="D1758" s="23" t="s">
        <v>11098</v>
      </c>
      <c r="E1758" s="23" t="s">
        <v>11099</v>
      </c>
      <c r="G1758" s="23" t="s">
        <v>11100</v>
      </c>
      <c r="K1758" s="23" t="s">
        <v>11101</v>
      </c>
      <c r="L1758" s="23" t="s">
        <v>11102</v>
      </c>
      <c r="O1758" s="23" t="s">
        <v>12387</v>
      </c>
      <c r="P1758" s="23" t="s">
        <v>13270</v>
      </c>
      <c r="Q1758" s="23" t="s">
        <v>13277</v>
      </c>
      <c r="R1758" s="23" t="s">
        <v>13284</v>
      </c>
      <c r="S1758" s="23" t="s">
        <v>13291</v>
      </c>
      <c r="T1758" s="23" t="s">
        <v>13298</v>
      </c>
    </row>
    <row r="1759" spans="1:20" x14ac:dyDescent="0.2">
      <c r="A1759" s="23" t="s">
        <v>92</v>
      </c>
      <c r="C1759" s="23" t="s">
        <v>11103</v>
      </c>
      <c r="D1759" s="23" t="s">
        <v>11104</v>
      </c>
      <c r="E1759" s="23" t="s">
        <v>11105</v>
      </c>
      <c r="G1759" s="23" t="s">
        <v>11106</v>
      </c>
      <c r="K1759" s="23" t="s">
        <v>11107</v>
      </c>
      <c r="L1759" s="23" t="s">
        <v>11108</v>
      </c>
      <c r="O1759" s="23" t="s">
        <v>11734</v>
      </c>
      <c r="P1759" s="23" t="s">
        <v>13271</v>
      </c>
      <c r="Q1759" s="23" t="s">
        <v>13278</v>
      </c>
      <c r="R1759" s="23" t="s">
        <v>13285</v>
      </c>
      <c r="S1759" s="23" t="s">
        <v>13292</v>
      </c>
      <c r="T1759" s="23" t="s">
        <v>13299</v>
      </c>
    </row>
    <row r="1760" spans="1:20" x14ac:dyDescent="0.2">
      <c r="A1760" s="23" t="s">
        <v>92</v>
      </c>
      <c r="C1760" s="23" t="s">
        <v>11109</v>
      </c>
      <c r="D1760" s="23" t="s">
        <v>11110</v>
      </c>
      <c r="E1760" s="23" t="s">
        <v>11111</v>
      </c>
      <c r="G1760" s="23" t="s">
        <v>11112</v>
      </c>
      <c r="K1760" s="23" t="s">
        <v>11113</v>
      </c>
      <c r="L1760" s="23" t="s">
        <v>11114</v>
      </c>
      <c r="O1760" s="23" t="s">
        <v>12388</v>
      </c>
      <c r="P1760" s="23" t="s">
        <v>13272</v>
      </c>
      <c r="Q1760" s="23" t="s">
        <v>13279</v>
      </c>
      <c r="R1760" s="23" t="s">
        <v>13286</v>
      </c>
      <c r="S1760" s="23" t="s">
        <v>13293</v>
      </c>
      <c r="T1760" s="23" t="s">
        <v>13300</v>
      </c>
    </row>
    <row r="1761" spans="1:20" x14ac:dyDescent="0.2">
      <c r="A1761" s="23" t="s">
        <v>92</v>
      </c>
      <c r="C1761" s="23" t="s">
        <v>11115</v>
      </c>
      <c r="D1761" s="23" t="s">
        <v>11116</v>
      </c>
      <c r="E1761" s="23" t="s">
        <v>11117</v>
      </c>
      <c r="G1761" s="23" t="s">
        <v>11118</v>
      </c>
      <c r="K1761" s="23" t="s">
        <v>11119</v>
      </c>
      <c r="L1761" s="23" t="s">
        <v>11120</v>
      </c>
      <c r="O1761" s="23" t="s">
        <v>11517</v>
      </c>
      <c r="P1761" s="23" t="s">
        <v>13273</v>
      </c>
      <c r="Q1761" s="23" t="s">
        <v>13280</v>
      </c>
      <c r="R1761" s="23" t="s">
        <v>13287</v>
      </c>
      <c r="S1761" s="23" t="s">
        <v>13294</v>
      </c>
      <c r="T1761" s="23" t="s">
        <v>13301</v>
      </c>
    </row>
    <row r="1762" spans="1:20" x14ac:dyDescent="0.2">
      <c r="A1762" s="23" t="s">
        <v>92</v>
      </c>
      <c r="C1762" s="23" t="s">
        <v>11121</v>
      </c>
      <c r="D1762" s="23" t="s">
        <v>11122</v>
      </c>
      <c r="E1762" s="23" t="s">
        <v>11123</v>
      </c>
      <c r="G1762" s="23" t="s">
        <v>11124</v>
      </c>
      <c r="K1762" s="23" t="s">
        <v>11125</v>
      </c>
      <c r="L1762" s="23" t="s">
        <v>11126</v>
      </c>
      <c r="O1762" s="23" t="s">
        <v>11518</v>
      </c>
      <c r="P1762" s="23" t="s">
        <v>13274</v>
      </c>
      <c r="Q1762" s="23" t="s">
        <v>13281</v>
      </c>
      <c r="R1762" s="23" t="s">
        <v>13288</v>
      </c>
      <c r="S1762" s="23" t="s">
        <v>13295</v>
      </c>
      <c r="T1762" s="23" t="s">
        <v>13302</v>
      </c>
    </row>
    <row r="1763" spans="1:20" x14ac:dyDescent="0.2">
      <c r="A1763" s="23" t="s">
        <v>92</v>
      </c>
      <c r="C1763" s="23" t="s">
        <v>11127</v>
      </c>
      <c r="D1763" s="23" t="s">
        <v>11128</v>
      </c>
      <c r="E1763" s="23" t="s">
        <v>11129</v>
      </c>
      <c r="G1763" s="23" t="s">
        <v>11130</v>
      </c>
      <c r="K1763" s="23" t="s">
        <v>11131</v>
      </c>
      <c r="L1763" s="23" t="s">
        <v>11132</v>
      </c>
      <c r="O1763" s="23" t="s">
        <v>11519</v>
      </c>
      <c r="P1763" s="23" t="s">
        <v>13275</v>
      </c>
      <c r="Q1763" s="23" t="s">
        <v>13282</v>
      </c>
      <c r="R1763" s="23" t="s">
        <v>13289</v>
      </c>
      <c r="S1763" s="23" t="s">
        <v>13296</v>
      </c>
      <c r="T1763" s="23" t="s">
        <v>13303</v>
      </c>
    </row>
    <row r="1764" spans="1:20" x14ac:dyDescent="0.2">
      <c r="A1764" s="23" t="s">
        <v>92</v>
      </c>
      <c r="C1764" s="23" t="s">
        <v>11133</v>
      </c>
      <c r="D1764" s="23" t="s">
        <v>11134</v>
      </c>
      <c r="E1764" s="23" t="s">
        <v>11135</v>
      </c>
      <c r="G1764" s="23" t="s">
        <v>11136</v>
      </c>
      <c r="K1764" s="23" t="s">
        <v>11137</v>
      </c>
      <c r="L1764" s="23" t="s">
        <v>11138</v>
      </c>
      <c r="O1764" s="23" t="s">
        <v>12389</v>
      </c>
      <c r="P1764" s="23" t="s">
        <v>13276</v>
      </c>
      <c r="Q1764" s="23" t="s">
        <v>13283</v>
      </c>
      <c r="R1764" s="23" t="s">
        <v>13290</v>
      </c>
      <c r="S1764" s="23" t="s">
        <v>13297</v>
      </c>
      <c r="T1764" s="23" t="s">
        <v>13304</v>
      </c>
    </row>
    <row r="1765" spans="1:20" x14ac:dyDescent="0.2">
      <c r="A1765" s="23" t="s">
        <v>92</v>
      </c>
      <c r="C1765" s="23" t="s">
        <v>11097</v>
      </c>
      <c r="D1765" s="23" t="s">
        <v>11098</v>
      </c>
      <c r="E1765" s="23" t="s">
        <v>11099</v>
      </c>
      <c r="G1765" s="23" t="s">
        <v>11100</v>
      </c>
      <c r="K1765" s="23" t="s">
        <v>11101</v>
      </c>
      <c r="L1765" s="23" t="s">
        <v>11102</v>
      </c>
    </row>
    <row r="1766" spans="1:20" x14ac:dyDescent="0.2">
      <c r="A1766" s="23" t="s">
        <v>92</v>
      </c>
      <c r="C1766" s="23" t="s">
        <v>11139</v>
      </c>
      <c r="D1766" s="23" t="s">
        <v>11140</v>
      </c>
      <c r="E1766" s="23" t="s">
        <v>11141</v>
      </c>
      <c r="G1766" s="23" t="s">
        <v>11142</v>
      </c>
      <c r="K1766" s="23" t="s">
        <v>11143</v>
      </c>
      <c r="L1766" s="23" t="s">
        <v>11144</v>
      </c>
      <c r="M1766" s="23" t="s">
        <v>11145</v>
      </c>
      <c r="N1766" s="23" t="s">
        <v>11146</v>
      </c>
      <c r="T1766" s="23" t="s">
        <v>11147</v>
      </c>
    </row>
    <row r="1767" spans="1:20" x14ac:dyDescent="0.2">
      <c r="A1767" s="23" t="s">
        <v>92</v>
      </c>
      <c r="C1767" s="23" t="s">
        <v>11148</v>
      </c>
      <c r="D1767" s="23" t="s">
        <v>11149</v>
      </c>
      <c r="E1767" s="23" t="s">
        <v>11150</v>
      </c>
      <c r="G1767" s="23" t="s">
        <v>11151</v>
      </c>
      <c r="K1767" s="23" t="s">
        <v>11152</v>
      </c>
      <c r="L1767" s="23" t="s">
        <v>11153</v>
      </c>
      <c r="M1767" s="23" t="s">
        <v>11154</v>
      </c>
      <c r="N1767" s="23" t="s">
        <v>11155</v>
      </c>
    </row>
    <row r="1768" spans="1:20" x14ac:dyDescent="0.2">
      <c r="A1768" s="23" t="s">
        <v>92</v>
      </c>
      <c r="C1768" s="23" t="s">
        <v>11156</v>
      </c>
      <c r="D1768" s="23" t="s">
        <v>11157</v>
      </c>
      <c r="E1768" s="23" t="s">
        <v>11158</v>
      </c>
      <c r="G1768" s="23" t="s">
        <v>11159</v>
      </c>
      <c r="K1768" s="23" t="s">
        <v>11160</v>
      </c>
      <c r="L1768" s="23" t="s">
        <v>11161</v>
      </c>
      <c r="O1768" s="23" t="s">
        <v>12390</v>
      </c>
      <c r="P1768" s="23" t="s">
        <v>11162</v>
      </c>
      <c r="Q1768" s="23" t="s">
        <v>11163</v>
      </c>
      <c r="R1768" s="23" t="s">
        <v>11164</v>
      </c>
      <c r="S1768" s="23" t="s">
        <v>11165</v>
      </c>
      <c r="T1768" s="23" t="s">
        <v>11166</v>
      </c>
    </row>
    <row r="1769" spans="1:20" x14ac:dyDescent="0.2">
      <c r="A1769" s="23" t="s">
        <v>92</v>
      </c>
      <c r="C1769" s="23" t="s">
        <v>11167</v>
      </c>
      <c r="D1769" s="23" t="s">
        <v>11168</v>
      </c>
      <c r="E1769" s="23" t="s">
        <v>11169</v>
      </c>
      <c r="G1769" s="23" t="s">
        <v>11170</v>
      </c>
      <c r="K1769" s="23" t="s">
        <v>11171</v>
      </c>
      <c r="L1769" s="23" t="s">
        <v>11172</v>
      </c>
      <c r="O1769" s="23" t="s">
        <v>12391</v>
      </c>
      <c r="P1769" s="23" t="s">
        <v>13425</v>
      </c>
      <c r="Q1769" s="23" t="s">
        <v>13431</v>
      </c>
      <c r="R1769" s="23" t="s">
        <v>13437</v>
      </c>
      <c r="S1769" s="23" t="s">
        <v>13443</v>
      </c>
      <c r="T1769" s="23" t="s">
        <v>13449</v>
      </c>
    </row>
    <row r="1770" spans="1:20" x14ac:dyDescent="0.2">
      <c r="A1770" s="23" t="s">
        <v>92</v>
      </c>
      <c r="C1770" s="23" t="s">
        <v>11173</v>
      </c>
      <c r="D1770" s="23" t="s">
        <v>11174</v>
      </c>
      <c r="E1770" s="23" t="s">
        <v>11175</v>
      </c>
      <c r="G1770" s="23" t="s">
        <v>11176</v>
      </c>
      <c r="K1770" s="23" t="s">
        <v>11177</v>
      </c>
      <c r="L1770" s="23" t="s">
        <v>11178</v>
      </c>
      <c r="O1770" s="23" t="s">
        <v>12392</v>
      </c>
      <c r="P1770" s="23" t="s">
        <v>13426</v>
      </c>
      <c r="Q1770" s="23" t="s">
        <v>13432</v>
      </c>
      <c r="R1770" s="23" t="s">
        <v>13438</v>
      </c>
      <c r="S1770" s="23" t="s">
        <v>13444</v>
      </c>
      <c r="T1770" s="23" t="s">
        <v>13450</v>
      </c>
    </row>
    <row r="1771" spans="1:20" x14ac:dyDescent="0.2">
      <c r="A1771" s="23" t="s">
        <v>92</v>
      </c>
      <c r="C1771" s="23" t="s">
        <v>11179</v>
      </c>
      <c r="D1771" s="23" t="s">
        <v>11180</v>
      </c>
      <c r="E1771" s="23" t="s">
        <v>11181</v>
      </c>
      <c r="G1771" s="23" t="s">
        <v>11182</v>
      </c>
      <c r="K1771" s="23" t="s">
        <v>11183</v>
      </c>
      <c r="L1771" s="23" t="s">
        <v>11184</v>
      </c>
      <c r="O1771" s="23" t="s">
        <v>11524</v>
      </c>
      <c r="P1771" s="23" t="s">
        <v>13427</v>
      </c>
      <c r="Q1771" s="23" t="s">
        <v>13433</v>
      </c>
      <c r="R1771" s="23" t="s">
        <v>13439</v>
      </c>
      <c r="S1771" s="23" t="s">
        <v>13445</v>
      </c>
      <c r="T1771" s="23" t="s">
        <v>13451</v>
      </c>
    </row>
    <row r="1772" spans="1:20" x14ac:dyDescent="0.2">
      <c r="A1772" s="23" t="s">
        <v>92</v>
      </c>
      <c r="C1772" s="23" t="s">
        <v>11185</v>
      </c>
      <c r="D1772" s="23" t="s">
        <v>11186</v>
      </c>
      <c r="E1772" s="23" t="s">
        <v>11187</v>
      </c>
      <c r="G1772" s="23" t="s">
        <v>11188</v>
      </c>
      <c r="K1772" s="23" t="s">
        <v>11189</v>
      </c>
      <c r="L1772" s="23" t="s">
        <v>11190</v>
      </c>
      <c r="O1772" s="23" t="s">
        <v>11525</v>
      </c>
      <c r="P1772" s="23" t="s">
        <v>13428</v>
      </c>
      <c r="Q1772" s="23" t="s">
        <v>13434</v>
      </c>
      <c r="R1772" s="23" t="s">
        <v>13440</v>
      </c>
      <c r="S1772" s="23" t="s">
        <v>13446</v>
      </c>
      <c r="T1772" s="23" t="s">
        <v>13452</v>
      </c>
    </row>
    <row r="1773" spans="1:20" x14ac:dyDescent="0.2">
      <c r="A1773" s="23" t="s">
        <v>92</v>
      </c>
      <c r="C1773" s="23" t="s">
        <v>11191</v>
      </c>
      <c r="D1773" s="23" t="s">
        <v>11192</v>
      </c>
      <c r="E1773" s="23" t="s">
        <v>11193</v>
      </c>
      <c r="G1773" s="23" t="s">
        <v>11194</v>
      </c>
      <c r="K1773" s="23" t="s">
        <v>11195</v>
      </c>
      <c r="L1773" s="23" t="s">
        <v>11196</v>
      </c>
      <c r="O1773" s="23" t="s">
        <v>11526</v>
      </c>
      <c r="P1773" s="23" t="s">
        <v>13429</v>
      </c>
      <c r="Q1773" s="23" t="s">
        <v>13435</v>
      </c>
      <c r="R1773" s="23" t="s">
        <v>13441</v>
      </c>
      <c r="S1773" s="23" t="s">
        <v>13447</v>
      </c>
      <c r="T1773" s="23" t="s">
        <v>13453</v>
      </c>
    </row>
    <row r="1774" spans="1:20" x14ac:dyDescent="0.2">
      <c r="A1774" s="23" t="s">
        <v>92</v>
      </c>
      <c r="C1774" s="23" t="s">
        <v>11197</v>
      </c>
      <c r="D1774" s="23" t="s">
        <v>11198</v>
      </c>
      <c r="E1774" s="23" t="s">
        <v>11199</v>
      </c>
      <c r="G1774" s="23" t="s">
        <v>11200</v>
      </c>
      <c r="K1774" s="23" t="s">
        <v>11201</v>
      </c>
      <c r="L1774" s="23" t="s">
        <v>11202</v>
      </c>
      <c r="O1774" s="23" t="s">
        <v>12393</v>
      </c>
      <c r="P1774" s="23" t="s">
        <v>13430</v>
      </c>
      <c r="Q1774" s="23" t="s">
        <v>13436</v>
      </c>
      <c r="R1774" s="23" t="s">
        <v>13442</v>
      </c>
      <c r="S1774" s="23" t="s">
        <v>13448</v>
      </c>
      <c r="T1774" s="23" t="s">
        <v>13454</v>
      </c>
    </row>
    <row r="1775" spans="1:20" x14ac:dyDescent="0.2">
      <c r="A1775" s="23" t="s">
        <v>92</v>
      </c>
      <c r="C1775" s="23" t="s">
        <v>11167</v>
      </c>
      <c r="D1775" s="23" t="s">
        <v>11168</v>
      </c>
      <c r="E1775" s="23" t="s">
        <v>11169</v>
      </c>
      <c r="G1775" s="23" t="s">
        <v>11170</v>
      </c>
      <c r="K1775" s="23" t="s">
        <v>11171</v>
      </c>
      <c r="L1775" s="23" t="s">
        <v>11172</v>
      </c>
    </row>
    <row r="1776" spans="1:20" x14ac:dyDescent="0.2">
      <c r="A1776" s="23" t="s">
        <v>92</v>
      </c>
      <c r="C1776" s="23" t="s">
        <v>11203</v>
      </c>
      <c r="D1776" s="23" t="s">
        <v>11204</v>
      </c>
      <c r="E1776" s="23" t="s">
        <v>11205</v>
      </c>
      <c r="G1776" s="23" t="s">
        <v>11206</v>
      </c>
      <c r="K1776" s="23" t="s">
        <v>11207</v>
      </c>
      <c r="L1776" s="23" t="s">
        <v>11208</v>
      </c>
      <c r="M1776" s="23" t="s">
        <v>11209</v>
      </c>
      <c r="N1776" s="23" t="s">
        <v>11210</v>
      </c>
      <c r="T1776" s="23" t="s">
        <v>11211</v>
      </c>
    </row>
    <row r="1777" spans="1:20" x14ac:dyDescent="0.2">
      <c r="A1777" s="23" t="s">
        <v>92</v>
      </c>
      <c r="C1777" s="23" t="s">
        <v>11212</v>
      </c>
      <c r="D1777" s="23" t="s">
        <v>11213</v>
      </c>
      <c r="E1777" s="23" t="s">
        <v>11214</v>
      </c>
      <c r="G1777" s="23" t="s">
        <v>11215</v>
      </c>
      <c r="K1777" s="23" t="s">
        <v>11216</v>
      </c>
      <c r="L1777" s="23" t="s">
        <v>11217</v>
      </c>
      <c r="M1777" s="23" t="s">
        <v>11218</v>
      </c>
      <c r="N1777" s="23" t="s">
        <v>11219</v>
      </c>
    </row>
    <row r="1778" spans="1:20" x14ac:dyDescent="0.2">
      <c r="A1778" s="23" t="s">
        <v>92</v>
      </c>
      <c r="C1778" s="23" t="s">
        <v>11220</v>
      </c>
      <c r="D1778" s="23" t="s">
        <v>11221</v>
      </c>
      <c r="E1778" s="23" t="s">
        <v>11222</v>
      </c>
      <c r="G1778" s="23" t="s">
        <v>11223</v>
      </c>
      <c r="K1778" s="23" t="s">
        <v>11224</v>
      </c>
      <c r="L1778" s="23" t="s">
        <v>11225</v>
      </c>
      <c r="O1778" s="23" t="s">
        <v>12394</v>
      </c>
      <c r="P1778" s="23" t="s">
        <v>11226</v>
      </c>
      <c r="Q1778" s="23" t="s">
        <v>11227</v>
      </c>
      <c r="R1778" s="23" t="s">
        <v>11228</v>
      </c>
      <c r="S1778" s="23" t="s">
        <v>11229</v>
      </c>
      <c r="T1778" s="23" t="s">
        <v>11230</v>
      </c>
    </row>
    <row r="1779" spans="1:20" x14ac:dyDescent="0.2">
      <c r="A1779" s="23" t="s">
        <v>92</v>
      </c>
      <c r="C1779" s="23" t="s">
        <v>11231</v>
      </c>
      <c r="D1779" s="23" t="s">
        <v>11232</v>
      </c>
      <c r="E1779" s="23" t="s">
        <v>11233</v>
      </c>
      <c r="G1779" s="23" t="s">
        <v>11234</v>
      </c>
      <c r="K1779" s="23" t="s">
        <v>11235</v>
      </c>
      <c r="L1779" s="23" t="s">
        <v>11236</v>
      </c>
      <c r="O1779" s="23" t="s">
        <v>12395</v>
      </c>
      <c r="P1779" s="23" t="s">
        <v>13395</v>
      </c>
      <c r="Q1779" s="23" t="s">
        <v>13401</v>
      </c>
      <c r="R1779" s="23" t="s">
        <v>13407</v>
      </c>
      <c r="S1779" s="23" t="s">
        <v>13413</v>
      </c>
      <c r="T1779" s="23" t="s">
        <v>13419</v>
      </c>
    </row>
    <row r="1780" spans="1:20" x14ac:dyDescent="0.2">
      <c r="A1780" s="23" t="s">
        <v>92</v>
      </c>
      <c r="C1780" s="23" t="s">
        <v>11237</v>
      </c>
      <c r="D1780" s="23" t="s">
        <v>11238</v>
      </c>
      <c r="E1780" s="23" t="s">
        <v>11239</v>
      </c>
      <c r="G1780" s="23" t="s">
        <v>11240</v>
      </c>
      <c r="K1780" s="23" t="s">
        <v>11241</v>
      </c>
      <c r="L1780" s="23" t="s">
        <v>11242</v>
      </c>
      <c r="O1780" s="23" t="s">
        <v>12396</v>
      </c>
      <c r="P1780" s="23" t="s">
        <v>13396</v>
      </c>
      <c r="Q1780" s="23" t="s">
        <v>13402</v>
      </c>
      <c r="R1780" s="23" t="s">
        <v>13408</v>
      </c>
      <c r="S1780" s="23" t="s">
        <v>13414</v>
      </c>
      <c r="T1780" s="23" t="s">
        <v>13420</v>
      </c>
    </row>
    <row r="1781" spans="1:20" x14ac:dyDescent="0.2">
      <c r="A1781" s="23" t="s">
        <v>92</v>
      </c>
      <c r="C1781" s="23" t="s">
        <v>11243</v>
      </c>
      <c r="D1781" s="23" t="s">
        <v>11244</v>
      </c>
      <c r="E1781" s="23" t="s">
        <v>11245</v>
      </c>
      <c r="G1781" s="23" t="s">
        <v>11246</v>
      </c>
      <c r="K1781" s="23" t="s">
        <v>11247</v>
      </c>
      <c r="L1781" s="23" t="s">
        <v>11248</v>
      </c>
      <c r="O1781" s="23" t="s">
        <v>11531</v>
      </c>
      <c r="P1781" s="23" t="s">
        <v>13397</v>
      </c>
      <c r="Q1781" s="23" t="s">
        <v>13403</v>
      </c>
      <c r="R1781" s="23" t="s">
        <v>13409</v>
      </c>
      <c r="S1781" s="23" t="s">
        <v>13415</v>
      </c>
      <c r="T1781" s="23" t="s">
        <v>13421</v>
      </c>
    </row>
    <row r="1782" spans="1:20" x14ac:dyDescent="0.2">
      <c r="A1782" s="23" t="s">
        <v>92</v>
      </c>
      <c r="C1782" s="23" t="s">
        <v>11249</v>
      </c>
      <c r="D1782" s="23" t="s">
        <v>11250</v>
      </c>
      <c r="E1782" s="23" t="s">
        <v>11251</v>
      </c>
      <c r="G1782" s="23" t="s">
        <v>11252</v>
      </c>
      <c r="K1782" s="23" t="s">
        <v>11253</v>
      </c>
      <c r="L1782" s="23" t="s">
        <v>11254</v>
      </c>
      <c r="O1782" s="23" t="s">
        <v>11532</v>
      </c>
      <c r="P1782" s="23" t="s">
        <v>13398</v>
      </c>
      <c r="Q1782" s="23" t="s">
        <v>13404</v>
      </c>
      <c r="R1782" s="23" t="s">
        <v>13410</v>
      </c>
      <c r="S1782" s="23" t="s">
        <v>13416</v>
      </c>
      <c r="T1782" s="23" t="s">
        <v>13422</v>
      </c>
    </row>
    <row r="1783" spans="1:20" x14ac:dyDescent="0.2">
      <c r="A1783" s="23" t="s">
        <v>92</v>
      </c>
      <c r="C1783" s="23" t="s">
        <v>11255</v>
      </c>
      <c r="D1783" s="23" t="s">
        <v>11256</v>
      </c>
      <c r="E1783" s="23" t="s">
        <v>11257</v>
      </c>
      <c r="G1783" s="23" t="s">
        <v>11258</v>
      </c>
      <c r="K1783" s="23" t="s">
        <v>11259</v>
      </c>
      <c r="L1783" s="23" t="s">
        <v>11260</v>
      </c>
      <c r="O1783" s="23" t="s">
        <v>11533</v>
      </c>
      <c r="P1783" s="23" t="s">
        <v>13399</v>
      </c>
      <c r="Q1783" s="23" t="s">
        <v>13405</v>
      </c>
      <c r="R1783" s="23" t="s">
        <v>13411</v>
      </c>
      <c r="S1783" s="23" t="s">
        <v>13417</v>
      </c>
      <c r="T1783" s="23" t="s">
        <v>13423</v>
      </c>
    </row>
    <row r="1784" spans="1:20" x14ac:dyDescent="0.2">
      <c r="A1784" s="23" t="s">
        <v>92</v>
      </c>
      <c r="C1784" s="23" t="s">
        <v>11261</v>
      </c>
      <c r="D1784" s="23" t="s">
        <v>11262</v>
      </c>
      <c r="E1784" s="23" t="s">
        <v>11263</v>
      </c>
      <c r="G1784" s="23" t="s">
        <v>11264</v>
      </c>
      <c r="K1784" s="23" t="s">
        <v>11265</v>
      </c>
      <c r="L1784" s="23" t="s">
        <v>11266</v>
      </c>
      <c r="O1784" s="23" t="s">
        <v>12397</v>
      </c>
      <c r="P1784" s="23" t="s">
        <v>13400</v>
      </c>
      <c r="Q1784" s="23" t="s">
        <v>13406</v>
      </c>
      <c r="R1784" s="23" t="s">
        <v>13412</v>
      </c>
      <c r="S1784" s="23" t="s">
        <v>13418</v>
      </c>
      <c r="T1784" s="23" t="s">
        <v>13424</v>
      </c>
    </row>
    <row r="1785" spans="1:20" x14ac:dyDescent="0.2">
      <c r="A1785" s="23" t="s">
        <v>92</v>
      </c>
      <c r="C1785" s="23" t="s">
        <v>11231</v>
      </c>
      <c r="D1785" s="23" t="s">
        <v>11232</v>
      </c>
      <c r="E1785" s="23" t="s">
        <v>11233</v>
      </c>
      <c r="G1785" s="23" t="s">
        <v>11234</v>
      </c>
      <c r="K1785" s="23" t="s">
        <v>11235</v>
      </c>
      <c r="L1785" s="23" t="s">
        <v>11236</v>
      </c>
    </row>
    <row r="1786" spans="1:20" x14ac:dyDescent="0.2">
      <c r="A1786" s="23" t="s">
        <v>92</v>
      </c>
      <c r="C1786" s="23" t="s">
        <v>11267</v>
      </c>
      <c r="D1786" s="23" t="s">
        <v>11268</v>
      </c>
      <c r="E1786" s="23" t="s">
        <v>11269</v>
      </c>
      <c r="G1786" s="23" t="s">
        <v>11270</v>
      </c>
      <c r="K1786" s="23" t="s">
        <v>11271</v>
      </c>
      <c r="L1786" s="23" t="s">
        <v>11272</v>
      </c>
      <c r="M1786" s="23" t="s">
        <v>11273</v>
      </c>
      <c r="N1786" s="23" t="s">
        <v>11274</v>
      </c>
      <c r="T1786" s="23" t="s">
        <v>11275</v>
      </c>
    </row>
    <row r="1787" spans="1:20" x14ac:dyDescent="0.2">
      <c r="A1787" s="23" t="s">
        <v>92</v>
      </c>
      <c r="C1787" s="23" t="s">
        <v>11276</v>
      </c>
      <c r="D1787" s="23" t="s">
        <v>11277</v>
      </c>
      <c r="E1787" s="23" t="s">
        <v>11278</v>
      </c>
      <c r="G1787" s="23" t="s">
        <v>11279</v>
      </c>
      <c r="K1787" s="23" t="s">
        <v>11280</v>
      </c>
      <c r="L1787" s="23" t="s">
        <v>11281</v>
      </c>
      <c r="M1787" s="23" t="s">
        <v>11282</v>
      </c>
      <c r="N1787" s="23" t="s">
        <v>11283</v>
      </c>
    </row>
    <row r="1788" spans="1:20" x14ac:dyDescent="0.2">
      <c r="A1788" s="23" t="s">
        <v>92</v>
      </c>
      <c r="C1788" s="23" t="s">
        <v>11284</v>
      </c>
      <c r="D1788" s="23" t="s">
        <v>11285</v>
      </c>
      <c r="E1788" s="23" t="s">
        <v>11286</v>
      </c>
      <c r="G1788" s="23" t="s">
        <v>11287</v>
      </c>
      <c r="K1788" s="23" t="s">
        <v>11288</v>
      </c>
      <c r="L1788" s="23" t="s">
        <v>11289</v>
      </c>
      <c r="O1788" s="23" t="s">
        <v>12398</v>
      </c>
      <c r="P1788" s="23" t="s">
        <v>11290</v>
      </c>
      <c r="Q1788" s="23" t="s">
        <v>11291</v>
      </c>
      <c r="R1788" s="23" t="s">
        <v>11292</v>
      </c>
      <c r="S1788" s="23" t="s">
        <v>11293</v>
      </c>
      <c r="T1788" s="23" t="s">
        <v>11294</v>
      </c>
    </row>
    <row r="1789" spans="1:20" x14ac:dyDescent="0.2">
      <c r="A1789" s="23" t="s">
        <v>92</v>
      </c>
      <c r="C1789" s="23" t="s">
        <v>11295</v>
      </c>
      <c r="D1789" s="23" t="s">
        <v>11296</v>
      </c>
      <c r="E1789" s="23" t="s">
        <v>11297</v>
      </c>
      <c r="G1789" s="23" t="s">
        <v>11298</v>
      </c>
      <c r="K1789" s="23" t="s">
        <v>11299</v>
      </c>
      <c r="L1789" s="23" t="s">
        <v>11300</v>
      </c>
      <c r="O1789" s="23" t="s">
        <v>12399</v>
      </c>
      <c r="P1789" s="23" t="s">
        <v>13365</v>
      </c>
      <c r="Q1789" s="23" t="s">
        <v>13371</v>
      </c>
      <c r="R1789" s="23" t="s">
        <v>13377</v>
      </c>
      <c r="S1789" s="23" t="s">
        <v>13383</v>
      </c>
      <c r="T1789" s="23" t="s">
        <v>13389</v>
      </c>
    </row>
    <row r="1790" spans="1:20" x14ac:dyDescent="0.2">
      <c r="A1790" s="23" t="s">
        <v>92</v>
      </c>
      <c r="C1790" s="23" t="s">
        <v>11301</v>
      </c>
      <c r="D1790" s="23" t="s">
        <v>11302</v>
      </c>
      <c r="E1790" s="23" t="s">
        <v>11303</v>
      </c>
      <c r="G1790" s="23" t="s">
        <v>11304</v>
      </c>
      <c r="K1790" s="23" t="s">
        <v>11305</v>
      </c>
      <c r="L1790" s="23" t="s">
        <v>11306</v>
      </c>
      <c r="O1790" s="23" t="s">
        <v>12400</v>
      </c>
      <c r="P1790" s="23" t="s">
        <v>13366</v>
      </c>
      <c r="Q1790" s="23" t="s">
        <v>13372</v>
      </c>
      <c r="R1790" s="23" t="s">
        <v>13378</v>
      </c>
      <c r="S1790" s="23" t="s">
        <v>13384</v>
      </c>
      <c r="T1790" s="23" t="s">
        <v>13390</v>
      </c>
    </row>
    <row r="1791" spans="1:20" x14ac:dyDescent="0.2">
      <c r="A1791" s="23" t="s">
        <v>92</v>
      </c>
      <c r="C1791" s="23" t="s">
        <v>11307</v>
      </c>
      <c r="D1791" s="23" t="s">
        <v>11308</v>
      </c>
      <c r="E1791" s="23" t="s">
        <v>11309</v>
      </c>
      <c r="G1791" s="23" t="s">
        <v>11310</v>
      </c>
      <c r="K1791" s="23" t="s">
        <v>11311</v>
      </c>
      <c r="L1791" s="23" t="s">
        <v>11312</v>
      </c>
      <c r="O1791" s="23" t="s">
        <v>11538</v>
      </c>
      <c r="P1791" s="23" t="s">
        <v>13367</v>
      </c>
      <c r="Q1791" s="23" t="s">
        <v>13373</v>
      </c>
      <c r="R1791" s="23" t="s">
        <v>13379</v>
      </c>
      <c r="S1791" s="23" t="s">
        <v>13385</v>
      </c>
      <c r="T1791" s="23" t="s">
        <v>13391</v>
      </c>
    </row>
    <row r="1792" spans="1:20" x14ac:dyDescent="0.2">
      <c r="A1792" s="23" t="s">
        <v>92</v>
      </c>
      <c r="C1792" s="23" t="s">
        <v>11313</v>
      </c>
      <c r="D1792" s="23" t="s">
        <v>11314</v>
      </c>
      <c r="E1792" s="23" t="s">
        <v>11315</v>
      </c>
      <c r="G1792" s="23" t="s">
        <v>11316</v>
      </c>
      <c r="K1792" s="23" t="s">
        <v>11317</v>
      </c>
      <c r="L1792" s="23" t="s">
        <v>11318</v>
      </c>
      <c r="O1792" s="23" t="s">
        <v>11539</v>
      </c>
      <c r="P1792" s="23" t="s">
        <v>13368</v>
      </c>
      <c r="Q1792" s="23" t="s">
        <v>13374</v>
      </c>
      <c r="R1792" s="23" t="s">
        <v>13380</v>
      </c>
      <c r="S1792" s="23" t="s">
        <v>13386</v>
      </c>
      <c r="T1792" s="23" t="s">
        <v>13392</v>
      </c>
    </row>
    <row r="1793" spans="1:20" x14ac:dyDescent="0.2">
      <c r="A1793" s="23" t="s">
        <v>92</v>
      </c>
      <c r="C1793" s="23" t="s">
        <v>11319</v>
      </c>
      <c r="D1793" s="23" t="s">
        <v>11320</v>
      </c>
      <c r="E1793" s="23" t="s">
        <v>11321</v>
      </c>
      <c r="G1793" s="23" t="s">
        <v>11322</v>
      </c>
      <c r="K1793" s="23" t="s">
        <v>11323</v>
      </c>
      <c r="L1793" s="23" t="s">
        <v>11324</v>
      </c>
      <c r="O1793" s="23" t="s">
        <v>11540</v>
      </c>
      <c r="P1793" s="23" t="s">
        <v>13369</v>
      </c>
      <c r="Q1793" s="23" t="s">
        <v>13375</v>
      </c>
      <c r="R1793" s="23" t="s">
        <v>13381</v>
      </c>
      <c r="S1793" s="23" t="s">
        <v>13387</v>
      </c>
      <c r="T1793" s="23" t="s">
        <v>13393</v>
      </c>
    </row>
    <row r="1794" spans="1:20" x14ac:dyDescent="0.2">
      <c r="A1794" s="23" t="s">
        <v>92</v>
      </c>
      <c r="C1794" s="23" t="s">
        <v>11325</v>
      </c>
      <c r="D1794" s="23" t="s">
        <v>11326</v>
      </c>
      <c r="E1794" s="23" t="s">
        <v>11327</v>
      </c>
      <c r="G1794" s="23" t="s">
        <v>11328</v>
      </c>
      <c r="K1794" s="23" t="s">
        <v>11329</v>
      </c>
      <c r="L1794" s="23" t="s">
        <v>11330</v>
      </c>
      <c r="O1794" s="23" t="s">
        <v>12401</v>
      </c>
      <c r="P1794" s="23" t="s">
        <v>13370</v>
      </c>
      <c r="Q1794" s="23" t="s">
        <v>13376</v>
      </c>
      <c r="R1794" s="23" t="s">
        <v>13382</v>
      </c>
      <c r="S1794" s="23" t="s">
        <v>13388</v>
      </c>
      <c r="T1794" s="23" t="s">
        <v>13394</v>
      </c>
    </row>
    <row r="1795" spans="1:20" x14ac:dyDescent="0.2">
      <c r="A1795" s="23" t="s">
        <v>92</v>
      </c>
      <c r="C1795" s="23" t="s">
        <v>11295</v>
      </c>
      <c r="D1795" s="23" t="s">
        <v>11296</v>
      </c>
      <c r="E1795" s="23" t="s">
        <v>11297</v>
      </c>
      <c r="G1795" s="23" t="s">
        <v>11298</v>
      </c>
      <c r="K1795" s="23" t="s">
        <v>11299</v>
      </c>
      <c r="L1795" s="23" t="s">
        <v>11300</v>
      </c>
    </row>
    <row r="1796" spans="1:20" x14ac:dyDescent="0.2">
      <c r="A1796" s="23" t="s">
        <v>92</v>
      </c>
      <c r="C1796" s="23" t="s">
        <v>11331</v>
      </c>
      <c r="D1796" s="23" t="s">
        <v>11332</v>
      </c>
      <c r="E1796" s="23" t="s">
        <v>11333</v>
      </c>
      <c r="G1796" s="23" t="s">
        <v>11334</v>
      </c>
      <c r="K1796" s="23" t="s">
        <v>11335</v>
      </c>
      <c r="L1796" s="23" t="s">
        <v>11336</v>
      </c>
      <c r="M1796" s="23" t="s">
        <v>11337</v>
      </c>
      <c r="N1796" s="23" t="s">
        <v>11338</v>
      </c>
      <c r="T1796" s="23" t="s">
        <v>11339</v>
      </c>
    </row>
    <row r="1797" spans="1:20" x14ac:dyDescent="0.2">
      <c r="A1797" s="23" t="s">
        <v>92</v>
      </c>
      <c r="C1797" s="23" t="s">
        <v>11340</v>
      </c>
      <c r="D1797" s="23" t="s">
        <v>11341</v>
      </c>
      <c r="E1797" s="23" t="s">
        <v>11342</v>
      </c>
      <c r="G1797" s="23" t="s">
        <v>11343</v>
      </c>
      <c r="K1797" s="23" t="s">
        <v>11344</v>
      </c>
      <c r="L1797" s="23" t="s">
        <v>11345</v>
      </c>
      <c r="M1797" s="23" t="s">
        <v>11346</v>
      </c>
      <c r="N1797" s="23" t="s">
        <v>11347</v>
      </c>
    </row>
    <row r="1798" spans="1:20" x14ac:dyDescent="0.2">
      <c r="A1798" s="23" t="s">
        <v>92</v>
      </c>
      <c r="C1798" s="23" t="s">
        <v>11348</v>
      </c>
      <c r="D1798" s="23" t="s">
        <v>11349</v>
      </c>
      <c r="E1798" s="23" t="s">
        <v>11350</v>
      </c>
      <c r="G1798" s="23" t="s">
        <v>11351</v>
      </c>
      <c r="K1798" s="23" t="s">
        <v>11352</v>
      </c>
      <c r="L1798" s="23" t="s">
        <v>11353</v>
      </c>
      <c r="O1798" s="23" t="s">
        <v>12402</v>
      </c>
      <c r="P1798" s="23" t="s">
        <v>11354</v>
      </c>
      <c r="Q1798" s="23" t="s">
        <v>11355</v>
      </c>
      <c r="R1798" s="23" t="s">
        <v>11356</v>
      </c>
      <c r="S1798" s="23" t="s">
        <v>11357</v>
      </c>
      <c r="T1798" s="23" t="s">
        <v>11358</v>
      </c>
    </row>
    <row r="1799" spans="1:20" x14ac:dyDescent="0.2">
      <c r="A1799" s="23" t="s">
        <v>92</v>
      </c>
      <c r="C1799" s="23" t="s">
        <v>11359</v>
      </c>
      <c r="D1799" s="23" t="s">
        <v>11360</v>
      </c>
      <c r="E1799" s="23" t="s">
        <v>11361</v>
      </c>
      <c r="G1799" s="23" t="s">
        <v>11362</v>
      </c>
      <c r="K1799" s="23" t="s">
        <v>11363</v>
      </c>
      <c r="L1799" s="23" t="s">
        <v>11364</v>
      </c>
      <c r="O1799" s="23" t="s">
        <v>12403</v>
      </c>
      <c r="P1799" s="23" t="s">
        <v>13335</v>
      </c>
      <c r="Q1799" s="23" t="s">
        <v>13341</v>
      </c>
      <c r="R1799" s="23" t="s">
        <v>13347</v>
      </c>
      <c r="S1799" s="23" t="s">
        <v>13353</v>
      </c>
      <c r="T1799" s="23" t="s">
        <v>13359</v>
      </c>
    </row>
    <row r="1800" spans="1:20" x14ac:dyDescent="0.2">
      <c r="A1800" s="23" t="s">
        <v>92</v>
      </c>
      <c r="C1800" s="23" t="s">
        <v>11365</v>
      </c>
      <c r="D1800" s="23" t="s">
        <v>11366</v>
      </c>
      <c r="E1800" s="23" t="s">
        <v>11367</v>
      </c>
      <c r="G1800" s="23" t="s">
        <v>11368</v>
      </c>
      <c r="K1800" s="23" t="s">
        <v>11369</v>
      </c>
      <c r="L1800" s="23" t="s">
        <v>11370</v>
      </c>
      <c r="O1800" s="23" t="s">
        <v>12404</v>
      </c>
      <c r="P1800" s="23" t="s">
        <v>13336</v>
      </c>
      <c r="Q1800" s="23" t="s">
        <v>13342</v>
      </c>
      <c r="R1800" s="23" t="s">
        <v>13348</v>
      </c>
      <c r="S1800" s="23" t="s">
        <v>13354</v>
      </c>
      <c r="T1800" s="23" t="s">
        <v>13360</v>
      </c>
    </row>
    <row r="1801" spans="1:20" x14ac:dyDescent="0.2">
      <c r="A1801" s="23" t="s">
        <v>92</v>
      </c>
      <c r="C1801" s="23" t="s">
        <v>11371</v>
      </c>
      <c r="D1801" s="23" t="s">
        <v>11372</v>
      </c>
      <c r="E1801" s="23" t="s">
        <v>11373</v>
      </c>
      <c r="G1801" s="23" t="s">
        <v>11374</v>
      </c>
      <c r="K1801" s="23" t="s">
        <v>11375</v>
      </c>
      <c r="L1801" s="23" t="s">
        <v>11376</v>
      </c>
      <c r="O1801" s="23" t="s">
        <v>11546</v>
      </c>
      <c r="P1801" s="23" t="s">
        <v>13337</v>
      </c>
      <c r="Q1801" s="23" t="s">
        <v>13343</v>
      </c>
      <c r="R1801" s="23" t="s">
        <v>13349</v>
      </c>
      <c r="S1801" s="23" t="s">
        <v>13355</v>
      </c>
      <c r="T1801" s="23" t="s">
        <v>13361</v>
      </c>
    </row>
    <row r="1802" spans="1:20" x14ac:dyDescent="0.2">
      <c r="A1802" s="23" t="s">
        <v>92</v>
      </c>
      <c r="C1802" s="23" t="s">
        <v>11377</v>
      </c>
      <c r="D1802" s="23" t="s">
        <v>11378</v>
      </c>
      <c r="E1802" s="23" t="s">
        <v>11379</v>
      </c>
      <c r="G1802" s="23" t="s">
        <v>11380</v>
      </c>
      <c r="K1802" s="23" t="s">
        <v>11381</v>
      </c>
      <c r="L1802" s="23" t="s">
        <v>11382</v>
      </c>
      <c r="O1802" s="23" t="s">
        <v>11547</v>
      </c>
      <c r="P1802" s="23" t="s">
        <v>13338</v>
      </c>
      <c r="Q1802" s="23" t="s">
        <v>13344</v>
      </c>
      <c r="R1802" s="23" t="s">
        <v>13350</v>
      </c>
      <c r="S1802" s="23" t="s">
        <v>13356</v>
      </c>
      <c r="T1802" s="23" t="s">
        <v>13362</v>
      </c>
    </row>
    <row r="1803" spans="1:20" x14ac:dyDescent="0.2">
      <c r="A1803" s="23" t="s">
        <v>92</v>
      </c>
      <c r="C1803" s="23" t="s">
        <v>11383</v>
      </c>
      <c r="D1803" s="23" t="s">
        <v>11384</v>
      </c>
      <c r="E1803" s="23" t="s">
        <v>11385</v>
      </c>
      <c r="G1803" s="23" t="s">
        <v>11386</v>
      </c>
      <c r="K1803" s="23" t="s">
        <v>11387</v>
      </c>
      <c r="L1803" s="23" t="s">
        <v>11388</v>
      </c>
      <c r="O1803" s="23" t="s">
        <v>11548</v>
      </c>
      <c r="P1803" s="23" t="s">
        <v>13339</v>
      </c>
      <c r="Q1803" s="23" t="s">
        <v>13345</v>
      </c>
      <c r="R1803" s="23" t="s">
        <v>13351</v>
      </c>
      <c r="S1803" s="23" t="s">
        <v>13357</v>
      </c>
      <c r="T1803" s="23" t="s">
        <v>13363</v>
      </c>
    </row>
    <row r="1804" spans="1:20" x14ac:dyDescent="0.2">
      <c r="A1804" s="23" t="s">
        <v>92</v>
      </c>
      <c r="C1804" s="23" t="s">
        <v>11389</v>
      </c>
      <c r="D1804" s="23" t="s">
        <v>11390</v>
      </c>
      <c r="E1804" s="23" t="s">
        <v>11391</v>
      </c>
      <c r="G1804" s="23" t="s">
        <v>11392</v>
      </c>
      <c r="K1804" s="23" t="s">
        <v>11393</v>
      </c>
      <c r="L1804" s="23" t="s">
        <v>11394</v>
      </c>
      <c r="O1804" s="23" t="s">
        <v>12405</v>
      </c>
      <c r="P1804" s="23" t="s">
        <v>13340</v>
      </c>
      <c r="Q1804" s="23" t="s">
        <v>13346</v>
      </c>
      <c r="R1804" s="23" t="s">
        <v>13352</v>
      </c>
      <c r="S1804" s="23" t="s">
        <v>13358</v>
      </c>
      <c r="T1804" s="23" t="s">
        <v>13364</v>
      </c>
    </row>
    <row r="1805" spans="1:20" x14ac:dyDescent="0.2">
      <c r="A1805" s="23" t="s">
        <v>92</v>
      </c>
      <c r="C1805" s="23" t="s">
        <v>11359</v>
      </c>
      <c r="D1805" s="23" t="s">
        <v>11360</v>
      </c>
      <c r="E1805" s="23" t="s">
        <v>11361</v>
      </c>
      <c r="G1805" s="23" t="s">
        <v>11362</v>
      </c>
      <c r="K1805" s="23" t="s">
        <v>11363</v>
      </c>
      <c r="L1805" s="23" t="s">
        <v>11364</v>
      </c>
    </row>
    <row r="1806" spans="1:20" x14ac:dyDescent="0.2">
      <c r="A1806" s="23" t="s">
        <v>92</v>
      </c>
      <c r="C1806" s="23" t="s">
        <v>11395</v>
      </c>
      <c r="D1806" s="23" t="s">
        <v>11396</v>
      </c>
      <c r="E1806" s="23" t="s">
        <v>11397</v>
      </c>
      <c r="G1806" s="23" t="s">
        <v>11398</v>
      </c>
      <c r="K1806" s="23" t="s">
        <v>11399</v>
      </c>
      <c r="L1806" s="23" t="s">
        <v>11400</v>
      </c>
      <c r="M1806" s="23" t="s">
        <v>11401</v>
      </c>
      <c r="N1806" s="23" t="s">
        <v>11402</v>
      </c>
      <c r="T1806" s="23" t="s">
        <v>11403</v>
      </c>
    </row>
    <row r="1807" spans="1:20" x14ac:dyDescent="0.2">
      <c r="A1807" s="23" t="s">
        <v>92</v>
      </c>
      <c r="C1807" s="23" t="s">
        <v>11404</v>
      </c>
      <c r="D1807" s="23" t="s">
        <v>11405</v>
      </c>
      <c r="E1807" s="23" t="s">
        <v>11406</v>
      </c>
      <c r="G1807" s="23" t="s">
        <v>11407</v>
      </c>
      <c r="K1807" s="23" t="s">
        <v>11408</v>
      </c>
      <c r="L1807" s="23" t="s">
        <v>11409</v>
      </c>
      <c r="M1807" s="23" t="s">
        <v>11410</v>
      </c>
      <c r="N1807" s="23" t="s">
        <v>11411</v>
      </c>
    </row>
    <row r="1808" spans="1:20" x14ac:dyDescent="0.2">
      <c r="A1808" s="23" t="s">
        <v>92</v>
      </c>
      <c r="C1808" s="23" t="s">
        <v>11412</v>
      </c>
      <c r="D1808" s="23" t="s">
        <v>11413</v>
      </c>
      <c r="E1808" s="23" t="s">
        <v>11414</v>
      </c>
      <c r="G1808" s="23" t="s">
        <v>11415</v>
      </c>
      <c r="K1808" s="23" t="s">
        <v>11416</v>
      </c>
      <c r="L1808" s="23" t="s">
        <v>11417</v>
      </c>
      <c r="O1808" s="23" t="s">
        <v>12406</v>
      </c>
      <c r="P1808" s="23" t="s">
        <v>11418</v>
      </c>
      <c r="Q1808" s="23" t="s">
        <v>11419</v>
      </c>
      <c r="R1808" s="23" t="s">
        <v>11420</v>
      </c>
      <c r="S1808" s="23" t="s">
        <v>11421</v>
      </c>
      <c r="T1808" s="23" t="s">
        <v>11422</v>
      </c>
    </row>
    <row r="1809" spans="1:20" x14ac:dyDescent="0.2">
      <c r="A1809" s="23" t="s">
        <v>92</v>
      </c>
      <c r="C1809" s="23" t="s">
        <v>11423</v>
      </c>
      <c r="D1809" s="23" t="s">
        <v>11424</v>
      </c>
      <c r="E1809" s="23" t="s">
        <v>11425</v>
      </c>
      <c r="G1809" s="23" t="s">
        <v>11426</v>
      </c>
      <c r="K1809" s="23" t="s">
        <v>11427</v>
      </c>
      <c r="L1809" s="23" t="s">
        <v>11428</v>
      </c>
      <c r="O1809" s="23" t="s">
        <v>12407</v>
      </c>
      <c r="P1809" s="23" t="s">
        <v>13305</v>
      </c>
      <c r="Q1809" s="23" t="s">
        <v>13311</v>
      </c>
      <c r="R1809" s="23" t="s">
        <v>13317</v>
      </c>
      <c r="S1809" s="23" t="s">
        <v>13323</v>
      </c>
      <c r="T1809" s="23" t="s">
        <v>13329</v>
      </c>
    </row>
    <row r="1810" spans="1:20" x14ac:dyDescent="0.2">
      <c r="A1810" s="23" t="s">
        <v>92</v>
      </c>
      <c r="C1810" s="23" t="s">
        <v>11429</v>
      </c>
      <c r="D1810" s="23" t="s">
        <v>11430</v>
      </c>
      <c r="E1810" s="23" t="s">
        <v>11431</v>
      </c>
      <c r="G1810" s="23" t="s">
        <v>11432</v>
      </c>
      <c r="K1810" s="23" t="s">
        <v>11433</v>
      </c>
      <c r="L1810" s="23" t="s">
        <v>11434</v>
      </c>
      <c r="O1810" s="23" t="s">
        <v>12408</v>
      </c>
      <c r="P1810" s="23" t="s">
        <v>13306</v>
      </c>
      <c r="Q1810" s="23" t="s">
        <v>13312</v>
      </c>
      <c r="R1810" s="23" t="s">
        <v>13318</v>
      </c>
      <c r="S1810" s="23" t="s">
        <v>13324</v>
      </c>
      <c r="T1810" s="23" t="s">
        <v>13330</v>
      </c>
    </row>
    <row r="1811" spans="1:20" x14ac:dyDescent="0.2">
      <c r="A1811" s="23" t="s">
        <v>92</v>
      </c>
      <c r="C1811" s="23" t="s">
        <v>11435</v>
      </c>
      <c r="D1811" s="23" t="s">
        <v>11436</v>
      </c>
      <c r="E1811" s="23" t="s">
        <v>11437</v>
      </c>
      <c r="G1811" s="23" t="s">
        <v>11438</v>
      </c>
      <c r="K1811" s="23" t="s">
        <v>11439</v>
      </c>
      <c r="L1811" s="23" t="s">
        <v>11440</v>
      </c>
      <c r="O1811" s="23" t="s">
        <v>11554</v>
      </c>
      <c r="P1811" s="23" t="s">
        <v>13307</v>
      </c>
      <c r="Q1811" s="23" t="s">
        <v>13313</v>
      </c>
      <c r="R1811" s="23" t="s">
        <v>13319</v>
      </c>
      <c r="S1811" s="23" t="s">
        <v>13325</v>
      </c>
      <c r="T1811" s="23" t="s">
        <v>13331</v>
      </c>
    </row>
    <row r="1812" spans="1:20" x14ac:dyDescent="0.2">
      <c r="A1812" s="23" t="s">
        <v>92</v>
      </c>
      <c r="C1812" s="23" t="s">
        <v>11441</v>
      </c>
      <c r="D1812" s="23" t="s">
        <v>11442</v>
      </c>
      <c r="E1812" s="23" t="s">
        <v>11443</v>
      </c>
      <c r="G1812" s="23" t="s">
        <v>11444</v>
      </c>
      <c r="K1812" s="23" t="s">
        <v>11445</v>
      </c>
      <c r="L1812" s="23" t="s">
        <v>11446</v>
      </c>
      <c r="O1812" s="23" t="s">
        <v>11555</v>
      </c>
      <c r="P1812" s="23" t="s">
        <v>13308</v>
      </c>
      <c r="Q1812" s="23" t="s">
        <v>13314</v>
      </c>
      <c r="R1812" s="23" t="s">
        <v>13320</v>
      </c>
      <c r="S1812" s="23" t="s">
        <v>13326</v>
      </c>
      <c r="T1812" s="23" t="s">
        <v>13332</v>
      </c>
    </row>
    <row r="1813" spans="1:20" x14ac:dyDescent="0.2">
      <c r="A1813" s="23" t="s">
        <v>92</v>
      </c>
      <c r="C1813" s="23" t="s">
        <v>11447</v>
      </c>
      <c r="D1813" s="23" t="s">
        <v>11448</v>
      </c>
      <c r="E1813" s="23" t="s">
        <v>11449</v>
      </c>
      <c r="G1813" s="23" t="s">
        <v>11450</v>
      </c>
      <c r="K1813" s="23" t="s">
        <v>11451</v>
      </c>
      <c r="L1813" s="23" t="s">
        <v>11452</v>
      </c>
      <c r="O1813" s="23" t="s">
        <v>11556</v>
      </c>
      <c r="P1813" s="23" t="s">
        <v>13309</v>
      </c>
      <c r="Q1813" s="23" t="s">
        <v>13315</v>
      </c>
      <c r="R1813" s="23" t="s">
        <v>13321</v>
      </c>
      <c r="S1813" s="23" t="s">
        <v>13327</v>
      </c>
      <c r="T1813" s="23" t="s">
        <v>13333</v>
      </c>
    </row>
    <row r="1814" spans="1:20" x14ac:dyDescent="0.2">
      <c r="A1814" s="23" t="s">
        <v>92</v>
      </c>
      <c r="C1814" s="23" t="s">
        <v>11453</v>
      </c>
      <c r="D1814" s="23" t="s">
        <v>11454</v>
      </c>
      <c r="E1814" s="23" t="s">
        <v>11455</v>
      </c>
      <c r="G1814" s="23" t="s">
        <v>11456</v>
      </c>
      <c r="K1814" s="23" t="s">
        <v>11457</v>
      </c>
      <c r="L1814" s="23" t="s">
        <v>11458</v>
      </c>
      <c r="O1814" s="23" t="s">
        <v>12409</v>
      </c>
      <c r="P1814" s="23" t="s">
        <v>13310</v>
      </c>
      <c r="Q1814" s="23" t="s">
        <v>13316</v>
      </c>
      <c r="R1814" s="23" t="s">
        <v>13322</v>
      </c>
      <c r="S1814" s="23" t="s">
        <v>13328</v>
      </c>
      <c r="T1814" s="23" t="s">
        <v>13334</v>
      </c>
    </row>
    <row r="1815" spans="1:20" x14ac:dyDescent="0.2">
      <c r="A1815" s="23" t="s">
        <v>92</v>
      </c>
      <c r="C1815" s="23" t="s">
        <v>11423</v>
      </c>
      <c r="D1815" s="23" t="s">
        <v>11424</v>
      </c>
      <c r="E1815" s="23" t="s">
        <v>11425</v>
      </c>
      <c r="G1815" s="23" t="s">
        <v>11426</v>
      </c>
      <c r="K1815" s="23" t="s">
        <v>11427</v>
      </c>
      <c r="L1815" s="23" t="s">
        <v>11428</v>
      </c>
    </row>
    <row r="1816" spans="1:20" x14ac:dyDescent="0.2">
      <c r="A1816" s="23" t="s">
        <v>92</v>
      </c>
      <c r="C1816" s="23" t="s">
        <v>11459</v>
      </c>
      <c r="D1816" s="23" t="s">
        <v>11460</v>
      </c>
      <c r="E1816" s="23" t="s">
        <v>11461</v>
      </c>
      <c r="G1816" s="23" t="s">
        <v>11462</v>
      </c>
      <c r="K1816" s="23" t="s">
        <v>11463</v>
      </c>
      <c r="L1816" s="23" t="s">
        <v>11464</v>
      </c>
      <c r="M1816" s="23" t="s">
        <v>11465</v>
      </c>
      <c r="N1816" s="23" t="s">
        <v>11466</v>
      </c>
      <c r="T1816" s="23" t="s">
        <v>11467</v>
      </c>
    </row>
    <row r="1817" spans="1:20" x14ac:dyDescent="0.2">
      <c r="A1817" s="23" t="s">
        <v>92</v>
      </c>
      <c r="C1817" s="23" t="s">
        <v>11148</v>
      </c>
      <c r="D1817" s="23" t="s">
        <v>11149</v>
      </c>
      <c r="E1817" s="23" t="s">
        <v>11150</v>
      </c>
      <c r="G1817" s="23" t="s">
        <v>11151</v>
      </c>
    </row>
    <row r="1818" spans="1:20" x14ac:dyDescent="0.2">
      <c r="A1818" s="23" t="s">
        <v>92</v>
      </c>
      <c r="C1818" s="23" t="s">
        <v>11468</v>
      </c>
      <c r="D1818" s="23" t="s">
        <v>11469</v>
      </c>
      <c r="E1818" s="23" t="s">
        <v>11470</v>
      </c>
      <c r="G1818" s="23" t="s">
        <v>11471</v>
      </c>
      <c r="H1818" s="23" t="s">
        <v>11472</v>
      </c>
      <c r="I1818" s="23" t="s">
        <v>11473</v>
      </c>
      <c r="J1818" s="23" t="s">
        <v>11474</v>
      </c>
      <c r="T1818" s="23" t="s">
        <v>11475</v>
      </c>
    </row>
    <row r="1819" spans="1:20" x14ac:dyDescent="0.2">
      <c r="A1819" s="23" t="s">
        <v>92</v>
      </c>
      <c r="E1819" s="23" t="s">
        <v>10266</v>
      </c>
    </row>
    <row r="1820" spans="1:20" x14ac:dyDescent="0.2">
      <c r="A1820" s="23" t="s">
        <v>92</v>
      </c>
      <c r="E1820" s="23" t="s">
        <v>11476</v>
      </c>
      <c r="F1820" s="23" t="s">
        <v>11477</v>
      </c>
      <c r="T1820" s="23" t="s">
        <v>11478</v>
      </c>
    </row>
    <row r="1822" spans="1:20" x14ac:dyDescent="0.2">
      <c r="F1822" s="23" t="s">
        <v>15</v>
      </c>
      <c r="T1822" s="23" t="s">
        <v>11479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Read Me</vt:lpstr>
      <vt:lpstr>Options</vt:lpstr>
      <vt:lpstr>Employee Payroll Transactions</vt:lpstr>
      <vt:lpstr>CHEKDATE</vt:lpstr>
      <vt:lpstr>EMPLCLAS</vt:lpstr>
      <vt:lpstr>EMPLOYID</vt:lpstr>
      <vt:lpstr>PAYROLCD</vt:lpstr>
      <vt:lpstr>STATECD</vt:lpstr>
    </vt:vector>
  </TitlesOfParts>
  <Company>Software Professionals,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Transactions by Class</dc:title>
  <dc:subject>Jet Reports</dc:subject>
  <dc:creator>Katherine Turner-Lawrence</dc:creator>
  <dc:description>Employee payroll transactions grouped by employee class.</dc:description>
  <cp:lastModifiedBy>Kim R. Duey</cp:lastModifiedBy>
  <dcterms:created xsi:type="dcterms:W3CDTF">2007-01-17T14:49:09Z</dcterms:created>
  <dcterms:modified xsi:type="dcterms:W3CDTF">2018-09-25T16:07:47Z</dcterms:modified>
  <cp:category>Human Resources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true</vt:bool>
  </property>
  <property fmtid="{D5CDD505-2E9C-101B-9397-08002B2CF9AE}" pid="4" name="OriginalName">
    <vt:lpwstr>GP PR-Payroll Transactions by Class.xls</vt:lpwstr>
  </property>
  <property fmtid="{D5CDD505-2E9C-101B-9397-08002B2CF9AE}" pid="5" name="Jet Reports Last Version Refresh">
    <vt:lpwstr>Version 7.1.2  Released 5/7/2008 9:08:45 AM</vt:lpwstr>
  </property>
  <property fmtid="{D5CDD505-2E9C-101B-9397-08002B2CF9AE}" pid="6" name="Jet Reports Design Mode Active">
    <vt:bool>false</vt:bool>
  </property>
  <property fmtid="{D5CDD505-2E9C-101B-9397-08002B2CF9AE}" pid="7" name="Jet Reports Function Literals">
    <vt:lpwstr>,	;	,	{	}	[@[{0}]]	1033</vt:lpwstr>
  </property>
</Properties>
</file>