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23" r:id="rId1"/>
    <sheet name="Options" sheetId="3" state="hidden" r:id="rId2"/>
    <sheet name="Trial Balance" sheetId="1" r:id="rId3"/>
    <sheet name="Sheet2" sheetId="24" state="veryHidden" r:id="rId4"/>
    <sheet name="Sheet3" sheetId="25" state="veryHidden" r:id="rId5"/>
    <sheet name="Sheet5" sheetId="27" state="veryHidden" r:id="rId6"/>
  </sheets>
  <definedNames>
    <definedName name="EndPeriod">Options!$D$4</definedName>
  </definedNames>
  <calcPr calcId="162913"/>
</workbook>
</file>

<file path=xl/calcChain.xml><?xml version="1.0" encoding="utf-8"?>
<calcChain xmlns="http://schemas.openxmlformats.org/spreadsheetml/2006/main">
  <c r="C10" i="1" l="1"/>
  <c r="D10" i="1"/>
  <c r="C11" i="1"/>
  <c r="D11" i="1"/>
  <c r="C12" i="1"/>
  <c r="D12" i="1"/>
  <c r="C13" i="1"/>
  <c r="D13" i="1"/>
  <c r="C14" i="1"/>
  <c r="D14" i="1"/>
  <c r="C15" i="1"/>
  <c r="D15" i="1"/>
  <c r="C16" i="1"/>
  <c r="D16" i="1"/>
  <c r="C17" i="1"/>
  <c r="D17" i="1"/>
  <c r="C18" i="1"/>
  <c r="D18" i="1"/>
  <c r="C19" i="1"/>
  <c r="D19" i="1"/>
  <c r="C20" i="1"/>
  <c r="D20" i="1"/>
  <c r="C21" i="1"/>
  <c r="D21" i="1"/>
  <c r="C22" i="1"/>
  <c r="D22" i="1"/>
  <c r="C23" i="1"/>
  <c r="D23" i="1"/>
  <c r="C24" i="1"/>
  <c r="D24" i="1"/>
  <c r="C25" i="1"/>
  <c r="D25" i="1"/>
  <c r="C26" i="1"/>
  <c r="D26" i="1"/>
  <c r="C27" i="1"/>
  <c r="D27" i="1"/>
  <c r="C28" i="1"/>
  <c r="D28" i="1"/>
  <c r="C29" i="1"/>
  <c r="D29" i="1"/>
  <c r="C30" i="1"/>
  <c r="D30" i="1"/>
  <c r="C31" i="1"/>
  <c r="D31" i="1"/>
  <c r="C32" i="1"/>
  <c r="D32" i="1"/>
  <c r="C33" i="1"/>
  <c r="D33" i="1"/>
  <c r="C34" i="1"/>
  <c r="D34" i="1"/>
  <c r="C35" i="1"/>
  <c r="D35" i="1"/>
  <c r="C36" i="1"/>
  <c r="D36" i="1"/>
  <c r="C37" i="1"/>
  <c r="D37" i="1"/>
  <c r="C38" i="1"/>
  <c r="D38" i="1"/>
  <c r="C39" i="1"/>
  <c r="D39" i="1"/>
  <c r="C40" i="1"/>
  <c r="D40" i="1"/>
  <c r="C41" i="1"/>
  <c r="D41" i="1"/>
  <c r="C42" i="1"/>
  <c r="D42" i="1"/>
  <c r="C43" i="1"/>
  <c r="D43" i="1"/>
  <c r="C44" i="1"/>
  <c r="D44" i="1"/>
  <c r="C45" i="1"/>
  <c r="D45" i="1"/>
  <c r="C46" i="1"/>
  <c r="D46" i="1"/>
  <c r="C47" i="1"/>
  <c r="D47" i="1"/>
  <c r="C48" i="1"/>
  <c r="D48" i="1"/>
  <c r="C49" i="1"/>
  <c r="D49" i="1"/>
  <c r="C50" i="1"/>
  <c r="D50" i="1"/>
  <c r="C51" i="1"/>
  <c r="D51" i="1"/>
  <c r="C52" i="1"/>
  <c r="D52" i="1"/>
  <c r="C53" i="1"/>
  <c r="D53" i="1"/>
  <c r="C54" i="1"/>
  <c r="D54" i="1"/>
  <c r="C55" i="1"/>
  <c r="D55" i="1"/>
  <c r="C56" i="1"/>
  <c r="D56" i="1"/>
  <c r="C57" i="1"/>
  <c r="D57" i="1"/>
  <c r="C58" i="1"/>
  <c r="D58" i="1"/>
  <c r="C59" i="1"/>
  <c r="D59" i="1"/>
  <c r="C60" i="1"/>
  <c r="D60" i="1"/>
  <c r="C61" i="1"/>
  <c r="D61" i="1"/>
  <c r="C62" i="1"/>
  <c r="D62" i="1"/>
  <c r="C63" i="1"/>
  <c r="D63" i="1"/>
  <c r="C64" i="1"/>
  <c r="D64" i="1"/>
  <c r="C65" i="1"/>
  <c r="D65" i="1"/>
  <c r="C66" i="1"/>
  <c r="D66" i="1"/>
  <c r="C67" i="1"/>
  <c r="D67" i="1"/>
  <c r="C68" i="1"/>
  <c r="D68" i="1"/>
  <c r="C69" i="1"/>
  <c r="D69" i="1"/>
  <c r="C70" i="1"/>
  <c r="D70" i="1"/>
  <c r="C71" i="1"/>
  <c r="D71" i="1"/>
  <c r="C72" i="1"/>
  <c r="D72" i="1"/>
  <c r="C73" i="1"/>
  <c r="D73" i="1"/>
  <c r="C74" i="1"/>
  <c r="D74" i="1"/>
  <c r="C75" i="1"/>
  <c r="D75" i="1"/>
  <c r="C76" i="1"/>
  <c r="D76" i="1"/>
  <c r="C77" i="1"/>
  <c r="D77" i="1"/>
  <c r="C78" i="1"/>
  <c r="D78" i="1"/>
  <c r="C79" i="1"/>
  <c r="D79" i="1"/>
  <c r="C80" i="1"/>
  <c r="D80" i="1"/>
  <c r="C81" i="1"/>
  <c r="D81" i="1"/>
  <c r="C82" i="1"/>
  <c r="D82" i="1"/>
  <c r="C83" i="1"/>
  <c r="D83" i="1"/>
  <c r="C84" i="1"/>
  <c r="D84" i="1"/>
  <c r="C85" i="1"/>
  <c r="D85" i="1"/>
  <c r="C86" i="1"/>
  <c r="D86" i="1"/>
  <c r="C87" i="1"/>
  <c r="D87" i="1"/>
  <c r="C88" i="1"/>
  <c r="D88" i="1"/>
  <c r="C89" i="1"/>
  <c r="D89" i="1"/>
  <c r="C90" i="1"/>
  <c r="D90" i="1"/>
  <c r="C91" i="1"/>
  <c r="D91" i="1"/>
  <c r="C92" i="1"/>
  <c r="D92" i="1"/>
  <c r="C93" i="1"/>
  <c r="D93" i="1"/>
  <c r="C94" i="1"/>
  <c r="D94" i="1"/>
  <c r="C95" i="1"/>
  <c r="D95" i="1"/>
  <c r="C96" i="1"/>
  <c r="D96" i="1"/>
  <c r="C97" i="1"/>
  <c r="D97" i="1"/>
  <c r="C98" i="1"/>
  <c r="D98" i="1"/>
  <c r="C99" i="1"/>
  <c r="D99" i="1"/>
  <c r="C100" i="1"/>
  <c r="D100" i="1"/>
  <c r="C101" i="1"/>
  <c r="D101" i="1"/>
  <c r="C102" i="1"/>
  <c r="D102" i="1"/>
  <c r="C103" i="1"/>
  <c r="D103" i="1"/>
  <c r="C104" i="1"/>
  <c r="D104" i="1"/>
  <c r="C105" i="1"/>
  <c r="D105" i="1"/>
  <c r="C106" i="1"/>
  <c r="D106" i="1"/>
  <c r="C107" i="1"/>
  <c r="D107" i="1"/>
  <c r="C108" i="1"/>
  <c r="D108" i="1"/>
  <c r="C109" i="1"/>
  <c r="D109" i="1"/>
  <c r="C110" i="1"/>
  <c r="D110" i="1"/>
  <c r="C111" i="1"/>
  <c r="D111" i="1"/>
  <c r="C112" i="1"/>
  <c r="D112" i="1"/>
  <c r="C113" i="1"/>
  <c r="D113" i="1"/>
  <c r="C114" i="1"/>
  <c r="D114" i="1"/>
  <c r="C115" i="1"/>
  <c r="D115" i="1"/>
  <c r="C116" i="1"/>
  <c r="D116" i="1"/>
  <c r="C117" i="1"/>
  <c r="D117" i="1"/>
  <c r="C118" i="1"/>
  <c r="D118" i="1"/>
  <c r="C119" i="1"/>
  <c r="D119" i="1"/>
  <c r="C120" i="1"/>
  <c r="D120" i="1"/>
  <c r="C121" i="1"/>
  <c r="D121" i="1"/>
  <c r="C122" i="1"/>
  <c r="D122" i="1"/>
  <c r="C123" i="1"/>
  <c r="D123" i="1"/>
  <c r="C124" i="1"/>
  <c r="D124" i="1"/>
  <c r="C125" i="1"/>
  <c r="D125" i="1"/>
  <c r="C126" i="1"/>
  <c r="D126" i="1"/>
  <c r="C127" i="1"/>
  <c r="D127" i="1"/>
  <c r="C128" i="1"/>
  <c r="D128" i="1"/>
  <c r="C129" i="1"/>
  <c r="D129" i="1"/>
  <c r="C130" i="1"/>
  <c r="D130" i="1"/>
  <c r="C131" i="1"/>
  <c r="D131" i="1"/>
  <c r="C132" i="1"/>
  <c r="D132" i="1"/>
  <c r="C133" i="1"/>
  <c r="D133" i="1"/>
  <c r="C134" i="1"/>
  <c r="D134" i="1"/>
  <c r="C135" i="1"/>
  <c r="D135" i="1"/>
  <c r="C136" i="1"/>
  <c r="D136" i="1"/>
  <c r="C137" i="1"/>
  <c r="D137" i="1"/>
  <c r="C138" i="1"/>
  <c r="D138" i="1"/>
  <c r="C139" i="1"/>
  <c r="D139" i="1"/>
  <c r="C140" i="1"/>
  <c r="D140" i="1"/>
  <c r="C141" i="1"/>
  <c r="D141" i="1"/>
  <c r="C142" i="1"/>
  <c r="D142" i="1"/>
  <c r="C143" i="1"/>
  <c r="D143" i="1"/>
  <c r="C144" i="1"/>
  <c r="D144" i="1"/>
  <c r="C145" i="1"/>
  <c r="D145" i="1"/>
  <c r="C146" i="1"/>
  <c r="D146" i="1"/>
  <c r="C147" i="1"/>
  <c r="D147" i="1"/>
  <c r="C148" i="1"/>
  <c r="D148" i="1"/>
  <c r="C149" i="1"/>
  <c r="D149" i="1"/>
  <c r="C150" i="1"/>
  <c r="D150" i="1"/>
  <c r="C151" i="1"/>
  <c r="D151" i="1"/>
  <c r="C152" i="1"/>
  <c r="D152" i="1"/>
  <c r="C153" i="1"/>
  <c r="D153" i="1"/>
  <c r="C154" i="1"/>
  <c r="D154" i="1"/>
  <c r="C155" i="1"/>
  <c r="D155" i="1"/>
  <c r="C156" i="1"/>
  <c r="D156" i="1"/>
  <c r="C157" i="1"/>
  <c r="D157" i="1"/>
  <c r="C158" i="1"/>
  <c r="D158" i="1"/>
  <c r="C159" i="1"/>
  <c r="D159" i="1"/>
  <c r="C160" i="1"/>
  <c r="D160" i="1"/>
  <c r="C161" i="1"/>
  <c r="D161" i="1"/>
  <c r="C162" i="1"/>
  <c r="D162" i="1"/>
  <c r="C163" i="1"/>
  <c r="D163" i="1"/>
  <c r="C164" i="1"/>
  <c r="D164" i="1"/>
  <c r="C165" i="1"/>
  <c r="D165" i="1"/>
  <c r="C166" i="1"/>
  <c r="D166" i="1"/>
  <c r="C167" i="1"/>
  <c r="D167" i="1"/>
  <c r="C168" i="1"/>
  <c r="D168" i="1"/>
  <c r="C169" i="1"/>
  <c r="D169" i="1"/>
  <c r="C170" i="1"/>
  <c r="D170" i="1"/>
  <c r="C171" i="1"/>
  <c r="D171" i="1"/>
  <c r="C172" i="1"/>
  <c r="D172" i="1"/>
  <c r="C173" i="1"/>
  <c r="D173" i="1"/>
  <c r="C174" i="1"/>
  <c r="D174" i="1"/>
  <c r="C175" i="1"/>
  <c r="D175" i="1"/>
  <c r="C176" i="1"/>
  <c r="D176" i="1"/>
  <c r="C177" i="1"/>
  <c r="D177" i="1"/>
  <c r="C178" i="1"/>
  <c r="D178" i="1"/>
  <c r="C179" i="1"/>
  <c r="D179" i="1"/>
  <c r="C180" i="1"/>
  <c r="D180" i="1"/>
  <c r="C181" i="1"/>
  <c r="D181" i="1"/>
  <c r="C182" i="1"/>
  <c r="D182" i="1"/>
  <c r="C183" i="1"/>
  <c r="D183" i="1"/>
  <c r="C184" i="1"/>
  <c r="D184" i="1"/>
  <c r="C185" i="1"/>
  <c r="D185" i="1"/>
  <c r="C186" i="1"/>
  <c r="D186" i="1"/>
  <c r="C187" i="1"/>
  <c r="D187" i="1"/>
  <c r="C188" i="1"/>
  <c r="D188" i="1"/>
  <c r="C189" i="1"/>
  <c r="D189" i="1"/>
  <c r="C190" i="1"/>
  <c r="D190" i="1"/>
  <c r="C191" i="1"/>
  <c r="D191" i="1"/>
  <c r="C192" i="1"/>
  <c r="D192" i="1"/>
  <c r="C193" i="1"/>
  <c r="D193" i="1"/>
  <c r="C194" i="1"/>
  <c r="D194" i="1"/>
  <c r="C195" i="1"/>
  <c r="D195" i="1"/>
  <c r="C196" i="1"/>
  <c r="D196" i="1"/>
  <c r="C197" i="1"/>
  <c r="D197" i="1"/>
  <c r="C198" i="1"/>
  <c r="D198" i="1"/>
  <c r="C199" i="1"/>
  <c r="D199" i="1"/>
  <c r="C200" i="1"/>
  <c r="D200" i="1"/>
  <c r="C201" i="1"/>
  <c r="D201" i="1"/>
  <c r="C202" i="1"/>
  <c r="D202" i="1"/>
  <c r="C203" i="1"/>
  <c r="D203" i="1"/>
  <c r="C204" i="1"/>
  <c r="D204" i="1"/>
  <c r="C205" i="1"/>
  <c r="D205" i="1"/>
  <c r="C206" i="1"/>
  <c r="D206" i="1"/>
  <c r="C207" i="1"/>
  <c r="D207" i="1"/>
  <c r="C208" i="1"/>
  <c r="D208" i="1"/>
  <c r="C209" i="1"/>
  <c r="D209" i="1"/>
  <c r="C210" i="1"/>
  <c r="D210" i="1"/>
  <c r="C211" i="1"/>
  <c r="D211" i="1"/>
  <c r="C212" i="1"/>
  <c r="D212" i="1"/>
  <c r="C213" i="1"/>
  <c r="D213" i="1"/>
  <c r="C214" i="1"/>
  <c r="D214" i="1"/>
  <c r="C215" i="1"/>
  <c r="D215" i="1"/>
  <c r="C216" i="1"/>
  <c r="D216" i="1"/>
  <c r="C217" i="1"/>
  <c r="D217" i="1"/>
  <c r="C218" i="1"/>
  <c r="D218" i="1"/>
  <c r="C219" i="1"/>
  <c r="D219" i="1"/>
  <c r="C220" i="1"/>
  <c r="D220" i="1"/>
  <c r="C221" i="1"/>
  <c r="D221" i="1"/>
  <c r="C222" i="1"/>
  <c r="D222" i="1"/>
  <c r="C223" i="1"/>
  <c r="D223" i="1"/>
  <c r="C224" i="1"/>
  <c r="D224" i="1"/>
  <c r="C225" i="1"/>
  <c r="D225" i="1"/>
  <c r="C226" i="1"/>
  <c r="D226" i="1"/>
  <c r="C227" i="1"/>
  <c r="D227" i="1"/>
  <c r="C228" i="1"/>
  <c r="D228" i="1"/>
  <c r="C229" i="1"/>
  <c r="D229" i="1"/>
  <c r="C230" i="1"/>
  <c r="D230" i="1"/>
  <c r="C231" i="1"/>
  <c r="D231" i="1"/>
  <c r="C232" i="1"/>
  <c r="D232" i="1"/>
  <c r="C233" i="1"/>
  <c r="D233" i="1"/>
  <c r="C234" i="1"/>
  <c r="D234" i="1"/>
  <c r="C235" i="1"/>
  <c r="D235" i="1"/>
  <c r="C236" i="1"/>
  <c r="D236" i="1"/>
  <c r="C237" i="1"/>
  <c r="D237" i="1"/>
  <c r="C238" i="1"/>
  <c r="D238" i="1"/>
  <c r="C239" i="1"/>
  <c r="D239" i="1"/>
  <c r="C240" i="1"/>
  <c r="D240" i="1"/>
  <c r="C241" i="1"/>
  <c r="D241" i="1"/>
  <c r="C242" i="1"/>
  <c r="D242" i="1"/>
  <c r="C243" i="1"/>
  <c r="D243" i="1"/>
  <c r="C244" i="1"/>
  <c r="D244" i="1"/>
  <c r="C245" i="1"/>
  <c r="D245" i="1"/>
  <c r="C246" i="1"/>
  <c r="D246" i="1"/>
  <c r="C247" i="1"/>
  <c r="D247" i="1"/>
  <c r="C248" i="1"/>
  <c r="D248" i="1"/>
  <c r="C249" i="1"/>
  <c r="D249" i="1"/>
  <c r="C250" i="1"/>
  <c r="D250" i="1"/>
  <c r="C251" i="1"/>
  <c r="D251" i="1"/>
  <c r="C252" i="1"/>
  <c r="D252" i="1"/>
  <c r="C253" i="1"/>
  <c r="D253" i="1"/>
  <c r="C254" i="1"/>
  <c r="D254" i="1"/>
  <c r="C255" i="1"/>
  <c r="D255" i="1"/>
  <c r="C256" i="1"/>
  <c r="D256" i="1"/>
  <c r="C257" i="1"/>
  <c r="D257" i="1"/>
  <c r="C258" i="1"/>
  <c r="D258" i="1"/>
  <c r="C259" i="1"/>
  <c r="D259" i="1"/>
  <c r="C260" i="1"/>
  <c r="D260" i="1"/>
  <c r="C261" i="1"/>
  <c r="D261" i="1"/>
  <c r="C262" i="1"/>
  <c r="D262" i="1"/>
  <c r="C263" i="1"/>
  <c r="D263" i="1"/>
  <c r="C264" i="1"/>
  <c r="D264" i="1"/>
  <c r="C265" i="1"/>
  <c r="D265" i="1"/>
  <c r="C266" i="1"/>
  <c r="D266" i="1"/>
  <c r="C267" i="1"/>
  <c r="D267" i="1"/>
  <c r="C268" i="1"/>
  <c r="D268" i="1"/>
  <c r="C269" i="1"/>
  <c r="D269" i="1"/>
  <c r="C270" i="1"/>
  <c r="D270" i="1"/>
  <c r="C271" i="1"/>
  <c r="D271" i="1"/>
  <c r="C272" i="1"/>
  <c r="D272" i="1"/>
  <c r="C273" i="1"/>
  <c r="D273" i="1"/>
  <c r="C274" i="1"/>
  <c r="D274" i="1"/>
  <c r="C275" i="1"/>
  <c r="D275" i="1"/>
  <c r="C276" i="1"/>
  <c r="D276" i="1"/>
  <c r="C277" i="1"/>
  <c r="D277" i="1"/>
  <c r="C278" i="1"/>
  <c r="D278" i="1"/>
  <c r="C279" i="1"/>
  <c r="D279" i="1"/>
  <c r="C280" i="1"/>
  <c r="D280" i="1"/>
  <c r="C281" i="1"/>
  <c r="D281" i="1"/>
  <c r="C282" i="1"/>
  <c r="D282" i="1"/>
  <c r="C283" i="1"/>
  <c r="D283" i="1"/>
  <c r="C284" i="1"/>
  <c r="D284" i="1"/>
  <c r="C285" i="1"/>
  <c r="D285" i="1"/>
  <c r="C286" i="1"/>
  <c r="D286" i="1"/>
  <c r="C287" i="1"/>
  <c r="D287" i="1"/>
  <c r="C288" i="1"/>
  <c r="D288" i="1"/>
  <c r="C289" i="1"/>
  <c r="D289" i="1"/>
  <c r="C290" i="1"/>
  <c r="D290" i="1"/>
  <c r="C291" i="1"/>
  <c r="D291" i="1"/>
  <c r="C292" i="1"/>
  <c r="D292" i="1"/>
  <c r="C293" i="1"/>
  <c r="D293" i="1"/>
  <c r="C294" i="1"/>
  <c r="D294" i="1"/>
  <c r="C295" i="1"/>
  <c r="D295" i="1"/>
  <c r="C296" i="1"/>
  <c r="D296" i="1"/>
  <c r="C297" i="1"/>
  <c r="D297" i="1"/>
  <c r="C298" i="1"/>
  <c r="D298" i="1"/>
  <c r="C299" i="1"/>
  <c r="D299" i="1"/>
  <c r="C300" i="1"/>
  <c r="D300" i="1"/>
  <c r="C301" i="1"/>
  <c r="D301" i="1"/>
  <c r="C302" i="1"/>
  <c r="D302" i="1"/>
  <c r="C303" i="1"/>
  <c r="D303" i="1"/>
  <c r="C304" i="1"/>
  <c r="D304" i="1"/>
  <c r="C305" i="1"/>
  <c r="D305" i="1"/>
  <c r="C306" i="1"/>
  <c r="D306" i="1"/>
  <c r="C307" i="1"/>
  <c r="D307" i="1"/>
  <c r="C308" i="1"/>
  <c r="D308" i="1"/>
  <c r="C309" i="1"/>
  <c r="D309" i="1"/>
  <c r="C310" i="1"/>
  <c r="D310" i="1"/>
  <c r="C311" i="1"/>
  <c r="D311" i="1"/>
  <c r="C312" i="1"/>
  <c r="D312" i="1"/>
  <c r="C313" i="1"/>
  <c r="D313" i="1"/>
  <c r="C314" i="1"/>
  <c r="D314" i="1"/>
  <c r="C315" i="1"/>
  <c r="D315" i="1"/>
  <c r="C316" i="1"/>
  <c r="D316" i="1"/>
  <c r="C317" i="1"/>
  <c r="D317" i="1"/>
  <c r="C318" i="1"/>
  <c r="D318" i="1"/>
  <c r="C319" i="1"/>
  <c r="D319" i="1"/>
  <c r="C320" i="1"/>
  <c r="D320" i="1"/>
  <c r="C321" i="1"/>
  <c r="D321" i="1"/>
  <c r="C322" i="1"/>
  <c r="D322" i="1"/>
  <c r="C323" i="1"/>
  <c r="D323" i="1"/>
  <c r="C324" i="1"/>
  <c r="D324" i="1"/>
  <c r="C325" i="1"/>
  <c r="D325" i="1"/>
  <c r="C326" i="1"/>
  <c r="D326" i="1"/>
  <c r="C327" i="1"/>
  <c r="D327" i="1"/>
  <c r="C328" i="1"/>
  <c r="D328" i="1"/>
  <c r="C329" i="1"/>
  <c r="D329" i="1"/>
  <c r="C330" i="1"/>
  <c r="D330" i="1"/>
  <c r="C331" i="1"/>
  <c r="D331" i="1"/>
  <c r="C332" i="1"/>
  <c r="D332" i="1"/>
  <c r="C333" i="1"/>
  <c r="D333" i="1"/>
  <c r="C334" i="1"/>
  <c r="D334" i="1"/>
  <c r="C335" i="1"/>
  <c r="D335" i="1"/>
  <c r="C336" i="1"/>
  <c r="D336" i="1"/>
  <c r="C337" i="1"/>
  <c r="D337" i="1"/>
  <c r="C338" i="1"/>
  <c r="D338" i="1"/>
  <c r="C339" i="1"/>
  <c r="D339" i="1"/>
  <c r="C340" i="1"/>
  <c r="D340" i="1"/>
  <c r="C341" i="1"/>
  <c r="D341" i="1"/>
  <c r="C342" i="1"/>
  <c r="D342" i="1"/>
  <c r="C343" i="1"/>
  <c r="D343" i="1"/>
  <c r="C344" i="1"/>
  <c r="D344" i="1"/>
  <c r="C345" i="1"/>
  <c r="D345" i="1"/>
  <c r="C346" i="1"/>
  <c r="D346" i="1"/>
  <c r="C347" i="1"/>
  <c r="D347" i="1"/>
  <c r="C348" i="1"/>
  <c r="D348" i="1"/>
  <c r="C349" i="1"/>
  <c r="D349" i="1"/>
  <c r="C350" i="1"/>
  <c r="D350" i="1"/>
  <c r="C351" i="1"/>
  <c r="D351" i="1"/>
  <c r="C352" i="1"/>
  <c r="D352" i="1"/>
  <c r="C353" i="1"/>
  <c r="D353" i="1"/>
  <c r="C354" i="1"/>
  <c r="D354" i="1"/>
  <c r="C355" i="1"/>
  <c r="D355" i="1"/>
  <c r="C356" i="1"/>
  <c r="D356" i="1"/>
  <c r="C357" i="1"/>
  <c r="D357" i="1"/>
  <c r="C358" i="1"/>
  <c r="D358" i="1"/>
  <c r="C359" i="1"/>
  <c r="D359" i="1"/>
  <c r="C360" i="1"/>
  <c r="D360" i="1"/>
  <c r="C361" i="1"/>
  <c r="D361" i="1"/>
  <c r="C362" i="1"/>
  <c r="D362" i="1"/>
  <c r="C363" i="1"/>
  <c r="D363" i="1"/>
  <c r="C364" i="1"/>
  <c r="D364" i="1"/>
  <c r="C365" i="1"/>
  <c r="D365" i="1"/>
  <c r="C366" i="1"/>
  <c r="D366" i="1"/>
  <c r="C367" i="1"/>
  <c r="D367" i="1"/>
  <c r="C368" i="1"/>
  <c r="D368" i="1"/>
  <c r="C369" i="1"/>
  <c r="D369" i="1"/>
  <c r="C370" i="1"/>
  <c r="D370" i="1"/>
  <c r="C371" i="1"/>
  <c r="D371" i="1"/>
  <c r="C372" i="1"/>
  <c r="D372" i="1"/>
  <c r="C373" i="1"/>
  <c r="D373" i="1"/>
  <c r="C374" i="1"/>
  <c r="D374" i="1"/>
  <c r="C375" i="1"/>
  <c r="D375" i="1"/>
  <c r="C376" i="1"/>
  <c r="D376" i="1"/>
  <c r="C377" i="1"/>
  <c r="D377" i="1"/>
  <c r="C378" i="1"/>
  <c r="D378" i="1"/>
  <c r="C379" i="1"/>
  <c r="D379" i="1"/>
  <c r="C380" i="1"/>
  <c r="D380" i="1"/>
  <c r="C381" i="1"/>
  <c r="D381" i="1"/>
  <c r="C382" i="1"/>
  <c r="D382" i="1"/>
  <c r="C383" i="1"/>
  <c r="D383" i="1"/>
  <c r="C384" i="1"/>
  <c r="D384" i="1"/>
  <c r="C385" i="1"/>
  <c r="D385" i="1"/>
  <c r="C386" i="1"/>
  <c r="D386" i="1"/>
  <c r="C387" i="1"/>
  <c r="D387" i="1"/>
  <c r="C388" i="1"/>
  <c r="D388" i="1"/>
  <c r="C389" i="1"/>
  <c r="D389" i="1"/>
  <c r="C390" i="1"/>
  <c r="D390" i="1"/>
  <c r="C391" i="1"/>
  <c r="D391" i="1"/>
  <c r="C392" i="1"/>
  <c r="D392" i="1"/>
  <c r="C393" i="1"/>
  <c r="D393" i="1"/>
  <c r="C394" i="1"/>
  <c r="D394" i="1"/>
  <c r="C395" i="1"/>
  <c r="D395" i="1"/>
  <c r="C396" i="1"/>
  <c r="D396" i="1"/>
  <c r="C397" i="1"/>
  <c r="D397" i="1"/>
  <c r="C398" i="1"/>
  <c r="D398" i="1"/>
  <c r="C399" i="1"/>
  <c r="D399" i="1"/>
  <c r="C400" i="1"/>
  <c r="D400" i="1"/>
  <c r="C401" i="1"/>
  <c r="D401" i="1"/>
  <c r="C402" i="1"/>
  <c r="D402" i="1"/>
  <c r="C403" i="1"/>
  <c r="D403" i="1"/>
  <c r="C404" i="1"/>
  <c r="D404" i="1"/>
  <c r="C405" i="1"/>
  <c r="D405" i="1"/>
  <c r="C406" i="1"/>
  <c r="D406" i="1"/>
  <c r="C407" i="1"/>
  <c r="D407" i="1"/>
  <c r="C408" i="1"/>
  <c r="D408" i="1"/>
  <c r="C409" i="1"/>
  <c r="D409" i="1"/>
  <c r="C410" i="1"/>
  <c r="D410" i="1"/>
  <c r="C411" i="1"/>
  <c r="D411" i="1"/>
  <c r="C412" i="1"/>
  <c r="D412" i="1"/>
  <c r="C413" i="1"/>
  <c r="D413" i="1"/>
  <c r="C414" i="1"/>
  <c r="D414" i="1"/>
  <c r="C415" i="1"/>
  <c r="D415" i="1"/>
  <c r="C416" i="1"/>
  <c r="D416" i="1"/>
  <c r="C417" i="1"/>
  <c r="D417" i="1"/>
  <c r="C418" i="1"/>
  <c r="D418" i="1"/>
  <c r="C419" i="1"/>
  <c r="D419" i="1"/>
  <c r="C420" i="1"/>
  <c r="D420" i="1"/>
  <c r="C421" i="1"/>
  <c r="D421" i="1"/>
  <c r="C422" i="1"/>
  <c r="D422" i="1"/>
  <c r="C423" i="1"/>
  <c r="D423" i="1"/>
  <c r="C424" i="1"/>
  <c r="D424" i="1"/>
  <c r="C425" i="1"/>
  <c r="D425" i="1"/>
  <c r="C426" i="1"/>
  <c r="D426" i="1"/>
  <c r="C427" i="1"/>
  <c r="D427" i="1"/>
  <c r="C428" i="1"/>
  <c r="D428" i="1"/>
  <c r="C429" i="1"/>
  <c r="D429" i="1"/>
  <c r="C430" i="1"/>
  <c r="D430" i="1"/>
  <c r="C431" i="1"/>
  <c r="D431" i="1"/>
  <c r="C432" i="1"/>
  <c r="D432" i="1"/>
  <c r="C433" i="1"/>
  <c r="D433" i="1"/>
  <c r="C434" i="1"/>
  <c r="D434" i="1"/>
  <c r="C435" i="1"/>
  <c r="D435" i="1"/>
  <c r="C436" i="1"/>
  <c r="D436" i="1"/>
  <c r="C437" i="1"/>
  <c r="D437" i="1"/>
  <c r="C438" i="1"/>
  <c r="D438" i="1"/>
  <c r="C439" i="1"/>
  <c r="D439" i="1"/>
  <c r="C440" i="1"/>
  <c r="D440" i="1"/>
  <c r="C441" i="1"/>
  <c r="D441" i="1"/>
  <c r="C442" i="1"/>
  <c r="D442" i="1"/>
  <c r="C443" i="1"/>
  <c r="D443" i="1"/>
  <c r="C444" i="1"/>
  <c r="D444" i="1"/>
  <c r="C445" i="1"/>
  <c r="D445" i="1"/>
  <c r="C446" i="1"/>
  <c r="D446" i="1"/>
  <c r="C447" i="1"/>
  <c r="D447" i="1"/>
  <c r="C448" i="1"/>
  <c r="D448" i="1"/>
  <c r="C449" i="1"/>
  <c r="D449" i="1"/>
  <c r="C450" i="1"/>
  <c r="D450" i="1"/>
  <c r="C451" i="1"/>
  <c r="D451" i="1"/>
  <c r="C452" i="1"/>
  <c r="D452" i="1"/>
  <c r="C453" i="1"/>
  <c r="D453" i="1"/>
  <c r="C454" i="1"/>
  <c r="D454" i="1"/>
  <c r="C455" i="1"/>
  <c r="D455" i="1"/>
  <c r="C456" i="1"/>
  <c r="D456" i="1"/>
  <c r="C457" i="1"/>
  <c r="D457" i="1"/>
  <c r="C458" i="1"/>
  <c r="D458" i="1"/>
  <c r="C459" i="1"/>
  <c r="D459" i="1"/>
  <c r="C460" i="1"/>
  <c r="D460" i="1"/>
  <c r="C461" i="1"/>
  <c r="D461" i="1"/>
  <c r="C462" i="1"/>
  <c r="D462" i="1"/>
  <c r="C463" i="1"/>
  <c r="D463" i="1"/>
  <c r="C464" i="1"/>
  <c r="D464" i="1"/>
  <c r="C465" i="1"/>
  <c r="D465" i="1"/>
  <c r="C466" i="1"/>
  <c r="D466" i="1"/>
  <c r="C467" i="1"/>
  <c r="D467" i="1"/>
  <c r="C468" i="1"/>
  <c r="D468" i="1"/>
  <c r="C469" i="1"/>
  <c r="D469" i="1"/>
  <c r="C470" i="1"/>
  <c r="D470" i="1"/>
  <c r="C471" i="1"/>
  <c r="D471" i="1"/>
  <c r="C472" i="1"/>
  <c r="D472" i="1"/>
  <c r="C473" i="1"/>
  <c r="D473" i="1"/>
  <c r="C474" i="1"/>
  <c r="D474" i="1"/>
  <c r="C475" i="1"/>
  <c r="D475" i="1"/>
  <c r="C476" i="1"/>
  <c r="D476" i="1"/>
  <c r="C477" i="1"/>
  <c r="D477" i="1"/>
  <c r="C478" i="1"/>
  <c r="D478" i="1"/>
  <c r="C479" i="1"/>
  <c r="D479" i="1"/>
  <c r="C480" i="1"/>
  <c r="D480" i="1"/>
  <c r="C481" i="1"/>
  <c r="D481" i="1"/>
  <c r="C482" i="1"/>
  <c r="D482" i="1"/>
  <c r="C483" i="1"/>
  <c r="D483" i="1"/>
  <c r="C484" i="1"/>
  <c r="D484" i="1"/>
  <c r="C485" i="1"/>
  <c r="D485" i="1"/>
  <c r="C486" i="1"/>
  <c r="D486" i="1"/>
  <c r="C487" i="1"/>
  <c r="D487" i="1"/>
  <c r="C488" i="1"/>
  <c r="D488" i="1"/>
  <c r="C489" i="1"/>
  <c r="D489" i="1"/>
  <c r="C490" i="1"/>
  <c r="D490" i="1"/>
  <c r="C491" i="1"/>
  <c r="D491" i="1"/>
  <c r="C492" i="1"/>
  <c r="D492" i="1"/>
  <c r="C493" i="1"/>
  <c r="D493" i="1"/>
  <c r="C494" i="1"/>
  <c r="D494" i="1"/>
  <c r="C495" i="1"/>
  <c r="D495" i="1"/>
  <c r="C496" i="1"/>
  <c r="D496" i="1"/>
  <c r="C497" i="1"/>
  <c r="D497" i="1"/>
  <c r="C498" i="1"/>
  <c r="D498" i="1"/>
  <c r="C499" i="1"/>
  <c r="D499" i="1"/>
  <c r="C500" i="1"/>
  <c r="D500" i="1"/>
  <c r="C501" i="1"/>
  <c r="D501" i="1"/>
  <c r="C502" i="1"/>
  <c r="D502" i="1"/>
  <c r="C503" i="1"/>
  <c r="D503" i="1"/>
  <c r="C504" i="1"/>
  <c r="D504" i="1"/>
  <c r="C505" i="1"/>
  <c r="D505" i="1"/>
  <c r="C506" i="1"/>
  <c r="D506" i="1"/>
  <c r="C507" i="1"/>
  <c r="D507" i="1"/>
  <c r="C508" i="1"/>
  <c r="D508" i="1"/>
  <c r="C509" i="1"/>
  <c r="D509" i="1"/>
  <c r="C510" i="1"/>
  <c r="D510" i="1"/>
  <c r="C511" i="1"/>
  <c r="D511" i="1"/>
  <c r="C512" i="1"/>
  <c r="D512" i="1"/>
  <c r="C513" i="1"/>
  <c r="D513" i="1"/>
  <c r="C514" i="1"/>
  <c r="D514" i="1"/>
  <c r="C515" i="1"/>
  <c r="D515" i="1"/>
  <c r="C516" i="1"/>
  <c r="D516" i="1"/>
  <c r="C517" i="1"/>
  <c r="D517" i="1"/>
  <c r="C518" i="1"/>
  <c r="D518" i="1"/>
  <c r="C519" i="1"/>
  <c r="D519" i="1"/>
  <c r="C520" i="1"/>
  <c r="D520" i="1"/>
  <c r="C521" i="1"/>
  <c r="D521" i="1"/>
  <c r="C522" i="1"/>
  <c r="D522" i="1"/>
  <c r="C523" i="1"/>
  <c r="D523" i="1"/>
  <c r="C524" i="1"/>
  <c r="D524" i="1"/>
  <c r="C525" i="1"/>
  <c r="D525" i="1"/>
  <c r="C526" i="1"/>
  <c r="D526" i="1"/>
  <c r="C527" i="1"/>
  <c r="D527" i="1"/>
  <c r="C528" i="1"/>
  <c r="D528" i="1"/>
  <c r="F10" i="1"/>
  <c r="F11" i="1" s="1"/>
  <c r="F12" i="1" s="1"/>
  <c r="F13" i="1" s="1"/>
  <c r="F14" i="1" s="1"/>
  <c r="F15" i="1" s="1"/>
  <c r="F16" i="1" s="1"/>
  <c r="F17" i="1" s="1"/>
  <c r="F18" i="1" s="1"/>
  <c r="F19" i="1" s="1"/>
  <c r="F20" i="1" s="1"/>
  <c r="F21" i="1" s="1"/>
  <c r="F22" i="1" s="1"/>
  <c r="F23" i="1" s="1"/>
  <c r="F24" i="1" s="1"/>
  <c r="F25" i="1" s="1"/>
  <c r="F26" i="1" s="1"/>
  <c r="F27" i="1" s="1"/>
  <c r="F28" i="1" s="1"/>
  <c r="F29" i="1" s="1"/>
  <c r="F30" i="1" s="1"/>
  <c r="F31" i="1" s="1"/>
  <c r="F32" i="1" s="1"/>
  <c r="F33" i="1" s="1"/>
  <c r="F34" i="1" s="1"/>
  <c r="F35" i="1" s="1"/>
  <c r="F36" i="1" s="1"/>
  <c r="F37" i="1" s="1"/>
  <c r="F38" i="1" s="1"/>
  <c r="F39" i="1" s="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3" i="1" s="1"/>
  <c r="F124" i="1" s="1"/>
  <c r="F125" i="1" s="1"/>
  <c r="F126"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48" i="1" s="1"/>
  <c r="F149" i="1" s="1"/>
  <c r="F150" i="1" s="1"/>
  <c r="F151" i="1" s="1"/>
  <c r="F152" i="1" s="1"/>
  <c r="F153" i="1" s="1"/>
  <c r="F154" i="1" s="1"/>
  <c r="F155" i="1" s="1"/>
  <c r="F156" i="1" s="1"/>
  <c r="F157" i="1" s="1"/>
  <c r="F158" i="1" s="1"/>
  <c r="F159" i="1" s="1"/>
  <c r="F160" i="1" s="1"/>
  <c r="F161" i="1" s="1"/>
  <c r="F162" i="1" s="1"/>
  <c r="F163" i="1" s="1"/>
  <c r="F164" i="1" s="1"/>
  <c r="F165" i="1" s="1"/>
  <c r="F166" i="1" s="1"/>
  <c r="F167" i="1" s="1"/>
  <c r="F168" i="1" s="1"/>
  <c r="F169" i="1" s="1"/>
  <c r="F170" i="1" s="1"/>
  <c r="F171" i="1" s="1"/>
  <c r="F172" i="1" s="1"/>
  <c r="F173" i="1" s="1"/>
  <c r="F174" i="1" s="1"/>
  <c r="F175" i="1" s="1"/>
  <c r="F176" i="1" s="1"/>
  <c r="F177" i="1" s="1"/>
  <c r="F178" i="1" s="1"/>
  <c r="F179" i="1" s="1"/>
  <c r="F180" i="1" s="1"/>
  <c r="F181" i="1" s="1"/>
  <c r="F182" i="1" s="1"/>
  <c r="F183" i="1" s="1"/>
  <c r="F184" i="1" s="1"/>
  <c r="F185" i="1" s="1"/>
  <c r="F186" i="1" s="1"/>
  <c r="F187" i="1" s="1"/>
  <c r="F188" i="1" s="1"/>
  <c r="F189" i="1" s="1"/>
  <c r="F190" i="1" s="1"/>
  <c r="F191" i="1" s="1"/>
  <c r="F192" i="1" s="1"/>
  <c r="F193" i="1" s="1"/>
  <c r="F194" i="1" s="1"/>
  <c r="F195" i="1" s="1"/>
  <c r="F196" i="1" s="1"/>
  <c r="F197" i="1" s="1"/>
  <c r="F198" i="1" s="1"/>
  <c r="F199" i="1" s="1"/>
  <c r="F200" i="1" s="1"/>
  <c r="F201" i="1" s="1"/>
  <c r="F202" i="1" s="1"/>
  <c r="F203" i="1" s="1"/>
  <c r="F204" i="1" s="1"/>
  <c r="F205" i="1" s="1"/>
  <c r="F206" i="1" s="1"/>
  <c r="F207" i="1" s="1"/>
  <c r="F208" i="1" s="1"/>
  <c r="F209" i="1" s="1"/>
  <c r="F210" i="1" s="1"/>
  <c r="F211" i="1" s="1"/>
  <c r="F212" i="1" s="1"/>
  <c r="F213" i="1" s="1"/>
  <c r="F214" i="1" s="1"/>
  <c r="F215" i="1" s="1"/>
  <c r="F216" i="1" s="1"/>
  <c r="F217" i="1" s="1"/>
  <c r="F218" i="1" s="1"/>
  <c r="F219" i="1" s="1"/>
  <c r="F220" i="1" s="1"/>
  <c r="F221" i="1" s="1"/>
  <c r="F222" i="1" s="1"/>
  <c r="F223" i="1" s="1"/>
  <c r="F224" i="1" s="1"/>
  <c r="F225" i="1" s="1"/>
  <c r="F226" i="1" s="1"/>
  <c r="F227" i="1" s="1"/>
  <c r="F228" i="1" s="1"/>
  <c r="F229" i="1" s="1"/>
  <c r="F230" i="1" s="1"/>
  <c r="F231" i="1" s="1"/>
  <c r="F232" i="1" s="1"/>
  <c r="F233" i="1" s="1"/>
  <c r="F234" i="1" s="1"/>
  <c r="F235" i="1" s="1"/>
  <c r="F236" i="1" s="1"/>
  <c r="F237" i="1" s="1"/>
  <c r="F238" i="1" s="1"/>
  <c r="F239" i="1" s="1"/>
  <c r="F240" i="1" s="1"/>
  <c r="F241" i="1" s="1"/>
  <c r="F242" i="1" s="1"/>
  <c r="F243" i="1" s="1"/>
  <c r="F244" i="1" s="1"/>
  <c r="F245" i="1" s="1"/>
  <c r="F246" i="1" s="1"/>
  <c r="F247" i="1" s="1"/>
  <c r="F248" i="1" s="1"/>
  <c r="F249" i="1" s="1"/>
  <c r="F250" i="1" s="1"/>
  <c r="F251" i="1" s="1"/>
  <c r="F252" i="1" s="1"/>
  <c r="F253" i="1" s="1"/>
  <c r="F254" i="1" s="1"/>
  <c r="F255" i="1" s="1"/>
  <c r="F256" i="1" s="1"/>
  <c r="F257" i="1" s="1"/>
  <c r="F258" i="1" s="1"/>
  <c r="F259" i="1" s="1"/>
  <c r="F260" i="1" s="1"/>
  <c r="F261" i="1" s="1"/>
  <c r="F262" i="1" s="1"/>
  <c r="F263" i="1" s="1"/>
  <c r="F264" i="1" s="1"/>
  <c r="F265" i="1" s="1"/>
  <c r="F266" i="1" s="1"/>
  <c r="F267" i="1" s="1"/>
  <c r="F268" i="1" s="1"/>
  <c r="F269" i="1" s="1"/>
  <c r="F270" i="1" s="1"/>
  <c r="F271" i="1" s="1"/>
  <c r="F272" i="1" s="1"/>
  <c r="F273" i="1" s="1"/>
  <c r="F274" i="1" s="1"/>
  <c r="F275" i="1" s="1"/>
  <c r="F276" i="1" s="1"/>
  <c r="F277" i="1" s="1"/>
  <c r="F278" i="1" s="1"/>
  <c r="F279" i="1" s="1"/>
  <c r="F280" i="1" s="1"/>
  <c r="F281" i="1" s="1"/>
  <c r="F282" i="1" s="1"/>
  <c r="F283" i="1" s="1"/>
  <c r="F284" i="1" s="1"/>
  <c r="F285" i="1" s="1"/>
  <c r="F286" i="1" s="1"/>
  <c r="F287" i="1" s="1"/>
  <c r="F288" i="1" s="1"/>
  <c r="F289" i="1" s="1"/>
  <c r="F290" i="1" s="1"/>
  <c r="F291" i="1" s="1"/>
  <c r="F292" i="1" s="1"/>
  <c r="F293" i="1" s="1"/>
  <c r="F294" i="1" s="1"/>
  <c r="F295" i="1" s="1"/>
  <c r="F296" i="1" s="1"/>
  <c r="F297" i="1" s="1"/>
  <c r="F298" i="1" s="1"/>
  <c r="F299" i="1" s="1"/>
  <c r="F300" i="1" s="1"/>
  <c r="F301" i="1" s="1"/>
  <c r="F302" i="1" s="1"/>
  <c r="F303" i="1" s="1"/>
  <c r="F304" i="1" s="1"/>
  <c r="F305" i="1" s="1"/>
  <c r="F306" i="1" s="1"/>
  <c r="F307" i="1" s="1"/>
  <c r="F308" i="1" s="1"/>
  <c r="F309" i="1" s="1"/>
  <c r="F310" i="1" s="1"/>
  <c r="F311" i="1" s="1"/>
  <c r="F312" i="1" s="1"/>
  <c r="F313" i="1" s="1"/>
  <c r="F314" i="1" s="1"/>
  <c r="F315" i="1" s="1"/>
  <c r="F316" i="1" s="1"/>
  <c r="F317" i="1" s="1"/>
  <c r="F318" i="1" s="1"/>
  <c r="F319" i="1" s="1"/>
  <c r="F320" i="1" s="1"/>
  <c r="F321" i="1" s="1"/>
  <c r="F322" i="1" s="1"/>
  <c r="F323" i="1" s="1"/>
  <c r="F324" i="1" s="1"/>
  <c r="F325" i="1" s="1"/>
  <c r="F326" i="1" s="1"/>
  <c r="F327" i="1" s="1"/>
  <c r="F328" i="1" s="1"/>
  <c r="F329" i="1" s="1"/>
  <c r="F330" i="1" s="1"/>
  <c r="F331" i="1" s="1"/>
  <c r="F332" i="1" s="1"/>
  <c r="F333" i="1" s="1"/>
  <c r="F334" i="1" s="1"/>
  <c r="F335" i="1" s="1"/>
  <c r="F336" i="1" s="1"/>
  <c r="F337" i="1" s="1"/>
  <c r="F338" i="1" s="1"/>
  <c r="F339" i="1" s="1"/>
  <c r="F340" i="1" s="1"/>
  <c r="F341" i="1" s="1"/>
  <c r="F342" i="1" s="1"/>
  <c r="F343" i="1" s="1"/>
  <c r="F344" i="1" s="1"/>
  <c r="F345" i="1" s="1"/>
  <c r="F346" i="1" s="1"/>
  <c r="F347" i="1" s="1"/>
  <c r="F348" i="1" s="1"/>
  <c r="F349" i="1" s="1"/>
  <c r="F350" i="1" s="1"/>
  <c r="F351" i="1" s="1"/>
  <c r="F352" i="1" s="1"/>
  <c r="F353" i="1" s="1"/>
  <c r="F354" i="1" s="1"/>
  <c r="F355" i="1" s="1"/>
  <c r="F356" i="1" s="1"/>
  <c r="F357" i="1" s="1"/>
  <c r="F358" i="1" s="1"/>
  <c r="F359" i="1" s="1"/>
  <c r="F360" i="1" s="1"/>
  <c r="F361" i="1" s="1"/>
  <c r="F362" i="1" s="1"/>
  <c r="F363" i="1" s="1"/>
  <c r="F364" i="1" s="1"/>
  <c r="F365" i="1" s="1"/>
  <c r="F366" i="1" s="1"/>
  <c r="F367" i="1" s="1"/>
  <c r="F368" i="1" s="1"/>
  <c r="F369" i="1" s="1"/>
  <c r="F370" i="1" s="1"/>
  <c r="F371" i="1" s="1"/>
  <c r="F372" i="1" s="1"/>
  <c r="F373" i="1" s="1"/>
  <c r="F374" i="1" s="1"/>
  <c r="F375" i="1" s="1"/>
  <c r="F376" i="1" s="1"/>
  <c r="F377" i="1" s="1"/>
  <c r="F378" i="1" s="1"/>
  <c r="F379" i="1" s="1"/>
  <c r="F380" i="1" s="1"/>
  <c r="F381" i="1" s="1"/>
  <c r="F382" i="1" s="1"/>
  <c r="F383" i="1" s="1"/>
  <c r="F384" i="1" s="1"/>
  <c r="F385" i="1" s="1"/>
  <c r="F386" i="1" s="1"/>
  <c r="F387" i="1" s="1"/>
  <c r="F388" i="1" s="1"/>
  <c r="F389" i="1" s="1"/>
  <c r="F390" i="1" s="1"/>
  <c r="F391" i="1" s="1"/>
  <c r="F392" i="1" s="1"/>
  <c r="F393" i="1" s="1"/>
  <c r="F394" i="1" s="1"/>
  <c r="F395" i="1" s="1"/>
  <c r="F396" i="1" s="1"/>
  <c r="F397" i="1" s="1"/>
  <c r="F398" i="1" s="1"/>
  <c r="F399" i="1" s="1"/>
  <c r="F400" i="1" s="1"/>
  <c r="F401" i="1" s="1"/>
  <c r="F402" i="1" s="1"/>
  <c r="F403" i="1" s="1"/>
  <c r="F404" i="1" s="1"/>
  <c r="F405" i="1" s="1"/>
  <c r="F406" i="1" s="1"/>
  <c r="F407" i="1" s="1"/>
  <c r="F408" i="1" s="1"/>
  <c r="F409" i="1" s="1"/>
  <c r="F410" i="1" s="1"/>
  <c r="F411" i="1" s="1"/>
  <c r="F412" i="1" s="1"/>
  <c r="F413" i="1" s="1"/>
  <c r="F414" i="1" s="1"/>
  <c r="F415" i="1" s="1"/>
  <c r="F416" i="1" s="1"/>
  <c r="F417" i="1" s="1"/>
  <c r="F418" i="1" s="1"/>
  <c r="F419" i="1" s="1"/>
  <c r="F420" i="1" s="1"/>
  <c r="F421" i="1" s="1"/>
  <c r="F422" i="1" s="1"/>
  <c r="F423" i="1" s="1"/>
  <c r="F424" i="1" s="1"/>
  <c r="F425" i="1" s="1"/>
  <c r="F426" i="1" s="1"/>
  <c r="F427" i="1" s="1"/>
  <c r="F428" i="1" s="1"/>
  <c r="F429" i="1" s="1"/>
  <c r="F430" i="1" s="1"/>
  <c r="F431" i="1" s="1"/>
  <c r="F432" i="1" s="1"/>
  <c r="F433" i="1" s="1"/>
  <c r="F434" i="1" s="1"/>
  <c r="F435" i="1" s="1"/>
  <c r="F436" i="1" s="1"/>
  <c r="F437" i="1" s="1"/>
  <c r="F438" i="1" s="1"/>
  <c r="F439" i="1" s="1"/>
  <c r="F440" i="1" s="1"/>
  <c r="F441" i="1" s="1"/>
  <c r="F442" i="1" s="1"/>
  <c r="F443" i="1" s="1"/>
  <c r="F444" i="1" s="1"/>
  <c r="F445" i="1" s="1"/>
  <c r="F446" i="1" s="1"/>
  <c r="F447" i="1" s="1"/>
  <c r="F448" i="1" s="1"/>
  <c r="F449" i="1" s="1"/>
  <c r="F450" i="1" s="1"/>
  <c r="F451" i="1" s="1"/>
  <c r="F452" i="1" s="1"/>
  <c r="F453" i="1" s="1"/>
  <c r="F454" i="1" s="1"/>
  <c r="F455" i="1" s="1"/>
  <c r="F456" i="1" s="1"/>
  <c r="F457" i="1" s="1"/>
  <c r="F458" i="1" s="1"/>
  <c r="F459" i="1" s="1"/>
  <c r="F460" i="1" s="1"/>
  <c r="F461" i="1" s="1"/>
  <c r="F462" i="1" s="1"/>
  <c r="F463" i="1" s="1"/>
  <c r="F464" i="1" s="1"/>
  <c r="F465" i="1" s="1"/>
  <c r="F466" i="1" s="1"/>
  <c r="F467" i="1" s="1"/>
  <c r="F468" i="1" s="1"/>
  <c r="F469" i="1" s="1"/>
  <c r="F470" i="1" s="1"/>
  <c r="F471" i="1" s="1"/>
  <c r="F472" i="1" s="1"/>
  <c r="F473" i="1" s="1"/>
  <c r="F474" i="1" s="1"/>
  <c r="F475" i="1" s="1"/>
  <c r="F476" i="1" s="1"/>
  <c r="F477" i="1" s="1"/>
  <c r="F478" i="1" s="1"/>
  <c r="F479" i="1" s="1"/>
  <c r="F480" i="1" s="1"/>
  <c r="F481" i="1" s="1"/>
  <c r="F482" i="1" s="1"/>
  <c r="F483" i="1" s="1"/>
  <c r="F484" i="1" s="1"/>
  <c r="F485" i="1" s="1"/>
  <c r="F486" i="1" s="1"/>
  <c r="F487" i="1" s="1"/>
  <c r="F488" i="1" s="1"/>
  <c r="F489" i="1" s="1"/>
  <c r="F490" i="1" s="1"/>
  <c r="F491" i="1" s="1"/>
  <c r="F492" i="1" s="1"/>
  <c r="F493" i="1" s="1"/>
  <c r="F494" i="1" s="1"/>
  <c r="F495" i="1" s="1"/>
  <c r="F496" i="1" s="1"/>
  <c r="F497" i="1" s="1"/>
  <c r="F498" i="1" s="1"/>
  <c r="F499" i="1" s="1"/>
  <c r="F500" i="1" s="1"/>
  <c r="F501" i="1" s="1"/>
  <c r="F502" i="1" s="1"/>
  <c r="F503" i="1" s="1"/>
  <c r="F504" i="1" s="1"/>
  <c r="F505" i="1" s="1"/>
  <c r="F506" i="1" s="1"/>
  <c r="F507" i="1" s="1"/>
  <c r="F508" i="1" s="1"/>
  <c r="F509" i="1" s="1"/>
  <c r="F510" i="1" s="1"/>
  <c r="F511" i="1" s="1"/>
  <c r="F512" i="1" s="1"/>
  <c r="F513" i="1" s="1"/>
  <c r="F514" i="1" s="1"/>
  <c r="F515" i="1" s="1"/>
  <c r="F516" i="1" s="1"/>
  <c r="F517" i="1" s="1"/>
  <c r="F518" i="1" s="1"/>
  <c r="F519" i="1" s="1"/>
  <c r="F520" i="1" s="1"/>
  <c r="F521" i="1" s="1"/>
  <c r="F522" i="1" s="1"/>
  <c r="F523" i="1" s="1"/>
  <c r="F524" i="1" s="1"/>
  <c r="F525" i="1" s="1"/>
  <c r="F526" i="1" s="1"/>
  <c r="F527" i="1" s="1"/>
  <c r="F528" i="1" s="1"/>
  <c r="D7" i="1"/>
  <c r="D4" i="3"/>
  <c r="D6" i="1" s="1"/>
  <c r="E9" i="1" l="1"/>
  <c r="E530" i="1" l="1"/>
</calcChain>
</file>

<file path=xl/sharedStrings.xml><?xml version="1.0" encoding="utf-8"?>
<sst xmlns="http://schemas.openxmlformats.org/spreadsheetml/2006/main" count="3206" uniqueCount="2127">
  <si>
    <t>Total</t>
  </si>
  <si>
    <t>Trial Balance</t>
  </si>
  <si>
    <t>Account</t>
  </si>
  <si>
    <t>Description</t>
  </si>
  <si>
    <t>Hide</t>
  </si>
  <si>
    <t>Run Date:</t>
  </si>
  <si>
    <t>Option</t>
  </si>
  <si>
    <t>Title</t>
  </si>
  <si>
    <t>Value</t>
  </si>
  <si>
    <t>Fit</t>
  </si>
  <si>
    <t>Sales</t>
  </si>
  <si>
    <t xml:space="preserve">Report Readme </t>
  </si>
  <si>
    <t>About the report</t>
  </si>
  <si>
    <t>Modifying your report</t>
  </si>
  <si>
    <t>Version of Jet</t>
  </si>
  <si>
    <t>Services</t>
  </si>
  <si>
    <t>Training</t>
  </si>
  <si>
    <t>DISCLAIMER</t>
  </si>
  <si>
    <t>Copyrights</t>
  </si>
  <si>
    <t>Report Options</t>
  </si>
  <si>
    <t>Auto+Hide+Hidesheet+Values</t>
  </si>
  <si>
    <t>Month End Date</t>
  </si>
  <si>
    <t>Month End Date:</t>
  </si>
  <si>
    <t>Click here for downloads</t>
  </si>
  <si>
    <t>Questions About This Report</t>
  </si>
  <si>
    <t>Click here to contact sample reports</t>
  </si>
  <si>
    <t>=EndPeriod</t>
  </si>
  <si>
    <t>=TODAY()</t>
  </si>
  <si>
    <t>=TEXT($D$6,"Mmm yyyy")</t>
  </si>
  <si>
    <t>=GL("Rows","Accounts")</t>
  </si>
  <si>
    <t>=GL(,"Name",$C10)</t>
  </si>
  <si>
    <t>=GL(,"Balance",$C10,,D$6)</t>
  </si>
  <si>
    <t>=F9+1</t>
  </si>
  <si>
    <t>=SUM(E10:E11)</t>
  </si>
  <si>
    <t>Auto</t>
  </si>
  <si>
    <t>="000-1101-00"</t>
  </si>
  <si>
    <t>=GL(,"Name",$C11)</t>
  </si>
  <si>
    <t>=GL(,"Balance",$C11,,D$6)</t>
  </si>
  <si>
    <t>=F10+1</t>
  </si>
  <si>
    <t>="000-1102-00"</t>
  </si>
  <si>
    <t>=GL(,"Name",$C12)</t>
  </si>
  <si>
    <t>=GL(,"Balance",$C12,,D$6)</t>
  </si>
  <si>
    <t>=F11+1</t>
  </si>
  <si>
    <t>="000-1103-00"</t>
  </si>
  <si>
    <t>=GL(,"Name",$C13)</t>
  </si>
  <si>
    <t>=GL(,"Balance",$C13,,D$6)</t>
  </si>
  <si>
    <t>=F12+1</t>
  </si>
  <si>
    <t>="000-1104-00"</t>
  </si>
  <si>
    <t>=GL(,"Name",$C14)</t>
  </si>
  <si>
    <t>=GL(,"Balance",$C14,,D$6)</t>
  </si>
  <si>
    <t>=F13+1</t>
  </si>
  <si>
    <t>="000-1105-00"</t>
  </si>
  <si>
    <t>=GL(,"Name",$C15)</t>
  </si>
  <si>
    <t>=GL(,"Balance",$C15,,D$6)</t>
  </si>
  <si>
    <t>=F14+1</t>
  </si>
  <si>
    <t>="000-1106-00"</t>
  </si>
  <si>
    <t>=GL(,"Name",$C16)</t>
  </si>
  <si>
    <t>=GL(,"Balance",$C16,,D$6)</t>
  </si>
  <si>
    <t>=F15+1</t>
  </si>
  <si>
    <t>="000-1107-00"</t>
  </si>
  <si>
    <t>=GL(,"Name",$C17)</t>
  </si>
  <si>
    <t>=GL(,"Balance",$C17,,D$6)</t>
  </si>
  <si>
    <t>=F16+1</t>
  </si>
  <si>
    <t>="000-1110-00"</t>
  </si>
  <si>
    <t>=GL(,"Name",$C18)</t>
  </si>
  <si>
    <t>=GL(,"Balance",$C18,,D$6)</t>
  </si>
  <si>
    <t>=F17+1</t>
  </si>
  <si>
    <t>="000-1120-00"</t>
  </si>
  <si>
    <t>=GL(,"Name",$C19)</t>
  </si>
  <si>
    <t>=GL(,"Balance",$C19,,D$6)</t>
  </si>
  <si>
    <t>=F18+1</t>
  </si>
  <si>
    <t>="000-1130-00"</t>
  </si>
  <si>
    <t>=GL(,"Name",$C20)</t>
  </si>
  <si>
    <t>=GL(,"Balance",$C20,,D$6)</t>
  </si>
  <si>
    <t>=F19+1</t>
  </si>
  <si>
    <t>="000-1140-00"</t>
  </si>
  <si>
    <t>=GL(,"Name",$C21)</t>
  </si>
  <si>
    <t>=GL(,"Balance",$C21,,D$6)</t>
  </si>
  <si>
    <t>=F20+1</t>
  </si>
  <si>
    <t>="000-1190-00"</t>
  </si>
  <si>
    <t>=GL(,"Name",$C22)</t>
  </si>
  <si>
    <t>=GL(,"Balance",$C22,,D$6)</t>
  </si>
  <si>
    <t>=F21+1</t>
  </si>
  <si>
    <t>="000-1200-00"</t>
  </si>
  <si>
    <t>=GL(,"Name",$C23)</t>
  </si>
  <si>
    <t>=GL(,"Balance",$C23,,D$6)</t>
  </si>
  <si>
    <t>=F22+1</t>
  </si>
  <si>
    <t>="000-1205-00"</t>
  </si>
  <si>
    <t>=GL(,"Name",$C24)</t>
  </si>
  <si>
    <t>=GL(,"Balance",$C24,,D$6)</t>
  </si>
  <si>
    <t>=F23+1</t>
  </si>
  <si>
    <t>="000-1210-00"</t>
  </si>
  <si>
    <t>=GL(,"Name",$C25)</t>
  </si>
  <si>
    <t>=GL(,"Balance",$C25,,D$6)</t>
  </si>
  <si>
    <t>=F24+1</t>
  </si>
  <si>
    <t>="000-1220-00"</t>
  </si>
  <si>
    <t>=GL(,"Name",$C26)</t>
  </si>
  <si>
    <t>=GL(,"Balance",$C26,,D$6)</t>
  </si>
  <si>
    <t>=F25+1</t>
  </si>
  <si>
    <t>="000-1220-01"</t>
  </si>
  <si>
    <t>=GL(,"Name",$C27)</t>
  </si>
  <si>
    <t>=GL(,"Balance",$C27,,D$6)</t>
  </si>
  <si>
    <t>=F26+1</t>
  </si>
  <si>
    <t>="000-1220-02"</t>
  </si>
  <si>
    <t>=GL(,"Name",$C28)</t>
  </si>
  <si>
    <t>=GL(,"Balance",$C28,,D$6)</t>
  </si>
  <si>
    <t>=F27+1</t>
  </si>
  <si>
    <t>="000-1220-03"</t>
  </si>
  <si>
    <t>=GL(,"Name",$C29)</t>
  </si>
  <si>
    <t>=GL(,"Balance",$C29,,D$6)</t>
  </si>
  <si>
    <t>=F28+1</t>
  </si>
  <si>
    <t>="000-1220-04"</t>
  </si>
  <si>
    <t>=GL(,"Name",$C30)</t>
  </si>
  <si>
    <t>=GL(,"Balance",$C30,,D$6)</t>
  </si>
  <si>
    <t>=F29+1</t>
  </si>
  <si>
    <t>="000-1230-00"</t>
  </si>
  <si>
    <t>=GL(,"Name",$C31)</t>
  </si>
  <si>
    <t>=GL(,"Balance",$C31,,D$6)</t>
  </si>
  <si>
    <t>=F30+1</t>
  </si>
  <si>
    <t>="000-1240-00"</t>
  </si>
  <si>
    <t>=GL(,"Name",$C32)</t>
  </si>
  <si>
    <t>=GL(,"Balance",$C32,,D$6)</t>
  </si>
  <si>
    <t>=F31+1</t>
  </si>
  <si>
    <t>="000-1250-00"</t>
  </si>
  <si>
    <t>=GL(,"Name",$C33)</t>
  </si>
  <si>
    <t>=GL(,"Balance",$C33,,D$6)</t>
  </si>
  <si>
    <t>=F32+1</t>
  </si>
  <si>
    <t>="000-1260-00"</t>
  </si>
  <si>
    <t>=GL(,"Name",$C34)</t>
  </si>
  <si>
    <t>=GL(,"Balance",$C34,,D$6)</t>
  </si>
  <si>
    <t>=F33+1</t>
  </si>
  <si>
    <t>="000-1270-00"</t>
  </si>
  <si>
    <t>=GL(,"Name",$C35)</t>
  </si>
  <si>
    <t>=GL(,"Balance",$C35,,D$6)</t>
  </si>
  <si>
    <t>=F34+1</t>
  </si>
  <si>
    <t>="000-1271-00"</t>
  </si>
  <si>
    <t>=GL(,"Name",$C36)</t>
  </si>
  <si>
    <t>=GL(,"Balance",$C36,,D$6)</t>
  </si>
  <si>
    <t>=F35+1</t>
  </si>
  <si>
    <t>="000-1272-00"</t>
  </si>
  <si>
    <t>=GL(,"Name",$C37)</t>
  </si>
  <si>
    <t>=GL(,"Balance",$C37,,D$6)</t>
  </si>
  <si>
    <t>=F36+1</t>
  </si>
  <si>
    <t>="000-1273-00"</t>
  </si>
  <si>
    <t>=GL(,"Name",$C38)</t>
  </si>
  <si>
    <t>=GL(,"Balance",$C38,,D$6)</t>
  </si>
  <si>
    <t>=F37+1</t>
  </si>
  <si>
    <t>="000-1274-00"</t>
  </si>
  <si>
    <t>=GL(,"Name",$C39)</t>
  </si>
  <si>
    <t>=GL(,"Balance",$C39,,D$6)</t>
  </si>
  <si>
    <t>=F38+1</t>
  </si>
  <si>
    <t>="000-1275-00"</t>
  </si>
  <si>
    <t>=GL(,"Name",$C40)</t>
  </si>
  <si>
    <t>=GL(,"Balance",$C40,,D$6)</t>
  </si>
  <si>
    <t>=F39+1</t>
  </si>
  <si>
    <t>="000-1276-00"</t>
  </si>
  <si>
    <t>=GL(,"Name",$C41)</t>
  </si>
  <si>
    <t>=GL(,"Balance",$C41,,D$6)</t>
  </si>
  <si>
    <t>=F40+1</t>
  </si>
  <si>
    <t>="000-1277-00"</t>
  </si>
  <si>
    <t>=GL(,"Name",$C42)</t>
  </si>
  <si>
    <t>=GL(,"Balance",$C42,,D$6)</t>
  </si>
  <si>
    <t>=F41+1</t>
  </si>
  <si>
    <t>="000-1280-00"</t>
  </si>
  <si>
    <t>=GL(,"Name",$C43)</t>
  </si>
  <si>
    <t>=GL(,"Balance",$C43,,D$6)</t>
  </si>
  <si>
    <t>=F42+1</t>
  </si>
  <si>
    <t>="000-1300-01"</t>
  </si>
  <si>
    <t>=GL(,"Name",$C44)</t>
  </si>
  <si>
    <t>=GL(,"Balance",$C44,,D$6)</t>
  </si>
  <si>
    <t>=F43+1</t>
  </si>
  <si>
    <t>="000-1300-02"</t>
  </si>
  <si>
    <t>=GL(,"Name",$C45)</t>
  </si>
  <si>
    <t>=GL(,"Balance",$C45,,D$6)</t>
  </si>
  <si>
    <t>=F44+1</t>
  </si>
  <si>
    <t>="000-1310-01"</t>
  </si>
  <si>
    <t>=GL(,"Name",$C46)</t>
  </si>
  <si>
    <t>=GL(,"Balance",$C46,,D$6)</t>
  </si>
  <si>
    <t>=F45+1</t>
  </si>
  <si>
    <t>="000-1312-00"</t>
  </si>
  <si>
    <t>=GL(,"Name",$C47)</t>
  </si>
  <si>
    <t>=GL(,"Balance",$C47,,D$6)</t>
  </si>
  <si>
    <t>=F46+1</t>
  </si>
  <si>
    <t>="000-1320-01"</t>
  </si>
  <si>
    <t>=GL(,"Name",$C48)</t>
  </si>
  <si>
    <t>=GL(,"Balance",$C48,,D$6)</t>
  </si>
  <si>
    <t>=F47+1</t>
  </si>
  <si>
    <t>="000-1330-01"</t>
  </si>
  <si>
    <t>=GL(,"Name",$C49)</t>
  </si>
  <si>
    <t>=GL(,"Balance",$C49,,D$6)</t>
  </si>
  <si>
    <t>=F48+1</t>
  </si>
  <si>
    <t>="000-1330-02"</t>
  </si>
  <si>
    <t>=GL(,"Name",$C50)</t>
  </si>
  <si>
    <t>=GL(,"Balance",$C50,,D$6)</t>
  </si>
  <si>
    <t>=F49+1</t>
  </si>
  <si>
    <t>="000-1330-03"</t>
  </si>
  <si>
    <t>=GL(,"Name",$C51)</t>
  </si>
  <si>
    <t>=GL(,"Balance",$C51,,D$6)</t>
  </si>
  <si>
    <t>=F50+1</t>
  </si>
  <si>
    <t>="000-1340-01"</t>
  </si>
  <si>
    <t>=GL(,"Name",$C52)</t>
  </si>
  <si>
    <t>=GL(,"Balance",$C52,,D$6)</t>
  </si>
  <si>
    <t>=F51+1</t>
  </si>
  <si>
    <t>="000-1350-02"</t>
  </si>
  <si>
    <t>=GL(,"Name",$C53)</t>
  </si>
  <si>
    <t>=GL(,"Balance",$C53,,D$6)</t>
  </si>
  <si>
    <t>=F52+1</t>
  </si>
  <si>
    <t>="000-1350-03"</t>
  </si>
  <si>
    <t>=GL(,"Name",$C54)</t>
  </si>
  <si>
    <t>=GL(,"Balance",$C54,,D$6)</t>
  </si>
  <si>
    <t>=F53+1</t>
  </si>
  <si>
    <t>="000-1350-04"</t>
  </si>
  <si>
    <t>=GL(,"Name",$C55)</t>
  </si>
  <si>
    <t>=GL(,"Balance",$C55,,D$6)</t>
  </si>
  <si>
    <t>=F54+1</t>
  </si>
  <si>
    <t>="000-1350-05"</t>
  </si>
  <si>
    <t>=GL(,"Name",$C56)</t>
  </si>
  <si>
    <t>=GL(,"Balance",$C56,,D$6)</t>
  </si>
  <si>
    <t>=F55+1</t>
  </si>
  <si>
    <t>="000-1350-06"</t>
  </si>
  <si>
    <t>=GL(,"Name",$C57)</t>
  </si>
  <si>
    <t>=GL(,"Balance",$C57,,D$6)</t>
  </si>
  <si>
    <t>=F56+1</t>
  </si>
  <si>
    <t>="000-1350-07"</t>
  </si>
  <si>
    <t>=GL(,"Name",$C58)</t>
  </si>
  <si>
    <t>=GL(,"Balance",$C58,,D$6)</t>
  </si>
  <si>
    <t>=F57+1</t>
  </si>
  <si>
    <t>="000-1350-08"</t>
  </si>
  <si>
    <t>=GL(,"Name",$C59)</t>
  </si>
  <si>
    <t>=GL(,"Balance",$C59,,D$6)</t>
  </si>
  <si>
    <t>=F58+1</t>
  </si>
  <si>
    <t>="000-1350-09"</t>
  </si>
  <si>
    <t>=GL(,"Name",$C60)</t>
  </si>
  <si>
    <t>=GL(,"Balance",$C60,,D$6)</t>
  </si>
  <si>
    <t>=F59+1</t>
  </si>
  <si>
    <t>="000-1360-01"</t>
  </si>
  <si>
    <t>=GL(,"Name",$C61)</t>
  </si>
  <si>
    <t>=GL(,"Balance",$C61,,D$6)</t>
  </si>
  <si>
    <t>=F60+1</t>
  </si>
  <si>
    <t>="000-1360-02"</t>
  </si>
  <si>
    <t>=GL(,"Name",$C62)</t>
  </si>
  <si>
    <t>=GL(,"Balance",$C62,,D$6)</t>
  </si>
  <si>
    <t>=F61+1</t>
  </si>
  <si>
    <t>="000-1360-03"</t>
  </si>
  <si>
    <t>=GL(,"Name",$C63)</t>
  </si>
  <si>
    <t>=GL(,"Balance",$C63,,D$6)</t>
  </si>
  <si>
    <t>=F62+1</t>
  </si>
  <si>
    <t>="000-1360-04"</t>
  </si>
  <si>
    <t>=GL(,"Name",$C64)</t>
  </si>
  <si>
    <t>=GL(,"Balance",$C64,,D$6)</t>
  </si>
  <si>
    <t>=F63+1</t>
  </si>
  <si>
    <t>="000-1360-05"</t>
  </si>
  <si>
    <t>=GL(,"Name",$C65)</t>
  </si>
  <si>
    <t>=GL(,"Balance",$C65,,D$6)</t>
  </si>
  <si>
    <t>=F64+1</t>
  </si>
  <si>
    <t>="000-1360-06"</t>
  </si>
  <si>
    <t>=GL(,"Name",$C66)</t>
  </si>
  <si>
    <t>=GL(,"Balance",$C66,,D$6)</t>
  </si>
  <si>
    <t>=F65+1</t>
  </si>
  <si>
    <t>="000-1360-07"</t>
  </si>
  <si>
    <t>=GL(,"Name",$C67)</t>
  </si>
  <si>
    <t>=GL(,"Balance",$C67,,D$6)</t>
  </si>
  <si>
    <t>=F66+1</t>
  </si>
  <si>
    <t>="000-1360-08"</t>
  </si>
  <si>
    <t>=GL(,"Name",$C68)</t>
  </si>
  <si>
    <t>=GL(,"Balance",$C68,,D$6)</t>
  </si>
  <si>
    <t>=F67+1</t>
  </si>
  <si>
    <t>="000-1360-09"</t>
  </si>
  <si>
    <t>=GL(,"Name",$C69)</t>
  </si>
  <si>
    <t>=GL(,"Balance",$C69,,D$6)</t>
  </si>
  <si>
    <t>=F68+1</t>
  </si>
  <si>
    <t>="000-1370-01"</t>
  </si>
  <si>
    <t>=GL(,"Name",$C70)</t>
  </si>
  <si>
    <t>=GL(,"Balance",$C70,,D$6)</t>
  </si>
  <si>
    <t>=F69+1</t>
  </si>
  <si>
    <t>="000-1370-02"</t>
  </si>
  <si>
    <t>=GL(,"Name",$C71)</t>
  </si>
  <si>
    <t>=GL(,"Balance",$C71,,D$6)</t>
  </si>
  <si>
    <t>=F70+1</t>
  </si>
  <si>
    <t>="000-1380-04"</t>
  </si>
  <si>
    <t>=GL(,"Name",$C72)</t>
  </si>
  <si>
    <t>=GL(,"Balance",$C72,,D$6)</t>
  </si>
  <si>
    <t>=F71+1</t>
  </si>
  <si>
    <t>="000-1380-05"</t>
  </si>
  <si>
    <t>=GL(,"Name",$C73)</t>
  </si>
  <si>
    <t>=GL(,"Balance",$C73,,D$6)</t>
  </si>
  <si>
    <t>=F72+1</t>
  </si>
  <si>
    <t>="000-1380-06"</t>
  </si>
  <si>
    <t>=GL(,"Name",$C74)</t>
  </si>
  <si>
    <t>=GL(,"Balance",$C74,,D$6)</t>
  </si>
  <si>
    <t>=F73+1</t>
  </si>
  <si>
    <t>="000-1380-07"</t>
  </si>
  <si>
    <t>=GL(,"Name",$C75)</t>
  </si>
  <si>
    <t>=GL(,"Balance",$C75,,D$6)</t>
  </si>
  <si>
    <t>=F74+1</t>
  </si>
  <si>
    <t>="000-1380-08"</t>
  </si>
  <si>
    <t>=GL(,"Name",$C76)</t>
  </si>
  <si>
    <t>=GL(,"Balance",$C76,,D$6)</t>
  </si>
  <si>
    <t>=F75+1</t>
  </si>
  <si>
    <t>="000-1380-09"</t>
  </si>
  <si>
    <t>=GL(,"Name",$C77)</t>
  </si>
  <si>
    <t>=GL(,"Balance",$C77,,D$6)</t>
  </si>
  <si>
    <t>=F76+1</t>
  </si>
  <si>
    <t>="000-1390-00"</t>
  </si>
  <si>
    <t>=GL(,"Name",$C78)</t>
  </si>
  <si>
    <t>=GL(,"Balance",$C78,,D$6)</t>
  </si>
  <si>
    <t>=F77+1</t>
  </si>
  <si>
    <t>="000-1400-00"</t>
  </si>
  <si>
    <t>=GL(,"Name",$C79)</t>
  </si>
  <si>
    <t>=GL(,"Balance",$C79,,D$6)</t>
  </si>
  <si>
    <t>=F78+1</t>
  </si>
  <si>
    <t>="000-1410-00"</t>
  </si>
  <si>
    <t>=GL(,"Name",$C80)</t>
  </si>
  <si>
    <t>=GL(,"Balance",$C80,,D$6)</t>
  </si>
  <si>
    <t>=F79+1</t>
  </si>
  <si>
    <t>="000-1500-00"</t>
  </si>
  <si>
    <t>=GL(,"Name",$C81)</t>
  </si>
  <si>
    <t>=GL(,"Balance",$C81,,D$6)</t>
  </si>
  <si>
    <t>=F80+1</t>
  </si>
  <si>
    <t>="000-1505-00"</t>
  </si>
  <si>
    <t>=GL(,"Name",$C82)</t>
  </si>
  <si>
    <t>=GL(,"Balance",$C82,,D$6)</t>
  </si>
  <si>
    <t>=F81+1</t>
  </si>
  <si>
    <t>="000-1510-00"</t>
  </si>
  <si>
    <t>=GL(,"Name",$C83)</t>
  </si>
  <si>
    <t>=GL(,"Balance",$C83,,D$6)</t>
  </si>
  <si>
    <t>=F82+1</t>
  </si>
  <si>
    <t>="000-1515-00"</t>
  </si>
  <si>
    <t>=GL(,"Name",$C84)</t>
  </si>
  <si>
    <t>=GL(,"Balance",$C84,,D$6)</t>
  </si>
  <si>
    <t>=F83+1</t>
  </si>
  <si>
    <t>="000-1520-00"</t>
  </si>
  <si>
    <t>=GL(,"Name",$C85)</t>
  </si>
  <si>
    <t>=GL(,"Balance",$C85,,D$6)</t>
  </si>
  <si>
    <t>=F84+1</t>
  </si>
  <si>
    <t>="000-1525-00"</t>
  </si>
  <si>
    <t>=GL(,"Name",$C86)</t>
  </si>
  <si>
    <t>=GL(,"Balance",$C86,,D$6)</t>
  </si>
  <si>
    <t>=F85+1</t>
  </si>
  <si>
    <t>="000-1530-00"</t>
  </si>
  <si>
    <t>=GL(,"Name",$C87)</t>
  </si>
  <si>
    <t>=GL(,"Balance",$C87,,D$6)</t>
  </si>
  <si>
    <t>=F86+1</t>
  </si>
  <si>
    <t>="000-1535-00"</t>
  </si>
  <si>
    <t>=GL(,"Name",$C88)</t>
  </si>
  <si>
    <t>=GL(,"Balance",$C88,,D$6)</t>
  </si>
  <si>
    <t>=F87+1</t>
  </si>
  <si>
    <t>="000-1590-00"</t>
  </si>
  <si>
    <t>=GL(,"Name",$C89)</t>
  </si>
  <si>
    <t>=GL(,"Balance",$C89,,D$6)</t>
  </si>
  <si>
    <t>=F88+1</t>
  </si>
  <si>
    <t>="000-1600-00"</t>
  </si>
  <si>
    <t>=GL(,"Name",$C90)</t>
  </si>
  <si>
    <t>=GL(,"Balance",$C90,,D$6)</t>
  </si>
  <si>
    <t>=F89+1</t>
  </si>
  <si>
    <t>="000-1610-00"</t>
  </si>
  <si>
    <t>=GL(,"Name",$C91)</t>
  </si>
  <si>
    <t>=GL(,"Balance",$C91,,D$6)</t>
  </si>
  <si>
    <t>=F90+1</t>
  </si>
  <si>
    <t>="000-1700-00"</t>
  </si>
  <si>
    <t>=GL(,"Name",$C92)</t>
  </si>
  <si>
    <t>=GL(,"Balance",$C92,,D$6)</t>
  </si>
  <si>
    <t>=F91+1</t>
  </si>
  <si>
    <t>="000-1710-00"</t>
  </si>
  <si>
    <t>=GL(,"Name",$C93)</t>
  </si>
  <si>
    <t>=GL(,"Balance",$C93,,D$6)</t>
  </si>
  <si>
    <t>=F92+1</t>
  </si>
  <si>
    <t>="000-1800-00"</t>
  </si>
  <si>
    <t>=GL(,"Name",$C94)</t>
  </si>
  <si>
    <t>=GL(,"Balance",$C94,,D$6)</t>
  </si>
  <si>
    <t>=F93+1</t>
  </si>
  <si>
    <t>="000-2014-01"</t>
  </si>
  <si>
    <t>=GL(,"Name",$C95)</t>
  </si>
  <si>
    <t>=GL(,"Balance",$C95,,D$6)</t>
  </si>
  <si>
    <t>=F94+1</t>
  </si>
  <si>
    <t>="000-2100-00"</t>
  </si>
  <si>
    <t>=GL(,"Name",$C96)</t>
  </si>
  <si>
    <t>=GL(,"Balance",$C96,,D$6)</t>
  </si>
  <si>
    <t>=F95+1</t>
  </si>
  <si>
    <t>="000-2101-00"</t>
  </si>
  <si>
    <t>=GL(,"Name",$C97)</t>
  </si>
  <si>
    <t>=GL(,"Balance",$C97,,D$6)</t>
  </si>
  <si>
    <t>=F96+1</t>
  </si>
  <si>
    <t>="000-2101-01"</t>
  </si>
  <si>
    <t>=GL(,"Name",$C98)</t>
  </si>
  <si>
    <t>=GL(,"Balance",$C98,,D$6)</t>
  </si>
  <si>
    <t>=F97+1</t>
  </si>
  <si>
    <t>="000-2101-02"</t>
  </si>
  <si>
    <t>=GL(,"Name",$C99)</t>
  </si>
  <si>
    <t>=GL(,"Balance",$C99,,D$6)</t>
  </si>
  <si>
    <t>=F98+1</t>
  </si>
  <si>
    <t>="000-2101-03"</t>
  </si>
  <si>
    <t>=GL(,"Name",$C100)</t>
  </si>
  <si>
    <t>=GL(,"Balance",$C100,,D$6)</t>
  </si>
  <si>
    <t>=F99+1</t>
  </si>
  <si>
    <t>="000-2101-04"</t>
  </si>
  <si>
    <t>=GL(,"Name",$C101)</t>
  </si>
  <si>
    <t>=GL(,"Balance",$C101,,D$6)</t>
  </si>
  <si>
    <t>=F100+1</t>
  </si>
  <si>
    <t>="000-2101-05"</t>
  </si>
  <si>
    <t>=GL(,"Name",$C102)</t>
  </si>
  <si>
    <t>=GL(,"Balance",$C102,,D$6)</t>
  </si>
  <si>
    <t>=F101+1</t>
  </si>
  <si>
    <t>="000-2101-06"</t>
  </si>
  <si>
    <t>=GL(,"Name",$C103)</t>
  </si>
  <si>
    <t>=GL(,"Balance",$C103,,D$6)</t>
  </si>
  <si>
    <t>=F102+1</t>
  </si>
  <si>
    <t>="000-2101-07"</t>
  </si>
  <si>
    <t>=GL(,"Name",$C104)</t>
  </si>
  <si>
    <t>=GL(,"Balance",$C104,,D$6)</t>
  </si>
  <si>
    <t>=F103+1</t>
  </si>
  <si>
    <t>="000-2105-00"</t>
  </si>
  <si>
    <t>=GL(,"Name",$C105)</t>
  </si>
  <si>
    <t>=GL(,"Balance",$C105,,D$6)</t>
  </si>
  <si>
    <t>=F104+1</t>
  </si>
  <si>
    <t>="000-2110-00"</t>
  </si>
  <si>
    <t>=GL(,"Name",$C106)</t>
  </si>
  <si>
    <t>=GL(,"Balance",$C106,,D$6)</t>
  </si>
  <si>
    <t>=F105+1</t>
  </si>
  <si>
    <t>="000-2111-00"</t>
  </si>
  <si>
    <t>=GL(,"Name",$C107)</t>
  </si>
  <si>
    <t>=GL(,"Balance",$C107,,D$6)</t>
  </si>
  <si>
    <t>=F106+1</t>
  </si>
  <si>
    <t>="000-2115-00"</t>
  </si>
  <si>
    <t>=GL(,"Name",$C108)</t>
  </si>
  <si>
    <t>=GL(,"Balance",$C108,,D$6)</t>
  </si>
  <si>
    <t>=F107+1</t>
  </si>
  <si>
    <t>="000-2120-00"</t>
  </si>
  <si>
    <t>=GL(,"Name",$C109)</t>
  </si>
  <si>
    <t>=GL(,"Balance",$C109,,D$6)</t>
  </si>
  <si>
    <t>=F108+1</t>
  </si>
  <si>
    <t>="000-2130-00"</t>
  </si>
  <si>
    <t>=GL(,"Name",$C110)</t>
  </si>
  <si>
    <t>=GL(,"Balance",$C110,,D$6)</t>
  </si>
  <si>
    <t>=F109+1</t>
  </si>
  <si>
    <t>="000-2140-00"</t>
  </si>
  <si>
    <t>=GL(,"Name",$C111)</t>
  </si>
  <si>
    <t>=GL(,"Balance",$C111,,D$6)</t>
  </si>
  <si>
    <t>=F110+1</t>
  </si>
  <si>
    <t>="000-2150-00"</t>
  </si>
  <si>
    <t>=GL(,"Name",$C112)</t>
  </si>
  <si>
    <t>=GL(,"Balance",$C112,,D$6)</t>
  </si>
  <si>
    <t>=F111+1</t>
  </si>
  <si>
    <t>="000-2161-00"</t>
  </si>
  <si>
    <t>=GL(,"Name",$C113)</t>
  </si>
  <si>
    <t>=GL(,"Balance",$C113,,D$6)</t>
  </si>
  <si>
    <t>=F112+1</t>
  </si>
  <si>
    <t>="000-2162-00"</t>
  </si>
  <si>
    <t>=GL(,"Name",$C114)</t>
  </si>
  <si>
    <t>=GL(,"Balance",$C114,,D$6)</t>
  </si>
  <si>
    <t>=F113+1</t>
  </si>
  <si>
    <t>="000-2163-00"</t>
  </si>
  <si>
    <t>=GL(,"Name",$C115)</t>
  </si>
  <si>
    <t>=GL(,"Balance",$C115,,D$6)</t>
  </si>
  <si>
    <t>=F114+1</t>
  </si>
  <si>
    <t>="000-2164-00"</t>
  </si>
  <si>
    <t>=GL(,"Name",$C116)</t>
  </si>
  <si>
    <t>=GL(,"Balance",$C116,,D$6)</t>
  </si>
  <si>
    <t>=F115+1</t>
  </si>
  <si>
    <t>="000-2165-00"</t>
  </si>
  <si>
    <t>=GL(,"Name",$C117)</t>
  </si>
  <si>
    <t>=GL(,"Balance",$C117,,D$6)</t>
  </si>
  <si>
    <t>=F116+1</t>
  </si>
  <si>
    <t>="000-2166-00"</t>
  </si>
  <si>
    <t>=GL(,"Name",$C118)</t>
  </si>
  <si>
    <t>=GL(,"Balance",$C118,,D$6)</t>
  </si>
  <si>
    <t>=F117+1</t>
  </si>
  <si>
    <t>="000-2170-00"</t>
  </si>
  <si>
    <t>=GL(,"Name",$C119)</t>
  </si>
  <si>
    <t>=GL(,"Balance",$C119,,D$6)</t>
  </si>
  <si>
    <t>=F118+1</t>
  </si>
  <si>
    <t>="000-2175-00"</t>
  </si>
  <si>
    <t>=GL(,"Name",$C120)</t>
  </si>
  <si>
    <t>=GL(,"Balance",$C120,,D$6)</t>
  </si>
  <si>
    <t>=F119+1</t>
  </si>
  <si>
    <t>="000-2180-00"</t>
  </si>
  <si>
    <t>=GL(,"Name",$C121)</t>
  </si>
  <si>
    <t>=GL(,"Balance",$C121,,D$6)</t>
  </si>
  <si>
    <t>=F120+1</t>
  </si>
  <si>
    <t>="000-2191-00"</t>
  </si>
  <si>
    <t>=GL(,"Name",$C122)</t>
  </si>
  <si>
    <t>=GL(,"Balance",$C122,,D$6)</t>
  </si>
  <si>
    <t>=F121+1</t>
  </si>
  <si>
    <t>="000-2192-00"</t>
  </si>
  <si>
    <t>=GL(,"Name",$C123)</t>
  </si>
  <si>
    <t>=GL(,"Balance",$C123,,D$6)</t>
  </si>
  <si>
    <t>=F122+1</t>
  </si>
  <si>
    <t>="000-2193-00"</t>
  </si>
  <si>
    <t>=GL(,"Name",$C124)</t>
  </si>
  <si>
    <t>=GL(,"Balance",$C124,,D$6)</t>
  </si>
  <si>
    <t>=F123+1</t>
  </si>
  <si>
    <t>="000-2194-00"</t>
  </si>
  <si>
    <t>=GL(,"Name",$C125)</t>
  </si>
  <si>
    <t>=GL(,"Balance",$C125,,D$6)</t>
  </si>
  <si>
    <t>=F124+1</t>
  </si>
  <si>
    <t>="000-2195-00"</t>
  </si>
  <si>
    <t>=GL(,"Name",$C126)</t>
  </si>
  <si>
    <t>=GL(,"Balance",$C126,,D$6)</t>
  </si>
  <si>
    <t>=F125+1</t>
  </si>
  <si>
    <t>="000-2200-00"</t>
  </si>
  <si>
    <t>=GL(,"Name",$C127)</t>
  </si>
  <si>
    <t>=GL(,"Balance",$C127,,D$6)</t>
  </si>
  <si>
    <t>=F126+1</t>
  </si>
  <si>
    <t>="000-2210-00"</t>
  </si>
  <si>
    <t>=GL(,"Name",$C128)</t>
  </si>
  <si>
    <t>=GL(,"Balance",$C128,,D$6)</t>
  </si>
  <si>
    <t>=F127+1</t>
  </si>
  <si>
    <t>="000-2220-00"</t>
  </si>
  <si>
    <t>=GL(,"Name",$C129)</t>
  </si>
  <si>
    <t>=GL(,"Balance",$C129,,D$6)</t>
  </si>
  <si>
    <t>=F128+1</t>
  </si>
  <si>
    <t>="000-2230-00"</t>
  </si>
  <si>
    <t>=GL(,"Name",$C130)</t>
  </si>
  <si>
    <t>=GL(,"Balance",$C130,,D$6)</t>
  </si>
  <si>
    <t>=F129+1</t>
  </si>
  <si>
    <t>="000-2240-00"</t>
  </si>
  <si>
    <t>=GL(,"Name",$C131)</t>
  </si>
  <si>
    <t>=GL(,"Balance",$C131,,D$6)</t>
  </si>
  <si>
    <t>=F130+1</t>
  </si>
  <si>
    <t>="000-2250-00"</t>
  </si>
  <si>
    <t>=GL(,"Name",$C132)</t>
  </si>
  <si>
    <t>=GL(,"Balance",$C132,,D$6)</t>
  </si>
  <si>
    <t>=F131+1</t>
  </si>
  <si>
    <t>="000-2260-00"</t>
  </si>
  <si>
    <t>=GL(,"Name",$C133)</t>
  </si>
  <si>
    <t>=GL(,"Balance",$C133,,D$6)</t>
  </si>
  <si>
    <t>=F132+1</t>
  </si>
  <si>
    <t>="000-2261-00"</t>
  </si>
  <si>
    <t>=GL(,"Name",$C134)</t>
  </si>
  <si>
    <t>=GL(,"Balance",$C134,,D$6)</t>
  </si>
  <si>
    <t>=F133+1</t>
  </si>
  <si>
    <t>="000-2270-00"</t>
  </si>
  <si>
    <t>=GL(,"Name",$C135)</t>
  </si>
  <si>
    <t>=GL(,"Balance",$C135,,D$6)</t>
  </si>
  <si>
    <t>=F134+1</t>
  </si>
  <si>
    <t>="000-2271-00"</t>
  </si>
  <si>
    <t>=GL(,"Name",$C136)</t>
  </si>
  <si>
    <t>=GL(,"Balance",$C136,,D$6)</t>
  </si>
  <si>
    <t>=F135+1</t>
  </si>
  <si>
    <t>="000-2272-00"</t>
  </si>
  <si>
    <t>=GL(,"Name",$C137)</t>
  </si>
  <si>
    <t>=GL(,"Balance",$C137,,D$6)</t>
  </si>
  <si>
    <t>=F136+1</t>
  </si>
  <si>
    <t>="000-2273-00"</t>
  </si>
  <si>
    <t>=GL(,"Name",$C138)</t>
  </si>
  <si>
    <t>=GL(,"Balance",$C138,,D$6)</t>
  </si>
  <si>
    <t>=F137+1</t>
  </si>
  <si>
    <t>="000-2274-00"</t>
  </si>
  <si>
    <t>=GL(,"Name",$C139)</t>
  </si>
  <si>
    <t>=GL(,"Balance",$C139,,D$6)</t>
  </si>
  <si>
    <t>=F138+1</t>
  </si>
  <si>
    <t>="000-2275-00"</t>
  </si>
  <si>
    <t>=GL(,"Name",$C140)</t>
  </si>
  <si>
    <t>=GL(,"Balance",$C140,,D$6)</t>
  </si>
  <si>
    <t>=F139+1</t>
  </si>
  <si>
    <t>="000-2276-00"</t>
  </si>
  <si>
    <t>=GL(,"Name",$C141)</t>
  </si>
  <si>
    <t>=GL(,"Balance",$C141,,D$6)</t>
  </si>
  <si>
    <t>=F140+1</t>
  </si>
  <si>
    <t>="000-2277-00"</t>
  </si>
  <si>
    <t>=GL(,"Name",$C142)</t>
  </si>
  <si>
    <t>=GL(,"Balance",$C142,,D$6)</t>
  </si>
  <si>
    <t>=F141+1</t>
  </si>
  <si>
    <t>="000-2280-00"</t>
  </si>
  <si>
    <t>=GL(,"Name",$C143)</t>
  </si>
  <si>
    <t>=GL(,"Balance",$C143,,D$6)</t>
  </si>
  <si>
    <t>=F142+1</t>
  </si>
  <si>
    <t>="000-2281-00"</t>
  </si>
  <si>
    <t>=GL(,"Name",$C144)</t>
  </si>
  <si>
    <t>=GL(,"Balance",$C144,,D$6)</t>
  </si>
  <si>
    <t>=F143+1</t>
  </si>
  <si>
    <t>="000-2282-00"</t>
  </si>
  <si>
    <t>=GL(,"Name",$C145)</t>
  </si>
  <si>
    <t>=GL(,"Balance",$C145,,D$6)</t>
  </si>
  <si>
    <t>=F144+1</t>
  </si>
  <si>
    <t>="000-2283-00"</t>
  </si>
  <si>
    <t>=GL(,"Name",$C146)</t>
  </si>
  <si>
    <t>=GL(,"Balance",$C146,,D$6)</t>
  </si>
  <si>
    <t>=F145+1</t>
  </si>
  <si>
    <t>="000-2284-00"</t>
  </si>
  <si>
    <t>=GL(,"Name",$C147)</t>
  </si>
  <si>
    <t>=GL(,"Balance",$C147,,D$6)</t>
  </si>
  <si>
    <t>=F146+1</t>
  </si>
  <si>
    <t>="000-2300-00"</t>
  </si>
  <si>
    <t>=GL(,"Name",$C148)</t>
  </si>
  <si>
    <t>=GL(,"Balance",$C148,,D$6)</t>
  </si>
  <si>
    <t>=F147+1</t>
  </si>
  <si>
    <t>="000-2310-00"</t>
  </si>
  <si>
    <t>=GL(,"Name",$C149)</t>
  </si>
  <si>
    <t>=GL(,"Balance",$C149,,D$6)</t>
  </si>
  <si>
    <t>=F148+1</t>
  </si>
  <si>
    <t>="000-2311-00"</t>
  </si>
  <si>
    <t>=GL(,"Name",$C150)</t>
  </si>
  <si>
    <t>=GL(,"Balance",$C150,,D$6)</t>
  </si>
  <si>
    <t>=F149+1</t>
  </si>
  <si>
    <t>="000-2315-00"</t>
  </si>
  <si>
    <t>=GL(,"Name",$C151)</t>
  </si>
  <si>
    <t>=GL(,"Balance",$C151,,D$6)</t>
  </si>
  <si>
    <t>=F150+1</t>
  </si>
  <si>
    <t>="000-2320-00"</t>
  </si>
  <si>
    <t>=GL(,"Name",$C152)</t>
  </si>
  <si>
    <t>=GL(,"Balance",$C152,,D$6)</t>
  </si>
  <si>
    <t>=F151+1</t>
  </si>
  <si>
    <t>="000-2321-00"</t>
  </si>
  <si>
    <t>=GL(,"Name",$C153)</t>
  </si>
  <si>
    <t>=GL(,"Balance",$C153,,D$6)</t>
  </si>
  <si>
    <t>=F152+1</t>
  </si>
  <si>
    <t>="000-2322-00"</t>
  </si>
  <si>
    <t>=GL(,"Name",$C154)</t>
  </si>
  <si>
    <t>=GL(,"Balance",$C154,,D$6)</t>
  </si>
  <si>
    <t>=F153+1</t>
  </si>
  <si>
    <t>="000-2323-00"</t>
  </si>
  <si>
    <t>=GL(,"Name",$C155)</t>
  </si>
  <si>
    <t>=GL(,"Balance",$C155,,D$6)</t>
  </si>
  <si>
    <t>=F154+1</t>
  </si>
  <si>
    <t>="000-2330-00"</t>
  </si>
  <si>
    <t>=GL(,"Name",$C156)</t>
  </si>
  <si>
    <t>=GL(,"Balance",$C156,,D$6)</t>
  </si>
  <si>
    <t>=F155+1</t>
  </si>
  <si>
    <t>="000-2340-00"</t>
  </si>
  <si>
    <t>=GL(,"Name",$C157)</t>
  </si>
  <si>
    <t>=GL(,"Balance",$C157,,D$6)</t>
  </si>
  <si>
    <t>=F156+1</t>
  </si>
  <si>
    <t>="000-2341-00"</t>
  </si>
  <si>
    <t>=GL(,"Name",$C158)</t>
  </si>
  <si>
    <t>=GL(,"Balance",$C158,,D$6)</t>
  </si>
  <si>
    <t>=F157+1</t>
  </si>
  <si>
    <t>="000-2350-00"</t>
  </si>
  <si>
    <t>=GL(,"Name",$C159)</t>
  </si>
  <si>
    <t>=GL(,"Balance",$C159,,D$6)</t>
  </si>
  <si>
    <t>=F158+1</t>
  </si>
  <si>
    <t>="000-2351-00"</t>
  </si>
  <si>
    <t>=GL(,"Name",$C160)</t>
  </si>
  <si>
    <t>=GL(,"Balance",$C160,,D$6)</t>
  </si>
  <si>
    <t>=F159+1</t>
  </si>
  <si>
    <t>="000-2400-00"</t>
  </si>
  <si>
    <t>=GL(,"Name",$C161)</t>
  </si>
  <si>
    <t>=GL(,"Balance",$C161,,D$6)</t>
  </si>
  <si>
    <t>=F160+1</t>
  </si>
  <si>
    <t>="000-2410-00"</t>
  </si>
  <si>
    <t>=GL(,"Name",$C162)</t>
  </si>
  <si>
    <t>=GL(,"Balance",$C162,,D$6)</t>
  </si>
  <si>
    <t>=F161+1</t>
  </si>
  <si>
    <t>="000-2420-00"</t>
  </si>
  <si>
    <t>=GL(,"Name",$C163)</t>
  </si>
  <si>
    <t>=GL(,"Balance",$C163,,D$6)</t>
  </si>
  <si>
    <t>=F162+1</t>
  </si>
  <si>
    <t>="000-2430-00"</t>
  </si>
  <si>
    <t>=GL(,"Name",$C164)</t>
  </si>
  <si>
    <t>=GL(,"Balance",$C164,,D$6)</t>
  </si>
  <si>
    <t>=F163+1</t>
  </si>
  <si>
    <t>="000-2500-00"</t>
  </si>
  <si>
    <t>=GL(,"Name",$C165)</t>
  </si>
  <si>
    <t>=GL(,"Balance",$C165,,D$6)</t>
  </si>
  <si>
    <t>=F164+1</t>
  </si>
  <si>
    <t>="000-2600-00"</t>
  </si>
  <si>
    <t>=GL(,"Name",$C166)</t>
  </si>
  <si>
    <t>=GL(,"Balance",$C166,,D$6)</t>
  </si>
  <si>
    <t>=F165+1</t>
  </si>
  <si>
    <t>="000-2610-00"</t>
  </si>
  <si>
    <t>=GL(,"Name",$C167)</t>
  </si>
  <si>
    <t>=GL(,"Balance",$C167,,D$6)</t>
  </si>
  <si>
    <t>=F166+1</t>
  </si>
  <si>
    <t>="000-2700-00"</t>
  </si>
  <si>
    <t>=GL(,"Name",$C168)</t>
  </si>
  <si>
    <t>=GL(,"Balance",$C168,,D$6)</t>
  </si>
  <si>
    <t>=F167+1</t>
  </si>
  <si>
    <t>="000-2710-00"</t>
  </si>
  <si>
    <t>=GL(,"Name",$C169)</t>
  </si>
  <si>
    <t>=GL(,"Balance",$C169,,D$6)</t>
  </si>
  <si>
    <t>=F168+1</t>
  </si>
  <si>
    <t>="000-2720-00"</t>
  </si>
  <si>
    <t>=GL(,"Name",$C170)</t>
  </si>
  <si>
    <t>=GL(,"Balance",$C170,,D$6)</t>
  </si>
  <si>
    <t>=F169+1</t>
  </si>
  <si>
    <t>="000-2730-00"</t>
  </si>
  <si>
    <t>=GL(,"Name",$C171)</t>
  </si>
  <si>
    <t>=GL(,"Balance",$C171,,D$6)</t>
  </si>
  <si>
    <t>=F170+1</t>
  </si>
  <si>
    <t>="000-2735-00"</t>
  </si>
  <si>
    <t>=GL(,"Name",$C172)</t>
  </si>
  <si>
    <t>=GL(,"Balance",$C172,,D$6)</t>
  </si>
  <si>
    <t>=F171+1</t>
  </si>
  <si>
    <t>="000-2740-00"</t>
  </si>
  <si>
    <t>=GL(,"Name",$C173)</t>
  </si>
  <si>
    <t>=GL(,"Balance",$C173,,D$6)</t>
  </si>
  <si>
    <t>=F172+1</t>
  </si>
  <si>
    <t>="000-2800-00"</t>
  </si>
  <si>
    <t>=GL(,"Name",$C174)</t>
  </si>
  <si>
    <t>=GL(,"Balance",$C174,,D$6)</t>
  </si>
  <si>
    <t>=F173+1</t>
  </si>
  <si>
    <t>="000-2810-00"</t>
  </si>
  <si>
    <t>=GL(,"Name",$C175)</t>
  </si>
  <si>
    <t>=GL(,"Balance",$C175,,D$6)</t>
  </si>
  <si>
    <t>=F174+1</t>
  </si>
  <si>
    <t>="000-2820-00"</t>
  </si>
  <si>
    <t>=GL(,"Name",$C176)</t>
  </si>
  <si>
    <t>=GL(,"Balance",$C176,,D$6)</t>
  </si>
  <si>
    <t>=F175+1</t>
  </si>
  <si>
    <t>="000-2900-00"</t>
  </si>
  <si>
    <t>=GL(,"Name",$C177)</t>
  </si>
  <si>
    <t>=GL(,"Balance",$C177,,D$6)</t>
  </si>
  <si>
    <t>=F176+1</t>
  </si>
  <si>
    <t>="000-2910-00"</t>
  </si>
  <si>
    <t>=GL(,"Name",$C178)</t>
  </si>
  <si>
    <t>=GL(,"Balance",$C178,,D$6)</t>
  </si>
  <si>
    <t>=F177+1</t>
  </si>
  <si>
    <t>="000-2920-00"</t>
  </si>
  <si>
    <t>=GL(,"Name",$C179)</t>
  </si>
  <si>
    <t>=GL(,"Balance",$C179,,D$6)</t>
  </si>
  <si>
    <t>=F178+1</t>
  </si>
  <si>
    <t>="000-2930-00"</t>
  </si>
  <si>
    <t>=GL(,"Name",$C180)</t>
  </si>
  <si>
    <t>=GL(,"Balance",$C180,,D$6)</t>
  </si>
  <si>
    <t>=F179+1</t>
  </si>
  <si>
    <t>="000-2940-00"</t>
  </si>
  <si>
    <t>=GL(,"Name",$C181)</t>
  </si>
  <si>
    <t>=GL(,"Balance",$C181,,D$6)</t>
  </si>
  <si>
    <t>=F180+1</t>
  </si>
  <si>
    <t>="000-2950-00"</t>
  </si>
  <si>
    <t>=GL(,"Name",$C182)</t>
  </si>
  <si>
    <t>=GL(,"Balance",$C182,,D$6)</t>
  </si>
  <si>
    <t>=F181+1</t>
  </si>
  <si>
    <t>="000-2950-01"</t>
  </si>
  <si>
    <t>=GL(,"Name",$C183)</t>
  </si>
  <si>
    <t>=GL(,"Balance",$C183,,D$6)</t>
  </si>
  <si>
    <t>=F182+1</t>
  </si>
  <si>
    <t>="000-3010-00"</t>
  </si>
  <si>
    <t>=GL(,"Name",$C184)</t>
  </si>
  <si>
    <t>=GL(,"Balance",$C184,,D$6)</t>
  </si>
  <si>
    <t>=F183+1</t>
  </si>
  <si>
    <t>="000-3020-00"</t>
  </si>
  <si>
    <t>=GL(,"Name",$C185)</t>
  </si>
  <si>
    <t>=GL(,"Balance",$C185,,D$6)</t>
  </si>
  <si>
    <t>=F184+1</t>
  </si>
  <si>
    <t>="000-3030-00"</t>
  </si>
  <si>
    <t>=GL(,"Name",$C186)</t>
  </si>
  <si>
    <t>=GL(,"Balance",$C186,,D$6)</t>
  </si>
  <si>
    <t>=F185+1</t>
  </si>
  <si>
    <t>="000-4100-00"</t>
  </si>
  <si>
    <t>=GL(,"Name",$C187)</t>
  </si>
  <si>
    <t>=GL(,"Balance",$C187,,D$6)</t>
  </si>
  <si>
    <t>=F186+1</t>
  </si>
  <si>
    <t>="000-4110-01"</t>
  </si>
  <si>
    <t>=GL(,"Name",$C188)</t>
  </si>
  <si>
    <t>=GL(,"Balance",$C188,,D$6)</t>
  </si>
  <si>
    <t>=F187+1</t>
  </si>
  <si>
    <t>="000-4110-02"</t>
  </si>
  <si>
    <t>=GL(,"Name",$C189)</t>
  </si>
  <si>
    <t>=GL(,"Balance",$C189,,D$6)</t>
  </si>
  <si>
    <t>=F188+1</t>
  </si>
  <si>
    <t>="000-4111-01"</t>
  </si>
  <si>
    <t>=GL(,"Name",$C190)</t>
  </si>
  <si>
    <t>=GL(,"Balance",$C190,,D$6)</t>
  </si>
  <si>
    <t>=F189+1</t>
  </si>
  <si>
    <t>="000-4111-02"</t>
  </si>
  <si>
    <t>=GL(,"Name",$C191)</t>
  </si>
  <si>
    <t>=GL(,"Balance",$C191,,D$6)</t>
  </si>
  <si>
    <t>=F190+1</t>
  </si>
  <si>
    <t>="000-4112-01"</t>
  </si>
  <si>
    <t>=GL(,"Name",$C192)</t>
  </si>
  <si>
    <t>=GL(,"Balance",$C192,,D$6)</t>
  </si>
  <si>
    <t>=F191+1</t>
  </si>
  <si>
    <t>="000-4112-02"</t>
  </si>
  <si>
    <t>=GL(,"Name",$C193)</t>
  </si>
  <si>
    <t>=GL(,"Balance",$C193,,D$6)</t>
  </si>
  <si>
    <t>=F192+1</t>
  </si>
  <si>
    <t>="000-4114-01"</t>
  </si>
  <si>
    <t>=GL(,"Name",$C194)</t>
  </si>
  <si>
    <t>=GL(,"Balance",$C194,,D$6)</t>
  </si>
  <si>
    <t>=F193+1</t>
  </si>
  <si>
    <t>="000-4114-02"</t>
  </si>
  <si>
    <t>=GL(,"Name",$C195)</t>
  </si>
  <si>
    <t>=GL(,"Balance",$C195,,D$6)</t>
  </si>
  <si>
    <t>=F194+1</t>
  </si>
  <si>
    <t>="000-4115-01"</t>
  </si>
  <si>
    <t>=GL(,"Name",$C196)</t>
  </si>
  <si>
    <t>=GL(,"Balance",$C196,,D$6)</t>
  </si>
  <si>
    <t>=F195+1</t>
  </si>
  <si>
    <t>="000-4115-02"</t>
  </si>
  <si>
    <t>=GL(,"Name",$C197)</t>
  </si>
  <si>
    <t>=GL(,"Balance",$C197,,D$6)</t>
  </si>
  <si>
    <t>=F196+1</t>
  </si>
  <si>
    <t>="000-4116-01"</t>
  </si>
  <si>
    <t>=GL(,"Name",$C198)</t>
  </si>
  <si>
    <t>=GL(,"Balance",$C198,,D$6)</t>
  </si>
  <si>
    <t>=F197+1</t>
  </si>
  <si>
    <t>="000-4116-02"</t>
  </si>
  <si>
    <t>=GL(,"Name",$C199)</t>
  </si>
  <si>
    <t>=GL(,"Balance",$C199,,D$6)</t>
  </si>
  <si>
    <t>=F198+1</t>
  </si>
  <si>
    <t>="000-4117-01"</t>
  </si>
  <si>
    <t>=GL(,"Name",$C200)</t>
  </si>
  <si>
    <t>=GL(,"Balance",$C200,,D$6)</t>
  </si>
  <si>
    <t>=F199+1</t>
  </si>
  <si>
    <t>="000-4117-02"</t>
  </si>
  <si>
    <t>=GL(,"Name",$C201)</t>
  </si>
  <si>
    <t>=GL(,"Balance",$C201,,D$6)</t>
  </si>
  <si>
    <t>=F200+1</t>
  </si>
  <si>
    <t>="000-4120-00"</t>
  </si>
  <si>
    <t>=GL(,"Name",$C202)</t>
  </si>
  <si>
    <t>=GL(,"Balance",$C202,,D$6)</t>
  </si>
  <si>
    <t>=F201+1</t>
  </si>
  <si>
    <t>="000-4121-00"</t>
  </si>
  <si>
    <t>=GL(,"Name",$C203)</t>
  </si>
  <si>
    <t>=GL(,"Balance",$C203,,D$6)</t>
  </si>
  <si>
    <t>=F202+1</t>
  </si>
  <si>
    <t>="000-4122-00"</t>
  </si>
  <si>
    <t>=GL(,"Name",$C204)</t>
  </si>
  <si>
    <t>=GL(,"Balance",$C204,,D$6)</t>
  </si>
  <si>
    <t>=F203+1</t>
  </si>
  <si>
    <t>="000-4124-00"</t>
  </si>
  <si>
    <t>=GL(,"Name",$C205)</t>
  </si>
  <si>
    <t>=GL(,"Balance",$C205,,D$6)</t>
  </si>
  <si>
    <t>=F204+1</t>
  </si>
  <si>
    <t>="000-4125-00"</t>
  </si>
  <si>
    <t>=GL(,"Name",$C206)</t>
  </si>
  <si>
    <t>=GL(,"Balance",$C206,,D$6)</t>
  </si>
  <si>
    <t>=F205+1</t>
  </si>
  <si>
    <t>="000-4126-00"</t>
  </si>
  <si>
    <t>=GL(,"Name",$C207)</t>
  </si>
  <si>
    <t>=GL(,"Balance",$C207,,D$6)</t>
  </si>
  <si>
    <t>=F206+1</t>
  </si>
  <si>
    <t>="000-4127-00"</t>
  </si>
  <si>
    <t>=GL(,"Name",$C208)</t>
  </si>
  <si>
    <t>=GL(,"Balance",$C208,,D$6)</t>
  </si>
  <si>
    <t>=F207+1</t>
  </si>
  <si>
    <t>="000-4130-00"</t>
  </si>
  <si>
    <t>=GL(,"Name",$C209)</t>
  </si>
  <si>
    <t>=GL(,"Balance",$C209,,D$6)</t>
  </si>
  <si>
    <t>=F208+1</t>
  </si>
  <si>
    <t>="000-4131-00"</t>
  </si>
  <si>
    <t>=GL(,"Name",$C210)</t>
  </si>
  <si>
    <t>=GL(,"Balance",$C210,,D$6)</t>
  </si>
  <si>
    <t>=F209+1</t>
  </si>
  <si>
    <t>="000-4132-00"</t>
  </si>
  <si>
    <t>=GL(,"Name",$C211)</t>
  </si>
  <si>
    <t>=GL(,"Balance",$C211,,D$6)</t>
  </si>
  <si>
    <t>=F210+1</t>
  </si>
  <si>
    <t>="000-4134-00"</t>
  </si>
  <si>
    <t>=GL(,"Name",$C212)</t>
  </si>
  <si>
    <t>=GL(,"Balance",$C212,,D$6)</t>
  </si>
  <si>
    <t>=F211+1</t>
  </si>
  <si>
    <t>="000-4135-00"</t>
  </si>
  <si>
    <t>=GL(,"Name",$C213)</t>
  </si>
  <si>
    <t>=GL(,"Balance",$C213,,D$6)</t>
  </si>
  <si>
    <t>=F212+1</t>
  </si>
  <si>
    <t>="000-4136-00"</t>
  </si>
  <si>
    <t>=GL(,"Name",$C214)</t>
  </si>
  <si>
    <t>=GL(,"Balance",$C214,,D$6)</t>
  </si>
  <si>
    <t>=F213+1</t>
  </si>
  <si>
    <t>="000-4137-00"</t>
  </si>
  <si>
    <t>=GL(,"Name",$C215)</t>
  </si>
  <si>
    <t>=GL(,"Balance",$C215,,D$6)</t>
  </si>
  <si>
    <t>=F214+1</t>
  </si>
  <si>
    <t>="000-4140-00"</t>
  </si>
  <si>
    <t>=GL(,"Name",$C216)</t>
  </si>
  <si>
    <t>=GL(,"Balance",$C216,,D$6)</t>
  </si>
  <si>
    <t>=F215+1</t>
  </si>
  <si>
    <t>="000-4141-00"</t>
  </si>
  <si>
    <t>=GL(,"Name",$C217)</t>
  </si>
  <si>
    <t>=GL(,"Balance",$C217,,D$6)</t>
  </si>
  <si>
    <t>=F216+1</t>
  </si>
  <si>
    <t>="000-4142-00"</t>
  </si>
  <si>
    <t>=GL(,"Name",$C218)</t>
  </si>
  <si>
    <t>=GL(,"Balance",$C218,,D$6)</t>
  </si>
  <si>
    <t>=F217+1</t>
  </si>
  <si>
    <t>="000-4176-00"</t>
  </si>
  <si>
    <t>=GL(,"Name",$C219)</t>
  </si>
  <si>
    <t>=GL(,"Balance",$C219,,D$6)</t>
  </si>
  <si>
    <t>=F218+1</t>
  </si>
  <si>
    <t>="000-4177-00"</t>
  </si>
  <si>
    <t>=GL(,"Name",$C220)</t>
  </si>
  <si>
    <t>=GL(,"Balance",$C220,,D$6)</t>
  </si>
  <si>
    <t>=F219+1</t>
  </si>
  <si>
    <t>="000-4178-00"</t>
  </si>
  <si>
    <t>=GL(,"Name",$C221)</t>
  </si>
  <si>
    <t>=GL(,"Balance",$C221,,D$6)</t>
  </si>
  <si>
    <t>=F220+1</t>
  </si>
  <si>
    <t>="000-4179-00"</t>
  </si>
  <si>
    <t>=GL(,"Name",$C222)</t>
  </si>
  <si>
    <t>=GL(,"Balance",$C222,,D$6)</t>
  </si>
  <si>
    <t>=F221+1</t>
  </si>
  <si>
    <t>="000-4180-00"</t>
  </si>
  <si>
    <t>=GL(,"Name",$C223)</t>
  </si>
  <si>
    <t>=GL(,"Balance",$C223,,D$6)</t>
  </si>
  <si>
    <t>=F222+1</t>
  </si>
  <si>
    <t>="000-4181-00"</t>
  </si>
  <si>
    <t>=GL(,"Name",$C224)</t>
  </si>
  <si>
    <t>=GL(,"Balance",$C224,,D$6)</t>
  </si>
  <si>
    <t>=F223+1</t>
  </si>
  <si>
    <t>="000-4182-00"</t>
  </si>
  <si>
    <t>=GL(,"Name",$C225)</t>
  </si>
  <si>
    <t>=GL(,"Balance",$C225,,D$6)</t>
  </si>
  <si>
    <t>=F224+1</t>
  </si>
  <si>
    <t>="000-4183-00"</t>
  </si>
  <si>
    <t>=GL(,"Name",$C226)</t>
  </si>
  <si>
    <t>=GL(,"Balance",$C226,,D$6)</t>
  </si>
  <si>
    <t>=F225+1</t>
  </si>
  <si>
    <t>="000-4184-00"</t>
  </si>
  <si>
    <t>=GL(,"Name",$C227)</t>
  </si>
  <si>
    <t>=GL(,"Balance",$C227,,D$6)</t>
  </si>
  <si>
    <t>=F226+1</t>
  </si>
  <si>
    <t>="000-4185-00"</t>
  </si>
  <si>
    <t>=GL(,"Name",$C228)</t>
  </si>
  <si>
    <t>=GL(,"Balance",$C228,,D$6)</t>
  </si>
  <si>
    <t>=F227+1</t>
  </si>
  <si>
    <t>="000-4186-00"</t>
  </si>
  <si>
    <t>=GL(,"Name",$C229)</t>
  </si>
  <si>
    <t>=GL(,"Balance",$C229,,D$6)</t>
  </si>
  <si>
    <t>=F228+1</t>
  </si>
  <si>
    <t>="000-4187-00"</t>
  </si>
  <si>
    <t>=GL(,"Name",$C230)</t>
  </si>
  <si>
    <t>=GL(,"Balance",$C230,,D$6)</t>
  </si>
  <si>
    <t>=F229+1</t>
  </si>
  <si>
    <t>="000-4188-00"</t>
  </si>
  <si>
    <t>=GL(,"Name",$C231)</t>
  </si>
  <si>
    <t>=GL(,"Balance",$C231,,D$6)</t>
  </si>
  <si>
    <t>=F230+1</t>
  </si>
  <si>
    <t>="000-4189-00"</t>
  </si>
  <si>
    <t>=GL(,"Name",$C232)</t>
  </si>
  <si>
    <t>=GL(,"Balance",$C232,,D$6)</t>
  </si>
  <si>
    <t>=F231+1</t>
  </si>
  <si>
    <t>="000-4190-00"</t>
  </si>
  <si>
    <t>=GL(,"Name",$C233)</t>
  </si>
  <si>
    <t>=GL(,"Balance",$C233,,D$6)</t>
  </si>
  <si>
    <t>=F232+1</t>
  </si>
  <si>
    <t>="000-4191-00"</t>
  </si>
  <si>
    <t>=GL(,"Name",$C234)</t>
  </si>
  <si>
    <t>=GL(,"Balance",$C234,,D$6)</t>
  </si>
  <si>
    <t>=F233+1</t>
  </si>
  <si>
    <t>="000-4192-00"</t>
  </si>
  <si>
    <t>=GL(,"Name",$C235)</t>
  </si>
  <si>
    <t>=GL(,"Balance",$C235,,D$6)</t>
  </si>
  <si>
    <t>=F234+1</t>
  </si>
  <si>
    <t>="000-4200-00"</t>
  </si>
  <si>
    <t>=GL(,"Name",$C236)</t>
  </si>
  <si>
    <t>=GL(,"Balance",$C236,,D$6)</t>
  </si>
  <si>
    <t>=F235+1</t>
  </si>
  <si>
    <t>="000-4210-01"</t>
  </si>
  <si>
    <t>=GL(,"Name",$C237)</t>
  </si>
  <si>
    <t>=GL(,"Balance",$C237,,D$6)</t>
  </si>
  <si>
    <t>=F236+1</t>
  </si>
  <si>
    <t>="000-4280-01"</t>
  </si>
  <si>
    <t>=GL(,"Name",$C238)</t>
  </si>
  <si>
    <t>=GL(,"Balance",$C238,,D$6)</t>
  </si>
  <si>
    <t>=F237+1</t>
  </si>
  <si>
    <t>="000-4500-01"</t>
  </si>
  <si>
    <t>=GL(,"Name",$C239)</t>
  </si>
  <si>
    <t>=GL(,"Balance",$C239,,D$6)</t>
  </si>
  <si>
    <t>=F238+1</t>
  </si>
  <si>
    <t>="000-4510-01"</t>
  </si>
  <si>
    <t>=GL(,"Name",$C240)</t>
  </si>
  <si>
    <t>=GL(,"Balance",$C240,,D$6)</t>
  </si>
  <si>
    <t>=F239+1</t>
  </si>
  <si>
    <t>="000-4510-02"</t>
  </si>
  <si>
    <t>=GL(,"Name",$C241)</t>
  </si>
  <si>
    <t>=GL(,"Balance",$C241,,D$6)</t>
  </si>
  <si>
    <t>=F240+1</t>
  </si>
  <si>
    <t>="000-4520-01"</t>
  </si>
  <si>
    <t>=GL(,"Name",$C242)</t>
  </si>
  <si>
    <t>=GL(,"Balance",$C242,,D$6)</t>
  </si>
  <si>
    <t>=F241+1</t>
  </si>
  <si>
    <t>="000-4520-02"</t>
  </si>
  <si>
    <t>=GL(,"Name",$C243)</t>
  </si>
  <si>
    <t>=GL(,"Balance",$C243,,D$6)</t>
  </si>
  <si>
    <t>=F242+1</t>
  </si>
  <si>
    <t>="000-4520-03"</t>
  </si>
  <si>
    <t>=GL(,"Name",$C244)</t>
  </si>
  <si>
    <t>=GL(,"Balance",$C244,,D$6)</t>
  </si>
  <si>
    <t>=F243+1</t>
  </si>
  <si>
    <t>="000-4520-04"</t>
  </si>
  <si>
    <t>=GL(,"Name",$C245)</t>
  </si>
  <si>
    <t>=GL(,"Balance",$C245,,D$6)</t>
  </si>
  <si>
    <t>=F244+1</t>
  </si>
  <si>
    <t>="000-4520-05"</t>
  </si>
  <si>
    <t>=GL(,"Name",$C246)</t>
  </si>
  <si>
    <t>=GL(,"Balance",$C246,,D$6)</t>
  </si>
  <si>
    <t>=F245+1</t>
  </si>
  <si>
    <t>="000-4520-06"</t>
  </si>
  <si>
    <t>=GL(,"Name",$C247)</t>
  </si>
  <si>
    <t>=GL(,"Balance",$C247,,D$6)</t>
  </si>
  <si>
    <t>=F246+1</t>
  </si>
  <si>
    <t>="000-4520-07"</t>
  </si>
  <si>
    <t>=GL(,"Name",$C248)</t>
  </si>
  <si>
    <t>=GL(,"Balance",$C248,,D$6)</t>
  </si>
  <si>
    <t>=F247+1</t>
  </si>
  <si>
    <t>="000-4520-08"</t>
  </si>
  <si>
    <t>=GL(,"Name",$C249)</t>
  </si>
  <si>
    <t>=GL(,"Balance",$C249,,D$6)</t>
  </si>
  <si>
    <t>=F248+1</t>
  </si>
  <si>
    <t>="000-4520-09"</t>
  </si>
  <si>
    <t>=GL(,"Name",$C250)</t>
  </si>
  <si>
    <t>=GL(,"Balance",$C250,,D$6)</t>
  </si>
  <si>
    <t>=F249+1</t>
  </si>
  <si>
    <t>="000-4530-01"</t>
  </si>
  <si>
    <t>=GL(,"Name",$C251)</t>
  </si>
  <si>
    <t>=GL(,"Balance",$C251,,D$6)</t>
  </si>
  <si>
    <t>=F250+1</t>
  </si>
  <si>
    <t>="000-4600-00"</t>
  </si>
  <si>
    <t>=GL(,"Name",$C252)</t>
  </si>
  <si>
    <t>=GL(,"Balance",$C252,,D$6)</t>
  </si>
  <si>
    <t>=F251+1</t>
  </si>
  <si>
    <t>="000-4601-00"</t>
  </si>
  <si>
    <t>=GL(,"Name",$C253)</t>
  </si>
  <si>
    <t>=GL(,"Balance",$C253,,D$6)</t>
  </si>
  <si>
    <t>=F252+1</t>
  </si>
  <si>
    <t>="000-4700-00"</t>
  </si>
  <si>
    <t>=GL(,"Name",$C254)</t>
  </si>
  <si>
    <t>=GL(,"Balance",$C254,,D$6)</t>
  </si>
  <si>
    <t>=F253+1</t>
  </si>
  <si>
    <t>="000-4710-00"</t>
  </si>
  <si>
    <t>=GL(,"Name",$C255)</t>
  </si>
  <si>
    <t>=GL(,"Balance",$C255,,D$6)</t>
  </si>
  <si>
    <t>=F254+1</t>
  </si>
  <si>
    <t>="000-4720-00"</t>
  </si>
  <si>
    <t>=GL(,"Name",$C256)</t>
  </si>
  <si>
    <t>=GL(,"Balance",$C256,,D$6)</t>
  </si>
  <si>
    <t>=F255+1</t>
  </si>
  <si>
    <t>="000-4730-00"</t>
  </si>
  <si>
    <t>=GL(,"Name",$C257)</t>
  </si>
  <si>
    <t>=GL(,"Balance",$C257,,D$6)</t>
  </si>
  <si>
    <t>=F256+1</t>
  </si>
  <si>
    <t>="000-4731-00"</t>
  </si>
  <si>
    <t>=GL(,"Name",$C258)</t>
  </si>
  <si>
    <t>=GL(,"Balance",$C258,,D$6)</t>
  </si>
  <si>
    <t>=F257+1</t>
  </si>
  <si>
    <t>="000-4740-00"</t>
  </si>
  <si>
    <t>=GL(,"Name",$C259)</t>
  </si>
  <si>
    <t>=GL(,"Balance",$C259,,D$6)</t>
  </si>
  <si>
    <t>=F258+1</t>
  </si>
  <si>
    <t>="000-4750-01"</t>
  </si>
  <si>
    <t>=GL(,"Name",$C260)</t>
  </si>
  <si>
    <t>=GL(,"Balance",$C260,,D$6)</t>
  </si>
  <si>
    <t>=F259+1</t>
  </si>
  <si>
    <t>="000-4750-02"</t>
  </si>
  <si>
    <t>=GL(,"Name",$C261)</t>
  </si>
  <si>
    <t>=GL(,"Balance",$C261,,D$6)</t>
  </si>
  <si>
    <t>=F260+1</t>
  </si>
  <si>
    <t>="000-4750-03"</t>
  </si>
  <si>
    <t>=GL(,"Name",$C262)</t>
  </si>
  <si>
    <t>=GL(,"Balance",$C262,,D$6)</t>
  </si>
  <si>
    <t>=F261+1</t>
  </si>
  <si>
    <t>="000-4750-04"</t>
  </si>
  <si>
    <t>=GL(,"Name",$C263)</t>
  </si>
  <si>
    <t>=GL(,"Balance",$C263,,D$6)</t>
  </si>
  <si>
    <t>=F262+1</t>
  </si>
  <si>
    <t>="000-4750-05"</t>
  </si>
  <si>
    <t>=GL(,"Name",$C264)</t>
  </si>
  <si>
    <t>=GL(,"Balance",$C264,,D$6)</t>
  </si>
  <si>
    <t>=F263+1</t>
  </si>
  <si>
    <t>="000-4750-06"</t>
  </si>
  <si>
    <t>=GL(,"Name",$C265)</t>
  </si>
  <si>
    <t>=GL(,"Balance",$C265,,D$6)</t>
  </si>
  <si>
    <t>=F264+1</t>
  </si>
  <si>
    <t>="000-4750-07"</t>
  </si>
  <si>
    <t>=GL(,"Name",$C266)</t>
  </si>
  <si>
    <t>=GL(,"Balance",$C266,,D$6)</t>
  </si>
  <si>
    <t>=F265+1</t>
  </si>
  <si>
    <t>="000-4750-08"</t>
  </si>
  <si>
    <t>=GL(,"Name",$C267)</t>
  </si>
  <si>
    <t>=GL(,"Balance",$C267,,D$6)</t>
  </si>
  <si>
    <t>=F266+1</t>
  </si>
  <si>
    <t>="000-4750-09"</t>
  </si>
  <si>
    <t>=GL(,"Name",$C268)</t>
  </si>
  <si>
    <t>=GL(,"Balance",$C268,,D$6)</t>
  </si>
  <si>
    <t>=F267+1</t>
  </si>
  <si>
    <t>="000-4800-00"</t>
  </si>
  <si>
    <t>=GL(,"Name",$C269)</t>
  </si>
  <si>
    <t>=GL(,"Balance",$C269,,D$6)</t>
  </si>
  <si>
    <t>=F268+1</t>
  </si>
  <si>
    <t>="000-5100-00"</t>
  </si>
  <si>
    <t>=GL(,"Name",$C270)</t>
  </si>
  <si>
    <t>=GL(,"Balance",$C270,,D$6)</t>
  </si>
  <si>
    <t>=F269+1</t>
  </si>
  <si>
    <t>="000-5200-00"</t>
  </si>
  <si>
    <t>=GL(,"Name",$C271)</t>
  </si>
  <si>
    <t>=GL(,"Balance",$C271,,D$6)</t>
  </si>
  <si>
    <t>=F270+1</t>
  </si>
  <si>
    <t>="000-5210-00"</t>
  </si>
  <si>
    <t>=GL(,"Name",$C272)</t>
  </si>
  <si>
    <t>=GL(,"Balance",$C272,,D$6)</t>
  </si>
  <si>
    <t>=F271+1</t>
  </si>
  <si>
    <t>="000-5220-00"</t>
  </si>
  <si>
    <t>=GL(,"Name",$C273)</t>
  </si>
  <si>
    <t>=GL(,"Balance",$C273,,D$6)</t>
  </si>
  <si>
    <t>=F272+1</t>
  </si>
  <si>
    <t>="000-5300-00"</t>
  </si>
  <si>
    <t>=GL(,"Name",$C274)</t>
  </si>
  <si>
    <t>=GL(,"Balance",$C274,,D$6)</t>
  </si>
  <si>
    <t>=F273+1</t>
  </si>
  <si>
    <t>="000-5400-00"</t>
  </si>
  <si>
    <t>=GL(,"Name",$C275)</t>
  </si>
  <si>
    <t>=GL(,"Balance",$C275,,D$6)</t>
  </si>
  <si>
    <t>=F274+1</t>
  </si>
  <si>
    <t>="000-5500-00"</t>
  </si>
  <si>
    <t>=GL(,"Name",$C276)</t>
  </si>
  <si>
    <t>=GL(,"Balance",$C276,,D$6)</t>
  </si>
  <si>
    <t>=F275+1</t>
  </si>
  <si>
    <t>="000-5615-00"</t>
  </si>
  <si>
    <t>=GL(,"Name",$C277)</t>
  </si>
  <si>
    <t>=GL(,"Balance",$C277,,D$6)</t>
  </si>
  <si>
    <t>=F276+1</t>
  </si>
  <si>
    <t>="000-5700-00"</t>
  </si>
  <si>
    <t>=GL(,"Name",$C278)</t>
  </si>
  <si>
    <t>=GL(,"Balance",$C278,,D$6)</t>
  </si>
  <si>
    <t>=F277+1</t>
  </si>
  <si>
    <t>="000-6170-04"</t>
  </si>
  <si>
    <t>=GL(,"Name",$C279)</t>
  </si>
  <si>
    <t>=GL(,"Balance",$C279,,D$6)</t>
  </si>
  <si>
    <t>=F278+1</t>
  </si>
  <si>
    <t>="000-6170-05"</t>
  </si>
  <si>
    <t>=GL(,"Name",$C280)</t>
  </si>
  <si>
    <t>=GL(,"Balance",$C280,,D$6)</t>
  </si>
  <si>
    <t>=F279+1</t>
  </si>
  <si>
    <t>="000-6180-00"</t>
  </si>
  <si>
    <t>=GL(,"Name",$C281)</t>
  </si>
  <si>
    <t>=GL(,"Balance",$C281,,D$6)</t>
  </si>
  <si>
    <t>=F280+1</t>
  </si>
  <si>
    <t>="000-6190-00"</t>
  </si>
  <si>
    <t>=GL(,"Name",$C282)</t>
  </si>
  <si>
    <t>=GL(,"Balance",$C282,,D$6)</t>
  </si>
  <si>
    <t>=F281+1</t>
  </si>
  <si>
    <t>="000-6200-00"</t>
  </si>
  <si>
    <t>=GL(,"Name",$C283)</t>
  </si>
  <si>
    <t>=GL(,"Balance",$C283,,D$6)</t>
  </si>
  <si>
    <t>=F282+1</t>
  </si>
  <si>
    <t>="000-6210-00"</t>
  </si>
  <si>
    <t>=GL(,"Name",$C284)</t>
  </si>
  <si>
    <t>=GL(,"Balance",$C284,,D$6)</t>
  </si>
  <si>
    <t>=F283+1</t>
  </si>
  <si>
    <t>="000-6220-00"</t>
  </si>
  <si>
    <t>=GL(,"Name",$C285)</t>
  </si>
  <si>
    <t>=GL(,"Balance",$C285,,D$6)</t>
  </si>
  <si>
    <t>=F284+1</t>
  </si>
  <si>
    <t>="000-6230-00"</t>
  </si>
  <si>
    <t>=GL(,"Name",$C286)</t>
  </si>
  <si>
    <t>=GL(,"Balance",$C286,,D$6)</t>
  </si>
  <si>
    <t>=F285+1</t>
  </si>
  <si>
    <t>="000-6300-00"</t>
  </si>
  <si>
    <t>=GL(,"Name",$C287)</t>
  </si>
  <si>
    <t>=GL(,"Balance",$C287,,D$6)</t>
  </si>
  <si>
    <t>=F286+1</t>
  </si>
  <si>
    <t>="000-6400-00"</t>
  </si>
  <si>
    <t>=GL(,"Name",$C288)</t>
  </si>
  <si>
    <t>=GL(,"Balance",$C288,,D$6)</t>
  </si>
  <si>
    <t>=F287+1</t>
  </si>
  <si>
    <t>="000-6410-00"</t>
  </si>
  <si>
    <t>=GL(,"Name",$C289)</t>
  </si>
  <si>
    <t>=GL(,"Balance",$C289,,D$6)</t>
  </si>
  <si>
    <t>=F288+1</t>
  </si>
  <si>
    <t>="000-6420-00"</t>
  </si>
  <si>
    <t>=GL(,"Name",$C290)</t>
  </si>
  <si>
    <t>=GL(,"Balance",$C290,,D$6)</t>
  </si>
  <si>
    <t>=F289+1</t>
  </si>
  <si>
    <t>="000-6430-00"</t>
  </si>
  <si>
    <t>=GL(,"Name",$C291)</t>
  </si>
  <si>
    <t>=GL(,"Balance",$C291,,D$6)</t>
  </si>
  <si>
    <t>=F290+1</t>
  </si>
  <si>
    <t>="000-6500-04"</t>
  </si>
  <si>
    <t>=GL(,"Name",$C292)</t>
  </si>
  <si>
    <t>=GL(,"Balance",$C292,,D$6)</t>
  </si>
  <si>
    <t>=F291+1</t>
  </si>
  <si>
    <t>="000-6500-05"</t>
  </si>
  <si>
    <t>=GL(,"Name",$C293)</t>
  </si>
  <si>
    <t>=GL(,"Balance",$C293,,D$6)</t>
  </si>
  <si>
    <t>=F292+1</t>
  </si>
  <si>
    <t>="000-6600-00"</t>
  </si>
  <si>
    <t>=GL(,"Name",$C294)</t>
  </si>
  <si>
    <t>=GL(,"Balance",$C294,,D$6)</t>
  </si>
  <si>
    <t>=F293+1</t>
  </si>
  <si>
    <t>="000-6610-00"</t>
  </si>
  <si>
    <t>=GL(,"Name",$C295)</t>
  </si>
  <si>
    <t>=GL(,"Balance",$C295,,D$6)</t>
  </si>
  <si>
    <t>=F294+1</t>
  </si>
  <si>
    <t>="000-6620-00"</t>
  </si>
  <si>
    <t>=GL(,"Name",$C296)</t>
  </si>
  <si>
    <t>=GL(,"Balance",$C296,,D$6)</t>
  </si>
  <si>
    <t>=F295+1</t>
  </si>
  <si>
    <t>="000-6630-00"</t>
  </si>
  <si>
    <t>=GL(,"Name",$C297)</t>
  </si>
  <si>
    <t>=GL(,"Balance",$C297,,D$6)</t>
  </si>
  <si>
    <t>=F296+1</t>
  </si>
  <si>
    <t>="000-6635-00"</t>
  </si>
  <si>
    <t>=GL(,"Name",$C298)</t>
  </si>
  <si>
    <t>=GL(,"Balance",$C298,,D$6)</t>
  </si>
  <si>
    <t>=F297+1</t>
  </si>
  <si>
    <t>="000-6640-00"</t>
  </si>
  <si>
    <t>=GL(,"Name",$C299)</t>
  </si>
  <si>
    <t>=GL(,"Balance",$C299,,D$6)</t>
  </si>
  <si>
    <t>=F298+1</t>
  </si>
  <si>
    <t>="000-6650-00"</t>
  </si>
  <si>
    <t>=GL(,"Name",$C300)</t>
  </si>
  <si>
    <t>=GL(,"Balance",$C300,,D$6)</t>
  </si>
  <si>
    <t>=F299+1</t>
  </si>
  <si>
    <t>="000-6651-00"</t>
  </si>
  <si>
    <t>=GL(,"Name",$C301)</t>
  </si>
  <si>
    <t>=GL(,"Balance",$C301,,D$6)</t>
  </si>
  <si>
    <t>=F300+1</t>
  </si>
  <si>
    <t>="000-6652-00"</t>
  </si>
  <si>
    <t>=GL(,"Name",$C302)</t>
  </si>
  <si>
    <t>=GL(,"Balance",$C302,,D$6)</t>
  </si>
  <si>
    <t>=F301+1</t>
  </si>
  <si>
    <t>="000-6660-00"</t>
  </si>
  <si>
    <t>=GL(,"Name",$C303)</t>
  </si>
  <si>
    <t>=GL(,"Balance",$C303,,D$6)</t>
  </si>
  <si>
    <t>=F302+1</t>
  </si>
  <si>
    <t>="000-6661-00"</t>
  </si>
  <si>
    <t>=GL(,"Name",$C304)</t>
  </si>
  <si>
    <t>=GL(,"Balance",$C304,,D$6)</t>
  </si>
  <si>
    <t>=F303+1</t>
  </si>
  <si>
    <t>="000-6700-00"</t>
  </si>
  <si>
    <t>=GL(,"Name",$C305)</t>
  </si>
  <si>
    <t>=GL(,"Balance",$C305,,D$6)</t>
  </si>
  <si>
    <t>=F304+1</t>
  </si>
  <si>
    <t>="000-6701-00"</t>
  </si>
  <si>
    <t>=GL(,"Name",$C306)</t>
  </si>
  <si>
    <t>=GL(,"Balance",$C306,,D$6)</t>
  </si>
  <si>
    <t>=F305+1</t>
  </si>
  <si>
    <t>="000-6710-00"</t>
  </si>
  <si>
    <t>=GL(,"Name",$C307)</t>
  </si>
  <si>
    <t>=GL(,"Balance",$C307,,D$6)</t>
  </si>
  <si>
    <t>=F306+1</t>
  </si>
  <si>
    <t>="000-6720-00"</t>
  </si>
  <si>
    <t>=GL(,"Name",$C308)</t>
  </si>
  <si>
    <t>=GL(,"Balance",$C308,,D$6)</t>
  </si>
  <si>
    <t>=F307+1</t>
  </si>
  <si>
    <t>="000-6730-00"</t>
  </si>
  <si>
    <t>=GL(,"Name",$C309)</t>
  </si>
  <si>
    <t>=GL(,"Balance",$C309,,D$6)</t>
  </si>
  <si>
    <t>=F308+1</t>
  </si>
  <si>
    <t>="000-6740-00"</t>
  </si>
  <si>
    <t>=GL(,"Name",$C310)</t>
  </si>
  <si>
    <t>=GL(,"Balance",$C310,,D$6)</t>
  </si>
  <si>
    <t>=F309+1</t>
  </si>
  <si>
    <t>="000-6750-00"</t>
  </si>
  <si>
    <t>=GL(,"Name",$C311)</t>
  </si>
  <si>
    <t>=GL(,"Balance",$C311,,D$6)</t>
  </si>
  <si>
    <t>=F310+1</t>
  </si>
  <si>
    <t>="000-6760-00"</t>
  </si>
  <si>
    <t>=GL(,"Name",$C312)</t>
  </si>
  <si>
    <t>=GL(,"Balance",$C312,,D$6)</t>
  </si>
  <si>
    <t>=F311+1</t>
  </si>
  <si>
    <t>="000-6770-00"</t>
  </si>
  <si>
    <t>=GL(,"Name",$C313)</t>
  </si>
  <si>
    <t>=GL(,"Balance",$C313,,D$6)</t>
  </si>
  <si>
    <t>=F312+1</t>
  </si>
  <si>
    <t>="000-6780-00"</t>
  </si>
  <si>
    <t>=GL(,"Name",$C314)</t>
  </si>
  <si>
    <t>=GL(,"Balance",$C314,,D$6)</t>
  </si>
  <si>
    <t>=F313+1</t>
  </si>
  <si>
    <t>="000-6790-00"</t>
  </si>
  <si>
    <t>=GL(,"Name",$C315)</t>
  </si>
  <si>
    <t>=GL(,"Balance",$C315,,D$6)</t>
  </si>
  <si>
    <t>=F314+1</t>
  </si>
  <si>
    <t>="000-6800-01"</t>
  </si>
  <si>
    <t>=GL(,"Name",$C316)</t>
  </si>
  <si>
    <t>=GL(,"Balance",$C316,,D$6)</t>
  </si>
  <si>
    <t>=F315+1</t>
  </si>
  <si>
    <t>="000-6900-00"</t>
  </si>
  <si>
    <t>=GL(,"Name",$C317)</t>
  </si>
  <si>
    <t>=GL(,"Balance",$C317,,D$6)</t>
  </si>
  <si>
    <t>=F316+1</t>
  </si>
  <si>
    <t>="000-7010-00"</t>
  </si>
  <si>
    <t>=GL(,"Name",$C318)</t>
  </si>
  <si>
    <t>=GL(,"Balance",$C318,,D$6)</t>
  </si>
  <si>
    <t>=F317+1</t>
  </si>
  <si>
    <t>="000-7020-00"</t>
  </si>
  <si>
    <t>=GL(,"Name",$C319)</t>
  </si>
  <si>
    <t>=GL(,"Balance",$C319,,D$6)</t>
  </si>
  <si>
    <t>=F318+1</t>
  </si>
  <si>
    <t>="000-7040-00"</t>
  </si>
  <si>
    <t>=GL(,"Name",$C320)</t>
  </si>
  <si>
    <t>=GL(,"Balance",$C320,,D$6)</t>
  </si>
  <si>
    <t>=F319+1</t>
  </si>
  <si>
    <t>="000-7041-00"</t>
  </si>
  <si>
    <t>=GL(,"Name",$C321)</t>
  </si>
  <si>
    <t>=GL(,"Balance",$C321,,D$6)</t>
  </si>
  <si>
    <t>=F320+1</t>
  </si>
  <si>
    <t>="000-7100-00"</t>
  </si>
  <si>
    <t>=GL(,"Name",$C322)</t>
  </si>
  <si>
    <t>=GL(,"Balance",$C322,,D$6)</t>
  </si>
  <si>
    <t>=F321+1</t>
  </si>
  <si>
    <t>="000-7101-00"</t>
  </si>
  <si>
    <t>=GL(,"Name",$C323)</t>
  </si>
  <si>
    <t>=GL(,"Balance",$C323,,D$6)</t>
  </si>
  <si>
    <t>=F322+1</t>
  </si>
  <si>
    <t>="000-7102-00"</t>
  </si>
  <si>
    <t>=GL(,"Name",$C324)</t>
  </si>
  <si>
    <t>=GL(,"Balance",$C324,,D$6)</t>
  </si>
  <si>
    <t>=F323+1</t>
  </si>
  <si>
    <t>="000-7103-00"</t>
  </si>
  <si>
    <t>=GL(,"Name",$C325)</t>
  </si>
  <si>
    <t>=GL(,"Balance",$C325,,D$6)</t>
  </si>
  <si>
    <t>=F324+1</t>
  </si>
  <si>
    <t>="000-7200-00"</t>
  </si>
  <si>
    <t>=GL(,"Name",$C326)</t>
  </si>
  <si>
    <t>=GL(,"Balance",$C326,,D$6)</t>
  </si>
  <si>
    <t>=F325+1</t>
  </si>
  <si>
    <t>="000-7201-00"</t>
  </si>
  <si>
    <t>=GL(,"Name",$C327)</t>
  </si>
  <si>
    <t>=GL(,"Balance",$C327,,D$6)</t>
  </si>
  <si>
    <t>=F326+1</t>
  </si>
  <si>
    <t>="000-7202-00"</t>
  </si>
  <si>
    <t>=GL(,"Name",$C328)</t>
  </si>
  <si>
    <t>=GL(,"Balance",$C328,,D$6)</t>
  </si>
  <si>
    <t>=F327+1</t>
  </si>
  <si>
    <t>="000-7203-00"</t>
  </si>
  <si>
    <t>=GL(,"Name",$C329)</t>
  </si>
  <si>
    <t>=GL(,"Balance",$C329,,D$6)</t>
  </si>
  <si>
    <t>=F328+1</t>
  </si>
  <si>
    <t>="000-7204-00"</t>
  </si>
  <si>
    <t>=GL(,"Name",$C330)</t>
  </si>
  <si>
    <t>=GL(,"Balance",$C330,,D$6)</t>
  </si>
  <si>
    <t>=F329+1</t>
  </si>
  <si>
    <t>="000-7205-00"</t>
  </si>
  <si>
    <t>=GL(,"Name",$C331)</t>
  </si>
  <si>
    <t>=GL(,"Balance",$C331,,D$6)</t>
  </si>
  <si>
    <t>=F330+1</t>
  </si>
  <si>
    <t>="000-7206-00"</t>
  </si>
  <si>
    <t>=GL(,"Name",$C332)</t>
  </si>
  <si>
    <t>=GL(,"Balance",$C332,,D$6)</t>
  </si>
  <si>
    <t>=F331+1</t>
  </si>
  <si>
    <t>="000-7207-00"</t>
  </si>
  <si>
    <t>=GL(,"Name",$C333)</t>
  </si>
  <si>
    <t>=GL(,"Balance",$C333,,D$6)</t>
  </si>
  <si>
    <t>=F332+1</t>
  </si>
  <si>
    <t>="000-7300-00"</t>
  </si>
  <si>
    <t>=GL(,"Name",$C334)</t>
  </si>
  <si>
    <t>=GL(,"Balance",$C334,,D$6)</t>
  </si>
  <si>
    <t>=F333+1</t>
  </si>
  <si>
    <t>="000-7301-00"</t>
  </si>
  <si>
    <t>=GL(,"Name",$C335)</t>
  </si>
  <si>
    <t>=GL(,"Balance",$C335,,D$6)</t>
  </si>
  <si>
    <t>=F334+1</t>
  </si>
  <si>
    <t>="000-7302-00"</t>
  </si>
  <si>
    <t>=GL(,"Name",$C336)</t>
  </si>
  <si>
    <t>=GL(,"Balance",$C336,,D$6)</t>
  </si>
  <si>
    <t>=F335+1</t>
  </si>
  <si>
    <t>="000-7303-00"</t>
  </si>
  <si>
    <t>=GL(,"Name",$C337)</t>
  </si>
  <si>
    <t>=GL(,"Balance",$C337,,D$6)</t>
  </si>
  <si>
    <t>=F336+1</t>
  </si>
  <si>
    <t>="000-7304-00"</t>
  </si>
  <si>
    <t>=GL(,"Name",$C338)</t>
  </si>
  <si>
    <t>=GL(,"Balance",$C338,,D$6)</t>
  </si>
  <si>
    <t>=F337+1</t>
  </si>
  <si>
    <t>="000-7305-00"</t>
  </si>
  <si>
    <t>=GL(,"Name",$C339)</t>
  </si>
  <si>
    <t>=GL(,"Balance",$C339,,D$6)</t>
  </si>
  <si>
    <t>=F338+1</t>
  </si>
  <si>
    <t>="000-7306-00"</t>
  </si>
  <si>
    <t>=GL(,"Name",$C340)</t>
  </si>
  <si>
    <t>=GL(,"Balance",$C340,,D$6)</t>
  </si>
  <si>
    <t>=F339+1</t>
  </si>
  <si>
    <t>="000-7307-00"</t>
  </si>
  <si>
    <t>=GL(,"Name",$C341)</t>
  </si>
  <si>
    <t>=GL(,"Balance",$C341,,D$6)</t>
  </si>
  <si>
    <t>=F340+1</t>
  </si>
  <si>
    <t>="000-7400-00"</t>
  </si>
  <si>
    <t>=GL(,"Name",$C342)</t>
  </si>
  <si>
    <t>=GL(,"Balance",$C342,,D$6)</t>
  </si>
  <si>
    <t>=F341+1</t>
  </si>
  <si>
    <t>="000-7401-00"</t>
  </si>
  <si>
    <t>=GL(,"Name",$C343)</t>
  </si>
  <si>
    <t>=GL(,"Balance",$C343,,D$6)</t>
  </si>
  <si>
    <t>=F342+1</t>
  </si>
  <si>
    <t>="000-7402-00"</t>
  </si>
  <si>
    <t>=GL(,"Name",$C344)</t>
  </si>
  <si>
    <t>=GL(,"Balance",$C344,,D$6)</t>
  </si>
  <si>
    <t>=F343+1</t>
  </si>
  <si>
    <t>="000-7403-00"</t>
  </si>
  <si>
    <t>=GL(,"Name",$C345)</t>
  </si>
  <si>
    <t>=GL(,"Balance",$C345,,D$6)</t>
  </si>
  <si>
    <t>=F344+1</t>
  </si>
  <si>
    <t>="000-7404-00"</t>
  </si>
  <si>
    <t>=GL(,"Name",$C346)</t>
  </si>
  <si>
    <t>=GL(,"Balance",$C346,,D$6)</t>
  </si>
  <si>
    <t>=F345+1</t>
  </si>
  <si>
    <t>="000-7405-00"</t>
  </si>
  <si>
    <t>=GL(,"Name",$C347)</t>
  </si>
  <si>
    <t>=GL(,"Balance",$C347,,D$6)</t>
  </si>
  <si>
    <t>=F346+1</t>
  </si>
  <si>
    <t>="000-7406-00"</t>
  </si>
  <si>
    <t>=GL(,"Name",$C348)</t>
  </si>
  <si>
    <t>=GL(,"Balance",$C348,,D$6)</t>
  </si>
  <si>
    <t>=F347+1</t>
  </si>
  <si>
    <t>="000-7407-00"</t>
  </si>
  <si>
    <t>=GL(,"Name",$C349)</t>
  </si>
  <si>
    <t>=GL(,"Balance",$C349,,D$6)</t>
  </si>
  <si>
    <t>=F348+1</t>
  </si>
  <si>
    <t>="000-7410-00"</t>
  </si>
  <si>
    <t>=GL(,"Name",$C350)</t>
  </si>
  <si>
    <t>=GL(,"Balance",$C350,,D$6)</t>
  </si>
  <si>
    <t>=F349+1</t>
  </si>
  <si>
    <t>="000-8010-00"</t>
  </si>
  <si>
    <t>=GL(,"Name",$C351)</t>
  </si>
  <si>
    <t>=GL(,"Balance",$C351,,D$6)</t>
  </si>
  <si>
    <t>=F350+1</t>
  </si>
  <si>
    <t>="000-8020-00"</t>
  </si>
  <si>
    <t>=GL(,"Name",$C352)</t>
  </si>
  <si>
    <t>=GL(,"Balance",$C352,,D$6)</t>
  </si>
  <si>
    <t>=F351+1</t>
  </si>
  <si>
    <t>="000-8030-00"</t>
  </si>
  <si>
    <t>=GL(,"Name",$C353)</t>
  </si>
  <si>
    <t>=GL(,"Balance",$C353,,D$6)</t>
  </si>
  <si>
    <t>=F352+1</t>
  </si>
  <si>
    <t>="000-8100-00"</t>
  </si>
  <si>
    <t>=GL(,"Name",$C354)</t>
  </si>
  <si>
    <t>=GL(,"Balance",$C354,,D$6)</t>
  </si>
  <si>
    <t>=F353+1</t>
  </si>
  <si>
    <t>="000-8110-00"</t>
  </si>
  <si>
    <t>=GL(,"Name",$C355)</t>
  </si>
  <si>
    <t>=GL(,"Balance",$C355,,D$6)</t>
  </si>
  <si>
    <t>=F354+1</t>
  </si>
  <si>
    <t>="000-8200-00"</t>
  </si>
  <si>
    <t>=GL(,"Name",$C356)</t>
  </si>
  <si>
    <t>=GL(,"Balance",$C356,,D$6)</t>
  </si>
  <si>
    <t>=F355+1</t>
  </si>
  <si>
    <t>="000-8201-00"</t>
  </si>
  <si>
    <t>=GL(,"Name",$C357)</t>
  </si>
  <si>
    <t>=GL(,"Balance",$C357,,D$6)</t>
  </si>
  <si>
    <t>=F356+1</t>
  </si>
  <si>
    <t>="000-8202-00"</t>
  </si>
  <si>
    <t>=GL(,"Name",$C358)</t>
  </si>
  <si>
    <t>=GL(,"Balance",$C358,,D$6)</t>
  </si>
  <si>
    <t>=F357+1</t>
  </si>
  <si>
    <t>="000-8203-00"</t>
  </si>
  <si>
    <t>=GL(,"Name",$C359)</t>
  </si>
  <si>
    <t>=GL(,"Balance",$C359,,D$6)</t>
  </si>
  <si>
    <t>=F358+1</t>
  </si>
  <si>
    <t>="000-8300-00"</t>
  </si>
  <si>
    <t>=GL(,"Name",$C360)</t>
  </si>
  <si>
    <t>=GL(,"Balance",$C360,,D$6)</t>
  </si>
  <si>
    <t>=F359+1</t>
  </si>
  <si>
    <t>="000-8301-00"</t>
  </si>
  <si>
    <t>=GL(,"Name",$C361)</t>
  </si>
  <si>
    <t>=GL(,"Balance",$C361,,D$6)</t>
  </si>
  <si>
    <t>=F360+1</t>
  </si>
  <si>
    <t>="000-8302-00"</t>
  </si>
  <si>
    <t>=GL(,"Name",$C362)</t>
  </si>
  <si>
    <t>=GL(,"Balance",$C362,,D$6)</t>
  </si>
  <si>
    <t>=F361+1</t>
  </si>
  <si>
    <t>="000-8303-00"</t>
  </si>
  <si>
    <t>=GL(,"Name",$C363)</t>
  </si>
  <si>
    <t>=GL(,"Balance",$C363,,D$6)</t>
  </si>
  <si>
    <t>=F362+1</t>
  </si>
  <si>
    <t>="000-8304-00"</t>
  </si>
  <si>
    <t>=GL(,"Name",$C364)</t>
  </si>
  <si>
    <t>=GL(,"Balance",$C364,,D$6)</t>
  </si>
  <si>
    <t>=F363+1</t>
  </si>
  <si>
    <t>="000-8305-00"</t>
  </si>
  <si>
    <t>=GL(,"Name",$C365)</t>
  </si>
  <si>
    <t>=GL(,"Balance",$C365,,D$6)</t>
  </si>
  <si>
    <t>=F364+1</t>
  </si>
  <si>
    <t>="000-8306-00"</t>
  </si>
  <si>
    <t>=GL(,"Name",$C366)</t>
  </si>
  <si>
    <t>=GL(,"Balance",$C366,,D$6)</t>
  </si>
  <si>
    <t>=F365+1</t>
  </si>
  <si>
    <t>="000-8307-00"</t>
  </si>
  <si>
    <t>=GL(,"Name",$C367)</t>
  </si>
  <si>
    <t>=GL(,"Balance",$C367,,D$6)</t>
  </si>
  <si>
    <t>=F366+1</t>
  </si>
  <si>
    <t>="000-8410-00"</t>
  </si>
  <si>
    <t>=GL(,"Name",$C368)</t>
  </si>
  <si>
    <t>=GL(,"Balance",$C368,,D$6)</t>
  </si>
  <si>
    <t>=F367+1</t>
  </si>
  <si>
    <t>="000-8510-00"</t>
  </si>
  <si>
    <t>=GL(,"Name",$C369)</t>
  </si>
  <si>
    <t>=GL(,"Balance",$C369,,D$6)</t>
  </si>
  <si>
    <t>=F368+1</t>
  </si>
  <si>
    <t>="000-8610-00"</t>
  </si>
  <si>
    <t>=GL(,"Name",$C370)</t>
  </si>
  <si>
    <t>=GL(,"Balance",$C370,,D$6)</t>
  </si>
  <si>
    <t>=F369+1</t>
  </si>
  <si>
    <t>="000-8710-00"</t>
  </si>
  <si>
    <t>=GL(,"Name",$C371)</t>
  </si>
  <si>
    <t>=GL(,"Balance",$C371,,D$6)</t>
  </si>
  <si>
    <t>=F370+1</t>
  </si>
  <si>
    <t>="000-9040-00"</t>
  </si>
  <si>
    <t>=GL(,"Name",$C372)</t>
  </si>
  <si>
    <t>=GL(,"Balance",$C372,,D$6)</t>
  </si>
  <si>
    <t>=F371+1</t>
  </si>
  <si>
    <t>="100-5100-00"</t>
  </si>
  <si>
    <t>=GL(,"Name",$C373)</t>
  </si>
  <si>
    <t>=GL(,"Balance",$C373,,D$6)</t>
  </si>
  <si>
    <t>=F372+1</t>
  </si>
  <si>
    <t>="100-5110-00"</t>
  </si>
  <si>
    <t>=GL(,"Name",$C374)</t>
  </si>
  <si>
    <t>=GL(,"Balance",$C374,,D$6)</t>
  </si>
  <si>
    <t>=F373+1</t>
  </si>
  <si>
    <t>="100-5120-00"</t>
  </si>
  <si>
    <t>=GL(,"Name",$C375)</t>
  </si>
  <si>
    <t>=GL(,"Balance",$C375,,D$6)</t>
  </si>
  <si>
    <t>=F374+1</t>
  </si>
  <si>
    <t>="100-5140-00"</t>
  </si>
  <si>
    <t>=GL(,"Name",$C376)</t>
  </si>
  <si>
    <t>=GL(,"Balance",$C376,,D$6)</t>
  </si>
  <si>
    <t>=F375+1</t>
  </si>
  <si>
    <t>="100-5150-00"</t>
  </si>
  <si>
    <t>=GL(,"Name",$C377)</t>
  </si>
  <si>
    <t>=GL(,"Balance",$C377,,D$6)</t>
  </si>
  <si>
    <t>=F376+1</t>
  </si>
  <si>
    <t>="100-5160-00"</t>
  </si>
  <si>
    <t>=GL(,"Name",$C378)</t>
  </si>
  <si>
    <t>=GL(,"Balance",$C378,,D$6)</t>
  </si>
  <si>
    <t>=F377+1</t>
  </si>
  <si>
    <t>="100-5170-00"</t>
  </si>
  <si>
    <t>=GL(,"Name",$C379)</t>
  </si>
  <si>
    <t>=GL(,"Balance",$C379,,D$6)</t>
  </si>
  <si>
    <t>=F378+1</t>
  </si>
  <si>
    <t>="100-6100-00"</t>
  </si>
  <si>
    <t>=GL(,"Name",$C380)</t>
  </si>
  <si>
    <t>=GL(,"Balance",$C380,,D$6)</t>
  </si>
  <si>
    <t>=F379+1</t>
  </si>
  <si>
    <t>="100-6110-00"</t>
  </si>
  <si>
    <t>=GL(,"Name",$C381)</t>
  </si>
  <si>
    <t>=GL(,"Balance",$C381,,D$6)</t>
  </si>
  <si>
    <t>=F380+1</t>
  </si>
  <si>
    <t>="100-6120-00"</t>
  </si>
  <si>
    <t>=GL(,"Name",$C382)</t>
  </si>
  <si>
    <t>=GL(,"Balance",$C382,,D$6)</t>
  </si>
  <si>
    <t>=F381+1</t>
  </si>
  <si>
    <t>="100-6130-00"</t>
  </si>
  <si>
    <t>=GL(,"Name",$C383)</t>
  </si>
  <si>
    <t>=GL(,"Balance",$C383,,D$6)</t>
  </si>
  <si>
    <t>=F382+1</t>
  </si>
  <si>
    <t>="100-6140-00"</t>
  </si>
  <si>
    <t>=GL(,"Name",$C384)</t>
  </si>
  <si>
    <t>=GL(,"Balance",$C384,,D$6)</t>
  </si>
  <si>
    <t>=F383+1</t>
  </si>
  <si>
    <t>="100-6150-00"</t>
  </si>
  <si>
    <t>=GL(,"Name",$C385)</t>
  </si>
  <si>
    <t>=GL(,"Balance",$C385,,D$6)</t>
  </si>
  <si>
    <t>=F384+1</t>
  </si>
  <si>
    <t>="100-6160-00"</t>
  </si>
  <si>
    <t>=GL(,"Name",$C386)</t>
  </si>
  <si>
    <t>=GL(,"Balance",$C386,,D$6)</t>
  </si>
  <si>
    <t>=F385+1</t>
  </si>
  <si>
    <t>="100-6170-00"</t>
  </si>
  <si>
    <t>=GL(,"Name",$C387)</t>
  </si>
  <si>
    <t>=GL(,"Balance",$C387,,D$6)</t>
  </si>
  <si>
    <t>=F386+1</t>
  </si>
  <si>
    <t>="100-6180-00"</t>
  </si>
  <si>
    <t>=GL(,"Name",$C388)</t>
  </si>
  <si>
    <t>=GL(,"Balance",$C388,,D$6)</t>
  </si>
  <si>
    <t>=F387+1</t>
  </si>
  <si>
    <t>="100-6190-00"</t>
  </si>
  <si>
    <t>=GL(,"Name",$C389)</t>
  </si>
  <si>
    <t>=GL(,"Balance",$C389,,D$6)</t>
  </si>
  <si>
    <t>=F388+1</t>
  </si>
  <si>
    <t>="100-6500-00"</t>
  </si>
  <si>
    <t>=GL(,"Name",$C390)</t>
  </si>
  <si>
    <t>=GL(,"Balance",$C390,,D$6)</t>
  </si>
  <si>
    <t>=F389+1</t>
  </si>
  <si>
    <t>="100-6510-00"</t>
  </si>
  <si>
    <t>=GL(,"Name",$C391)</t>
  </si>
  <si>
    <t>=GL(,"Balance",$C391,,D$6)</t>
  </si>
  <si>
    <t>=F390+1</t>
  </si>
  <si>
    <t>="100-6520-00"</t>
  </si>
  <si>
    <t>=GL(,"Name",$C392)</t>
  </si>
  <si>
    <t>=GL(,"Balance",$C392,,D$6)</t>
  </si>
  <si>
    <t>=F391+1</t>
  </si>
  <si>
    <t>="100-6530-00"</t>
  </si>
  <si>
    <t>=GL(,"Name",$C393)</t>
  </si>
  <si>
    <t>=GL(,"Balance",$C393,,D$6)</t>
  </si>
  <si>
    <t>=F392+1</t>
  </si>
  <si>
    <t>="100-9010-00"</t>
  </si>
  <si>
    <t>=GL(,"Name",$C394)</t>
  </si>
  <si>
    <t>=GL(,"Balance",$C394,,D$6)</t>
  </si>
  <si>
    <t>=F393+1</t>
  </si>
  <si>
    <t>="100-9020-00"</t>
  </si>
  <si>
    <t>=GL(,"Name",$C395)</t>
  </si>
  <si>
    <t>=GL(,"Balance",$C395,,D$6)</t>
  </si>
  <si>
    <t>=F394+1</t>
  </si>
  <si>
    <t>="100-9030-00"</t>
  </si>
  <si>
    <t>=GL(,"Name",$C396)</t>
  </si>
  <si>
    <t>=GL(,"Balance",$C396,,D$6)</t>
  </si>
  <si>
    <t>=F395+1</t>
  </si>
  <si>
    <t>="200-5100-00"</t>
  </si>
  <si>
    <t>=GL(,"Name",$C397)</t>
  </si>
  <si>
    <t>=GL(,"Balance",$C397,,D$6)</t>
  </si>
  <si>
    <t>=F396+1</t>
  </si>
  <si>
    <t>="200-5110-00"</t>
  </si>
  <si>
    <t>=GL(,"Name",$C398)</t>
  </si>
  <si>
    <t>=GL(,"Balance",$C398,,D$6)</t>
  </si>
  <si>
    <t>=F397+1</t>
  </si>
  <si>
    <t>="200-5120-00"</t>
  </si>
  <si>
    <t>=GL(,"Name",$C399)</t>
  </si>
  <si>
    <t>=GL(,"Balance",$C399,,D$6)</t>
  </si>
  <si>
    <t>=F398+1</t>
  </si>
  <si>
    <t>="200-5140-00"</t>
  </si>
  <si>
    <t>=GL(,"Name",$C400)</t>
  </si>
  <si>
    <t>=GL(,"Balance",$C400,,D$6)</t>
  </si>
  <si>
    <t>=F399+1</t>
  </si>
  <si>
    <t>="200-5150-00"</t>
  </si>
  <si>
    <t>=GL(,"Name",$C401)</t>
  </si>
  <si>
    <t>=GL(,"Balance",$C401,,D$6)</t>
  </si>
  <si>
    <t>=F400+1</t>
  </si>
  <si>
    <t>="200-5160-00"</t>
  </si>
  <si>
    <t>=GL(,"Name",$C402)</t>
  </si>
  <si>
    <t>=GL(,"Balance",$C402,,D$6)</t>
  </si>
  <si>
    <t>=F401+1</t>
  </si>
  <si>
    <t>="200-5170-00"</t>
  </si>
  <si>
    <t>=GL(,"Name",$C403)</t>
  </si>
  <si>
    <t>=GL(,"Balance",$C403,,D$6)</t>
  </si>
  <si>
    <t>=F402+1</t>
  </si>
  <si>
    <t>="200-6100-00"</t>
  </si>
  <si>
    <t>=GL(,"Name",$C404)</t>
  </si>
  <si>
    <t>=GL(,"Balance",$C404,,D$6)</t>
  </si>
  <si>
    <t>=F403+1</t>
  </si>
  <si>
    <t>="200-6120-00"</t>
  </si>
  <si>
    <t>=GL(,"Name",$C405)</t>
  </si>
  <si>
    <t>=GL(,"Balance",$C405,,D$6)</t>
  </si>
  <si>
    <t>=F404+1</t>
  </si>
  <si>
    <t>="200-6130-00"</t>
  </si>
  <si>
    <t>=GL(,"Name",$C406)</t>
  </si>
  <si>
    <t>=GL(,"Balance",$C406,,D$6)</t>
  </si>
  <si>
    <t>=F405+1</t>
  </si>
  <si>
    <t>="200-6140-00"</t>
  </si>
  <si>
    <t>=GL(,"Name",$C407)</t>
  </si>
  <si>
    <t>=GL(,"Balance",$C407,,D$6)</t>
  </si>
  <si>
    <t>=F406+1</t>
  </si>
  <si>
    <t>="200-6150-00"</t>
  </si>
  <si>
    <t>=GL(,"Name",$C408)</t>
  </si>
  <si>
    <t>=GL(,"Balance",$C408,,D$6)</t>
  </si>
  <si>
    <t>=F407+1</t>
  </si>
  <si>
    <t>="200-6160-00"</t>
  </si>
  <si>
    <t>=GL(,"Name",$C409)</t>
  </si>
  <si>
    <t>=GL(,"Balance",$C409,,D$6)</t>
  </si>
  <si>
    <t>=F408+1</t>
  </si>
  <si>
    <t>="200-6170-00"</t>
  </si>
  <si>
    <t>=GL(,"Name",$C410)</t>
  </si>
  <si>
    <t>=GL(,"Balance",$C410,,D$6)</t>
  </si>
  <si>
    <t>=F409+1</t>
  </si>
  <si>
    <t>="200-6180-00"</t>
  </si>
  <si>
    <t>=GL(,"Name",$C411)</t>
  </si>
  <si>
    <t>=GL(,"Balance",$C411,,D$6)</t>
  </si>
  <si>
    <t>=F410+1</t>
  </si>
  <si>
    <t>="200-6190-00"</t>
  </si>
  <si>
    <t>=GL(,"Name",$C412)</t>
  </si>
  <si>
    <t>=GL(,"Balance",$C412,,D$6)</t>
  </si>
  <si>
    <t>=F411+1</t>
  </si>
  <si>
    <t>="200-6500-00"</t>
  </si>
  <si>
    <t>=GL(,"Name",$C413)</t>
  </si>
  <si>
    <t>=GL(,"Balance",$C413,,D$6)</t>
  </si>
  <si>
    <t>=F412+1</t>
  </si>
  <si>
    <t>="200-6510-00"</t>
  </si>
  <si>
    <t>=GL(,"Name",$C414)</t>
  </si>
  <si>
    <t>=GL(,"Balance",$C414,,D$6)</t>
  </si>
  <si>
    <t>=F413+1</t>
  </si>
  <si>
    <t>="200-6520-00"</t>
  </si>
  <si>
    <t>=GL(,"Name",$C415)</t>
  </si>
  <si>
    <t>=GL(,"Balance",$C415,,D$6)</t>
  </si>
  <si>
    <t>=F414+1</t>
  </si>
  <si>
    <t>="200-6530-00"</t>
  </si>
  <si>
    <t>=GL(,"Name",$C416)</t>
  </si>
  <si>
    <t>=GL(,"Balance",$C416,,D$6)</t>
  </si>
  <si>
    <t>=F415+1</t>
  </si>
  <si>
    <t>="200-9010-00"</t>
  </si>
  <si>
    <t>=GL(,"Name",$C417)</t>
  </si>
  <si>
    <t>=GL(,"Balance",$C417,,D$6)</t>
  </si>
  <si>
    <t>=F416+1</t>
  </si>
  <si>
    <t>="200-9020-00"</t>
  </si>
  <si>
    <t>=GL(,"Name",$C418)</t>
  </si>
  <si>
    <t>=GL(,"Balance",$C418,,D$6)</t>
  </si>
  <si>
    <t>=F417+1</t>
  </si>
  <si>
    <t>="200-9030-00"</t>
  </si>
  <si>
    <t>=GL(,"Name",$C419)</t>
  </si>
  <si>
    <t>=GL(,"Balance",$C419,,D$6)</t>
  </si>
  <si>
    <t>=F418+1</t>
  </si>
  <si>
    <t>="300-5100-00"</t>
  </si>
  <si>
    <t>=GL(,"Name",$C420)</t>
  </si>
  <si>
    <t>=GL(,"Balance",$C420,,D$6)</t>
  </si>
  <si>
    <t>=F419+1</t>
  </si>
  <si>
    <t>="300-5110-00"</t>
  </si>
  <si>
    <t>=GL(,"Name",$C421)</t>
  </si>
  <si>
    <t>=GL(,"Balance",$C421,,D$6)</t>
  </si>
  <si>
    <t>=F420+1</t>
  </si>
  <si>
    <t>="300-5120-00"</t>
  </si>
  <si>
    <t>=GL(,"Name",$C422)</t>
  </si>
  <si>
    <t>=GL(,"Balance",$C422,,D$6)</t>
  </si>
  <si>
    <t>=F421+1</t>
  </si>
  <si>
    <t>="300-5130-00"</t>
  </si>
  <si>
    <t>=GL(,"Name",$C423)</t>
  </si>
  <si>
    <t>=GL(,"Balance",$C423,,D$6)</t>
  </si>
  <si>
    <t>=F422+1</t>
  </si>
  <si>
    <t>="300-5140-00"</t>
  </si>
  <si>
    <t>=GL(,"Name",$C424)</t>
  </si>
  <si>
    <t>=GL(,"Balance",$C424,,D$6)</t>
  </si>
  <si>
    <t>=F423+1</t>
  </si>
  <si>
    <t>="300-5150-00"</t>
  </si>
  <si>
    <t>=GL(,"Name",$C425)</t>
  </si>
  <si>
    <t>=GL(,"Balance",$C425,,D$6)</t>
  </si>
  <si>
    <t>=F424+1</t>
  </si>
  <si>
    <t>="300-5160-00"</t>
  </si>
  <si>
    <t>=GL(,"Name",$C426)</t>
  </si>
  <si>
    <t>=GL(,"Balance",$C426,,D$6)</t>
  </si>
  <si>
    <t>=F425+1</t>
  </si>
  <si>
    <t>="300-5170-00"</t>
  </si>
  <si>
    <t>=GL(,"Name",$C427)</t>
  </si>
  <si>
    <t>=GL(,"Balance",$C427,,D$6)</t>
  </si>
  <si>
    <t>=F426+1</t>
  </si>
  <si>
    <t>="300-6100-00"</t>
  </si>
  <si>
    <t>=GL(,"Name",$C428)</t>
  </si>
  <si>
    <t>=GL(,"Balance",$C428,,D$6)</t>
  </si>
  <si>
    <t>=F427+1</t>
  </si>
  <si>
    <t>="300-6120-00"</t>
  </si>
  <si>
    <t>=GL(,"Name",$C429)</t>
  </si>
  <si>
    <t>=GL(,"Balance",$C429,,D$6)</t>
  </si>
  <si>
    <t>=F428+1</t>
  </si>
  <si>
    <t>="300-6130-00"</t>
  </si>
  <si>
    <t>=GL(,"Name",$C430)</t>
  </si>
  <si>
    <t>=GL(,"Balance",$C430,,D$6)</t>
  </si>
  <si>
    <t>=F429+1</t>
  </si>
  <si>
    <t>="300-6140-00"</t>
  </si>
  <si>
    <t>=GL(,"Name",$C431)</t>
  </si>
  <si>
    <t>=GL(,"Balance",$C431,,D$6)</t>
  </si>
  <si>
    <t>=F430+1</t>
  </si>
  <si>
    <t>="300-6150-00"</t>
  </si>
  <si>
    <t>=GL(,"Name",$C432)</t>
  </si>
  <si>
    <t>=GL(,"Balance",$C432,,D$6)</t>
  </si>
  <si>
    <t>=F431+1</t>
  </si>
  <si>
    <t>="300-6160-00"</t>
  </si>
  <si>
    <t>=GL(,"Name",$C433)</t>
  </si>
  <si>
    <t>=GL(,"Balance",$C433,,D$6)</t>
  </si>
  <si>
    <t>=F432+1</t>
  </si>
  <si>
    <t>="300-6170-00"</t>
  </si>
  <si>
    <t>=GL(,"Name",$C434)</t>
  </si>
  <si>
    <t>=GL(,"Balance",$C434,,D$6)</t>
  </si>
  <si>
    <t>=F433+1</t>
  </si>
  <si>
    <t>="300-6180-00"</t>
  </si>
  <si>
    <t>=GL(,"Name",$C435)</t>
  </si>
  <si>
    <t>=GL(,"Balance",$C435,,D$6)</t>
  </si>
  <si>
    <t>=F434+1</t>
  </si>
  <si>
    <t>="300-6190-00"</t>
  </si>
  <si>
    <t>=GL(,"Name",$C436)</t>
  </si>
  <si>
    <t>=GL(,"Balance",$C436,,D$6)</t>
  </si>
  <si>
    <t>=F435+1</t>
  </si>
  <si>
    <t>="300-6500-00"</t>
  </si>
  <si>
    <t>=GL(,"Name",$C437)</t>
  </si>
  <si>
    <t>=GL(,"Balance",$C437,,D$6)</t>
  </si>
  <si>
    <t>=F436+1</t>
  </si>
  <si>
    <t>="300-6510-00"</t>
  </si>
  <si>
    <t>=GL(,"Name",$C438)</t>
  </si>
  <si>
    <t>=GL(,"Balance",$C438,,D$6)</t>
  </si>
  <si>
    <t>=F437+1</t>
  </si>
  <si>
    <t>="300-6520-00"</t>
  </si>
  <si>
    <t>=GL(,"Name",$C439)</t>
  </si>
  <si>
    <t>=GL(,"Balance",$C439,,D$6)</t>
  </si>
  <si>
    <t>=F438+1</t>
  </si>
  <si>
    <t>="300-6530-00"</t>
  </si>
  <si>
    <t>=GL(,"Name",$C440)</t>
  </si>
  <si>
    <t>=GL(,"Balance",$C440,,D$6)</t>
  </si>
  <si>
    <t>=F439+1</t>
  </si>
  <si>
    <t>="300-9010-00"</t>
  </si>
  <si>
    <t>=GL(,"Name",$C441)</t>
  </si>
  <si>
    <t>=GL(,"Balance",$C441,,D$6)</t>
  </si>
  <si>
    <t>=F440+1</t>
  </si>
  <si>
    <t>="300-9020-00"</t>
  </si>
  <si>
    <t>=GL(,"Name",$C442)</t>
  </si>
  <si>
    <t>=GL(,"Balance",$C442,,D$6)</t>
  </si>
  <si>
    <t>=F441+1</t>
  </si>
  <si>
    <t>="300-9030-00"</t>
  </si>
  <si>
    <t>=GL(,"Name",$C443)</t>
  </si>
  <si>
    <t>=GL(,"Balance",$C443,,D$6)</t>
  </si>
  <si>
    <t>=F442+1</t>
  </si>
  <si>
    <t>="400-5100-00"</t>
  </si>
  <si>
    <t>=GL(,"Name",$C444)</t>
  </si>
  <si>
    <t>=GL(,"Balance",$C444,,D$6)</t>
  </si>
  <si>
    <t>=F443+1</t>
  </si>
  <si>
    <t>="400-5101-00"</t>
  </si>
  <si>
    <t>=GL(,"Name",$C445)</t>
  </si>
  <si>
    <t>=GL(,"Balance",$C445,,D$6)</t>
  </si>
  <si>
    <t>=F444+1</t>
  </si>
  <si>
    <t>="400-5110-00"</t>
  </si>
  <si>
    <t>=GL(,"Name",$C446)</t>
  </si>
  <si>
    <t>=GL(,"Balance",$C446,,D$6)</t>
  </si>
  <si>
    <t>=F445+1</t>
  </si>
  <si>
    <t>="400-5111-00"</t>
  </si>
  <si>
    <t>=GL(,"Name",$C447)</t>
  </si>
  <si>
    <t>=GL(,"Balance",$C447,,D$6)</t>
  </si>
  <si>
    <t>=F446+1</t>
  </si>
  <si>
    <t>="400-5120-00"</t>
  </si>
  <si>
    <t>=GL(,"Name",$C448)</t>
  </si>
  <si>
    <t>=GL(,"Balance",$C448,,D$6)</t>
  </si>
  <si>
    <t>=F447+1</t>
  </si>
  <si>
    <t>="400-5121-00"</t>
  </si>
  <si>
    <t>=GL(,"Name",$C449)</t>
  </si>
  <si>
    <t>=GL(,"Balance",$C449,,D$6)</t>
  </si>
  <si>
    <t>=F448+1</t>
  </si>
  <si>
    <t>="400-5130-00"</t>
  </si>
  <si>
    <t>=GL(,"Name",$C450)</t>
  </si>
  <si>
    <t>=GL(,"Balance",$C450,,D$6)</t>
  </si>
  <si>
    <t>=F449+1</t>
  </si>
  <si>
    <t>="400-5131-00"</t>
  </si>
  <si>
    <t>=GL(,"Name",$C451)</t>
  </si>
  <si>
    <t>=GL(,"Balance",$C451,,D$6)</t>
  </si>
  <si>
    <t>=F450+1</t>
  </si>
  <si>
    <t>="400-5140-00"</t>
  </si>
  <si>
    <t>=GL(,"Name",$C452)</t>
  </si>
  <si>
    <t>=GL(,"Balance",$C452,,D$6)</t>
  </si>
  <si>
    <t>=F451+1</t>
  </si>
  <si>
    <t>="400-5141-00"</t>
  </si>
  <si>
    <t>=GL(,"Name",$C453)</t>
  </si>
  <si>
    <t>=GL(,"Balance",$C453,,D$6)</t>
  </si>
  <si>
    <t>=F452+1</t>
  </si>
  <si>
    <t>="400-5150-00"</t>
  </si>
  <si>
    <t>=GL(,"Name",$C454)</t>
  </si>
  <si>
    <t>=GL(,"Balance",$C454,,D$6)</t>
  </si>
  <si>
    <t>=F453+1</t>
  </si>
  <si>
    <t>="400-5160-00"</t>
  </si>
  <si>
    <t>=GL(,"Name",$C455)</t>
  </si>
  <si>
    <t>=GL(,"Balance",$C455,,D$6)</t>
  </si>
  <si>
    <t>=F454+1</t>
  </si>
  <si>
    <t>="400-5170-00"</t>
  </si>
  <si>
    <t>=GL(,"Name",$C456)</t>
  </si>
  <si>
    <t>=GL(,"Balance",$C456,,D$6)</t>
  </si>
  <si>
    <t>=F455+1</t>
  </si>
  <si>
    <t>="400-5600-00"</t>
  </si>
  <si>
    <t>=GL(,"Name",$C457)</t>
  </si>
  <si>
    <t>=GL(,"Balance",$C457,,D$6)</t>
  </si>
  <si>
    <t>=F456+1</t>
  </si>
  <si>
    <t>="400-6100-00"</t>
  </si>
  <si>
    <t>=GL(,"Name",$C458)</t>
  </si>
  <si>
    <t>=GL(,"Balance",$C458,,D$6)</t>
  </si>
  <si>
    <t>=F457+1</t>
  </si>
  <si>
    <t>="400-6110-00"</t>
  </si>
  <si>
    <t>=GL(,"Name",$C459)</t>
  </si>
  <si>
    <t>=GL(,"Balance",$C459,,D$6)</t>
  </si>
  <si>
    <t>=F458+1</t>
  </si>
  <si>
    <t>="400-6120-00"</t>
  </si>
  <si>
    <t>=GL(,"Name",$C460)</t>
  </si>
  <si>
    <t>=GL(,"Balance",$C460,,D$6)</t>
  </si>
  <si>
    <t>=F459+1</t>
  </si>
  <si>
    <t>="400-6130-00"</t>
  </si>
  <si>
    <t>=GL(,"Name",$C461)</t>
  </si>
  <si>
    <t>=GL(,"Balance",$C461,,D$6)</t>
  </si>
  <si>
    <t>=F460+1</t>
  </si>
  <si>
    <t>="400-6140-00"</t>
  </si>
  <si>
    <t>=GL(,"Name",$C462)</t>
  </si>
  <si>
    <t>=GL(,"Balance",$C462,,D$6)</t>
  </si>
  <si>
    <t>=F461+1</t>
  </si>
  <si>
    <t>="400-6150-00"</t>
  </si>
  <si>
    <t>=GL(,"Name",$C463)</t>
  </si>
  <si>
    <t>=GL(,"Balance",$C463,,D$6)</t>
  </si>
  <si>
    <t>=F462+1</t>
  </si>
  <si>
    <t>="400-6160-00"</t>
  </si>
  <si>
    <t>=GL(,"Name",$C464)</t>
  </si>
  <si>
    <t>=GL(,"Balance",$C464,,D$6)</t>
  </si>
  <si>
    <t>=F463+1</t>
  </si>
  <si>
    <t>="400-6170-00"</t>
  </si>
  <si>
    <t>=GL(,"Name",$C465)</t>
  </si>
  <si>
    <t>=GL(,"Balance",$C465,,D$6)</t>
  </si>
  <si>
    <t>=F464+1</t>
  </si>
  <si>
    <t>="400-6180-00"</t>
  </si>
  <si>
    <t>=GL(,"Name",$C466)</t>
  </si>
  <si>
    <t>=GL(,"Balance",$C466,,D$6)</t>
  </si>
  <si>
    <t>=F465+1</t>
  </si>
  <si>
    <t>="400-6190-00"</t>
  </si>
  <si>
    <t>=GL(,"Name",$C467)</t>
  </si>
  <si>
    <t>=GL(,"Balance",$C467,,D$6)</t>
  </si>
  <si>
    <t>=F466+1</t>
  </si>
  <si>
    <t>="400-6500-00"</t>
  </si>
  <si>
    <t>=GL(,"Name",$C468)</t>
  </si>
  <si>
    <t>=GL(,"Balance",$C468,,D$6)</t>
  </si>
  <si>
    <t>=F467+1</t>
  </si>
  <si>
    <t>="400-6510-00"</t>
  </si>
  <si>
    <t>=GL(,"Name",$C469)</t>
  </si>
  <si>
    <t>=GL(,"Balance",$C469,,D$6)</t>
  </si>
  <si>
    <t>=F468+1</t>
  </si>
  <si>
    <t>="400-6520-00"</t>
  </si>
  <si>
    <t>=GL(,"Name",$C470)</t>
  </si>
  <si>
    <t>=GL(,"Balance",$C470,,D$6)</t>
  </si>
  <si>
    <t>=F469+1</t>
  </si>
  <si>
    <t>="400-6530-00"</t>
  </si>
  <si>
    <t>=GL(,"Name",$C471)</t>
  </si>
  <si>
    <t>=GL(,"Balance",$C471,,D$6)</t>
  </si>
  <si>
    <t>=F470+1</t>
  </si>
  <si>
    <t>="400-9010-00"</t>
  </si>
  <si>
    <t>=GL(,"Name",$C472)</t>
  </si>
  <si>
    <t>=GL(,"Balance",$C472,,D$6)</t>
  </si>
  <si>
    <t>=F471+1</t>
  </si>
  <si>
    <t>="400-9020-00"</t>
  </si>
  <si>
    <t>=GL(,"Name",$C473)</t>
  </si>
  <si>
    <t>=GL(,"Balance",$C473,,D$6)</t>
  </si>
  <si>
    <t>=F472+1</t>
  </si>
  <si>
    <t>="400-9030-00"</t>
  </si>
  <si>
    <t>=GL(,"Name",$C474)</t>
  </si>
  <si>
    <t>=GL(,"Balance",$C474,,D$6)</t>
  </si>
  <si>
    <t>=F473+1</t>
  </si>
  <si>
    <t>="500-5100-00"</t>
  </si>
  <si>
    <t>=GL(,"Name",$C475)</t>
  </si>
  <si>
    <t>=GL(,"Balance",$C475,,D$6)</t>
  </si>
  <si>
    <t>=F474+1</t>
  </si>
  <si>
    <t>="500-5101-00"</t>
  </si>
  <si>
    <t>=GL(,"Name",$C476)</t>
  </si>
  <si>
    <t>=GL(,"Balance",$C476,,D$6)</t>
  </si>
  <si>
    <t>=F475+1</t>
  </si>
  <si>
    <t>="500-5110-00"</t>
  </si>
  <si>
    <t>=GL(,"Name",$C477)</t>
  </si>
  <si>
    <t>=GL(,"Balance",$C477,,D$6)</t>
  </si>
  <si>
    <t>=F476+1</t>
  </si>
  <si>
    <t>="500-5111-00"</t>
  </si>
  <si>
    <t>=GL(,"Name",$C478)</t>
  </si>
  <si>
    <t>=GL(,"Balance",$C478,,D$6)</t>
  </si>
  <si>
    <t>=F477+1</t>
  </si>
  <si>
    <t>="500-5120-00"</t>
  </si>
  <si>
    <t>=GL(,"Name",$C479)</t>
  </si>
  <si>
    <t>=GL(,"Balance",$C479,,D$6)</t>
  </si>
  <si>
    <t>=F478+1</t>
  </si>
  <si>
    <t>="500-5121-00"</t>
  </si>
  <si>
    <t>=GL(,"Name",$C480)</t>
  </si>
  <si>
    <t>=GL(,"Balance",$C480,,D$6)</t>
  </si>
  <si>
    <t>=F479+1</t>
  </si>
  <si>
    <t>="500-5130-00"</t>
  </si>
  <si>
    <t>=GL(,"Name",$C481)</t>
  </si>
  <si>
    <t>=GL(,"Balance",$C481,,D$6)</t>
  </si>
  <si>
    <t>=F480+1</t>
  </si>
  <si>
    <t>="500-5131-00"</t>
  </si>
  <si>
    <t>=GL(,"Name",$C482)</t>
  </si>
  <si>
    <t>=GL(,"Balance",$C482,,D$6)</t>
  </si>
  <si>
    <t>=F481+1</t>
  </si>
  <si>
    <t>="500-5140-00"</t>
  </si>
  <si>
    <t>=GL(,"Name",$C483)</t>
  </si>
  <si>
    <t>=GL(,"Balance",$C483,,D$6)</t>
  </si>
  <si>
    <t>=F482+1</t>
  </si>
  <si>
    <t>="500-5141-00"</t>
  </si>
  <si>
    <t>=GL(,"Name",$C484)</t>
  </si>
  <si>
    <t>=GL(,"Balance",$C484,,D$6)</t>
  </si>
  <si>
    <t>=F483+1</t>
  </si>
  <si>
    <t>="500-5150-00"</t>
  </si>
  <si>
    <t>=GL(,"Name",$C485)</t>
  </si>
  <si>
    <t>=GL(,"Balance",$C485,,D$6)</t>
  </si>
  <si>
    <t>=F484+1</t>
  </si>
  <si>
    <t>="500-5160-00"</t>
  </si>
  <si>
    <t>=GL(,"Name",$C486)</t>
  </si>
  <si>
    <t>=GL(,"Balance",$C486,,D$6)</t>
  </si>
  <si>
    <t>=F485+1</t>
  </si>
  <si>
    <t>="500-5170-00"</t>
  </si>
  <si>
    <t>=GL(,"Name",$C487)</t>
  </si>
  <si>
    <t>=GL(,"Balance",$C487,,D$6)</t>
  </si>
  <si>
    <t>=F486+1</t>
  </si>
  <si>
    <t>="500-5600-00"</t>
  </si>
  <si>
    <t>=GL(,"Name",$C488)</t>
  </si>
  <si>
    <t>=GL(,"Balance",$C488,,D$6)</t>
  </si>
  <si>
    <t>=F487+1</t>
  </si>
  <si>
    <t>="500-6100-00"</t>
  </si>
  <si>
    <t>=GL(,"Name",$C489)</t>
  </si>
  <si>
    <t>=GL(,"Balance",$C489,,D$6)</t>
  </si>
  <si>
    <t>=F488+1</t>
  </si>
  <si>
    <t>="500-6120-00"</t>
  </si>
  <si>
    <t>=GL(,"Name",$C490)</t>
  </si>
  <si>
    <t>=GL(,"Balance",$C490,,D$6)</t>
  </si>
  <si>
    <t>=F489+1</t>
  </si>
  <si>
    <t>="500-6130-00"</t>
  </si>
  <si>
    <t>=GL(,"Name",$C491)</t>
  </si>
  <si>
    <t>=GL(,"Balance",$C491,,D$6)</t>
  </si>
  <si>
    <t>=F490+1</t>
  </si>
  <si>
    <t>="500-6140-00"</t>
  </si>
  <si>
    <t>=GL(,"Name",$C492)</t>
  </si>
  <si>
    <t>=GL(,"Balance",$C492,,D$6)</t>
  </si>
  <si>
    <t>=F491+1</t>
  </si>
  <si>
    <t>="500-6150-00"</t>
  </si>
  <si>
    <t>=GL(,"Name",$C493)</t>
  </si>
  <si>
    <t>=GL(,"Balance",$C493,,D$6)</t>
  </si>
  <si>
    <t>=F492+1</t>
  </si>
  <si>
    <t>="500-6160-00"</t>
  </si>
  <si>
    <t>=GL(,"Name",$C494)</t>
  </si>
  <si>
    <t>=GL(,"Balance",$C494,,D$6)</t>
  </si>
  <si>
    <t>=F493+1</t>
  </si>
  <si>
    <t>="500-6170-00"</t>
  </si>
  <si>
    <t>=GL(,"Name",$C495)</t>
  </si>
  <si>
    <t>=GL(,"Balance",$C495,,D$6)</t>
  </si>
  <si>
    <t>=F494+1</t>
  </si>
  <si>
    <t>="500-6180-00"</t>
  </si>
  <si>
    <t>=GL(,"Name",$C496)</t>
  </si>
  <si>
    <t>=GL(,"Balance",$C496,,D$6)</t>
  </si>
  <si>
    <t>=F495+1</t>
  </si>
  <si>
    <t>="500-6190-00"</t>
  </si>
  <si>
    <t>=GL(,"Name",$C497)</t>
  </si>
  <si>
    <t>=GL(,"Balance",$C497,,D$6)</t>
  </si>
  <si>
    <t>=F496+1</t>
  </si>
  <si>
    <t>="500-6500-00"</t>
  </si>
  <si>
    <t>=GL(,"Name",$C498)</t>
  </si>
  <si>
    <t>=GL(,"Balance",$C498,,D$6)</t>
  </si>
  <si>
    <t>=F497+1</t>
  </si>
  <si>
    <t>="500-6510-00"</t>
  </si>
  <si>
    <t>=GL(,"Name",$C499)</t>
  </si>
  <si>
    <t>=GL(,"Balance",$C499,,D$6)</t>
  </si>
  <si>
    <t>=F498+1</t>
  </si>
  <si>
    <t>="500-6520-00"</t>
  </si>
  <si>
    <t>=GL(,"Name",$C500)</t>
  </si>
  <si>
    <t>=GL(,"Balance",$C500,,D$6)</t>
  </si>
  <si>
    <t>=F499+1</t>
  </si>
  <si>
    <t>="500-6530-00"</t>
  </si>
  <si>
    <t>=GL(,"Name",$C501)</t>
  </si>
  <si>
    <t>=GL(,"Balance",$C501,,D$6)</t>
  </si>
  <si>
    <t>=F500+1</t>
  </si>
  <si>
    <t>="500-9010-00"</t>
  </si>
  <si>
    <t>=GL(,"Name",$C502)</t>
  </si>
  <si>
    <t>=GL(,"Balance",$C502,,D$6)</t>
  </si>
  <si>
    <t>=F501+1</t>
  </si>
  <si>
    <t>="500-9020-00"</t>
  </si>
  <si>
    <t>=GL(,"Name",$C503)</t>
  </si>
  <si>
    <t>=GL(,"Balance",$C503,,D$6)</t>
  </si>
  <si>
    <t>=F502+1</t>
  </si>
  <si>
    <t>="500-9030-00"</t>
  </si>
  <si>
    <t>=GL(,"Name",$C504)</t>
  </si>
  <si>
    <t>=GL(,"Balance",$C504,,D$6)</t>
  </si>
  <si>
    <t>=F503+1</t>
  </si>
  <si>
    <t>="600-5100-00"</t>
  </si>
  <si>
    <t>=GL(,"Name",$C505)</t>
  </si>
  <si>
    <t>=GL(,"Balance",$C505,,D$6)</t>
  </si>
  <si>
    <t>=F504+1</t>
  </si>
  <si>
    <t>="600-5110-00"</t>
  </si>
  <si>
    <t>=GL(,"Name",$C506)</t>
  </si>
  <si>
    <t>=GL(,"Balance",$C506,,D$6)</t>
  </si>
  <si>
    <t>=F505+1</t>
  </si>
  <si>
    <t>="600-5120-00"</t>
  </si>
  <si>
    <t>=GL(,"Name",$C507)</t>
  </si>
  <si>
    <t>=GL(,"Balance",$C507,,D$6)</t>
  </si>
  <si>
    <t>=F506+1</t>
  </si>
  <si>
    <t>="600-5140-00"</t>
  </si>
  <si>
    <t>=GL(,"Name",$C508)</t>
  </si>
  <si>
    <t>=GL(,"Balance",$C508,,D$6)</t>
  </si>
  <si>
    <t>=F507+1</t>
  </si>
  <si>
    <t>="600-5150-00"</t>
  </si>
  <si>
    <t>=GL(,"Name",$C509)</t>
  </si>
  <si>
    <t>=GL(,"Balance",$C509,,D$6)</t>
  </si>
  <si>
    <t>=F508+1</t>
  </si>
  <si>
    <t>="600-5160-00"</t>
  </si>
  <si>
    <t>=GL(,"Name",$C510)</t>
  </si>
  <si>
    <t>=GL(,"Balance",$C510,,D$6)</t>
  </si>
  <si>
    <t>=F509+1</t>
  </si>
  <si>
    <t>="600-5170-00"</t>
  </si>
  <si>
    <t>=GL(,"Name",$C511)</t>
  </si>
  <si>
    <t>=GL(,"Balance",$C511,,D$6)</t>
  </si>
  <si>
    <t>=F510+1</t>
  </si>
  <si>
    <t>="600-6100-00"</t>
  </si>
  <si>
    <t>=GL(,"Name",$C512)</t>
  </si>
  <si>
    <t>=GL(,"Balance",$C512,,D$6)</t>
  </si>
  <si>
    <t>=F511+1</t>
  </si>
  <si>
    <t>="600-6120-00"</t>
  </si>
  <si>
    <t>=GL(,"Name",$C513)</t>
  </si>
  <si>
    <t>=GL(,"Balance",$C513,,D$6)</t>
  </si>
  <si>
    <t>=F512+1</t>
  </si>
  <si>
    <t>="600-6130-00"</t>
  </si>
  <si>
    <t>=GL(,"Name",$C514)</t>
  </si>
  <si>
    <t>=GL(,"Balance",$C514,,D$6)</t>
  </si>
  <si>
    <t>=F513+1</t>
  </si>
  <si>
    <t>="600-6140-00"</t>
  </si>
  <si>
    <t>=GL(,"Name",$C515)</t>
  </si>
  <si>
    <t>=GL(,"Balance",$C515,,D$6)</t>
  </si>
  <si>
    <t>=F514+1</t>
  </si>
  <si>
    <t>="600-6150-00"</t>
  </si>
  <si>
    <t>=GL(,"Name",$C516)</t>
  </si>
  <si>
    <t>=GL(,"Balance",$C516,,D$6)</t>
  </si>
  <si>
    <t>=F515+1</t>
  </si>
  <si>
    <t>="600-6160-00"</t>
  </si>
  <si>
    <t>=GL(,"Name",$C517)</t>
  </si>
  <si>
    <t>=GL(,"Balance",$C517,,D$6)</t>
  </si>
  <si>
    <t>=F516+1</t>
  </si>
  <si>
    <t>="600-6170-00"</t>
  </si>
  <si>
    <t>=GL(,"Name",$C518)</t>
  </si>
  <si>
    <t>=GL(,"Balance",$C518,,D$6)</t>
  </si>
  <si>
    <t>=F517+1</t>
  </si>
  <si>
    <t>="600-6180-00"</t>
  </si>
  <si>
    <t>=GL(,"Name",$C519)</t>
  </si>
  <si>
    <t>=GL(,"Balance",$C519,,D$6)</t>
  </si>
  <si>
    <t>=F518+1</t>
  </si>
  <si>
    <t>="600-6190-00"</t>
  </si>
  <si>
    <t>=GL(,"Name",$C520)</t>
  </si>
  <si>
    <t>=GL(,"Balance",$C520,,D$6)</t>
  </si>
  <si>
    <t>=F519+1</t>
  </si>
  <si>
    <t>="600-6500-00"</t>
  </si>
  <si>
    <t>=GL(,"Name",$C521)</t>
  </si>
  <si>
    <t>=GL(,"Balance",$C521,,D$6)</t>
  </si>
  <si>
    <t>=F520+1</t>
  </si>
  <si>
    <t>="600-6510-00"</t>
  </si>
  <si>
    <t>=GL(,"Name",$C522)</t>
  </si>
  <si>
    <t>=GL(,"Balance",$C522,,D$6)</t>
  </si>
  <si>
    <t>=F521+1</t>
  </si>
  <si>
    <t>="600-6520-00"</t>
  </si>
  <si>
    <t>=GL(,"Name",$C523)</t>
  </si>
  <si>
    <t>=GL(,"Balance",$C523,,D$6)</t>
  </si>
  <si>
    <t>=F522+1</t>
  </si>
  <si>
    <t>="600-6530-00"</t>
  </si>
  <si>
    <t>=GL(,"Name",$C524)</t>
  </si>
  <si>
    <t>=GL(,"Balance",$C524,,D$6)</t>
  </si>
  <si>
    <t>=F523+1</t>
  </si>
  <si>
    <t>="600-9010-00"</t>
  </si>
  <si>
    <t>=GL(,"Name",$C525)</t>
  </si>
  <si>
    <t>=GL(,"Balance",$C525,,D$6)</t>
  </si>
  <si>
    <t>=F524+1</t>
  </si>
  <si>
    <t>="600-9020-00"</t>
  </si>
  <si>
    <t>=GL(,"Name",$C526)</t>
  </si>
  <si>
    <t>=GL(,"Balance",$C526,,D$6)</t>
  </si>
  <si>
    <t>=F525+1</t>
  </si>
  <si>
    <t>="600-9030-00"</t>
  </si>
  <si>
    <t>=GL(,"Name",$C527)</t>
  </si>
  <si>
    <t>=GL(,"Balance",$C527,,D$6)</t>
  </si>
  <si>
    <t>=F526+1</t>
  </si>
  <si>
    <t>="999-9999-99"</t>
  </si>
  <si>
    <t>=GL(,"Name",$C528)</t>
  </si>
  <si>
    <t>=GL(,"Balance",$C528,,D$6)</t>
  </si>
  <si>
    <t>=F527+1</t>
  </si>
  <si>
    <t>=SUM(E10:E529)</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</si>
  <si>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</si>
  <si>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</si>
  <si>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</si>
  <si>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</si>
  <si>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</si>
  <si>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</si>
  <si>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</si>
  <si>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</si>
  <si>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</si>
  <si>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</si>
  <si>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</si>
  <si>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</si>
  <si>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</si>
  <si>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</si>
  <si>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</si>
  <si>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create a Trial Balance for a given month end date or period.</t>
  </si>
  <si>
    <t>Auto+Hide+Values+Formulas=Sheet2,Sheet3+FormulasOnly</t>
  </si>
  <si>
    <t>Auto+Hide+Values+Formulas=Sheet5,Sheet2,Sheet3</t>
  </si>
  <si>
    <t>Auto+Hide+Values+Formulas=Sheet5,Sheet2,Sheet3+FormulasOnly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</si>
</sst>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10"/>
      <name val="Arial"/>
      <family val="2"/>
    </font>
    <font>
      <b/>
      <sz val="11"/>
      <color theme="1"/>
      <name val="Calibri"/>
      <family val="2"/>
      <scheme val="minor"/>
    </font>
    <font>
      <sz val="9"/>
      <color indexed="55"/>
      <name val="Segoe UI Semibold"/>
      <family val="2"/>
    </font>
    <font>
      <sz val="9"/>
      <name val="Segoe UI Semibold"/>
      <family val="2"/>
    </font>
    <font>
      <b/>
      <sz val="9"/>
      <name val="Segoe UI Semibold"/>
      <family val="2"/>
    </font>
    <font>
      <b/>
      <sz val="16"/>
      <color theme="6" tint="-0.249977111117893"/>
      <name val="Segoe UI"/>
      <family val="2"/>
    </font>
    <font>
      <b/>
      <sz val="11"/>
      <color indexed="9"/>
      <name val="Segoe UI Semibold"/>
      <family val="2"/>
    </font>
    <font>
      <sz val="9"/>
      <name val="Calibri"/>
      <family val="2"/>
      <scheme val="minor"/>
    </font>
    <font>
      <sz val="11"/>
      <name val="Calibri"/>
      <family val="2"/>
      <scheme val="minor"/>
    </font>
    <font>
      <sz val="9"/>
      <color theme="0" tint="-0.499984740745262"/>
      <name val="Calibri"/>
      <family val="2"/>
      <scheme val="minor"/>
    </font>
    <font>
      <b/>
      <sz val="12"/>
      <color theme="0"/>
      <name val="Calibri"/>
      <family val="2"/>
      <scheme val="minor"/>
    </font>
    <font>
      <sz val="12"/>
      <color theme="0"/>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4">
    <fill>
      <patternFill patternType="none"/>
    </fill>
    <fill>
      <patternFill patternType="gray125"/>
    </fill>
    <fill>
      <patternFill patternType="solid">
        <fgColor theme="6" tint="-0.249977111117893"/>
        <bgColor indexed="64"/>
      </patternFill>
    </fill>
    <fill>
      <patternFill patternType="solid">
        <fgColor theme="4" tint="0.59999389629810485"/>
        <bgColor indexed="64"/>
      </patternFill>
    </fill>
  </fills>
  <borders count="2">
    <border>
      <left/>
      <right/>
      <top/>
      <bottom/>
      <diagonal/>
    </border>
    <border>
      <left/>
      <right/>
      <top style="thin">
        <color indexed="62"/>
      </top>
      <bottom style="double">
        <color indexed="62"/>
      </bottom>
      <diagonal/>
    </border>
  </borders>
  <cellStyleXfs count="11">
    <xf numFmtId="0" fontId="0" fillId="0" borderId="0"/>
    <xf numFmtId="44" fontId="3" fillId="0" borderId="0" applyFont="0" applyFill="0" applyBorder="0" applyAlignment="0" applyProtection="0"/>
    <xf numFmtId="0" fontId="5" fillId="0" borderId="0"/>
    <xf numFmtId="0" fontId="7" fillId="0" borderId="0"/>
    <xf numFmtId="0" fontId="8" fillId="0" borderId="0"/>
    <xf numFmtId="0" fontId="9" fillId="0" borderId="1" applyNumberFormat="0" applyFill="0" applyAlignment="0" applyProtection="0"/>
    <xf numFmtId="0" fontId="3" fillId="0" borderId="0"/>
    <xf numFmtId="0" fontId="2" fillId="0" borderId="0"/>
    <xf numFmtId="0" fontId="1" fillId="0" borderId="0"/>
    <xf numFmtId="0" fontId="1" fillId="0" borderId="0"/>
    <xf numFmtId="0" fontId="6" fillId="0" borderId="0" applyNumberFormat="0" applyFill="0" applyBorder="0" applyAlignment="0" applyProtection="0">
      <alignment vertical="top"/>
      <protection locked="0"/>
    </xf>
  </cellStyleXfs>
  <cellXfs count="29">
    <xf numFmtId="0" fontId="0" fillId="0" borderId="0" xfId="0"/>
    <xf numFmtId="0" fontId="10" fillId="0" borderId="0" xfId="0" applyFont="1"/>
    <xf numFmtId="0" fontId="11" fillId="0" borderId="0" xfId="0" applyFont="1"/>
    <xf numFmtId="0" fontId="12" fillId="0" borderId="0" xfId="0" applyFont="1"/>
    <xf numFmtId="0" fontId="11" fillId="0" borderId="0" xfId="0" applyFont="1" applyFill="1"/>
    <xf numFmtId="43" fontId="11" fillId="0" borderId="0" xfId="0" applyNumberFormat="1" applyFont="1"/>
    <xf numFmtId="0" fontId="13" fillId="0" borderId="0" xfId="0" applyFont="1"/>
    <xf numFmtId="0" fontId="14" fillId="2" borderId="0" xfId="0" applyFont="1" applyFill="1"/>
    <xf numFmtId="0" fontId="15" fillId="0" borderId="0" xfId="0" applyFont="1"/>
    <xf numFmtId="0" fontId="16" fillId="0" borderId="0" xfId="0" applyFont="1"/>
    <xf numFmtId="0" fontId="17" fillId="0" borderId="0" xfId="0" applyFont="1"/>
    <xf numFmtId="0" fontId="18" fillId="2" borderId="0" xfId="0" applyFont="1" applyFill="1"/>
    <xf numFmtId="0" fontId="19" fillId="2" borderId="0" xfId="0" applyFont="1" applyFill="1"/>
    <xf numFmtId="43" fontId="11" fillId="0" borderId="0" xfId="1" applyNumberFormat="1" applyFont="1" applyFill="1"/>
    <xf numFmtId="0" fontId="10" fillId="0" borderId="0" xfId="0" applyFont="1" applyFill="1"/>
    <xf numFmtId="0" fontId="11" fillId="0" borderId="0" xfId="0" applyFont="1" applyAlignment="1">
      <alignment horizontal="left"/>
    </xf>
    <xf numFmtId="14" fontId="11" fillId="0" borderId="0" xfId="0" applyNumberFormat="1" applyFont="1" applyAlignment="1">
      <alignment horizontal="left"/>
    </xf>
    <xf numFmtId="0" fontId="9" fillId="3" borderId="1" xfId="5" applyFill="1"/>
    <xf numFmtId="43" fontId="9" fillId="3" borderId="1" xfId="5" applyNumberFormat="1" applyFill="1"/>
    <xf numFmtId="0" fontId="0" fillId="0" borderId="0" xfId="0" quotePrefix="1"/>
    <xf numFmtId="0" fontId="20" fillId="0" borderId="0" xfId="8" applyFont="1"/>
    <xf numFmtId="0" fontId="20" fillId="0" borderId="0" xfId="8" applyFont="1" applyAlignment="1">
      <alignment vertical="top"/>
    </xf>
    <xf numFmtId="0" fontId="20" fillId="0" borderId="0" xfId="8" applyFont="1" applyAlignment="1">
      <alignment vertical="top" wrapText="1"/>
    </xf>
    <xf numFmtId="0" fontId="21" fillId="0" borderId="0" xfId="8" applyFont="1" applyAlignment="1">
      <alignment vertical="top"/>
    </xf>
    <xf numFmtId="0" fontId="22" fillId="0" borderId="0" xfId="8" applyFont="1" applyAlignment="1">
      <alignment vertical="top"/>
    </xf>
    <xf numFmtId="0" fontId="23" fillId="0" borderId="0" xfId="8" applyFont="1" applyAlignment="1">
      <alignment vertical="top"/>
    </xf>
    <xf numFmtId="0" fontId="20" fillId="0" borderId="0" xfId="9" applyFont="1" applyAlignment="1">
      <alignment vertical="top" wrapText="1"/>
    </xf>
    <xf numFmtId="0" fontId="6" fillId="0" borderId="0" xfId="10" applyAlignment="1" applyProtection="1">
      <alignment vertical="top"/>
    </xf>
    <xf numFmtId="14" fontId="20" fillId="0" borderId="0" xfId="8" applyNumberFormat="1" applyFont="1"/>
  </cellXfs>
  <cellStyles count="11">
    <cellStyle name="Currency" xfId="1" builtinId="4"/>
    <cellStyle name="Hyperlink 3" xfId="10"/>
    <cellStyle name="Normal" xfId="0" builtinId="0"/>
    <cellStyle name="Normal 2" xfId="2"/>
    <cellStyle name="Normal 2 2" xfId="3"/>
    <cellStyle name="Normal 2 3" xfId="4"/>
    <cellStyle name="Normal 2 4" xfId="6"/>
    <cellStyle name="Normal 3" xfId="8"/>
    <cellStyle name="Normal 3 2" xfId="7"/>
    <cellStyle name="Normal 3 22" xfId="9"/>
    <cellStyle name="Total" xfId="5" builtinId="25"/>
  </cellStyles>
  <dxfs count="2">
    <dxf>
      <fill>
        <patternFill>
          <bgColor theme="0" tint="-0.14996795556505021"/>
        </patternFill>
      </fill>
    </dxf>
    <dxf>
      <fill>
        <patternFill>
          <bgColor theme="0" tint="-0.1499679555650502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showGridLines="0" tabSelected="1" topLeftCell="B2" workbookViewId="0"/>
  </sheetViews>
  <sheetFormatPr defaultColWidth="9.140625" defaultRowHeight="14.25" x14ac:dyDescent="0.25"/>
  <cols>
    <col min="1" max="1" width="3.42578125" style="20" hidden="1" customWidth="1"/>
    <col min="2" max="2" width="10.28515625" style="20" customWidth="1"/>
    <col min="3" max="3" width="27.140625" style="21" customWidth="1"/>
    <col min="4" max="4" width="77.28515625" style="22" customWidth="1"/>
    <col min="5" max="5" width="36.42578125" style="20" customWidth="1"/>
    <col min="6" max="16384" width="9.140625" style="20"/>
  </cols>
  <sheetData>
    <row r="1" spans="1:5" hidden="1" x14ac:dyDescent="0.25">
      <c r="A1" s="20" t="s">
        <v>2108</v>
      </c>
    </row>
    <row r="7" spans="1:5" ht="30.75" x14ac:dyDescent="0.25">
      <c r="C7" s="23" t="s">
        <v>11</v>
      </c>
    </row>
    <row r="9" spans="1:5" x14ac:dyDescent="0.25">
      <c r="C9" s="24"/>
    </row>
    <row r="10" spans="1:5" x14ac:dyDescent="0.25">
      <c r="C10" s="25" t="s">
        <v>12</v>
      </c>
      <c r="D10" s="26" t="s">
        <v>2123</v>
      </c>
    </row>
    <row r="11" spans="1:5" x14ac:dyDescent="0.25">
      <c r="C11" s="25"/>
    </row>
    <row r="12" spans="1:5" x14ac:dyDescent="0.25">
      <c r="C12" s="25" t="s">
        <v>13</v>
      </c>
      <c r="D12" s="22" t="s">
        <v>2109</v>
      </c>
    </row>
    <row r="13" spans="1:5" x14ac:dyDescent="0.25">
      <c r="C13" s="25"/>
    </row>
    <row r="14" spans="1:5" ht="57" x14ac:dyDescent="0.25">
      <c r="C14" s="25" t="s">
        <v>14</v>
      </c>
      <c r="D14" s="22" t="s">
        <v>2110</v>
      </c>
      <c r="E14" s="27" t="s">
        <v>23</v>
      </c>
    </row>
    <row r="15" spans="1:5" x14ac:dyDescent="0.25">
      <c r="C15" s="25"/>
      <c r="E15" s="21"/>
    </row>
    <row r="16" spans="1:5" ht="28.5" x14ac:dyDescent="0.25">
      <c r="C16" s="25" t="s">
        <v>24</v>
      </c>
      <c r="D16" s="22" t="s">
        <v>2111</v>
      </c>
      <c r="E16" s="27" t="s">
        <v>25</v>
      </c>
    </row>
    <row r="17" spans="3:6" x14ac:dyDescent="0.25">
      <c r="C17" s="25"/>
      <c r="E17" s="21"/>
    </row>
    <row r="18" spans="3:6" ht="57" x14ac:dyDescent="0.25">
      <c r="C18" s="25" t="s">
        <v>2112</v>
      </c>
      <c r="D18" s="22" t="s">
        <v>2113</v>
      </c>
      <c r="E18" s="27" t="s">
        <v>2114</v>
      </c>
    </row>
    <row r="19" spans="3:6" x14ac:dyDescent="0.25">
      <c r="C19" s="25"/>
      <c r="E19" s="21"/>
    </row>
    <row r="20" spans="3:6" ht="30.75" customHeight="1" x14ac:dyDescent="0.25">
      <c r="C20" s="25" t="s">
        <v>15</v>
      </c>
      <c r="D20" s="22" t="s">
        <v>2115</v>
      </c>
      <c r="E20" s="27" t="s">
        <v>2116</v>
      </c>
    </row>
    <row r="21" spans="3:6" x14ac:dyDescent="0.25">
      <c r="C21" s="25"/>
      <c r="E21" s="21"/>
    </row>
    <row r="22" spans="3:6" ht="14.25" customHeight="1" x14ac:dyDescent="0.25">
      <c r="C22" s="25" t="s">
        <v>16</v>
      </c>
      <c r="D22" s="22" t="s">
        <v>2117</v>
      </c>
      <c r="E22" s="27" t="s">
        <v>2118</v>
      </c>
    </row>
    <row r="23" spans="3:6" x14ac:dyDescent="0.25">
      <c r="C23" s="25"/>
      <c r="E23" s="21"/>
    </row>
    <row r="24" spans="3:6" ht="15" customHeight="1" x14ac:dyDescent="0.25">
      <c r="C24" s="25" t="s">
        <v>10</v>
      </c>
      <c r="D24" s="22" t="s">
        <v>2119</v>
      </c>
      <c r="E24" s="27" t="s">
        <v>2120</v>
      </c>
    </row>
    <row r="25" spans="3:6" x14ac:dyDescent="0.25">
      <c r="C25" s="25"/>
    </row>
    <row r="26" spans="3:6" ht="71.25" x14ac:dyDescent="0.25">
      <c r="C26" s="25" t="s">
        <v>17</v>
      </c>
      <c r="D26" s="22" t="s">
        <v>2121</v>
      </c>
    </row>
    <row r="27" spans="3:6" x14ac:dyDescent="0.25">
      <c r="C27" s="25"/>
    </row>
    <row r="28" spans="3:6" ht="17.25" customHeight="1" x14ac:dyDescent="0.25">
      <c r="C28" s="25" t="s">
        <v>18</v>
      </c>
      <c r="D28" s="22" t="s">
        <v>2122</v>
      </c>
    </row>
    <row r="29" spans="3:6" x14ac:dyDescent="0.25">
      <c r="F29" s="28"/>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E5"/>
  <sheetViews>
    <sheetView showGridLines="0" topLeftCell="B2" workbookViewId="0"/>
  </sheetViews>
  <sheetFormatPr defaultColWidth="9.140625" defaultRowHeight="12" x14ac:dyDescent="0.2"/>
  <cols>
    <col min="1" max="1" width="9.140625" style="8" hidden="1" customWidth="1"/>
    <col min="2" max="2" width="9.140625" style="8"/>
    <col min="3" max="3" width="16.140625" style="8" bestFit="1" customWidth="1"/>
    <col min="4" max="4" width="12.140625" style="8" customWidth="1"/>
    <col min="5" max="16384" width="9.140625" style="8"/>
  </cols>
  <sheetData>
    <row r="1" spans="1:5" hidden="1" x14ac:dyDescent="0.2">
      <c r="A1" s="10" t="s">
        <v>20</v>
      </c>
      <c r="B1" s="10"/>
      <c r="C1" s="10" t="s">
        <v>7</v>
      </c>
      <c r="D1" s="10" t="s">
        <v>8</v>
      </c>
      <c r="E1" s="10"/>
    </row>
    <row r="2" spans="1:5" x14ac:dyDescent="0.2">
      <c r="A2" s="10"/>
    </row>
    <row r="3" spans="1:5" ht="15.75" x14ac:dyDescent="0.25">
      <c r="A3" s="10"/>
      <c r="C3" s="11" t="s">
        <v>19</v>
      </c>
      <c r="D3" s="12"/>
      <c r="E3" s="9"/>
    </row>
    <row r="4" spans="1:5" ht="15" x14ac:dyDescent="0.25">
      <c r="A4" s="10" t="s">
        <v>6</v>
      </c>
      <c r="C4" s="9" t="s">
        <v>21</v>
      </c>
      <c r="D4" s="9" t="str">
        <f>"6/1/2016"</f>
        <v>6/1/2016</v>
      </c>
      <c r="E4" s="9"/>
    </row>
    <row r="5" spans="1:5" x14ac:dyDescent="0.2">
      <c r="A5" s="10"/>
    </row>
  </sheetData>
  <phoneticPr fontId="4" type="noConversion"/>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1"/>
  <sheetViews>
    <sheetView showGridLines="0" zoomScaleNormal="100" workbookViewId="0">
      <pane xSplit="1" ySplit="9" topLeftCell="B10" activePane="bottomRight" state="frozen"/>
      <selection pane="topRight" activeCell="B1" sqref="B1"/>
      <selection pane="bottomLeft" activeCell="A8" sqref="A8"/>
      <selection pane="bottomRight"/>
    </sheetView>
  </sheetViews>
  <sheetFormatPr defaultColWidth="9.140625" defaultRowHeight="12" x14ac:dyDescent="0.2"/>
  <cols>
    <col min="1" max="1" width="4.5703125" style="2" hidden="1" customWidth="1"/>
    <col min="2" max="2" width="7.5703125" style="2" customWidth="1"/>
    <col min="3" max="3" width="15.42578125" style="2" customWidth="1"/>
    <col min="4" max="4" width="41.7109375" style="2" bestFit="1" customWidth="1"/>
    <col min="5" max="5" width="12.28515625" style="2" bestFit="1" customWidth="1"/>
    <col min="6" max="6" width="9.140625" style="2" hidden="1" customWidth="1"/>
    <col min="7" max="16384" width="9.140625" style="2"/>
  </cols>
  <sheetData>
    <row r="1" spans="1:6" hidden="1" x14ac:dyDescent="0.2">
      <c r="A1" s="1" t="s">
        <v>2125</v>
      </c>
      <c r="D1" s="1" t="s">
        <v>9</v>
      </c>
      <c r="E1" s="1" t="s">
        <v>9</v>
      </c>
      <c r="F1" s="1" t="s">
        <v>4</v>
      </c>
    </row>
    <row r="4" spans="1:6" ht="25.5" x14ac:dyDescent="0.5">
      <c r="C4" s="6" t="s">
        <v>1</v>
      </c>
    </row>
    <row r="6" spans="1:6" x14ac:dyDescent="0.2">
      <c r="C6" s="3" t="s">
        <v>22</v>
      </c>
      <c r="D6" s="15" t="str">
        <f>EndPeriod</f>
        <v>6/1/2016</v>
      </c>
    </row>
    <row r="7" spans="1:6" x14ac:dyDescent="0.2">
      <c r="C7" s="3" t="s">
        <v>5</v>
      </c>
      <c r="D7" s="16">
        <f ca="1">TODAY()</f>
        <v>43370</v>
      </c>
    </row>
    <row r="9" spans="1:6" ht="16.5" x14ac:dyDescent="0.3">
      <c r="C9" s="7" t="s">
        <v>2</v>
      </c>
      <c r="D9" s="7" t="s">
        <v>3</v>
      </c>
      <c r="E9" s="7" t="str">
        <f>TEXT($D$6,"Mmm yyyy")</f>
        <v>Jun 2016</v>
      </c>
    </row>
    <row r="10" spans="1:6" x14ac:dyDescent="0.2">
      <c r="C10" s="4" t="str">
        <f>"000-1100-00"</f>
        <v>000-1100-00</v>
      </c>
      <c r="D10" s="4" t="str">
        <f>"Cash - Operating Account"</f>
        <v>Cash - Operating Account</v>
      </c>
      <c r="E10" s="13">
        <v>955241.58</v>
      </c>
      <c r="F10" s="14">
        <f>F9+1</f>
        <v>1</v>
      </c>
    </row>
    <row r="11" spans="1:6" x14ac:dyDescent="0.2">
      <c r="A11" s="2" t="s">
        <v>34</v>
      </c>
      <c r="C11" s="4" t="str">
        <f>"000-1101-00"</f>
        <v>000-1101-00</v>
      </c>
      <c r="D11" s="4" t="str">
        <f>"Cash in Bank - Canada"</f>
        <v>Cash in Bank - Canada</v>
      </c>
      <c r="E11" s="13">
        <v>8957.84</v>
      </c>
      <c r="F11" s="14">
        <f t="shared" ref="F11:F74" si="0">F10+1</f>
        <v>2</v>
      </c>
    </row>
    <row r="12" spans="1:6" x14ac:dyDescent="0.2">
      <c r="A12" s="2" t="s">
        <v>34</v>
      </c>
      <c r="C12" s="4" t="str">
        <f>"000-1102-00"</f>
        <v>000-1102-00</v>
      </c>
      <c r="D12" s="4" t="str">
        <f>"Cash in Bank - Australia"</f>
        <v>Cash in Bank - Australia</v>
      </c>
      <c r="E12" s="13">
        <v>18302.169999999998</v>
      </c>
      <c r="F12" s="14">
        <f t="shared" si="0"/>
        <v>3</v>
      </c>
    </row>
    <row r="13" spans="1:6" x14ac:dyDescent="0.2">
      <c r="A13" s="2" t="s">
        <v>34</v>
      </c>
      <c r="C13" s="4" t="str">
        <f>"000-1103-00"</f>
        <v>000-1103-00</v>
      </c>
      <c r="D13" s="4" t="str">
        <f>"Cash in Bank - New Zealand"</f>
        <v>Cash in Bank - New Zealand</v>
      </c>
      <c r="E13" s="13">
        <v>6007.94</v>
      </c>
      <c r="F13" s="14">
        <f t="shared" si="0"/>
        <v>4</v>
      </c>
    </row>
    <row r="14" spans="1:6" x14ac:dyDescent="0.2">
      <c r="A14" s="2" t="s">
        <v>34</v>
      </c>
      <c r="C14" s="4" t="str">
        <f>"000-1104-00"</f>
        <v>000-1104-00</v>
      </c>
      <c r="D14" s="4" t="str">
        <f>"Cash in Bank - Germany"</f>
        <v>Cash in Bank - Germany</v>
      </c>
      <c r="E14" s="13">
        <v>0</v>
      </c>
      <c r="F14" s="14">
        <f t="shared" si="0"/>
        <v>5</v>
      </c>
    </row>
    <row r="15" spans="1:6" x14ac:dyDescent="0.2">
      <c r="A15" s="2" t="s">
        <v>34</v>
      </c>
      <c r="C15" s="4" t="str">
        <f>"000-1105-00"</f>
        <v>000-1105-00</v>
      </c>
      <c r="D15" s="4" t="str">
        <f>"Cash in Bank - United Kingdom"</f>
        <v>Cash in Bank - United Kingdom</v>
      </c>
      <c r="E15" s="13">
        <v>12697.77</v>
      </c>
      <c r="F15" s="14">
        <f t="shared" si="0"/>
        <v>6</v>
      </c>
    </row>
    <row r="16" spans="1:6" x14ac:dyDescent="0.2">
      <c r="A16" s="2" t="s">
        <v>34</v>
      </c>
      <c r="C16" s="4" t="str">
        <f>"000-1106-00"</f>
        <v>000-1106-00</v>
      </c>
      <c r="D16" s="4" t="str">
        <f>"Cash in Bank - South Africa"</f>
        <v>Cash in Bank - South Africa</v>
      </c>
      <c r="E16" s="13">
        <v>7501.9</v>
      </c>
      <c r="F16" s="14">
        <f t="shared" si="0"/>
        <v>7</v>
      </c>
    </row>
    <row r="17" spans="1:6" x14ac:dyDescent="0.2">
      <c r="A17" s="2" t="s">
        <v>34</v>
      </c>
      <c r="C17" s="4" t="str">
        <f>"000-1107-00"</f>
        <v>000-1107-00</v>
      </c>
      <c r="D17" s="4" t="str">
        <f>"Cash in Bank - Singapore"</f>
        <v>Cash in Bank - Singapore</v>
      </c>
      <c r="E17" s="13">
        <v>6963.24</v>
      </c>
      <c r="F17" s="14">
        <f t="shared" si="0"/>
        <v>8</v>
      </c>
    </row>
    <row r="18" spans="1:6" x14ac:dyDescent="0.2">
      <c r="A18" s="2" t="s">
        <v>34</v>
      </c>
      <c r="C18" s="4" t="str">
        <f>"000-1110-00"</f>
        <v>000-1110-00</v>
      </c>
      <c r="D18" s="4" t="str">
        <f>"Cash - Payroll"</f>
        <v>Cash - Payroll</v>
      </c>
      <c r="E18" s="13">
        <v>-614294</v>
      </c>
      <c r="F18" s="14">
        <f t="shared" si="0"/>
        <v>9</v>
      </c>
    </row>
    <row r="19" spans="1:6" x14ac:dyDescent="0.2">
      <c r="A19" s="2" t="s">
        <v>34</v>
      </c>
      <c r="C19" s="4" t="str">
        <f>"000-1120-00"</f>
        <v>000-1120-00</v>
      </c>
      <c r="D19" s="4" t="str">
        <f>"Cash - Flex Benefits Program"</f>
        <v>Cash - Flex Benefits Program</v>
      </c>
      <c r="E19" s="13">
        <v>345.32</v>
      </c>
      <c r="F19" s="14">
        <f t="shared" si="0"/>
        <v>10</v>
      </c>
    </row>
    <row r="20" spans="1:6" x14ac:dyDescent="0.2">
      <c r="A20" s="2" t="s">
        <v>34</v>
      </c>
      <c r="C20" s="4" t="str">
        <f>"000-1130-00"</f>
        <v>000-1130-00</v>
      </c>
      <c r="D20" s="4" t="str">
        <f>"Petty Cash"</f>
        <v>Petty Cash</v>
      </c>
      <c r="E20" s="13">
        <v>-100683.49</v>
      </c>
      <c r="F20" s="14">
        <f t="shared" si="0"/>
        <v>11</v>
      </c>
    </row>
    <row r="21" spans="1:6" x14ac:dyDescent="0.2">
      <c r="A21" s="2" t="s">
        <v>34</v>
      </c>
      <c r="C21" s="4" t="str">
        <f>"000-1140-00"</f>
        <v>000-1140-00</v>
      </c>
      <c r="D21" s="4" t="str">
        <f>"Savings"</f>
        <v>Savings</v>
      </c>
      <c r="E21" s="13">
        <v>16316.12</v>
      </c>
      <c r="F21" s="14">
        <f t="shared" si="0"/>
        <v>12</v>
      </c>
    </row>
    <row r="22" spans="1:6" x14ac:dyDescent="0.2">
      <c r="A22" s="2" t="s">
        <v>34</v>
      </c>
      <c r="C22" s="4" t="str">
        <f>"000-1190-00"</f>
        <v>000-1190-00</v>
      </c>
      <c r="D22" s="4" t="str">
        <f>"Cash Suspense"</f>
        <v>Cash Suspense</v>
      </c>
      <c r="E22" s="13">
        <v>0</v>
      </c>
      <c r="F22" s="14">
        <f t="shared" si="0"/>
        <v>13</v>
      </c>
    </row>
    <row r="23" spans="1:6" x14ac:dyDescent="0.2">
      <c r="A23" s="2" t="s">
        <v>34</v>
      </c>
      <c r="C23" s="4" t="str">
        <f>"000-1200-00"</f>
        <v>000-1200-00</v>
      </c>
      <c r="D23" s="4" t="str">
        <f>"Accounts Receivable"</f>
        <v>Accounts Receivable</v>
      </c>
      <c r="E23" s="13">
        <v>1760156.82</v>
      </c>
      <c r="F23" s="14">
        <f t="shared" si="0"/>
        <v>14</v>
      </c>
    </row>
    <row r="24" spans="1:6" x14ac:dyDescent="0.2">
      <c r="A24" s="2" t="s">
        <v>34</v>
      </c>
      <c r="C24" s="4" t="str">
        <f>"000-1205-00"</f>
        <v>000-1205-00</v>
      </c>
      <c r="D24" s="4" t="str">
        <f>"Sales Discounts Available"</f>
        <v>Sales Discounts Available</v>
      </c>
      <c r="E24" s="13">
        <v>3871.03</v>
      </c>
      <c r="F24" s="14">
        <f t="shared" si="0"/>
        <v>15</v>
      </c>
    </row>
    <row r="25" spans="1:6" x14ac:dyDescent="0.2">
      <c r="A25" s="2" t="s">
        <v>34</v>
      </c>
      <c r="C25" s="4" t="str">
        <f>"000-1210-00"</f>
        <v>000-1210-00</v>
      </c>
      <c r="D25" s="4" t="str">
        <f>"Allowance for Doubtful Accounts"</f>
        <v>Allowance for Doubtful Accounts</v>
      </c>
      <c r="E25" s="13">
        <v>-45963.3</v>
      </c>
      <c r="F25" s="14">
        <f t="shared" si="0"/>
        <v>16</v>
      </c>
    </row>
    <row r="26" spans="1:6" x14ac:dyDescent="0.2">
      <c r="A26" s="2" t="s">
        <v>34</v>
      </c>
      <c r="C26" s="4" t="str">
        <f>"000-1220-00"</f>
        <v>000-1220-00</v>
      </c>
      <c r="D26" s="4" t="str">
        <f>"Credit Card Receivable"</f>
        <v>Credit Card Receivable</v>
      </c>
      <c r="E26" s="13">
        <v>0</v>
      </c>
      <c r="F26" s="14">
        <f t="shared" si="0"/>
        <v>17</v>
      </c>
    </row>
    <row r="27" spans="1:6" x14ac:dyDescent="0.2">
      <c r="A27" s="2" t="s">
        <v>34</v>
      </c>
      <c r="C27" s="4" t="str">
        <f>"000-1220-01"</f>
        <v>000-1220-01</v>
      </c>
      <c r="D27" s="4" t="str">
        <f>"Credit Card Receivable-AmericaCharge"</f>
        <v>Credit Card Receivable-AmericaCharge</v>
      </c>
      <c r="E27" s="13">
        <v>22500</v>
      </c>
      <c r="F27" s="14">
        <f t="shared" si="0"/>
        <v>18</v>
      </c>
    </row>
    <row r="28" spans="1:6" x14ac:dyDescent="0.2">
      <c r="A28" s="2" t="s">
        <v>34</v>
      </c>
      <c r="C28" s="4" t="str">
        <f>"000-1220-02"</f>
        <v>000-1220-02</v>
      </c>
      <c r="D28" s="4" t="str">
        <f>"Credit Card Receivable-Retail"</f>
        <v>Credit Card Receivable-Retail</v>
      </c>
      <c r="E28" s="13">
        <v>0</v>
      </c>
      <c r="F28" s="14">
        <f t="shared" si="0"/>
        <v>19</v>
      </c>
    </row>
    <row r="29" spans="1:6" x14ac:dyDescent="0.2">
      <c r="A29" s="2" t="s">
        <v>34</v>
      </c>
      <c r="C29" s="4" t="str">
        <f>"000-1220-03"</f>
        <v>000-1220-03</v>
      </c>
      <c r="D29" s="4" t="str">
        <f>"Credit Card Receivable-Gold"</f>
        <v>Credit Card Receivable-Gold</v>
      </c>
      <c r="E29" s="13">
        <v>0</v>
      </c>
      <c r="F29" s="14">
        <f t="shared" si="0"/>
        <v>20</v>
      </c>
    </row>
    <row r="30" spans="1:6" x14ac:dyDescent="0.2">
      <c r="A30" s="2" t="s">
        <v>34</v>
      </c>
      <c r="C30" s="4" t="str">
        <f>"000-1220-04"</f>
        <v>000-1220-04</v>
      </c>
      <c r="D30" s="4" t="str">
        <f>"Credit Card Receivable-Platinum"</f>
        <v>Credit Card Receivable-Platinum</v>
      </c>
      <c r="E30" s="13">
        <v>0</v>
      </c>
      <c r="F30" s="14">
        <f t="shared" si="0"/>
        <v>21</v>
      </c>
    </row>
    <row r="31" spans="1:6" x14ac:dyDescent="0.2">
      <c r="A31" s="2" t="s">
        <v>34</v>
      </c>
      <c r="C31" s="4" t="str">
        <f>"000-1230-00"</f>
        <v>000-1230-00</v>
      </c>
      <c r="D31" s="4" t="str">
        <f>"Interest Receivable"</f>
        <v>Interest Receivable</v>
      </c>
      <c r="E31" s="13">
        <v>250</v>
      </c>
      <c r="F31" s="14">
        <f t="shared" si="0"/>
        <v>22</v>
      </c>
    </row>
    <row r="32" spans="1:6" x14ac:dyDescent="0.2">
      <c r="A32" s="2" t="s">
        <v>34</v>
      </c>
      <c r="C32" s="4" t="str">
        <f>"000-1240-00"</f>
        <v>000-1240-00</v>
      </c>
      <c r="D32" s="4" t="str">
        <f>"Notes Receivable"</f>
        <v>Notes Receivable</v>
      </c>
      <c r="E32" s="13">
        <v>5000</v>
      </c>
      <c r="F32" s="14">
        <f t="shared" si="0"/>
        <v>23</v>
      </c>
    </row>
    <row r="33" spans="1:6" x14ac:dyDescent="0.2">
      <c r="A33" s="2" t="s">
        <v>34</v>
      </c>
      <c r="C33" s="4" t="str">
        <f>"000-1250-00"</f>
        <v>000-1250-00</v>
      </c>
      <c r="D33" s="4" t="str">
        <f>"Other Receivables"</f>
        <v>Other Receivables</v>
      </c>
      <c r="E33" s="13">
        <v>0</v>
      </c>
      <c r="F33" s="14">
        <f t="shared" si="0"/>
        <v>24</v>
      </c>
    </row>
    <row r="34" spans="1:6" x14ac:dyDescent="0.2">
      <c r="A34" s="2" t="s">
        <v>34</v>
      </c>
      <c r="C34" s="4" t="str">
        <f>"000-1260-00"</f>
        <v>000-1260-00</v>
      </c>
      <c r="D34" s="4" t="str">
        <f>"Employee Advances"</f>
        <v>Employee Advances</v>
      </c>
      <c r="E34" s="13">
        <v>250</v>
      </c>
      <c r="F34" s="14">
        <f t="shared" si="0"/>
        <v>25</v>
      </c>
    </row>
    <row r="35" spans="1:6" x14ac:dyDescent="0.2">
      <c r="A35" s="2" t="s">
        <v>34</v>
      </c>
      <c r="C35" s="4" t="str">
        <f>"000-1270-00"</f>
        <v>000-1270-00</v>
      </c>
      <c r="D35" s="4" t="str">
        <f>"Accounts Receivable-MC Trx"</f>
        <v>Accounts Receivable-MC Trx</v>
      </c>
      <c r="E35" s="13">
        <v>0</v>
      </c>
      <c r="F35" s="14">
        <f t="shared" si="0"/>
        <v>26</v>
      </c>
    </row>
    <row r="36" spans="1:6" x14ac:dyDescent="0.2">
      <c r="A36" s="2" t="s">
        <v>34</v>
      </c>
      <c r="C36" s="4" t="str">
        <f>"000-1271-00"</f>
        <v>000-1271-00</v>
      </c>
      <c r="D36" s="4" t="str">
        <f>"Accounts Receivable - Canada"</f>
        <v>Accounts Receivable - Canada</v>
      </c>
      <c r="E36" s="13">
        <v>26757.58</v>
      </c>
      <c r="F36" s="14">
        <f t="shared" si="0"/>
        <v>27</v>
      </c>
    </row>
    <row r="37" spans="1:6" x14ac:dyDescent="0.2">
      <c r="A37" s="2" t="s">
        <v>34</v>
      </c>
      <c r="C37" s="4" t="str">
        <f>"000-1272-00"</f>
        <v>000-1272-00</v>
      </c>
      <c r="D37" s="4" t="str">
        <f>"Accounts Receivables - Australia"</f>
        <v>Accounts Receivables - Australia</v>
      </c>
      <c r="E37" s="13">
        <v>11164.46</v>
      </c>
      <c r="F37" s="14">
        <f t="shared" si="0"/>
        <v>28</v>
      </c>
    </row>
    <row r="38" spans="1:6" x14ac:dyDescent="0.2">
      <c r="A38" s="2" t="s">
        <v>34</v>
      </c>
      <c r="C38" s="4" t="str">
        <f>"000-1273-00"</f>
        <v>000-1273-00</v>
      </c>
      <c r="D38" s="4" t="str">
        <f>"Accounts Receivable - New Zealand"</f>
        <v>Accounts Receivable - New Zealand</v>
      </c>
      <c r="E38" s="13">
        <v>9381.7900000000009</v>
      </c>
      <c r="F38" s="14">
        <f t="shared" si="0"/>
        <v>29</v>
      </c>
    </row>
    <row r="39" spans="1:6" x14ac:dyDescent="0.2">
      <c r="A39" s="2" t="s">
        <v>34</v>
      </c>
      <c r="C39" s="4" t="str">
        <f>"000-1274-00"</f>
        <v>000-1274-00</v>
      </c>
      <c r="D39" s="4" t="str">
        <f>"Accounts Receivable - Germany"</f>
        <v>Accounts Receivable - Germany</v>
      </c>
      <c r="E39" s="13">
        <v>0</v>
      </c>
      <c r="F39" s="14">
        <f t="shared" si="0"/>
        <v>30</v>
      </c>
    </row>
    <row r="40" spans="1:6" x14ac:dyDescent="0.2">
      <c r="A40" s="2" t="s">
        <v>34</v>
      </c>
      <c r="C40" s="4" t="str">
        <f>"000-1275-00"</f>
        <v>000-1275-00</v>
      </c>
      <c r="D40" s="4" t="str">
        <f>"Accounts Receivable - United Kingdom"</f>
        <v>Accounts Receivable - United Kingdom</v>
      </c>
      <c r="E40" s="13">
        <v>2003.24</v>
      </c>
      <c r="F40" s="14">
        <f t="shared" si="0"/>
        <v>31</v>
      </c>
    </row>
    <row r="41" spans="1:6" x14ac:dyDescent="0.2">
      <c r="A41" s="2" t="s">
        <v>34</v>
      </c>
      <c r="C41" s="4" t="str">
        <f>"000-1276-00"</f>
        <v>000-1276-00</v>
      </c>
      <c r="D41" s="4" t="str">
        <f>"Accounts Receivable - South Africa"</f>
        <v>Accounts Receivable - South Africa</v>
      </c>
      <c r="E41" s="13">
        <v>6772.78</v>
      </c>
      <c r="F41" s="14">
        <f t="shared" si="0"/>
        <v>32</v>
      </c>
    </row>
    <row r="42" spans="1:6" x14ac:dyDescent="0.2">
      <c r="A42" s="2" t="s">
        <v>34</v>
      </c>
      <c r="C42" s="4" t="str">
        <f>"000-1277-00"</f>
        <v>000-1277-00</v>
      </c>
      <c r="D42" s="4" t="str">
        <f>"Accounts Receivable - Singapore"</f>
        <v>Accounts Receivable - Singapore</v>
      </c>
      <c r="E42" s="13">
        <v>3221.71</v>
      </c>
      <c r="F42" s="14">
        <f t="shared" si="0"/>
        <v>33</v>
      </c>
    </row>
    <row r="43" spans="1:6" x14ac:dyDescent="0.2">
      <c r="A43" s="2" t="s">
        <v>34</v>
      </c>
      <c r="C43" s="4" t="str">
        <f>"000-1280-00"</f>
        <v>000-1280-00</v>
      </c>
      <c r="D43" s="4" t="str">
        <f>"Unbilled Accounts Receivable"</f>
        <v>Unbilled Accounts Receivable</v>
      </c>
      <c r="E43" s="13">
        <v>0</v>
      </c>
      <c r="F43" s="14">
        <f t="shared" si="0"/>
        <v>34</v>
      </c>
    </row>
    <row r="44" spans="1:6" x14ac:dyDescent="0.2">
      <c r="A44" s="2" t="s">
        <v>34</v>
      </c>
      <c r="C44" s="4" t="str">
        <f>"000-1300-01"</f>
        <v>000-1300-01</v>
      </c>
      <c r="D44" s="4" t="str">
        <f>"Inventory - Retail/Parts"</f>
        <v>Inventory - Retail/Parts</v>
      </c>
      <c r="E44" s="13">
        <v>359737.27</v>
      </c>
      <c r="F44" s="14">
        <f t="shared" si="0"/>
        <v>35</v>
      </c>
    </row>
    <row r="45" spans="1:6" x14ac:dyDescent="0.2">
      <c r="A45" s="2" t="s">
        <v>34</v>
      </c>
      <c r="C45" s="4" t="str">
        <f>"000-1300-02"</f>
        <v>000-1300-02</v>
      </c>
      <c r="D45" s="4" t="str">
        <f>"Inventory - Finished Goods"</f>
        <v>Inventory - Finished Goods</v>
      </c>
      <c r="E45" s="13">
        <v>63657.21</v>
      </c>
      <c r="F45" s="14">
        <f t="shared" si="0"/>
        <v>36</v>
      </c>
    </row>
    <row r="46" spans="1:6" x14ac:dyDescent="0.2">
      <c r="A46" s="2" t="s">
        <v>34</v>
      </c>
      <c r="C46" s="4" t="str">
        <f>"000-1310-01"</f>
        <v>000-1310-01</v>
      </c>
      <c r="D46" s="4" t="str">
        <f>"Inventory Warehouse - Retail/Parts"</f>
        <v>Inventory Warehouse - Retail/Parts</v>
      </c>
      <c r="E46" s="13">
        <v>62613.94</v>
      </c>
      <c r="F46" s="14">
        <f t="shared" si="0"/>
        <v>37</v>
      </c>
    </row>
    <row r="47" spans="1:6" x14ac:dyDescent="0.2">
      <c r="A47" s="2" t="s">
        <v>34</v>
      </c>
      <c r="C47" s="4" t="str">
        <f>"000-1312-00"</f>
        <v>000-1312-00</v>
      </c>
      <c r="D47" s="4" t="str">
        <f>"Inventory Offset"</f>
        <v>Inventory Offset</v>
      </c>
      <c r="E47" s="13">
        <v>-1007.3</v>
      </c>
      <c r="F47" s="14">
        <f t="shared" si="0"/>
        <v>38</v>
      </c>
    </row>
    <row r="48" spans="1:6" x14ac:dyDescent="0.2">
      <c r="A48" s="2" t="s">
        <v>34</v>
      </c>
      <c r="C48" s="4" t="str">
        <f>"000-1320-01"</f>
        <v>000-1320-01</v>
      </c>
      <c r="D48" s="4" t="str">
        <f>"Non-inventoried item"</f>
        <v>Non-inventoried item</v>
      </c>
      <c r="E48" s="13">
        <v>0</v>
      </c>
      <c r="F48" s="14">
        <f t="shared" si="0"/>
        <v>39</v>
      </c>
    </row>
    <row r="49" spans="1:6" x14ac:dyDescent="0.2">
      <c r="A49" s="2" t="s">
        <v>34</v>
      </c>
      <c r="C49" s="4" t="str">
        <f>"000-1330-01"</f>
        <v>000-1330-01</v>
      </c>
      <c r="D49" s="4" t="str">
        <f>"Inventory Returns - Retail/Parts"</f>
        <v>Inventory Returns - Retail/Parts</v>
      </c>
      <c r="E49" s="13">
        <v>0</v>
      </c>
      <c r="F49" s="14">
        <f t="shared" si="0"/>
        <v>40</v>
      </c>
    </row>
    <row r="50" spans="1:6" x14ac:dyDescent="0.2">
      <c r="A50" s="2" t="s">
        <v>34</v>
      </c>
      <c r="C50" s="4" t="str">
        <f>"000-1330-02"</f>
        <v>000-1330-02</v>
      </c>
      <c r="D50" s="4" t="str">
        <f>"Inventory Returns - Finished Goods"</f>
        <v>Inventory Returns - Finished Goods</v>
      </c>
      <c r="E50" s="13">
        <v>0</v>
      </c>
      <c r="F50" s="14">
        <f t="shared" si="0"/>
        <v>41</v>
      </c>
    </row>
    <row r="51" spans="1:6" x14ac:dyDescent="0.2">
      <c r="A51" s="2" t="s">
        <v>34</v>
      </c>
      <c r="C51" s="4" t="str">
        <f>"000-1330-03"</f>
        <v>000-1330-03</v>
      </c>
      <c r="D51" s="4" t="str">
        <f>"Inventory Returns - Warehouse"</f>
        <v>Inventory Returns - Warehouse</v>
      </c>
      <c r="E51" s="13">
        <v>0</v>
      </c>
      <c r="F51" s="14">
        <f t="shared" si="0"/>
        <v>42</v>
      </c>
    </row>
    <row r="52" spans="1:6" x14ac:dyDescent="0.2">
      <c r="A52" s="2" t="s">
        <v>34</v>
      </c>
      <c r="C52" s="4" t="str">
        <f>"000-1340-01"</f>
        <v>000-1340-01</v>
      </c>
      <c r="D52" s="4" t="str">
        <f>"Work in Progress"</f>
        <v>Work in Progress</v>
      </c>
      <c r="E52" s="13">
        <v>0</v>
      </c>
      <c r="F52" s="14">
        <f t="shared" si="0"/>
        <v>43</v>
      </c>
    </row>
    <row r="53" spans="1:6" x14ac:dyDescent="0.2">
      <c r="A53" s="2" t="s">
        <v>34</v>
      </c>
      <c r="C53" s="4" t="str">
        <f>"000-1350-02"</f>
        <v>000-1350-02</v>
      </c>
      <c r="D53" s="4" t="str">
        <f>"Inventory - Mat. Fixed OH"</f>
        <v>Inventory - Mat. Fixed OH</v>
      </c>
      <c r="E53" s="13">
        <v>0</v>
      </c>
      <c r="F53" s="14">
        <f t="shared" si="0"/>
        <v>44</v>
      </c>
    </row>
    <row r="54" spans="1:6" x14ac:dyDescent="0.2">
      <c r="A54" s="2" t="s">
        <v>34</v>
      </c>
      <c r="C54" s="4" t="str">
        <f>"000-1350-03"</f>
        <v>000-1350-03</v>
      </c>
      <c r="D54" s="4" t="str">
        <f>"Inventory - Mat. Var. OH"</f>
        <v>Inventory - Mat. Var. OH</v>
      </c>
      <c r="E54" s="13">
        <v>0</v>
      </c>
      <c r="F54" s="14">
        <f t="shared" si="0"/>
        <v>45</v>
      </c>
    </row>
    <row r="55" spans="1:6" x14ac:dyDescent="0.2">
      <c r="A55" s="2" t="s">
        <v>34</v>
      </c>
      <c r="C55" s="4" t="str">
        <f>"000-1350-04"</f>
        <v>000-1350-04</v>
      </c>
      <c r="D55" s="4" t="str">
        <f>"Inventory - Labor"</f>
        <v>Inventory - Labor</v>
      </c>
      <c r="E55" s="13">
        <v>0</v>
      </c>
      <c r="F55" s="14">
        <f t="shared" si="0"/>
        <v>46</v>
      </c>
    </row>
    <row r="56" spans="1:6" x14ac:dyDescent="0.2">
      <c r="A56" s="2" t="s">
        <v>34</v>
      </c>
      <c r="C56" s="4" t="str">
        <f>"000-1350-05"</f>
        <v>000-1350-05</v>
      </c>
      <c r="D56" s="4" t="str">
        <f>"Inventory - Labor Fixed OH"</f>
        <v>Inventory - Labor Fixed OH</v>
      </c>
      <c r="E56" s="13">
        <v>0</v>
      </c>
      <c r="F56" s="14">
        <f t="shared" si="0"/>
        <v>47</v>
      </c>
    </row>
    <row r="57" spans="1:6" x14ac:dyDescent="0.2">
      <c r="A57" s="2" t="s">
        <v>34</v>
      </c>
      <c r="C57" s="4" t="str">
        <f>"000-1350-06"</f>
        <v>000-1350-06</v>
      </c>
      <c r="D57" s="4" t="str">
        <f>"Inventory - Labor Var. OH"</f>
        <v>Inventory - Labor Var. OH</v>
      </c>
      <c r="E57" s="13">
        <v>0</v>
      </c>
      <c r="F57" s="14">
        <f t="shared" si="0"/>
        <v>48</v>
      </c>
    </row>
    <row r="58" spans="1:6" x14ac:dyDescent="0.2">
      <c r="A58" s="2" t="s">
        <v>34</v>
      </c>
      <c r="C58" s="4" t="str">
        <f>"000-1350-07"</f>
        <v>000-1350-07</v>
      </c>
      <c r="D58" s="4" t="str">
        <f>"Inventory - Machine"</f>
        <v>Inventory - Machine</v>
      </c>
      <c r="E58" s="13">
        <v>0</v>
      </c>
      <c r="F58" s="14">
        <f t="shared" si="0"/>
        <v>49</v>
      </c>
    </row>
    <row r="59" spans="1:6" x14ac:dyDescent="0.2">
      <c r="A59" s="2" t="s">
        <v>34</v>
      </c>
      <c r="C59" s="4" t="str">
        <f>"000-1350-08"</f>
        <v>000-1350-08</v>
      </c>
      <c r="D59" s="4" t="str">
        <f>"Inventory - Mach. Fixed OH"</f>
        <v>Inventory - Mach. Fixed OH</v>
      </c>
      <c r="E59" s="13">
        <v>0</v>
      </c>
      <c r="F59" s="14">
        <f t="shared" si="0"/>
        <v>50</v>
      </c>
    </row>
    <row r="60" spans="1:6" x14ac:dyDescent="0.2">
      <c r="A60" s="2" t="s">
        <v>34</v>
      </c>
      <c r="C60" s="4" t="str">
        <f>"000-1350-09"</f>
        <v>000-1350-09</v>
      </c>
      <c r="D60" s="4" t="str">
        <f>"Inventory - Mach. Var. OH"</f>
        <v>Inventory - Mach. Var. OH</v>
      </c>
      <c r="E60" s="13">
        <v>0</v>
      </c>
      <c r="F60" s="14">
        <f t="shared" si="0"/>
        <v>51</v>
      </c>
    </row>
    <row r="61" spans="1:6" x14ac:dyDescent="0.2">
      <c r="A61" s="2" t="s">
        <v>34</v>
      </c>
      <c r="C61" s="4" t="str">
        <f>"000-1360-01"</f>
        <v>000-1360-01</v>
      </c>
      <c r="D61" s="4" t="str">
        <f>"WIP - Material"</f>
        <v>WIP - Material</v>
      </c>
      <c r="E61" s="13">
        <v>0</v>
      </c>
      <c r="F61" s="14">
        <f t="shared" si="0"/>
        <v>52</v>
      </c>
    </row>
    <row r="62" spans="1:6" x14ac:dyDescent="0.2">
      <c r="A62" s="2" t="s">
        <v>34</v>
      </c>
      <c r="C62" s="4" t="str">
        <f>"000-1360-02"</f>
        <v>000-1360-02</v>
      </c>
      <c r="D62" s="4" t="str">
        <f>"WIP - Material Fixed OH"</f>
        <v>WIP - Material Fixed OH</v>
      </c>
      <c r="E62" s="13">
        <v>0</v>
      </c>
      <c r="F62" s="14">
        <f t="shared" si="0"/>
        <v>53</v>
      </c>
    </row>
    <row r="63" spans="1:6" x14ac:dyDescent="0.2">
      <c r="A63" s="2" t="s">
        <v>34</v>
      </c>
      <c r="C63" s="4" t="str">
        <f>"000-1360-03"</f>
        <v>000-1360-03</v>
      </c>
      <c r="D63" s="4" t="str">
        <f>"WIP - Material Var. OH"</f>
        <v>WIP - Material Var. OH</v>
      </c>
      <c r="E63" s="13">
        <v>0</v>
      </c>
      <c r="F63" s="14">
        <f t="shared" si="0"/>
        <v>54</v>
      </c>
    </row>
    <row r="64" spans="1:6" x14ac:dyDescent="0.2">
      <c r="A64" s="2" t="s">
        <v>34</v>
      </c>
      <c r="C64" s="4" t="str">
        <f>"000-1360-04"</f>
        <v>000-1360-04</v>
      </c>
      <c r="D64" s="4" t="str">
        <f>"WIP - Labor"</f>
        <v>WIP - Labor</v>
      </c>
      <c r="E64" s="13">
        <v>0</v>
      </c>
      <c r="F64" s="14">
        <f t="shared" si="0"/>
        <v>55</v>
      </c>
    </row>
    <row r="65" spans="1:6" x14ac:dyDescent="0.2">
      <c r="A65" s="2" t="s">
        <v>34</v>
      </c>
      <c r="C65" s="4" t="str">
        <f>"000-1360-05"</f>
        <v>000-1360-05</v>
      </c>
      <c r="D65" s="4" t="str">
        <f>"WIP - Labor Fixed OH"</f>
        <v>WIP - Labor Fixed OH</v>
      </c>
      <c r="E65" s="13">
        <v>0</v>
      </c>
      <c r="F65" s="14">
        <f t="shared" si="0"/>
        <v>56</v>
      </c>
    </row>
    <row r="66" spans="1:6" x14ac:dyDescent="0.2">
      <c r="A66" s="2" t="s">
        <v>34</v>
      </c>
      <c r="C66" s="4" t="str">
        <f>"000-1360-06"</f>
        <v>000-1360-06</v>
      </c>
      <c r="D66" s="4" t="str">
        <f>"WIP - Labor Var. OH"</f>
        <v>WIP - Labor Var. OH</v>
      </c>
      <c r="E66" s="13">
        <v>0</v>
      </c>
      <c r="F66" s="14">
        <f t="shared" si="0"/>
        <v>57</v>
      </c>
    </row>
    <row r="67" spans="1:6" x14ac:dyDescent="0.2">
      <c r="A67" s="2" t="s">
        <v>34</v>
      </c>
      <c r="C67" s="4" t="str">
        <f>"000-1360-07"</f>
        <v>000-1360-07</v>
      </c>
      <c r="D67" s="4" t="str">
        <f>"WIP - Machine"</f>
        <v>WIP - Machine</v>
      </c>
      <c r="E67" s="13">
        <v>0</v>
      </c>
      <c r="F67" s="14">
        <f t="shared" si="0"/>
        <v>58</v>
      </c>
    </row>
    <row r="68" spans="1:6" x14ac:dyDescent="0.2">
      <c r="A68" s="2" t="s">
        <v>34</v>
      </c>
      <c r="C68" s="4" t="str">
        <f>"000-1360-08"</f>
        <v>000-1360-08</v>
      </c>
      <c r="D68" s="4" t="str">
        <f>"WIP - Machine Fixed OH"</f>
        <v>WIP - Machine Fixed OH</v>
      </c>
      <c r="E68" s="13">
        <v>0</v>
      </c>
      <c r="F68" s="14">
        <f t="shared" si="0"/>
        <v>59</v>
      </c>
    </row>
    <row r="69" spans="1:6" x14ac:dyDescent="0.2">
      <c r="A69" s="2" t="s">
        <v>34</v>
      </c>
      <c r="C69" s="4" t="str">
        <f>"000-1360-09"</f>
        <v>000-1360-09</v>
      </c>
      <c r="D69" s="4" t="str">
        <f>"WIP - Machine Var. OH"</f>
        <v>WIP - Machine Var. OH</v>
      </c>
      <c r="E69" s="13">
        <v>0</v>
      </c>
      <c r="F69" s="14">
        <f t="shared" si="0"/>
        <v>60</v>
      </c>
    </row>
    <row r="70" spans="1:6" x14ac:dyDescent="0.2">
      <c r="A70" s="2" t="s">
        <v>34</v>
      </c>
      <c r="C70" s="4" t="str">
        <f>"000-1370-01"</f>
        <v>000-1370-01</v>
      </c>
      <c r="D70" s="4" t="str">
        <f>"Applied - Material Fixed OH"</f>
        <v>Applied - Material Fixed OH</v>
      </c>
      <c r="E70" s="13">
        <v>0</v>
      </c>
      <c r="F70" s="14">
        <f t="shared" si="0"/>
        <v>61</v>
      </c>
    </row>
    <row r="71" spans="1:6" x14ac:dyDescent="0.2">
      <c r="A71" s="2" t="s">
        <v>34</v>
      </c>
      <c r="C71" s="4" t="str">
        <f>"000-1370-02"</f>
        <v>000-1370-02</v>
      </c>
      <c r="D71" s="4" t="str">
        <f>"Applied - Material Var. OH"</f>
        <v>Applied - Material Var. OH</v>
      </c>
      <c r="E71" s="13">
        <v>0</v>
      </c>
      <c r="F71" s="14">
        <f t="shared" si="0"/>
        <v>62</v>
      </c>
    </row>
    <row r="72" spans="1:6" x14ac:dyDescent="0.2">
      <c r="A72" s="2" t="s">
        <v>34</v>
      </c>
      <c r="C72" s="4" t="str">
        <f>"000-1380-04"</f>
        <v>000-1380-04</v>
      </c>
      <c r="D72" s="4" t="str">
        <f>"Labor Applied"</f>
        <v>Labor Applied</v>
      </c>
      <c r="E72" s="13">
        <v>0</v>
      </c>
      <c r="F72" s="14">
        <f t="shared" si="0"/>
        <v>63</v>
      </c>
    </row>
    <row r="73" spans="1:6" x14ac:dyDescent="0.2">
      <c r="A73" s="2" t="s">
        <v>34</v>
      </c>
      <c r="C73" s="4" t="str">
        <f>"000-1380-05"</f>
        <v>000-1380-05</v>
      </c>
      <c r="D73" s="4" t="str">
        <f>"Applied - Labor Fixed OH"</f>
        <v>Applied - Labor Fixed OH</v>
      </c>
      <c r="E73" s="13">
        <v>0</v>
      </c>
      <c r="F73" s="14">
        <f t="shared" si="0"/>
        <v>64</v>
      </c>
    </row>
    <row r="74" spans="1:6" x14ac:dyDescent="0.2">
      <c r="A74" s="2" t="s">
        <v>34</v>
      </c>
      <c r="C74" s="4" t="str">
        <f>"000-1380-06"</f>
        <v>000-1380-06</v>
      </c>
      <c r="D74" s="4" t="str">
        <f>"Applied - Labor Var. OH"</f>
        <v>Applied - Labor Var. OH</v>
      </c>
      <c r="E74" s="13">
        <v>0</v>
      </c>
      <c r="F74" s="14">
        <f t="shared" si="0"/>
        <v>65</v>
      </c>
    </row>
    <row r="75" spans="1:6" x14ac:dyDescent="0.2">
      <c r="A75" s="2" t="s">
        <v>34</v>
      </c>
      <c r="C75" s="4" t="str">
        <f>"000-1380-07"</f>
        <v>000-1380-07</v>
      </c>
      <c r="D75" s="4" t="str">
        <f>"Machine - Applied"</f>
        <v>Machine - Applied</v>
      </c>
      <c r="E75" s="13">
        <v>0</v>
      </c>
      <c r="F75" s="14">
        <f t="shared" ref="F75:F138" si="1">F74+1</f>
        <v>66</v>
      </c>
    </row>
    <row r="76" spans="1:6" x14ac:dyDescent="0.2">
      <c r="A76" s="2" t="s">
        <v>34</v>
      </c>
      <c r="C76" s="4" t="str">
        <f>"000-1380-08"</f>
        <v>000-1380-08</v>
      </c>
      <c r="D76" s="4" t="str">
        <f>"Applied - Mach. Fixed OH"</f>
        <v>Applied - Mach. Fixed OH</v>
      </c>
      <c r="E76" s="13">
        <v>0</v>
      </c>
      <c r="F76" s="14">
        <f t="shared" si="1"/>
        <v>67</v>
      </c>
    </row>
    <row r="77" spans="1:6" x14ac:dyDescent="0.2">
      <c r="A77" s="2" t="s">
        <v>34</v>
      </c>
      <c r="C77" s="4" t="str">
        <f>"000-1380-09"</f>
        <v>000-1380-09</v>
      </c>
      <c r="D77" s="4" t="str">
        <f>"Applied - Mach. Var. OH"</f>
        <v>Applied - Mach. Var. OH</v>
      </c>
      <c r="E77" s="13">
        <v>0</v>
      </c>
      <c r="F77" s="14">
        <f t="shared" si="1"/>
        <v>68</v>
      </c>
    </row>
    <row r="78" spans="1:6" x14ac:dyDescent="0.2">
      <c r="A78" s="2" t="s">
        <v>34</v>
      </c>
      <c r="C78" s="4" t="str">
        <f>"000-1390-00"</f>
        <v>000-1390-00</v>
      </c>
      <c r="D78" s="4" t="str">
        <f>"Standard Cost Revaluation"</f>
        <v>Standard Cost Revaluation</v>
      </c>
      <c r="E78" s="13">
        <v>0</v>
      </c>
      <c r="F78" s="14">
        <f t="shared" si="1"/>
        <v>69</v>
      </c>
    </row>
    <row r="79" spans="1:6" x14ac:dyDescent="0.2">
      <c r="A79" s="2" t="s">
        <v>34</v>
      </c>
      <c r="C79" s="4" t="str">
        <f>"000-1400-00"</f>
        <v>000-1400-00</v>
      </c>
      <c r="D79" s="4" t="str">
        <f>"Prepaid Expenses"</f>
        <v>Prepaid Expenses</v>
      </c>
      <c r="E79" s="13">
        <v>0</v>
      </c>
      <c r="F79" s="14">
        <f t="shared" si="1"/>
        <v>70</v>
      </c>
    </row>
    <row r="80" spans="1:6" x14ac:dyDescent="0.2">
      <c r="A80" s="2" t="s">
        <v>34</v>
      </c>
      <c r="C80" s="4" t="str">
        <f>"000-1410-00"</f>
        <v>000-1410-00</v>
      </c>
      <c r="D80" s="4" t="str">
        <f>"Prepaid Insurance"</f>
        <v>Prepaid Insurance</v>
      </c>
      <c r="E80" s="13">
        <v>31486.59</v>
      </c>
      <c r="F80" s="14">
        <f t="shared" si="1"/>
        <v>71</v>
      </c>
    </row>
    <row r="81" spans="1:6" x14ac:dyDescent="0.2">
      <c r="A81" s="2" t="s">
        <v>34</v>
      </c>
      <c r="C81" s="4" t="str">
        <f>"000-1500-00"</f>
        <v>000-1500-00</v>
      </c>
      <c r="D81" s="4" t="str">
        <f>"Furniture &amp; Fixtures"</f>
        <v>Furniture &amp; Fixtures</v>
      </c>
      <c r="E81" s="13">
        <v>543695.97</v>
      </c>
      <c r="F81" s="14">
        <f t="shared" si="1"/>
        <v>72</v>
      </c>
    </row>
    <row r="82" spans="1:6" x14ac:dyDescent="0.2">
      <c r="A82" s="2" t="s">
        <v>34</v>
      </c>
      <c r="C82" s="4" t="str">
        <f>"000-1505-00"</f>
        <v>000-1505-00</v>
      </c>
      <c r="D82" s="4" t="str">
        <f>"Accumulated Depreciation-Furniture &amp; Fixtures"</f>
        <v>Accumulated Depreciation-Furniture &amp; Fixtures</v>
      </c>
      <c r="E82" s="13">
        <v>-204639.25</v>
      </c>
      <c r="F82" s="14">
        <f t="shared" si="1"/>
        <v>73</v>
      </c>
    </row>
    <row r="83" spans="1:6" x14ac:dyDescent="0.2">
      <c r="A83" s="2" t="s">
        <v>34</v>
      </c>
      <c r="C83" s="4" t="str">
        <f>"000-1510-00"</f>
        <v>000-1510-00</v>
      </c>
      <c r="D83" s="4" t="str">
        <f>"Computer Equipment"</f>
        <v>Computer Equipment</v>
      </c>
      <c r="E83" s="13">
        <v>125895.23</v>
      </c>
      <c r="F83" s="14">
        <f t="shared" si="1"/>
        <v>74</v>
      </c>
    </row>
    <row r="84" spans="1:6" x14ac:dyDescent="0.2">
      <c r="A84" s="2" t="s">
        <v>34</v>
      </c>
      <c r="C84" s="4" t="str">
        <f>"000-1515-00"</f>
        <v>000-1515-00</v>
      </c>
      <c r="D84" s="4" t="str">
        <f>"Accumulated Depreciation-Computer Equipment"</f>
        <v>Accumulated Depreciation-Computer Equipment</v>
      </c>
      <c r="E84" s="13">
        <v>-48788.79</v>
      </c>
      <c r="F84" s="14">
        <f t="shared" si="1"/>
        <v>75</v>
      </c>
    </row>
    <row r="85" spans="1:6" x14ac:dyDescent="0.2">
      <c r="A85" s="2" t="s">
        <v>34</v>
      </c>
      <c r="C85" s="4" t="str">
        <f>"000-1520-00"</f>
        <v>000-1520-00</v>
      </c>
      <c r="D85" s="4" t="str">
        <f>"Machinery &amp; Equipment"</f>
        <v>Machinery &amp; Equipment</v>
      </c>
      <c r="E85" s="13">
        <v>1409884.3</v>
      </c>
      <c r="F85" s="14">
        <f t="shared" si="1"/>
        <v>76</v>
      </c>
    </row>
    <row r="86" spans="1:6" x14ac:dyDescent="0.2">
      <c r="A86" s="2" t="s">
        <v>34</v>
      </c>
      <c r="C86" s="4" t="str">
        <f>"000-1525-00"</f>
        <v>000-1525-00</v>
      </c>
      <c r="D86" s="4" t="str">
        <f>"Accumulated Depreciation-Machinery &amp; Equipment"</f>
        <v>Accumulated Depreciation-Machinery &amp; Equipment</v>
      </c>
      <c r="E86" s="13">
        <v>-654177.22</v>
      </c>
      <c r="F86" s="14">
        <f t="shared" si="1"/>
        <v>77</v>
      </c>
    </row>
    <row r="87" spans="1:6" x14ac:dyDescent="0.2">
      <c r="A87" s="2" t="s">
        <v>34</v>
      </c>
      <c r="C87" s="4" t="str">
        <f>"000-1530-00"</f>
        <v>000-1530-00</v>
      </c>
      <c r="D87" s="4" t="str">
        <f>"Fleet Vehicles"</f>
        <v>Fleet Vehicles</v>
      </c>
      <c r="E87" s="13">
        <v>62500</v>
      </c>
      <c r="F87" s="14">
        <f t="shared" si="1"/>
        <v>78</v>
      </c>
    </row>
    <row r="88" spans="1:6" x14ac:dyDescent="0.2">
      <c r="A88" s="2" t="s">
        <v>34</v>
      </c>
      <c r="C88" s="4" t="str">
        <f>"000-1535-00"</f>
        <v>000-1535-00</v>
      </c>
      <c r="D88" s="4" t="str">
        <f>"Accumulated Depreciation-Fleet Vehicles"</f>
        <v>Accumulated Depreciation-Fleet Vehicles</v>
      </c>
      <c r="E88" s="13">
        <v>-19901.63</v>
      </c>
      <c r="F88" s="14">
        <f t="shared" si="1"/>
        <v>79</v>
      </c>
    </row>
    <row r="89" spans="1:6" x14ac:dyDescent="0.2">
      <c r="A89" s="2" t="s">
        <v>34</v>
      </c>
      <c r="C89" s="4" t="str">
        <f>"000-1590-00"</f>
        <v>000-1590-00</v>
      </c>
      <c r="D89" s="4" t="str">
        <f>"FA Clearing"</f>
        <v>FA Clearing</v>
      </c>
      <c r="E89" s="13">
        <v>0</v>
      </c>
      <c r="F89" s="14">
        <f t="shared" si="1"/>
        <v>80</v>
      </c>
    </row>
    <row r="90" spans="1:6" x14ac:dyDescent="0.2">
      <c r="A90" s="2" t="s">
        <v>34</v>
      </c>
      <c r="C90" s="4" t="str">
        <f>"000-1600-00"</f>
        <v>000-1600-00</v>
      </c>
      <c r="D90" s="4" t="str">
        <f>"Computer Software"</f>
        <v>Computer Software</v>
      </c>
      <c r="E90" s="13">
        <v>58975.48</v>
      </c>
      <c r="F90" s="14">
        <f t="shared" si="1"/>
        <v>81</v>
      </c>
    </row>
    <row r="91" spans="1:6" x14ac:dyDescent="0.2">
      <c r="A91" s="2" t="s">
        <v>34</v>
      </c>
      <c r="C91" s="4" t="str">
        <f>"000-1610-00"</f>
        <v>000-1610-00</v>
      </c>
      <c r="D91" s="4" t="str">
        <f>"Amortized Software Costs"</f>
        <v>Amortized Software Costs</v>
      </c>
      <c r="E91" s="13">
        <v>-27876.93</v>
      </c>
      <c r="F91" s="14">
        <f t="shared" si="1"/>
        <v>82</v>
      </c>
    </row>
    <row r="92" spans="1:6" x14ac:dyDescent="0.2">
      <c r="A92" s="2" t="s">
        <v>34</v>
      </c>
      <c r="C92" s="4" t="str">
        <f>"000-1700-00"</f>
        <v>000-1700-00</v>
      </c>
      <c r="D92" s="4" t="str">
        <f>"Leasehold Improvement Costs"</f>
        <v>Leasehold Improvement Costs</v>
      </c>
      <c r="E92" s="13">
        <v>0</v>
      </c>
      <c r="F92" s="14">
        <f t="shared" si="1"/>
        <v>83</v>
      </c>
    </row>
    <row r="93" spans="1:6" x14ac:dyDescent="0.2">
      <c r="A93" s="2" t="s">
        <v>34</v>
      </c>
      <c r="C93" s="4" t="str">
        <f>"000-1710-00"</f>
        <v>000-1710-00</v>
      </c>
      <c r="D93" s="4" t="str">
        <f>"Amortized Leasehold Improvements"</f>
        <v>Amortized Leasehold Improvements</v>
      </c>
      <c r="E93" s="13">
        <v>0</v>
      </c>
      <c r="F93" s="14">
        <f t="shared" si="1"/>
        <v>84</v>
      </c>
    </row>
    <row r="94" spans="1:6" x14ac:dyDescent="0.2">
      <c r="A94" s="2" t="s">
        <v>34</v>
      </c>
      <c r="C94" s="4" t="str">
        <f>"000-1800-00"</f>
        <v>000-1800-00</v>
      </c>
      <c r="D94" s="4" t="str">
        <f>"Revaluation Offset for Fin. Revaluation"</f>
        <v>Revaluation Offset for Fin. Revaluation</v>
      </c>
      <c r="E94" s="13">
        <v>0</v>
      </c>
      <c r="F94" s="14">
        <f t="shared" si="1"/>
        <v>85</v>
      </c>
    </row>
    <row r="95" spans="1:6" x14ac:dyDescent="0.2">
      <c r="A95" s="2" t="s">
        <v>34</v>
      </c>
      <c r="C95" s="4" t="str">
        <f>"000-2014-01"</f>
        <v>000-2014-01</v>
      </c>
      <c r="D95" s="4" t="str">
        <f>"Contra Accounts for Costs"</f>
        <v>Contra Accounts for Costs</v>
      </c>
      <c r="E95" s="13">
        <v>0</v>
      </c>
      <c r="F95" s="14">
        <f t="shared" si="1"/>
        <v>86</v>
      </c>
    </row>
    <row r="96" spans="1:6" x14ac:dyDescent="0.2">
      <c r="A96" s="2" t="s">
        <v>34</v>
      </c>
      <c r="C96" s="4" t="str">
        <f>"000-2100-00"</f>
        <v>000-2100-00</v>
      </c>
      <c r="D96" s="4" t="str">
        <f>"Accounts Payable"</f>
        <v>Accounts Payable</v>
      </c>
      <c r="E96" s="13">
        <v>-1683147.66</v>
      </c>
      <c r="F96" s="14">
        <f t="shared" si="1"/>
        <v>87</v>
      </c>
    </row>
    <row r="97" spans="1:6" x14ac:dyDescent="0.2">
      <c r="A97" s="2" t="s">
        <v>34</v>
      </c>
      <c r="C97" s="4" t="str">
        <f>"000-2101-00"</f>
        <v>000-2101-00</v>
      </c>
      <c r="D97" s="4" t="str">
        <f>"Accounts Payable-MC Trx"</f>
        <v>Accounts Payable-MC Trx</v>
      </c>
      <c r="E97" s="13">
        <v>0</v>
      </c>
      <c r="F97" s="14">
        <f t="shared" si="1"/>
        <v>88</v>
      </c>
    </row>
    <row r="98" spans="1:6" x14ac:dyDescent="0.2">
      <c r="A98" s="2" t="s">
        <v>34</v>
      </c>
      <c r="C98" s="4" t="str">
        <f>"000-2101-01"</f>
        <v>000-2101-01</v>
      </c>
      <c r="D98" s="4" t="str">
        <f>"Accounts Payable - Canada"</f>
        <v>Accounts Payable - Canada</v>
      </c>
      <c r="E98" s="13">
        <v>-1124.67</v>
      </c>
      <c r="F98" s="14">
        <f t="shared" si="1"/>
        <v>89</v>
      </c>
    </row>
    <row r="99" spans="1:6" x14ac:dyDescent="0.2">
      <c r="A99" s="2" t="s">
        <v>34</v>
      </c>
      <c r="C99" s="4" t="str">
        <f>"000-2101-02"</f>
        <v>000-2101-02</v>
      </c>
      <c r="D99" s="4" t="str">
        <f>"Accounts Payable - Australia"</f>
        <v>Accounts Payable - Australia</v>
      </c>
      <c r="E99" s="13">
        <v>270.01</v>
      </c>
      <c r="F99" s="14">
        <f t="shared" si="1"/>
        <v>90</v>
      </c>
    </row>
    <row r="100" spans="1:6" x14ac:dyDescent="0.2">
      <c r="A100" s="2" t="s">
        <v>34</v>
      </c>
      <c r="C100" s="4" t="str">
        <f>"000-2101-03"</f>
        <v>000-2101-03</v>
      </c>
      <c r="D100" s="4" t="str">
        <f>"Accounts Payable - New Zealand"</f>
        <v>Accounts Payable - New Zealand</v>
      </c>
      <c r="E100" s="13">
        <v>-4583.18</v>
      </c>
      <c r="F100" s="14">
        <f t="shared" si="1"/>
        <v>91</v>
      </c>
    </row>
    <row r="101" spans="1:6" x14ac:dyDescent="0.2">
      <c r="A101" s="2" t="s">
        <v>34</v>
      </c>
      <c r="C101" s="4" t="str">
        <f>"000-2101-04"</f>
        <v>000-2101-04</v>
      </c>
      <c r="D101" s="4" t="str">
        <f>"Accounts Payable - Germany"</f>
        <v>Accounts Payable - Germany</v>
      </c>
      <c r="E101" s="13">
        <v>0</v>
      </c>
      <c r="F101" s="14">
        <f t="shared" si="1"/>
        <v>92</v>
      </c>
    </row>
    <row r="102" spans="1:6" x14ac:dyDescent="0.2">
      <c r="A102" s="2" t="s">
        <v>34</v>
      </c>
      <c r="C102" s="4" t="str">
        <f>"000-2101-05"</f>
        <v>000-2101-05</v>
      </c>
      <c r="D102" s="4" t="str">
        <f>"Accounts Payable - United Kingdom"</f>
        <v>Accounts Payable - United Kingdom</v>
      </c>
      <c r="E102" s="13">
        <v>1476.18</v>
      </c>
      <c r="F102" s="14">
        <f t="shared" si="1"/>
        <v>93</v>
      </c>
    </row>
    <row r="103" spans="1:6" x14ac:dyDescent="0.2">
      <c r="A103" s="2" t="s">
        <v>34</v>
      </c>
      <c r="C103" s="4" t="str">
        <f>"000-2101-06"</f>
        <v>000-2101-06</v>
      </c>
      <c r="D103" s="4" t="str">
        <f>"Accounts Payable - South Africa"</f>
        <v>Accounts Payable - South Africa</v>
      </c>
      <c r="E103" s="13">
        <v>-2741.87</v>
      </c>
      <c r="F103" s="14">
        <f t="shared" si="1"/>
        <v>94</v>
      </c>
    </row>
    <row r="104" spans="1:6" x14ac:dyDescent="0.2">
      <c r="A104" s="2" t="s">
        <v>34</v>
      </c>
      <c r="C104" s="4" t="str">
        <f>"000-2101-07"</f>
        <v>000-2101-07</v>
      </c>
      <c r="D104" s="4" t="str">
        <f>"Accounts Payable - Singapore"</f>
        <v>Accounts Payable - Singapore</v>
      </c>
      <c r="E104" s="13">
        <v>-3119.01</v>
      </c>
      <c r="F104" s="14">
        <f t="shared" si="1"/>
        <v>95</v>
      </c>
    </row>
    <row r="105" spans="1:6" x14ac:dyDescent="0.2">
      <c r="A105" s="2" t="s">
        <v>34</v>
      </c>
      <c r="C105" s="4" t="str">
        <f>"000-2105-00"</f>
        <v>000-2105-00</v>
      </c>
      <c r="D105" s="4" t="str">
        <f>"Purchases Discounts Available"</f>
        <v>Purchases Discounts Available</v>
      </c>
      <c r="E105" s="13">
        <v>-5386.47</v>
      </c>
      <c r="F105" s="14">
        <f t="shared" si="1"/>
        <v>96</v>
      </c>
    </row>
    <row r="106" spans="1:6" x14ac:dyDescent="0.2">
      <c r="A106" s="2" t="s">
        <v>34</v>
      </c>
      <c r="C106" s="4" t="str">
        <f>"000-2110-00"</f>
        <v>000-2110-00</v>
      </c>
      <c r="D106" s="4" t="str">
        <f>"Accrued Expenses"</f>
        <v>Accrued Expenses</v>
      </c>
      <c r="E106" s="13">
        <v>-24500</v>
      </c>
      <c r="F106" s="14">
        <f t="shared" si="1"/>
        <v>97</v>
      </c>
    </row>
    <row r="107" spans="1:6" x14ac:dyDescent="0.2">
      <c r="A107" s="2" t="s">
        <v>34</v>
      </c>
      <c r="C107" s="4" t="str">
        <f>"000-2111-00"</f>
        <v>000-2111-00</v>
      </c>
      <c r="D107" s="4" t="str">
        <f>"Accrued Purchases"</f>
        <v>Accrued Purchases</v>
      </c>
      <c r="E107" s="13">
        <v>-71358.05</v>
      </c>
      <c r="F107" s="14">
        <f t="shared" si="1"/>
        <v>98</v>
      </c>
    </row>
    <row r="108" spans="1:6" x14ac:dyDescent="0.2">
      <c r="A108" s="2" t="s">
        <v>34</v>
      </c>
      <c r="C108" s="4" t="str">
        <f>"000-2115-00"</f>
        <v>000-2115-00</v>
      </c>
      <c r="D108" s="4" t="str">
        <f>"Unearned Income"</f>
        <v>Unearned Income</v>
      </c>
      <c r="E108" s="13">
        <v>0</v>
      </c>
      <c r="F108" s="14">
        <f t="shared" si="1"/>
        <v>99</v>
      </c>
    </row>
    <row r="109" spans="1:6" x14ac:dyDescent="0.2">
      <c r="A109" s="2" t="s">
        <v>34</v>
      </c>
      <c r="C109" s="4" t="str">
        <f>"000-2120-00"</f>
        <v>000-2120-00</v>
      </c>
      <c r="D109" s="4" t="str">
        <f>"Commissions Payable"</f>
        <v>Commissions Payable</v>
      </c>
      <c r="E109" s="13">
        <v>-108651.64</v>
      </c>
      <c r="F109" s="14">
        <f t="shared" si="1"/>
        <v>100</v>
      </c>
    </row>
    <row r="110" spans="1:6" x14ac:dyDescent="0.2">
      <c r="A110" s="2" t="s">
        <v>34</v>
      </c>
      <c r="C110" s="4" t="str">
        <f>"000-2130-00"</f>
        <v>000-2130-00</v>
      </c>
      <c r="D110" s="4" t="str">
        <f>"Bonuses Payable"</f>
        <v>Bonuses Payable</v>
      </c>
      <c r="E110" s="13">
        <v>0</v>
      </c>
      <c r="F110" s="14">
        <f t="shared" si="1"/>
        <v>101</v>
      </c>
    </row>
    <row r="111" spans="1:6" x14ac:dyDescent="0.2">
      <c r="A111" s="2" t="s">
        <v>34</v>
      </c>
      <c r="C111" s="4" t="str">
        <f>"000-2140-00"</f>
        <v>000-2140-00</v>
      </c>
      <c r="D111" s="4" t="str">
        <f>"Accrued Vacation Payable"</f>
        <v>Accrued Vacation Payable</v>
      </c>
      <c r="E111" s="13">
        <v>-18806.7</v>
      </c>
      <c r="F111" s="14">
        <f t="shared" si="1"/>
        <v>102</v>
      </c>
    </row>
    <row r="112" spans="1:6" x14ac:dyDescent="0.2">
      <c r="A112" s="2" t="s">
        <v>34</v>
      </c>
      <c r="C112" s="4" t="str">
        <f>"000-2150-00"</f>
        <v>000-2150-00</v>
      </c>
      <c r="D112" s="4" t="str">
        <f>"Taxable Benefits Payable"</f>
        <v>Taxable Benefits Payable</v>
      </c>
      <c r="E112" s="13">
        <v>-45417.86</v>
      </c>
      <c r="F112" s="14">
        <f t="shared" si="1"/>
        <v>103</v>
      </c>
    </row>
    <row r="113" spans="1:6" x14ac:dyDescent="0.2">
      <c r="A113" s="2" t="s">
        <v>34</v>
      </c>
      <c r="C113" s="4" t="str">
        <f>"000-2161-00"</f>
        <v>000-2161-00</v>
      </c>
      <c r="D113" s="4" t="str">
        <f>"IL State Withholding Payable"</f>
        <v>IL State Withholding Payable</v>
      </c>
      <c r="E113" s="13">
        <v>-32035.759999999998</v>
      </c>
      <c r="F113" s="14">
        <f t="shared" si="1"/>
        <v>104</v>
      </c>
    </row>
    <row r="114" spans="1:6" x14ac:dyDescent="0.2">
      <c r="A114" s="2" t="s">
        <v>34</v>
      </c>
      <c r="C114" s="4" t="str">
        <f>"000-2162-00"</f>
        <v>000-2162-00</v>
      </c>
      <c r="D114" s="4" t="str">
        <f>"NE State Witholding Payable"</f>
        <v>NE State Witholding Payable</v>
      </c>
      <c r="E114" s="13">
        <v>0</v>
      </c>
      <c r="F114" s="14">
        <f t="shared" si="1"/>
        <v>105</v>
      </c>
    </row>
    <row r="115" spans="1:6" x14ac:dyDescent="0.2">
      <c r="A115" s="2" t="s">
        <v>34</v>
      </c>
      <c r="C115" s="4" t="str">
        <f>"000-2163-00"</f>
        <v>000-2163-00</v>
      </c>
      <c r="D115" s="4" t="str">
        <f>"IN State Witholding Payable"</f>
        <v>IN State Witholding Payable</v>
      </c>
      <c r="E115" s="13">
        <v>0</v>
      </c>
      <c r="F115" s="14">
        <f t="shared" si="1"/>
        <v>106</v>
      </c>
    </row>
    <row r="116" spans="1:6" x14ac:dyDescent="0.2">
      <c r="A116" s="2" t="s">
        <v>34</v>
      </c>
      <c r="C116" s="4" t="str">
        <f>"000-2164-00"</f>
        <v>000-2164-00</v>
      </c>
      <c r="D116" s="4" t="str">
        <f>"MN State Withholding Payable"</f>
        <v>MN State Withholding Payable</v>
      </c>
      <c r="E116" s="13">
        <v>-102.63</v>
      </c>
      <c r="F116" s="14">
        <f t="shared" si="1"/>
        <v>107</v>
      </c>
    </row>
    <row r="117" spans="1:6" x14ac:dyDescent="0.2">
      <c r="A117" s="2" t="s">
        <v>34</v>
      </c>
      <c r="C117" s="4" t="str">
        <f>"000-2165-00"</f>
        <v>000-2165-00</v>
      </c>
      <c r="D117" s="4" t="str">
        <f>"MO State Withholding Payable"</f>
        <v>MO State Withholding Payable</v>
      </c>
      <c r="E117" s="13">
        <v>0</v>
      </c>
      <c r="F117" s="14">
        <f t="shared" si="1"/>
        <v>108</v>
      </c>
    </row>
    <row r="118" spans="1:6" x14ac:dyDescent="0.2">
      <c r="A118" s="2" t="s">
        <v>34</v>
      </c>
      <c r="C118" s="4" t="str">
        <f>"000-2166-00"</f>
        <v>000-2166-00</v>
      </c>
      <c r="D118" s="4" t="str">
        <f>"Bloomington City Withholding Tax Payable"</f>
        <v>Bloomington City Withholding Tax Payable</v>
      </c>
      <c r="E118" s="13">
        <v>0</v>
      </c>
      <c r="F118" s="14">
        <f t="shared" si="1"/>
        <v>109</v>
      </c>
    </row>
    <row r="119" spans="1:6" x14ac:dyDescent="0.2">
      <c r="A119" s="2" t="s">
        <v>34</v>
      </c>
      <c r="C119" s="4" t="str">
        <f>"000-2170-00"</f>
        <v>000-2170-00</v>
      </c>
      <c r="D119" s="4" t="str">
        <f>"Federal Withholding Payable"</f>
        <v>Federal Withholding Payable</v>
      </c>
      <c r="E119" s="13">
        <v>-276416.36</v>
      </c>
      <c r="F119" s="14">
        <f t="shared" si="1"/>
        <v>110</v>
      </c>
    </row>
    <row r="120" spans="1:6" x14ac:dyDescent="0.2">
      <c r="A120" s="2" t="s">
        <v>34</v>
      </c>
      <c r="C120" s="4" t="str">
        <f>"000-2175-00"</f>
        <v>000-2175-00</v>
      </c>
      <c r="D120" s="4" t="str">
        <f>"FICA Payable"</f>
        <v>FICA Payable</v>
      </c>
      <c r="E120" s="13">
        <v>0</v>
      </c>
      <c r="F120" s="14">
        <f t="shared" si="1"/>
        <v>111</v>
      </c>
    </row>
    <row r="121" spans="1:6" x14ac:dyDescent="0.2">
      <c r="A121" s="2" t="s">
        <v>34</v>
      </c>
      <c r="C121" s="4" t="str">
        <f>"000-2180-00"</f>
        <v>000-2180-00</v>
      </c>
      <c r="D121" s="4" t="str">
        <f>"FUTA Payable"</f>
        <v>FUTA Payable</v>
      </c>
      <c r="E121" s="13">
        <v>0</v>
      </c>
      <c r="F121" s="14">
        <f t="shared" si="1"/>
        <v>112</v>
      </c>
    </row>
    <row r="122" spans="1:6" x14ac:dyDescent="0.2">
      <c r="A122" s="2" t="s">
        <v>34</v>
      </c>
      <c r="C122" s="4" t="str">
        <f>"000-2191-00"</f>
        <v>000-2191-00</v>
      </c>
      <c r="D122" s="4" t="str">
        <f>"IL State SUTA Payable"</f>
        <v>IL State SUTA Payable</v>
      </c>
      <c r="E122" s="13">
        <v>0</v>
      </c>
      <c r="F122" s="14">
        <f t="shared" si="1"/>
        <v>113</v>
      </c>
    </row>
    <row r="123" spans="1:6" x14ac:dyDescent="0.2">
      <c r="A123" s="2" t="s">
        <v>34</v>
      </c>
      <c r="C123" s="4" t="str">
        <f>"000-2192-00"</f>
        <v>000-2192-00</v>
      </c>
      <c r="D123" s="4" t="str">
        <f>"NE State SUTA Payable"</f>
        <v>NE State SUTA Payable</v>
      </c>
      <c r="E123" s="13">
        <v>0</v>
      </c>
      <c r="F123" s="14">
        <f t="shared" si="1"/>
        <v>114</v>
      </c>
    </row>
    <row r="124" spans="1:6" x14ac:dyDescent="0.2">
      <c r="A124" s="2" t="s">
        <v>34</v>
      </c>
      <c r="C124" s="4" t="str">
        <f>"000-2193-00"</f>
        <v>000-2193-00</v>
      </c>
      <c r="D124" s="4" t="str">
        <f>"IN State SUTA Payable"</f>
        <v>IN State SUTA Payable</v>
      </c>
      <c r="E124" s="13">
        <v>0</v>
      </c>
      <c r="F124" s="14">
        <f t="shared" si="1"/>
        <v>115</v>
      </c>
    </row>
    <row r="125" spans="1:6" x14ac:dyDescent="0.2">
      <c r="A125" s="2" t="s">
        <v>34</v>
      </c>
      <c r="C125" s="4" t="str">
        <f>"000-2194-00"</f>
        <v>000-2194-00</v>
      </c>
      <c r="D125" s="4" t="str">
        <f>"MN State SUTA Payable"</f>
        <v>MN State SUTA Payable</v>
      </c>
      <c r="E125" s="13">
        <v>0</v>
      </c>
      <c r="F125" s="14">
        <f t="shared" si="1"/>
        <v>116</v>
      </c>
    </row>
    <row r="126" spans="1:6" x14ac:dyDescent="0.2">
      <c r="A126" s="2" t="s">
        <v>34</v>
      </c>
      <c r="C126" s="4" t="str">
        <f>"000-2195-00"</f>
        <v>000-2195-00</v>
      </c>
      <c r="D126" s="4" t="str">
        <f>"MO State SUTA Payable"</f>
        <v>MO State SUTA Payable</v>
      </c>
      <c r="E126" s="13">
        <v>0</v>
      </c>
      <c r="F126" s="14">
        <f t="shared" si="1"/>
        <v>117</v>
      </c>
    </row>
    <row r="127" spans="1:6" x14ac:dyDescent="0.2">
      <c r="A127" s="2" t="s">
        <v>34</v>
      </c>
      <c r="C127" s="4" t="str">
        <f>"000-2200-00"</f>
        <v>000-2200-00</v>
      </c>
      <c r="D127" s="4" t="str">
        <f>"Payroll Deductions Payable"</f>
        <v>Payroll Deductions Payable</v>
      </c>
      <c r="E127" s="13">
        <v>-59776.77</v>
      </c>
      <c r="F127" s="14">
        <f t="shared" si="1"/>
        <v>118</v>
      </c>
    </row>
    <row r="128" spans="1:6" x14ac:dyDescent="0.2">
      <c r="A128" s="2" t="s">
        <v>34</v>
      </c>
      <c r="C128" s="4" t="str">
        <f>"000-2210-00"</f>
        <v>000-2210-00</v>
      </c>
      <c r="D128" s="4" t="str">
        <f>"401(k) Payable"</f>
        <v>401(k) Payable</v>
      </c>
      <c r="E128" s="13">
        <v>0</v>
      </c>
      <c r="F128" s="14">
        <f t="shared" si="1"/>
        <v>119</v>
      </c>
    </row>
    <row r="129" spans="1:6" x14ac:dyDescent="0.2">
      <c r="A129" s="2" t="s">
        <v>34</v>
      </c>
      <c r="C129" s="4" t="str">
        <f>"000-2220-00"</f>
        <v>000-2220-00</v>
      </c>
      <c r="D129" s="4" t="str">
        <f>"Insurance Premiums Payable"</f>
        <v>Insurance Premiums Payable</v>
      </c>
      <c r="E129" s="13">
        <v>0</v>
      </c>
      <c r="F129" s="14">
        <f t="shared" si="1"/>
        <v>120</v>
      </c>
    </row>
    <row r="130" spans="1:6" x14ac:dyDescent="0.2">
      <c r="A130" s="2" t="s">
        <v>34</v>
      </c>
      <c r="C130" s="4" t="str">
        <f>"000-2230-00"</f>
        <v>000-2230-00</v>
      </c>
      <c r="D130" s="4" t="str">
        <f>"Medical Reimbursement Payable"</f>
        <v>Medical Reimbursement Payable</v>
      </c>
      <c r="E130" s="13">
        <v>364.62</v>
      </c>
      <c r="F130" s="14">
        <f t="shared" si="1"/>
        <v>121</v>
      </c>
    </row>
    <row r="131" spans="1:6" x14ac:dyDescent="0.2">
      <c r="A131" s="2" t="s">
        <v>34</v>
      </c>
      <c r="C131" s="4" t="str">
        <f>"000-2240-00"</f>
        <v>000-2240-00</v>
      </c>
      <c r="D131" s="4" t="str">
        <f>"Dependent Care Payable"</f>
        <v>Dependent Care Payable</v>
      </c>
      <c r="E131" s="13">
        <v>1085</v>
      </c>
      <c r="F131" s="14">
        <f t="shared" si="1"/>
        <v>122</v>
      </c>
    </row>
    <row r="132" spans="1:6" x14ac:dyDescent="0.2">
      <c r="A132" s="2" t="s">
        <v>34</v>
      </c>
      <c r="C132" s="4" t="str">
        <f>"000-2250-00"</f>
        <v>000-2250-00</v>
      </c>
      <c r="D132" s="4" t="str">
        <f>"Employee Benefits Payable"</f>
        <v>Employee Benefits Payable</v>
      </c>
      <c r="E132" s="13">
        <v>0</v>
      </c>
      <c r="F132" s="14">
        <f t="shared" si="1"/>
        <v>123</v>
      </c>
    </row>
    <row r="133" spans="1:6" x14ac:dyDescent="0.2">
      <c r="A133" s="2" t="s">
        <v>34</v>
      </c>
      <c r="C133" s="4" t="str">
        <f>"000-2260-00"</f>
        <v>000-2260-00</v>
      </c>
      <c r="D133" s="4" t="str">
        <f>"Union Dues Payable - 1"</f>
        <v>Union Dues Payable - 1</v>
      </c>
      <c r="E133" s="13">
        <v>0</v>
      </c>
      <c r="F133" s="14">
        <f t="shared" si="1"/>
        <v>124</v>
      </c>
    </row>
    <row r="134" spans="1:6" x14ac:dyDescent="0.2">
      <c r="A134" s="2" t="s">
        <v>34</v>
      </c>
      <c r="C134" s="4" t="str">
        <f>"000-2261-00"</f>
        <v>000-2261-00</v>
      </c>
      <c r="D134" s="4" t="str">
        <f>"Union Dues Payable - 2"</f>
        <v>Union Dues Payable - 2</v>
      </c>
      <c r="E134" s="13">
        <v>0</v>
      </c>
      <c r="F134" s="14">
        <f t="shared" si="1"/>
        <v>125</v>
      </c>
    </row>
    <row r="135" spans="1:6" x14ac:dyDescent="0.2">
      <c r="A135" s="2" t="s">
        <v>34</v>
      </c>
      <c r="C135" s="4" t="str">
        <f>"000-2270-00"</f>
        <v>000-2270-00</v>
      </c>
      <c r="D135" s="4" t="str">
        <f>"IL Workers Compensation Payable"</f>
        <v>IL Workers Compensation Payable</v>
      </c>
      <c r="E135" s="13">
        <v>0</v>
      </c>
      <c r="F135" s="14">
        <f t="shared" si="1"/>
        <v>126</v>
      </c>
    </row>
    <row r="136" spans="1:6" x14ac:dyDescent="0.2">
      <c r="A136" s="2" t="s">
        <v>34</v>
      </c>
      <c r="C136" s="4" t="str">
        <f>"000-2271-00"</f>
        <v>000-2271-00</v>
      </c>
      <c r="D136" s="4" t="str">
        <f>"NE Workers Compensation Payable"</f>
        <v>NE Workers Compensation Payable</v>
      </c>
      <c r="E136" s="13">
        <v>0</v>
      </c>
      <c r="F136" s="14">
        <f t="shared" si="1"/>
        <v>127</v>
      </c>
    </row>
    <row r="137" spans="1:6" x14ac:dyDescent="0.2">
      <c r="A137" s="2" t="s">
        <v>34</v>
      </c>
      <c r="C137" s="4" t="str">
        <f>"000-2272-00"</f>
        <v>000-2272-00</v>
      </c>
      <c r="D137" s="4" t="str">
        <f>"IN Workers Compensation Payable"</f>
        <v>IN Workers Compensation Payable</v>
      </c>
      <c r="E137" s="13">
        <v>0</v>
      </c>
      <c r="F137" s="14">
        <f t="shared" si="1"/>
        <v>128</v>
      </c>
    </row>
    <row r="138" spans="1:6" x14ac:dyDescent="0.2">
      <c r="A138" s="2" t="s">
        <v>34</v>
      </c>
      <c r="C138" s="4" t="str">
        <f>"000-2273-00"</f>
        <v>000-2273-00</v>
      </c>
      <c r="D138" s="4" t="str">
        <f>"MN Workers Compensation Payable"</f>
        <v>MN Workers Compensation Payable</v>
      </c>
      <c r="E138" s="13">
        <v>0</v>
      </c>
      <c r="F138" s="14">
        <f t="shared" si="1"/>
        <v>129</v>
      </c>
    </row>
    <row r="139" spans="1:6" x14ac:dyDescent="0.2">
      <c r="A139" s="2" t="s">
        <v>34</v>
      </c>
      <c r="C139" s="4" t="str">
        <f>"000-2274-00"</f>
        <v>000-2274-00</v>
      </c>
      <c r="D139" s="4" t="str">
        <f>"MO Workers compensation Payable"</f>
        <v>MO Workers compensation Payable</v>
      </c>
      <c r="E139" s="13">
        <v>0</v>
      </c>
      <c r="F139" s="14">
        <f t="shared" ref="F139:F202" si="2">F138+1</f>
        <v>130</v>
      </c>
    </row>
    <row r="140" spans="1:6" x14ac:dyDescent="0.2">
      <c r="A140" s="2" t="s">
        <v>34</v>
      </c>
      <c r="C140" s="4" t="str">
        <f>"000-2275-00"</f>
        <v>000-2275-00</v>
      </c>
      <c r="D140" s="4" t="str">
        <f>"Ontario Workers Compensation Payable"</f>
        <v>Ontario Workers Compensation Payable</v>
      </c>
      <c r="E140" s="13">
        <v>0</v>
      </c>
      <c r="F140" s="14">
        <f t="shared" si="2"/>
        <v>131</v>
      </c>
    </row>
    <row r="141" spans="1:6" x14ac:dyDescent="0.2">
      <c r="A141" s="2" t="s">
        <v>34</v>
      </c>
      <c r="C141" s="4" t="str">
        <f>"000-2276-00"</f>
        <v>000-2276-00</v>
      </c>
      <c r="D141" s="4" t="str">
        <f>"Alberta Workers Compensation Payable"</f>
        <v>Alberta Workers Compensation Payable</v>
      </c>
      <c r="E141" s="13">
        <v>0</v>
      </c>
      <c r="F141" s="14">
        <f t="shared" si="2"/>
        <v>132</v>
      </c>
    </row>
    <row r="142" spans="1:6" x14ac:dyDescent="0.2">
      <c r="A142" s="2" t="s">
        <v>34</v>
      </c>
      <c r="C142" s="4" t="str">
        <f>"000-2277-00"</f>
        <v>000-2277-00</v>
      </c>
      <c r="D142" s="4" t="str">
        <f>"Quebec Workers Compensation Payable"</f>
        <v>Quebec Workers Compensation Payable</v>
      </c>
      <c r="E142" s="13">
        <v>0</v>
      </c>
      <c r="F142" s="14">
        <f t="shared" si="2"/>
        <v>133</v>
      </c>
    </row>
    <row r="143" spans="1:6" x14ac:dyDescent="0.2">
      <c r="A143" s="2" t="s">
        <v>34</v>
      </c>
      <c r="C143" s="4" t="str">
        <f>"000-2280-00"</f>
        <v>000-2280-00</v>
      </c>
      <c r="D143" s="4" t="str">
        <f>"RRSP Payable"</f>
        <v>RRSP Payable</v>
      </c>
      <c r="E143" s="13">
        <v>-1078.8900000000001</v>
      </c>
      <c r="F143" s="14">
        <f t="shared" si="2"/>
        <v>134</v>
      </c>
    </row>
    <row r="144" spans="1:6" x14ac:dyDescent="0.2">
      <c r="A144" s="2" t="s">
        <v>34</v>
      </c>
      <c r="C144" s="4" t="str">
        <f>"000-2281-00"</f>
        <v>000-2281-00</v>
      </c>
      <c r="D144" s="4" t="str">
        <f>"CPP Payable"</f>
        <v>CPP Payable</v>
      </c>
      <c r="E144" s="13">
        <v>0</v>
      </c>
      <c r="F144" s="14">
        <f t="shared" si="2"/>
        <v>135</v>
      </c>
    </row>
    <row r="145" spans="1:6" x14ac:dyDescent="0.2">
      <c r="A145" s="2" t="s">
        <v>34</v>
      </c>
      <c r="C145" s="4" t="str">
        <f>"000-2282-00"</f>
        <v>000-2282-00</v>
      </c>
      <c r="D145" s="4" t="str">
        <f>"QPP Payable"</f>
        <v>QPP Payable</v>
      </c>
      <c r="E145" s="13">
        <v>0</v>
      </c>
      <c r="F145" s="14">
        <f t="shared" si="2"/>
        <v>136</v>
      </c>
    </row>
    <row r="146" spans="1:6" x14ac:dyDescent="0.2">
      <c r="A146" s="2" t="s">
        <v>34</v>
      </c>
      <c r="C146" s="4" t="str">
        <f>"000-2283-00"</f>
        <v>000-2283-00</v>
      </c>
      <c r="D146" s="4" t="str">
        <f>"UIC Payable"</f>
        <v>UIC Payable</v>
      </c>
      <c r="E146" s="13">
        <v>0</v>
      </c>
      <c r="F146" s="14">
        <f t="shared" si="2"/>
        <v>137</v>
      </c>
    </row>
    <row r="147" spans="1:6" x14ac:dyDescent="0.2">
      <c r="A147" s="2" t="s">
        <v>34</v>
      </c>
      <c r="C147" s="4" t="str">
        <f>"000-2284-00"</f>
        <v>000-2284-00</v>
      </c>
      <c r="D147" s="4" t="str">
        <f>"Quebec Withholding Payable"</f>
        <v>Quebec Withholding Payable</v>
      </c>
      <c r="E147" s="13">
        <v>0</v>
      </c>
      <c r="F147" s="14">
        <f t="shared" si="2"/>
        <v>138</v>
      </c>
    </row>
    <row r="148" spans="1:6" x14ac:dyDescent="0.2">
      <c r="A148" s="2" t="s">
        <v>34</v>
      </c>
      <c r="C148" s="4" t="str">
        <f>"000-2300-00"</f>
        <v>000-2300-00</v>
      </c>
      <c r="D148" s="4" t="str">
        <f>"IL State Sales Tax Payable"</f>
        <v>IL State Sales Tax Payable</v>
      </c>
      <c r="E148" s="13">
        <v>-61356.92</v>
      </c>
      <c r="F148" s="14">
        <f t="shared" si="2"/>
        <v>139</v>
      </c>
    </row>
    <row r="149" spans="1:6" x14ac:dyDescent="0.2">
      <c r="A149" s="2" t="s">
        <v>34</v>
      </c>
      <c r="C149" s="4" t="str">
        <f>"000-2310-00"</f>
        <v>000-2310-00</v>
      </c>
      <c r="D149" s="4" t="str">
        <f>"Chicago City Sales Tax Payable"</f>
        <v>Chicago City Sales Tax Payable</v>
      </c>
      <c r="E149" s="13">
        <v>-10193.459999999999</v>
      </c>
      <c r="F149" s="14">
        <f t="shared" si="2"/>
        <v>140</v>
      </c>
    </row>
    <row r="150" spans="1:6" x14ac:dyDescent="0.2">
      <c r="A150" s="2" t="s">
        <v>34</v>
      </c>
      <c r="C150" s="4" t="str">
        <f>"000-2311-00"</f>
        <v>000-2311-00</v>
      </c>
      <c r="D150" s="4" t="str">
        <f>"Springfield City Tax Payable"</f>
        <v>Springfield City Tax Payable</v>
      </c>
      <c r="E150" s="13">
        <v>0</v>
      </c>
      <c r="F150" s="14">
        <f t="shared" si="2"/>
        <v>141</v>
      </c>
    </row>
    <row r="151" spans="1:6" x14ac:dyDescent="0.2">
      <c r="A151" s="2" t="s">
        <v>34</v>
      </c>
      <c r="C151" s="4" t="str">
        <f>"000-2315-00"</f>
        <v>000-2315-00</v>
      </c>
      <c r="D151" s="4" t="str">
        <f>"Export/Duty Tax Payable"</f>
        <v>Export/Duty Tax Payable</v>
      </c>
      <c r="E151" s="13">
        <v>0</v>
      </c>
      <c r="F151" s="14">
        <f t="shared" si="2"/>
        <v>142</v>
      </c>
    </row>
    <row r="152" spans="1:6" x14ac:dyDescent="0.2">
      <c r="A152" s="2" t="s">
        <v>34</v>
      </c>
      <c r="C152" s="4" t="str">
        <f>"000-2320-00"</f>
        <v>000-2320-00</v>
      </c>
      <c r="D152" s="4" t="str">
        <f>"GST Collected-Canada"</f>
        <v>GST Collected-Canada</v>
      </c>
      <c r="E152" s="13">
        <v>-23849.89</v>
      </c>
      <c r="F152" s="14">
        <f t="shared" si="2"/>
        <v>143</v>
      </c>
    </row>
    <row r="153" spans="1:6" x14ac:dyDescent="0.2">
      <c r="A153" s="2" t="s">
        <v>34</v>
      </c>
      <c r="C153" s="4" t="str">
        <f>"000-2321-00"</f>
        <v>000-2321-00</v>
      </c>
      <c r="D153" s="4" t="str">
        <f>"GST Input Tax Credit-Canada"</f>
        <v>GST Input Tax Credit-Canada</v>
      </c>
      <c r="E153" s="13">
        <v>21227.040000000001</v>
      </c>
      <c r="F153" s="14">
        <f t="shared" si="2"/>
        <v>144</v>
      </c>
    </row>
    <row r="154" spans="1:6" x14ac:dyDescent="0.2">
      <c r="A154" s="2" t="s">
        <v>34</v>
      </c>
      <c r="C154" s="4" t="str">
        <f>"000-2322-00"</f>
        <v>000-2322-00</v>
      </c>
      <c r="D154" s="4" t="str">
        <f>"PST Payable"</f>
        <v>PST Payable</v>
      </c>
      <c r="E154" s="13">
        <v>0</v>
      </c>
      <c r="F154" s="14">
        <f t="shared" si="2"/>
        <v>145</v>
      </c>
    </row>
    <row r="155" spans="1:6" x14ac:dyDescent="0.2">
      <c r="A155" s="2" t="s">
        <v>34</v>
      </c>
      <c r="C155" s="4" t="str">
        <f>"000-2323-00"</f>
        <v>000-2323-00</v>
      </c>
      <c r="D155" s="4" t="str">
        <f>"QST Payable"</f>
        <v>QST Payable</v>
      </c>
      <c r="E155" s="13">
        <v>0</v>
      </c>
      <c r="F155" s="14">
        <f t="shared" si="2"/>
        <v>146</v>
      </c>
    </row>
    <row r="156" spans="1:6" x14ac:dyDescent="0.2">
      <c r="A156" s="2" t="s">
        <v>34</v>
      </c>
      <c r="C156" s="4" t="str">
        <f>"000-2330-00"</f>
        <v>000-2330-00</v>
      </c>
      <c r="D156" s="4" t="str">
        <f>"Australia Sales Tax Payable"</f>
        <v>Australia Sales Tax Payable</v>
      </c>
      <c r="E156" s="13">
        <v>-10618.1</v>
      </c>
      <c r="F156" s="14">
        <f t="shared" si="2"/>
        <v>147</v>
      </c>
    </row>
    <row r="157" spans="1:6" x14ac:dyDescent="0.2">
      <c r="A157" s="2" t="s">
        <v>34</v>
      </c>
      <c r="C157" s="4" t="str">
        <f>"000-2340-00"</f>
        <v>000-2340-00</v>
      </c>
      <c r="D157" s="4" t="str">
        <f>"GST Collected -New Zealand"</f>
        <v>GST Collected -New Zealand</v>
      </c>
      <c r="E157" s="13">
        <v>-2953.19</v>
      </c>
      <c r="F157" s="14">
        <f t="shared" si="2"/>
        <v>148</v>
      </c>
    </row>
    <row r="158" spans="1:6" x14ac:dyDescent="0.2">
      <c r="A158" s="2" t="s">
        <v>34</v>
      </c>
      <c r="C158" s="4" t="str">
        <f>"000-2341-00"</f>
        <v>000-2341-00</v>
      </c>
      <c r="D158" s="4" t="str">
        <f>"GST Input Tax Credit-New Zealand"</f>
        <v>GST Input Tax Credit-New Zealand</v>
      </c>
      <c r="E158" s="13">
        <v>1250</v>
      </c>
      <c r="F158" s="14">
        <f t="shared" si="2"/>
        <v>149</v>
      </c>
    </row>
    <row r="159" spans="1:6" x14ac:dyDescent="0.2">
      <c r="A159" s="2" t="s">
        <v>34</v>
      </c>
      <c r="C159" s="4" t="str">
        <f>"000-2350-00"</f>
        <v>000-2350-00</v>
      </c>
      <c r="D159" s="4" t="str">
        <f>"VAT Collected-UK"</f>
        <v>VAT Collected-UK</v>
      </c>
      <c r="E159" s="13">
        <v>0</v>
      </c>
      <c r="F159" s="14">
        <f t="shared" si="2"/>
        <v>150</v>
      </c>
    </row>
    <row r="160" spans="1:6" x14ac:dyDescent="0.2">
      <c r="A160" s="2" t="s">
        <v>34</v>
      </c>
      <c r="C160" s="4" t="str">
        <f>"000-2351-00"</f>
        <v>000-2351-00</v>
      </c>
      <c r="D160" s="4" t="str">
        <f>"VAT Paid-UK"</f>
        <v>VAT Paid-UK</v>
      </c>
      <c r="E160" s="13">
        <v>0</v>
      </c>
      <c r="F160" s="14">
        <f t="shared" si="2"/>
        <v>151</v>
      </c>
    </row>
    <row r="161" spans="1:6" x14ac:dyDescent="0.2">
      <c r="A161" s="2" t="s">
        <v>34</v>
      </c>
      <c r="C161" s="4" t="str">
        <f>"000-2400-00"</f>
        <v>000-2400-00</v>
      </c>
      <c r="D161" s="4" t="str">
        <f>"Dividends Payable"</f>
        <v>Dividends Payable</v>
      </c>
      <c r="E161" s="13">
        <v>0</v>
      </c>
      <c r="F161" s="14">
        <f t="shared" si="2"/>
        <v>152</v>
      </c>
    </row>
    <row r="162" spans="1:6" x14ac:dyDescent="0.2">
      <c r="A162" s="2" t="s">
        <v>34</v>
      </c>
      <c r="C162" s="4" t="str">
        <f>"000-2410-00"</f>
        <v>000-2410-00</v>
      </c>
      <c r="D162" s="4" t="str">
        <f>"Freight Payable"</f>
        <v>Freight Payable</v>
      </c>
      <c r="E162" s="13">
        <v>0</v>
      </c>
      <c r="F162" s="14">
        <f t="shared" si="2"/>
        <v>153</v>
      </c>
    </row>
    <row r="163" spans="1:6" x14ac:dyDescent="0.2">
      <c r="A163" s="2" t="s">
        <v>34</v>
      </c>
      <c r="C163" s="4" t="str">
        <f>"000-2420-00"</f>
        <v>000-2420-00</v>
      </c>
      <c r="D163" s="4" t="str">
        <f>"Brokerage Fees Payable"</f>
        <v>Brokerage Fees Payable</v>
      </c>
      <c r="E163" s="13">
        <v>0</v>
      </c>
      <c r="F163" s="14">
        <f t="shared" si="2"/>
        <v>154</v>
      </c>
    </row>
    <row r="164" spans="1:6" x14ac:dyDescent="0.2">
      <c r="A164" s="2" t="s">
        <v>34</v>
      </c>
      <c r="C164" s="4" t="str">
        <f>"000-2430-00"</f>
        <v>000-2430-00</v>
      </c>
      <c r="D164" s="4" t="str">
        <f>"Miscellaneous Payable"</f>
        <v>Miscellaneous Payable</v>
      </c>
      <c r="E164" s="13">
        <v>0</v>
      </c>
      <c r="F164" s="14">
        <f t="shared" si="2"/>
        <v>155</v>
      </c>
    </row>
    <row r="165" spans="1:6" x14ac:dyDescent="0.2">
      <c r="A165" s="2" t="s">
        <v>34</v>
      </c>
      <c r="C165" s="4" t="str">
        <f>"000-2500-00"</f>
        <v>000-2500-00</v>
      </c>
      <c r="D165" s="4" t="str">
        <f>"Interest Payable"</f>
        <v>Interest Payable</v>
      </c>
      <c r="E165" s="13">
        <v>738.97</v>
      </c>
      <c r="F165" s="14">
        <f t="shared" si="2"/>
        <v>156</v>
      </c>
    </row>
    <row r="166" spans="1:6" x14ac:dyDescent="0.2">
      <c r="A166" s="2" t="s">
        <v>34</v>
      </c>
      <c r="C166" s="4" t="str">
        <f>"000-2600-00"</f>
        <v>000-2600-00</v>
      </c>
      <c r="D166" s="4" t="str">
        <f>"Federal Income Tax Payable"</f>
        <v>Federal Income Tax Payable</v>
      </c>
      <c r="E166" s="13">
        <v>-107870.2</v>
      </c>
      <c r="F166" s="14">
        <f t="shared" si="2"/>
        <v>157</v>
      </c>
    </row>
    <row r="167" spans="1:6" x14ac:dyDescent="0.2">
      <c r="A167" s="2" t="s">
        <v>34</v>
      </c>
      <c r="C167" s="4" t="str">
        <f>"000-2610-00"</f>
        <v>000-2610-00</v>
      </c>
      <c r="D167" s="4" t="str">
        <f>"IL Income Tax Payable"</f>
        <v>IL Income Tax Payable</v>
      </c>
      <c r="E167" s="13">
        <v>0</v>
      </c>
      <c r="F167" s="14">
        <f t="shared" si="2"/>
        <v>158</v>
      </c>
    </row>
    <row r="168" spans="1:6" x14ac:dyDescent="0.2">
      <c r="A168" s="2" t="s">
        <v>34</v>
      </c>
      <c r="C168" s="4" t="str">
        <f>"000-2700-00"</f>
        <v>000-2700-00</v>
      </c>
      <c r="D168" s="4" t="str">
        <f>"Line of Credit-Accounts Recievable"</f>
        <v>Line of Credit-Accounts Recievable</v>
      </c>
      <c r="E168" s="13">
        <v>0</v>
      </c>
      <c r="F168" s="14">
        <f t="shared" si="2"/>
        <v>159</v>
      </c>
    </row>
    <row r="169" spans="1:6" x14ac:dyDescent="0.2">
      <c r="A169" s="2" t="s">
        <v>34</v>
      </c>
      <c r="C169" s="4" t="str">
        <f>"000-2710-00"</f>
        <v>000-2710-00</v>
      </c>
      <c r="D169" s="4" t="str">
        <f>"Operating Line of Credit"</f>
        <v>Operating Line of Credit</v>
      </c>
      <c r="E169" s="13">
        <v>-15000</v>
      </c>
      <c r="F169" s="14">
        <f t="shared" si="2"/>
        <v>160</v>
      </c>
    </row>
    <row r="170" spans="1:6" x14ac:dyDescent="0.2">
      <c r="A170" s="2" t="s">
        <v>34</v>
      </c>
      <c r="C170" s="4" t="str">
        <f>"000-2720-00"</f>
        <v>000-2720-00</v>
      </c>
      <c r="D170" s="4" t="str">
        <f>"Client Deposits"</f>
        <v>Client Deposits</v>
      </c>
      <c r="E170" s="13">
        <v>-30000</v>
      </c>
      <c r="F170" s="14">
        <f t="shared" si="2"/>
        <v>161</v>
      </c>
    </row>
    <row r="171" spans="1:6" x14ac:dyDescent="0.2">
      <c r="A171" s="2" t="s">
        <v>34</v>
      </c>
      <c r="C171" s="4" t="str">
        <f>"000-2730-00"</f>
        <v>000-2730-00</v>
      </c>
      <c r="D171" s="4" t="str">
        <f>"Purchases Clearing Account"</f>
        <v>Purchases Clearing Account</v>
      </c>
      <c r="E171" s="13">
        <v>-395.1</v>
      </c>
      <c r="F171" s="14">
        <f t="shared" si="2"/>
        <v>162</v>
      </c>
    </row>
    <row r="172" spans="1:6" x14ac:dyDescent="0.2">
      <c r="A172" s="2" t="s">
        <v>34</v>
      </c>
      <c r="C172" s="4" t="str">
        <f>"000-2735-00"</f>
        <v>000-2735-00</v>
      </c>
      <c r="D172" s="4" t="str">
        <f>"Purchases Clearing Acct for Inventory"</f>
        <v>Purchases Clearing Acct for Inventory</v>
      </c>
      <c r="E172" s="13">
        <v>-44618.55</v>
      </c>
      <c r="F172" s="14">
        <f t="shared" si="2"/>
        <v>163</v>
      </c>
    </row>
    <row r="173" spans="1:6" x14ac:dyDescent="0.2">
      <c r="A173" s="2" t="s">
        <v>34</v>
      </c>
      <c r="C173" s="4" t="str">
        <f>"000-2740-00"</f>
        <v>000-2740-00</v>
      </c>
      <c r="D173" s="4" t="str">
        <f>"Advances from Customers"</f>
        <v>Advances from Customers</v>
      </c>
      <c r="E173" s="13">
        <v>-27500</v>
      </c>
      <c r="F173" s="14">
        <f t="shared" si="2"/>
        <v>164</v>
      </c>
    </row>
    <row r="174" spans="1:6" x14ac:dyDescent="0.2">
      <c r="A174" s="2" t="s">
        <v>34</v>
      </c>
      <c r="C174" s="4" t="str">
        <f>"000-2800-00"</f>
        <v>000-2800-00</v>
      </c>
      <c r="D174" s="4" t="str">
        <f>"Current N/P on Vehicles"</f>
        <v>Current N/P on Vehicles</v>
      </c>
      <c r="E174" s="13">
        <v>-1041.6600000000001</v>
      </c>
      <c r="F174" s="14">
        <f t="shared" si="2"/>
        <v>165</v>
      </c>
    </row>
    <row r="175" spans="1:6" x14ac:dyDescent="0.2">
      <c r="A175" s="2" t="s">
        <v>34</v>
      </c>
      <c r="C175" s="4" t="str">
        <f>"000-2810-00"</f>
        <v>000-2810-00</v>
      </c>
      <c r="D175" s="4" t="str">
        <f>"Current N/P to Banks"</f>
        <v>Current N/P to Banks</v>
      </c>
      <c r="E175" s="13">
        <v>0</v>
      </c>
      <c r="F175" s="14">
        <f t="shared" si="2"/>
        <v>166</v>
      </c>
    </row>
    <row r="176" spans="1:6" x14ac:dyDescent="0.2">
      <c r="A176" s="2" t="s">
        <v>34</v>
      </c>
      <c r="C176" s="4" t="str">
        <f>"000-2820-00"</f>
        <v>000-2820-00</v>
      </c>
      <c r="D176" s="4" t="str">
        <f>"Current N/P to Stockholders"</f>
        <v>Current N/P to Stockholders</v>
      </c>
      <c r="E176" s="13">
        <v>-10416.44</v>
      </c>
      <c r="F176" s="14">
        <f t="shared" si="2"/>
        <v>167</v>
      </c>
    </row>
    <row r="177" spans="1:6" x14ac:dyDescent="0.2">
      <c r="A177" s="2" t="s">
        <v>34</v>
      </c>
      <c r="C177" s="4" t="str">
        <f>"000-2900-00"</f>
        <v>000-2900-00</v>
      </c>
      <c r="D177" s="4" t="str">
        <f>"Notes Payable on Vehicles"</f>
        <v>Notes Payable on Vehicles</v>
      </c>
      <c r="E177" s="13">
        <v>-32292.76</v>
      </c>
      <c r="F177" s="14">
        <f t="shared" si="2"/>
        <v>168</v>
      </c>
    </row>
    <row r="178" spans="1:6" x14ac:dyDescent="0.2">
      <c r="A178" s="2" t="s">
        <v>34</v>
      </c>
      <c r="C178" s="4" t="str">
        <f>"000-2910-00"</f>
        <v>000-2910-00</v>
      </c>
      <c r="D178" s="4" t="str">
        <f>"Notes Payable to Banks"</f>
        <v>Notes Payable to Banks</v>
      </c>
      <c r="E178" s="13">
        <v>0</v>
      </c>
      <c r="F178" s="14">
        <f t="shared" si="2"/>
        <v>169</v>
      </c>
    </row>
    <row r="179" spans="1:6" x14ac:dyDescent="0.2">
      <c r="A179" s="2" t="s">
        <v>34</v>
      </c>
      <c r="C179" s="4" t="str">
        <f>"000-2920-00"</f>
        <v>000-2920-00</v>
      </c>
      <c r="D179" s="4" t="str">
        <f>"Notes Payable to Stockholders"</f>
        <v>Notes Payable to Stockholders</v>
      </c>
      <c r="E179" s="13">
        <v>-20835.16</v>
      </c>
      <c r="F179" s="14">
        <f t="shared" si="2"/>
        <v>170</v>
      </c>
    </row>
    <row r="180" spans="1:6" x14ac:dyDescent="0.2">
      <c r="A180" s="2" t="s">
        <v>34</v>
      </c>
      <c r="C180" s="4" t="str">
        <f>"000-2930-00"</f>
        <v>000-2930-00</v>
      </c>
      <c r="D180" s="4" t="str">
        <f>"Capital Leases Payable"</f>
        <v>Capital Leases Payable</v>
      </c>
      <c r="E180" s="13">
        <v>-273763.03000000003</v>
      </c>
      <c r="F180" s="14">
        <f t="shared" si="2"/>
        <v>171</v>
      </c>
    </row>
    <row r="181" spans="1:6" x14ac:dyDescent="0.2">
      <c r="A181" s="2" t="s">
        <v>34</v>
      </c>
      <c r="C181" s="4" t="str">
        <f>"000-2940-00"</f>
        <v>000-2940-00</v>
      </c>
      <c r="D181" s="4" t="str">
        <f>"Deferred Income Taxes"</f>
        <v>Deferred Income Taxes</v>
      </c>
      <c r="E181" s="13">
        <v>0</v>
      </c>
      <c r="F181" s="14">
        <f t="shared" si="2"/>
        <v>172</v>
      </c>
    </row>
    <row r="182" spans="1:6" x14ac:dyDescent="0.2">
      <c r="A182" s="2" t="s">
        <v>34</v>
      </c>
      <c r="C182" s="4" t="str">
        <f>"000-2950-00"</f>
        <v>000-2950-00</v>
      </c>
      <c r="D182" s="4" t="str">
        <f>"PPV - Realized"</f>
        <v>PPV - Realized</v>
      </c>
      <c r="E182" s="13">
        <v>0</v>
      </c>
      <c r="F182" s="14">
        <f t="shared" si="2"/>
        <v>173</v>
      </c>
    </row>
    <row r="183" spans="1:6" x14ac:dyDescent="0.2">
      <c r="A183" s="2" t="s">
        <v>34</v>
      </c>
      <c r="C183" s="4" t="str">
        <f>"000-2950-01"</f>
        <v>000-2950-01</v>
      </c>
      <c r="D183" s="4" t="str">
        <f>"PPV - Unrealized"</f>
        <v>PPV - Unrealized</v>
      </c>
      <c r="E183" s="13">
        <v>0</v>
      </c>
      <c r="F183" s="14">
        <f t="shared" si="2"/>
        <v>174</v>
      </c>
    </row>
    <row r="184" spans="1:6" x14ac:dyDescent="0.2">
      <c r="A184" s="2" t="s">
        <v>34</v>
      </c>
      <c r="C184" s="4" t="str">
        <f>"000-3010-00"</f>
        <v>000-3010-00</v>
      </c>
      <c r="D184" s="4" t="str">
        <f>"Common Stock"</f>
        <v>Common Stock</v>
      </c>
      <c r="E184" s="13">
        <v>-782469</v>
      </c>
      <c r="F184" s="14">
        <f t="shared" si="2"/>
        <v>175</v>
      </c>
    </row>
    <row r="185" spans="1:6" x14ac:dyDescent="0.2">
      <c r="A185" s="2" t="s">
        <v>34</v>
      </c>
      <c r="C185" s="4" t="str">
        <f>"000-3020-00"</f>
        <v>000-3020-00</v>
      </c>
      <c r="D185" s="4" t="str">
        <f>"Additional Paid-In Capital-Common Stock"</f>
        <v>Additional Paid-In Capital-Common Stock</v>
      </c>
      <c r="E185" s="13">
        <v>-200652.92</v>
      </c>
      <c r="F185" s="14">
        <f t="shared" si="2"/>
        <v>176</v>
      </c>
    </row>
    <row r="186" spans="1:6" x14ac:dyDescent="0.2">
      <c r="A186" s="2" t="s">
        <v>34</v>
      </c>
      <c r="C186" s="4" t="str">
        <f>"000-3030-00"</f>
        <v>000-3030-00</v>
      </c>
      <c r="D186" s="4" t="str">
        <f>"Retained Earnings"</f>
        <v>Retained Earnings</v>
      </c>
      <c r="E186" s="13">
        <v>-424524.72</v>
      </c>
      <c r="F186" s="14">
        <f t="shared" si="2"/>
        <v>177</v>
      </c>
    </row>
    <row r="187" spans="1:6" x14ac:dyDescent="0.2">
      <c r="A187" s="2" t="s">
        <v>34</v>
      </c>
      <c r="C187" s="4" t="str">
        <f>"000-4100-00"</f>
        <v>000-4100-00</v>
      </c>
      <c r="D187" s="4" t="str">
        <f>"Sales"</f>
        <v>Sales</v>
      </c>
      <c r="E187" s="13">
        <v>-4136.55</v>
      </c>
      <c r="F187" s="14">
        <f t="shared" si="2"/>
        <v>178</v>
      </c>
    </row>
    <row r="188" spans="1:6" x14ac:dyDescent="0.2">
      <c r="A188" s="2" t="s">
        <v>34</v>
      </c>
      <c r="C188" s="4" t="str">
        <f>"000-4110-01"</f>
        <v>000-4110-01</v>
      </c>
      <c r="D188" s="4" t="str">
        <f>"US Sales - Retail/Parts"</f>
        <v>US Sales - Retail/Parts</v>
      </c>
      <c r="E188" s="13">
        <v>-14816.1</v>
      </c>
      <c r="F188" s="14">
        <f t="shared" si="2"/>
        <v>179</v>
      </c>
    </row>
    <row r="189" spans="1:6" x14ac:dyDescent="0.2">
      <c r="A189" s="2" t="s">
        <v>34</v>
      </c>
      <c r="C189" s="4" t="str">
        <f>"000-4110-02"</f>
        <v>000-4110-02</v>
      </c>
      <c r="D189" s="4" t="str">
        <f>"US Sales - Finished Goods"</f>
        <v>US Sales - Finished Goods</v>
      </c>
      <c r="E189" s="13">
        <v>-341454.7</v>
      </c>
      <c r="F189" s="14">
        <f t="shared" si="2"/>
        <v>180</v>
      </c>
    </row>
    <row r="190" spans="1:6" x14ac:dyDescent="0.2">
      <c r="A190" s="2" t="s">
        <v>34</v>
      </c>
      <c r="C190" s="4" t="str">
        <f>"000-4111-01"</f>
        <v>000-4111-01</v>
      </c>
      <c r="D190" s="4" t="str">
        <f>"Canadian Sales - Retail/Parts"</f>
        <v>Canadian Sales - Retail/Parts</v>
      </c>
      <c r="E190" s="13">
        <v>0</v>
      </c>
      <c r="F190" s="14">
        <f t="shared" si="2"/>
        <v>181</v>
      </c>
    </row>
    <row r="191" spans="1:6" x14ac:dyDescent="0.2">
      <c r="A191" s="2" t="s">
        <v>34</v>
      </c>
      <c r="C191" s="4" t="str">
        <f>"000-4111-02"</f>
        <v>000-4111-02</v>
      </c>
      <c r="D191" s="4" t="str">
        <f>"Canadian Sales - Finished Goods"</f>
        <v>Canadian Sales - Finished Goods</v>
      </c>
      <c r="E191" s="13">
        <v>0</v>
      </c>
      <c r="F191" s="14">
        <f t="shared" si="2"/>
        <v>182</v>
      </c>
    </row>
    <row r="192" spans="1:6" x14ac:dyDescent="0.2">
      <c r="A192" s="2" t="s">
        <v>34</v>
      </c>
      <c r="C192" s="4" t="str">
        <f>"000-4112-01"</f>
        <v>000-4112-01</v>
      </c>
      <c r="D192" s="4" t="str">
        <f>"AustralAsian Sales - Retail/Parts"</f>
        <v>AustralAsian Sales - Retail/Parts</v>
      </c>
      <c r="E192" s="13">
        <v>0</v>
      </c>
      <c r="F192" s="14">
        <f t="shared" si="2"/>
        <v>183</v>
      </c>
    </row>
    <row r="193" spans="1:6" x14ac:dyDescent="0.2">
      <c r="A193" s="2" t="s">
        <v>34</v>
      </c>
      <c r="C193" s="4" t="str">
        <f>"000-4112-02"</f>
        <v>000-4112-02</v>
      </c>
      <c r="D193" s="4" t="str">
        <f>"AustralAsian Sales - Finished Goods"</f>
        <v>AustralAsian Sales - Finished Goods</v>
      </c>
      <c r="E193" s="13">
        <v>0</v>
      </c>
      <c r="F193" s="14">
        <f t="shared" si="2"/>
        <v>184</v>
      </c>
    </row>
    <row r="194" spans="1:6" x14ac:dyDescent="0.2">
      <c r="A194" s="2" t="s">
        <v>34</v>
      </c>
      <c r="C194" s="4" t="str">
        <f>"000-4114-01"</f>
        <v>000-4114-01</v>
      </c>
      <c r="D194" s="4" t="str">
        <f>"Germany Sales - Retail/Parts"</f>
        <v>Germany Sales - Retail/Parts</v>
      </c>
      <c r="E194" s="13">
        <v>0</v>
      </c>
      <c r="F194" s="14">
        <f t="shared" si="2"/>
        <v>185</v>
      </c>
    </row>
    <row r="195" spans="1:6" x14ac:dyDescent="0.2">
      <c r="A195" s="2" t="s">
        <v>34</v>
      </c>
      <c r="C195" s="4" t="str">
        <f>"000-4114-02"</f>
        <v>000-4114-02</v>
      </c>
      <c r="D195" s="4" t="str">
        <f>"Germany Sales - Finished Goods"</f>
        <v>Germany Sales - Finished Goods</v>
      </c>
      <c r="E195" s="13">
        <v>0</v>
      </c>
      <c r="F195" s="14">
        <f t="shared" si="2"/>
        <v>186</v>
      </c>
    </row>
    <row r="196" spans="1:6" x14ac:dyDescent="0.2">
      <c r="A196" s="2" t="s">
        <v>34</v>
      </c>
      <c r="C196" s="4" t="str">
        <f>"000-4115-01"</f>
        <v>000-4115-01</v>
      </c>
      <c r="D196" s="4" t="str">
        <f>"United Kingdom Sales - Retail/Parts"</f>
        <v>United Kingdom Sales - Retail/Parts</v>
      </c>
      <c r="E196" s="13">
        <v>0</v>
      </c>
      <c r="F196" s="14">
        <f t="shared" si="2"/>
        <v>187</v>
      </c>
    </row>
    <row r="197" spans="1:6" x14ac:dyDescent="0.2">
      <c r="A197" s="2" t="s">
        <v>34</v>
      </c>
      <c r="C197" s="4" t="str">
        <f>"000-4115-02"</f>
        <v>000-4115-02</v>
      </c>
      <c r="D197" s="4" t="str">
        <f>"United Kingdom Sales - Finished Goods"</f>
        <v>United Kingdom Sales - Finished Goods</v>
      </c>
      <c r="E197" s="13">
        <v>0</v>
      </c>
      <c r="F197" s="14">
        <f t="shared" si="2"/>
        <v>188</v>
      </c>
    </row>
    <row r="198" spans="1:6" x14ac:dyDescent="0.2">
      <c r="A198" s="2" t="s">
        <v>34</v>
      </c>
      <c r="C198" s="4" t="str">
        <f>"000-4116-01"</f>
        <v>000-4116-01</v>
      </c>
      <c r="D198" s="4" t="str">
        <f>"South Africa - Retail/Parts"</f>
        <v>South Africa - Retail/Parts</v>
      </c>
      <c r="E198" s="13">
        <v>0</v>
      </c>
      <c r="F198" s="14">
        <f t="shared" si="2"/>
        <v>189</v>
      </c>
    </row>
    <row r="199" spans="1:6" x14ac:dyDescent="0.2">
      <c r="A199" s="2" t="s">
        <v>34</v>
      </c>
      <c r="C199" s="4" t="str">
        <f>"000-4116-02"</f>
        <v>000-4116-02</v>
      </c>
      <c r="D199" s="4" t="str">
        <f>"South Africa Sales - Finished Goods"</f>
        <v>South Africa Sales - Finished Goods</v>
      </c>
      <c r="E199" s="13">
        <v>0</v>
      </c>
      <c r="F199" s="14">
        <f t="shared" si="2"/>
        <v>190</v>
      </c>
    </row>
    <row r="200" spans="1:6" x14ac:dyDescent="0.2">
      <c r="A200" s="2" t="s">
        <v>34</v>
      </c>
      <c r="C200" s="4" t="str">
        <f>"000-4117-01"</f>
        <v>000-4117-01</v>
      </c>
      <c r="D200" s="4" t="str">
        <f>"Singapore Sales - Retail/Parts"</f>
        <v>Singapore Sales - Retail/Parts</v>
      </c>
      <c r="E200" s="13">
        <v>0</v>
      </c>
      <c r="F200" s="14">
        <f t="shared" si="2"/>
        <v>191</v>
      </c>
    </row>
    <row r="201" spans="1:6" x14ac:dyDescent="0.2">
      <c r="A201" s="2" t="s">
        <v>34</v>
      </c>
      <c r="C201" s="4" t="str">
        <f>"000-4117-02"</f>
        <v>000-4117-02</v>
      </c>
      <c r="D201" s="4" t="str">
        <f>"Singapore Sales - Finished Goods"</f>
        <v>Singapore Sales - Finished Goods</v>
      </c>
      <c r="E201" s="13">
        <v>0</v>
      </c>
      <c r="F201" s="14">
        <f t="shared" si="2"/>
        <v>192</v>
      </c>
    </row>
    <row r="202" spans="1:6" x14ac:dyDescent="0.2">
      <c r="A202" s="2" t="s">
        <v>34</v>
      </c>
      <c r="C202" s="4" t="str">
        <f>"000-4120-00"</f>
        <v>000-4120-00</v>
      </c>
      <c r="D202" s="4" t="str">
        <f>"US Sales - Service Plans"</f>
        <v>US Sales - Service Plans</v>
      </c>
      <c r="E202" s="13">
        <v>0</v>
      </c>
      <c r="F202" s="14">
        <f t="shared" si="2"/>
        <v>193</v>
      </c>
    </row>
    <row r="203" spans="1:6" x14ac:dyDescent="0.2">
      <c r="A203" s="2" t="s">
        <v>34</v>
      </c>
      <c r="C203" s="4" t="str">
        <f>"000-4121-00"</f>
        <v>000-4121-00</v>
      </c>
      <c r="D203" s="4" t="str">
        <f>"Canadian Sales - Service Plans"</f>
        <v>Canadian Sales - Service Plans</v>
      </c>
      <c r="E203" s="13">
        <v>0</v>
      </c>
      <c r="F203" s="14">
        <f t="shared" ref="F203:F266" si="3">F202+1</f>
        <v>194</v>
      </c>
    </row>
    <row r="204" spans="1:6" x14ac:dyDescent="0.2">
      <c r="A204" s="2" t="s">
        <v>34</v>
      </c>
      <c r="C204" s="4" t="str">
        <f>"000-4122-00"</f>
        <v>000-4122-00</v>
      </c>
      <c r="D204" s="4" t="str">
        <f>"AustralAsian Sales - Service Plans"</f>
        <v>AustralAsian Sales - Service Plans</v>
      </c>
      <c r="E204" s="13">
        <v>0</v>
      </c>
      <c r="F204" s="14">
        <f t="shared" si="3"/>
        <v>195</v>
      </c>
    </row>
    <row r="205" spans="1:6" x14ac:dyDescent="0.2">
      <c r="A205" s="2" t="s">
        <v>34</v>
      </c>
      <c r="C205" s="4" t="str">
        <f>"000-4124-00"</f>
        <v>000-4124-00</v>
      </c>
      <c r="D205" s="4" t="str">
        <f>"Germany Sales - Service Plans"</f>
        <v>Germany Sales - Service Plans</v>
      </c>
      <c r="E205" s="13">
        <v>0</v>
      </c>
      <c r="F205" s="14">
        <f t="shared" si="3"/>
        <v>196</v>
      </c>
    </row>
    <row r="206" spans="1:6" x14ac:dyDescent="0.2">
      <c r="A206" s="2" t="s">
        <v>34</v>
      </c>
      <c r="C206" s="4" t="str">
        <f>"000-4125-00"</f>
        <v>000-4125-00</v>
      </c>
      <c r="D206" s="4" t="str">
        <f>"United Kingdom Sales - Service Plans"</f>
        <v>United Kingdom Sales - Service Plans</v>
      </c>
      <c r="E206" s="13">
        <v>0</v>
      </c>
      <c r="F206" s="14">
        <f t="shared" si="3"/>
        <v>197</v>
      </c>
    </row>
    <row r="207" spans="1:6" x14ac:dyDescent="0.2">
      <c r="A207" s="2" t="s">
        <v>34</v>
      </c>
      <c r="C207" s="4" t="str">
        <f>"000-4126-00"</f>
        <v>000-4126-00</v>
      </c>
      <c r="D207" s="4" t="str">
        <f>"South Africa Sales - Service Plans"</f>
        <v>South Africa Sales - Service Plans</v>
      </c>
      <c r="E207" s="13">
        <v>0</v>
      </c>
      <c r="F207" s="14">
        <f t="shared" si="3"/>
        <v>198</v>
      </c>
    </row>
    <row r="208" spans="1:6" x14ac:dyDescent="0.2">
      <c r="A208" s="2" t="s">
        <v>34</v>
      </c>
      <c r="C208" s="4" t="str">
        <f>"000-4127-00"</f>
        <v>000-4127-00</v>
      </c>
      <c r="D208" s="4" t="str">
        <f>"Singapore Sales - Service Plans"</f>
        <v>Singapore Sales - Service Plans</v>
      </c>
      <c r="E208" s="13">
        <v>0</v>
      </c>
      <c r="F208" s="14">
        <f t="shared" si="3"/>
        <v>199</v>
      </c>
    </row>
    <row r="209" spans="1:6" x14ac:dyDescent="0.2">
      <c r="A209" s="2" t="s">
        <v>34</v>
      </c>
      <c r="C209" s="4" t="str">
        <f>"000-4130-00"</f>
        <v>000-4130-00</v>
      </c>
      <c r="D209" s="4" t="str">
        <f>"US Sales - Installation Charges"</f>
        <v>US Sales - Installation Charges</v>
      </c>
      <c r="E209" s="13">
        <v>0</v>
      </c>
      <c r="F209" s="14">
        <f t="shared" si="3"/>
        <v>200</v>
      </c>
    </row>
    <row r="210" spans="1:6" x14ac:dyDescent="0.2">
      <c r="A210" s="2" t="s">
        <v>34</v>
      </c>
      <c r="C210" s="4" t="str">
        <f>"000-4131-00"</f>
        <v>000-4131-00</v>
      </c>
      <c r="D210" s="4" t="str">
        <f>"Canadian Sales - Installation Charges"</f>
        <v>Canadian Sales - Installation Charges</v>
      </c>
      <c r="E210" s="13">
        <v>0</v>
      </c>
      <c r="F210" s="14">
        <f t="shared" si="3"/>
        <v>201</v>
      </c>
    </row>
    <row r="211" spans="1:6" x14ac:dyDescent="0.2">
      <c r="A211" s="2" t="s">
        <v>34</v>
      </c>
      <c r="C211" s="4" t="str">
        <f>"000-4132-00"</f>
        <v>000-4132-00</v>
      </c>
      <c r="D211" s="4" t="str">
        <f>"AustralAsian Sales - Installation Charges"</f>
        <v>AustralAsian Sales - Installation Charges</v>
      </c>
      <c r="E211" s="13">
        <v>0</v>
      </c>
      <c r="F211" s="14">
        <f t="shared" si="3"/>
        <v>202</v>
      </c>
    </row>
    <row r="212" spans="1:6" x14ac:dyDescent="0.2">
      <c r="A212" s="2" t="s">
        <v>34</v>
      </c>
      <c r="C212" s="4" t="str">
        <f>"000-4134-00"</f>
        <v>000-4134-00</v>
      </c>
      <c r="D212" s="4" t="str">
        <f>"Germany Sales - Installation Charges"</f>
        <v>Germany Sales - Installation Charges</v>
      </c>
      <c r="E212" s="13">
        <v>0</v>
      </c>
      <c r="F212" s="14">
        <f t="shared" si="3"/>
        <v>203</v>
      </c>
    </row>
    <row r="213" spans="1:6" x14ac:dyDescent="0.2">
      <c r="A213" s="2" t="s">
        <v>34</v>
      </c>
      <c r="C213" s="4" t="str">
        <f>"000-4135-00"</f>
        <v>000-4135-00</v>
      </c>
      <c r="D213" s="4" t="str">
        <f>"United Kingdom Sales - Installation Charges"</f>
        <v>United Kingdom Sales - Installation Charges</v>
      </c>
      <c r="E213" s="13">
        <v>0</v>
      </c>
      <c r="F213" s="14">
        <f t="shared" si="3"/>
        <v>204</v>
      </c>
    </row>
    <row r="214" spans="1:6" x14ac:dyDescent="0.2">
      <c r="A214" s="2" t="s">
        <v>34</v>
      </c>
      <c r="C214" s="4" t="str">
        <f>"000-4136-00"</f>
        <v>000-4136-00</v>
      </c>
      <c r="D214" s="4" t="str">
        <f>"South Africa Sales - Installation Charges"</f>
        <v>South Africa Sales - Installation Charges</v>
      </c>
      <c r="E214" s="13">
        <v>0</v>
      </c>
      <c r="F214" s="14">
        <f t="shared" si="3"/>
        <v>205</v>
      </c>
    </row>
    <row r="215" spans="1:6" x14ac:dyDescent="0.2">
      <c r="A215" s="2" t="s">
        <v>34</v>
      </c>
      <c r="C215" s="4" t="str">
        <f>"000-4137-00"</f>
        <v>000-4137-00</v>
      </c>
      <c r="D215" s="4" t="str">
        <f>"Singapore Sales - Installation Charges"</f>
        <v>Singapore Sales - Installation Charges</v>
      </c>
      <c r="E215" s="13">
        <v>0</v>
      </c>
      <c r="F215" s="14">
        <f t="shared" si="3"/>
        <v>206</v>
      </c>
    </row>
    <row r="216" spans="1:6" x14ac:dyDescent="0.2">
      <c r="A216" s="2" t="s">
        <v>34</v>
      </c>
      <c r="C216" s="4" t="str">
        <f>"000-4140-00"</f>
        <v>000-4140-00</v>
      </c>
      <c r="D216" s="4" t="str">
        <f>"US Sales - Repair Charges"</f>
        <v>US Sales - Repair Charges</v>
      </c>
      <c r="E216" s="13">
        <v>-803.86</v>
      </c>
      <c r="F216" s="14">
        <f t="shared" si="3"/>
        <v>207</v>
      </c>
    </row>
    <row r="217" spans="1:6" x14ac:dyDescent="0.2">
      <c r="A217" s="2" t="s">
        <v>34</v>
      </c>
      <c r="C217" s="4" t="str">
        <f>"000-4141-00"</f>
        <v>000-4141-00</v>
      </c>
      <c r="D217" s="4" t="str">
        <f>"Canadian Sales - Repair Charges"</f>
        <v>Canadian Sales - Repair Charges</v>
      </c>
      <c r="E217" s="13">
        <v>0</v>
      </c>
      <c r="F217" s="14">
        <f t="shared" si="3"/>
        <v>208</v>
      </c>
    </row>
    <row r="218" spans="1:6" x14ac:dyDescent="0.2">
      <c r="A218" s="2" t="s">
        <v>34</v>
      </c>
      <c r="C218" s="4" t="str">
        <f>"000-4142-00"</f>
        <v>000-4142-00</v>
      </c>
      <c r="D218" s="4" t="str">
        <f>"AustralAsian Sales - Repair Charges"</f>
        <v>AustralAsian Sales - Repair Charges</v>
      </c>
      <c r="E218" s="13">
        <v>0</v>
      </c>
      <c r="F218" s="14">
        <f t="shared" si="3"/>
        <v>209</v>
      </c>
    </row>
    <row r="219" spans="1:6" x14ac:dyDescent="0.2">
      <c r="A219" s="2" t="s">
        <v>34</v>
      </c>
      <c r="C219" s="4" t="str">
        <f>"000-4176-00"</f>
        <v>000-4176-00</v>
      </c>
      <c r="D219" s="4" t="str">
        <f>"South Africa Sales Discount"</f>
        <v>South Africa Sales Discount</v>
      </c>
      <c r="E219" s="13">
        <v>0</v>
      </c>
      <c r="F219" s="14">
        <f t="shared" si="3"/>
        <v>210</v>
      </c>
    </row>
    <row r="220" spans="1:6" x14ac:dyDescent="0.2">
      <c r="A220" s="2" t="s">
        <v>34</v>
      </c>
      <c r="C220" s="4" t="str">
        <f>"000-4177-00"</f>
        <v>000-4177-00</v>
      </c>
      <c r="D220" s="4" t="str">
        <f>"Germany Sales Discount"</f>
        <v>Germany Sales Discount</v>
      </c>
      <c r="E220" s="13">
        <v>0</v>
      </c>
      <c r="F220" s="14">
        <f t="shared" si="3"/>
        <v>211</v>
      </c>
    </row>
    <row r="221" spans="1:6" x14ac:dyDescent="0.2">
      <c r="A221" s="2" t="s">
        <v>34</v>
      </c>
      <c r="C221" s="4" t="str">
        <f>"000-4178-00"</f>
        <v>000-4178-00</v>
      </c>
      <c r="D221" s="4" t="str">
        <f>"Singapore Sales Discount"</f>
        <v>Singapore Sales Discount</v>
      </c>
      <c r="E221" s="13">
        <v>0</v>
      </c>
      <c r="F221" s="14">
        <f t="shared" si="3"/>
        <v>212</v>
      </c>
    </row>
    <row r="222" spans="1:6" x14ac:dyDescent="0.2">
      <c r="A222" s="2" t="s">
        <v>34</v>
      </c>
      <c r="C222" s="4" t="str">
        <f>"000-4179-00"</f>
        <v>000-4179-00</v>
      </c>
      <c r="D222" s="4" t="str">
        <f>"United Kingdom Sales Discount"</f>
        <v>United Kingdom Sales Discount</v>
      </c>
      <c r="E222" s="13">
        <v>0</v>
      </c>
      <c r="F222" s="14">
        <f t="shared" si="3"/>
        <v>213</v>
      </c>
    </row>
    <row r="223" spans="1:6" x14ac:dyDescent="0.2">
      <c r="A223" s="2" t="s">
        <v>34</v>
      </c>
      <c r="C223" s="4" t="str">
        <f>"000-4180-00"</f>
        <v>000-4180-00</v>
      </c>
      <c r="D223" s="4" t="str">
        <f>"US Sales Discounts"</f>
        <v>US Sales Discounts</v>
      </c>
      <c r="E223" s="13">
        <v>0</v>
      </c>
      <c r="F223" s="14">
        <f t="shared" si="3"/>
        <v>214</v>
      </c>
    </row>
    <row r="224" spans="1:6" x14ac:dyDescent="0.2">
      <c r="A224" s="2" t="s">
        <v>34</v>
      </c>
      <c r="C224" s="4" t="str">
        <f>"000-4181-00"</f>
        <v>000-4181-00</v>
      </c>
      <c r="D224" s="4" t="str">
        <f>"Canadian Sales Discounts"</f>
        <v>Canadian Sales Discounts</v>
      </c>
      <c r="E224" s="13">
        <v>0</v>
      </c>
      <c r="F224" s="14">
        <f t="shared" si="3"/>
        <v>215</v>
      </c>
    </row>
    <row r="225" spans="1:6" x14ac:dyDescent="0.2">
      <c r="A225" s="2" t="s">
        <v>34</v>
      </c>
      <c r="C225" s="4" t="str">
        <f>"000-4182-00"</f>
        <v>000-4182-00</v>
      </c>
      <c r="D225" s="4" t="str">
        <f>"AustralAsian Sales Discounts"</f>
        <v>AustralAsian Sales Discounts</v>
      </c>
      <c r="E225" s="13">
        <v>0</v>
      </c>
      <c r="F225" s="14">
        <f t="shared" si="3"/>
        <v>216</v>
      </c>
    </row>
    <row r="226" spans="1:6" x14ac:dyDescent="0.2">
      <c r="A226" s="2" t="s">
        <v>34</v>
      </c>
      <c r="C226" s="4" t="str">
        <f>"000-4183-00"</f>
        <v>000-4183-00</v>
      </c>
      <c r="D226" s="4" t="str">
        <f>"US Sales Trade Discounts"</f>
        <v>US Sales Trade Discounts</v>
      </c>
      <c r="E226" s="13">
        <v>0</v>
      </c>
      <c r="F226" s="14">
        <f t="shared" si="3"/>
        <v>217</v>
      </c>
    </row>
    <row r="227" spans="1:6" x14ac:dyDescent="0.2">
      <c r="A227" s="2" t="s">
        <v>34</v>
      </c>
      <c r="C227" s="4" t="str">
        <f>"000-4184-00"</f>
        <v>000-4184-00</v>
      </c>
      <c r="D227" s="4" t="str">
        <f>"Canadian Sales Trade Discounts"</f>
        <v>Canadian Sales Trade Discounts</v>
      </c>
      <c r="E227" s="13">
        <v>0</v>
      </c>
      <c r="F227" s="14">
        <f t="shared" si="3"/>
        <v>218</v>
      </c>
    </row>
    <row r="228" spans="1:6" x14ac:dyDescent="0.2">
      <c r="A228" s="2" t="s">
        <v>34</v>
      </c>
      <c r="C228" s="4" t="str">
        <f>"000-4185-00"</f>
        <v>000-4185-00</v>
      </c>
      <c r="D228" s="4" t="str">
        <f>"AustralAsian Trade Discounts"</f>
        <v>AustralAsian Trade Discounts</v>
      </c>
      <c r="E228" s="13">
        <v>0</v>
      </c>
      <c r="F228" s="14">
        <f t="shared" si="3"/>
        <v>219</v>
      </c>
    </row>
    <row r="229" spans="1:6" x14ac:dyDescent="0.2">
      <c r="A229" s="2" t="s">
        <v>34</v>
      </c>
      <c r="C229" s="4" t="str">
        <f>"000-4186-00"</f>
        <v>000-4186-00</v>
      </c>
      <c r="D229" s="4" t="str">
        <f>"United Kingdom Trade Discount"</f>
        <v>United Kingdom Trade Discount</v>
      </c>
      <c r="E229" s="13">
        <v>0</v>
      </c>
      <c r="F229" s="14">
        <f t="shared" si="3"/>
        <v>220</v>
      </c>
    </row>
    <row r="230" spans="1:6" x14ac:dyDescent="0.2">
      <c r="A230" s="2" t="s">
        <v>34</v>
      </c>
      <c r="C230" s="4" t="str">
        <f>"000-4187-00"</f>
        <v>000-4187-00</v>
      </c>
      <c r="D230" s="4" t="str">
        <f>"Singapore Trade Discount"</f>
        <v>Singapore Trade Discount</v>
      </c>
      <c r="E230" s="13">
        <v>0</v>
      </c>
      <c r="F230" s="14">
        <f t="shared" si="3"/>
        <v>221</v>
      </c>
    </row>
    <row r="231" spans="1:6" x14ac:dyDescent="0.2">
      <c r="A231" s="2" t="s">
        <v>34</v>
      </c>
      <c r="C231" s="4" t="str">
        <f>"000-4188-00"</f>
        <v>000-4188-00</v>
      </c>
      <c r="D231" s="4" t="str">
        <f>"Germany Trade Discount"</f>
        <v>Germany Trade Discount</v>
      </c>
      <c r="E231" s="13">
        <v>0</v>
      </c>
      <c r="F231" s="14">
        <f t="shared" si="3"/>
        <v>222</v>
      </c>
    </row>
    <row r="232" spans="1:6" x14ac:dyDescent="0.2">
      <c r="A232" s="2" t="s">
        <v>34</v>
      </c>
      <c r="C232" s="4" t="str">
        <f>"000-4189-00"</f>
        <v>000-4189-00</v>
      </c>
      <c r="D232" s="4" t="str">
        <f>"South Africa Trade Discount"</f>
        <v>South Africa Trade Discount</v>
      </c>
      <c r="E232" s="13">
        <v>0</v>
      </c>
      <c r="F232" s="14">
        <f t="shared" si="3"/>
        <v>223</v>
      </c>
    </row>
    <row r="233" spans="1:6" x14ac:dyDescent="0.2">
      <c r="A233" s="2" t="s">
        <v>34</v>
      </c>
      <c r="C233" s="4" t="str">
        <f>"000-4190-00"</f>
        <v>000-4190-00</v>
      </c>
      <c r="D233" s="4" t="str">
        <f>"US Sales Returns"</f>
        <v>US Sales Returns</v>
      </c>
      <c r="E233" s="13">
        <v>0</v>
      </c>
      <c r="F233" s="14">
        <f t="shared" si="3"/>
        <v>224</v>
      </c>
    </row>
    <row r="234" spans="1:6" x14ac:dyDescent="0.2">
      <c r="A234" s="2" t="s">
        <v>34</v>
      </c>
      <c r="C234" s="4" t="str">
        <f>"000-4191-00"</f>
        <v>000-4191-00</v>
      </c>
      <c r="D234" s="4" t="str">
        <f>"Canadian Sales Returns"</f>
        <v>Canadian Sales Returns</v>
      </c>
      <c r="E234" s="13">
        <v>0</v>
      </c>
      <c r="F234" s="14">
        <f t="shared" si="3"/>
        <v>225</v>
      </c>
    </row>
    <row r="235" spans="1:6" x14ac:dyDescent="0.2">
      <c r="A235" s="2" t="s">
        <v>34</v>
      </c>
      <c r="C235" s="4" t="str">
        <f>"000-4192-00"</f>
        <v>000-4192-00</v>
      </c>
      <c r="D235" s="4" t="str">
        <f>"AustralAsian Sales Returns"</f>
        <v>AustralAsian Sales Returns</v>
      </c>
      <c r="E235" s="13">
        <v>0</v>
      </c>
      <c r="F235" s="14">
        <f t="shared" si="3"/>
        <v>226</v>
      </c>
    </row>
    <row r="236" spans="1:6" x14ac:dyDescent="0.2">
      <c r="A236" s="2" t="s">
        <v>34</v>
      </c>
      <c r="C236" s="4" t="str">
        <f>"000-4200-00"</f>
        <v>000-4200-00</v>
      </c>
      <c r="D236" s="4" t="str">
        <f>"Project Revenue/Sales"</f>
        <v>Project Revenue/Sales</v>
      </c>
      <c r="E236" s="13">
        <v>0</v>
      </c>
      <c r="F236" s="14">
        <f t="shared" si="3"/>
        <v>227</v>
      </c>
    </row>
    <row r="237" spans="1:6" x14ac:dyDescent="0.2">
      <c r="A237" s="2" t="s">
        <v>34</v>
      </c>
      <c r="C237" s="4" t="str">
        <f>"000-4210-01"</f>
        <v>000-4210-01</v>
      </c>
      <c r="D237" s="4" t="str">
        <f>"Project Billings"</f>
        <v>Project Billings</v>
      </c>
      <c r="E237" s="13">
        <v>0</v>
      </c>
      <c r="F237" s="14">
        <f t="shared" si="3"/>
        <v>228</v>
      </c>
    </row>
    <row r="238" spans="1:6" x14ac:dyDescent="0.2">
      <c r="A238" s="2" t="s">
        <v>34</v>
      </c>
      <c r="C238" s="4" t="str">
        <f>"000-4280-01"</f>
        <v>000-4280-01</v>
      </c>
      <c r="D238" s="4" t="str">
        <f>"Unbilled Project Revenue"</f>
        <v>Unbilled Project Revenue</v>
      </c>
      <c r="E238" s="13">
        <v>0</v>
      </c>
      <c r="F238" s="14">
        <f t="shared" si="3"/>
        <v>229</v>
      </c>
    </row>
    <row r="239" spans="1:6" x14ac:dyDescent="0.2">
      <c r="A239" s="2" t="s">
        <v>34</v>
      </c>
      <c r="C239" s="4" t="str">
        <f>"000-4500-01"</f>
        <v>000-4500-01</v>
      </c>
      <c r="D239" s="4" t="str">
        <f>"Project Revenue"</f>
        <v>Project Revenue</v>
      </c>
      <c r="E239" s="13">
        <v>0</v>
      </c>
      <c r="F239" s="14">
        <f t="shared" si="3"/>
        <v>230</v>
      </c>
    </row>
    <row r="240" spans="1:6" x14ac:dyDescent="0.2">
      <c r="A240" s="2" t="s">
        <v>34</v>
      </c>
      <c r="C240" s="4" t="str">
        <f>"000-4510-01"</f>
        <v>000-4510-01</v>
      </c>
      <c r="D240" s="4" t="str">
        <f>"Cost of Goods Sold - Retail/Parts"</f>
        <v>Cost of Goods Sold - Retail/Parts</v>
      </c>
      <c r="E240" s="13">
        <v>145665.15</v>
      </c>
      <c r="F240" s="14">
        <f t="shared" si="3"/>
        <v>231</v>
      </c>
    </row>
    <row r="241" spans="1:6" x14ac:dyDescent="0.2">
      <c r="A241" s="2" t="s">
        <v>34</v>
      </c>
      <c r="C241" s="4" t="str">
        <f>"000-4510-02"</f>
        <v>000-4510-02</v>
      </c>
      <c r="D241" s="4" t="str">
        <f>"Cost of Goods Sold - Finished Goods"</f>
        <v>Cost of Goods Sold - Finished Goods</v>
      </c>
      <c r="E241" s="13">
        <v>0</v>
      </c>
      <c r="F241" s="14">
        <f t="shared" si="3"/>
        <v>232</v>
      </c>
    </row>
    <row r="242" spans="1:6" x14ac:dyDescent="0.2">
      <c r="A242" s="2" t="s">
        <v>34</v>
      </c>
      <c r="C242" s="4" t="str">
        <f>"000-4520-01"</f>
        <v>000-4520-01</v>
      </c>
      <c r="D242" s="4" t="str">
        <f>"CoGS - Material"</f>
        <v>CoGS - Material</v>
      </c>
      <c r="E242" s="13">
        <v>0</v>
      </c>
      <c r="F242" s="14">
        <f t="shared" si="3"/>
        <v>233</v>
      </c>
    </row>
    <row r="243" spans="1:6" x14ac:dyDescent="0.2">
      <c r="A243" s="2" t="s">
        <v>34</v>
      </c>
      <c r="C243" s="4" t="str">
        <f>"000-4520-02"</f>
        <v>000-4520-02</v>
      </c>
      <c r="D243" s="4" t="str">
        <f>"CoGS - Material Fixed OH"</f>
        <v>CoGS - Material Fixed OH</v>
      </c>
      <c r="E243" s="13">
        <v>0</v>
      </c>
      <c r="F243" s="14">
        <f t="shared" si="3"/>
        <v>234</v>
      </c>
    </row>
    <row r="244" spans="1:6" x14ac:dyDescent="0.2">
      <c r="A244" s="2" t="s">
        <v>34</v>
      </c>
      <c r="C244" s="4" t="str">
        <f>"000-4520-03"</f>
        <v>000-4520-03</v>
      </c>
      <c r="D244" s="4" t="str">
        <f>"CoGS - Material Var. OH"</f>
        <v>CoGS - Material Var. OH</v>
      </c>
      <c r="E244" s="13">
        <v>0</v>
      </c>
      <c r="F244" s="14">
        <f t="shared" si="3"/>
        <v>235</v>
      </c>
    </row>
    <row r="245" spans="1:6" x14ac:dyDescent="0.2">
      <c r="A245" s="2" t="s">
        <v>34</v>
      </c>
      <c r="C245" s="4" t="str">
        <f>"000-4520-04"</f>
        <v>000-4520-04</v>
      </c>
      <c r="D245" s="4" t="str">
        <f>"CoGS - Labor"</f>
        <v>CoGS - Labor</v>
      </c>
      <c r="E245" s="13">
        <v>0</v>
      </c>
      <c r="F245" s="14">
        <f t="shared" si="3"/>
        <v>236</v>
      </c>
    </row>
    <row r="246" spans="1:6" x14ac:dyDescent="0.2">
      <c r="A246" s="2" t="s">
        <v>34</v>
      </c>
      <c r="C246" s="4" t="str">
        <f>"000-4520-05"</f>
        <v>000-4520-05</v>
      </c>
      <c r="D246" s="4" t="str">
        <f>"CoGS - Labor Fixed OH"</f>
        <v>CoGS - Labor Fixed OH</v>
      </c>
      <c r="E246" s="13">
        <v>0</v>
      </c>
      <c r="F246" s="14">
        <f t="shared" si="3"/>
        <v>237</v>
      </c>
    </row>
    <row r="247" spans="1:6" x14ac:dyDescent="0.2">
      <c r="A247" s="2" t="s">
        <v>34</v>
      </c>
      <c r="C247" s="4" t="str">
        <f>"000-4520-06"</f>
        <v>000-4520-06</v>
      </c>
      <c r="D247" s="4" t="str">
        <f>"CoGS - Labor Var. OH"</f>
        <v>CoGS - Labor Var. OH</v>
      </c>
      <c r="E247" s="13">
        <v>0</v>
      </c>
      <c r="F247" s="14">
        <f t="shared" si="3"/>
        <v>238</v>
      </c>
    </row>
    <row r="248" spans="1:6" x14ac:dyDescent="0.2">
      <c r="A248" s="2" t="s">
        <v>34</v>
      </c>
      <c r="C248" s="4" t="str">
        <f>"000-4520-07"</f>
        <v>000-4520-07</v>
      </c>
      <c r="D248" s="4" t="str">
        <f>"CoGS - Machine"</f>
        <v>CoGS - Machine</v>
      </c>
      <c r="E248" s="13">
        <v>0</v>
      </c>
      <c r="F248" s="14">
        <f t="shared" si="3"/>
        <v>239</v>
      </c>
    </row>
    <row r="249" spans="1:6" x14ac:dyDescent="0.2">
      <c r="A249" s="2" t="s">
        <v>34</v>
      </c>
      <c r="C249" s="4" t="str">
        <f>"000-4520-08"</f>
        <v>000-4520-08</v>
      </c>
      <c r="D249" s="4" t="str">
        <f>"CoGS - Machine Fixed OH"</f>
        <v>CoGS - Machine Fixed OH</v>
      </c>
      <c r="E249" s="13">
        <v>0</v>
      </c>
      <c r="F249" s="14">
        <f t="shared" si="3"/>
        <v>240</v>
      </c>
    </row>
    <row r="250" spans="1:6" x14ac:dyDescent="0.2">
      <c r="A250" s="2" t="s">
        <v>34</v>
      </c>
      <c r="C250" s="4" t="str">
        <f>"000-4520-09"</f>
        <v>000-4520-09</v>
      </c>
      <c r="D250" s="4" t="str">
        <f>"CoGS - Machine Var. OH"</f>
        <v>CoGS - Machine Var. OH</v>
      </c>
      <c r="E250" s="13">
        <v>0</v>
      </c>
      <c r="F250" s="14">
        <f t="shared" si="3"/>
        <v>241</v>
      </c>
    </row>
    <row r="251" spans="1:6" x14ac:dyDescent="0.2">
      <c r="A251" s="2" t="s">
        <v>34</v>
      </c>
      <c r="C251" s="4" t="str">
        <f>"000-4530-01"</f>
        <v>000-4530-01</v>
      </c>
      <c r="D251" s="4" t="str">
        <f>"Cost of Goods Sold/Expense"</f>
        <v>Cost of Goods Sold/Expense</v>
      </c>
      <c r="E251" s="13">
        <v>0</v>
      </c>
      <c r="F251" s="14">
        <f t="shared" si="3"/>
        <v>242</v>
      </c>
    </row>
    <row r="252" spans="1:6" x14ac:dyDescent="0.2">
      <c r="A252" s="2" t="s">
        <v>34</v>
      </c>
      <c r="C252" s="4" t="str">
        <f>"000-4600-00"</f>
        <v>000-4600-00</v>
      </c>
      <c r="D252" s="4" t="str">
        <f>"Purchases Discounts Taken"</f>
        <v>Purchases Discounts Taken</v>
      </c>
      <c r="E252" s="13">
        <v>-126.24</v>
      </c>
      <c r="F252" s="14">
        <f t="shared" si="3"/>
        <v>243</v>
      </c>
    </row>
    <row r="253" spans="1:6" x14ac:dyDescent="0.2">
      <c r="A253" s="2" t="s">
        <v>34</v>
      </c>
      <c r="C253" s="4" t="str">
        <f>"000-4601-00"</f>
        <v>000-4601-00</v>
      </c>
      <c r="D253" s="4" t="str">
        <f>"Purchases Trade Discounts"</f>
        <v>Purchases Trade Discounts</v>
      </c>
      <c r="E253" s="13">
        <v>0</v>
      </c>
      <c r="F253" s="14">
        <f t="shared" si="3"/>
        <v>244</v>
      </c>
    </row>
    <row r="254" spans="1:6" x14ac:dyDescent="0.2">
      <c r="A254" s="2" t="s">
        <v>34</v>
      </c>
      <c r="C254" s="4" t="str">
        <f>"000-4700-00"</f>
        <v>000-4700-00</v>
      </c>
      <c r="D254" s="4" t="str">
        <f>"Shrinkage and Waste"</f>
        <v>Shrinkage and Waste</v>
      </c>
      <c r="E254" s="13">
        <v>0</v>
      </c>
      <c r="F254" s="14">
        <f t="shared" si="3"/>
        <v>245</v>
      </c>
    </row>
    <row r="255" spans="1:6" x14ac:dyDescent="0.2">
      <c r="A255" s="2" t="s">
        <v>34</v>
      </c>
      <c r="C255" s="4" t="str">
        <f>"000-4710-00"</f>
        <v>000-4710-00</v>
      </c>
      <c r="D255" s="4" t="str">
        <f>"Freight and Handling"</f>
        <v>Freight and Handling</v>
      </c>
      <c r="E255" s="13">
        <v>0</v>
      </c>
      <c r="F255" s="14">
        <f t="shared" si="3"/>
        <v>246</v>
      </c>
    </row>
    <row r="256" spans="1:6" x14ac:dyDescent="0.2">
      <c r="A256" s="2" t="s">
        <v>34</v>
      </c>
      <c r="C256" s="4" t="str">
        <f>"000-4720-00"</f>
        <v>000-4720-00</v>
      </c>
      <c r="D256" s="4" t="str">
        <f>"International Freight and Handling"</f>
        <v>International Freight and Handling</v>
      </c>
      <c r="E256" s="13">
        <v>0</v>
      </c>
      <c r="F256" s="14">
        <f t="shared" si="3"/>
        <v>247</v>
      </c>
    </row>
    <row r="257" spans="1:6" x14ac:dyDescent="0.2">
      <c r="A257" s="2" t="s">
        <v>34</v>
      </c>
      <c r="C257" s="4" t="str">
        <f>"000-4730-00"</f>
        <v>000-4730-00</v>
      </c>
      <c r="D257" s="4" t="str">
        <f>"Purchase Price Variance - Unrealized"</f>
        <v>Purchase Price Variance - Unrealized</v>
      </c>
      <c r="E257" s="13">
        <v>-1496.43</v>
      </c>
      <c r="F257" s="14">
        <f t="shared" si="3"/>
        <v>248</v>
      </c>
    </row>
    <row r="258" spans="1:6" x14ac:dyDescent="0.2">
      <c r="A258" s="2" t="s">
        <v>34</v>
      </c>
      <c r="C258" s="4" t="str">
        <f>"000-4731-00"</f>
        <v>000-4731-00</v>
      </c>
      <c r="D258" s="4" t="str">
        <f>"Withholding offset"</f>
        <v>Withholding offset</v>
      </c>
      <c r="E258" s="13">
        <v>757.12</v>
      </c>
      <c r="F258" s="14">
        <f t="shared" si="3"/>
        <v>249</v>
      </c>
    </row>
    <row r="259" spans="1:6" x14ac:dyDescent="0.2">
      <c r="A259" s="2" t="s">
        <v>34</v>
      </c>
      <c r="C259" s="4" t="str">
        <f>"000-4740-00"</f>
        <v>000-4740-00</v>
      </c>
      <c r="D259" s="4" t="str">
        <f>"Assembly Variance"</f>
        <v>Assembly Variance</v>
      </c>
      <c r="E259" s="13">
        <v>0</v>
      </c>
      <c r="F259" s="14">
        <f t="shared" si="3"/>
        <v>250</v>
      </c>
    </row>
    <row r="260" spans="1:6" x14ac:dyDescent="0.2">
      <c r="A260" s="2" t="s">
        <v>34</v>
      </c>
      <c r="C260" s="4" t="str">
        <f>"000-4750-01"</f>
        <v>000-4750-01</v>
      </c>
      <c r="D260" s="4" t="str">
        <f>"Variance - Material"</f>
        <v>Variance - Material</v>
      </c>
      <c r="E260" s="13">
        <v>0</v>
      </c>
      <c r="F260" s="14">
        <f t="shared" si="3"/>
        <v>251</v>
      </c>
    </row>
    <row r="261" spans="1:6" x14ac:dyDescent="0.2">
      <c r="A261" s="2" t="s">
        <v>34</v>
      </c>
      <c r="C261" s="4" t="str">
        <f>"000-4750-02"</f>
        <v>000-4750-02</v>
      </c>
      <c r="D261" s="4" t="str">
        <f>"Variance - Mat. Fixed OH"</f>
        <v>Variance - Mat. Fixed OH</v>
      </c>
      <c r="E261" s="13">
        <v>0</v>
      </c>
      <c r="F261" s="14">
        <f t="shared" si="3"/>
        <v>252</v>
      </c>
    </row>
    <row r="262" spans="1:6" x14ac:dyDescent="0.2">
      <c r="A262" s="2" t="s">
        <v>34</v>
      </c>
      <c r="C262" s="4" t="str">
        <f>"000-4750-03"</f>
        <v>000-4750-03</v>
      </c>
      <c r="D262" s="4" t="str">
        <f>"Variance - Mat. Var. OH"</f>
        <v>Variance - Mat. Var. OH</v>
      </c>
      <c r="E262" s="13">
        <v>0</v>
      </c>
      <c r="F262" s="14">
        <f t="shared" si="3"/>
        <v>253</v>
      </c>
    </row>
    <row r="263" spans="1:6" x14ac:dyDescent="0.2">
      <c r="A263" s="2" t="s">
        <v>34</v>
      </c>
      <c r="C263" s="4" t="str">
        <f>"000-4750-04"</f>
        <v>000-4750-04</v>
      </c>
      <c r="D263" s="4" t="str">
        <f>"Variance - Labor"</f>
        <v>Variance - Labor</v>
      </c>
      <c r="E263" s="13">
        <v>0</v>
      </c>
      <c r="F263" s="14">
        <f t="shared" si="3"/>
        <v>254</v>
      </c>
    </row>
    <row r="264" spans="1:6" x14ac:dyDescent="0.2">
      <c r="A264" s="2" t="s">
        <v>34</v>
      </c>
      <c r="C264" s="4" t="str">
        <f>"000-4750-05"</f>
        <v>000-4750-05</v>
      </c>
      <c r="D264" s="4" t="str">
        <f>"Variance - Labor Fixed OH"</f>
        <v>Variance - Labor Fixed OH</v>
      </c>
      <c r="E264" s="13">
        <v>0</v>
      </c>
      <c r="F264" s="14">
        <f t="shared" si="3"/>
        <v>255</v>
      </c>
    </row>
    <row r="265" spans="1:6" x14ac:dyDescent="0.2">
      <c r="A265" s="2" t="s">
        <v>34</v>
      </c>
      <c r="C265" s="4" t="str">
        <f>"000-4750-06"</f>
        <v>000-4750-06</v>
      </c>
      <c r="D265" s="4" t="str">
        <f>"Variance - Labor Var. OH"</f>
        <v>Variance - Labor Var. OH</v>
      </c>
      <c r="E265" s="13">
        <v>0</v>
      </c>
      <c r="F265" s="14">
        <f t="shared" si="3"/>
        <v>256</v>
      </c>
    </row>
    <row r="266" spans="1:6" x14ac:dyDescent="0.2">
      <c r="A266" s="2" t="s">
        <v>34</v>
      </c>
      <c r="C266" s="4" t="str">
        <f>"000-4750-07"</f>
        <v>000-4750-07</v>
      </c>
      <c r="D266" s="4" t="str">
        <f>"Variance - Machine"</f>
        <v>Variance - Machine</v>
      </c>
      <c r="E266" s="13">
        <v>0</v>
      </c>
      <c r="F266" s="14">
        <f t="shared" si="3"/>
        <v>257</v>
      </c>
    </row>
    <row r="267" spans="1:6" x14ac:dyDescent="0.2">
      <c r="A267" s="2" t="s">
        <v>34</v>
      </c>
      <c r="C267" s="4" t="str">
        <f>"000-4750-08"</f>
        <v>000-4750-08</v>
      </c>
      <c r="D267" s="4" t="str">
        <f>"Variance - Mach. Fixed OH"</f>
        <v>Variance - Mach. Fixed OH</v>
      </c>
      <c r="E267" s="13">
        <v>0</v>
      </c>
      <c r="F267" s="14">
        <f t="shared" ref="F267:F330" si="4">F266+1</f>
        <v>258</v>
      </c>
    </row>
    <row r="268" spans="1:6" x14ac:dyDescent="0.2">
      <c r="A268" s="2" t="s">
        <v>34</v>
      </c>
      <c r="C268" s="4" t="str">
        <f>"000-4750-09"</f>
        <v>000-4750-09</v>
      </c>
      <c r="D268" s="4" t="str">
        <f>"Variance - Mach. Var OH"</f>
        <v>Variance - Mach. Var OH</v>
      </c>
      <c r="E268" s="13">
        <v>0</v>
      </c>
      <c r="F268" s="14">
        <f t="shared" si="4"/>
        <v>259</v>
      </c>
    </row>
    <row r="269" spans="1:6" x14ac:dyDescent="0.2">
      <c r="A269" s="2" t="s">
        <v>34</v>
      </c>
      <c r="C269" s="4" t="str">
        <f>"000-4800-00"</f>
        <v>000-4800-00</v>
      </c>
      <c r="D269" s="4" t="str">
        <f>"Overhead"</f>
        <v>Overhead</v>
      </c>
      <c r="E269" s="13">
        <v>0</v>
      </c>
      <c r="F269" s="14">
        <f t="shared" si="4"/>
        <v>260</v>
      </c>
    </row>
    <row r="270" spans="1:6" x14ac:dyDescent="0.2">
      <c r="A270" s="2" t="s">
        <v>34</v>
      </c>
      <c r="C270" s="4" t="str">
        <f>"000-5100-00"</f>
        <v>000-5100-00</v>
      </c>
      <c r="D270" s="4" t="str">
        <f>"Salaries and Wages"</f>
        <v>Salaries and Wages</v>
      </c>
      <c r="E270" s="13">
        <v>223799.77</v>
      </c>
      <c r="F270" s="14">
        <f t="shared" si="4"/>
        <v>261</v>
      </c>
    </row>
    <row r="271" spans="1:6" x14ac:dyDescent="0.2">
      <c r="A271" s="2" t="s">
        <v>34</v>
      </c>
      <c r="C271" s="4" t="str">
        <f>"000-5200-00"</f>
        <v>000-5200-00</v>
      </c>
      <c r="D271" s="4" t="str">
        <f>"CPP Expense"</f>
        <v>CPP Expense</v>
      </c>
      <c r="E271" s="13">
        <v>0</v>
      </c>
      <c r="F271" s="14">
        <f t="shared" si="4"/>
        <v>262</v>
      </c>
    </row>
    <row r="272" spans="1:6" x14ac:dyDescent="0.2">
      <c r="A272" s="2" t="s">
        <v>34</v>
      </c>
      <c r="C272" s="4" t="str">
        <f>"000-5210-00"</f>
        <v>000-5210-00</v>
      </c>
      <c r="D272" s="4" t="str">
        <f>"QPP Expense"</f>
        <v>QPP Expense</v>
      </c>
      <c r="E272" s="13">
        <v>0</v>
      </c>
      <c r="F272" s="14">
        <f t="shared" si="4"/>
        <v>263</v>
      </c>
    </row>
    <row r="273" spans="1:6" x14ac:dyDescent="0.2">
      <c r="A273" s="2" t="s">
        <v>34</v>
      </c>
      <c r="C273" s="4" t="str">
        <f>"000-5220-00"</f>
        <v>000-5220-00</v>
      </c>
      <c r="D273" s="4" t="str">
        <f>"UIC Expense"</f>
        <v>UIC Expense</v>
      </c>
      <c r="E273" s="13">
        <v>0</v>
      </c>
      <c r="F273" s="14">
        <f t="shared" si="4"/>
        <v>264</v>
      </c>
    </row>
    <row r="274" spans="1:6" x14ac:dyDescent="0.2">
      <c r="A274" s="2" t="s">
        <v>34</v>
      </c>
      <c r="C274" s="4" t="str">
        <f>"000-5300-00"</f>
        <v>000-5300-00</v>
      </c>
      <c r="D274" s="4" t="str">
        <f>"SUTA Tax Expense"</f>
        <v>SUTA Tax Expense</v>
      </c>
      <c r="E274" s="13">
        <v>0</v>
      </c>
      <c r="F274" s="14">
        <f t="shared" si="4"/>
        <v>265</v>
      </c>
    </row>
    <row r="275" spans="1:6" x14ac:dyDescent="0.2">
      <c r="A275" s="2" t="s">
        <v>34</v>
      </c>
      <c r="C275" s="4" t="str">
        <f>"000-5400-00"</f>
        <v>000-5400-00</v>
      </c>
      <c r="D275" s="4" t="str">
        <f>"FUTA Tax Expense"</f>
        <v>FUTA Tax Expense</v>
      </c>
      <c r="E275" s="13">
        <v>0</v>
      </c>
      <c r="F275" s="14">
        <f t="shared" si="4"/>
        <v>266</v>
      </c>
    </row>
    <row r="276" spans="1:6" x14ac:dyDescent="0.2">
      <c r="A276" s="2" t="s">
        <v>34</v>
      </c>
      <c r="C276" s="4" t="str">
        <f>"000-5500-00"</f>
        <v>000-5500-00</v>
      </c>
      <c r="D276" s="4" t="str">
        <f>"Workers Compensation Tax Expense"</f>
        <v>Workers Compensation Tax Expense</v>
      </c>
      <c r="E276" s="13">
        <v>0</v>
      </c>
      <c r="F276" s="14">
        <f t="shared" si="4"/>
        <v>267</v>
      </c>
    </row>
    <row r="277" spans="1:6" x14ac:dyDescent="0.2">
      <c r="A277" s="2" t="s">
        <v>34</v>
      </c>
      <c r="C277" s="4" t="str">
        <f>"000-5615-00"</f>
        <v>000-5615-00</v>
      </c>
      <c r="D277" s="4" t="str">
        <f>"Floor Stock Expense"</f>
        <v>Floor Stock Expense</v>
      </c>
      <c r="E277" s="13">
        <v>0</v>
      </c>
      <c r="F277" s="14">
        <f t="shared" si="4"/>
        <v>268</v>
      </c>
    </row>
    <row r="278" spans="1:6" x14ac:dyDescent="0.2">
      <c r="A278" s="2" t="s">
        <v>34</v>
      </c>
      <c r="C278" s="4" t="str">
        <f>"000-5700-00"</f>
        <v>000-5700-00</v>
      </c>
      <c r="D278" s="4" t="str">
        <f>"Non-Inventoried Purchase Item"</f>
        <v>Non-Inventoried Purchase Item</v>
      </c>
      <c r="E278" s="13">
        <v>0</v>
      </c>
      <c r="F278" s="14">
        <f t="shared" si="4"/>
        <v>269</v>
      </c>
    </row>
    <row r="279" spans="1:6" x14ac:dyDescent="0.2">
      <c r="A279" s="2" t="s">
        <v>34</v>
      </c>
      <c r="C279" s="4" t="str">
        <f>"000-6170-04"</f>
        <v>000-6170-04</v>
      </c>
      <c r="D279" s="4" t="str">
        <f>"Repairs &amp; Maintenance Expense-Staff"</f>
        <v>Repairs &amp; Maintenance Expense-Staff</v>
      </c>
      <c r="E279" s="13">
        <v>0</v>
      </c>
      <c r="F279" s="14">
        <f t="shared" si="4"/>
        <v>270</v>
      </c>
    </row>
    <row r="280" spans="1:6" x14ac:dyDescent="0.2">
      <c r="A280" s="2" t="s">
        <v>34</v>
      </c>
      <c r="C280" s="4" t="str">
        <f>"000-6170-05"</f>
        <v>000-6170-05</v>
      </c>
      <c r="D280" s="4" t="str">
        <f>"Repairs &amp; Maintenance Expense-Line"</f>
        <v>Repairs &amp; Maintenance Expense-Line</v>
      </c>
      <c r="E280" s="13">
        <v>0</v>
      </c>
      <c r="F280" s="14">
        <f t="shared" si="4"/>
        <v>271</v>
      </c>
    </row>
    <row r="281" spans="1:6" x14ac:dyDescent="0.2">
      <c r="A281" s="2" t="s">
        <v>34</v>
      </c>
      <c r="C281" s="4" t="str">
        <f>"000-6180-00"</f>
        <v>000-6180-00</v>
      </c>
      <c r="D281" s="4" t="str">
        <f>"Rent Expense"</f>
        <v>Rent Expense</v>
      </c>
      <c r="E281" s="13">
        <v>0</v>
      </c>
      <c r="F281" s="14">
        <f t="shared" si="4"/>
        <v>272</v>
      </c>
    </row>
    <row r="282" spans="1:6" x14ac:dyDescent="0.2">
      <c r="A282" s="2" t="s">
        <v>34</v>
      </c>
      <c r="C282" s="4" t="str">
        <f>"000-6190-00"</f>
        <v>000-6190-00</v>
      </c>
      <c r="D282" s="4" t="str">
        <f>"Utilities Expense"</f>
        <v>Utilities Expense</v>
      </c>
      <c r="E282" s="13">
        <v>0</v>
      </c>
      <c r="F282" s="14">
        <f t="shared" si="4"/>
        <v>273</v>
      </c>
    </row>
    <row r="283" spans="1:6" x14ac:dyDescent="0.2">
      <c r="A283" s="2" t="s">
        <v>34</v>
      </c>
      <c r="C283" s="4" t="str">
        <f>"000-6200-00"</f>
        <v>000-6200-00</v>
      </c>
      <c r="D283" s="4" t="str">
        <f>"Depreciation Expense - Furniture &amp; Fixtures"</f>
        <v>Depreciation Expense - Furniture &amp; Fixtures</v>
      </c>
      <c r="E283" s="13">
        <v>0</v>
      </c>
      <c r="F283" s="14">
        <f t="shared" si="4"/>
        <v>274</v>
      </c>
    </row>
    <row r="284" spans="1:6" x14ac:dyDescent="0.2">
      <c r="A284" s="2" t="s">
        <v>34</v>
      </c>
      <c r="C284" s="4" t="str">
        <f>"000-6210-00"</f>
        <v>000-6210-00</v>
      </c>
      <c r="D284" s="4" t="str">
        <f>"Depreciation Expense - Computer Equipment"</f>
        <v>Depreciation Expense - Computer Equipment</v>
      </c>
      <c r="E284" s="13">
        <v>0</v>
      </c>
      <c r="F284" s="14">
        <f t="shared" si="4"/>
        <v>275</v>
      </c>
    </row>
    <row r="285" spans="1:6" x14ac:dyDescent="0.2">
      <c r="A285" s="2" t="s">
        <v>34</v>
      </c>
      <c r="C285" s="4" t="str">
        <f>"000-6220-00"</f>
        <v>000-6220-00</v>
      </c>
      <c r="D285" s="4" t="str">
        <f>"Depreciation Expense - Machinery &amp; Equipment"</f>
        <v>Depreciation Expense - Machinery &amp; Equipment</v>
      </c>
      <c r="E285" s="13">
        <v>0</v>
      </c>
      <c r="F285" s="14">
        <f t="shared" si="4"/>
        <v>276</v>
      </c>
    </row>
    <row r="286" spans="1:6" x14ac:dyDescent="0.2">
      <c r="A286" s="2" t="s">
        <v>34</v>
      </c>
      <c r="C286" s="4" t="str">
        <f>"000-6230-00"</f>
        <v>000-6230-00</v>
      </c>
      <c r="D286" s="4" t="str">
        <f>"Depreciation Expense - Fleet Vehicles"</f>
        <v>Depreciation Expense - Fleet Vehicles</v>
      </c>
      <c r="E286" s="13">
        <v>0</v>
      </c>
      <c r="F286" s="14">
        <f t="shared" si="4"/>
        <v>277</v>
      </c>
    </row>
    <row r="287" spans="1:6" x14ac:dyDescent="0.2">
      <c r="A287" s="2" t="s">
        <v>34</v>
      </c>
      <c r="C287" s="4" t="str">
        <f>"000-6300-00"</f>
        <v>000-6300-00</v>
      </c>
      <c r="D287" s="4" t="str">
        <f>"Amortization - Software"</f>
        <v>Amortization - Software</v>
      </c>
      <c r="E287" s="13">
        <v>0</v>
      </c>
      <c r="F287" s="14">
        <f t="shared" si="4"/>
        <v>278</v>
      </c>
    </row>
    <row r="288" spans="1:6" x14ac:dyDescent="0.2">
      <c r="A288" s="2" t="s">
        <v>34</v>
      </c>
      <c r="C288" s="4" t="str">
        <f>"000-6400-00"</f>
        <v>000-6400-00</v>
      </c>
      <c r="D288" s="4" t="str">
        <f>"Life Insurance - Administration"</f>
        <v>Life Insurance - Administration</v>
      </c>
      <c r="E288" s="13">
        <v>0</v>
      </c>
      <c r="F288" s="14">
        <f t="shared" si="4"/>
        <v>279</v>
      </c>
    </row>
    <row r="289" spans="1:6" x14ac:dyDescent="0.2">
      <c r="A289" s="2" t="s">
        <v>34</v>
      </c>
      <c r="C289" s="4" t="str">
        <f>"000-6410-00"</f>
        <v>000-6410-00</v>
      </c>
      <c r="D289" s="4" t="str">
        <f>"Vehicle Insurance"</f>
        <v>Vehicle Insurance</v>
      </c>
      <c r="E289" s="13">
        <v>0</v>
      </c>
      <c r="F289" s="14">
        <f t="shared" si="4"/>
        <v>280</v>
      </c>
    </row>
    <row r="290" spans="1:6" x14ac:dyDescent="0.2">
      <c r="A290" s="2" t="s">
        <v>34</v>
      </c>
      <c r="C290" s="4" t="str">
        <f>"000-6420-00"</f>
        <v>000-6420-00</v>
      </c>
      <c r="D290" s="4" t="str">
        <f>"Liability Insurance"</f>
        <v>Liability Insurance</v>
      </c>
      <c r="E290" s="13">
        <v>0</v>
      </c>
      <c r="F290" s="14">
        <f t="shared" si="4"/>
        <v>281</v>
      </c>
    </row>
    <row r="291" spans="1:6" x14ac:dyDescent="0.2">
      <c r="A291" s="2" t="s">
        <v>34</v>
      </c>
      <c r="C291" s="4" t="str">
        <f>"000-6430-00"</f>
        <v>000-6430-00</v>
      </c>
      <c r="D291" s="4" t="str">
        <f>"Casualty Insurance"</f>
        <v>Casualty Insurance</v>
      </c>
      <c r="E291" s="13">
        <v>0</v>
      </c>
      <c r="F291" s="14">
        <f t="shared" si="4"/>
        <v>282</v>
      </c>
    </row>
    <row r="292" spans="1:6" x14ac:dyDescent="0.2">
      <c r="A292" s="2" t="s">
        <v>34</v>
      </c>
      <c r="C292" s="4" t="str">
        <f>"000-6500-04"</f>
        <v>000-6500-04</v>
      </c>
      <c r="D292" s="4" t="str">
        <f>"Postage/Freight Expense-Staff"</f>
        <v>Postage/Freight Expense-Staff</v>
      </c>
      <c r="E292" s="13">
        <v>0</v>
      </c>
      <c r="F292" s="14">
        <f t="shared" si="4"/>
        <v>283</v>
      </c>
    </row>
    <row r="293" spans="1:6" x14ac:dyDescent="0.2">
      <c r="A293" s="2" t="s">
        <v>34</v>
      </c>
      <c r="C293" s="4" t="str">
        <f>"000-6500-05"</f>
        <v>000-6500-05</v>
      </c>
      <c r="D293" s="4" t="str">
        <f>"Postage/Freight Expense-Line"</f>
        <v>Postage/Freight Expense-Line</v>
      </c>
      <c r="E293" s="13">
        <v>0</v>
      </c>
      <c r="F293" s="14">
        <f t="shared" si="4"/>
        <v>284</v>
      </c>
    </row>
    <row r="294" spans="1:6" x14ac:dyDescent="0.2">
      <c r="A294" s="2" t="s">
        <v>34</v>
      </c>
      <c r="C294" s="4" t="str">
        <f>"000-6600-00"</f>
        <v>000-6600-00</v>
      </c>
      <c r="D294" s="4" t="str">
        <f>"Bank Fees"</f>
        <v>Bank Fees</v>
      </c>
      <c r="E294" s="13">
        <v>0</v>
      </c>
      <c r="F294" s="14">
        <f t="shared" si="4"/>
        <v>285</v>
      </c>
    </row>
    <row r="295" spans="1:6" x14ac:dyDescent="0.2">
      <c r="A295" s="2" t="s">
        <v>34</v>
      </c>
      <c r="C295" s="4" t="str">
        <f>"000-6610-00"</f>
        <v>000-6610-00</v>
      </c>
      <c r="D295" s="4" t="str">
        <f>"Advertising Expense"</f>
        <v>Advertising Expense</v>
      </c>
      <c r="E295" s="13">
        <v>0</v>
      </c>
      <c r="F295" s="14">
        <f t="shared" si="4"/>
        <v>286</v>
      </c>
    </row>
    <row r="296" spans="1:6" x14ac:dyDescent="0.2">
      <c r="A296" s="2" t="s">
        <v>34</v>
      </c>
      <c r="C296" s="4" t="str">
        <f>"000-6620-00"</f>
        <v>000-6620-00</v>
      </c>
      <c r="D296" s="4" t="str">
        <f>"Direct Mail Advertising Expense"</f>
        <v>Direct Mail Advertising Expense</v>
      </c>
      <c r="E296" s="13">
        <v>0</v>
      </c>
      <c r="F296" s="14">
        <f t="shared" si="4"/>
        <v>287</v>
      </c>
    </row>
    <row r="297" spans="1:6" x14ac:dyDescent="0.2">
      <c r="A297" s="2" t="s">
        <v>34</v>
      </c>
      <c r="C297" s="4" t="str">
        <f>"000-6630-00"</f>
        <v>000-6630-00</v>
      </c>
      <c r="D297" s="4" t="str">
        <f>"IL State Sales Tax Expense"</f>
        <v>IL State Sales Tax Expense</v>
      </c>
      <c r="E297" s="13">
        <v>0</v>
      </c>
      <c r="F297" s="14">
        <f t="shared" si="4"/>
        <v>288</v>
      </c>
    </row>
    <row r="298" spans="1:6" x14ac:dyDescent="0.2">
      <c r="A298" s="2" t="s">
        <v>34</v>
      </c>
      <c r="C298" s="4" t="str">
        <f>"000-6635-00"</f>
        <v>000-6635-00</v>
      </c>
      <c r="D298" s="4" t="str">
        <f>"Import Tax Expense"</f>
        <v>Import Tax Expense</v>
      </c>
      <c r="E298" s="13">
        <v>0</v>
      </c>
      <c r="F298" s="14">
        <f t="shared" si="4"/>
        <v>289</v>
      </c>
    </row>
    <row r="299" spans="1:6" x14ac:dyDescent="0.2">
      <c r="A299" s="2" t="s">
        <v>34</v>
      </c>
      <c r="C299" s="4" t="str">
        <f>"000-6640-00"</f>
        <v>000-6640-00</v>
      </c>
      <c r="D299" s="4" t="str">
        <f>"Chicago City Sales Tax Expense"</f>
        <v>Chicago City Sales Tax Expense</v>
      </c>
      <c r="E299" s="13">
        <v>0</v>
      </c>
      <c r="F299" s="14">
        <f t="shared" si="4"/>
        <v>290</v>
      </c>
    </row>
    <row r="300" spans="1:6" x14ac:dyDescent="0.2">
      <c r="A300" s="2" t="s">
        <v>34</v>
      </c>
      <c r="C300" s="4" t="str">
        <f>"000-6650-00"</f>
        <v>000-6650-00</v>
      </c>
      <c r="D300" s="4" t="str">
        <f>"Australia Sales Tax Expense"</f>
        <v>Australia Sales Tax Expense</v>
      </c>
      <c r="E300" s="13">
        <v>0</v>
      </c>
      <c r="F300" s="14">
        <f t="shared" si="4"/>
        <v>291</v>
      </c>
    </row>
    <row r="301" spans="1:6" x14ac:dyDescent="0.2">
      <c r="A301" s="2" t="s">
        <v>34</v>
      </c>
      <c r="C301" s="4" t="str">
        <f>"000-6651-00"</f>
        <v>000-6651-00</v>
      </c>
      <c r="D301" s="4" t="str">
        <f>"PST Expense"</f>
        <v>PST Expense</v>
      </c>
      <c r="E301" s="13">
        <v>0</v>
      </c>
      <c r="F301" s="14">
        <f t="shared" si="4"/>
        <v>292</v>
      </c>
    </row>
    <row r="302" spans="1:6" x14ac:dyDescent="0.2">
      <c r="A302" s="2" t="s">
        <v>34</v>
      </c>
      <c r="C302" s="4" t="str">
        <f>"000-6652-00"</f>
        <v>000-6652-00</v>
      </c>
      <c r="D302" s="4" t="str">
        <f>"PPS Expense"</f>
        <v>PPS Expense</v>
      </c>
      <c r="E302" s="13">
        <v>0</v>
      </c>
      <c r="F302" s="14">
        <f t="shared" si="4"/>
        <v>293</v>
      </c>
    </row>
    <row r="303" spans="1:6" x14ac:dyDescent="0.2">
      <c r="A303" s="2" t="s">
        <v>34</v>
      </c>
      <c r="C303" s="4" t="str">
        <f>"000-6660-00"</f>
        <v>000-6660-00</v>
      </c>
      <c r="D303" s="4" t="str">
        <f>"PST Expense"</f>
        <v>PST Expense</v>
      </c>
      <c r="E303" s="13">
        <v>0</v>
      </c>
      <c r="F303" s="14">
        <f t="shared" si="4"/>
        <v>294</v>
      </c>
    </row>
    <row r="304" spans="1:6" x14ac:dyDescent="0.2">
      <c r="A304" s="2" t="s">
        <v>34</v>
      </c>
      <c r="C304" s="4" t="str">
        <f>"000-6661-00"</f>
        <v>000-6661-00</v>
      </c>
      <c r="D304" s="4" t="str">
        <f>"QST Expense"</f>
        <v>QST Expense</v>
      </c>
      <c r="E304" s="13">
        <v>0</v>
      </c>
      <c r="F304" s="14">
        <f t="shared" si="4"/>
        <v>295</v>
      </c>
    </row>
    <row r="305" spans="1:6" x14ac:dyDescent="0.2">
      <c r="A305" s="2" t="s">
        <v>34</v>
      </c>
      <c r="C305" s="4" t="str">
        <f>"000-6700-00"</f>
        <v>000-6700-00</v>
      </c>
      <c r="D305" s="4" t="str">
        <f>"Bad Debts Expense"</f>
        <v>Bad Debts Expense</v>
      </c>
      <c r="E305" s="13">
        <v>0</v>
      </c>
      <c r="F305" s="14">
        <f t="shared" si="4"/>
        <v>296</v>
      </c>
    </row>
    <row r="306" spans="1:6" x14ac:dyDescent="0.2">
      <c r="A306" s="2" t="s">
        <v>34</v>
      </c>
      <c r="C306" s="4" t="str">
        <f>"000-6701-00"</f>
        <v>000-6701-00</v>
      </c>
      <c r="D306" s="4" t="str">
        <f>"Write-Off Expense"</f>
        <v>Write-Off Expense</v>
      </c>
      <c r="E306" s="13">
        <v>0</v>
      </c>
      <c r="F306" s="14">
        <f t="shared" si="4"/>
        <v>297</v>
      </c>
    </row>
    <row r="307" spans="1:6" x14ac:dyDescent="0.2">
      <c r="A307" s="2" t="s">
        <v>34</v>
      </c>
      <c r="C307" s="4" t="str">
        <f>"000-6710-00"</f>
        <v>000-6710-00</v>
      </c>
      <c r="D307" s="4" t="str">
        <f>"Collection Costs"</f>
        <v>Collection Costs</v>
      </c>
      <c r="E307" s="13">
        <v>0</v>
      </c>
      <c r="F307" s="14">
        <f t="shared" si="4"/>
        <v>298</v>
      </c>
    </row>
    <row r="308" spans="1:6" x14ac:dyDescent="0.2">
      <c r="A308" s="2" t="s">
        <v>34</v>
      </c>
      <c r="C308" s="4" t="str">
        <f>"000-6720-00"</f>
        <v>000-6720-00</v>
      </c>
      <c r="D308" s="4" t="str">
        <f>"Legal Fees"</f>
        <v>Legal Fees</v>
      </c>
      <c r="E308" s="13">
        <v>0</v>
      </c>
      <c r="F308" s="14">
        <f t="shared" si="4"/>
        <v>299</v>
      </c>
    </row>
    <row r="309" spans="1:6" x14ac:dyDescent="0.2">
      <c r="A309" s="2" t="s">
        <v>34</v>
      </c>
      <c r="C309" s="4" t="str">
        <f>"000-6730-00"</f>
        <v>000-6730-00</v>
      </c>
      <c r="D309" s="4" t="str">
        <f>"Accounting Fees"</f>
        <v>Accounting Fees</v>
      </c>
      <c r="E309" s="13">
        <v>0</v>
      </c>
      <c r="F309" s="14">
        <f t="shared" si="4"/>
        <v>300</v>
      </c>
    </row>
    <row r="310" spans="1:6" x14ac:dyDescent="0.2">
      <c r="A310" s="2" t="s">
        <v>34</v>
      </c>
      <c r="C310" s="4" t="str">
        <f>"000-6740-00"</f>
        <v>000-6740-00</v>
      </c>
      <c r="D310" s="4" t="str">
        <f>"Fines &amp; Penalties"</f>
        <v>Fines &amp; Penalties</v>
      </c>
      <c r="E310" s="13">
        <v>0</v>
      </c>
      <c r="F310" s="14">
        <f t="shared" si="4"/>
        <v>301</v>
      </c>
    </row>
    <row r="311" spans="1:6" x14ac:dyDescent="0.2">
      <c r="A311" s="2" t="s">
        <v>34</v>
      </c>
      <c r="C311" s="4" t="str">
        <f>"000-6750-00"</f>
        <v>000-6750-00</v>
      </c>
      <c r="D311" s="4" t="str">
        <f>"Licenses &amp; Fees"</f>
        <v>Licenses &amp; Fees</v>
      </c>
      <c r="E311" s="13">
        <v>0</v>
      </c>
      <c r="F311" s="14">
        <f t="shared" si="4"/>
        <v>302</v>
      </c>
    </row>
    <row r="312" spans="1:6" x14ac:dyDescent="0.2">
      <c r="A312" s="2" t="s">
        <v>34</v>
      </c>
      <c r="C312" s="4" t="str">
        <f>"000-6760-00"</f>
        <v>000-6760-00</v>
      </c>
      <c r="D312" s="4" t="str">
        <f>"Recruiting &amp; Moving Expense"</f>
        <v>Recruiting &amp; Moving Expense</v>
      </c>
      <c r="E312" s="13">
        <v>0</v>
      </c>
      <c r="F312" s="14">
        <f t="shared" si="4"/>
        <v>303</v>
      </c>
    </row>
    <row r="313" spans="1:6" x14ac:dyDescent="0.2">
      <c r="A313" s="2" t="s">
        <v>34</v>
      </c>
      <c r="C313" s="4" t="str">
        <f>"000-6770-00"</f>
        <v>000-6770-00</v>
      </c>
      <c r="D313" s="4" t="str">
        <f>"Company Meetings"</f>
        <v>Company Meetings</v>
      </c>
      <c r="E313" s="13">
        <v>0</v>
      </c>
      <c r="F313" s="14">
        <f t="shared" si="4"/>
        <v>304</v>
      </c>
    </row>
    <row r="314" spans="1:6" x14ac:dyDescent="0.2">
      <c r="A314" s="2" t="s">
        <v>34</v>
      </c>
      <c r="C314" s="4" t="str">
        <f>"000-6780-00"</f>
        <v>000-6780-00</v>
      </c>
      <c r="D314" s="4" t="str">
        <f>"Miscellaneous Expense"</f>
        <v>Miscellaneous Expense</v>
      </c>
      <c r="E314" s="13">
        <v>0</v>
      </c>
      <c r="F314" s="14">
        <f t="shared" si="4"/>
        <v>305</v>
      </c>
    </row>
    <row r="315" spans="1:6" x14ac:dyDescent="0.2">
      <c r="A315" s="2" t="s">
        <v>34</v>
      </c>
      <c r="C315" s="4" t="str">
        <f>"000-6790-00"</f>
        <v>000-6790-00</v>
      </c>
      <c r="D315" s="4" t="str">
        <f>"Warranty Expense"</f>
        <v>Warranty Expense</v>
      </c>
      <c r="E315" s="13">
        <v>0</v>
      </c>
      <c r="F315" s="14">
        <f t="shared" si="4"/>
        <v>306</v>
      </c>
    </row>
    <row r="316" spans="1:6" x14ac:dyDescent="0.2">
      <c r="A316" s="2" t="s">
        <v>34</v>
      </c>
      <c r="C316" s="4" t="str">
        <f>"000-6800-01"</f>
        <v>000-6800-01</v>
      </c>
      <c r="D316" s="4" t="str">
        <f>"Project Expenses"</f>
        <v>Project Expenses</v>
      </c>
      <c r="E316" s="13">
        <v>0</v>
      </c>
      <c r="F316" s="14">
        <f t="shared" si="4"/>
        <v>307</v>
      </c>
    </row>
    <row r="317" spans="1:6" x14ac:dyDescent="0.2">
      <c r="A317" s="2" t="s">
        <v>34</v>
      </c>
      <c r="C317" s="4" t="str">
        <f>"000-6900-00"</f>
        <v>000-6900-00</v>
      </c>
      <c r="D317" s="4" t="str">
        <f>"Project Losses"</f>
        <v>Project Losses</v>
      </c>
      <c r="E317" s="13">
        <v>0</v>
      </c>
      <c r="F317" s="14">
        <f t="shared" si="4"/>
        <v>308</v>
      </c>
    </row>
    <row r="318" spans="1:6" x14ac:dyDescent="0.2">
      <c r="A318" s="2" t="s">
        <v>34</v>
      </c>
      <c r="C318" s="4" t="str">
        <f>"000-7010-00"</f>
        <v>000-7010-00</v>
      </c>
      <c r="D318" s="4" t="str">
        <f>"Finance Charge Income"</f>
        <v>Finance Charge Income</v>
      </c>
      <c r="E318" s="13">
        <v>0</v>
      </c>
      <c r="F318" s="14">
        <f t="shared" si="4"/>
        <v>309</v>
      </c>
    </row>
    <row r="319" spans="1:6" x14ac:dyDescent="0.2">
      <c r="A319" s="2" t="s">
        <v>34</v>
      </c>
      <c r="C319" s="4" t="str">
        <f>"000-7020-00"</f>
        <v>000-7020-00</v>
      </c>
      <c r="D319" s="4" t="str">
        <f>"Interest Income"</f>
        <v>Interest Income</v>
      </c>
      <c r="E319" s="13">
        <v>0</v>
      </c>
      <c r="F319" s="14">
        <f t="shared" si="4"/>
        <v>310</v>
      </c>
    </row>
    <row r="320" spans="1:6" x14ac:dyDescent="0.2">
      <c r="A320" s="2" t="s">
        <v>34</v>
      </c>
      <c r="C320" s="4" t="str">
        <f>"000-7040-00"</f>
        <v>000-7040-00</v>
      </c>
      <c r="D320" s="4" t="str">
        <f>"Miscellaneous Income"</f>
        <v>Miscellaneous Income</v>
      </c>
      <c r="E320" s="13">
        <v>0</v>
      </c>
      <c r="F320" s="14">
        <f t="shared" si="4"/>
        <v>311</v>
      </c>
    </row>
    <row r="321" spans="1:6" x14ac:dyDescent="0.2">
      <c r="A321" s="2" t="s">
        <v>34</v>
      </c>
      <c r="C321" s="4" t="str">
        <f>"000-7041-00"</f>
        <v>000-7041-00</v>
      </c>
      <c r="D321" s="4" t="str">
        <f>"Freight Income"</f>
        <v>Freight Income</v>
      </c>
      <c r="E321" s="13">
        <v>0</v>
      </c>
      <c r="F321" s="14">
        <f t="shared" si="4"/>
        <v>312</v>
      </c>
    </row>
    <row r="322" spans="1:6" x14ac:dyDescent="0.2">
      <c r="A322" s="2" t="s">
        <v>34</v>
      </c>
      <c r="C322" s="4" t="str">
        <f>"000-7100-00"</f>
        <v>000-7100-00</v>
      </c>
      <c r="D322" s="4" t="str">
        <f>"Realized Gain on MC Transactions"</f>
        <v>Realized Gain on MC Transactions</v>
      </c>
      <c r="E322" s="13">
        <v>0</v>
      </c>
      <c r="F322" s="14">
        <f t="shared" si="4"/>
        <v>313</v>
      </c>
    </row>
    <row r="323" spans="1:6" x14ac:dyDescent="0.2">
      <c r="A323" s="2" t="s">
        <v>34</v>
      </c>
      <c r="C323" s="4" t="str">
        <f>"000-7101-00"</f>
        <v>000-7101-00</v>
      </c>
      <c r="D323" s="4" t="str">
        <f>"Realized Gain on MC Transactions - Z - C$ - SELL"</f>
        <v>Realized Gain on MC Transactions - Z - C$ - SELL</v>
      </c>
      <c r="E323" s="13">
        <v>0</v>
      </c>
      <c r="F323" s="14">
        <f t="shared" si="4"/>
        <v>314</v>
      </c>
    </row>
    <row r="324" spans="1:6" x14ac:dyDescent="0.2">
      <c r="A324" s="2" t="s">
        <v>34</v>
      </c>
      <c r="C324" s="4" t="str">
        <f>"000-7102-00"</f>
        <v>000-7102-00</v>
      </c>
      <c r="D324" s="4" t="str">
        <f>"Realized Gain on MC Transactions - Z - C$ - BUY"</f>
        <v>Realized Gain on MC Transactions - Z - C$ - BUY</v>
      </c>
      <c r="E324" s="13">
        <v>0</v>
      </c>
      <c r="F324" s="14">
        <f t="shared" si="4"/>
        <v>315</v>
      </c>
    </row>
    <row r="325" spans="1:6" x14ac:dyDescent="0.2">
      <c r="A325" s="2" t="s">
        <v>34</v>
      </c>
      <c r="C325" s="4" t="str">
        <f>"000-7103-00"</f>
        <v>000-7103-00</v>
      </c>
      <c r="D325" s="4" t="str">
        <f>"Realized Gain on MC Transactions - Z - C$ - AVG"</f>
        <v>Realized Gain on MC Transactions - Z - C$ - AVG</v>
      </c>
      <c r="E325" s="13">
        <v>0</v>
      </c>
      <c r="F325" s="14">
        <f t="shared" si="4"/>
        <v>316</v>
      </c>
    </row>
    <row r="326" spans="1:6" x14ac:dyDescent="0.2">
      <c r="A326" s="2" t="s">
        <v>34</v>
      </c>
      <c r="C326" s="4" t="str">
        <f>"000-7200-00"</f>
        <v>000-7200-00</v>
      </c>
      <c r="D326" s="4" t="str">
        <f>"Unrealized Gain on MC Transactions"</f>
        <v>Unrealized Gain on MC Transactions</v>
      </c>
      <c r="E326" s="13">
        <v>0</v>
      </c>
      <c r="F326" s="14">
        <f t="shared" si="4"/>
        <v>317</v>
      </c>
    </row>
    <row r="327" spans="1:6" x14ac:dyDescent="0.2">
      <c r="A327" s="2" t="s">
        <v>34</v>
      </c>
      <c r="C327" s="4" t="str">
        <f>"000-7201-00"</f>
        <v>000-7201-00</v>
      </c>
      <c r="D327" s="4" t="str">
        <f>"Unrealized Gain on MC Transactions-Canada"</f>
        <v>Unrealized Gain on MC Transactions-Canada</v>
      </c>
      <c r="E327" s="13">
        <v>0</v>
      </c>
      <c r="F327" s="14">
        <f t="shared" si="4"/>
        <v>318</v>
      </c>
    </row>
    <row r="328" spans="1:6" x14ac:dyDescent="0.2">
      <c r="A328" s="2" t="s">
        <v>34</v>
      </c>
      <c r="C328" s="4" t="str">
        <f>"000-7202-00"</f>
        <v>000-7202-00</v>
      </c>
      <c r="D328" s="4" t="str">
        <f>"Unrealized Gain on MC Transactions - Australia"</f>
        <v>Unrealized Gain on MC Transactions - Australia</v>
      </c>
      <c r="E328" s="13">
        <v>0</v>
      </c>
      <c r="F328" s="14">
        <f t="shared" si="4"/>
        <v>319</v>
      </c>
    </row>
    <row r="329" spans="1:6" x14ac:dyDescent="0.2">
      <c r="A329" s="2" t="s">
        <v>34</v>
      </c>
      <c r="C329" s="4" t="str">
        <f>"000-7203-00"</f>
        <v>000-7203-00</v>
      </c>
      <c r="D329" s="4" t="str">
        <f>"Unrealized Gain on MC Transactions - New Zealand"</f>
        <v>Unrealized Gain on MC Transactions - New Zealand</v>
      </c>
      <c r="E329" s="13">
        <v>0</v>
      </c>
      <c r="F329" s="14">
        <f t="shared" si="4"/>
        <v>320</v>
      </c>
    </row>
    <row r="330" spans="1:6" x14ac:dyDescent="0.2">
      <c r="A330" s="2" t="s">
        <v>34</v>
      </c>
      <c r="C330" s="4" t="str">
        <f>"000-7204-00"</f>
        <v>000-7204-00</v>
      </c>
      <c r="D330" s="4" t="str">
        <f>"Unrealized Gain on MC Transactions - Germany"</f>
        <v>Unrealized Gain on MC Transactions - Germany</v>
      </c>
      <c r="E330" s="13">
        <v>0</v>
      </c>
      <c r="F330" s="14">
        <f t="shared" si="4"/>
        <v>321</v>
      </c>
    </row>
    <row r="331" spans="1:6" x14ac:dyDescent="0.2">
      <c r="A331" s="2" t="s">
        <v>34</v>
      </c>
      <c r="C331" s="4" t="str">
        <f>"000-7205-00"</f>
        <v>000-7205-00</v>
      </c>
      <c r="D331" s="4" t="str">
        <f>"Unrealized Gain on MC Transactions - United Kingdo"</f>
        <v>Unrealized Gain on MC Transactions - United Kingdo</v>
      </c>
      <c r="E331" s="13">
        <v>0</v>
      </c>
      <c r="F331" s="14">
        <f t="shared" ref="F331:F394" si="5">F330+1</f>
        <v>322</v>
      </c>
    </row>
    <row r="332" spans="1:6" x14ac:dyDescent="0.2">
      <c r="A332" s="2" t="s">
        <v>34</v>
      </c>
      <c r="C332" s="4" t="str">
        <f>"000-7206-00"</f>
        <v>000-7206-00</v>
      </c>
      <c r="D332" s="4" t="str">
        <f>"Unrealized Gain on MC Transactions - South Africa"</f>
        <v>Unrealized Gain on MC Transactions - South Africa</v>
      </c>
      <c r="E332" s="13">
        <v>0</v>
      </c>
      <c r="F332" s="14">
        <f t="shared" si="5"/>
        <v>323</v>
      </c>
    </row>
    <row r="333" spans="1:6" x14ac:dyDescent="0.2">
      <c r="A333" s="2" t="s">
        <v>34</v>
      </c>
      <c r="C333" s="4" t="str">
        <f>"000-7207-00"</f>
        <v>000-7207-00</v>
      </c>
      <c r="D333" s="4" t="str">
        <f>"Unrealized Gain on MC Transactions - Singapore"</f>
        <v>Unrealized Gain on MC Transactions - Singapore</v>
      </c>
      <c r="E333" s="13">
        <v>0</v>
      </c>
      <c r="F333" s="14">
        <f t="shared" si="5"/>
        <v>324</v>
      </c>
    </row>
    <row r="334" spans="1:6" x14ac:dyDescent="0.2">
      <c r="A334" s="2" t="s">
        <v>34</v>
      </c>
      <c r="C334" s="4" t="str">
        <f>"000-7300-00"</f>
        <v>000-7300-00</v>
      </c>
      <c r="D334" s="4" t="str">
        <f>"Rounding Writeoff due to MC Trx"</f>
        <v>Rounding Writeoff due to MC Trx</v>
      </c>
      <c r="E334" s="13">
        <v>0</v>
      </c>
      <c r="F334" s="14">
        <f t="shared" si="5"/>
        <v>325</v>
      </c>
    </row>
    <row r="335" spans="1:6" x14ac:dyDescent="0.2">
      <c r="A335" s="2" t="s">
        <v>34</v>
      </c>
      <c r="C335" s="4" t="str">
        <f>"000-7301-00"</f>
        <v>000-7301-00</v>
      </c>
      <c r="D335" s="4" t="str">
        <f>"Rounding Writeoff - Canada"</f>
        <v>Rounding Writeoff - Canada</v>
      </c>
      <c r="E335" s="13">
        <v>0</v>
      </c>
      <c r="F335" s="14">
        <f t="shared" si="5"/>
        <v>326</v>
      </c>
    </row>
    <row r="336" spans="1:6" x14ac:dyDescent="0.2">
      <c r="A336" s="2" t="s">
        <v>34</v>
      </c>
      <c r="C336" s="4" t="str">
        <f>"000-7302-00"</f>
        <v>000-7302-00</v>
      </c>
      <c r="D336" s="4" t="str">
        <f>"Rounding Writeoff - Australia"</f>
        <v>Rounding Writeoff - Australia</v>
      </c>
      <c r="E336" s="13">
        <v>0</v>
      </c>
      <c r="F336" s="14">
        <f t="shared" si="5"/>
        <v>327</v>
      </c>
    </row>
    <row r="337" spans="1:6" x14ac:dyDescent="0.2">
      <c r="A337" s="2" t="s">
        <v>34</v>
      </c>
      <c r="C337" s="4" t="str">
        <f>"000-7303-00"</f>
        <v>000-7303-00</v>
      </c>
      <c r="D337" s="4" t="str">
        <f>"Rounding Writeoff - New Zealand"</f>
        <v>Rounding Writeoff - New Zealand</v>
      </c>
      <c r="E337" s="13">
        <v>0</v>
      </c>
      <c r="F337" s="14">
        <f t="shared" si="5"/>
        <v>328</v>
      </c>
    </row>
    <row r="338" spans="1:6" x14ac:dyDescent="0.2">
      <c r="A338" s="2" t="s">
        <v>34</v>
      </c>
      <c r="C338" s="4" t="str">
        <f>"000-7304-00"</f>
        <v>000-7304-00</v>
      </c>
      <c r="D338" s="4" t="str">
        <f>"Rounding Writeoff - Germany"</f>
        <v>Rounding Writeoff - Germany</v>
      </c>
      <c r="E338" s="13">
        <v>0</v>
      </c>
      <c r="F338" s="14">
        <f t="shared" si="5"/>
        <v>329</v>
      </c>
    </row>
    <row r="339" spans="1:6" x14ac:dyDescent="0.2">
      <c r="A339" s="2" t="s">
        <v>34</v>
      </c>
      <c r="C339" s="4" t="str">
        <f>"000-7305-00"</f>
        <v>000-7305-00</v>
      </c>
      <c r="D339" s="4" t="str">
        <f>"Rounding Writeoff - United Kingdom"</f>
        <v>Rounding Writeoff - United Kingdom</v>
      </c>
      <c r="E339" s="13">
        <v>0</v>
      </c>
      <c r="F339" s="14">
        <f t="shared" si="5"/>
        <v>330</v>
      </c>
    </row>
    <row r="340" spans="1:6" x14ac:dyDescent="0.2">
      <c r="A340" s="2" t="s">
        <v>34</v>
      </c>
      <c r="C340" s="4" t="str">
        <f>"000-7306-00"</f>
        <v>000-7306-00</v>
      </c>
      <c r="D340" s="4" t="str">
        <f>"Rounding Writeoff - South Africa"</f>
        <v>Rounding Writeoff - South Africa</v>
      </c>
      <c r="E340" s="13">
        <v>0</v>
      </c>
      <c r="F340" s="14">
        <f t="shared" si="5"/>
        <v>331</v>
      </c>
    </row>
    <row r="341" spans="1:6" x14ac:dyDescent="0.2">
      <c r="A341" s="2" t="s">
        <v>34</v>
      </c>
      <c r="C341" s="4" t="str">
        <f>"000-7307-00"</f>
        <v>000-7307-00</v>
      </c>
      <c r="D341" s="4" t="str">
        <f>"Rounding Writeoff - Singapore"</f>
        <v>Rounding Writeoff - Singapore</v>
      </c>
      <c r="E341" s="13">
        <v>0</v>
      </c>
      <c r="F341" s="14">
        <f t="shared" si="5"/>
        <v>332</v>
      </c>
    </row>
    <row r="342" spans="1:6" x14ac:dyDescent="0.2">
      <c r="A342" s="2" t="s">
        <v>34</v>
      </c>
      <c r="C342" s="4" t="str">
        <f>"000-7400-00"</f>
        <v>000-7400-00</v>
      </c>
      <c r="D342" s="4" t="str">
        <f>"Rounding Difference due to MC Trx"</f>
        <v>Rounding Difference due to MC Trx</v>
      </c>
      <c r="E342" s="13">
        <v>0</v>
      </c>
      <c r="F342" s="14">
        <f t="shared" si="5"/>
        <v>333</v>
      </c>
    </row>
    <row r="343" spans="1:6" x14ac:dyDescent="0.2">
      <c r="A343" s="2" t="s">
        <v>34</v>
      </c>
      <c r="C343" s="4" t="str">
        <f>"000-7401-00"</f>
        <v>000-7401-00</v>
      </c>
      <c r="D343" s="4" t="str">
        <f>"Rounding Difference - Canada"</f>
        <v>Rounding Difference - Canada</v>
      </c>
      <c r="E343" s="13">
        <v>0</v>
      </c>
      <c r="F343" s="14">
        <f t="shared" si="5"/>
        <v>334</v>
      </c>
    </row>
    <row r="344" spans="1:6" x14ac:dyDescent="0.2">
      <c r="A344" s="2" t="s">
        <v>34</v>
      </c>
      <c r="C344" s="4" t="str">
        <f>"000-7402-00"</f>
        <v>000-7402-00</v>
      </c>
      <c r="D344" s="4" t="str">
        <f>"Rounding Difference - Australia"</f>
        <v>Rounding Difference - Australia</v>
      </c>
      <c r="E344" s="13">
        <v>0</v>
      </c>
      <c r="F344" s="14">
        <f t="shared" si="5"/>
        <v>335</v>
      </c>
    </row>
    <row r="345" spans="1:6" x14ac:dyDescent="0.2">
      <c r="A345" s="2" t="s">
        <v>34</v>
      </c>
      <c r="C345" s="4" t="str">
        <f>"000-7403-00"</f>
        <v>000-7403-00</v>
      </c>
      <c r="D345" s="4" t="str">
        <f>"Rounding Difference - New Zealand"</f>
        <v>Rounding Difference - New Zealand</v>
      </c>
      <c r="E345" s="13">
        <v>0</v>
      </c>
      <c r="F345" s="14">
        <f t="shared" si="5"/>
        <v>336</v>
      </c>
    </row>
    <row r="346" spans="1:6" x14ac:dyDescent="0.2">
      <c r="A346" s="2" t="s">
        <v>34</v>
      </c>
      <c r="C346" s="4" t="str">
        <f>"000-7404-00"</f>
        <v>000-7404-00</v>
      </c>
      <c r="D346" s="4" t="str">
        <f>"Rounding Difference - Germany"</f>
        <v>Rounding Difference - Germany</v>
      </c>
      <c r="E346" s="13">
        <v>0</v>
      </c>
      <c r="F346" s="14">
        <f t="shared" si="5"/>
        <v>337</v>
      </c>
    </row>
    <row r="347" spans="1:6" x14ac:dyDescent="0.2">
      <c r="A347" s="2" t="s">
        <v>34</v>
      </c>
      <c r="C347" s="4" t="str">
        <f>"000-7405-00"</f>
        <v>000-7405-00</v>
      </c>
      <c r="D347" s="4" t="str">
        <f>"Rounding Difference - United Kingdom"</f>
        <v>Rounding Difference - United Kingdom</v>
      </c>
      <c r="E347" s="13">
        <v>0</v>
      </c>
      <c r="F347" s="14">
        <f t="shared" si="5"/>
        <v>338</v>
      </c>
    </row>
    <row r="348" spans="1:6" x14ac:dyDescent="0.2">
      <c r="A348" s="2" t="s">
        <v>34</v>
      </c>
      <c r="C348" s="4" t="str">
        <f>"000-7406-00"</f>
        <v>000-7406-00</v>
      </c>
      <c r="D348" s="4" t="str">
        <f>"Rounding Difference - South Africa"</f>
        <v>Rounding Difference - South Africa</v>
      </c>
      <c r="E348" s="13">
        <v>0</v>
      </c>
      <c r="F348" s="14">
        <f t="shared" si="5"/>
        <v>339</v>
      </c>
    </row>
    <row r="349" spans="1:6" x14ac:dyDescent="0.2">
      <c r="A349" s="2" t="s">
        <v>34</v>
      </c>
      <c r="C349" s="4" t="str">
        <f>"000-7407-00"</f>
        <v>000-7407-00</v>
      </c>
      <c r="D349" s="4" t="str">
        <f>"Rounding Difference - Singapore"</f>
        <v>Rounding Difference - Singapore</v>
      </c>
      <c r="E349" s="13">
        <v>0</v>
      </c>
      <c r="F349" s="14">
        <f t="shared" si="5"/>
        <v>340</v>
      </c>
    </row>
    <row r="350" spans="1:6" x14ac:dyDescent="0.2">
      <c r="A350" s="2" t="s">
        <v>34</v>
      </c>
      <c r="C350" s="4" t="str">
        <f>"000-7410-00"</f>
        <v>000-7410-00</v>
      </c>
      <c r="D350" s="4" t="str">
        <f>"MFG Rounding"</f>
        <v>MFG Rounding</v>
      </c>
      <c r="E350" s="13">
        <v>0</v>
      </c>
      <c r="F350" s="14">
        <f t="shared" si="5"/>
        <v>341</v>
      </c>
    </row>
    <row r="351" spans="1:6" x14ac:dyDescent="0.2">
      <c r="A351" s="2" t="s">
        <v>34</v>
      </c>
      <c r="C351" s="4" t="str">
        <f>"000-8010-00"</f>
        <v>000-8010-00</v>
      </c>
      <c r="D351" s="4" t="str">
        <f>"Finance Charge Expense"</f>
        <v>Finance Charge Expense</v>
      </c>
      <c r="E351" s="13">
        <v>0</v>
      </c>
      <c r="F351" s="14">
        <f t="shared" si="5"/>
        <v>342</v>
      </c>
    </row>
    <row r="352" spans="1:6" x14ac:dyDescent="0.2">
      <c r="A352" s="2" t="s">
        <v>34</v>
      </c>
      <c r="C352" s="4" t="str">
        <f>"000-8020-00"</f>
        <v>000-8020-00</v>
      </c>
      <c r="D352" s="4" t="str">
        <f>"Interest Expense"</f>
        <v>Interest Expense</v>
      </c>
      <c r="E352" s="13">
        <v>0</v>
      </c>
      <c r="F352" s="14">
        <f t="shared" si="5"/>
        <v>343</v>
      </c>
    </row>
    <row r="353" spans="1:6" x14ac:dyDescent="0.2">
      <c r="A353" s="2" t="s">
        <v>34</v>
      </c>
      <c r="C353" s="4" t="str">
        <f>"000-8030-00"</f>
        <v>000-8030-00</v>
      </c>
      <c r="D353" s="4" t="str">
        <f>"Gain or Loss on Sale of Assets"</f>
        <v>Gain or Loss on Sale of Assets</v>
      </c>
      <c r="E353" s="13">
        <v>0</v>
      </c>
      <c r="F353" s="14">
        <f t="shared" si="5"/>
        <v>344</v>
      </c>
    </row>
    <row r="354" spans="1:6" x14ac:dyDescent="0.2">
      <c r="A354" s="2" t="s">
        <v>34</v>
      </c>
      <c r="C354" s="4" t="str">
        <f>"000-8100-00"</f>
        <v>000-8100-00</v>
      </c>
      <c r="D354" s="4" t="str">
        <f>"Federal Income Taxes"</f>
        <v>Federal Income Taxes</v>
      </c>
      <c r="E354" s="13">
        <v>0</v>
      </c>
      <c r="F354" s="14">
        <f t="shared" si="5"/>
        <v>345</v>
      </c>
    </row>
    <row r="355" spans="1:6" x14ac:dyDescent="0.2">
      <c r="A355" s="2" t="s">
        <v>34</v>
      </c>
      <c r="C355" s="4" t="str">
        <f>"000-8110-00"</f>
        <v>000-8110-00</v>
      </c>
      <c r="D355" s="4" t="str">
        <f>"State Income Taxes"</f>
        <v>State Income Taxes</v>
      </c>
      <c r="E355" s="13">
        <v>0</v>
      </c>
      <c r="F355" s="14">
        <f t="shared" si="5"/>
        <v>346</v>
      </c>
    </row>
    <row r="356" spans="1:6" x14ac:dyDescent="0.2">
      <c r="A356" s="2" t="s">
        <v>34</v>
      </c>
      <c r="C356" s="4" t="str">
        <f>"000-8200-00"</f>
        <v>000-8200-00</v>
      </c>
      <c r="D356" s="4" t="str">
        <f>"Realized Loss on MC Transactions"</f>
        <v>Realized Loss on MC Transactions</v>
      </c>
      <c r="E356" s="13">
        <v>0</v>
      </c>
      <c r="F356" s="14">
        <f t="shared" si="5"/>
        <v>347</v>
      </c>
    </row>
    <row r="357" spans="1:6" x14ac:dyDescent="0.2">
      <c r="A357" s="2" t="s">
        <v>34</v>
      </c>
      <c r="C357" s="4" t="str">
        <f>"000-8201-00"</f>
        <v>000-8201-00</v>
      </c>
      <c r="D357" s="4" t="str">
        <f>"Realized Loss on MC Transactions - Z - C$ - SELL"</f>
        <v>Realized Loss on MC Transactions - Z - C$ - SELL</v>
      </c>
      <c r="E357" s="13">
        <v>0</v>
      </c>
      <c r="F357" s="14">
        <f t="shared" si="5"/>
        <v>348</v>
      </c>
    </row>
    <row r="358" spans="1:6" x14ac:dyDescent="0.2">
      <c r="A358" s="2" t="s">
        <v>34</v>
      </c>
      <c r="C358" s="4" t="str">
        <f>"000-8202-00"</f>
        <v>000-8202-00</v>
      </c>
      <c r="D358" s="4" t="str">
        <f>"Realized Loss on MC Transactions - Z - C$ - BUY"</f>
        <v>Realized Loss on MC Transactions - Z - C$ - BUY</v>
      </c>
      <c r="E358" s="13">
        <v>0</v>
      </c>
      <c r="F358" s="14">
        <f t="shared" si="5"/>
        <v>349</v>
      </c>
    </row>
    <row r="359" spans="1:6" x14ac:dyDescent="0.2">
      <c r="A359" s="2" t="s">
        <v>34</v>
      </c>
      <c r="C359" s="4" t="str">
        <f>"000-8203-00"</f>
        <v>000-8203-00</v>
      </c>
      <c r="D359" s="4" t="str">
        <f>"Realized Loss on MC Transactions - Z - C$ - AVG"</f>
        <v>Realized Loss on MC Transactions - Z - C$ - AVG</v>
      </c>
      <c r="E359" s="13">
        <v>0</v>
      </c>
      <c r="F359" s="14">
        <f t="shared" si="5"/>
        <v>350</v>
      </c>
    </row>
    <row r="360" spans="1:6" x14ac:dyDescent="0.2">
      <c r="A360" s="2" t="s">
        <v>34</v>
      </c>
      <c r="C360" s="4" t="str">
        <f>"000-8300-00"</f>
        <v>000-8300-00</v>
      </c>
      <c r="D360" s="4" t="str">
        <f>"Unrealized Loss on MC Transactions"</f>
        <v>Unrealized Loss on MC Transactions</v>
      </c>
      <c r="E360" s="13">
        <v>0</v>
      </c>
      <c r="F360" s="14">
        <f t="shared" si="5"/>
        <v>351</v>
      </c>
    </row>
    <row r="361" spans="1:6" x14ac:dyDescent="0.2">
      <c r="A361" s="2" t="s">
        <v>34</v>
      </c>
      <c r="C361" s="4" t="str">
        <f>"000-8301-00"</f>
        <v>000-8301-00</v>
      </c>
      <c r="D361" s="4" t="str">
        <f>"Unrealized Loss on MC Transactions - Canada"</f>
        <v>Unrealized Loss on MC Transactions - Canada</v>
      </c>
      <c r="E361" s="13">
        <v>0</v>
      </c>
      <c r="F361" s="14">
        <f t="shared" si="5"/>
        <v>352</v>
      </c>
    </row>
    <row r="362" spans="1:6" x14ac:dyDescent="0.2">
      <c r="A362" s="2" t="s">
        <v>34</v>
      </c>
      <c r="C362" s="4" t="str">
        <f>"000-8302-00"</f>
        <v>000-8302-00</v>
      </c>
      <c r="D362" s="4" t="str">
        <f>"Unrealized Loss on MC Transactions - Australia"</f>
        <v>Unrealized Loss on MC Transactions - Australia</v>
      </c>
      <c r="E362" s="13">
        <v>0</v>
      </c>
      <c r="F362" s="14">
        <f t="shared" si="5"/>
        <v>353</v>
      </c>
    </row>
    <row r="363" spans="1:6" x14ac:dyDescent="0.2">
      <c r="A363" s="2" t="s">
        <v>34</v>
      </c>
      <c r="C363" s="4" t="str">
        <f>"000-8303-00"</f>
        <v>000-8303-00</v>
      </c>
      <c r="D363" s="4" t="str">
        <f>"Unrealized Loss on MC Transactions - New Zealand"</f>
        <v>Unrealized Loss on MC Transactions - New Zealand</v>
      </c>
      <c r="E363" s="13">
        <v>0</v>
      </c>
      <c r="F363" s="14">
        <f t="shared" si="5"/>
        <v>354</v>
      </c>
    </row>
    <row r="364" spans="1:6" x14ac:dyDescent="0.2">
      <c r="A364" s="2" t="s">
        <v>34</v>
      </c>
      <c r="C364" s="4" t="str">
        <f>"000-8304-00"</f>
        <v>000-8304-00</v>
      </c>
      <c r="D364" s="4" t="str">
        <f>"Unrealized Loss on MC Transactions - Germany"</f>
        <v>Unrealized Loss on MC Transactions - Germany</v>
      </c>
      <c r="E364" s="13">
        <v>0</v>
      </c>
      <c r="F364" s="14">
        <f t="shared" si="5"/>
        <v>355</v>
      </c>
    </row>
    <row r="365" spans="1:6" x14ac:dyDescent="0.2">
      <c r="A365" s="2" t="s">
        <v>34</v>
      </c>
      <c r="C365" s="4" t="str">
        <f>"000-8305-00"</f>
        <v>000-8305-00</v>
      </c>
      <c r="D365" s="4" t="str">
        <f>"Unrealized Loss on MC Transactions - United Kingdo"</f>
        <v>Unrealized Loss on MC Transactions - United Kingdo</v>
      </c>
      <c r="E365" s="13">
        <v>0</v>
      </c>
      <c r="F365" s="14">
        <f t="shared" si="5"/>
        <v>356</v>
      </c>
    </row>
    <row r="366" spans="1:6" x14ac:dyDescent="0.2">
      <c r="A366" s="2" t="s">
        <v>34</v>
      </c>
      <c r="C366" s="4" t="str">
        <f>"000-8306-00"</f>
        <v>000-8306-00</v>
      </c>
      <c r="D366" s="4" t="str">
        <f>"Unrealized Loss on MC Transactions - South Africa"</f>
        <v>Unrealized Loss on MC Transactions - South Africa</v>
      </c>
      <c r="E366" s="13">
        <v>0</v>
      </c>
      <c r="F366" s="14">
        <f t="shared" si="5"/>
        <v>357</v>
      </c>
    </row>
    <row r="367" spans="1:6" x14ac:dyDescent="0.2">
      <c r="A367" s="2" t="s">
        <v>34</v>
      </c>
      <c r="C367" s="4" t="str">
        <f>"000-8307-00"</f>
        <v>000-8307-00</v>
      </c>
      <c r="D367" s="4" t="str">
        <f>"Unrealized Loss on MC Transactions - Singapore"</f>
        <v>Unrealized Loss on MC Transactions - Singapore</v>
      </c>
      <c r="E367" s="13">
        <v>0</v>
      </c>
      <c r="F367" s="14">
        <f t="shared" si="5"/>
        <v>358</v>
      </c>
    </row>
    <row r="368" spans="1:6" x14ac:dyDescent="0.2">
      <c r="A368" s="2" t="s">
        <v>34</v>
      </c>
      <c r="C368" s="4" t="str">
        <f>"000-8410-00"</f>
        <v>000-8410-00</v>
      </c>
      <c r="D368" s="4" t="str">
        <f>"Billings in Excess of Earnings"</f>
        <v>Billings in Excess of Earnings</v>
      </c>
      <c r="E368" s="13">
        <v>0</v>
      </c>
      <c r="F368" s="14">
        <f t="shared" si="5"/>
        <v>359</v>
      </c>
    </row>
    <row r="369" spans="1:6" x14ac:dyDescent="0.2">
      <c r="A369" s="2" t="s">
        <v>34</v>
      </c>
      <c r="C369" s="4" t="str">
        <f>"000-8510-00"</f>
        <v>000-8510-00</v>
      </c>
      <c r="D369" s="4" t="str">
        <f>"Earnings in Excess of Billings"</f>
        <v>Earnings in Excess of Billings</v>
      </c>
      <c r="E369" s="13">
        <v>0</v>
      </c>
      <c r="F369" s="14">
        <f t="shared" si="5"/>
        <v>360</v>
      </c>
    </row>
    <row r="370" spans="1:6" x14ac:dyDescent="0.2">
      <c r="A370" s="2" t="s">
        <v>34</v>
      </c>
      <c r="C370" s="4" t="str">
        <f>"000-8610-00"</f>
        <v>000-8610-00</v>
      </c>
      <c r="D370" s="4" t="str">
        <f>"Project Deferred Revenue"</f>
        <v>Project Deferred Revenue</v>
      </c>
      <c r="E370" s="13">
        <v>0</v>
      </c>
      <c r="F370" s="14">
        <f t="shared" si="5"/>
        <v>361</v>
      </c>
    </row>
    <row r="371" spans="1:6" x14ac:dyDescent="0.2">
      <c r="A371" s="2" t="s">
        <v>34</v>
      </c>
      <c r="C371" s="4" t="str">
        <f>"000-8710-00"</f>
        <v>000-8710-00</v>
      </c>
      <c r="D371" s="4" t="str">
        <f>"Retentions Account Receivable"</f>
        <v>Retentions Account Receivable</v>
      </c>
      <c r="E371" s="13">
        <v>0</v>
      </c>
      <c r="F371" s="14">
        <f t="shared" si="5"/>
        <v>362</v>
      </c>
    </row>
    <row r="372" spans="1:6" x14ac:dyDescent="0.2">
      <c r="A372" s="2" t="s">
        <v>34</v>
      </c>
      <c r="C372" s="4" t="str">
        <f>"000-9040-00"</f>
        <v>000-9040-00</v>
      </c>
      <c r="D372" s="4" t="str">
        <f>"Number of Telephone Installations"</f>
        <v>Number of Telephone Installations</v>
      </c>
      <c r="E372" s="13">
        <v>0</v>
      </c>
      <c r="F372" s="14">
        <f t="shared" si="5"/>
        <v>363</v>
      </c>
    </row>
    <row r="373" spans="1:6" x14ac:dyDescent="0.2">
      <c r="A373" s="2" t="s">
        <v>34</v>
      </c>
      <c r="C373" s="4" t="str">
        <f>"100-5100-00"</f>
        <v>100-5100-00</v>
      </c>
      <c r="D373" s="4" t="str">
        <f>"Salaries and Wages - Administration"</f>
        <v>Salaries and Wages - Administration</v>
      </c>
      <c r="E373" s="13">
        <v>0</v>
      </c>
      <c r="F373" s="14">
        <f t="shared" si="5"/>
        <v>364</v>
      </c>
    </row>
    <row r="374" spans="1:6" x14ac:dyDescent="0.2">
      <c r="A374" s="2" t="s">
        <v>34</v>
      </c>
      <c r="C374" s="4" t="str">
        <f>"100-5110-00"</f>
        <v>100-5110-00</v>
      </c>
      <c r="D374" s="4" t="str">
        <f>"Overtime Pay - Administration"</f>
        <v>Overtime Pay - Administration</v>
      </c>
      <c r="E374" s="13">
        <v>0</v>
      </c>
      <c r="F374" s="14">
        <f t="shared" si="5"/>
        <v>365</v>
      </c>
    </row>
    <row r="375" spans="1:6" x14ac:dyDescent="0.2">
      <c r="A375" s="2" t="s">
        <v>34</v>
      </c>
      <c r="C375" s="4" t="str">
        <f>"100-5120-00"</f>
        <v>100-5120-00</v>
      </c>
      <c r="D375" s="4" t="str">
        <f>"Bonuses - Administration"</f>
        <v>Bonuses - Administration</v>
      </c>
      <c r="E375" s="13">
        <v>0</v>
      </c>
      <c r="F375" s="14">
        <f t="shared" si="5"/>
        <v>366</v>
      </c>
    </row>
    <row r="376" spans="1:6" x14ac:dyDescent="0.2">
      <c r="A376" s="2" t="s">
        <v>34</v>
      </c>
      <c r="C376" s="4" t="str">
        <f>"100-5140-00"</f>
        <v>100-5140-00</v>
      </c>
      <c r="D376" s="4" t="str">
        <f>"Profit Sharing - Administration"</f>
        <v>Profit Sharing - Administration</v>
      </c>
      <c r="E376" s="13">
        <v>0</v>
      </c>
      <c r="F376" s="14">
        <f t="shared" si="5"/>
        <v>367</v>
      </c>
    </row>
    <row r="377" spans="1:6" x14ac:dyDescent="0.2">
      <c r="A377" s="2" t="s">
        <v>34</v>
      </c>
      <c r="C377" s="4" t="str">
        <f>"100-5150-00"</f>
        <v>100-5150-00</v>
      </c>
      <c r="D377" s="4" t="str">
        <f>"Employee Benefits - Administration"</f>
        <v>Employee Benefits - Administration</v>
      </c>
      <c r="E377" s="13">
        <v>8618.14</v>
      </c>
      <c r="F377" s="14">
        <f t="shared" si="5"/>
        <v>368</v>
      </c>
    </row>
    <row r="378" spans="1:6" x14ac:dyDescent="0.2">
      <c r="A378" s="2" t="s">
        <v>34</v>
      </c>
      <c r="C378" s="4" t="str">
        <f>"100-5160-00"</f>
        <v>100-5160-00</v>
      </c>
      <c r="D378" s="4" t="str">
        <f>"Health Insurance Expense - Administration"</f>
        <v>Health Insurance Expense - Administration</v>
      </c>
      <c r="E378" s="13">
        <v>0</v>
      </c>
      <c r="F378" s="14">
        <f t="shared" si="5"/>
        <v>369</v>
      </c>
    </row>
    <row r="379" spans="1:6" x14ac:dyDescent="0.2">
      <c r="A379" s="2" t="s">
        <v>34</v>
      </c>
      <c r="C379" s="4" t="str">
        <f>"100-5170-00"</f>
        <v>100-5170-00</v>
      </c>
      <c r="D379" s="4" t="str">
        <f>"Payroll Taxes - Administration"</f>
        <v>Payroll Taxes - Administration</v>
      </c>
      <c r="E379" s="13">
        <v>3160.04</v>
      </c>
      <c r="F379" s="14">
        <f t="shared" si="5"/>
        <v>370</v>
      </c>
    </row>
    <row r="380" spans="1:6" x14ac:dyDescent="0.2">
      <c r="A380" s="2" t="s">
        <v>34</v>
      </c>
      <c r="C380" s="4" t="str">
        <f>"100-6100-00"</f>
        <v>100-6100-00</v>
      </c>
      <c r="D380" s="4" t="str">
        <f>"Training - Administration"</f>
        <v>Training - Administration</v>
      </c>
      <c r="E380" s="13">
        <v>0</v>
      </c>
      <c r="F380" s="14">
        <f t="shared" si="5"/>
        <v>371</v>
      </c>
    </row>
    <row r="381" spans="1:6" x14ac:dyDescent="0.2">
      <c r="A381" s="2" t="s">
        <v>34</v>
      </c>
      <c r="C381" s="4" t="str">
        <f>"100-6110-00"</f>
        <v>100-6110-00</v>
      </c>
      <c r="D381" s="4" t="str">
        <f>"Company Car - Administration"</f>
        <v>Company Car - Administration</v>
      </c>
      <c r="E381" s="13">
        <v>0</v>
      </c>
      <c r="F381" s="14">
        <f t="shared" si="5"/>
        <v>372</v>
      </c>
    </row>
    <row r="382" spans="1:6" x14ac:dyDescent="0.2">
      <c r="A382" s="2" t="s">
        <v>34</v>
      </c>
      <c r="C382" s="4" t="str">
        <f>"100-6120-00"</f>
        <v>100-6120-00</v>
      </c>
      <c r="D382" s="4" t="str">
        <f>"Supplies/Rental - Administration"</f>
        <v>Supplies/Rental - Administration</v>
      </c>
      <c r="E382" s="13">
        <v>0</v>
      </c>
      <c r="F382" s="14">
        <f t="shared" si="5"/>
        <v>373</v>
      </c>
    </row>
    <row r="383" spans="1:6" x14ac:dyDescent="0.2">
      <c r="A383" s="2" t="s">
        <v>34</v>
      </c>
      <c r="C383" s="4" t="str">
        <f>"100-6130-00"</f>
        <v>100-6130-00</v>
      </c>
      <c r="D383" s="4" t="str">
        <f>"Supplies/Hardware - Administration"</f>
        <v>Supplies/Hardware - Administration</v>
      </c>
      <c r="E383" s="13">
        <v>0</v>
      </c>
      <c r="F383" s="14">
        <f t="shared" si="5"/>
        <v>374</v>
      </c>
    </row>
    <row r="384" spans="1:6" x14ac:dyDescent="0.2">
      <c r="A384" s="2" t="s">
        <v>34</v>
      </c>
      <c r="C384" s="4" t="str">
        <f>"100-6140-00"</f>
        <v>100-6140-00</v>
      </c>
      <c r="D384" s="4" t="str">
        <f>"Supplies/Software - Administation"</f>
        <v>Supplies/Software - Administation</v>
      </c>
      <c r="E384" s="13">
        <v>0</v>
      </c>
      <c r="F384" s="14">
        <f t="shared" si="5"/>
        <v>375</v>
      </c>
    </row>
    <row r="385" spans="1:6" x14ac:dyDescent="0.2">
      <c r="A385" s="2" t="s">
        <v>34</v>
      </c>
      <c r="C385" s="4" t="str">
        <f>"100-6150-00"</f>
        <v>100-6150-00</v>
      </c>
      <c r="D385" s="4" t="str">
        <f>"Supplies-Allocated - Administration"</f>
        <v>Supplies-Allocated - Administration</v>
      </c>
      <c r="E385" s="13">
        <v>0</v>
      </c>
      <c r="F385" s="14">
        <f t="shared" si="5"/>
        <v>376</v>
      </c>
    </row>
    <row r="386" spans="1:6" x14ac:dyDescent="0.2">
      <c r="A386" s="2" t="s">
        <v>34</v>
      </c>
      <c r="C386" s="4" t="str">
        <f>"100-6160-00"</f>
        <v>100-6160-00</v>
      </c>
      <c r="D386" s="4" t="str">
        <f>"Dues &amp; Subscriptions - Administration"</f>
        <v>Dues &amp; Subscriptions - Administration</v>
      </c>
      <c r="E386" s="13">
        <v>0</v>
      </c>
      <c r="F386" s="14">
        <f t="shared" si="5"/>
        <v>377</v>
      </c>
    </row>
    <row r="387" spans="1:6" x14ac:dyDescent="0.2">
      <c r="A387" s="2" t="s">
        <v>34</v>
      </c>
      <c r="C387" s="4" t="str">
        <f>"100-6170-00"</f>
        <v>100-6170-00</v>
      </c>
      <c r="D387" s="4" t="str">
        <f>"Repairs &amp; Maintenance - Administration"</f>
        <v>Repairs &amp; Maintenance - Administration</v>
      </c>
      <c r="E387" s="13">
        <v>0</v>
      </c>
      <c r="F387" s="14">
        <f t="shared" si="5"/>
        <v>378</v>
      </c>
    </row>
    <row r="388" spans="1:6" x14ac:dyDescent="0.2">
      <c r="A388" s="2" t="s">
        <v>34</v>
      </c>
      <c r="C388" s="4" t="str">
        <f>"100-6180-00"</f>
        <v>100-6180-00</v>
      </c>
      <c r="D388" s="4" t="str">
        <f>"Rent Expense - Administration"</f>
        <v>Rent Expense - Administration</v>
      </c>
      <c r="E388" s="13">
        <v>0</v>
      </c>
      <c r="F388" s="14">
        <f t="shared" si="5"/>
        <v>379</v>
      </c>
    </row>
    <row r="389" spans="1:6" x14ac:dyDescent="0.2">
      <c r="A389" s="2" t="s">
        <v>34</v>
      </c>
      <c r="C389" s="4" t="str">
        <f>"100-6190-00"</f>
        <v>100-6190-00</v>
      </c>
      <c r="D389" s="4" t="str">
        <f>"Utilities Expense - Administration"</f>
        <v>Utilities Expense - Administration</v>
      </c>
      <c r="E389" s="13">
        <v>0</v>
      </c>
      <c r="F389" s="14">
        <f t="shared" si="5"/>
        <v>380</v>
      </c>
    </row>
    <row r="390" spans="1:6" x14ac:dyDescent="0.2">
      <c r="A390" s="2" t="s">
        <v>34</v>
      </c>
      <c r="C390" s="4" t="str">
        <f>"100-6500-00"</f>
        <v>100-6500-00</v>
      </c>
      <c r="D390" s="4" t="str">
        <f>"Postage/Freight - Administration"</f>
        <v>Postage/Freight - Administration</v>
      </c>
      <c r="E390" s="13">
        <v>0</v>
      </c>
      <c r="F390" s="14">
        <f t="shared" si="5"/>
        <v>381</v>
      </c>
    </row>
    <row r="391" spans="1:6" x14ac:dyDescent="0.2">
      <c r="A391" s="2" t="s">
        <v>34</v>
      </c>
      <c r="C391" s="4" t="str">
        <f>"100-6510-00"</f>
        <v>100-6510-00</v>
      </c>
      <c r="D391" s="4" t="str">
        <f>"Telephone - Administration"</f>
        <v>Telephone - Administration</v>
      </c>
      <c r="E391" s="13">
        <v>0</v>
      </c>
      <c r="F391" s="14">
        <f t="shared" si="5"/>
        <v>382</v>
      </c>
    </row>
    <row r="392" spans="1:6" x14ac:dyDescent="0.2">
      <c r="A392" s="2" t="s">
        <v>34</v>
      </c>
      <c r="C392" s="4" t="str">
        <f>"100-6520-00"</f>
        <v>100-6520-00</v>
      </c>
      <c r="D392" s="4" t="str">
        <f>"Travel - Administration"</f>
        <v>Travel - Administration</v>
      </c>
      <c r="E392" s="13">
        <v>0</v>
      </c>
      <c r="F392" s="14">
        <f t="shared" si="5"/>
        <v>383</v>
      </c>
    </row>
    <row r="393" spans="1:6" x14ac:dyDescent="0.2">
      <c r="A393" s="2" t="s">
        <v>34</v>
      </c>
      <c r="C393" s="4" t="str">
        <f>"100-6530-00"</f>
        <v>100-6530-00</v>
      </c>
      <c r="D393" s="4" t="str">
        <f>"Meals/Entertainment - Administration"</f>
        <v>Meals/Entertainment - Administration</v>
      </c>
      <c r="E393" s="13">
        <v>0</v>
      </c>
      <c r="F393" s="14">
        <f t="shared" si="5"/>
        <v>384</v>
      </c>
    </row>
    <row r="394" spans="1:6" x14ac:dyDescent="0.2">
      <c r="A394" s="2" t="s">
        <v>34</v>
      </c>
      <c r="C394" s="4" t="str">
        <f>"100-9010-00"</f>
        <v>100-9010-00</v>
      </c>
      <c r="D394" s="4" t="str">
        <f>"Square Footage-Administration"</f>
        <v>Square Footage-Administration</v>
      </c>
      <c r="E394" s="13">
        <v>50000</v>
      </c>
      <c r="F394" s="14">
        <f t="shared" si="5"/>
        <v>385</v>
      </c>
    </row>
    <row r="395" spans="1:6" x14ac:dyDescent="0.2">
      <c r="A395" s="2" t="s">
        <v>34</v>
      </c>
      <c r="C395" s="4" t="str">
        <f>"100-9020-00"</f>
        <v>100-9020-00</v>
      </c>
      <c r="D395" s="4" t="str">
        <f>"Employee Count-Administration"</f>
        <v>Employee Count-Administration</v>
      </c>
      <c r="E395" s="13">
        <v>0</v>
      </c>
      <c r="F395" s="14">
        <f t="shared" ref="F395:F458" si="6">F394+1</f>
        <v>386</v>
      </c>
    </row>
    <row r="396" spans="1:6" x14ac:dyDescent="0.2">
      <c r="A396" s="2" t="s">
        <v>34</v>
      </c>
      <c r="C396" s="4" t="str">
        <f>"100-9030-00"</f>
        <v>100-9030-00</v>
      </c>
      <c r="D396" s="4" t="str">
        <f>"Fixed Assets-Computer Cabinets"</f>
        <v>Fixed Assets-Computer Cabinets</v>
      </c>
      <c r="E396" s="13">
        <v>0</v>
      </c>
      <c r="F396" s="14">
        <f t="shared" si="6"/>
        <v>387</v>
      </c>
    </row>
    <row r="397" spans="1:6" x14ac:dyDescent="0.2">
      <c r="A397" s="2" t="s">
        <v>34</v>
      </c>
      <c r="C397" s="4" t="str">
        <f>"200-5100-00"</f>
        <v>200-5100-00</v>
      </c>
      <c r="D397" s="4" t="str">
        <f>"Salaries and Wages - Accounting"</f>
        <v>Salaries and Wages - Accounting</v>
      </c>
      <c r="E397" s="13">
        <v>0</v>
      </c>
      <c r="F397" s="14">
        <f t="shared" si="6"/>
        <v>388</v>
      </c>
    </row>
    <row r="398" spans="1:6" x14ac:dyDescent="0.2">
      <c r="A398" s="2" t="s">
        <v>34</v>
      </c>
      <c r="C398" s="4" t="str">
        <f>"200-5110-00"</f>
        <v>200-5110-00</v>
      </c>
      <c r="D398" s="4" t="str">
        <f>"Overtime Pay - Accounting"</f>
        <v>Overtime Pay - Accounting</v>
      </c>
      <c r="E398" s="13">
        <v>0</v>
      </c>
      <c r="F398" s="14">
        <f t="shared" si="6"/>
        <v>389</v>
      </c>
    </row>
    <row r="399" spans="1:6" x14ac:dyDescent="0.2">
      <c r="A399" s="2" t="s">
        <v>34</v>
      </c>
      <c r="C399" s="4" t="str">
        <f>"200-5120-00"</f>
        <v>200-5120-00</v>
      </c>
      <c r="D399" s="4" t="str">
        <f>"Bonuses - Accounting"</f>
        <v>Bonuses - Accounting</v>
      </c>
      <c r="E399" s="13">
        <v>0</v>
      </c>
      <c r="F399" s="14">
        <f t="shared" si="6"/>
        <v>390</v>
      </c>
    </row>
    <row r="400" spans="1:6" x14ac:dyDescent="0.2">
      <c r="A400" s="2" t="s">
        <v>34</v>
      </c>
      <c r="C400" s="4" t="str">
        <f>"200-5140-00"</f>
        <v>200-5140-00</v>
      </c>
      <c r="D400" s="4" t="str">
        <f>"Profit Sharing - Accounting"</f>
        <v>Profit Sharing - Accounting</v>
      </c>
      <c r="E400" s="13">
        <v>0</v>
      </c>
      <c r="F400" s="14">
        <f t="shared" si="6"/>
        <v>391</v>
      </c>
    </row>
    <row r="401" spans="1:6" x14ac:dyDescent="0.2">
      <c r="A401" s="2" t="s">
        <v>34</v>
      </c>
      <c r="C401" s="4" t="str">
        <f>"200-5150-00"</f>
        <v>200-5150-00</v>
      </c>
      <c r="D401" s="4" t="str">
        <f>"Employee Benefits - Accounting"</f>
        <v>Employee Benefits - Accounting</v>
      </c>
      <c r="E401" s="13">
        <v>0</v>
      </c>
      <c r="F401" s="14">
        <f t="shared" si="6"/>
        <v>392</v>
      </c>
    </row>
    <row r="402" spans="1:6" x14ac:dyDescent="0.2">
      <c r="A402" s="2" t="s">
        <v>34</v>
      </c>
      <c r="C402" s="4" t="str">
        <f>"200-5160-00"</f>
        <v>200-5160-00</v>
      </c>
      <c r="D402" s="4" t="str">
        <f>"Health Insurance Expense - Accounting"</f>
        <v>Health Insurance Expense - Accounting</v>
      </c>
      <c r="E402" s="13">
        <v>0</v>
      </c>
      <c r="F402" s="14">
        <f t="shared" si="6"/>
        <v>393</v>
      </c>
    </row>
    <row r="403" spans="1:6" x14ac:dyDescent="0.2">
      <c r="A403" s="2" t="s">
        <v>34</v>
      </c>
      <c r="C403" s="4" t="str">
        <f>"200-5170-00"</f>
        <v>200-5170-00</v>
      </c>
      <c r="D403" s="4" t="str">
        <f>"Payroll Taxes - Accounting"</f>
        <v>Payroll Taxes - Accounting</v>
      </c>
      <c r="E403" s="13">
        <v>13511.99</v>
      </c>
      <c r="F403" s="14">
        <f t="shared" si="6"/>
        <v>394</v>
      </c>
    </row>
    <row r="404" spans="1:6" x14ac:dyDescent="0.2">
      <c r="A404" s="2" t="s">
        <v>34</v>
      </c>
      <c r="C404" s="4" t="str">
        <f>"200-6100-00"</f>
        <v>200-6100-00</v>
      </c>
      <c r="D404" s="4" t="str">
        <f>"Training - Accounting"</f>
        <v>Training - Accounting</v>
      </c>
      <c r="E404" s="13">
        <v>0</v>
      </c>
      <c r="F404" s="14">
        <f t="shared" si="6"/>
        <v>395</v>
      </c>
    </row>
    <row r="405" spans="1:6" x14ac:dyDescent="0.2">
      <c r="A405" s="2" t="s">
        <v>34</v>
      </c>
      <c r="C405" s="4" t="str">
        <f>"200-6120-00"</f>
        <v>200-6120-00</v>
      </c>
      <c r="D405" s="4" t="str">
        <f>"Supplies/Rental - Accounting"</f>
        <v>Supplies/Rental - Accounting</v>
      </c>
      <c r="E405" s="13">
        <v>0</v>
      </c>
      <c r="F405" s="14">
        <f t="shared" si="6"/>
        <v>396</v>
      </c>
    </row>
    <row r="406" spans="1:6" x14ac:dyDescent="0.2">
      <c r="A406" s="2" t="s">
        <v>34</v>
      </c>
      <c r="C406" s="4" t="str">
        <f>"200-6130-00"</f>
        <v>200-6130-00</v>
      </c>
      <c r="D406" s="4" t="str">
        <f>"Supplies/Hardware - Accounting"</f>
        <v>Supplies/Hardware - Accounting</v>
      </c>
      <c r="E406" s="13">
        <v>0</v>
      </c>
      <c r="F406" s="14">
        <f t="shared" si="6"/>
        <v>397</v>
      </c>
    </row>
    <row r="407" spans="1:6" x14ac:dyDescent="0.2">
      <c r="A407" s="2" t="s">
        <v>34</v>
      </c>
      <c r="C407" s="4" t="str">
        <f>"200-6140-00"</f>
        <v>200-6140-00</v>
      </c>
      <c r="D407" s="4" t="str">
        <f>"Supplies/Software - Accounting"</f>
        <v>Supplies/Software - Accounting</v>
      </c>
      <c r="E407" s="13">
        <v>0</v>
      </c>
      <c r="F407" s="14">
        <f t="shared" si="6"/>
        <v>398</v>
      </c>
    </row>
    <row r="408" spans="1:6" x14ac:dyDescent="0.2">
      <c r="A408" s="2" t="s">
        <v>34</v>
      </c>
      <c r="C408" s="4" t="str">
        <f>"200-6150-00"</f>
        <v>200-6150-00</v>
      </c>
      <c r="D408" s="4" t="str">
        <f>"Supplies-Allocated - Accounting"</f>
        <v>Supplies-Allocated - Accounting</v>
      </c>
      <c r="E408" s="13">
        <v>0</v>
      </c>
      <c r="F408" s="14">
        <f t="shared" si="6"/>
        <v>399</v>
      </c>
    </row>
    <row r="409" spans="1:6" x14ac:dyDescent="0.2">
      <c r="A409" s="2" t="s">
        <v>34</v>
      </c>
      <c r="C409" s="4" t="str">
        <f>"200-6160-00"</f>
        <v>200-6160-00</v>
      </c>
      <c r="D409" s="4" t="str">
        <f>"Dues &amp; Subscriptions - Accounting"</f>
        <v>Dues &amp; Subscriptions - Accounting</v>
      </c>
      <c r="E409" s="13">
        <v>0</v>
      </c>
      <c r="F409" s="14">
        <f t="shared" si="6"/>
        <v>400</v>
      </c>
    </row>
    <row r="410" spans="1:6" x14ac:dyDescent="0.2">
      <c r="A410" s="2" t="s">
        <v>34</v>
      </c>
      <c r="C410" s="4" t="str">
        <f>"200-6170-00"</f>
        <v>200-6170-00</v>
      </c>
      <c r="D410" s="4" t="str">
        <f>"Repairs &amp; Maintenance - Accounting"</f>
        <v>Repairs &amp; Maintenance - Accounting</v>
      </c>
      <c r="E410" s="13">
        <v>0</v>
      </c>
      <c r="F410" s="14">
        <f t="shared" si="6"/>
        <v>401</v>
      </c>
    </row>
    <row r="411" spans="1:6" x14ac:dyDescent="0.2">
      <c r="A411" s="2" t="s">
        <v>34</v>
      </c>
      <c r="C411" s="4" t="str">
        <f>"200-6180-00"</f>
        <v>200-6180-00</v>
      </c>
      <c r="D411" s="4" t="str">
        <f>"Rent Expense - Accounting"</f>
        <v>Rent Expense - Accounting</v>
      </c>
      <c r="E411" s="13">
        <v>0</v>
      </c>
      <c r="F411" s="14">
        <f t="shared" si="6"/>
        <v>402</v>
      </c>
    </row>
    <row r="412" spans="1:6" x14ac:dyDescent="0.2">
      <c r="A412" s="2" t="s">
        <v>34</v>
      </c>
      <c r="C412" s="4" t="str">
        <f>"200-6190-00"</f>
        <v>200-6190-00</v>
      </c>
      <c r="D412" s="4" t="str">
        <f>"Utilities Expense - Accounting"</f>
        <v>Utilities Expense - Accounting</v>
      </c>
      <c r="E412" s="13">
        <v>0</v>
      </c>
      <c r="F412" s="14">
        <f t="shared" si="6"/>
        <v>403</v>
      </c>
    </row>
    <row r="413" spans="1:6" x14ac:dyDescent="0.2">
      <c r="A413" s="2" t="s">
        <v>34</v>
      </c>
      <c r="C413" s="4" t="str">
        <f>"200-6500-00"</f>
        <v>200-6500-00</v>
      </c>
      <c r="D413" s="4" t="str">
        <f>"Postage/Freight  - Accounting"</f>
        <v>Postage/Freight  - Accounting</v>
      </c>
      <c r="E413" s="13">
        <v>0</v>
      </c>
      <c r="F413" s="14">
        <f t="shared" si="6"/>
        <v>404</v>
      </c>
    </row>
    <row r="414" spans="1:6" x14ac:dyDescent="0.2">
      <c r="A414" s="2" t="s">
        <v>34</v>
      </c>
      <c r="C414" s="4" t="str">
        <f>"200-6510-00"</f>
        <v>200-6510-00</v>
      </c>
      <c r="D414" s="4" t="str">
        <f>"Telephone - Accounting"</f>
        <v>Telephone - Accounting</v>
      </c>
      <c r="E414" s="13">
        <v>0</v>
      </c>
      <c r="F414" s="14">
        <f t="shared" si="6"/>
        <v>405</v>
      </c>
    </row>
    <row r="415" spans="1:6" x14ac:dyDescent="0.2">
      <c r="A415" s="2" t="s">
        <v>34</v>
      </c>
      <c r="C415" s="4" t="str">
        <f>"200-6520-00"</f>
        <v>200-6520-00</v>
      </c>
      <c r="D415" s="4" t="str">
        <f>"Travel - Accounting"</f>
        <v>Travel - Accounting</v>
      </c>
      <c r="E415" s="13">
        <v>0</v>
      </c>
      <c r="F415" s="14">
        <f t="shared" si="6"/>
        <v>406</v>
      </c>
    </row>
    <row r="416" spans="1:6" x14ac:dyDescent="0.2">
      <c r="A416" s="2" t="s">
        <v>34</v>
      </c>
      <c r="C416" s="4" t="str">
        <f>"200-6530-00"</f>
        <v>200-6530-00</v>
      </c>
      <c r="D416" s="4" t="str">
        <f>"Meals/Entertainment - Accounting"</f>
        <v>Meals/Entertainment - Accounting</v>
      </c>
      <c r="E416" s="13">
        <v>0</v>
      </c>
      <c r="F416" s="14">
        <f t="shared" si="6"/>
        <v>407</v>
      </c>
    </row>
    <row r="417" spans="1:6" x14ac:dyDescent="0.2">
      <c r="A417" s="2" t="s">
        <v>34</v>
      </c>
      <c r="C417" s="4" t="str">
        <f>"200-9010-00"</f>
        <v>200-9010-00</v>
      </c>
      <c r="D417" s="4" t="str">
        <f>"Square Footage-Accounting"</f>
        <v>Square Footage-Accounting</v>
      </c>
      <c r="E417" s="13">
        <v>50000</v>
      </c>
      <c r="F417" s="14">
        <f t="shared" si="6"/>
        <v>408</v>
      </c>
    </row>
    <row r="418" spans="1:6" x14ac:dyDescent="0.2">
      <c r="A418" s="2" t="s">
        <v>34</v>
      </c>
      <c r="C418" s="4" t="str">
        <f>"200-9020-00"</f>
        <v>200-9020-00</v>
      </c>
      <c r="D418" s="4" t="str">
        <f>"Employee Count-Accounting"</f>
        <v>Employee Count-Accounting</v>
      </c>
      <c r="E418" s="13">
        <v>0</v>
      </c>
      <c r="F418" s="14">
        <f t="shared" si="6"/>
        <v>409</v>
      </c>
    </row>
    <row r="419" spans="1:6" x14ac:dyDescent="0.2">
      <c r="A419" s="2" t="s">
        <v>34</v>
      </c>
      <c r="C419" s="4" t="str">
        <f>"200-9030-00"</f>
        <v>200-9030-00</v>
      </c>
      <c r="D419" s="4" t="str">
        <f>"Fixed Assets- Computer Cabinets"</f>
        <v>Fixed Assets- Computer Cabinets</v>
      </c>
      <c r="E419" s="13">
        <v>0</v>
      </c>
      <c r="F419" s="14">
        <f t="shared" si="6"/>
        <v>410</v>
      </c>
    </row>
    <row r="420" spans="1:6" x14ac:dyDescent="0.2">
      <c r="A420" s="2" t="s">
        <v>34</v>
      </c>
      <c r="C420" s="4" t="str">
        <f>"300-5100-00"</f>
        <v>300-5100-00</v>
      </c>
      <c r="D420" s="4" t="str">
        <f>"Salaries and Wages - Sales"</f>
        <v>Salaries and Wages - Sales</v>
      </c>
      <c r="E420" s="13">
        <v>0</v>
      </c>
      <c r="F420" s="14">
        <f t="shared" si="6"/>
        <v>411</v>
      </c>
    </row>
    <row r="421" spans="1:6" x14ac:dyDescent="0.2">
      <c r="A421" s="2" t="s">
        <v>34</v>
      </c>
      <c r="C421" s="4" t="str">
        <f>"300-5110-00"</f>
        <v>300-5110-00</v>
      </c>
      <c r="D421" s="4" t="str">
        <f>"Overtime Pay - Sales"</f>
        <v>Overtime Pay - Sales</v>
      </c>
      <c r="E421" s="13">
        <v>0</v>
      </c>
      <c r="F421" s="14">
        <f t="shared" si="6"/>
        <v>412</v>
      </c>
    </row>
    <row r="422" spans="1:6" x14ac:dyDescent="0.2">
      <c r="A422" s="2" t="s">
        <v>34</v>
      </c>
      <c r="C422" s="4" t="str">
        <f>"300-5120-00"</f>
        <v>300-5120-00</v>
      </c>
      <c r="D422" s="4" t="str">
        <f>"Bonuses - Sales"</f>
        <v>Bonuses - Sales</v>
      </c>
      <c r="E422" s="13">
        <v>0</v>
      </c>
      <c r="F422" s="14">
        <f t="shared" si="6"/>
        <v>413</v>
      </c>
    </row>
    <row r="423" spans="1:6" x14ac:dyDescent="0.2">
      <c r="A423" s="2" t="s">
        <v>34</v>
      </c>
      <c r="C423" s="4" t="str">
        <f>"300-5130-00"</f>
        <v>300-5130-00</v>
      </c>
      <c r="D423" s="4" t="str">
        <f>"Commissions - Sales"</f>
        <v>Commissions - Sales</v>
      </c>
      <c r="E423" s="13">
        <v>10836.51</v>
      </c>
      <c r="F423" s="14">
        <f t="shared" si="6"/>
        <v>414</v>
      </c>
    </row>
    <row r="424" spans="1:6" x14ac:dyDescent="0.2">
      <c r="A424" s="2" t="s">
        <v>34</v>
      </c>
      <c r="C424" s="4" t="str">
        <f>"300-5140-00"</f>
        <v>300-5140-00</v>
      </c>
      <c r="D424" s="4" t="str">
        <f>"Profit Sharing - Sales"</f>
        <v>Profit Sharing - Sales</v>
      </c>
      <c r="E424" s="13">
        <v>0</v>
      </c>
      <c r="F424" s="14">
        <f t="shared" si="6"/>
        <v>415</v>
      </c>
    </row>
    <row r="425" spans="1:6" x14ac:dyDescent="0.2">
      <c r="A425" s="2" t="s">
        <v>34</v>
      </c>
      <c r="C425" s="4" t="str">
        <f>"300-5150-00"</f>
        <v>300-5150-00</v>
      </c>
      <c r="D425" s="4" t="str">
        <f>"Employee Benefits - Sales"</f>
        <v>Employee Benefits - Sales</v>
      </c>
      <c r="E425" s="13">
        <v>0</v>
      </c>
      <c r="F425" s="14">
        <f t="shared" si="6"/>
        <v>416</v>
      </c>
    </row>
    <row r="426" spans="1:6" x14ac:dyDescent="0.2">
      <c r="A426" s="2" t="s">
        <v>34</v>
      </c>
      <c r="C426" s="4" t="str">
        <f>"300-5160-00"</f>
        <v>300-5160-00</v>
      </c>
      <c r="D426" s="4" t="str">
        <f>"Health Insurance Expense - Sales"</f>
        <v>Health Insurance Expense - Sales</v>
      </c>
      <c r="E426" s="13">
        <v>0</v>
      </c>
      <c r="F426" s="14">
        <f t="shared" si="6"/>
        <v>417</v>
      </c>
    </row>
    <row r="427" spans="1:6" x14ac:dyDescent="0.2">
      <c r="A427" s="2" t="s">
        <v>34</v>
      </c>
      <c r="C427" s="4" t="str">
        <f>"300-5170-00"</f>
        <v>300-5170-00</v>
      </c>
      <c r="D427" s="4" t="str">
        <f>"Payroll Taxes - Sales"</f>
        <v>Payroll Taxes - Sales</v>
      </c>
      <c r="E427" s="13">
        <v>0</v>
      </c>
      <c r="F427" s="14">
        <f t="shared" si="6"/>
        <v>418</v>
      </c>
    </row>
    <row r="428" spans="1:6" x14ac:dyDescent="0.2">
      <c r="A428" s="2" t="s">
        <v>34</v>
      </c>
      <c r="C428" s="4" t="str">
        <f>"300-6100-00"</f>
        <v>300-6100-00</v>
      </c>
      <c r="D428" s="4" t="str">
        <f>"Training - Sales"</f>
        <v>Training - Sales</v>
      </c>
      <c r="E428" s="13">
        <v>0</v>
      </c>
      <c r="F428" s="14">
        <f t="shared" si="6"/>
        <v>419</v>
      </c>
    </row>
    <row r="429" spans="1:6" x14ac:dyDescent="0.2">
      <c r="A429" s="2" t="s">
        <v>34</v>
      </c>
      <c r="C429" s="4" t="str">
        <f>"300-6120-00"</f>
        <v>300-6120-00</v>
      </c>
      <c r="D429" s="4" t="str">
        <f>"Supplies/Rental - Sales"</f>
        <v>Supplies/Rental - Sales</v>
      </c>
      <c r="E429" s="13">
        <v>0</v>
      </c>
      <c r="F429" s="14">
        <f t="shared" si="6"/>
        <v>420</v>
      </c>
    </row>
    <row r="430" spans="1:6" x14ac:dyDescent="0.2">
      <c r="A430" s="2" t="s">
        <v>34</v>
      </c>
      <c r="C430" s="4" t="str">
        <f>"300-6130-00"</f>
        <v>300-6130-00</v>
      </c>
      <c r="D430" s="4" t="str">
        <f>"Supplies/Hardware - Sales"</f>
        <v>Supplies/Hardware - Sales</v>
      </c>
      <c r="E430" s="13">
        <v>0</v>
      </c>
      <c r="F430" s="14">
        <f t="shared" si="6"/>
        <v>421</v>
      </c>
    </row>
    <row r="431" spans="1:6" x14ac:dyDescent="0.2">
      <c r="A431" s="2" t="s">
        <v>34</v>
      </c>
      <c r="C431" s="4" t="str">
        <f>"300-6140-00"</f>
        <v>300-6140-00</v>
      </c>
      <c r="D431" s="4" t="str">
        <f>"Supplies/Software - Sales"</f>
        <v>Supplies/Software - Sales</v>
      </c>
      <c r="E431" s="13">
        <v>0</v>
      </c>
      <c r="F431" s="14">
        <f t="shared" si="6"/>
        <v>422</v>
      </c>
    </row>
    <row r="432" spans="1:6" x14ac:dyDescent="0.2">
      <c r="A432" s="2" t="s">
        <v>34</v>
      </c>
      <c r="C432" s="4" t="str">
        <f>"300-6150-00"</f>
        <v>300-6150-00</v>
      </c>
      <c r="D432" s="4" t="str">
        <f>"Supplies-Allocated - Sales"</f>
        <v>Supplies-Allocated - Sales</v>
      </c>
      <c r="E432" s="13">
        <v>0</v>
      </c>
      <c r="F432" s="14">
        <f t="shared" si="6"/>
        <v>423</v>
      </c>
    </row>
    <row r="433" spans="1:6" x14ac:dyDescent="0.2">
      <c r="A433" s="2" t="s">
        <v>34</v>
      </c>
      <c r="C433" s="4" t="str">
        <f>"300-6160-00"</f>
        <v>300-6160-00</v>
      </c>
      <c r="D433" s="4" t="str">
        <f>"Dues &amp; Subscriptions - Sales"</f>
        <v>Dues &amp; Subscriptions - Sales</v>
      </c>
      <c r="E433" s="13">
        <v>0</v>
      </c>
      <c r="F433" s="14">
        <f t="shared" si="6"/>
        <v>424</v>
      </c>
    </row>
    <row r="434" spans="1:6" x14ac:dyDescent="0.2">
      <c r="A434" s="2" t="s">
        <v>34</v>
      </c>
      <c r="C434" s="4" t="str">
        <f>"300-6170-00"</f>
        <v>300-6170-00</v>
      </c>
      <c r="D434" s="4" t="str">
        <f>"Repairs &amp; Maintenance - Sales"</f>
        <v>Repairs &amp; Maintenance - Sales</v>
      </c>
      <c r="E434" s="13">
        <v>0</v>
      </c>
      <c r="F434" s="14">
        <f t="shared" si="6"/>
        <v>425</v>
      </c>
    </row>
    <row r="435" spans="1:6" x14ac:dyDescent="0.2">
      <c r="A435" s="2" t="s">
        <v>34</v>
      </c>
      <c r="C435" s="4" t="str">
        <f>"300-6180-00"</f>
        <v>300-6180-00</v>
      </c>
      <c r="D435" s="4" t="str">
        <f>"Rent Expense - Sales"</f>
        <v>Rent Expense - Sales</v>
      </c>
      <c r="E435" s="13">
        <v>0</v>
      </c>
      <c r="F435" s="14">
        <f t="shared" si="6"/>
        <v>426</v>
      </c>
    </row>
    <row r="436" spans="1:6" x14ac:dyDescent="0.2">
      <c r="A436" s="2" t="s">
        <v>34</v>
      </c>
      <c r="C436" s="4" t="str">
        <f>"300-6190-00"</f>
        <v>300-6190-00</v>
      </c>
      <c r="D436" s="4" t="str">
        <f>"Utilities Expense - Sales"</f>
        <v>Utilities Expense - Sales</v>
      </c>
      <c r="E436" s="13">
        <v>0</v>
      </c>
      <c r="F436" s="14">
        <f t="shared" si="6"/>
        <v>427</v>
      </c>
    </row>
    <row r="437" spans="1:6" x14ac:dyDescent="0.2">
      <c r="A437" s="2" t="s">
        <v>34</v>
      </c>
      <c r="C437" s="4" t="str">
        <f>"300-6500-00"</f>
        <v>300-6500-00</v>
      </c>
      <c r="D437" s="4" t="str">
        <f>"Postage/Freight - Sales"</f>
        <v>Postage/Freight - Sales</v>
      </c>
      <c r="E437" s="13">
        <v>0</v>
      </c>
      <c r="F437" s="14">
        <f t="shared" si="6"/>
        <v>428</v>
      </c>
    </row>
    <row r="438" spans="1:6" x14ac:dyDescent="0.2">
      <c r="A438" s="2" t="s">
        <v>34</v>
      </c>
      <c r="C438" s="4" t="str">
        <f>"300-6510-00"</f>
        <v>300-6510-00</v>
      </c>
      <c r="D438" s="4" t="str">
        <f>"Telephone - Sales"</f>
        <v>Telephone - Sales</v>
      </c>
      <c r="E438" s="13">
        <v>0</v>
      </c>
      <c r="F438" s="14">
        <f t="shared" si="6"/>
        <v>429</v>
      </c>
    </row>
    <row r="439" spans="1:6" x14ac:dyDescent="0.2">
      <c r="A439" s="2" t="s">
        <v>34</v>
      </c>
      <c r="C439" s="4" t="str">
        <f>"300-6520-00"</f>
        <v>300-6520-00</v>
      </c>
      <c r="D439" s="4" t="str">
        <f>"Travel - Sales"</f>
        <v>Travel - Sales</v>
      </c>
      <c r="E439" s="13">
        <v>0</v>
      </c>
      <c r="F439" s="14">
        <f t="shared" si="6"/>
        <v>430</v>
      </c>
    </row>
    <row r="440" spans="1:6" x14ac:dyDescent="0.2">
      <c r="A440" s="2" t="s">
        <v>34</v>
      </c>
      <c r="C440" s="4" t="str">
        <f>"300-6530-00"</f>
        <v>300-6530-00</v>
      </c>
      <c r="D440" s="4" t="str">
        <f>"Meals/Entertainment - Sales"</f>
        <v>Meals/Entertainment - Sales</v>
      </c>
      <c r="E440" s="13">
        <v>0</v>
      </c>
      <c r="F440" s="14">
        <f t="shared" si="6"/>
        <v>431</v>
      </c>
    </row>
    <row r="441" spans="1:6" x14ac:dyDescent="0.2">
      <c r="A441" s="2" t="s">
        <v>34</v>
      </c>
      <c r="C441" s="4" t="str">
        <f>"300-9010-00"</f>
        <v>300-9010-00</v>
      </c>
      <c r="D441" s="4" t="str">
        <f>"Square Footage-Sales"</f>
        <v>Square Footage-Sales</v>
      </c>
      <c r="E441" s="13">
        <v>350000</v>
      </c>
      <c r="F441" s="14">
        <f t="shared" si="6"/>
        <v>432</v>
      </c>
    </row>
    <row r="442" spans="1:6" x14ac:dyDescent="0.2">
      <c r="A442" s="2" t="s">
        <v>34</v>
      </c>
      <c r="C442" s="4" t="str">
        <f>"300-9020-00"</f>
        <v>300-9020-00</v>
      </c>
      <c r="D442" s="4" t="str">
        <f>"Employee Count-Sales"</f>
        <v>Employee Count-Sales</v>
      </c>
      <c r="E442" s="13">
        <v>0</v>
      </c>
      <c r="F442" s="14">
        <f t="shared" si="6"/>
        <v>433</v>
      </c>
    </row>
    <row r="443" spans="1:6" x14ac:dyDescent="0.2">
      <c r="A443" s="2" t="s">
        <v>34</v>
      </c>
      <c r="C443" s="4" t="str">
        <f>"300-9030-00"</f>
        <v>300-9030-00</v>
      </c>
      <c r="D443" s="4" t="str">
        <f>"Fixed Assets- Computer Cabinets"</f>
        <v>Fixed Assets- Computer Cabinets</v>
      </c>
      <c r="E443" s="13">
        <v>0</v>
      </c>
      <c r="F443" s="14">
        <f t="shared" si="6"/>
        <v>434</v>
      </c>
    </row>
    <row r="444" spans="1:6" x14ac:dyDescent="0.2">
      <c r="A444" s="2" t="s">
        <v>34</v>
      </c>
      <c r="C444" s="4" t="str">
        <f>"400-5100-00"</f>
        <v>400-5100-00</v>
      </c>
      <c r="D444" s="4" t="str">
        <f>"Salaries and Wages - Service/Installation US"</f>
        <v>Salaries and Wages - Service/Installation US</v>
      </c>
      <c r="E444" s="13">
        <v>0</v>
      </c>
      <c r="F444" s="14">
        <f t="shared" si="6"/>
        <v>435</v>
      </c>
    </row>
    <row r="445" spans="1:6" x14ac:dyDescent="0.2">
      <c r="A445" s="2" t="s">
        <v>34</v>
      </c>
      <c r="C445" s="4" t="str">
        <f>"400-5101-00"</f>
        <v>400-5101-00</v>
      </c>
      <c r="D445" s="4" t="str">
        <f>"Salaries and Wages - Service/Installation Canada"</f>
        <v>Salaries and Wages - Service/Installation Canada</v>
      </c>
      <c r="E445" s="13">
        <v>0</v>
      </c>
      <c r="F445" s="14">
        <f t="shared" si="6"/>
        <v>436</v>
      </c>
    </row>
    <row r="446" spans="1:6" x14ac:dyDescent="0.2">
      <c r="A446" s="2" t="s">
        <v>34</v>
      </c>
      <c r="C446" s="4" t="str">
        <f>"400-5110-00"</f>
        <v>400-5110-00</v>
      </c>
      <c r="D446" s="4" t="str">
        <f>"Overtime Pay - Service/Installation US"</f>
        <v>Overtime Pay - Service/Installation US</v>
      </c>
      <c r="E446" s="13">
        <v>0</v>
      </c>
      <c r="F446" s="14">
        <f t="shared" si="6"/>
        <v>437</v>
      </c>
    </row>
    <row r="447" spans="1:6" x14ac:dyDescent="0.2">
      <c r="A447" s="2" t="s">
        <v>34</v>
      </c>
      <c r="C447" s="4" t="str">
        <f>"400-5111-00"</f>
        <v>400-5111-00</v>
      </c>
      <c r="D447" s="4" t="str">
        <f>"Overtime Pay - Service/Installation Canada"</f>
        <v>Overtime Pay - Service/Installation Canada</v>
      </c>
      <c r="E447" s="13">
        <v>0</v>
      </c>
      <c r="F447" s="14">
        <f t="shared" si="6"/>
        <v>438</v>
      </c>
    </row>
    <row r="448" spans="1:6" x14ac:dyDescent="0.2">
      <c r="A448" s="2" t="s">
        <v>34</v>
      </c>
      <c r="C448" s="4" t="str">
        <f>"400-5120-00"</f>
        <v>400-5120-00</v>
      </c>
      <c r="D448" s="4" t="str">
        <f>"Bonuses - Services/Installation US"</f>
        <v>Bonuses - Services/Installation US</v>
      </c>
      <c r="E448" s="13">
        <v>0</v>
      </c>
      <c r="F448" s="14">
        <f t="shared" si="6"/>
        <v>439</v>
      </c>
    </row>
    <row r="449" spans="1:6" x14ac:dyDescent="0.2">
      <c r="A449" s="2" t="s">
        <v>34</v>
      </c>
      <c r="C449" s="4" t="str">
        <f>"400-5121-00"</f>
        <v>400-5121-00</v>
      </c>
      <c r="D449" s="4" t="str">
        <f>"Bonuses - Services/Installation Canada"</f>
        <v>Bonuses - Services/Installation Canada</v>
      </c>
      <c r="E449" s="13">
        <v>0</v>
      </c>
      <c r="F449" s="14">
        <f t="shared" si="6"/>
        <v>440</v>
      </c>
    </row>
    <row r="450" spans="1:6" x14ac:dyDescent="0.2">
      <c r="A450" s="2" t="s">
        <v>34</v>
      </c>
      <c r="C450" s="4" t="str">
        <f>"400-5130-00"</f>
        <v>400-5130-00</v>
      </c>
      <c r="D450" s="4" t="str">
        <f>"Commissions - Service/Installation US"</f>
        <v>Commissions - Service/Installation US</v>
      </c>
      <c r="E450" s="13">
        <v>0</v>
      </c>
      <c r="F450" s="14">
        <f t="shared" si="6"/>
        <v>441</v>
      </c>
    </row>
    <row r="451" spans="1:6" x14ac:dyDescent="0.2">
      <c r="A451" s="2" t="s">
        <v>34</v>
      </c>
      <c r="C451" s="4" t="str">
        <f>"400-5131-00"</f>
        <v>400-5131-00</v>
      </c>
      <c r="D451" s="4" t="str">
        <f>"Commissions - Service/Installation Canada"</f>
        <v>Commissions - Service/Installation Canada</v>
      </c>
      <c r="E451" s="13">
        <v>0</v>
      </c>
      <c r="F451" s="14">
        <f t="shared" si="6"/>
        <v>442</v>
      </c>
    </row>
    <row r="452" spans="1:6" x14ac:dyDescent="0.2">
      <c r="A452" s="2" t="s">
        <v>34</v>
      </c>
      <c r="C452" s="4" t="str">
        <f>"400-5140-00"</f>
        <v>400-5140-00</v>
      </c>
      <c r="D452" s="4" t="str">
        <f>"Profit Sharing - Service/Installation US"</f>
        <v>Profit Sharing - Service/Installation US</v>
      </c>
      <c r="E452" s="13">
        <v>0</v>
      </c>
      <c r="F452" s="14">
        <f t="shared" si="6"/>
        <v>443</v>
      </c>
    </row>
    <row r="453" spans="1:6" x14ac:dyDescent="0.2">
      <c r="A453" s="2" t="s">
        <v>34</v>
      </c>
      <c r="C453" s="4" t="str">
        <f>"400-5141-00"</f>
        <v>400-5141-00</v>
      </c>
      <c r="D453" s="4" t="str">
        <f>"Profit Sharing - Service/Installation Canada"</f>
        <v>Profit Sharing - Service/Installation Canada</v>
      </c>
      <c r="E453" s="13">
        <v>0</v>
      </c>
      <c r="F453" s="14">
        <f t="shared" si="6"/>
        <v>444</v>
      </c>
    </row>
    <row r="454" spans="1:6" x14ac:dyDescent="0.2">
      <c r="A454" s="2" t="s">
        <v>34</v>
      </c>
      <c r="C454" s="4" t="str">
        <f>"400-5150-00"</f>
        <v>400-5150-00</v>
      </c>
      <c r="D454" s="4" t="str">
        <f>"Employee Benefits - Service/Installation"</f>
        <v>Employee Benefits - Service/Installation</v>
      </c>
      <c r="E454" s="13">
        <v>0</v>
      </c>
      <c r="F454" s="14">
        <f t="shared" si="6"/>
        <v>445</v>
      </c>
    </row>
    <row r="455" spans="1:6" x14ac:dyDescent="0.2">
      <c r="A455" s="2" t="s">
        <v>34</v>
      </c>
      <c r="C455" s="4" t="str">
        <f>"400-5160-00"</f>
        <v>400-5160-00</v>
      </c>
      <c r="D455" s="4" t="str">
        <f>"Health Insurance Expense - Service/Installation"</f>
        <v>Health Insurance Expense - Service/Installation</v>
      </c>
      <c r="E455" s="13">
        <v>0</v>
      </c>
      <c r="F455" s="14">
        <f t="shared" si="6"/>
        <v>446</v>
      </c>
    </row>
    <row r="456" spans="1:6" x14ac:dyDescent="0.2">
      <c r="A456" s="2" t="s">
        <v>34</v>
      </c>
      <c r="C456" s="4" t="str">
        <f>"400-5170-00"</f>
        <v>400-5170-00</v>
      </c>
      <c r="D456" s="4" t="str">
        <f>"Payroll Taxes - Service/Installation"</f>
        <v>Payroll Taxes - Service/Installation</v>
      </c>
      <c r="E456" s="13">
        <v>0</v>
      </c>
      <c r="F456" s="14">
        <f t="shared" si="6"/>
        <v>447</v>
      </c>
    </row>
    <row r="457" spans="1:6" x14ac:dyDescent="0.2">
      <c r="A457" s="2" t="s">
        <v>34</v>
      </c>
      <c r="C457" s="4" t="str">
        <f>"400-5600-00"</f>
        <v>400-5600-00</v>
      </c>
      <c r="D457" s="4" t="str">
        <f>"Contract Services - Service/Installation"</f>
        <v>Contract Services - Service/Installation</v>
      </c>
      <c r="E457" s="13">
        <v>0</v>
      </c>
      <c r="F457" s="14">
        <f t="shared" si="6"/>
        <v>448</v>
      </c>
    </row>
    <row r="458" spans="1:6" x14ac:dyDescent="0.2">
      <c r="A458" s="2" t="s">
        <v>34</v>
      </c>
      <c r="C458" s="4" t="str">
        <f>"400-6100-00"</f>
        <v>400-6100-00</v>
      </c>
      <c r="D458" s="4" t="str">
        <f>"Training - Service/installation"</f>
        <v>Training - Service/installation</v>
      </c>
      <c r="E458" s="13">
        <v>0</v>
      </c>
      <c r="F458" s="14">
        <f t="shared" si="6"/>
        <v>449</v>
      </c>
    </row>
    <row r="459" spans="1:6" x14ac:dyDescent="0.2">
      <c r="A459" s="2" t="s">
        <v>34</v>
      </c>
      <c r="C459" s="4" t="str">
        <f>"400-6110-00"</f>
        <v>400-6110-00</v>
      </c>
      <c r="D459" s="4" t="str">
        <f>"Fleet Vehicle Expense"</f>
        <v>Fleet Vehicle Expense</v>
      </c>
      <c r="E459" s="13">
        <v>0</v>
      </c>
      <c r="F459" s="14">
        <f t="shared" ref="F459:F522" si="7">F458+1</f>
        <v>450</v>
      </c>
    </row>
    <row r="460" spans="1:6" x14ac:dyDescent="0.2">
      <c r="A460" s="2" t="s">
        <v>34</v>
      </c>
      <c r="C460" s="4" t="str">
        <f>"400-6120-00"</f>
        <v>400-6120-00</v>
      </c>
      <c r="D460" s="4" t="str">
        <f>"Supplies/Rental - Service/Installation"</f>
        <v>Supplies/Rental - Service/Installation</v>
      </c>
      <c r="E460" s="13">
        <v>0</v>
      </c>
      <c r="F460" s="14">
        <f t="shared" si="7"/>
        <v>451</v>
      </c>
    </row>
    <row r="461" spans="1:6" x14ac:dyDescent="0.2">
      <c r="A461" s="2" t="s">
        <v>34</v>
      </c>
      <c r="C461" s="4" t="str">
        <f>"400-6130-00"</f>
        <v>400-6130-00</v>
      </c>
      <c r="D461" s="4" t="str">
        <f>"Supplies/Hardware - Service/Installation"</f>
        <v>Supplies/Hardware - Service/Installation</v>
      </c>
      <c r="E461" s="13">
        <v>0</v>
      </c>
      <c r="F461" s="14">
        <f t="shared" si="7"/>
        <v>452</v>
      </c>
    </row>
    <row r="462" spans="1:6" x14ac:dyDescent="0.2">
      <c r="A462" s="2" t="s">
        <v>34</v>
      </c>
      <c r="C462" s="4" t="str">
        <f>"400-6140-00"</f>
        <v>400-6140-00</v>
      </c>
      <c r="D462" s="4" t="str">
        <f>"Supplies/Software - Service/Installation"</f>
        <v>Supplies/Software - Service/Installation</v>
      </c>
      <c r="E462" s="13">
        <v>0</v>
      </c>
      <c r="F462" s="14">
        <f t="shared" si="7"/>
        <v>453</v>
      </c>
    </row>
    <row r="463" spans="1:6" x14ac:dyDescent="0.2">
      <c r="A463" s="2" t="s">
        <v>34</v>
      </c>
      <c r="C463" s="4" t="str">
        <f>"400-6150-00"</f>
        <v>400-6150-00</v>
      </c>
      <c r="D463" s="4" t="str">
        <f>"Supplies-Allocated - Services/Installation"</f>
        <v>Supplies-Allocated - Services/Installation</v>
      </c>
      <c r="E463" s="13">
        <v>0</v>
      </c>
      <c r="F463" s="14">
        <f t="shared" si="7"/>
        <v>454</v>
      </c>
    </row>
    <row r="464" spans="1:6" x14ac:dyDescent="0.2">
      <c r="A464" s="2" t="s">
        <v>34</v>
      </c>
      <c r="C464" s="4" t="str">
        <f>"400-6160-00"</f>
        <v>400-6160-00</v>
      </c>
      <c r="D464" s="4" t="str">
        <f>"Dues &amp; Subscriptions - Service/Installation"</f>
        <v>Dues &amp; Subscriptions - Service/Installation</v>
      </c>
      <c r="E464" s="13">
        <v>0</v>
      </c>
      <c r="F464" s="14">
        <f t="shared" si="7"/>
        <v>455</v>
      </c>
    </row>
    <row r="465" spans="1:6" x14ac:dyDescent="0.2">
      <c r="A465" s="2" t="s">
        <v>34</v>
      </c>
      <c r="C465" s="4" t="str">
        <f>"400-6170-00"</f>
        <v>400-6170-00</v>
      </c>
      <c r="D465" s="4" t="str">
        <f>"Repairs &amp; Maintenance - Service/Installation"</f>
        <v>Repairs &amp; Maintenance - Service/Installation</v>
      </c>
      <c r="E465" s="13">
        <v>0</v>
      </c>
      <c r="F465" s="14">
        <f t="shared" si="7"/>
        <v>456</v>
      </c>
    </row>
    <row r="466" spans="1:6" x14ac:dyDescent="0.2">
      <c r="A466" s="2" t="s">
        <v>34</v>
      </c>
      <c r="C466" s="4" t="str">
        <f>"400-6180-00"</f>
        <v>400-6180-00</v>
      </c>
      <c r="D466" s="4" t="str">
        <f>"Rent Expense - Service/Installation"</f>
        <v>Rent Expense - Service/Installation</v>
      </c>
      <c r="E466" s="13">
        <v>0</v>
      </c>
      <c r="F466" s="14">
        <f t="shared" si="7"/>
        <v>457</v>
      </c>
    </row>
    <row r="467" spans="1:6" x14ac:dyDescent="0.2">
      <c r="A467" s="2" t="s">
        <v>34</v>
      </c>
      <c r="C467" s="4" t="str">
        <f>"400-6190-00"</f>
        <v>400-6190-00</v>
      </c>
      <c r="D467" s="4" t="str">
        <f>"Utilities Expense - Service/Installation"</f>
        <v>Utilities Expense - Service/Installation</v>
      </c>
      <c r="E467" s="13">
        <v>0</v>
      </c>
      <c r="F467" s="14">
        <f t="shared" si="7"/>
        <v>458</v>
      </c>
    </row>
    <row r="468" spans="1:6" x14ac:dyDescent="0.2">
      <c r="A468" s="2" t="s">
        <v>34</v>
      </c>
      <c r="C468" s="4" t="str">
        <f>"400-6500-00"</f>
        <v>400-6500-00</v>
      </c>
      <c r="D468" s="4" t="str">
        <f>"Postage/Freight - Service/Installation"</f>
        <v>Postage/Freight - Service/Installation</v>
      </c>
      <c r="E468" s="13">
        <v>0</v>
      </c>
      <c r="F468" s="14">
        <f t="shared" si="7"/>
        <v>459</v>
      </c>
    </row>
    <row r="469" spans="1:6" x14ac:dyDescent="0.2">
      <c r="A469" s="2" t="s">
        <v>34</v>
      </c>
      <c r="C469" s="4" t="str">
        <f>"400-6510-00"</f>
        <v>400-6510-00</v>
      </c>
      <c r="D469" s="4" t="str">
        <f>"Telephone - Service/Installation"</f>
        <v>Telephone - Service/Installation</v>
      </c>
      <c r="E469" s="13">
        <v>0</v>
      </c>
      <c r="F469" s="14">
        <f t="shared" si="7"/>
        <v>460</v>
      </c>
    </row>
    <row r="470" spans="1:6" x14ac:dyDescent="0.2">
      <c r="A470" s="2" t="s">
        <v>34</v>
      </c>
      <c r="C470" s="4" t="str">
        <f>"400-6520-00"</f>
        <v>400-6520-00</v>
      </c>
      <c r="D470" s="4" t="str">
        <f>"Travel - Service/Installation"</f>
        <v>Travel - Service/Installation</v>
      </c>
      <c r="E470" s="13">
        <v>0</v>
      </c>
      <c r="F470" s="14">
        <f t="shared" si="7"/>
        <v>461</v>
      </c>
    </row>
    <row r="471" spans="1:6" x14ac:dyDescent="0.2">
      <c r="A471" s="2" t="s">
        <v>34</v>
      </c>
      <c r="C471" s="4" t="str">
        <f>"400-6530-00"</f>
        <v>400-6530-00</v>
      </c>
      <c r="D471" s="4" t="str">
        <f>"Meals/Entertainment - Service/Installation"</f>
        <v>Meals/Entertainment - Service/Installation</v>
      </c>
      <c r="E471" s="13">
        <v>0</v>
      </c>
      <c r="F471" s="14">
        <f t="shared" si="7"/>
        <v>462</v>
      </c>
    </row>
    <row r="472" spans="1:6" x14ac:dyDescent="0.2">
      <c r="A472" s="2" t="s">
        <v>34</v>
      </c>
      <c r="C472" s="4" t="str">
        <f>"400-9010-00"</f>
        <v>400-9010-00</v>
      </c>
      <c r="D472" s="4" t="str">
        <f>"Square Footage-Service"</f>
        <v>Square Footage-Service</v>
      </c>
      <c r="E472" s="13">
        <v>200000</v>
      </c>
      <c r="F472" s="14">
        <f t="shared" si="7"/>
        <v>463</v>
      </c>
    </row>
    <row r="473" spans="1:6" x14ac:dyDescent="0.2">
      <c r="A473" s="2" t="s">
        <v>34</v>
      </c>
      <c r="C473" s="4" t="str">
        <f>"400-9020-00"</f>
        <v>400-9020-00</v>
      </c>
      <c r="D473" s="4" t="str">
        <f>"Employee Count-Service/Installation"</f>
        <v>Employee Count-Service/Installation</v>
      </c>
      <c r="E473" s="13">
        <v>0</v>
      </c>
      <c r="F473" s="14">
        <f t="shared" si="7"/>
        <v>464</v>
      </c>
    </row>
    <row r="474" spans="1:6" x14ac:dyDescent="0.2">
      <c r="A474" s="2" t="s">
        <v>34</v>
      </c>
      <c r="C474" s="4" t="str">
        <f>"400-9030-00"</f>
        <v>400-9030-00</v>
      </c>
      <c r="D474" s="4" t="str">
        <f>"Fixed Assets-Computer Cabinets"</f>
        <v>Fixed Assets-Computer Cabinets</v>
      </c>
      <c r="E474" s="13">
        <v>0</v>
      </c>
      <c r="F474" s="14">
        <f t="shared" si="7"/>
        <v>465</v>
      </c>
    </row>
    <row r="475" spans="1:6" x14ac:dyDescent="0.2">
      <c r="A475" s="2" t="s">
        <v>34</v>
      </c>
      <c r="C475" s="4" t="str">
        <f>"500-5100-00"</f>
        <v>500-5100-00</v>
      </c>
      <c r="D475" s="4" t="str">
        <f>"Salaries and Wages - Consulting/Training US"</f>
        <v>Salaries and Wages - Consulting/Training US</v>
      </c>
      <c r="E475" s="13">
        <v>0</v>
      </c>
      <c r="F475" s="14">
        <f t="shared" si="7"/>
        <v>466</v>
      </c>
    </row>
    <row r="476" spans="1:6" x14ac:dyDescent="0.2">
      <c r="A476" s="2" t="s">
        <v>34</v>
      </c>
      <c r="C476" s="4" t="str">
        <f>"500-5101-00"</f>
        <v>500-5101-00</v>
      </c>
      <c r="D476" s="4" t="str">
        <f>"Salaries and Wages - Consulting/Training Canada"</f>
        <v>Salaries and Wages - Consulting/Training Canada</v>
      </c>
      <c r="E476" s="13">
        <v>0</v>
      </c>
      <c r="F476" s="14">
        <f t="shared" si="7"/>
        <v>467</v>
      </c>
    </row>
    <row r="477" spans="1:6" x14ac:dyDescent="0.2">
      <c r="A477" s="2" t="s">
        <v>34</v>
      </c>
      <c r="C477" s="4" t="str">
        <f>"500-5110-00"</f>
        <v>500-5110-00</v>
      </c>
      <c r="D477" s="4" t="str">
        <f>"Overtime Pay - Consulting/Training US"</f>
        <v>Overtime Pay - Consulting/Training US</v>
      </c>
      <c r="E477" s="13">
        <v>0</v>
      </c>
      <c r="F477" s="14">
        <f t="shared" si="7"/>
        <v>468</v>
      </c>
    </row>
    <row r="478" spans="1:6" x14ac:dyDescent="0.2">
      <c r="A478" s="2" t="s">
        <v>34</v>
      </c>
      <c r="C478" s="4" t="str">
        <f>"500-5111-00"</f>
        <v>500-5111-00</v>
      </c>
      <c r="D478" s="4" t="str">
        <f>"Overtime Pay - Consulting/Training Canada"</f>
        <v>Overtime Pay - Consulting/Training Canada</v>
      </c>
      <c r="E478" s="13">
        <v>0</v>
      </c>
      <c r="F478" s="14">
        <f t="shared" si="7"/>
        <v>469</v>
      </c>
    </row>
    <row r="479" spans="1:6" x14ac:dyDescent="0.2">
      <c r="A479" s="2" t="s">
        <v>34</v>
      </c>
      <c r="C479" s="4" t="str">
        <f>"500-5120-00"</f>
        <v>500-5120-00</v>
      </c>
      <c r="D479" s="4" t="str">
        <f>"Bonuses - Consulting/Training US"</f>
        <v>Bonuses - Consulting/Training US</v>
      </c>
      <c r="E479" s="13">
        <v>0</v>
      </c>
      <c r="F479" s="14">
        <f t="shared" si="7"/>
        <v>470</v>
      </c>
    </row>
    <row r="480" spans="1:6" x14ac:dyDescent="0.2">
      <c r="A480" s="2" t="s">
        <v>34</v>
      </c>
      <c r="C480" s="4" t="str">
        <f>"500-5121-00"</f>
        <v>500-5121-00</v>
      </c>
      <c r="D480" s="4" t="str">
        <f>"Bonuses - Consulting/Training Canada"</f>
        <v>Bonuses - Consulting/Training Canada</v>
      </c>
      <c r="E480" s="13">
        <v>0</v>
      </c>
      <c r="F480" s="14">
        <f t="shared" si="7"/>
        <v>471</v>
      </c>
    </row>
    <row r="481" spans="1:6" x14ac:dyDescent="0.2">
      <c r="A481" s="2" t="s">
        <v>34</v>
      </c>
      <c r="C481" s="4" t="str">
        <f>"500-5130-00"</f>
        <v>500-5130-00</v>
      </c>
      <c r="D481" s="4" t="str">
        <f>"Commissions - Consulting/Training US"</f>
        <v>Commissions - Consulting/Training US</v>
      </c>
      <c r="E481" s="13">
        <v>0</v>
      </c>
      <c r="F481" s="14">
        <f t="shared" si="7"/>
        <v>472</v>
      </c>
    </row>
    <row r="482" spans="1:6" x14ac:dyDescent="0.2">
      <c r="A482" s="2" t="s">
        <v>34</v>
      </c>
      <c r="C482" s="4" t="str">
        <f>"500-5131-00"</f>
        <v>500-5131-00</v>
      </c>
      <c r="D482" s="4" t="str">
        <f>"Commissions - Consulting/Training Canada"</f>
        <v>Commissions - Consulting/Training Canada</v>
      </c>
      <c r="E482" s="13">
        <v>0</v>
      </c>
      <c r="F482" s="14">
        <f t="shared" si="7"/>
        <v>473</v>
      </c>
    </row>
    <row r="483" spans="1:6" x14ac:dyDescent="0.2">
      <c r="A483" s="2" t="s">
        <v>34</v>
      </c>
      <c r="C483" s="4" t="str">
        <f>"500-5140-00"</f>
        <v>500-5140-00</v>
      </c>
      <c r="D483" s="4" t="str">
        <f>"Profit Sharing - Consulting/Training US"</f>
        <v>Profit Sharing - Consulting/Training US</v>
      </c>
      <c r="E483" s="13">
        <v>0</v>
      </c>
      <c r="F483" s="14">
        <f t="shared" si="7"/>
        <v>474</v>
      </c>
    </row>
    <row r="484" spans="1:6" x14ac:dyDescent="0.2">
      <c r="A484" s="2" t="s">
        <v>34</v>
      </c>
      <c r="C484" s="4" t="str">
        <f>"500-5141-00"</f>
        <v>500-5141-00</v>
      </c>
      <c r="D484" s="4" t="str">
        <f>"Profit Sharing - Consulting/Training Canada"</f>
        <v>Profit Sharing - Consulting/Training Canada</v>
      </c>
      <c r="E484" s="13">
        <v>0</v>
      </c>
      <c r="F484" s="14">
        <f t="shared" si="7"/>
        <v>475</v>
      </c>
    </row>
    <row r="485" spans="1:6" x14ac:dyDescent="0.2">
      <c r="A485" s="2" t="s">
        <v>34</v>
      </c>
      <c r="C485" s="4" t="str">
        <f>"500-5150-00"</f>
        <v>500-5150-00</v>
      </c>
      <c r="D485" s="4" t="str">
        <f>"Employee Benefits - Consulting/Training"</f>
        <v>Employee Benefits - Consulting/Training</v>
      </c>
      <c r="E485" s="13">
        <v>0</v>
      </c>
      <c r="F485" s="14">
        <f t="shared" si="7"/>
        <v>476</v>
      </c>
    </row>
    <row r="486" spans="1:6" x14ac:dyDescent="0.2">
      <c r="A486" s="2" t="s">
        <v>34</v>
      </c>
      <c r="C486" s="4" t="str">
        <f>"500-5160-00"</f>
        <v>500-5160-00</v>
      </c>
      <c r="D486" s="4" t="str">
        <f>"Health Insurance Expense - Consulting/Training"</f>
        <v>Health Insurance Expense - Consulting/Training</v>
      </c>
      <c r="E486" s="13">
        <v>0</v>
      </c>
      <c r="F486" s="14">
        <f t="shared" si="7"/>
        <v>477</v>
      </c>
    </row>
    <row r="487" spans="1:6" x14ac:dyDescent="0.2">
      <c r="A487" s="2" t="s">
        <v>34</v>
      </c>
      <c r="C487" s="4" t="str">
        <f>"500-5170-00"</f>
        <v>500-5170-00</v>
      </c>
      <c r="D487" s="4" t="str">
        <f>"Payroll Taxes - Consulting/Training"</f>
        <v>Payroll Taxes - Consulting/Training</v>
      </c>
      <c r="E487" s="13">
        <v>0</v>
      </c>
      <c r="F487" s="14">
        <f t="shared" si="7"/>
        <v>478</v>
      </c>
    </row>
    <row r="488" spans="1:6" x14ac:dyDescent="0.2">
      <c r="A488" s="2" t="s">
        <v>34</v>
      </c>
      <c r="C488" s="4" t="str">
        <f>"500-5600-00"</f>
        <v>500-5600-00</v>
      </c>
      <c r="D488" s="4" t="str">
        <f>"Contract Services - Consulting/Training"</f>
        <v>Contract Services - Consulting/Training</v>
      </c>
      <c r="E488" s="13">
        <v>0</v>
      </c>
      <c r="F488" s="14">
        <f t="shared" si="7"/>
        <v>479</v>
      </c>
    </row>
    <row r="489" spans="1:6" x14ac:dyDescent="0.2">
      <c r="A489" s="2" t="s">
        <v>34</v>
      </c>
      <c r="C489" s="4" t="str">
        <f>"500-6100-00"</f>
        <v>500-6100-00</v>
      </c>
      <c r="D489" s="4" t="str">
        <f>"Training - Consulting/Training"</f>
        <v>Training - Consulting/Training</v>
      </c>
      <c r="E489" s="13">
        <v>0</v>
      </c>
      <c r="F489" s="14">
        <f t="shared" si="7"/>
        <v>480</v>
      </c>
    </row>
    <row r="490" spans="1:6" x14ac:dyDescent="0.2">
      <c r="A490" s="2" t="s">
        <v>34</v>
      </c>
      <c r="C490" s="4" t="str">
        <f>"500-6120-00"</f>
        <v>500-6120-00</v>
      </c>
      <c r="D490" s="4" t="str">
        <f>"Supplies/Rental - Consulting/Training"</f>
        <v>Supplies/Rental - Consulting/Training</v>
      </c>
      <c r="E490" s="13">
        <v>0</v>
      </c>
      <c r="F490" s="14">
        <f t="shared" si="7"/>
        <v>481</v>
      </c>
    </row>
    <row r="491" spans="1:6" x14ac:dyDescent="0.2">
      <c r="A491" s="2" t="s">
        <v>34</v>
      </c>
      <c r="C491" s="4" t="str">
        <f>"500-6130-00"</f>
        <v>500-6130-00</v>
      </c>
      <c r="D491" s="4" t="str">
        <f>"Supplies/Hardware - Consulting/Training"</f>
        <v>Supplies/Hardware - Consulting/Training</v>
      </c>
      <c r="E491" s="13">
        <v>0</v>
      </c>
      <c r="F491" s="14">
        <f t="shared" si="7"/>
        <v>482</v>
      </c>
    </row>
    <row r="492" spans="1:6" x14ac:dyDescent="0.2">
      <c r="A492" s="2" t="s">
        <v>34</v>
      </c>
      <c r="C492" s="4" t="str">
        <f>"500-6140-00"</f>
        <v>500-6140-00</v>
      </c>
      <c r="D492" s="4" t="str">
        <f>"Supplies/Software - Consulting/Training"</f>
        <v>Supplies/Software - Consulting/Training</v>
      </c>
      <c r="E492" s="13">
        <v>0</v>
      </c>
      <c r="F492" s="14">
        <f t="shared" si="7"/>
        <v>483</v>
      </c>
    </row>
    <row r="493" spans="1:6" x14ac:dyDescent="0.2">
      <c r="A493" s="2" t="s">
        <v>34</v>
      </c>
      <c r="C493" s="4" t="str">
        <f>"500-6150-00"</f>
        <v>500-6150-00</v>
      </c>
      <c r="D493" s="4" t="str">
        <f>"Supplies-Allocated - Consulting/Training"</f>
        <v>Supplies-Allocated - Consulting/Training</v>
      </c>
      <c r="E493" s="13">
        <v>15</v>
      </c>
      <c r="F493" s="14">
        <f t="shared" si="7"/>
        <v>484</v>
      </c>
    </row>
    <row r="494" spans="1:6" x14ac:dyDescent="0.2">
      <c r="A494" s="2" t="s">
        <v>34</v>
      </c>
      <c r="C494" s="4" t="str">
        <f>"500-6160-00"</f>
        <v>500-6160-00</v>
      </c>
      <c r="D494" s="4" t="str">
        <f>"Dues &amp; Subscriptions - Consulting/Training"</f>
        <v>Dues &amp; Subscriptions - Consulting/Training</v>
      </c>
      <c r="E494" s="13">
        <v>0</v>
      </c>
      <c r="F494" s="14">
        <f t="shared" si="7"/>
        <v>485</v>
      </c>
    </row>
    <row r="495" spans="1:6" x14ac:dyDescent="0.2">
      <c r="A495" s="2" t="s">
        <v>34</v>
      </c>
      <c r="C495" s="4" t="str">
        <f>"500-6170-00"</f>
        <v>500-6170-00</v>
      </c>
      <c r="D495" s="4" t="str">
        <f>"Repairs &amp; Maintenance - Consulting/Training"</f>
        <v>Repairs &amp; Maintenance - Consulting/Training</v>
      </c>
      <c r="E495" s="13">
        <v>0</v>
      </c>
      <c r="F495" s="14">
        <f t="shared" si="7"/>
        <v>486</v>
      </c>
    </row>
    <row r="496" spans="1:6" x14ac:dyDescent="0.2">
      <c r="A496" s="2" t="s">
        <v>34</v>
      </c>
      <c r="C496" s="4" t="str">
        <f>"500-6180-00"</f>
        <v>500-6180-00</v>
      </c>
      <c r="D496" s="4" t="str">
        <f>"Rent Expense - Consulting/Training"</f>
        <v>Rent Expense - Consulting/Training</v>
      </c>
      <c r="E496" s="13">
        <v>0</v>
      </c>
      <c r="F496" s="14">
        <f t="shared" si="7"/>
        <v>487</v>
      </c>
    </row>
    <row r="497" spans="1:6" x14ac:dyDescent="0.2">
      <c r="A497" s="2" t="s">
        <v>34</v>
      </c>
      <c r="C497" s="4" t="str">
        <f>"500-6190-00"</f>
        <v>500-6190-00</v>
      </c>
      <c r="D497" s="4" t="str">
        <f>"Utilities Expense - Consulting/Training"</f>
        <v>Utilities Expense - Consulting/Training</v>
      </c>
      <c r="E497" s="13">
        <v>0</v>
      </c>
      <c r="F497" s="14">
        <f t="shared" si="7"/>
        <v>488</v>
      </c>
    </row>
    <row r="498" spans="1:6" x14ac:dyDescent="0.2">
      <c r="A498" s="2" t="s">
        <v>34</v>
      </c>
      <c r="C498" s="4" t="str">
        <f>"500-6500-00"</f>
        <v>500-6500-00</v>
      </c>
      <c r="D498" s="4" t="str">
        <f>"Postage/Freight - Consulting/Training"</f>
        <v>Postage/Freight - Consulting/Training</v>
      </c>
      <c r="E498" s="13">
        <v>0</v>
      </c>
      <c r="F498" s="14">
        <f t="shared" si="7"/>
        <v>489</v>
      </c>
    </row>
    <row r="499" spans="1:6" x14ac:dyDescent="0.2">
      <c r="A499" s="2" t="s">
        <v>34</v>
      </c>
      <c r="C499" s="4" t="str">
        <f>"500-6510-00"</f>
        <v>500-6510-00</v>
      </c>
      <c r="D499" s="4" t="str">
        <f>"Telephone - Consulting/Training"</f>
        <v>Telephone - Consulting/Training</v>
      </c>
      <c r="E499" s="13">
        <v>0</v>
      </c>
      <c r="F499" s="14">
        <f t="shared" si="7"/>
        <v>490</v>
      </c>
    </row>
    <row r="500" spans="1:6" x14ac:dyDescent="0.2">
      <c r="A500" s="2" t="s">
        <v>34</v>
      </c>
      <c r="C500" s="4" t="str">
        <f>"500-6520-00"</f>
        <v>500-6520-00</v>
      </c>
      <c r="D500" s="4" t="str">
        <f>"Travel - Consulting/Training"</f>
        <v>Travel - Consulting/Training</v>
      </c>
      <c r="E500" s="13">
        <v>0</v>
      </c>
      <c r="F500" s="14">
        <f t="shared" si="7"/>
        <v>491</v>
      </c>
    </row>
    <row r="501" spans="1:6" x14ac:dyDescent="0.2">
      <c r="A501" s="2" t="s">
        <v>34</v>
      </c>
      <c r="C501" s="4" t="str">
        <f>"500-6530-00"</f>
        <v>500-6530-00</v>
      </c>
      <c r="D501" s="4" t="str">
        <f>"Meals/Entertainment - Consulting/Training"</f>
        <v>Meals/Entertainment - Consulting/Training</v>
      </c>
      <c r="E501" s="13">
        <v>0</v>
      </c>
      <c r="F501" s="14">
        <f t="shared" si="7"/>
        <v>492</v>
      </c>
    </row>
    <row r="502" spans="1:6" x14ac:dyDescent="0.2">
      <c r="A502" s="2" t="s">
        <v>34</v>
      </c>
      <c r="C502" s="4" t="str">
        <f>"500-9010-00"</f>
        <v>500-9010-00</v>
      </c>
      <c r="D502" s="4" t="str">
        <f>"Square Footage-Consulting/Training"</f>
        <v>Square Footage-Consulting/Training</v>
      </c>
      <c r="E502" s="13">
        <v>100000</v>
      </c>
      <c r="F502" s="14">
        <f t="shared" si="7"/>
        <v>493</v>
      </c>
    </row>
    <row r="503" spans="1:6" x14ac:dyDescent="0.2">
      <c r="A503" s="2" t="s">
        <v>34</v>
      </c>
      <c r="C503" s="4" t="str">
        <f>"500-9020-00"</f>
        <v>500-9020-00</v>
      </c>
      <c r="D503" s="4" t="str">
        <f>"Employee Count-Consulting/Training"</f>
        <v>Employee Count-Consulting/Training</v>
      </c>
      <c r="E503" s="13">
        <v>0</v>
      </c>
      <c r="F503" s="14">
        <f t="shared" si="7"/>
        <v>494</v>
      </c>
    </row>
    <row r="504" spans="1:6" x14ac:dyDescent="0.2">
      <c r="A504" s="2" t="s">
        <v>34</v>
      </c>
      <c r="C504" s="4" t="str">
        <f>"500-9030-00"</f>
        <v>500-9030-00</v>
      </c>
      <c r="D504" s="4" t="str">
        <f>"Fixed Assets- Computer Cabinets"</f>
        <v>Fixed Assets- Computer Cabinets</v>
      </c>
      <c r="E504" s="13">
        <v>0</v>
      </c>
      <c r="F504" s="14">
        <f t="shared" si="7"/>
        <v>495</v>
      </c>
    </row>
    <row r="505" spans="1:6" x14ac:dyDescent="0.2">
      <c r="A505" s="2" t="s">
        <v>34</v>
      </c>
      <c r="C505" s="4" t="str">
        <f>"600-5100-00"</f>
        <v>600-5100-00</v>
      </c>
      <c r="D505" s="4" t="str">
        <f>"Salaries and Wages - Purchasing/Receiving"</f>
        <v>Salaries and Wages - Purchasing/Receiving</v>
      </c>
      <c r="E505" s="13">
        <v>0</v>
      </c>
      <c r="F505" s="14">
        <f t="shared" si="7"/>
        <v>496</v>
      </c>
    </row>
    <row r="506" spans="1:6" x14ac:dyDescent="0.2">
      <c r="A506" s="2" t="s">
        <v>34</v>
      </c>
      <c r="C506" s="4" t="str">
        <f>"600-5110-00"</f>
        <v>600-5110-00</v>
      </c>
      <c r="D506" s="4" t="str">
        <f>"Overtime Pay - Purchasing/Receiving"</f>
        <v>Overtime Pay - Purchasing/Receiving</v>
      </c>
      <c r="E506" s="13">
        <v>0</v>
      </c>
      <c r="F506" s="14">
        <f t="shared" si="7"/>
        <v>497</v>
      </c>
    </row>
    <row r="507" spans="1:6" x14ac:dyDescent="0.2">
      <c r="A507" s="2" t="s">
        <v>34</v>
      </c>
      <c r="C507" s="4" t="str">
        <f>"600-5120-00"</f>
        <v>600-5120-00</v>
      </c>
      <c r="D507" s="4" t="str">
        <f>"Bonuses - Purchasing/Receiving"</f>
        <v>Bonuses - Purchasing/Receiving</v>
      </c>
      <c r="E507" s="13">
        <v>0</v>
      </c>
      <c r="F507" s="14">
        <f t="shared" si="7"/>
        <v>498</v>
      </c>
    </row>
    <row r="508" spans="1:6" x14ac:dyDescent="0.2">
      <c r="A508" s="2" t="s">
        <v>34</v>
      </c>
      <c r="C508" s="4" t="str">
        <f>"600-5140-00"</f>
        <v>600-5140-00</v>
      </c>
      <c r="D508" s="4" t="str">
        <f>"Profit Sharing - Purchasing/Receiving"</f>
        <v>Profit Sharing - Purchasing/Receiving</v>
      </c>
      <c r="E508" s="13">
        <v>0</v>
      </c>
      <c r="F508" s="14">
        <f t="shared" si="7"/>
        <v>499</v>
      </c>
    </row>
    <row r="509" spans="1:6" x14ac:dyDescent="0.2">
      <c r="A509" s="2" t="s">
        <v>34</v>
      </c>
      <c r="C509" s="4" t="str">
        <f>"600-5150-00"</f>
        <v>600-5150-00</v>
      </c>
      <c r="D509" s="4" t="str">
        <f>"Employee Benefits - Purchasing/Receiving"</f>
        <v>Employee Benefits - Purchasing/Receiving</v>
      </c>
      <c r="E509" s="13">
        <v>0</v>
      </c>
      <c r="F509" s="14">
        <f t="shared" si="7"/>
        <v>500</v>
      </c>
    </row>
    <row r="510" spans="1:6" x14ac:dyDescent="0.2">
      <c r="A510" s="2" t="s">
        <v>34</v>
      </c>
      <c r="C510" s="4" t="str">
        <f>"600-5160-00"</f>
        <v>600-5160-00</v>
      </c>
      <c r="D510" s="4" t="str">
        <f>"Health Insurance Expense - Purchasing/Receiving"</f>
        <v>Health Insurance Expense - Purchasing/Receiving</v>
      </c>
      <c r="E510" s="13">
        <v>0</v>
      </c>
      <c r="F510" s="14">
        <f t="shared" si="7"/>
        <v>501</v>
      </c>
    </row>
    <row r="511" spans="1:6" x14ac:dyDescent="0.2">
      <c r="A511" s="2" t="s">
        <v>34</v>
      </c>
      <c r="C511" s="4" t="str">
        <f>"600-5170-00"</f>
        <v>600-5170-00</v>
      </c>
      <c r="D511" s="4" t="str">
        <f>"Payroll Taxes - Purchasing/Receiving"</f>
        <v>Payroll Taxes - Purchasing/Receiving</v>
      </c>
      <c r="E511" s="13">
        <v>0</v>
      </c>
      <c r="F511" s="14">
        <f t="shared" si="7"/>
        <v>502</v>
      </c>
    </row>
    <row r="512" spans="1:6" x14ac:dyDescent="0.2">
      <c r="A512" s="2" t="s">
        <v>34</v>
      </c>
      <c r="C512" s="4" t="str">
        <f>"600-6100-00"</f>
        <v>600-6100-00</v>
      </c>
      <c r="D512" s="4" t="str">
        <f>"Training - Purchasing/Receiving"</f>
        <v>Training - Purchasing/Receiving</v>
      </c>
      <c r="E512" s="13">
        <v>0</v>
      </c>
      <c r="F512" s="14">
        <f t="shared" si="7"/>
        <v>503</v>
      </c>
    </row>
    <row r="513" spans="1:6" x14ac:dyDescent="0.2">
      <c r="A513" s="2" t="s">
        <v>34</v>
      </c>
      <c r="C513" s="4" t="str">
        <f>"600-6120-00"</f>
        <v>600-6120-00</v>
      </c>
      <c r="D513" s="4" t="str">
        <f>"Supplies/Rental - Purchasing/Receiving"</f>
        <v>Supplies/Rental - Purchasing/Receiving</v>
      </c>
      <c r="E513" s="13">
        <v>0</v>
      </c>
      <c r="F513" s="14">
        <f t="shared" si="7"/>
        <v>504</v>
      </c>
    </row>
    <row r="514" spans="1:6" x14ac:dyDescent="0.2">
      <c r="A514" s="2" t="s">
        <v>34</v>
      </c>
      <c r="C514" s="4" t="str">
        <f>"600-6130-00"</f>
        <v>600-6130-00</v>
      </c>
      <c r="D514" s="4" t="str">
        <f>"Supplies/Hardware - Purchasing/Receiving"</f>
        <v>Supplies/Hardware - Purchasing/Receiving</v>
      </c>
      <c r="E514" s="13">
        <v>0</v>
      </c>
      <c r="F514" s="14">
        <f t="shared" si="7"/>
        <v>505</v>
      </c>
    </row>
    <row r="515" spans="1:6" x14ac:dyDescent="0.2">
      <c r="A515" s="2" t="s">
        <v>34</v>
      </c>
      <c r="C515" s="4" t="str">
        <f>"600-6140-00"</f>
        <v>600-6140-00</v>
      </c>
      <c r="D515" s="4" t="str">
        <f>"Supplies/Software - Purchases/Receiving"</f>
        <v>Supplies/Software - Purchases/Receiving</v>
      </c>
      <c r="E515" s="13">
        <v>0</v>
      </c>
      <c r="F515" s="14">
        <f t="shared" si="7"/>
        <v>506</v>
      </c>
    </row>
    <row r="516" spans="1:6" x14ac:dyDescent="0.2">
      <c r="A516" s="2" t="s">
        <v>34</v>
      </c>
      <c r="C516" s="4" t="str">
        <f>"600-6150-00"</f>
        <v>600-6150-00</v>
      </c>
      <c r="D516" s="4" t="str">
        <f>"Supplies-Allocated - Purchases/Receiving"</f>
        <v>Supplies-Allocated - Purchases/Receiving</v>
      </c>
      <c r="E516" s="13">
        <v>0</v>
      </c>
      <c r="F516" s="14">
        <f t="shared" si="7"/>
        <v>507</v>
      </c>
    </row>
    <row r="517" spans="1:6" x14ac:dyDescent="0.2">
      <c r="A517" s="2" t="s">
        <v>34</v>
      </c>
      <c r="C517" s="4" t="str">
        <f>"600-6160-00"</f>
        <v>600-6160-00</v>
      </c>
      <c r="D517" s="4" t="str">
        <f>"Dues &amp; Subscriptions - Purchasing/Receiving"</f>
        <v>Dues &amp; Subscriptions - Purchasing/Receiving</v>
      </c>
      <c r="E517" s="13">
        <v>0</v>
      </c>
      <c r="F517" s="14">
        <f t="shared" si="7"/>
        <v>508</v>
      </c>
    </row>
    <row r="518" spans="1:6" x14ac:dyDescent="0.2">
      <c r="A518" s="2" t="s">
        <v>34</v>
      </c>
      <c r="C518" s="4" t="str">
        <f>"600-6170-00"</f>
        <v>600-6170-00</v>
      </c>
      <c r="D518" s="4" t="str">
        <f>"Repairs &amp; Maintenance - Purchasing/Receiving"</f>
        <v>Repairs &amp; Maintenance - Purchasing/Receiving</v>
      </c>
      <c r="E518" s="13">
        <v>0</v>
      </c>
      <c r="F518" s="14">
        <f t="shared" si="7"/>
        <v>509</v>
      </c>
    </row>
    <row r="519" spans="1:6" x14ac:dyDescent="0.2">
      <c r="A519" s="2" t="s">
        <v>34</v>
      </c>
      <c r="C519" s="4" t="str">
        <f>"600-6180-00"</f>
        <v>600-6180-00</v>
      </c>
      <c r="D519" s="4" t="str">
        <f>"Rent Expense - Purchasing/Receiving"</f>
        <v>Rent Expense - Purchasing/Receiving</v>
      </c>
      <c r="E519" s="13">
        <v>0</v>
      </c>
      <c r="F519" s="14">
        <f t="shared" si="7"/>
        <v>510</v>
      </c>
    </row>
    <row r="520" spans="1:6" x14ac:dyDescent="0.2">
      <c r="A520" s="2" t="s">
        <v>34</v>
      </c>
      <c r="C520" s="4" t="str">
        <f>"600-6190-00"</f>
        <v>600-6190-00</v>
      </c>
      <c r="D520" s="4" t="str">
        <f>"Utilities Expense - Purchasing/Receiving"</f>
        <v>Utilities Expense - Purchasing/Receiving</v>
      </c>
      <c r="E520" s="13">
        <v>0</v>
      </c>
      <c r="F520" s="14">
        <f t="shared" si="7"/>
        <v>511</v>
      </c>
    </row>
    <row r="521" spans="1:6" x14ac:dyDescent="0.2">
      <c r="A521" s="2" t="s">
        <v>34</v>
      </c>
      <c r="C521" s="4" t="str">
        <f>"600-6500-00"</f>
        <v>600-6500-00</v>
      </c>
      <c r="D521" s="4" t="str">
        <f>"Postage/Freight - Purchasing/Receiving"</f>
        <v>Postage/Freight - Purchasing/Receiving</v>
      </c>
      <c r="E521" s="13">
        <v>0</v>
      </c>
      <c r="F521" s="14">
        <f t="shared" si="7"/>
        <v>512</v>
      </c>
    </row>
    <row r="522" spans="1:6" x14ac:dyDescent="0.2">
      <c r="A522" s="2" t="s">
        <v>34</v>
      </c>
      <c r="C522" s="4" t="str">
        <f>"600-6510-00"</f>
        <v>600-6510-00</v>
      </c>
      <c r="D522" s="4" t="str">
        <f>"Telephone - Purchasing/Receiving"</f>
        <v>Telephone - Purchasing/Receiving</v>
      </c>
      <c r="E522" s="13">
        <v>0</v>
      </c>
      <c r="F522" s="14">
        <f t="shared" si="7"/>
        <v>513</v>
      </c>
    </row>
    <row r="523" spans="1:6" x14ac:dyDescent="0.2">
      <c r="A523" s="2" t="s">
        <v>34</v>
      </c>
      <c r="C523" s="4" t="str">
        <f>"600-6520-00"</f>
        <v>600-6520-00</v>
      </c>
      <c r="D523" s="4" t="str">
        <f>"Travel - Purchasing/Receiving"</f>
        <v>Travel - Purchasing/Receiving</v>
      </c>
      <c r="E523" s="13">
        <v>0</v>
      </c>
      <c r="F523" s="14">
        <f t="shared" ref="F523:F528" si="8">F522+1</f>
        <v>514</v>
      </c>
    </row>
    <row r="524" spans="1:6" x14ac:dyDescent="0.2">
      <c r="A524" s="2" t="s">
        <v>34</v>
      </c>
      <c r="C524" s="4" t="str">
        <f>"600-6530-00"</f>
        <v>600-6530-00</v>
      </c>
      <c r="D524" s="4" t="str">
        <f>"Meals/Entertainment - Purchasing/Receiving"</f>
        <v>Meals/Entertainment - Purchasing/Receiving</v>
      </c>
      <c r="E524" s="13">
        <v>0</v>
      </c>
      <c r="F524" s="14">
        <f t="shared" si="8"/>
        <v>515</v>
      </c>
    </row>
    <row r="525" spans="1:6" x14ac:dyDescent="0.2">
      <c r="A525" s="2" t="s">
        <v>34</v>
      </c>
      <c r="C525" s="4" t="str">
        <f>"600-9010-00"</f>
        <v>600-9010-00</v>
      </c>
      <c r="D525" s="4" t="str">
        <f>"Square Footage-Purchasing/Receiving"</f>
        <v>Square Footage-Purchasing/Receiving</v>
      </c>
      <c r="E525" s="13">
        <v>250000</v>
      </c>
      <c r="F525" s="14">
        <f t="shared" si="8"/>
        <v>516</v>
      </c>
    </row>
    <row r="526" spans="1:6" x14ac:dyDescent="0.2">
      <c r="A526" s="2" t="s">
        <v>34</v>
      </c>
      <c r="C526" s="4" t="str">
        <f>"600-9020-00"</f>
        <v>600-9020-00</v>
      </c>
      <c r="D526" s="4" t="str">
        <f>"Employee Count-Purchases/Receiving"</f>
        <v>Employee Count-Purchases/Receiving</v>
      </c>
      <c r="E526" s="13">
        <v>0</v>
      </c>
      <c r="F526" s="14">
        <f t="shared" si="8"/>
        <v>517</v>
      </c>
    </row>
    <row r="527" spans="1:6" x14ac:dyDescent="0.2">
      <c r="A527" s="2" t="s">
        <v>34</v>
      </c>
      <c r="C527" s="4" t="str">
        <f>"600-9030-00"</f>
        <v>600-9030-00</v>
      </c>
      <c r="D527" s="4" t="str">
        <f>"Fixed Assets-Computer Cabinets"</f>
        <v>Fixed Assets-Computer Cabinets</v>
      </c>
      <c r="E527" s="13">
        <v>0</v>
      </c>
      <c r="F527" s="14">
        <f t="shared" si="8"/>
        <v>518</v>
      </c>
    </row>
    <row r="528" spans="1:6" x14ac:dyDescent="0.2">
      <c r="A528" s="2" t="s">
        <v>34</v>
      </c>
      <c r="C528" s="4" t="str">
        <f>"999-9999-99"</f>
        <v>999-9999-99</v>
      </c>
      <c r="D528" s="4" t="str">
        <f>"Transfer Suspense Account"</f>
        <v>Transfer Suspense Account</v>
      </c>
      <c r="E528" s="13">
        <v>0</v>
      </c>
      <c r="F528" s="14">
        <f t="shared" si="8"/>
        <v>519</v>
      </c>
    </row>
    <row r="529" spans="4:6" x14ac:dyDescent="0.2">
      <c r="E529" s="5"/>
    </row>
    <row r="530" spans="4:6" ht="15.75" thickBot="1" x14ac:dyDescent="0.3">
      <c r="D530" s="17" t="s">
        <v>0</v>
      </c>
      <c r="E530" s="18">
        <f>SUM(E10:E529)</f>
        <v>536120.41000000015</v>
      </c>
      <c r="F530" s="17"/>
    </row>
    <row r="531" spans="4:6" ht="12.75" thickTop="1" x14ac:dyDescent="0.2"/>
  </sheetData>
  <phoneticPr fontId="4" type="noConversion"/>
  <conditionalFormatting sqref="C10:E10">
    <cfRule type="expression" dxfId="1" priority="36" stopIfTrue="1">
      <formula>MOD($F10,2)=0</formula>
    </cfRule>
  </conditionalFormatting>
  <conditionalFormatting sqref="C11:E528">
    <cfRule type="expression" dxfId="0" priority="1" stopIfTrue="1">
      <formula>MOD($F11,2)=0</formula>
    </cfRule>
  </conditionalFormatting>
  <pageMargins left="0.75" right="0.75" top="1" bottom="1" header="0.5" footer="0.5"/>
  <pageSetup scale="96"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heetViews>
  <sheetFormatPr defaultRowHeight="12.75" x14ac:dyDescent="0.2"/>
  <sheetData>
    <row r="1" spans="1:6" x14ac:dyDescent="0.2">
      <c r="A1" s="19" t="s">
        <v>2124</v>
      </c>
      <c r="D1" s="19" t="s">
        <v>9</v>
      </c>
      <c r="E1" s="19" t="s">
        <v>9</v>
      </c>
      <c r="F1" s="19" t="s">
        <v>4</v>
      </c>
    </row>
    <row r="4" spans="1:6" x14ac:dyDescent="0.2">
      <c r="C4" s="19" t="s">
        <v>1</v>
      </c>
    </row>
    <row r="6" spans="1:6" x14ac:dyDescent="0.2">
      <c r="C6" s="19" t="s">
        <v>22</v>
      </c>
      <c r="D6" s="19" t="s">
        <v>26</v>
      </c>
    </row>
    <row r="7" spans="1:6" x14ac:dyDescent="0.2">
      <c r="C7" s="19" t="s">
        <v>5</v>
      </c>
      <c r="D7" s="19" t="s">
        <v>27</v>
      </c>
    </row>
    <row r="9" spans="1:6" x14ac:dyDescent="0.2">
      <c r="C9" s="19" t="s">
        <v>2</v>
      </c>
      <c r="D9" s="19" t="s">
        <v>3</v>
      </c>
      <c r="E9" s="19" t="s">
        <v>28</v>
      </c>
    </row>
    <row r="10" spans="1:6" x14ac:dyDescent="0.2">
      <c r="C10" s="19" t="s">
        <v>29</v>
      </c>
      <c r="D10" s="19" t="s">
        <v>30</v>
      </c>
      <c r="E10" s="19" t="s">
        <v>31</v>
      </c>
      <c r="F10" s="19" t="s">
        <v>32</v>
      </c>
    </row>
    <row r="12" spans="1:6" x14ac:dyDescent="0.2">
      <c r="D12" s="19" t="s">
        <v>0</v>
      </c>
      <c r="E12" s="19" t="s">
        <v>33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heetViews>
  <sheetFormatPr defaultRowHeight="12.75" x14ac:dyDescent="0.2"/>
  <sheetData>
    <row r="1" spans="1:6" x14ac:dyDescent="0.2">
      <c r="A1" s="19" t="s">
        <v>2124</v>
      </c>
      <c r="D1" s="19" t="s">
        <v>9</v>
      </c>
      <c r="E1" s="19" t="s">
        <v>9</v>
      </c>
      <c r="F1" s="19" t="s">
        <v>4</v>
      </c>
    </row>
    <row r="4" spans="1:6" x14ac:dyDescent="0.2">
      <c r="C4" s="19" t="s">
        <v>1</v>
      </c>
    </row>
    <row r="6" spans="1:6" x14ac:dyDescent="0.2">
      <c r="C6" s="19" t="s">
        <v>22</v>
      </c>
      <c r="D6" s="19" t="s">
        <v>26</v>
      </c>
    </row>
    <row r="7" spans="1:6" x14ac:dyDescent="0.2">
      <c r="C7" s="19" t="s">
        <v>5</v>
      </c>
      <c r="D7" s="19" t="s">
        <v>27</v>
      </c>
    </row>
    <row r="9" spans="1:6" x14ac:dyDescent="0.2">
      <c r="C9" s="19" t="s">
        <v>2</v>
      </c>
      <c r="D9" s="19" t="s">
        <v>3</v>
      </c>
      <c r="E9" s="19" t="s">
        <v>28</v>
      </c>
    </row>
    <row r="10" spans="1:6" x14ac:dyDescent="0.2">
      <c r="C10" s="19" t="s">
        <v>29</v>
      </c>
      <c r="D10" s="19" t="s">
        <v>30</v>
      </c>
      <c r="E10" s="19" t="s">
        <v>31</v>
      </c>
      <c r="F10" s="19" t="s">
        <v>32</v>
      </c>
    </row>
    <row r="12" spans="1:6" x14ac:dyDescent="0.2">
      <c r="D12" s="19" t="s">
        <v>0</v>
      </c>
      <c r="E12" s="19" t="s">
        <v>33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0"/>
  <sheetViews>
    <sheetView workbookViewId="0"/>
  </sheetViews>
  <sheetFormatPr defaultRowHeight="12.75" x14ac:dyDescent="0.2"/>
  <sheetData>
    <row r="1" spans="1:6" x14ac:dyDescent="0.2">
      <c r="A1" s="19" t="s">
        <v>2126</v>
      </c>
      <c r="D1" s="19" t="s">
        <v>9</v>
      </c>
      <c r="E1" s="19" t="s">
        <v>9</v>
      </c>
      <c r="F1" s="19" t="s">
        <v>4</v>
      </c>
    </row>
    <row r="4" spans="1:6" x14ac:dyDescent="0.2">
      <c r="C4" s="19" t="s">
        <v>1</v>
      </c>
    </row>
    <row r="6" spans="1:6" x14ac:dyDescent="0.2">
      <c r="C6" s="19" t="s">
        <v>22</v>
      </c>
      <c r="D6" s="19" t="s">
        <v>26</v>
      </c>
    </row>
    <row r="7" spans="1:6" x14ac:dyDescent="0.2">
      <c r="C7" s="19" t="s">
        <v>5</v>
      </c>
      <c r="D7" s="19" t="s">
        <v>27</v>
      </c>
    </row>
    <row r="9" spans="1:6" x14ac:dyDescent="0.2">
      <c r="C9" s="19" t="s">
        <v>2</v>
      </c>
      <c r="D9" s="19" t="s">
        <v>3</v>
      </c>
      <c r="E9" s="19" t="s">
        <v>28</v>
      </c>
    </row>
    <row r="10" spans="1:6" x14ac:dyDescent="0.2">
      <c r="C10" s="19" t="s">
        <v>29</v>
      </c>
      <c r="D10" s="19" t="s">
        <v>30</v>
      </c>
      <c r="E10" s="19" t="s">
        <v>31</v>
      </c>
      <c r="F10" s="19" t="s">
        <v>32</v>
      </c>
    </row>
    <row r="11" spans="1:6" x14ac:dyDescent="0.2">
      <c r="A11" s="19" t="s">
        <v>34</v>
      </c>
      <c r="C11" s="19" t="s">
        <v>35</v>
      </c>
      <c r="D11" s="19" t="s">
        <v>36</v>
      </c>
      <c r="E11" s="19" t="s">
        <v>37</v>
      </c>
      <c r="F11" s="19" t="s">
        <v>38</v>
      </c>
    </row>
    <row r="12" spans="1:6" x14ac:dyDescent="0.2">
      <c r="A12" s="19" t="s">
        <v>34</v>
      </c>
      <c r="C12" s="19" t="s">
        <v>39</v>
      </c>
      <c r="D12" s="19" t="s">
        <v>40</v>
      </c>
      <c r="E12" s="19" t="s">
        <v>41</v>
      </c>
      <c r="F12" s="19" t="s">
        <v>42</v>
      </c>
    </row>
    <row r="13" spans="1:6" x14ac:dyDescent="0.2">
      <c r="A13" s="19" t="s">
        <v>34</v>
      </c>
      <c r="C13" s="19" t="s">
        <v>43</v>
      </c>
      <c r="D13" s="19" t="s">
        <v>44</v>
      </c>
      <c r="E13" s="19" t="s">
        <v>45</v>
      </c>
      <c r="F13" s="19" t="s">
        <v>46</v>
      </c>
    </row>
    <row r="14" spans="1:6" x14ac:dyDescent="0.2">
      <c r="A14" s="19" t="s">
        <v>34</v>
      </c>
      <c r="C14" s="19" t="s">
        <v>47</v>
      </c>
      <c r="D14" s="19" t="s">
        <v>48</v>
      </c>
      <c r="E14" s="19" t="s">
        <v>49</v>
      </c>
      <c r="F14" s="19" t="s">
        <v>50</v>
      </c>
    </row>
    <row r="15" spans="1:6" x14ac:dyDescent="0.2">
      <c r="A15" s="19" t="s">
        <v>34</v>
      </c>
      <c r="C15" s="19" t="s">
        <v>51</v>
      </c>
      <c r="D15" s="19" t="s">
        <v>52</v>
      </c>
      <c r="E15" s="19" t="s">
        <v>53</v>
      </c>
      <c r="F15" s="19" t="s">
        <v>54</v>
      </c>
    </row>
    <row r="16" spans="1:6" x14ac:dyDescent="0.2">
      <c r="A16" s="19" t="s">
        <v>34</v>
      </c>
      <c r="C16" s="19" t="s">
        <v>55</v>
      </c>
      <c r="D16" s="19" t="s">
        <v>56</v>
      </c>
      <c r="E16" s="19" t="s">
        <v>57</v>
      </c>
      <c r="F16" s="19" t="s">
        <v>58</v>
      </c>
    </row>
    <row r="17" spans="1:6" x14ac:dyDescent="0.2">
      <c r="A17" s="19" t="s">
        <v>34</v>
      </c>
      <c r="C17" s="19" t="s">
        <v>59</v>
      </c>
      <c r="D17" s="19" t="s">
        <v>60</v>
      </c>
      <c r="E17" s="19" t="s">
        <v>61</v>
      </c>
      <c r="F17" s="19" t="s">
        <v>62</v>
      </c>
    </row>
    <row r="18" spans="1:6" x14ac:dyDescent="0.2">
      <c r="A18" s="19" t="s">
        <v>34</v>
      </c>
      <c r="C18" s="19" t="s">
        <v>63</v>
      </c>
      <c r="D18" s="19" t="s">
        <v>64</v>
      </c>
      <c r="E18" s="19" t="s">
        <v>65</v>
      </c>
      <c r="F18" s="19" t="s">
        <v>66</v>
      </c>
    </row>
    <row r="19" spans="1:6" x14ac:dyDescent="0.2">
      <c r="A19" s="19" t="s">
        <v>34</v>
      </c>
      <c r="C19" s="19" t="s">
        <v>67</v>
      </c>
      <c r="D19" s="19" t="s">
        <v>68</v>
      </c>
      <c r="E19" s="19" t="s">
        <v>69</v>
      </c>
      <c r="F19" s="19" t="s">
        <v>70</v>
      </c>
    </row>
    <row r="20" spans="1:6" x14ac:dyDescent="0.2">
      <c r="A20" s="19" t="s">
        <v>34</v>
      </c>
      <c r="C20" s="19" t="s">
        <v>71</v>
      </c>
      <c r="D20" s="19" t="s">
        <v>72</v>
      </c>
      <c r="E20" s="19" t="s">
        <v>73</v>
      </c>
      <c r="F20" s="19" t="s">
        <v>74</v>
      </c>
    </row>
    <row r="21" spans="1:6" x14ac:dyDescent="0.2">
      <c r="A21" s="19" t="s">
        <v>34</v>
      </c>
      <c r="C21" s="19" t="s">
        <v>75</v>
      </c>
      <c r="D21" s="19" t="s">
        <v>76</v>
      </c>
      <c r="E21" s="19" t="s">
        <v>77</v>
      </c>
      <c r="F21" s="19" t="s">
        <v>78</v>
      </c>
    </row>
    <row r="22" spans="1:6" x14ac:dyDescent="0.2">
      <c r="A22" s="19" t="s">
        <v>34</v>
      </c>
      <c r="C22" s="19" t="s">
        <v>79</v>
      </c>
      <c r="D22" s="19" t="s">
        <v>80</v>
      </c>
      <c r="E22" s="19" t="s">
        <v>81</v>
      </c>
      <c r="F22" s="19" t="s">
        <v>82</v>
      </c>
    </row>
    <row r="23" spans="1:6" x14ac:dyDescent="0.2">
      <c r="A23" s="19" t="s">
        <v>34</v>
      </c>
      <c r="C23" s="19" t="s">
        <v>83</v>
      </c>
      <c r="D23" s="19" t="s">
        <v>84</v>
      </c>
      <c r="E23" s="19" t="s">
        <v>85</v>
      </c>
      <c r="F23" s="19" t="s">
        <v>86</v>
      </c>
    </row>
    <row r="24" spans="1:6" x14ac:dyDescent="0.2">
      <c r="A24" s="19" t="s">
        <v>34</v>
      </c>
      <c r="C24" s="19" t="s">
        <v>87</v>
      </c>
      <c r="D24" s="19" t="s">
        <v>88</v>
      </c>
      <c r="E24" s="19" t="s">
        <v>89</v>
      </c>
      <c r="F24" s="19" t="s">
        <v>90</v>
      </c>
    </row>
    <row r="25" spans="1:6" x14ac:dyDescent="0.2">
      <c r="A25" s="19" t="s">
        <v>34</v>
      </c>
      <c r="C25" s="19" t="s">
        <v>91</v>
      </c>
      <c r="D25" s="19" t="s">
        <v>92</v>
      </c>
      <c r="E25" s="19" t="s">
        <v>93</v>
      </c>
      <c r="F25" s="19" t="s">
        <v>94</v>
      </c>
    </row>
    <row r="26" spans="1:6" x14ac:dyDescent="0.2">
      <c r="A26" s="19" t="s">
        <v>34</v>
      </c>
      <c r="C26" s="19" t="s">
        <v>95</v>
      </c>
      <c r="D26" s="19" t="s">
        <v>96</v>
      </c>
      <c r="E26" s="19" t="s">
        <v>97</v>
      </c>
      <c r="F26" s="19" t="s">
        <v>98</v>
      </c>
    </row>
    <row r="27" spans="1:6" x14ac:dyDescent="0.2">
      <c r="A27" s="19" t="s">
        <v>34</v>
      </c>
      <c r="C27" s="19" t="s">
        <v>99</v>
      </c>
      <c r="D27" s="19" t="s">
        <v>100</v>
      </c>
      <c r="E27" s="19" t="s">
        <v>101</v>
      </c>
      <c r="F27" s="19" t="s">
        <v>102</v>
      </c>
    </row>
    <row r="28" spans="1:6" x14ac:dyDescent="0.2">
      <c r="A28" s="19" t="s">
        <v>34</v>
      </c>
      <c r="C28" s="19" t="s">
        <v>103</v>
      </c>
      <c r="D28" s="19" t="s">
        <v>104</v>
      </c>
      <c r="E28" s="19" t="s">
        <v>105</v>
      </c>
      <c r="F28" s="19" t="s">
        <v>106</v>
      </c>
    </row>
    <row r="29" spans="1:6" x14ac:dyDescent="0.2">
      <c r="A29" s="19" t="s">
        <v>34</v>
      </c>
      <c r="C29" s="19" t="s">
        <v>107</v>
      </c>
      <c r="D29" s="19" t="s">
        <v>108</v>
      </c>
      <c r="E29" s="19" t="s">
        <v>109</v>
      </c>
      <c r="F29" s="19" t="s">
        <v>110</v>
      </c>
    </row>
    <row r="30" spans="1:6" x14ac:dyDescent="0.2">
      <c r="A30" s="19" t="s">
        <v>34</v>
      </c>
      <c r="C30" s="19" t="s">
        <v>111</v>
      </c>
      <c r="D30" s="19" t="s">
        <v>112</v>
      </c>
      <c r="E30" s="19" t="s">
        <v>113</v>
      </c>
      <c r="F30" s="19" t="s">
        <v>114</v>
      </c>
    </row>
    <row r="31" spans="1:6" x14ac:dyDescent="0.2">
      <c r="A31" s="19" t="s">
        <v>34</v>
      </c>
      <c r="C31" s="19" t="s">
        <v>115</v>
      </c>
      <c r="D31" s="19" t="s">
        <v>116</v>
      </c>
      <c r="E31" s="19" t="s">
        <v>117</v>
      </c>
      <c r="F31" s="19" t="s">
        <v>118</v>
      </c>
    </row>
    <row r="32" spans="1:6" x14ac:dyDescent="0.2">
      <c r="A32" s="19" t="s">
        <v>34</v>
      </c>
      <c r="C32" s="19" t="s">
        <v>119</v>
      </c>
      <c r="D32" s="19" t="s">
        <v>120</v>
      </c>
      <c r="E32" s="19" t="s">
        <v>121</v>
      </c>
      <c r="F32" s="19" t="s">
        <v>122</v>
      </c>
    </row>
    <row r="33" spans="1:6" x14ac:dyDescent="0.2">
      <c r="A33" s="19" t="s">
        <v>34</v>
      </c>
      <c r="C33" s="19" t="s">
        <v>123</v>
      </c>
      <c r="D33" s="19" t="s">
        <v>124</v>
      </c>
      <c r="E33" s="19" t="s">
        <v>125</v>
      </c>
      <c r="F33" s="19" t="s">
        <v>126</v>
      </c>
    </row>
    <row r="34" spans="1:6" x14ac:dyDescent="0.2">
      <c r="A34" s="19" t="s">
        <v>34</v>
      </c>
      <c r="C34" s="19" t="s">
        <v>127</v>
      </c>
      <c r="D34" s="19" t="s">
        <v>128</v>
      </c>
      <c r="E34" s="19" t="s">
        <v>129</v>
      </c>
      <c r="F34" s="19" t="s">
        <v>130</v>
      </c>
    </row>
    <row r="35" spans="1:6" x14ac:dyDescent="0.2">
      <c r="A35" s="19" t="s">
        <v>34</v>
      </c>
      <c r="C35" s="19" t="s">
        <v>131</v>
      </c>
      <c r="D35" s="19" t="s">
        <v>132</v>
      </c>
      <c r="E35" s="19" t="s">
        <v>133</v>
      </c>
      <c r="F35" s="19" t="s">
        <v>134</v>
      </c>
    </row>
    <row r="36" spans="1:6" x14ac:dyDescent="0.2">
      <c r="A36" s="19" t="s">
        <v>34</v>
      </c>
      <c r="C36" s="19" t="s">
        <v>135</v>
      </c>
      <c r="D36" s="19" t="s">
        <v>136</v>
      </c>
      <c r="E36" s="19" t="s">
        <v>137</v>
      </c>
      <c r="F36" s="19" t="s">
        <v>138</v>
      </c>
    </row>
    <row r="37" spans="1:6" x14ac:dyDescent="0.2">
      <c r="A37" s="19" t="s">
        <v>34</v>
      </c>
      <c r="C37" s="19" t="s">
        <v>139</v>
      </c>
      <c r="D37" s="19" t="s">
        <v>140</v>
      </c>
      <c r="E37" s="19" t="s">
        <v>141</v>
      </c>
      <c r="F37" s="19" t="s">
        <v>142</v>
      </c>
    </row>
    <row r="38" spans="1:6" x14ac:dyDescent="0.2">
      <c r="A38" s="19" t="s">
        <v>34</v>
      </c>
      <c r="C38" s="19" t="s">
        <v>143</v>
      </c>
      <c r="D38" s="19" t="s">
        <v>144</v>
      </c>
      <c r="E38" s="19" t="s">
        <v>145</v>
      </c>
      <c r="F38" s="19" t="s">
        <v>146</v>
      </c>
    </row>
    <row r="39" spans="1:6" x14ac:dyDescent="0.2">
      <c r="A39" s="19" t="s">
        <v>34</v>
      </c>
      <c r="C39" s="19" t="s">
        <v>147</v>
      </c>
      <c r="D39" s="19" t="s">
        <v>148</v>
      </c>
      <c r="E39" s="19" t="s">
        <v>149</v>
      </c>
      <c r="F39" s="19" t="s">
        <v>150</v>
      </c>
    </row>
    <row r="40" spans="1:6" x14ac:dyDescent="0.2">
      <c r="A40" s="19" t="s">
        <v>34</v>
      </c>
      <c r="C40" s="19" t="s">
        <v>151</v>
      </c>
      <c r="D40" s="19" t="s">
        <v>152</v>
      </c>
      <c r="E40" s="19" t="s">
        <v>153</v>
      </c>
      <c r="F40" s="19" t="s">
        <v>154</v>
      </c>
    </row>
    <row r="41" spans="1:6" x14ac:dyDescent="0.2">
      <c r="A41" s="19" t="s">
        <v>34</v>
      </c>
      <c r="C41" s="19" t="s">
        <v>155</v>
      </c>
      <c r="D41" s="19" t="s">
        <v>156</v>
      </c>
      <c r="E41" s="19" t="s">
        <v>157</v>
      </c>
      <c r="F41" s="19" t="s">
        <v>158</v>
      </c>
    </row>
    <row r="42" spans="1:6" x14ac:dyDescent="0.2">
      <c r="A42" s="19" t="s">
        <v>34</v>
      </c>
      <c r="C42" s="19" t="s">
        <v>159</v>
      </c>
      <c r="D42" s="19" t="s">
        <v>160</v>
      </c>
      <c r="E42" s="19" t="s">
        <v>161</v>
      </c>
      <c r="F42" s="19" t="s">
        <v>162</v>
      </c>
    </row>
    <row r="43" spans="1:6" x14ac:dyDescent="0.2">
      <c r="A43" s="19" t="s">
        <v>34</v>
      </c>
      <c r="C43" s="19" t="s">
        <v>163</v>
      </c>
      <c r="D43" s="19" t="s">
        <v>164</v>
      </c>
      <c r="E43" s="19" t="s">
        <v>165</v>
      </c>
      <c r="F43" s="19" t="s">
        <v>166</v>
      </c>
    </row>
    <row r="44" spans="1:6" x14ac:dyDescent="0.2">
      <c r="A44" s="19" t="s">
        <v>34</v>
      </c>
      <c r="C44" s="19" t="s">
        <v>167</v>
      </c>
      <c r="D44" s="19" t="s">
        <v>168</v>
      </c>
      <c r="E44" s="19" t="s">
        <v>169</v>
      </c>
      <c r="F44" s="19" t="s">
        <v>170</v>
      </c>
    </row>
    <row r="45" spans="1:6" x14ac:dyDescent="0.2">
      <c r="A45" s="19" t="s">
        <v>34</v>
      </c>
      <c r="C45" s="19" t="s">
        <v>171</v>
      </c>
      <c r="D45" s="19" t="s">
        <v>172</v>
      </c>
      <c r="E45" s="19" t="s">
        <v>173</v>
      </c>
      <c r="F45" s="19" t="s">
        <v>174</v>
      </c>
    </row>
    <row r="46" spans="1:6" x14ac:dyDescent="0.2">
      <c r="A46" s="19" t="s">
        <v>34</v>
      </c>
      <c r="C46" s="19" t="s">
        <v>175</v>
      </c>
      <c r="D46" s="19" t="s">
        <v>176</v>
      </c>
      <c r="E46" s="19" t="s">
        <v>177</v>
      </c>
      <c r="F46" s="19" t="s">
        <v>178</v>
      </c>
    </row>
    <row r="47" spans="1:6" x14ac:dyDescent="0.2">
      <c r="A47" s="19" t="s">
        <v>34</v>
      </c>
      <c r="C47" s="19" t="s">
        <v>179</v>
      </c>
      <c r="D47" s="19" t="s">
        <v>180</v>
      </c>
      <c r="E47" s="19" t="s">
        <v>181</v>
      </c>
      <c r="F47" s="19" t="s">
        <v>182</v>
      </c>
    </row>
    <row r="48" spans="1:6" x14ac:dyDescent="0.2">
      <c r="A48" s="19" t="s">
        <v>34</v>
      </c>
      <c r="C48" s="19" t="s">
        <v>183</v>
      </c>
      <c r="D48" s="19" t="s">
        <v>184</v>
      </c>
      <c r="E48" s="19" t="s">
        <v>185</v>
      </c>
      <c r="F48" s="19" t="s">
        <v>186</v>
      </c>
    </row>
    <row r="49" spans="1:6" x14ac:dyDescent="0.2">
      <c r="A49" s="19" t="s">
        <v>34</v>
      </c>
      <c r="C49" s="19" t="s">
        <v>187</v>
      </c>
      <c r="D49" s="19" t="s">
        <v>188</v>
      </c>
      <c r="E49" s="19" t="s">
        <v>189</v>
      </c>
      <c r="F49" s="19" t="s">
        <v>190</v>
      </c>
    </row>
    <row r="50" spans="1:6" x14ac:dyDescent="0.2">
      <c r="A50" s="19" t="s">
        <v>34</v>
      </c>
      <c r="C50" s="19" t="s">
        <v>191</v>
      </c>
      <c r="D50" s="19" t="s">
        <v>192</v>
      </c>
      <c r="E50" s="19" t="s">
        <v>193</v>
      </c>
      <c r="F50" s="19" t="s">
        <v>194</v>
      </c>
    </row>
    <row r="51" spans="1:6" x14ac:dyDescent="0.2">
      <c r="A51" s="19" t="s">
        <v>34</v>
      </c>
      <c r="C51" s="19" t="s">
        <v>195</v>
      </c>
      <c r="D51" s="19" t="s">
        <v>196</v>
      </c>
      <c r="E51" s="19" t="s">
        <v>197</v>
      </c>
      <c r="F51" s="19" t="s">
        <v>198</v>
      </c>
    </row>
    <row r="52" spans="1:6" x14ac:dyDescent="0.2">
      <c r="A52" s="19" t="s">
        <v>34</v>
      </c>
      <c r="C52" s="19" t="s">
        <v>199</v>
      </c>
      <c r="D52" s="19" t="s">
        <v>200</v>
      </c>
      <c r="E52" s="19" t="s">
        <v>201</v>
      </c>
      <c r="F52" s="19" t="s">
        <v>202</v>
      </c>
    </row>
    <row r="53" spans="1:6" x14ac:dyDescent="0.2">
      <c r="A53" s="19" t="s">
        <v>34</v>
      </c>
      <c r="C53" s="19" t="s">
        <v>203</v>
      </c>
      <c r="D53" s="19" t="s">
        <v>204</v>
      </c>
      <c r="E53" s="19" t="s">
        <v>205</v>
      </c>
      <c r="F53" s="19" t="s">
        <v>206</v>
      </c>
    </row>
    <row r="54" spans="1:6" x14ac:dyDescent="0.2">
      <c r="A54" s="19" t="s">
        <v>34</v>
      </c>
      <c r="C54" s="19" t="s">
        <v>207</v>
      </c>
      <c r="D54" s="19" t="s">
        <v>208</v>
      </c>
      <c r="E54" s="19" t="s">
        <v>209</v>
      </c>
      <c r="F54" s="19" t="s">
        <v>210</v>
      </c>
    </row>
    <row r="55" spans="1:6" x14ac:dyDescent="0.2">
      <c r="A55" s="19" t="s">
        <v>34</v>
      </c>
      <c r="C55" s="19" t="s">
        <v>211</v>
      </c>
      <c r="D55" s="19" t="s">
        <v>212</v>
      </c>
      <c r="E55" s="19" t="s">
        <v>213</v>
      </c>
      <c r="F55" s="19" t="s">
        <v>214</v>
      </c>
    </row>
    <row r="56" spans="1:6" x14ac:dyDescent="0.2">
      <c r="A56" s="19" t="s">
        <v>34</v>
      </c>
      <c r="C56" s="19" t="s">
        <v>215</v>
      </c>
      <c r="D56" s="19" t="s">
        <v>216</v>
      </c>
      <c r="E56" s="19" t="s">
        <v>217</v>
      </c>
      <c r="F56" s="19" t="s">
        <v>218</v>
      </c>
    </row>
    <row r="57" spans="1:6" x14ac:dyDescent="0.2">
      <c r="A57" s="19" t="s">
        <v>34</v>
      </c>
      <c r="C57" s="19" t="s">
        <v>219</v>
      </c>
      <c r="D57" s="19" t="s">
        <v>220</v>
      </c>
      <c r="E57" s="19" t="s">
        <v>221</v>
      </c>
      <c r="F57" s="19" t="s">
        <v>222</v>
      </c>
    </row>
    <row r="58" spans="1:6" x14ac:dyDescent="0.2">
      <c r="A58" s="19" t="s">
        <v>34</v>
      </c>
      <c r="C58" s="19" t="s">
        <v>223</v>
      </c>
      <c r="D58" s="19" t="s">
        <v>224</v>
      </c>
      <c r="E58" s="19" t="s">
        <v>225</v>
      </c>
      <c r="F58" s="19" t="s">
        <v>226</v>
      </c>
    </row>
    <row r="59" spans="1:6" x14ac:dyDescent="0.2">
      <c r="A59" s="19" t="s">
        <v>34</v>
      </c>
      <c r="C59" s="19" t="s">
        <v>227</v>
      </c>
      <c r="D59" s="19" t="s">
        <v>228</v>
      </c>
      <c r="E59" s="19" t="s">
        <v>229</v>
      </c>
      <c r="F59" s="19" t="s">
        <v>230</v>
      </c>
    </row>
    <row r="60" spans="1:6" x14ac:dyDescent="0.2">
      <c r="A60" s="19" t="s">
        <v>34</v>
      </c>
      <c r="C60" s="19" t="s">
        <v>231</v>
      </c>
      <c r="D60" s="19" t="s">
        <v>232</v>
      </c>
      <c r="E60" s="19" t="s">
        <v>233</v>
      </c>
      <c r="F60" s="19" t="s">
        <v>234</v>
      </c>
    </row>
    <row r="61" spans="1:6" x14ac:dyDescent="0.2">
      <c r="A61" s="19" t="s">
        <v>34</v>
      </c>
      <c r="C61" s="19" t="s">
        <v>235</v>
      </c>
      <c r="D61" s="19" t="s">
        <v>236</v>
      </c>
      <c r="E61" s="19" t="s">
        <v>237</v>
      </c>
      <c r="F61" s="19" t="s">
        <v>238</v>
      </c>
    </row>
    <row r="62" spans="1:6" x14ac:dyDescent="0.2">
      <c r="A62" s="19" t="s">
        <v>34</v>
      </c>
      <c r="C62" s="19" t="s">
        <v>239</v>
      </c>
      <c r="D62" s="19" t="s">
        <v>240</v>
      </c>
      <c r="E62" s="19" t="s">
        <v>241</v>
      </c>
      <c r="F62" s="19" t="s">
        <v>242</v>
      </c>
    </row>
    <row r="63" spans="1:6" x14ac:dyDescent="0.2">
      <c r="A63" s="19" t="s">
        <v>34</v>
      </c>
      <c r="C63" s="19" t="s">
        <v>243</v>
      </c>
      <c r="D63" s="19" t="s">
        <v>244</v>
      </c>
      <c r="E63" s="19" t="s">
        <v>245</v>
      </c>
      <c r="F63" s="19" t="s">
        <v>246</v>
      </c>
    </row>
    <row r="64" spans="1:6" x14ac:dyDescent="0.2">
      <c r="A64" s="19" t="s">
        <v>34</v>
      </c>
      <c r="C64" s="19" t="s">
        <v>247</v>
      </c>
      <c r="D64" s="19" t="s">
        <v>248</v>
      </c>
      <c r="E64" s="19" t="s">
        <v>249</v>
      </c>
      <c r="F64" s="19" t="s">
        <v>250</v>
      </c>
    </row>
    <row r="65" spans="1:6" x14ac:dyDescent="0.2">
      <c r="A65" s="19" t="s">
        <v>34</v>
      </c>
      <c r="C65" s="19" t="s">
        <v>251</v>
      </c>
      <c r="D65" s="19" t="s">
        <v>252</v>
      </c>
      <c r="E65" s="19" t="s">
        <v>253</v>
      </c>
      <c r="F65" s="19" t="s">
        <v>254</v>
      </c>
    </row>
    <row r="66" spans="1:6" x14ac:dyDescent="0.2">
      <c r="A66" s="19" t="s">
        <v>34</v>
      </c>
      <c r="C66" s="19" t="s">
        <v>255</v>
      </c>
      <c r="D66" s="19" t="s">
        <v>256</v>
      </c>
      <c r="E66" s="19" t="s">
        <v>257</v>
      </c>
      <c r="F66" s="19" t="s">
        <v>258</v>
      </c>
    </row>
    <row r="67" spans="1:6" x14ac:dyDescent="0.2">
      <c r="A67" s="19" t="s">
        <v>34</v>
      </c>
      <c r="C67" s="19" t="s">
        <v>259</v>
      </c>
      <c r="D67" s="19" t="s">
        <v>260</v>
      </c>
      <c r="E67" s="19" t="s">
        <v>261</v>
      </c>
      <c r="F67" s="19" t="s">
        <v>262</v>
      </c>
    </row>
    <row r="68" spans="1:6" x14ac:dyDescent="0.2">
      <c r="A68" s="19" t="s">
        <v>34</v>
      </c>
      <c r="C68" s="19" t="s">
        <v>263</v>
      </c>
      <c r="D68" s="19" t="s">
        <v>264</v>
      </c>
      <c r="E68" s="19" t="s">
        <v>265</v>
      </c>
      <c r="F68" s="19" t="s">
        <v>266</v>
      </c>
    </row>
    <row r="69" spans="1:6" x14ac:dyDescent="0.2">
      <c r="A69" s="19" t="s">
        <v>34</v>
      </c>
      <c r="C69" s="19" t="s">
        <v>267</v>
      </c>
      <c r="D69" s="19" t="s">
        <v>268</v>
      </c>
      <c r="E69" s="19" t="s">
        <v>269</v>
      </c>
      <c r="F69" s="19" t="s">
        <v>270</v>
      </c>
    </row>
    <row r="70" spans="1:6" x14ac:dyDescent="0.2">
      <c r="A70" s="19" t="s">
        <v>34</v>
      </c>
      <c r="C70" s="19" t="s">
        <v>271</v>
      </c>
      <c r="D70" s="19" t="s">
        <v>272</v>
      </c>
      <c r="E70" s="19" t="s">
        <v>273</v>
      </c>
      <c r="F70" s="19" t="s">
        <v>274</v>
      </c>
    </row>
    <row r="71" spans="1:6" x14ac:dyDescent="0.2">
      <c r="A71" s="19" t="s">
        <v>34</v>
      </c>
      <c r="C71" s="19" t="s">
        <v>275</v>
      </c>
      <c r="D71" s="19" t="s">
        <v>276</v>
      </c>
      <c r="E71" s="19" t="s">
        <v>277</v>
      </c>
      <c r="F71" s="19" t="s">
        <v>278</v>
      </c>
    </row>
    <row r="72" spans="1:6" x14ac:dyDescent="0.2">
      <c r="A72" s="19" t="s">
        <v>34</v>
      </c>
      <c r="C72" s="19" t="s">
        <v>279</v>
      </c>
      <c r="D72" s="19" t="s">
        <v>280</v>
      </c>
      <c r="E72" s="19" t="s">
        <v>281</v>
      </c>
      <c r="F72" s="19" t="s">
        <v>282</v>
      </c>
    </row>
    <row r="73" spans="1:6" x14ac:dyDescent="0.2">
      <c r="A73" s="19" t="s">
        <v>34</v>
      </c>
      <c r="C73" s="19" t="s">
        <v>283</v>
      </c>
      <c r="D73" s="19" t="s">
        <v>284</v>
      </c>
      <c r="E73" s="19" t="s">
        <v>285</v>
      </c>
      <c r="F73" s="19" t="s">
        <v>286</v>
      </c>
    </row>
    <row r="74" spans="1:6" x14ac:dyDescent="0.2">
      <c r="A74" s="19" t="s">
        <v>34</v>
      </c>
      <c r="C74" s="19" t="s">
        <v>287</v>
      </c>
      <c r="D74" s="19" t="s">
        <v>288</v>
      </c>
      <c r="E74" s="19" t="s">
        <v>289</v>
      </c>
      <c r="F74" s="19" t="s">
        <v>290</v>
      </c>
    </row>
    <row r="75" spans="1:6" x14ac:dyDescent="0.2">
      <c r="A75" s="19" t="s">
        <v>34</v>
      </c>
      <c r="C75" s="19" t="s">
        <v>291</v>
      </c>
      <c r="D75" s="19" t="s">
        <v>292</v>
      </c>
      <c r="E75" s="19" t="s">
        <v>293</v>
      </c>
      <c r="F75" s="19" t="s">
        <v>294</v>
      </c>
    </row>
    <row r="76" spans="1:6" x14ac:dyDescent="0.2">
      <c r="A76" s="19" t="s">
        <v>34</v>
      </c>
      <c r="C76" s="19" t="s">
        <v>295</v>
      </c>
      <c r="D76" s="19" t="s">
        <v>296</v>
      </c>
      <c r="E76" s="19" t="s">
        <v>297</v>
      </c>
      <c r="F76" s="19" t="s">
        <v>298</v>
      </c>
    </row>
    <row r="77" spans="1:6" x14ac:dyDescent="0.2">
      <c r="A77" s="19" t="s">
        <v>34</v>
      </c>
      <c r="C77" s="19" t="s">
        <v>299</v>
      </c>
      <c r="D77" s="19" t="s">
        <v>300</v>
      </c>
      <c r="E77" s="19" t="s">
        <v>301</v>
      </c>
      <c r="F77" s="19" t="s">
        <v>302</v>
      </c>
    </row>
    <row r="78" spans="1:6" x14ac:dyDescent="0.2">
      <c r="A78" s="19" t="s">
        <v>34</v>
      </c>
      <c r="C78" s="19" t="s">
        <v>303</v>
      </c>
      <c r="D78" s="19" t="s">
        <v>304</v>
      </c>
      <c r="E78" s="19" t="s">
        <v>305</v>
      </c>
      <c r="F78" s="19" t="s">
        <v>306</v>
      </c>
    </row>
    <row r="79" spans="1:6" x14ac:dyDescent="0.2">
      <c r="A79" s="19" t="s">
        <v>34</v>
      </c>
      <c r="C79" s="19" t="s">
        <v>307</v>
      </c>
      <c r="D79" s="19" t="s">
        <v>308</v>
      </c>
      <c r="E79" s="19" t="s">
        <v>309</v>
      </c>
      <c r="F79" s="19" t="s">
        <v>310</v>
      </c>
    </row>
    <row r="80" spans="1:6" x14ac:dyDescent="0.2">
      <c r="A80" s="19" t="s">
        <v>34</v>
      </c>
      <c r="C80" s="19" t="s">
        <v>311</v>
      </c>
      <c r="D80" s="19" t="s">
        <v>312</v>
      </c>
      <c r="E80" s="19" t="s">
        <v>313</v>
      </c>
      <c r="F80" s="19" t="s">
        <v>314</v>
      </c>
    </row>
    <row r="81" spans="1:6" x14ac:dyDescent="0.2">
      <c r="A81" s="19" t="s">
        <v>34</v>
      </c>
      <c r="C81" s="19" t="s">
        <v>315</v>
      </c>
      <c r="D81" s="19" t="s">
        <v>316</v>
      </c>
      <c r="E81" s="19" t="s">
        <v>317</v>
      </c>
      <c r="F81" s="19" t="s">
        <v>318</v>
      </c>
    </row>
    <row r="82" spans="1:6" x14ac:dyDescent="0.2">
      <c r="A82" s="19" t="s">
        <v>34</v>
      </c>
      <c r="C82" s="19" t="s">
        <v>319</v>
      </c>
      <c r="D82" s="19" t="s">
        <v>320</v>
      </c>
      <c r="E82" s="19" t="s">
        <v>321</v>
      </c>
      <c r="F82" s="19" t="s">
        <v>322</v>
      </c>
    </row>
    <row r="83" spans="1:6" x14ac:dyDescent="0.2">
      <c r="A83" s="19" t="s">
        <v>34</v>
      </c>
      <c r="C83" s="19" t="s">
        <v>323</v>
      </c>
      <c r="D83" s="19" t="s">
        <v>324</v>
      </c>
      <c r="E83" s="19" t="s">
        <v>325</v>
      </c>
      <c r="F83" s="19" t="s">
        <v>326</v>
      </c>
    </row>
    <row r="84" spans="1:6" x14ac:dyDescent="0.2">
      <c r="A84" s="19" t="s">
        <v>34</v>
      </c>
      <c r="C84" s="19" t="s">
        <v>327</v>
      </c>
      <c r="D84" s="19" t="s">
        <v>328</v>
      </c>
      <c r="E84" s="19" t="s">
        <v>329</v>
      </c>
      <c r="F84" s="19" t="s">
        <v>330</v>
      </c>
    </row>
    <row r="85" spans="1:6" x14ac:dyDescent="0.2">
      <c r="A85" s="19" t="s">
        <v>34</v>
      </c>
      <c r="C85" s="19" t="s">
        <v>331</v>
      </c>
      <c r="D85" s="19" t="s">
        <v>332</v>
      </c>
      <c r="E85" s="19" t="s">
        <v>333</v>
      </c>
      <c r="F85" s="19" t="s">
        <v>334</v>
      </c>
    </row>
    <row r="86" spans="1:6" x14ac:dyDescent="0.2">
      <c r="A86" s="19" t="s">
        <v>34</v>
      </c>
      <c r="C86" s="19" t="s">
        <v>335</v>
      </c>
      <c r="D86" s="19" t="s">
        <v>336</v>
      </c>
      <c r="E86" s="19" t="s">
        <v>337</v>
      </c>
      <c r="F86" s="19" t="s">
        <v>338</v>
      </c>
    </row>
    <row r="87" spans="1:6" x14ac:dyDescent="0.2">
      <c r="A87" s="19" t="s">
        <v>34</v>
      </c>
      <c r="C87" s="19" t="s">
        <v>339</v>
      </c>
      <c r="D87" s="19" t="s">
        <v>340</v>
      </c>
      <c r="E87" s="19" t="s">
        <v>341</v>
      </c>
      <c r="F87" s="19" t="s">
        <v>342</v>
      </c>
    </row>
    <row r="88" spans="1:6" x14ac:dyDescent="0.2">
      <c r="A88" s="19" t="s">
        <v>34</v>
      </c>
      <c r="C88" s="19" t="s">
        <v>343</v>
      </c>
      <c r="D88" s="19" t="s">
        <v>344</v>
      </c>
      <c r="E88" s="19" t="s">
        <v>345</v>
      </c>
      <c r="F88" s="19" t="s">
        <v>346</v>
      </c>
    </row>
    <row r="89" spans="1:6" x14ac:dyDescent="0.2">
      <c r="A89" s="19" t="s">
        <v>34</v>
      </c>
      <c r="C89" s="19" t="s">
        <v>347</v>
      </c>
      <c r="D89" s="19" t="s">
        <v>348</v>
      </c>
      <c r="E89" s="19" t="s">
        <v>349</v>
      </c>
      <c r="F89" s="19" t="s">
        <v>350</v>
      </c>
    </row>
    <row r="90" spans="1:6" x14ac:dyDescent="0.2">
      <c r="A90" s="19" t="s">
        <v>34</v>
      </c>
      <c r="C90" s="19" t="s">
        <v>351</v>
      </c>
      <c r="D90" s="19" t="s">
        <v>352</v>
      </c>
      <c r="E90" s="19" t="s">
        <v>353</v>
      </c>
      <c r="F90" s="19" t="s">
        <v>354</v>
      </c>
    </row>
    <row r="91" spans="1:6" x14ac:dyDescent="0.2">
      <c r="A91" s="19" t="s">
        <v>34</v>
      </c>
      <c r="C91" s="19" t="s">
        <v>355</v>
      </c>
      <c r="D91" s="19" t="s">
        <v>356</v>
      </c>
      <c r="E91" s="19" t="s">
        <v>357</v>
      </c>
      <c r="F91" s="19" t="s">
        <v>358</v>
      </c>
    </row>
    <row r="92" spans="1:6" x14ac:dyDescent="0.2">
      <c r="A92" s="19" t="s">
        <v>34</v>
      </c>
      <c r="C92" s="19" t="s">
        <v>359</v>
      </c>
      <c r="D92" s="19" t="s">
        <v>360</v>
      </c>
      <c r="E92" s="19" t="s">
        <v>361</v>
      </c>
      <c r="F92" s="19" t="s">
        <v>362</v>
      </c>
    </row>
    <row r="93" spans="1:6" x14ac:dyDescent="0.2">
      <c r="A93" s="19" t="s">
        <v>34</v>
      </c>
      <c r="C93" s="19" t="s">
        <v>363</v>
      </c>
      <c r="D93" s="19" t="s">
        <v>364</v>
      </c>
      <c r="E93" s="19" t="s">
        <v>365</v>
      </c>
      <c r="F93" s="19" t="s">
        <v>366</v>
      </c>
    </row>
    <row r="94" spans="1:6" x14ac:dyDescent="0.2">
      <c r="A94" s="19" t="s">
        <v>34</v>
      </c>
      <c r="C94" s="19" t="s">
        <v>367</v>
      </c>
      <c r="D94" s="19" t="s">
        <v>368</v>
      </c>
      <c r="E94" s="19" t="s">
        <v>369</v>
      </c>
      <c r="F94" s="19" t="s">
        <v>370</v>
      </c>
    </row>
    <row r="95" spans="1:6" x14ac:dyDescent="0.2">
      <c r="A95" s="19" t="s">
        <v>34</v>
      </c>
      <c r="C95" s="19" t="s">
        <v>371</v>
      </c>
      <c r="D95" s="19" t="s">
        <v>372</v>
      </c>
      <c r="E95" s="19" t="s">
        <v>373</v>
      </c>
      <c r="F95" s="19" t="s">
        <v>374</v>
      </c>
    </row>
    <row r="96" spans="1:6" x14ac:dyDescent="0.2">
      <c r="A96" s="19" t="s">
        <v>34</v>
      </c>
      <c r="C96" s="19" t="s">
        <v>375</v>
      </c>
      <c r="D96" s="19" t="s">
        <v>376</v>
      </c>
      <c r="E96" s="19" t="s">
        <v>377</v>
      </c>
      <c r="F96" s="19" t="s">
        <v>378</v>
      </c>
    </row>
    <row r="97" spans="1:6" x14ac:dyDescent="0.2">
      <c r="A97" s="19" t="s">
        <v>34</v>
      </c>
      <c r="C97" s="19" t="s">
        <v>379</v>
      </c>
      <c r="D97" s="19" t="s">
        <v>380</v>
      </c>
      <c r="E97" s="19" t="s">
        <v>381</v>
      </c>
      <c r="F97" s="19" t="s">
        <v>382</v>
      </c>
    </row>
    <row r="98" spans="1:6" x14ac:dyDescent="0.2">
      <c r="A98" s="19" t="s">
        <v>34</v>
      </c>
      <c r="C98" s="19" t="s">
        <v>383</v>
      </c>
      <c r="D98" s="19" t="s">
        <v>384</v>
      </c>
      <c r="E98" s="19" t="s">
        <v>385</v>
      </c>
      <c r="F98" s="19" t="s">
        <v>386</v>
      </c>
    </row>
    <row r="99" spans="1:6" x14ac:dyDescent="0.2">
      <c r="A99" s="19" t="s">
        <v>34</v>
      </c>
      <c r="C99" s="19" t="s">
        <v>387</v>
      </c>
      <c r="D99" s="19" t="s">
        <v>388</v>
      </c>
      <c r="E99" s="19" t="s">
        <v>389</v>
      </c>
      <c r="F99" s="19" t="s">
        <v>390</v>
      </c>
    </row>
    <row r="100" spans="1:6" x14ac:dyDescent="0.2">
      <c r="A100" s="19" t="s">
        <v>34</v>
      </c>
      <c r="C100" s="19" t="s">
        <v>391</v>
      </c>
      <c r="D100" s="19" t="s">
        <v>392</v>
      </c>
      <c r="E100" s="19" t="s">
        <v>393</v>
      </c>
      <c r="F100" s="19" t="s">
        <v>394</v>
      </c>
    </row>
    <row r="101" spans="1:6" x14ac:dyDescent="0.2">
      <c r="A101" s="19" t="s">
        <v>34</v>
      </c>
      <c r="C101" s="19" t="s">
        <v>395</v>
      </c>
      <c r="D101" s="19" t="s">
        <v>396</v>
      </c>
      <c r="E101" s="19" t="s">
        <v>397</v>
      </c>
      <c r="F101" s="19" t="s">
        <v>398</v>
      </c>
    </row>
    <row r="102" spans="1:6" x14ac:dyDescent="0.2">
      <c r="A102" s="19" t="s">
        <v>34</v>
      </c>
      <c r="C102" s="19" t="s">
        <v>399</v>
      </c>
      <c r="D102" s="19" t="s">
        <v>400</v>
      </c>
      <c r="E102" s="19" t="s">
        <v>401</v>
      </c>
      <c r="F102" s="19" t="s">
        <v>402</v>
      </c>
    </row>
    <row r="103" spans="1:6" x14ac:dyDescent="0.2">
      <c r="A103" s="19" t="s">
        <v>34</v>
      </c>
      <c r="C103" s="19" t="s">
        <v>403</v>
      </c>
      <c r="D103" s="19" t="s">
        <v>404</v>
      </c>
      <c r="E103" s="19" t="s">
        <v>405</v>
      </c>
      <c r="F103" s="19" t="s">
        <v>406</v>
      </c>
    </row>
    <row r="104" spans="1:6" x14ac:dyDescent="0.2">
      <c r="A104" s="19" t="s">
        <v>34</v>
      </c>
      <c r="C104" s="19" t="s">
        <v>407</v>
      </c>
      <c r="D104" s="19" t="s">
        <v>408</v>
      </c>
      <c r="E104" s="19" t="s">
        <v>409</v>
      </c>
      <c r="F104" s="19" t="s">
        <v>410</v>
      </c>
    </row>
    <row r="105" spans="1:6" x14ac:dyDescent="0.2">
      <c r="A105" s="19" t="s">
        <v>34</v>
      </c>
      <c r="C105" s="19" t="s">
        <v>411</v>
      </c>
      <c r="D105" s="19" t="s">
        <v>412</v>
      </c>
      <c r="E105" s="19" t="s">
        <v>413</v>
      </c>
      <c r="F105" s="19" t="s">
        <v>414</v>
      </c>
    </row>
    <row r="106" spans="1:6" x14ac:dyDescent="0.2">
      <c r="A106" s="19" t="s">
        <v>34</v>
      </c>
      <c r="C106" s="19" t="s">
        <v>415</v>
      </c>
      <c r="D106" s="19" t="s">
        <v>416</v>
      </c>
      <c r="E106" s="19" t="s">
        <v>417</v>
      </c>
      <c r="F106" s="19" t="s">
        <v>418</v>
      </c>
    </row>
    <row r="107" spans="1:6" x14ac:dyDescent="0.2">
      <c r="A107" s="19" t="s">
        <v>34</v>
      </c>
      <c r="C107" s="19" t="s">
        <v>419</v>
      </c>
      <c r="D107" s="19" t="s">
        <v>420</v>
      </c>
      <c r="E107" s="19" t="s">
        <v>421</v>
      </c>
      <c r="F107" s="19" t="s">
        <v>422</v>
      </c>
    </row>
    <row r="108" spans="1:6" x14ac:dyDescent="0.2">
      <c r="A108" s="19" t="s">
        <v>34</v>
      </c>
      <c r="C108" s="19" t="s">
        <v>423</v>
      </c>
      <c r="D108" s="19" t="s">
        <v>424</v>
      </c>
      <c r="E108" s="19" t="s">
        <v>425</v>
      </c>
      <c r="F108" s="19" t="s">
        <v>426</v>
      </c>
    </row>
    <row r="109" spans="1:6" x14ac:dyDescent="0.2">
      <c r="A109" s="19" t="s">
        <v>34</v>
      </c>
      <c r="C109" s="19" t="s">
        <v>427</v>
      </c>
      <c r="D109" s="19" t="s">
        <v>428</v>
      </c>
      <c r="E109" s="19" t="s">
        <v>429</v>
      </c>
      <c r="F109" s="19" t="s">
        <v>430</v>
      </c>
    </row>
    <row r="110" spans="1:6" x14ac:dyDescent="0.2">
      <c r="A110" s="19" t="s">
        <v>34</v>
      </c>
      <c r="C110" s="19" t="s">
        <v>431</v>
      </c>
      <c r="D110" s="19" t="s">
        <v>432</v>
      </c>
      <c r="E110" s="19" t="s">
        <v>433</v>
      </c>
      <c r="F110" s="19" t="s">
        <v>434</v>
      </c>
    </row>
    <row r="111" spans="1:6" x14ac:dyDescent="0.2">
      <c r="A111" s="19" t="s">
        <v>34</v>
      </c>
      <c r="C111" s="19" t="s">
        <v>435</v>
      </c>
      <c r="D111" s="19" t="s">
        <v>436</v>
      </c>
      <c r="E111" s="19" t="s">
        <v>437</v>
      </c>
      <c r="F111" s="19" t="s">
        <v>438</v>
      </c>
    </row>
    <row r="112" spans="1:6" x14ac:dyDescent="0.2">
      <c r="A112" s="19" t="s">
        <v>34</v>
      </c>
      <c r="C112" s="19" t="s">
        <v>439</v>
      </c>
      <c r="D112" s="19" t="s">
        <v>440</v>
      </c>
      <c r="E112" s="19" t="s">
        <v>441</v>
      </c>
      <c r="F112" s="19" t="s">
        <v>442</v>
      </c>
    </row>
    <row r="113" spans="1:6" x14ac:dyDescent="0.2">
      <c r="A113" s="19" t="s">
        <v>34</v>
      </c>
      <c r="C113" s="19" t="s">
        <v>443</v>
      </c>
      <c r="D113" s="19" t="s">
        <v>444</v>
      </c>
      <c r="E113" s="19" t="s">
        <v>445</v>
      </c>
      <c r="F113" s="19" t="s">
        <v>446</v>
      </c>
    </row>
    <row r="114" spans="1:6" x14ac:dyDescent="0.2">
      <c r="A114" s="19" t="s">
        <v>34</v>
      </c>
      <c r="C114" s="19" t="s">
        <v>447</v>
      </c>
      <c r="D114" s="19" t="s">
        <v>448</v>
      </c>
      <c r="E114" s="19" t="s">
        <v>449</v>
      </c>
      <c r="F114" s="19" t="s">
        <v>450</v>
      </c>
    </row>
    <row r="115" spans="1:6" x14ac:dyDescent="0.2">
      <c r="A115" s="19" t="s">
        <v>34</v>
      </c>
      <c r="C115" s="19" t="s">
        <v>451</v>
      </c>
      <c r="D115" s="19" t="s">
        <v>452</v>
      </c>
      <c r="E115" s="19" t="s">
        <v>453</v>
      </c>
      <c r="F115" s="19" t="s">
        <v>454</v>
      </c>
    </row>
    <row r="116" spans="1:6" x14ac:dyDescent="0.2">
      <c r="A116" s="19" t="s">
        <v>34</v>
      </c>
      <c r="C116" s="19" t="s">
        <v>455</v>
      </c>
      <c r="D116" s="19" t="s">
        <v>456</v>
      </c>
      <c r="E116" s="19" t="s">
        <v>457</v>
      </c>
      <c r="F116" s="19" t="s">
        <v>458</v>
      </c>
    </row>
    <row r="117" spans="1:6" x14ac:dyDescent="0.2">
      <c r="A117" s="19" t="s">
        <v>34</v>
      </c>
      <c r="C117" s="19" t="s">
        <v>459</v>
      </c>
      <c r="D117" s="19" t="s">
        <v>460</v>
      </c>
      <c r="E117" s="19" t="s">
        <v>461</v>
      </c>
      <c r="F117" s="19" t="s">
        <v>462</v>
      </c>
    </row>
    <row r="118" spans="1:6" x14ac:dyDescent="0.2">
      <c r="A118" s="19" t="s">
        <v>34</v>
      </c>
      <c r="C118" s="19" t="s">
        <v>463</v>
      </c>
      <c r="D118" s="19" t="s">
        <v>464</v>
      </c>
      <c r="E118" s="19" t="s">
        <v>465</v>
      </c>
      <c r="F118" s="19" t="s">
        <v>466</v>
      </c>
    </row>
    <row r="119" spans="1:6" x14ac:dyDescent="0.2">
      <c r="A119" s="19" t="s">
        <v>34</v>
      </c>
      <c r="C119" s="19" t="s">
        <v>467</v>
      </c>
      <c r="D119" s="19" t="s">
        <v>468</v>
      </c>
      <c r="E119" s="19" t="s">
        <v>469</v>
      </c>
      <c r="F119" s="19" t="s">
        <v>470</v>
      </c>
    </row>
    <row r="120" spans="1:6" x14ac:dyDescent="0.2">
      <c r="A120" s="19" t="s">
        <v>34</v>
      </c>
      <c r="C120" s="19" t="s">
        <v>471</v>
      </c>
      <c r="D120" s="19" t="s">
        <v>472</v>
      </c>
      <c r="E120" s="19" t="s">
        <v>473</v>
      </c>
      <c r="F120" s="19" t="s">
        <v>474</v>
      </c>
    </row>
    <row r="121" spans="1:6" x14ac:dyDescent="0.2">
      <c r="A121" s="19" t="s">
        <v>34</v>
      </c>
      <c r="C121" s="19" t="s">
        <v>475</v>
      </c>
      <c r="D121" s="19" t="s">
        <v>476</v>
      </c>
      <c r="E121" s="19" t="s">
        <v>477</v>
      </c>
      <c r="F121" s="19" t="s">
        <v>478</v>
      </c>
    </row>
    <row r="122" spans="1:6" x14ac:dyDescent="0.2">
      <c r="A122" s="19" t="s">
        <v>34</v>
      </c>
      <c r="C122" s="19" t="s">
        <v>479</v>
      </c>
      <c r="D122" s="19" t="s">
        <v>480</v>
      </c>
      <c r="E122" s="19" t="s">
        <v>481</v>
      </c>
      <c r="F122" s="19" t="s">
        <v>482</v>
      </c>
    </row>
    <row r="123" spans="1:6" x14ac:dyDescent="0.2">
      <c r="A123" s="19" t="s">
        <v>34</v>
      </c>
      <c r="C123" s="19" t="s">
        <v>483</v>
      </c>
      <c r="D123" s="19" t="s">
        <v>484</v>
      </c>
      <c r="E123" s="19" t="s">
        <v>485</v>
      </c>
      <c r="F123" s="19" t="s">
        <v>486</v>
      </c>
    </row>
    <row r="124" spans="1:6" x14ac:dyDescent="0.2">
      <c r="A124" s="19" t="s">
        <v>34</v>
      </c>
      <c r="C124" s="19" t="s">
        <v>487</v>
      </c>
      <c r="D124" s="19" t="s">
        <v>488</v>
      </c>
      <c r="E124" s="19" t="s">
        <v>489</v>
      </c>
      <c r="F124" s="19" t="s">
        <v>490</v>
      </c>
    </row>
    <row r="125" spans="1:6" x14ac:dyDescent="0.2">
      <c r="A125" s="19" t="s">
        <v>34</v>
      </c>
      <c r="C125" s="19" t="s">
        <v>491</v>
      </c>
      <c r="D125" s="19" t="s">
        <v>492</v>
      </c>
      <c r="E125" s="19" t="s">
        <v>493</v>
      </c>
      <c r="F125" s="19" t="s">
        <v>494</v>
      </c>
    </row>
    <row r="126" spans="1:6" x14ac:dyDescent="0.2">
      <c r="A126" s="19" t="s">
        <v>34</v>
      </c>
      <c r="C126" s="19" t="s">
        <v>495</v>
      </c>
      <c r="D126" s="19" t="s">
        <v>496</v>
      </c>
      <c r="E126" s="19" t="s">
        <v>497</v>
      </c>
      <c r="F126" s="19" t="s">
        <v>498</v>
      </c>
    </row>
    <row r="127" spans="1:6" x14ac:dyDescent="0.2">
      <c r="A127" s="19" t="s">
        <v>34</v>
      </c>
      <c r="C127" s="19" t="s">
        <v>499</v>
      </c>
      <c r="D127" s="19" t="s">
        <v>500</v>
      </c>
      <c r="E127" s="19" t="s">
        <v>501</v>
      </c>
      <c r="F127" s="19" t="s">
        <v>502</v>
      </c>
    </row>
    <row r="128" spans="1:6" x14ac:dyDescent="0.2">
      <c r="A128" s="19" t="s">
        <v>34</v>
      </c>
      <c r="C128" s="19" t="s">
        <v>503</v>
      </c>
      <c r="D128" s="19" t="s">
        <v>504</v>
      </c>
      <c r="E128" s="19" t="s">
        <v>505</v>
      </c>
      <c r="F128" s="19" t="s">
        <v>506</v>
      </c>
    </row>
    <row r="129" spans="1:6" x14ac:dyDescent="0.2">
      <c r="A129" s="19" t="s">
        <v>34</v>
      </c>
      <c r="C129" s="19" t="s">
        <v>507</v>
      </c>
      <c r="D129" s="19" t="s">
        <v>508</v>
      </c>
      <c r="E129" s="19" t="s">
        <v>509</v>
      </c>
      <c r="F129" s="19" t="s">
        <v>510</v>
      </c>
    </row>
    <row r="130" spans="1:6" x14ac:dyDescent="0.2">
      <c r="A130" s="19" t="s">
        <v>34</v>
      </c>
      <c r="C130" s="19" t="s">
        <v>511</v>
      </c>
      <c r="D130" s="19" t="s">
        <v>512</v>
      </c>
      <c r="E130" s="19" t="s">
        <v>513</v>
      </c>
      <c r="F130" s="19" t="s">
        <v>514</v>
      </c>
    </row>
    <row r="131" spans="1:6" x14ac:dyDescent="0.2">
      <c r="A131" s="19" t="s">
        <v>34</v>
      </c>
      <c r="C131" s="19" t="s">
        <v>515</v>
      </c>
      <c r="D131" s="19" t="s">
        <v>516</v>
      </c>
      <c r="E131" s="19" t="s">
        <v>517</v>
      </c>
      <c r="F131" s="19" t="s">
        <v>518</v>
      </c>
    </row>
    <row r="132" spans="1:6" x14ac:dyDescent="0.2">
      <c r="A132" s="19" t="s">
        <v>34</v>
      </c>
      <c r="C132" s="19" t="s">
        <v>519</v>
      </c>
      <c r="D132" s="19" t="s">
        <v>520</v>
      </c>
      <c r="E132" s="19" t="s">
        <v>521</v>
      </c>
      <c r="F132" s="19" t="s">
        <v>522</v>
      </c>
    </row>
    <row r="133" spans="1:6" x14ac:dyDescent="0.2">
      <c r="A133" s="19" t="s">
        <v>34</v>
      </c>
      <c r="C133" s="19" t="s">
        <v>523</v>
      </c>
      <c r="D133" s="19" t="s">
        <v>524</v>
      </c>
      <c r="E133" s="19" t="s">
        <v>525</v>
      </c>
      <c r="F133" s="19" t="s">
        <v>526</v>
      </c>
    </row>
    <row r="134" spans="1:6" x14ac:dyDescent="0.2">
      <c r="A134" s="19" t="s">
        <v>34</v>
      </c>
      <c r="C134" s="19" t="s">
        <v>527</v>
      </c>
      <c r="D134" s="19" t="s">
        <v>528</v>
      </c>
      <c r="E134" s="19" t="s">
        <v>529</v>
      </c>
      <c r="F134" s="19" t="s">
        <v>530</v>
      </c>
    </row>
    <row r="135" spans="1:6" x14ac:dyDescent="0.2">
      <c r="A135" s="19" t="s">
        <v>34</v>
      </c>
      <c r="C135" s="19" t="s">
        <v>531</v>
      </c>
      <c r="D135" s="19" t="s">
        <v>532</v>
      </c>
      <c r="E135" s="19" t="s">
        <v>533</v>
      </c>
      <c r="F135" s="19" t="s">
        <v>534</v>
      </c>
    </row>
    <row r="136" spans="1:6" x14ac:dyDescent="0.2">
      <c r="A136" s="19" t="s">
        <v>34</v>
      </c>
      <c r="C136" s="19" t="s">
        <v>535</v>
      </c>
      <c r="D136" s="19" t="s">
        <v>536</v>
      </c>
      <c r="E136" s="19" t="s">
        <v>537</v>
      </c>
      <c r="F136" s="19" t="s">
        <v>538</v>
      </c>
    </row>
    <row r="137" spans="1:6" x14ac:dyDescent="0.2">
      <c r="A137" s="19" t="s">
        <v>34</v>
      </c>
      <c r="C137" s="19" t="s">
        <v>539</v>
      </c>
      <c r="D137" s="19" t="s">
        <v>540</v>
      </c>
      <c r="E137" s="19" t="s">
        <v>541</v>
      </c>
      <c r="F137" s="19" t="s">
        <v>542</v>
      </c>
    </row>
    <row r="138" spans="1:6" x14ac:dyDescent="0.2">
      <c r="A138" s="19" t="s">
        <v>34</v>
      </c>
      <c r="C138" s="19" t="s">
        <v>543</v>
      </c>
      <c r="D138" s="19" t="s">
        <v>544</v>
      </c>
      <c r="E138" s="19" t="s">
        <v>545</v>
      </c>
      <c r="F138" s="19" t="s">
        <v>546</v>
      </c>
    </row>
    <row r="139" spans="1:6" x14ac:dyDescent="0.2">
      <c r="A139" s="19" t="s">
        <v>34</v>
      </c>
      <c r="C139" s="19" t="s">
        <v>547</v>
      </c>
      <c r="D139" s="19" t="s">
        <v>548</v>
      </c>
      <c r="E139" s="19" t="s">
        <v>549</v>
      </c>
      <c r="F139" s="19" t="s">
        <v>550</v>
      </c>
    </row>
    <row r="140" spans="1:6" x14ac:dyDescent="0.2">
      <c r="A140" s="19" t="s">
        <v>34</v>
      </c>
      <c r="C140" s="19" t="s">
        <v>551</v>
      </c>
      <c r="D140" s="19" t="s">
        <v>552</v>
      </c>
      <c r="E140" s="19" t="s">
        <v>553</v>
      </c>
      <c r="F140" s="19" t="s">
        <v>554</v>
      </c>
    </row>
    <row r="141" spans="1:6" x14ac:dyDescent="0.2">
      <c r="A141" s="19" t="s">
        <v>34</v>
      </c>
      <c r="C141" s="19" t="s">
        <v>555</v>
      </c>
      <c r="D141" s="19" t="s">
        <v>556</v>
      </c>
      <c r="E141" s="19" t="s">
        <v>557</v>
      </c>
      <c r="F141" s="19" t="s">
        <v>558</v>
      </c>
    </row>
    <row r="142" spans="1:6" x14ac:dyDescent="0.2">
      <c r="A142" s="19" t="s">
        <v>34</v>
      </c>
      <c r="C142" s="19" t="s">
        <v>559</v>
      </c>
      <c r="D142" s="19" t="s">
        <v>560</v>
      </c>
      <c r="E142" s="19" t="s">
        <v>561</v>
      </c>
      <c r="F142" s="19" t="s">
        <v>562</v>
      </c>
    </row>
    <row r="143" spans="1:6" x14ac:dyDescent="0.2">
      <c r="A143" s="19" t="s">
        <v>34</v>
      </c>
      <c r="C143" s="19" t="s">
        <v>563</v>
      </c>
      <c r="D143" s="19" t="s">
        <v>564</v>
      </c>
      <c r="E143" s="19" t="s">
        <v>565</v>
      </c>
      <c r="F143" s="19" t="s">
        <v>566</v>
      </c>
    </row>
    <row r="144" spans="1:6" x14ac:dyDescent="0.2">
      <c r="A144" s="19" t="s">
        <v>34</v>
      </c>
      <c r="C144" s="19" t="s">
        <v>567</v>
      </c>
      <c r="D144" s="19" t="s">
        <v>568</v>
      </c>
      <c r="E144" s="19" t="s">
        <v>569</v>
      </c>
      <c r="F144" s="19" t="s">
        <v>570</v>
      </c>
    </row>
    <row r="145" spans="1:6" x14ac:dyDescent="0.2">
      <c r="A145" s="19" t="s">
        <v>34</v>
      </c>
      <c r="C145" s="19" t="s">
        <v>571</v>
      </c>
      <c r="D145" s="19" t="s">
        <v>572</v>
      </c>
      <c r="E145" s="19" t="s">
        <v>573</v>
      </c>
      <c r="F145" s="19" t="s">
        <v>574</v>
      </c>
    </row>
    <row r="146" spans="1:6" x14ac:dyDescent="0.2">
      <c r="A146" s="19" t="s">
        <v>34</v>
      </c>
      <c r="C146" s="19" t="s">
        <v>575</v>
      </c>
      <c r="D146" s="19" t="s">
        <v>576</v>
      </c>
      <c r="E146" s="19" t="s">
        <v>577</v>
      </c>
      <c r="F146" s="19" t="s">
        <v>578</v>
      </c>
    </row>
    <row r="147" spans="1:6" x14ac:dyDescent="0.2">
      <c r="A147" s="19" t="s">
        <v>34</v>
      </c>
      <c r="C147" s="19" t="s">
        <v>579</v>
      </c>
      <c r="D147" s="19" t="s">
        <v>580</v>
      </c>
      <c r="E147" s="19" t="s">
        <v>581</v>
      </c>
      <c r="F147" s="19" t="s">
        <v>582</v>
      </c>
    </row>
    <row r="148" spans="1:6" x14ac:dyDescent="0.2">
      <c r="A148" s="19" t="s">
        <v>34</v>
      </c>
      <c r="C148" s="19" t="s">
        <v>583</v>
      </c>
      <c r="D148" s="19" t="s">
        <v>584</v>
      </c>
      <c r="E148" s="19" t="s">
        <v>585</v>
      </c>
      <c r="F148" s="19" t="s">
        <v>586</v>
      </c>
    </row>
    <row r="149" spans="1:6" x14ac:dyDescent="0.2">
      <c r="A149" s="19" t="s">
        <v>34</v>
      </c>
      <c r="C149" s="19" t="s">
        <v>587</v>
      </c>
      <c r="D149" s="19" t="s">
        <v>588</v>
      </c>
      <c r="E149" s="19" t="s">
        <v>589</v>
      </c>
      <c r="F149" s="19" t="s">
        <v>590</v>
      </c>
    </row>
    <row r="150" spans="1:6" x14ac:dyDescent="0.2">
      <c r="A150" s="19" t="s">
        <v>34</v>
      </c>
      <c r="C150" s="19" t="s">
        <v>591</v>
      </c>
      <c r="D150" s="19" t="s">
        <v>592</v>
      </c>
      <c r="E150" s="19" t="s">
        <v>593</v>
      </c>
      <c r="F150" s="19" t="s">
        <v>594</v>
      </c>
    </row>
    <row r="151" spans="1:6" x14ac:dyDescent="0.2">
      <c r="A151" s="19" t="s">
        <v>34</v>
      </c>
      <c r="C151" s="19" t="s">
        <v>595</v>
      </c>
      <c r="D151" s="19" t="s">
        <v>596</v>
      </c>
      <c r="E151" s="19" t="s">
        <v>597</v>
      </c>
      <c r="F151" s="19" t="s">
        <v>598</v>
      </c>
    </row>
    <row r="152" spans="1:6" x14ac:dyDescent="0.2">
      <c r="A152" s="19" t="s">
        <v>34</v>
      </c>
      <c r="C152" s="19" t="s">
        <v>599</v>
      </c>
      <c r="D152" s="19" t="s">
        <v>600</v>
      </c>
      <c r="E152" s="19" t="s">
        <v>601</v>
      </c>
      <c r="F152" s="19" t="s">
        <v>602</v>
      </c>
    </row>
    <row r="153" spans="1:6" x14ac:dyDescent="0.2">
      <c r="A153" s="19" t="s">
        <v>34</v>
      </c>
      <c r="C153" s="19" t="s">
        <v>603</v>
      </c>
      <c r="D153" s="19" t="s">
        <v>604</v>
      </c>
      <c r="E153" s="19" t="s">
        <v>605</v>
      </c>
      <c r="F153" s="19" t="s">
        <v>606</v>
      </c>
    </row>
    <row r="154" spans="1:6" x14ac:dyDescent="0.2">
      <c r="A154" s="19" t="s">
        <v>34</v>
      </c>
      <c r="C154" s="19" t="s">
        <v>607</v>
      </c>
      <c r="D154" s="19" t="s">
        <v>608</v>
      </c>
      <c r="E154" s="19" t="s">
        <v>609</v>
      </c>
      <c r="F154" s="19" t="s">
        <v>610</v>
      </c>
    </row>
    <row r="155" spans="1:6" x14ac:dyDescent="0.2">
      <c r="A155" s="19" t="s">
        <v>34</v>
      </c>
      <c r="C155" s="19" t="s">
        <v>611</v>
      </c>
      <c r="D155" s="19" t="s">
        <v>612</v>
      </c>
      <c r="E155" s="19" t="s">
        <v>613</v>
      </c>
      <c r="F155" s="19" t="s">
        <v>614</v>
      </c>
    </row>
    <row r="156" spans="1:6" x14ac:dyDescent="0.2">
      <c r="A156" s="19" t="s">
        <v>34</v>
      </c>
      <c r="C156" s="19" t="s">
        <v>615</v>
      </c>
      <c r="D156" s="19" t="s">
        <v>616</v>
      </c>
      <c r="E156" s="19" t="s">
        <v>617</v>
      </c>
      <c r="F156" s="19" t="s">
        <v>618</v>
      </c>
    </row>
    <row r="157" spans="1:6" x14ac:dyDescent="0.2">
      <c r="A157" s="19" t="s">
        <v>34</v>
      </c>
      <c r="C157" s="19" t="s">
        <v>619</v>
      </c>
      <c r="D157" s="19" t="s">
        <v>620</v>
      </c>
      <c r="E157" s="19" t="s">
        <v>621</v>
      </c>
      <c r="F157" s="19" t="s">
        <v>622</v>
      </c>
    </row>
    <row r="158" spans="1:6" x14ac:dyDescent="0.2">
      <c r="A158" s="19" t="s">
        <v>34</v>
      </c>
      <c r="C158" s="19" t="s">
        <v>623</v>
      </c>
      <c r="D158" s="19" t="s">
        <v>624</v>
      </c>
      <c r="E158" s="19" t="s">
        <v>625</v>
      </c>
      <c r="F158" s="19" t="s">
        <v>626</v>
      </c>
    </row>
    <row r="159" spans="1:6" x14ac:dyDescent="0.2">
      <c r="A159" s="19" t="s">
        <v>34</v>
      </c>
      <c r="C159" s="19" t="s">
        <v>627</v>
      </c>
      <c r="D159" s="19" t="s">
        <v>628</v>
      </c>
      <c r="E159" s="19" t="s">
        <v>629</v>
      </c>
      <c r="F159" s="19" t="s">
        <v>630</v>
      </c>
    </row>
    <row r="160" spans="1:6" x14ac:dyDescent="0.2">
      <c r="A160" s="19" t="s">
        <v>34</v>
      </c>
      <c r="C160" s="19" t="s">
        <v>631</v>
      </c>
      <c r="D160" s="19" t="s">
        <v>632</v>
      </c>
      <c r="E160" s="19" t="s">
        <v>633</v>
      </c>
      <c r="F160" s="19" t="s">
        <v>634</v>
      </c>
    </row>
    <row r="161" spans="1:6" x14ac:dyDescent="0.2">
      <c r="A161" s="19" t="s">
        <v>34</v>
      </c>
      <c r="C161" s="19" t="s">
        <v>635</v>
      </c>
      <c r="D161" s="19" t="s">
        <v>636</v>
      </c>
      <c r="E161" s="19" t="s">
        <v>637</v>
      </c>
      <c r="F161" s="19" t="s">
        <v>638</v>
      </c>
    </row>
    <row r="162" spans="1:6" x14ac:dyDescent="0.2">
      <c r="A162" s="19" t="s">
        <v>34</v>
      </c>
      <c r="C162" s="19" t="s">
        <v>639</v>
      </c>
      <c r="D162" s="19" t="s">
        <v>640</v>
      </c>
      <c r="E162" s="19" t="s">
        <v>641</v>
      </c>
      <c r="F162" s="19" t="s">
        <v>642</v>
      </c>
    </row>
    <row r="163" spans="1:6" x14ac:dyDescent="0.2">
      <c r="A163" s="19" t="s">
        <v>34</v>
      </c>
      <c r="C163" s="19" t="s">
        <v>643</v>
      </c>
      <c r="D163" s="19" t="s">
        <v>644</v>
      </c>
      <c r="E163" s="19" t="s">
        <v>645</v>
      </c>
      <c r="F163" s="19" t="s">
        <v>646</v>
      </c>
    </row>
    <row r="164" spans="1:6" x14ac:dyDescent="0.2">
      <c r="A164" s="19" t="s">
        <v>34</v>
      </c>
      <c r="C164" s="19" t="s">
        <v>647</v>
      </c>
      <c r="D164" s="19" t="s">
        <v>648</v>
      </c>
      <c r="E164" s="19" t="s">
        <v>649</v>
      </c>
      <c r="F164" s="19" t="s">
        <v>650</v>
      </c>
    </row>
    <row r="165" spans="1:6" x14ac:dyDescent="0.2">
      <c r="A165" s="19" t="s">
        <v>34</v>
      </c>
      <c r="C165" s="19" t="s">
        <v>651</v>
      </c>
      <c r="D165" s="19" t="s">
        <v>652</v>
      </c>
      <c r="E165" s="19" t="s">
        <v>653</v>
      </c>
      <c r="F165" s="19" t="s">
        <v>654</v>
      </c>
    </row>
    <row r="166" spans="1:6" x14ac:dyDescent="0.2">
      <c r="A166" s="19" t="s">
        <v>34</v>
      </c>
      <c r="C166" s="19" t="s">
        <v>655</v>
      </c>
      <c r="D166" s="19" t="s">
        <v>656</v>
      </c>
      <c r="E166" s="19" t="s">
        <v>657</v>
      </c>
      <c r="F166" s="19" t="s">
        <v>658</v>
      </c>
    </row>
    <row r="167" spans="1:6" x14ac:dyDescent="0.2">
      <c r="A167" s="19" t="s">
        <v>34</v>
      </c>
      <c r="C167" s="19" t="s">
        <v>659</v>
      </c>
      <c r="D167" s="19" t="s">
        <v>660</v>
      </c>
      <c r="E167" s="19" t="s">
        <v>661</v>
      </c>
      <c r="F167" s="19" t="s">
        <v>662</v>
      </c>
    </row>
    <row r="168" spans="1:6" x14ac:dyDescent="0.2">
      <c r="A168" s="19" t="s">
        <v>34</v>
      </c>
      <c r="C168" s="19" t="s">
        <v>663</v>
      </c>
      <c r="D168" s="19" t="s">
        <v>664</v>
      </c>
      <c r="E168" s="19" t="s">
        <v>665</v>
      </c>
      <c r="F168" s="19" t="s">
        <v>666</v>
      </c>
    </row>
    <row r="169" spans="1:6" x14ac:dyDescent="0.2">
      <c r="A169" s="19" t="s">
        <v>34</v>
      </c>
      <c r="C169" s="19" t="s">
        <v>667</v>
      </c>
      <c r="D169" s="19" t="s">
        <v>668</v>
      </c>
      <c r="E169" s="19" t="s">
        <v>669</v>
      </c>
      <c r="F169" s="19" t="s">
        <v>670</v>
      </c>
    </row>
    <row r="170" spans="1:6" x14ac:dyDescent="0.2">
      <c r="A170" s="19" t="s">
        <v>34</v>
      </c>
      <c r="C170" s="19" t="s">
        <v>671</v>
      </c>
      <c r="D170" s="19" t="s">
        <v>672</v>
      </c>
      <c r="E170" s="19" t="s">
        <v>673</v>
      </c>
      <c r="F170" s="19" t="s">
        <v>674</v>
      </c>
    </row>
    <row r="171" spans="1:6" x14ac:dyDescent="0.2">
      <c r="A171" s="19" t="s">
        <v>34</v>
      </c>
      <c r="C171" s="19" t="s">
        <v>675</v>
      </c>
      <c r="D171" s="19" t="s">
        <v>676</v>
      </c>
      <c r="E171" s="19" t="s">
        <v>677</v>
      </c>
      <c r="F171" s="19" t="s">
        <v>678</v>
      </c>
    </row>
    <row r="172" spans="1:6" x14ac:dyDescent="0.2">
      <c r="A172" s="19" t="s">
        <v>34</v>
      </c>
      <c r="C172" s="19" t="s">
        <v>679</v>
      </c>
      <c r="D172" s="19" t="s">
        <v>680</v>
      </c>
      <c r="E172" s="19" t="s">
        <v>681</v>
      </c>
      <c r="F172" s="19" t="s">
        <v>682</v>
      </c>
    </row>
    <row r="173" spans="1:6" x14ac:dyDescent="0.2">
      <c r="A173" s="19" t="s">
        <v>34</v>
      </c>
      <c r="C173" s="19" t="s">
        <v>683</v>
      </c>
      <c r="D173" s="19" t="s">
        <v>684</v>
      </c>
      <c r="E173" s="19" t="s">
        <v>685</v>
      </c>
      <c r="F173" s="19" t="s">
        <v>686</v>
      </c>
    </row>
    <row r="174" spans="1:6" x14ac:dyDescent="0.2">
      <c r="A174" s="19" t="s">
        <v>34</v>
      </c>
      <c r="C174" s="19" t="s">
        <v>687</v>
      </c>
      <c r="D174" s="19" t="s">
        <v>688</v>
      </c>
      <c r="E174" s="19" t="s">
        <v>689</v>
      </c>
      <c r="F174" s="19" t="s">
        <v>690</v>
      </c>
    </row>
    <row r="175" spans="1:6" x14ac:dyDescent="0.2">
      <c r="A175" s="19" t="s">
        <v>34</v>
      </c>
      <c r="C175" s="19" t="s">
        <v>691</v>
      </c>
      <c r="D175" s="19" t="s">
        <v>692</v>
      </c>
      <c r="E175" s="19" t="s">
        <v>693</v>
      </c>
      <c r="F175" s="19" t="s">
        <v>694</v>
      </c>
    </row>
    <row r="176" spans="1:6" x14ac:dyDescent="0.2">
      <c r="A176" s="19" t="s">
        <v>34</v>
      </c>
      <c r="C176" s="19" t="s">
        <v>695</v>
      </c>
      <c r="D176" s="19" t="s">
        <v>696</v>
      </c>
      <c r="E176" s="19" t="s">
        <v>697</v>
      </c>
      <c r="F176" s="19" t="s">
        <v>698</v>
      </c>
    </row>
    <row r="177" spans="1:6" x14ac:dyDescent="0.2">
      <c r="A177" s="19" t="s">
        <v>34</v>
      </c>
      <c r="C177" s="19" t="s">
        <v>699</v>
      </c>
      <c r="D177" s="19" t="s">
        <v>700</v>
      </c>
      <c r="E177" s="19" t="s">
        <v>701</v>
      </c>
      <c r="F177" s="19" t="s">
        <v>702</v>
      </c>
    </row>
    <row r="178" spans="1:6" x14ac:dyDescent="0.2">
      <c r="A178" s="19" t="s">
        <v>34</v>
      </c>
      <c r="C178" s="19" t="s">
        <v>703</v>
      </c>
      <c r="D178" s="19" t="s">
        <v>704</v>
      </c>
      <c r="E178" s="19" t="s">
        <v>705</v>
      </c>
      <c r="F178" s="19" t="s">
        <v>706</v>
      </c>
    </row>
    <row r="179" spans="1:6" x14ac:dyDescent="0.2">
      <c r="A179" s="19" t="s">
        <v>34</v>
      </c>
      <c r="C179" s="19" t="s">
        <v>707</v>
      </c>
      <c r="D179" s="19" t="s">
        <v>708</v>
      </c>
      <c r="E179" s="19" t="s">
        <v>709</v>
      </c>
      <c r="F179" s="19" t="s">
        <v>710</v>
      </c>
    </row>
    <row r="180" spans="1:6" x14ac:dyDescent="0.2">
      <c r="A180" s="19" t="s">
        <v>34</v>
      </c>
      <c r="C180" s="19" t="s">
        <v>711</v>
      </c>
      <c r="D180" s="19" t="s">
        <v>712</v>
      </c>
      <c r="E180" s="19" t="s">
        <v>713</v>
      </c>
      <c r="F180" s="19" t="s">
        <v>714</v>
      </c>
    </row>
    <row r="181" spans="1:6" x14ac:dyDescent="0.2">
      <c r="A181" s="19" t="s">
        <v>34</v>
      </c>
      <c r="C181" s="19" t="s">
        <v>715</v>
      </c>
      <c r="D181" s="19" t="s">
        <v>716</v>
      </c>
      <c r="E181" s="19" t="s">
        <v>717</v>
      </c>
      <c r="F181" s="19" t="s">
        <v>718</v>
      </c>
    </row>
    <row r="182" spans="1:6" x14ac:dyDescent="0.2">
      <c r="A182" s="19" t="s">
        <v>34</v>
      </c>
      <c r="C182" s="19" t="s">
        <v>719</v>
      </c>
      <c r="D182" s="19" t="s">
        <v>720</v>
      </c>
      <c r="E182" s="19" t="s">
        <v>721</v>
      </c>
      <c r="F182" s="19" t="s">
        <v>722</v>
      </c>
    </row>
    <row r="183" spans="1:6" x14ac:dyDescent="0.2">
      <c r="A183" s="19" t="s">
        <v>34</v>
      </c>
      <c r="C183" s="19" t="s">
        <v>723</v>
      </c>
      <c r="D183" s="19" t="s">
        <v>724</v>
      </c>
      <c r="E183" s="19" t="s">
        <v>725</v>
      </c>
      <c r="F183" s="19" t="s">
        <v>726</v>
      </c>
    </row>
    <row r="184" spans="1:6" x14ac:dyDescent="0.2">
      <c r="A184" s="19" t="s">
        <v>34</v>
      </c>
      <c r="C184" s="19" t="s">
        <v>727</v>
      </c>
      <c r="D184" s="19" t="s">
        <v>728</v>
      </c>
      <c r="E184" s="19" t="s">
        <v>729</v>
      </c>
      <c r="F184" s="19" t="s">
        <v>730</v>
      </c>
    </row>
    <row r="185" spans="1:6" x14ac:dyDescent="0.2">
      <c r="A185" s="19" t="s">
        <v>34</v>
      </c>
      <c r="C185" s="19" t="s">
        <v>731</v>
      </c>
      <c r="D185" s="19" t="s">
        <v>732</v>
      </c>
      <c r="E185" s="19" t="s">
        <v>733</v>
      </c>
      <c r="F185" s="19" t="s">
        <v>734</v>
      </c>
    </row>
    <row r="186" spans="1:6" x14ac:dyDescent="0.2">
      <c r="A186" s="19" t="s">
        <v>34</v>
      </c>
      <c r="C186" s="19" t="s">
        <v>735</v>
      </c>
      <c r="D186" s="19" t="s">
        <v>736</v>
      </c>
      <c r="E186" s="19" t="s">
        <v>737</v>
      </c>
      <c r="F186" s="19" t="s">
        <v>738</v>
      </c>
    </row>
    <row r="187" spans="1:6" x14ac:dyDescent="0.2">
      <c r="A187" s="19" t="s">
        <v>34</v>
      </c>
      <c r="C187" s="19" t="s">
        <v>739</v>
      </c>
      <c r="D187" s="19" t="s">
        <v>740</v>
      </c>
      <c r="E187" s="19" t="s">
        <v>741</v>
      </c>
      <c r="F187" s="19" t="s">
        <v>742</v>
      </c>
    </row>
    <row r="188" spans="1:6" x14ac:dyDescent="0.2">
      <c r="A188" s="19" t="s">
        <v>34</v>
      </c>
      <c r="C188" s="19" t="s">
        <v>743</v>
      </c>
      <c r="D188" s="19" t="s">
        <v>744</v>
      </c>
      <c r="E188" s="19" t="s">
        <v>745</v>
      </c>
      <c r="F188" s="19" t="s">
        <v>746</v>
      </c>
    </row>
    <row r="189" spans="1:6" x14ac:dyDescent="0.2">
      <c r="A189" s="19" t="s">
        <v>34</v>
      </c>
      <c r="C189" s="19" t="s">
        <v>747</v>
      </c>
      <c r="D189" s="19" t="s">
        <v>748</v>
      </c>
      <c r="E189" s="19" t="s">
        <v>749</v>
      </c>
      <c r="F189" s="19" t="s">
        <v>750</v>
      </c>
    </row>
    <row r="190" spans="1:6" x14ac:dyDescent="0.2">
      <c r="A190" s="19" t="s">
        <v>34</v>
      </c>
      <c r="C190" s="19" t="s">
        <v>751</v>
      </c>
      <c r="D190" s="19" t="s">
        <v>752</v>
      </c>
      <c r="E190" s="19" t="s">
        <v>753</v>
      </c>
      <c r="F190" s="19" t="s">
        <v>754</v>
      </c>
    </row>
    <row r="191" spans="1:6" x14ac:dyDescent="0.2">
      <c r="A191" s="19" t="s">
        <v>34</v>
      </c>
      <c r="C191" s="19" t="s">
        <v>755</v>
      </c>
      <c r="D191" s="19" t="s">
        <v>756</v>
      </c>
      <c r="E191" s="19" t="s">
        <v>757</v>
      </c>
      <c r="F191" s="19" t="s">
        <v>758</v>
      </c>
    </row>
    <row r="192" spans="1:6" x14ac:dyDescent="0.2">
      <c r="A192" s="19" t="s">
        <v>34</v>
      </c>
      <c r="C192" s="19" t="s">
        <v>759</v>
      </c>
      <c r="D192" s="19" t="s">
        <v>760</v>
      </c>
      <c r="E192" s="19" t="s">
        <v>761</v>
      </c>
      <c r="F192" s="19" t="s">
        <v>762</v>
      </c>
    </row>
    <row r="193" spans="1:6" x14ac:dyDescent="0.2">
      <c r="A193" s="19" t="s">
        <v>34</v>
      </c>
      <c r="C193" s="19" t="s">
        <v>763</v>
      </c>
      <c r="D193" s="19" t="s">
        <v>764</v>
      </c>
      <c r="E193" s="19" t="s">
        <v>765</v>
      </c>
      <c r="F193" s="19" t="s">
        <v>766</v>
      </c>
    </row>
    <row r="194" spans="1:6" x14ac:dyDescent="0.2">
      <c r="A194" s="19" t="s">
        <v>34</v>
      </c>
      <c r="C194" s="19" t="s">
        <v>767</v>
      </c>
      <c r="D194" s="19" t="s">
        <v>768</v>
      </c>
      <c r="E194" s="19" t="s">
        <v>769</v>
      </c>
      <c r="F194" s="19" t="s">
        <v>770</v>
      </c>
    </row>
    <row r="195" spans="1:6" x14ac:dyDescent="0.2">
      <c r="A195" s="19" t="s">
        <v>34</v>
      </c>
      <c r="C195" s="19" t="s">
        <v>771</v>
      </c>
      <c r="D195" s="19" t="s">
        <v>772</v>
      </c>
      <c r="E195" s="19" t="s">
        <v>773</v>
      </c>
      <c r="F195" s="19" t="s">
        <v>774</v>
      </c>
    </row>
    <row r="196" spans="1:6" x14ac:dyDescent="0.2">
      <c r="A196" s="19" t="s">
        <v>34</v>
      </c>
      <c r="C196" s="19" t="s">
        <v>775</v>
      </c>
      <c r="D196" s="19" t="s">
        <v>776</v>
      </c>
      <c r="E196" s="19" t="s">
        <v>777</v>
      </c>
      <c r="F196" s="19" t="s">
        <v>778</v>
      </c>
    </row>
    <row r="197" spans="1:6" x14ac:dyDescent="0.2">
      <c r="A197" s="19" t="s">
        <v>34</v>
      </c>
      <c r="C197" s="19" t="s">
        <v>779</v>
      </c>
      <c r="D197" s="19" t="s">
        <v>780</v>
      </c>
      <c r="E197" s="19" t="s">
        <v>781</v>
      </c>
      <c r="F197" s="19" t="s">
        <v>782</v>
      </c>
    </row>
    <row r="198" spans="1:6" x14ac:dyDescent="0.2">
      <c r="A198" s="19" t="s">
        <v>34</v>
      </c>
      <c r="C198" s="19" t="s">
        <v>783</v>
      </c>
      <c r="D198" s="19" t="s">
        <v>784</v>
      </c>
      <c r="E198" s="19" t="s">
        <v>785</v>
      </c>
      <c r="F198" s="19" t="s">
        <v>786</v>
      </c>
    </row>
    <row r="199" spans="1:6" x14ac:dyDescent="0.2">
      <c r="A199" s="19" t="s">
        <v>34</v>
      </c>
      <c r="C199" s="19" t="s">
        <v>787</v>
      </c>
      <c r="D199" s="19" t="s">
        <v>788</v>
      </c>
      <c r="E199" s="19" t="s">
        <v>789</v>
      </c>
      <c r="F199" s="19" t="s">
        <v>790</v>
      </c>
    </row>
    <row r="200" spans="1:6" x14ac:dyDescent="0.2">
      <c r="A200" s="19" t="s">
        <v>34</v>
      </c>
      <c r="C200" s="19" t="s">
        <v>791</v>
      </c>
      <c r="D200" s="19" t="s">
        <v>792</v>
      </c>
      <c r="E200" s="19" t="s">
        <v>793</v>
      </c>
      <c r="F200" s="19" t="s">
        <v>794</v>
      </c>
    </row>
    <row r="201" spans="1:6" x14ac:dyDescent="0.2">
      <c r="A201" s="19" t="s">
        <v>34</v>
      </c>
      <c r="C201" s="19" t="s">
        <v>795</v>
      </c>
      <c r="D201" s="19" t="s">
        <v>796</v>
      </c>
      <c r="E201" s="19" t="s">
        <v>797</v>
      </c>
      <c r="F201" s="19" t="s">
        <v>798</v>
      </c>
    </row>
    <row r="202" spans="1:6" x14ac:dyDescent="0.2">
      <c r="A202" s="19" t="s">
        <v>34</v>
      </c>
      <c r="C202" s="19" t="s">
        <v>799</v>
      </c>
      <c r="D202" s="19" t="s">
        <v>800</v>
      </c>
      <c r="E202" s="19" t="s">
        <v>801</v>
      </c>
      <c r="F202" s="19" t="s">
        <v>802</v>
      </c>
    </row>
    <row r="203" spans="1:6" x14ac:dyDescent="0.2">
      <c r="A203" s="19" t="s">
        <v>34</v>
      </c>
      <c r="C203" s="19" t="s">
        <v>803</v>
      </c>
      <c r="D203" s="19" t="s">
        <v>804</v>
      </c>
      <c r="E203" s="19" t="s">
        <v>805</v>
      </c>
      <c r="F203" s="19" t="s">
        <v>806</v>
      </c>
    </row>
    <row r="204" spans="1:6" x14ac:dyDescent="0.2">
      <c r="A204" s="19" t="s">
        <v>34</v>
      </c>
      <c r="C204" s="19" t="s">
        <v>807</v>
      </c>
      <c r="D204" s="19" t="s">
        <v>808</v>
      </c>
      <c r="E204" s="19" t="s">
        <v>809</v>
      </c>
      <c r="F204" s="19" t="s">
        <v>810</v>
      </c>
    </row>
    <row r="205" spans="1:6" x14ac:dyDescent="0.2">
      <c r="A205" s="19" t="s">
        <v>34</v>
      </c>
      <c r="C205" s="19" t="s">
        <v>811</v>
      </c>
      <c r="D205" s="19" t="s">
        <v>812</v>
      </c>
      <c r="E205" s="19" t="s">
        <v>813</v>
      </c>
      <c r="F205" s="19" t="s">
        <v>814</v>
      </c>
    </row>
    <row r="206" spans="1:6" x14ac:dyDescent="0.2">
      <c r="A206" s="19" t="s">
        <v>34</v>
      </c>
      <c r="C206" s="19" t="s">
        <v>815</v>
      </c>
      <c r="D206" s="19" t="s">
        <v>816</v>
      </c>
      <c r="E206" s="19" t="s">
        <v>817</v>
      </c>
      <c r="F206" s="19" t="s">
        <v>818</v>
      </c>
    </row>
    <row r="207" spans="1:6" x14ac:dyDescent="0.2">
      <c r="A207" s="19" t="s">
        <v>34</v>
      </c>
      <c r="C207" s="19" t="s">
        <v>819</v>
      </c>
      <c r="D207" s="19" t="s">
        <v>820</v>
      </c>
      <c r="E207" s="19" t="s">
        <v>821</v>
      </c>
      <c r="F207" s="19" t="s">
        <v>822</v>
      </c>
    </row>
    <row r="208" spans="1:6" x14ac:dyDescent="0.2">
      <c r="A208" s="19" t="s">
        <v>34</v>
      </c>
      <c r="C208" s="19" t="s">
        <v>823</v>
      </c>
      <c r="D208" s="19" t="s">
        <v>824</v>
      </c>
      <c r="E208" s="19" t="s">
        <v>825</v>
      </c>
      <c r="F208" s="19" t="s">
        <v>826</v>
      </c>
    </row>
    <row r="209" spans="1:6" x14ac:dyDescent="0.2">
      <c r="A209" s="19" t="s">
        <v>34</v>
      </c>
      <c r="C209" s="19" t="s">
        <v>827</v>
      </c>
      <c r="D209" s="19" t="s">
        <v>828</v>
      </c>
      <c r="E209" s="19" t="s">
        <v>829</v>
      </c>
      <c r="F209" s="19" t="s">
        <v>830</v>
      </c>
    </row>
    <row r="210" spans="1:6" x14ac:dyDescent="0.2">
      <c r="A210" s="19" t="s">
        <v>34</v>
      </c>
      <c r="C210" s="19" t="s">
        <v>831</v>
      </c>
      <c r="D210" s="19" t="s">
        <v>832</v>
      </c>
      <c r="E210" s="19" t="s">
        <v>833</v>
      </c>
      <c r="F210" s="19" t="s">
        <v>834</v>
      </c>
    </row>
    <row r="211" spans="1:6" x14ac:dyDescent="0.2">
      <c r="A211" s="19" t="s">
        <v>34</v>
      </c>
      <c r="C211" s="19" t="s">
        <v>835</v>
      </c>
      <c r="D211" s="19" t="s">
        <v>836</v>
      </c>
      <c r="E211" s="19" t="s">
        <v>837</v>
      </c>
      <c r="F211" s="19" t="s">
        <v>838</v>
      </c>
    </row>
    <row r="212" spans="1:6" x14ac:dyDescent="0.2">
      <c r="A212" s="19" t="s">
        <v>34</v>
      </c>
      <c r="C212" s="19" t="s">
        <v>839</v>
      </c>
      <c r="D212" s="19" t="s">
        <v>840</v>
      </c>
      <c r="E212" s="19" t="s">
        <v>841</v>
      </c>
      <c r="F212" s="19" t="s">
        <v>842</v>
      </c>
    </row>
    <row r="213" spans="1:6" x14ac:dyDescent="0.2">
      <c r="A213" s="19" t="s">
        <v>34</v>
      </c>
      <c r="C213" s="19" t="s">
        <v>843</v>
      </c>
      <c r="D213" s="19" t="s">
        <v>844</v>
      </c>
      <c r="E213" s="19" t="s">
        <v>845</v>
      </c>
      <c r="F213" s="19" t="s">
        <v>846</v>
      </c>
    </row>
    <row r="214" spans="1:6" x14ac:dyDescent="0.2">
      <c r="A214" s="19" t="s">
        <v>34</v>
      </c>
      <c r="C214" s="19" t="s">
        <v>847</v>
      </c>
      <c r="D214" s="19" t="s">
        <v>848</v>
      </c>
      <c r="E214" s="19" t="s">
        <v>849</v>
      </c>
      <c r="F214" s="19" t="s">
        <v>850</v>
      </c>
    </row>
    <row r="215" spans="1:6" x14ac:dyDescent="0.2">
      <c r="A215" s="19" t="s">
        <v>34</v>
      </c>
      <c r="C215" s="19" t="s">
        <v>851</v>
      </c>
      <c r="D215" s="19" t="s">
        <v>852</v>
      </c>
      <c r="E215" s="19" t="s">
        <v>853</v>
      </c>
      <c r="F215" s="19" t="s">
        <v>854</v>
      </c>
    </row>
    <row r="216" spans="1:6" x14ac:dyDescent="0.2">
      <c r="A216" s="19" t="s">
        <v>34</v>
      </c>
      <c r="C216" s="19" t="s">
        <v>855</v>
      </c>
      <c r="D216" s="19" t="s">
        <v>856</v>
      </c>
      <c r="E216" s="19" t="s">
        <v>857</v>
      </c>
      <c r="F216" s="19" t="s">
        <v>858</v>
      </c>
    </row>
    <row r="217" spans="1:6" x14ac:dyDescent="0.2">
      <c r="A217" s="19" t="s">
        <v>34</v>
      </c>
      <c r="C217" s="19" t="s">
        <v>859</v>
      </c>
      <c r="D217" s="19" t="s">
        <v>860</v>
      </c>
      <c r="E217" s="19" t="s">
        <v>861</v>
      </c>
      <c r="F217" s="19" t="s">
        <v>862</v>
      </c>
    </row>
    <row r="218" spans="1:6" x14ac:dyDescent="0.2">
      <c r="A218" s="19" t="s">
        <v>34</v>
      </c>
      <c r="C218" s="19" t="s">
        <v>863</v>
      </c>
      <c r="D218" s="19" t="s">
        <v>864</v>
      </c>
      <c r="E218" s="19" t="s">
        <v>865</v>
      </c>
      <c r="F218" s="19" t="s">
        <v>866</v>
      </c>
    </row>
    <row r="219" spans="1:6" x14ac:dyDescent="0.2">
      <c r="A219" s="19" t="s">
        <v>34</v>
      </c>
      <c r="C219" s="19" t="s">
        <v>867</v>
      </c>
      <c r="D219" s="19" t="s">
        <v>868</v>
      </c>
      <c r="E219" s="19" t="s">
        <v>869</v>
      </c>
      <c r="F219" s="19" t="s">
        <v>870</v>
      </c>
    </row>
    <row r="220" spans="1:6" x14ac:dyDescent="0.2">
      <c r="A220" s="19" t="s">
        <v>34</v>
      </c>
      <c r="C220" s="19" t="s">
        <v>871</v>
      </c>
      <c r="D220" s="19" t="s">
        <v>872</v>
      </c>
      <c r="E220" s="19" t="s">
        <v>873</v>
      </c>
      <c r="F220" s="19" t="s">
        <v>874</v>
      </c>
    </row>
    <row r="221" spans="1:6" x14ac:dyDescent="0.2">
      <c r="A221" s="19" t="s">
        <v>34</v>
      </c>
      <c r="C221" s="19" t="s">
        <v>875</v>
      </c>
      <c r="D221" s="19" t="s">
        <v>876</v>
      </c>
      <c r="E221" s="19" t="s">
        <v>877</v>
      </c>
      <c r="F221" s="19" t="s">
        <v>878</v>
      </c>
    </row>
    <row r="222" spans="1:6" x14ac:dyDescent="0.2">
      <c r="A222" s="19" t="s">
        <v>34</v>
      </c>
      <c r="C222" s="19" t="s">
        <v>879</v>
      </c>
      <c r="D222" s="19" t="s">
        <v>880</v>
      </c>
      <c r="E222" s="19" t="s">
        <v>881</v>
      </c>
      <c r="F222" s="19" t="s">
        <v>882</v>
      </c>
    </row>
    <row r="223" spans="1:6" x14ac:dyDescent="0.2">
      <c r="A223" s="19" t="s">
        <v>34</v>
      </c>
      <c r="C223" s="19" t="s">
        <v>883</v>
      </c>
      <c r="D223" s="19" t="s">
        <v>884</v>
      </c>
      <c r="E223" s="19" t="s">
        <v>885</v>
      </c>
      <c r="F223" s="19" t="s">
        <v>886</v>
      </c>
    </row>
    <row r="224" spans="1:6" x14ac:dyDescent="0.2">
      <c r="A224" s="19" t="s">
        <v>34</v>
      </c>
      <c r="C224" s="19" t="s">
        <v>887</v>
      </c>
      <c r="D224" s="19" t="s">
        <v>888</v>
      </c>
      <c r="E224" s="19" t="s">
        <v>889</v>
      </c>
      <c r="F224" s="19" t="s">
        <v>890</v>
      </c>
    </row>
    <row r="225" spans="1:6" x14ac:dyDescent="0.2">
      <c r="A225" s="19" t="s">
        <v>34</v>
      </c>
      <c r="C225" s="19" t="s">
        <v>891</v>
      </c>
      <c r="D225" s="19" t="s">
        <v>892</v>
      </c>
      <c r="E225" s="19" t="s">
        <v>893</v>
      </c>
      <c r="F225" s="19" t="s">
        <v>894</v>
      </c>
    </row>
    <row r="226" spans="1:6" x14ac:dyDescent="0.2">
      <c r="A226" s="19" t="s">
        <v>34</v>
      </c>
      <c r="C226" s="19" t="s">
        <v>895</v>
      </c>
      <c r="D226" s="19" t="s">
        <v>896</v>
      </c>
      <c r="E226" s="19" t="s">
        <v>897</v>
      </c>
      <c r="F226" s="19" t="s">
        <v>898</v>
      </c>
    </row>
    <row r="227" spans="1:6" x14ac:dyDescent="0.2">
      <c r="A227" s="19" t="s">
        <v>34</v>
      </c>
      <c r="C227" s="19" t="s">
        <v>899</v>
      </c>
      <c r="D227" s="19" t="s">
        <v>900</v>
      </c>
      <c r="E227" s="19" t="s">
        <v>901</v>
      </c>
      <c r="F227" s="19" t="s">
        <v>902</v>
      </c>
    </row>
    <row r="228" spans="1:6" x14ac:dyDescent="0.2">
      <c r="A228" s="19" t="s">
        <v>34</v>
      </c>
      <c r="C228" s="19" t="s">
        <v>903</v>
      </c>
      <c r="D228" s="19" t="s">
        <v>904</v>
      </c>
      <c r="E228" s="19" t="s">
        <v>905</v>
      </c>
      <c r="F228" s="19" t="s">
        <v>906</v>
      </c>
    </row>
    <row r="229" spans="1:6" x14ac:dyDescent="0.2">
      <c r="A229" s="19" t="s">
        <v>34</v>
      </c>
      <c r="C229" s="19" t="s">
        <v>907</v>
      </c>
      <c r="D229" s="19" t="s">
        <v>908</v>
      </c>
      <c r="E229" s="19" t="s">
        <v>909</v>
      </c>
      <c r="F229" s="19" t="s">
        <v>910</v>
      </c>
    </row>
    <row r="230" spans="1:6" x14ac:dyDescent="0.2">
      <c r="A230" s="19" t="s">
        <v>34</v>
      </c>
      <c r="C230" s="19" t="s">
        <v>911</v>
      </c>
      <c r="D230" s="19" t="s">
        <v>912</v>
      </c>
      <c r="E230" s="19" t="s">
        <v>913</v>
      </c>
      <c r="F230" s="19" t="s">
        <v>914</v>
      </c>
    </row>
    <row r="231" spans="1:6" x14ac:dyDescent="0.2">
      <c r="A231" s="19" t="s">
        <v>34</v>
      </c>
      <c r="C231" s="19" t="s">
        <v>915</v>
      </c>
      <c r="D231" s="19" t="s">
        <v>916</v>
      </c>
      <c r="E231" s="19" t="s">
        <v>917</v>
      </c>
      <c r="F231" s="19" t="s">
        <v>918</v>
      </c>
    </row>
    <row r="232" spans="1:6" x14ac:dyDescent="0.2">
      <c r="A232" s="19" t="s">
        <v>34</v>
      </c>
      <c r="C232" s="19" t="s">
        <v>919</v>
      </c>
      <c r="D232" s="19" t="s">
        <v>920</v>
      </c>
      <c r="E232" s="19" t="s">
        <v>921</v>
      </c>
      <c r="F232" s="19" t="s">
        <v>922</v>
      </c>
    </row>
    <row r="233" spans="1:6" x14ac:dyDescent="0.2">
      <c r="A233" s="19" t="s">
        <v>34</v>
      </c>
      <c r="C233" s="19" t="s">
        <v>923</v>
      </c>
      <c r="D233" s="19" t="s">
        <v>924</v>
      </c>
      <c r="E233" s="19" t="s">
        <v>925</v>
      </c>
      <c r="F233" s="19" t="s">
        <v>926</v>
      </c>
    </row>
    <row r="234" spans="1:6" x14ac:dyDescent="0.2">
      <c r="A234" s="19" t="s">
        <v>34</v>
      </c>
      <c r="C234" s="19" t="s">
        <v>927</v>
      </c>
      <c r="D234" s="19" t="s">
        <v>928</v>
      </c>
      <c r="E234" s="19" t="s">
        <v>929</v>
      </c>
      <c r="F234" s="19" t="s">
        <v>930</v>
      </c>
    </row>
    <row r="235" spans="1:6" x14ac:dyDescent="0.2">
      <c r="A235" s="19" t="s">
        <v>34</v>
      </c>
      <c r="C235" s="19" t="s">
        <v>931</v>
      </c>
      <c r="D235" s="19" t="s">
        <v>932</v>
      </c>
      <c r="E235" s="19" t="s">
        <v>933</v>
      </c>
      <c r="F235" s="19" t="s">
        <v>934</v>
      </c>
    </row>
    <row r="236" spans="1:6" x14ac:dyDescent="0.2">
      <c r="A236" s="19" t="s">
        <v>34</v>
      </c>
      <c r="C236" s="19" t="s">
        <v>935</v>
      </c>
      <c r="D236" s="19" t="s">
        <v>936</v>
      </c>
      <c r="E236" s="19" t="s">
        <v>937</v>
      </c>
      <c r="F236" s="19" t="s">
        <v>938</v>
      </c>
    </row>
    <row r="237" spans="1:6" x14ac:dyDescent="0.2">
      <c r="A237" s="19" t="s">
        <v>34</v>
      </c>
      <c r="C237" s="19" t="s">
        <v>939</v>
      </c>
      <c r="D237" s="19" t="s">
        <v>940</v>
      </c>
      <c r="E237" s="19" t="s">
        <v>941</v>
      </c>
      <c r="F237" s="19" t="s">
        <v>942</v>
      </c>
    </row>
    <row r="238" spans="1:6" x14ac:dyDescent="0.2">
      <c r="A238" s="19" t="s">
        <v>34</v>
      </c>
      <c r="C238" s="19" t="s">
        <v>943</v>
      </c>
      <c r="D238" s="19" t="s">
        <v>944</v>
      </c>
      <c r="E238" s="19" t="s">
        <v>945</v>
      </c>
      <c r="F238" s="19" t="s">
        <v>946</v>
      </c>
    </row>
    <row r="239" spans="1:6" x14ac:dyDescent="0.2">
      <c r="A239" s="19" t="s">
        <v>34</v>
      </c>
      <c r="C239" s="19" t="s">
        <v>947</v>
      </c>
      <c r="D239" s="19" t="s">
        <v>948</v>
      </c>
      <c r="E239" s="19" t="s">
        <v>949</v>
      </c>
      <c r="F239" s="19" t="s">
        <v>950</v>
      </c>
    </row>
    <row r="240" spans="1:6" x14ac:dyDescent="0.2">
      <c r="A240" s="19" t="s">
        <v>34</v>
      </c>
      <c r="C240" s="19" t="s">
        <v>951</v>
      </c>
      <c r="D240" s="19" t="s">
        <v>952</v>
      </c>
      <c r="E240" s="19" t="s">
        <v>953</v>
      </c>
      <c r="F240" s="19" t="s">
        <v>954</v>
      </c>
    </row>
    <row r="241" spans="1:6" x14ac:dyDescent="0.2">
      <c r="A241" s="19" t="s">
        <v>34</v>
      </c>
      <c r="C241" s="19" t="s">
        <v>955</v>
      </c>
      <c r="D241" s="19" t="s">
        <v>956</v>
      </c>
      <c r="E241" s="19" t="s">
        <v>957</v>
      </c>
      <c r="F241" s="19" t="s">
        <v>958</v>
      </c>
    </row>
    <row r="242" spans="1:6" x14ac:dyDescent="0.2">
      <c r="A242" s="19" t="s">
        <v>34</v>
      </c>
      <c r="C242" s="19" t="s">
        <v>959</v>
      </c>
      <c r="D242" s="19" t="s">
        <v>960</v>
      </c>
      <c r="E242" s="19" t="s">
        <v>961</v>
      </c>
      <c r="F242" s="19" t="s">
        <v>962</v>
      </c>
    </row>
    <row r="243" spans="1:6" x14ac:dyDescent="0.2">
      <c r="A243" s="19" t="s">
        <v>34</v>
      </c>
      <c r="C243" s="19" t="s">
        <v>963</v>
      </c>
      <c r="D243" s="19" t="s">
        <v>964</v>
      </c>
      <c r="E243" s="19" t="s">
        <v>965</v>
      </c>
      <c r="F243" s="19" t="s">
        <v>966</v>
      </c>
    </row>
    <row r="244" spans="1:6" x14ac:dyDescent="0.2">
      <c r="A244" s="19" t="s">
        <v>34</v>
      </c>
      <c r="C244" s="19" t="s">
        <v>967</v>
      </c>
      <c r="D244" s="19" t="s">
        <v>968</v>
      </c>
      <c r="E244" s="19" t="s">
        <v>969</v>
      </c>
      <c r="F244" s="19" t="s">
        <v>970</v>
      </c>
    </row>
    <row r="245" spans="1:6" x14ac:dyDescent="0.2">
      <c r="A245" s="19" t="s">
        <v>34</v>
      </c>
      <c r="C245" s="19" t="s">
        <v>971</v>
      </c>
      <c r="D245" s="19" t="s">
        <v>972</v>
      </c>
      <c r="E245" s="19" t="s">
        <v>973</v>
      </c>
      <c r="F245" s="19" t="s">
        <v>974</v>
      </c>
    </row>
    <row r="246" spans="1:6" x14ac:dyDescent="0.2">
      <c r="A246" s="19" t="s">
        <v>34</v>
      </c>
      <c r="C246" s="19" t="s">
        <v>975</v>
      </c>
      <c r="D246" s="19" t="s">
        <v>976</v>
      </c>
      <c r="E246" s="19" t="s">
        <v>977</v>
      </c>
      <c r="F246" s="19" t="s">
        <v>978</v>
      </c>
    </row>
    <row r="247" spans="1:6" x14ac:dyDescent="0.2">
      <c r="A247" s="19" t="s">
        <v>34</v>
      </c>
      <c r="C247" s="19" t="s">
        <v>979</v>
      </c>
      <c r="D247" s="19" t="s">
        <v>980</v>
      </c>
      <c r="E247" s="19" t="s">
        <v>981</v>
      </c>
      <c r="F247" s="19" t="s">
        <v>982</v>
      </c>
    </row>
    <row r="248" spans="1:6" x14ac:dyDescent="0.2">
      <c r="A248" s="19" t="s">
        <v>34</v>
      </c>
      <c r="C248" s="19" t="s">
        <v>983</v>
      </c>
      <c r="D248" s="19" t="s">
        <v>984</v>
      </c>
      <c r="E248" s="19" t="s">
        <v>985</v>
      </c>
      <c r="F248" s="19" t="s">
        <v>986</v>
      </c>
    </row>
    <row r="249" spans="1:6" x14ac:dyDescent="0.2">
      <c r="A249" s="19" t="s">
        <v>34</v>
      </c>
      <c r="C249" s="19" t="s">
        <v>987</v>
      </c>
      <c r="D249" s="19" t="s">
        <v>988</v>
      </c>
      <c r="E249" s="19" t="s">
        <v>989</v>
      </c>
      <c r="F249" s="19" t="s">
        <v>990</v>
      </c>
    </row>
    <row r="250" spans="1:6" x14ac:dyDescent="0.2">
      <c r="A250" s="19" t="s">
        <v>34</v>
      </c>
      <c r="C250" s="19" t="s">
        <v>991</v>
      </c>
      <c r="D250" s="19" t="s">
        <v>992</v>
      </c>
      <c r="E250" s="19" t="s">
        <v>993</v>
      </c>
      <c r="F250" s="19" t="s">
        <v>994</v>
      </c>
    </row>
    <row r="251" spans="1:6" x14ac:dyDescent="0.2">
      <c r="A251" s="19" t="s">
        <v>34</v>
      </c>
      <c r="C251" s="19" t="s">
        <v>995</v>
      </c>
      <c r="D251" s="19" t="s">
        <v>996</v>
      </c>
      <c r="E251" s="19" t="s">
        <v>997</v>
      </c>
      <c r="F251" s="19" t="s">
        <v>998</v>
      </c>
    </row>
    <row r="252" spans="1:6" x14ac:dyDescent="0.2">
      <c r="A252" s="19" t="s">
        <v>34</v>
      </c>
      <c r="C252" s="19" t="s">
        <v>999</v>
      </c>
      <c r="D252" s="19" t="s">
        <v>1000</v>
      </c>
      <c r="E252" s="19" t="s">
        <v>1001</v>
      </c>
      <c r="F252" s="19" t="s">
        <v>1002</v>
      </c>
    </row>
    <row r="253" spans="1:6" x14ac:dyDescent="0.2">
      <c r="A253" s="19" t="s">
        <v>34</v>
      </c>
      <c r="C253" s="19" t="s">
        <v>1003</v>
      </c>
      <c r="D253" s="19" t="s">
        <v>1004</v>
      </c>
      <c r="E253" s="19" t="s">
        <v>1005</v>
      </c>
      <c r="F253" s="19" t="s">
        <v>1006</v>
      </c>
    </row>
    <row r="254" spans="1:6" x14ac:dyDescent="0.2">
      <c r="A254" s="19" t="s">
        <v>34</v>
      </c>
      <c r="C254" s="19" t="s">
        <v>1007</v>
      </c>
      <c r="D254" s="19" t="s">
        <v>1008</v>
      </c>
      <c r="E254" s="19" t="s">
        <v>1009</v>
      </c>
      <c r="F254" s="19" t="s">
        <v>1010</v>
      </c>
    </row>
    <row r="255" spans="1:6" x14ac:dyDescent="0.2">
      <c r="A255" s="19" t="s">
        <v>34</v>
      </c>
      <c r="C255" s="19" t="s">
        <v>1011</v>
      </c>
      <c r="D255" s="19" t="s">
        <v>1012</v>
      </c>
      <c r="E255" s="19" t="s">
        <v>1013</v>
      </c>
      <c r="F255" s="19" t="s">
        <v>1014</v>
      </c>
    </row>
    <row r="256" spans="1:6" x14ac:dyDescent="0.2">
      <c r="A256" s="19" t="s">
        <v>34</v>
      </c>
      <c r="C256" s="19" t="s">
        <v>1015</v>
      </c>
      <c r="D256" s="19" t="s">
        <v>1016</v>
      </c>
      <c r="E256" s="19" t="s">
        <v>1017</v>
      </c>
      <c r="F256" s="19" t="s">
        <v>1018</v>
      </c>
    </row>
    <row r="257" spans="1:6" x14ac:dyDescent="0.2">
      <c r="A257" s="19" t="s">
        <v>34</v>
      </c>
      <c r="C257" s="19" t="s">
        <v>1019</v>
      </c>
      <c r="D257" s="19" t="s">
        <v>1020</v>
      </c>
      <c r="E257" s="19" t="s">
        <v>1021</v>
      </c>
      <c r="F257" s="19" t="s">
        <v>1022</v>
      </c>
    </row>
    <row r="258" spans="1:6" x14ac:dyDescent="0.2">
      <c r="A258" s="19" t="s">
        <v>34</v>
      </c>
      <c r="C258" s="19" t="s">
        <v>1023</v>
      </c>
      <c r="D258" s="19" t="s">
        <v>1024</v>
      </c>
      <c r="E258" s="19" t="s">
        <v>1025</v>
      </c>
      <c r="F258" s="19" t="s">
        <v>1026</v>
      </c>
    </row>
    <row r="259" spans="1:6" x14ac:dyDescent="0.2">
      <c r="A259" s="19" t="s">
        <v>34</v>
      </c>
      <c r="C259" s="19" t="s">
        <v>1027</v>
      </c>
      <c r="D259" s="19" t="s">
        <v>1028</v>
      </c>
      <c r="E259" s="19" t="s">
        <v>1029</v>
      </c>
      <c r="F259" s="19" t="s">
        <v>1030</v>
      </c>
    </row>
    <row r="260" spans="1:6" x14ac:dyDescent="0.2">
      <c r="A260" s="19" t="s">
        <v>34</v>
      </c>
      <c r="C260" s="19" t="s">
        <v>1031</v>
      </c>
      <c r="D260" s="19" t="s">
        <v>1032</v>
      </c>
      <c r="E260" s="19" t="s">
        <v>1033</v>
      </c>
      <c r="F260" s="19" t="s">
        <v>1034</v>
      </c>
    </row>
    <row r="261" spans="1:6" x14ac:dyDescent="0.2">
      <c r="A261" s="19" t="s">
        <v>34</v>
      </c>
      <c r="C261" s="19" t="s">
        <v>1035</v>
      </c>
      <c r="D261" s="19" t="s">
        <v>1036</v>
      </c>
      <c r="E261" s="19" t="s">
        <v>1037</v>
      </c>
      <c r="F261" s="19" t="s">
        <v>1038</v>
      </c>
    </row>
    <row r="262" spans="1:6" x14ac:dyDescent="0.2">
      <c r="A262" s="19" t="s">
        <v>34</v>
      </c>
      <c r="C262" s="19" t="s">
        <v>1039</v>
      </c>
      <c r="D262" s="19" t="s">
        <v>1040</v>
      </c>
      <c r="E262" s="19" t="s">
        <v>1041</v>
      </c>
      <c r="F262" s="19" t="s">
        <v>1042</v>
      </c>
    </row>
    <row r="263" spans="1:6" x14ac:dyDescent="0.2">
      <c r="A263" s="19" t="s">
        <v>34</v>
      </c>
      <c r="C263" s="19" t="s">
        <v>1043</v>
      </c>
      <c r="D263" s="19" t="s">
        <v>1044</v>
      </c>
      <c r="E263" s="19" t="s">
        <v>1045</v>
      </c>
      <c r="F263" s="19" t="s">
        <v>1046</v>
      </c>
    </row>
    <row r="264" spans="1:6" x14ac:dyDescent="0.2">
      <c r="A264" s="19" t="s">
        <v>34</v>
      </c>
      <c r="C264" s="19" t="s">
        <v>1047</v>
      </c>
      <c r="D264" s="19" t="s">
        <v>1048</v>
      </c>
      <c r="E264" s="19" t="s">
        <v>1049</v>
      </c>
      <c r="F264" s="19" t="s">
        <v>1050</v>
      </c>
    </row>
    <row r="265" spans="1:6" x14ac:dyDescent="0.2">
      <c r="A265" s="19" t="s">
        <v>34</v>
      </c>
      <c r="C265" s="19" t="s">
        <v>1051</v>
      </c>
      <c r="D265" s="19" t="s">
        <v>1052</v>
      </c>
      <c r="E265" s="19" t="s">
        <v>1053</v>
      </c>
      <c r="F265" s="19" t="s">
        <v>1054</v>
      </c>
    </row>
    <row r="266" spans="1:6" x14ac:dyDescent="0.2">
      <c r="A266" s="19" t="s">
        <v>34</v>
      </c>
      <c r="C266" s="19" t="s">
        <v>1055</v>
      </c>
      <c r="D266" s="19" t="s">
        <v>1056</v>
      </c>
      <c r="E266" s="19" t="s">
        <v>1057</v>
      </c>
      <c r="F266" s="19" t="s">
        <v>1058</v>
      </c>
    </row>
    <row r="267" spans="1:6" x14ac:dyDescent="0.2">
      <c r="A267" s="19" t="s">
        <v>34</v>
      </c>
      <c r="C267" s="19" t="s">
        <v>1059</v>
      </c>
      <c r="D267" s="19" t="s">
        <v>1060</v>
      </c>
      <c r="E267" s="19" t="s">
        <v>1061</v>
      </c>
      <c r="F267" s="19" t="s">
        <v>1062</v>
      </c>
    </row>
    <row r="268" spans="1:6" x14ac:dyDescent="0.2">
      <c r="A268" s="19" t="s">
        <v>34</v>
      </c>
      <c r="C268" s="19" t="s">
        <v>1063</v>
      </c>
      <c r="D268" s="19" t="s">
        <v>1064</v>
      </c>
      <c r="E268" s="19" t="s">
        <v>1065</v>
      </c>
      <c r="F268" s="19" t="s">
        <v>1066</v>
      </c>
    </row>
    <row r="269" spans="1:6" x14ac:dyDescent="0.2">
      <c r="A269" s="19" t="s">
        <v>34</v>
      </c>
      <c r="C269" s="19" t="s">
        <v>1067</v>
      </c>
      <c r="D269" s="19" t="s">
        <v>1068</v>
      </c>
      <c r="E269" s="19" t="s">
        <v>1069</v>
      </c>
      <c r="F269" s="19" t="s">
        <v>1070</v>
      </c>
    </row>
    <row r="270" spans="1:6" x14ac:dyDescent="0.2">
      <c r="A270" s="19" t="s">
        <v>34</v>
      </c>
      <c r="C270" s="19" t="s">
        <v>1071</v>
      </c>
      <c r="D270" s="19" t="s">
        <v>1072</v>
      </c>
      <c r="E270" s="19" t="s">
        <v>1073</v>
      </c>
      <c r="F270" s="19" t="s">
        <v>1074</v>
      </c>
    </row>
    <row r="271" spans="1:6" x14ac:dyDescent="0.2">
      <c r="A271" s="19" t="s">
        <v>34</v>
      </c>
      <c r="C271" s="19" t="s">
        <v>1075</v>
      </c>
      <c r="D271" s="19" t="s">
        <v>1076</v>
      </c>
      <c r="E271" s="19" t="s">
        <v>1077</v>
      </c>
      <c r="F271" s="19" t="s">
        <v>1078</v>
      </c>
    </row>
    <row r="272" spans="1:6" x14ac:dyDescent="0.2">
      <c r="A272" s="19" t="s">
        <v>34</v>
      </c>
      <c r="C272" s="19" t="s">
        <v>1079</v>
      </c>
      <c r="D272" s="19" t="s">
        <v>1080</v>
      </c>
      <c r="E272" s="19" t="s">
        <v>1081</v>
      </c>
      <c r="F272" s="19" t="s">
        <v>1082</v>
      </c>
    </row>
    <row r="273" spans="1:6" x14ac:dyDescent="0.2">
      <c r="A273" s="19" t="s">
        <v>34</v>
      </c>
      <c r="C273" s="19" t="s">
        <v>1083</v>
      </c>
      <c r="D273" s="19" t="s">
        <v>1084</v>
      </c>
      <c r="E273" s="19" t="s">
        <v>1085</v>
      </c>
      <c r="F273" s="19" t="s">
        <v>1086</v>
      </c>
    </row>
    <row r="274" spans="1:6" x14ac:dyDescent="0.2">
      <c r="A274" s="19" t="s">
        <v>34</v>
      </c>
      <c r="C274" s="19" t="s">
        <v>1087</v>
      </c>
      <c r="D274" s="19" t="s">
        <v>1088</v>
      </c>
      <c r="E274" s="19" t="s">
        <v>1089</v>
      </c>
      <c r="F274" s="19" t="s">
        <v>1090</v>
      </c>
    </row>
    <row r="275" spans="1:6" x14ac:dyDescent="0.2">
      <c r="A275" s="19" t="s">
        <v>34</v>
      </c>
      <c r="C275" s="19" t="s">
        <v>1091</v>
      </c>
      <c r="D275" s="19" t="s">
        <v>1092</v>
      </c>
      <c r="E275" s="19" t="s">
        <v>1093</v>
      </c>
      <c r="F275" s="19" t="s">
        <v>1094</v>
      </c>
    </row>
    <row r="276" spans="1:6" x14ac:dyDescent="0.2">
      <c r="A276" s="19" t="s">
        <v>34</v>
      </c>
      <c r="C276" s="19" t="s">
        <v>1095</v>
      </c>
      <c r="D276" s="19" t="s">
        <v>1096</v>
      </c>
      <c r="E276" s="19" t="s">
        <v>1097</v>
      </c>
      <c r="F276" s="19" t="s">
        <v>1098</v>
      </c>
    </row>
    <row r="277" spans="1:6" x14ac:dyDescent="0.2">
      <c r="A277" s="19" t="s">
        <v>34</v>
      </c>
      <c r="C277" s="19" t="s">
        <v>1099</v>
      </c>
      <c r="D277" s="19" t="s">
        <v>1100</v>
      </c>
      <c r="E277" s="19" t="s">
        <v>1101</v>
      </c>
      <c r="F277" s="19" t="s">
        <v>1102</v>
      </c>
    </row>
    <row r="278" spans="1:6" x14ac:dyDescent="0.2">
      <c r="A278" s="19" t="s">
        <v>34</v>
      </c>
      <c r="C278" s="19" t="s">
        <v>1103</v>
      </c>
      <c r="D278" s="19" t="s">
        <v>1104</v>
      </c>
      <c r="E278" s="19" t="s">
        <v>1105</v>
      </c>
      <c r="F278" s="19" t="s">
        <v>1106</v>
      </c>
    </row>
    <row r="279" spans="1:6" x14ac:dyDescent="0.2">
      <c r="A279" s="19" t="s">
        <v>34</v>
      </c>
      <c r="C279" s="19" t="s">
        <v>1107</v>
      </c>
      <c r="D279" s="19" t="s">
        <v>1108</v>
      </c>
      <c r="E279" s="19" t="s">
        <v>1109</v>
      </c>
      <c r="F279" s="19" t="s">
        <v>1110</v>
      </c>
    </row>
    <row r="280" spans="1:6" x14ac:dyDescent="0.2">
      <c r="A280" s="19" t="s">
        <v>34</v>
      </c>
      <c r="C280" s="19" t="s">
        <v>1111</v>
      </c>
      <c r="D280" s="19" t="s">
        <v>1112</v>
      </c>
      <c r="E280" s="19" t="s">
        <v>1113</v>
      </c>
      <c r="F280" s="19" t="s">
        <v>1114</v>
      </c>
    </row>
    <row r="281" spans="1:6" x14ac:dyDescent="0.2">
      <c r="A281" s="19" t="s">
        <v>34</v>
      </c>
      <c r="C281" s="19" t="s">
        <v>1115</v>
      </c>
      <c r="D281" s="19" t="s">
        <v>1116</v>
      </c>
      <c r="E281" s="19" t="s">
        <v>1117</v>
      </c>
      <c r="F281" s="19" t="s">
        <v>1118</v>
      </c>
    </row>
    <row r="282" spans="1:6" x14ac:dyDescent="0.2">
      <c r="A282" s="19" t="s">
        <v>34</v>
      </c>
      <c r="C282" s="19" t="s">
        <v>1119</v>
      </c>
      <c r="D282" s="19" t="s">
        <v>1120</v>
      </c>
      <c r="E282" s="19" t="s">
        <v>1121</v>
      </c>
      <c r="F282" s="19" t="s">
        <v>1122</v>
      </c>
    </row>
    <row r="283" spans="1:6" x14ac:dyDescent="0.2">
      <c r="A283" s="19" t="s">
        <v>34</v>
      </c>
      <c r="C283" s="19" t="s">
        <v>1123</v>
      </c>
      <c r="D283" s="19" t="s">
        <v>1124</v>
      </c>
      <c r="E283" s="19" t="s">
        <v>1125</v>
      </c>
      <c r="F283" s="19" t="s">
        <v>1126</v>
      </c>
    </row>
    <row r="284" spans="1:6" x14ac:dyDescent="0.2">
      <c r="A284" s="19" t="s">
        <v>34</v>
      </c>
      <c r="C284" s="19" t="s">
        <v>1127</v>
      </c>
      <c r="D284" s="19" t="s">
        <v>1128</v>
      </c>
      <c r="E284" s="19" t="s">
        <v>1129</v>
      </c>
      <c r="F284" s="19" t="s">
        <v>1130</v>
      </c>
    </row>
    <row r="285" spans="1:6" x14ac:dyDescent="0.2">
      <c r="A285" s="19" t="s">
        <v>34</v>
      </c>
      <c r="C285" s="19" t="s">
        <v>1131</v>
      </c>
      <c r="D285" s="19" t="s">
        <v>1132</v>
      </c>
      <c r="E285" s="19" t="s">
        <v>1133</v>
      </c>
      <c r="F285" s="19" t="s">
        <v>1134</v>
      </c>
    </row>
    <row r="286" spans="1:6" x14ac:dyDescent="0.2">
      <c r="A286" s="19" t="s">
        <v>34</v>
      </c>
      <c r="C286" s="19" t="s">
        <v>1135</v>
      </c>
      <c r="D286" s="19" t="s">
        <v>1136</v>
      </c>
      <c r="E286" s="19" t="s">
        <v>1137</v>
      </c>
      <c r="F286" s="19" t="s">
        <v>1138</v>
      </c>
    </row>
    <row r="287" spans="1:6" x14ac:dyDescent="0.2">
      <c r="A287" s="19" t="s">
        <v>34</v>
      </c>
      <c r="C287" s="19" t="s">
        <v>1139</v>
      </c>
      <c r="D287" s="19" t="s">
        <v>1140</v>
      </c>
      <c r="E287" s="19" t="s">
        <v>1141</v>
      </c>
      <c r="F287" s="19" t="s">
        <v>1142</v>
      </c>
    </row>
    <row r="288" spans="1:6" x14ac:dyDescent="0.2">
      <c r="A288" s="19" t="s">
        <v>34</v>
      </c>
      <c r="C288" s="19" t="s">
        <v>1143</v>
      </c>
      <c r="D288" s="19" t="s">
        <v>1144</v>
      </c>
      <c r="E288" s="19" t="s">
        <v>1145</v>
      </c>
      <c r="F288" s="19" t="s">
        <v>1146</v>
      </c>
    </row>
    <row r="289" spans="1:6" x14ac:dyDescent="0.2">
      <c r="A289" s="19" t="s">
        <v>34</v>
      </c>
      <c r="C289" s="19" t="s">
        <v>1147</v>
      </c>
      <c r="D289" s="19" t="s">
        <v>1148</v>
      </c>
      <c r="E289" s="19" t="s">
        <v>1149</v>
      </c>
      <c r="F289" s="19" t="s">
        <v>1150</v>
      </c>
    </row>
    <row r="290" spans="1:6" x14ac:dyDescent="0.2">
      <c r="A290" s="19" t="s">
        <v>34</v>
      </c>
      <c r="C290" s="19" t="s">
        <v>1151</v>
      </c>
      <c r="D290" s="19" t="s">
        <v>1152</v>
      </c>
      <c r="E290" s="19" t="s">
        <v>1153</v>
      </c>
      <c r="F290" s="19" t="s">
        <v>1154</v>
      </c>
    </row>
    <row r="291" spans="1:6" x14ac:dyDescent="0.2">
      <c r="A291" s="19" t="s">
        <v>34</v>
      </c>
      <c r="C291" s="19" t="s">
        <v>1155</v>
      </c>
      <c r="D291" s="19" t="s">
        <v>1156</v>
      </c>
      <c r="E291" s="19" t="s">
        <v>1157</v>
      </c>
      <c r="F291" s="19" t="s">
        <v>1158</v>
      </c>
    </row>
    <row r="292" spans="1:6" x14ac:dyDescent="0.2">
      <c r="A292" s="19" t="s">
        <v>34</v>
      </c>
      <c r="C292" s="19" t="s">
        <v>1159</v>
      </c>
      <c r="D292" s="19" t="s">
        <v>1160</v>
      </c>
      <c r="E292" s="19" t="s">
        <v>1161</v>
      </c>
      <c r="F292" s="19" t="s">
        <v>1162</v>
      </c>
    </row>
    <row r="293" spans="1:6" x14ac:dyDescent="0.2">
      <c r="A293" s="19" t="s">
        <v>34</v>
      </c>
      <c r="C293" s="19" t="s">
        <v>1163</v>
      </c>
      <c r="D293" s="19" t="s">
        <v>1164</v>
      </c>
      <c r="E293" s="19" t="s">
        <v>1165</v>
      </c>
      <c r="F293" s="19" t="s">
        <v>1166</v>
      </c>
    </row>
    <row r="294" spans="1:6" x14ac:dyDescent="0.2">
      <c r="A294" s="19" t="s">
        <v>34</v>
      </c>
      <c r="C294" s="19" t="s">
        <v>1167</v>
      </c>
      <c r="D294" s="19" t="s">
        <v>1168</v>
      </c>
      <c r="E294" s="19" t="s">
        <v>1169</v>
      </c>
      <c r="F294" s="19" t="s">
        <v>1170</v>
      </c>
    </row>
    <row r="295" spans="1:6" x14ac:dyDescent="0.2">
      <c r="A295" s="19" t="s">
        <v>34</v>
      </c>
      <c r="C295" s="19" t="s">
        <v>1171</v>
      </c>
      <c r="D295" s="19" t="s">
        <v>1172</v>
      </c>
      <c r="E295" s="19" t="s">
        <v>1173</v>
      </c>
      <c r="F295" s="19" t="s">
        <v>1174</v>
      </c>
    </row>
    <row r="296" spans="1:6" x14ac:dyDescent="0.2">
      <c r="A296" s="19" t="s">
        <v>34</v>
      </c>
      <c r="C296" s="19" t="s">
        <v>1175</v>
      </c>
      <c r="D296" s="19" t="s">
        <v>1176</v>
      </c>
      <c r="E296" s="19" t="s">
        <v>1177</v>
      </c>
      <c r="F296" s="19" t="s">
        <v>1178</v>
      </c>
    </row>
    <row r="297" spans="1:6" x14ac:dyDescent="0.2">
      <c r="A297" s="19" t="s">
        <v>34</v>
      </c>
      <c r="C297" s="19" t="s">
        <v>1179</v>
      </c>
      <c r="D297" s="19" t="s">
        <v>1180</v>
      </c>
      <c r="E297" s="19" t="s">
        <v>1181</v>
      </c>
      <c r="F297" s="19" t="s">
        <v>1182</v>
      </c>
    </row>
    <row r="298" spans="1:6" x14ac:dyDescent="0.2">
      <c r="A298" s="19" t="s">
        <v>34</v>
      </c>
      <c r="C298" s="19" t="s">
        <v>1183</v>
      </c>
      <c r="D298" s="19" t="s">
        <v>1184</v>
      </c>
      <c r="E298" s="19" t="s">
        <v>1185</v>
      </c>
      <c r="F298" s="19" t="s">
        <v>1186</v>
      </c>
    </row>
    <row r="299" spans="1:6" x14ac:dyDescent="0.2">
      <c r="A299" s="19" t="s">
        <v>34</v>
      </c>
      <c r="C299" s="19" t="s">
        <v>1187</v>
      </c>
      <c r="D299" s="19" t="s">
        <v>1188</v>
      </c>
      <c r="E299" s="19" t="s">
        <v>1189</v>
      </c>
      <c r="F299" s="19" t="s">
        <v>1190</v>
      </c>
    </row>
    <row r="300" spans="1:6" x14ac:dyDescent="0.2">
      <c r="A300" s="19" t="s">
        <v>34</v>
      </c>
      <c r="C300" s="19" t="s">
        <v>1191</v>
      </c>
      <c r="D300" s="19" t="s">
        <v>1192</v>
      </c>
      <c r="E300" s="19" t="s">
        <v>1193</v>
      </c>
      <c r="F300" s="19" t="s">
        <v>1194</v>
      </c>
    </row>
    <row r="301" spans="1:6" x14ac:dyDescent="0.2">
      <c r="A301" s="19" t="s">
        <v>34</v>
      </c>
      <c r="C301" s="19" t="s">
        <v>1195</v>
      </c>
      <c r="D301" s="19" t="s">
        <v>1196</v>
      </c>
      <c r="E301" s="19" t="s">
        <v>1197</v>
      </c>
      <c r="F301" s="19" t="s">
        <v>1198</v>
      </c>
    </row>
    <row r="302" spans="1:6" x14ac:dyDescent="0.2">
      <c r="A302" s="19" t="s">
        <v>34</v>
      </c>
      <c r="C302" s="19" t="s">
        <v>1199</v>
      </c>
      <c r="D302" s="19" t="s">
        <v>1200</v>
      </c>
      <c r="E302" s="19" t="s">
        <v>1201</v>
      </c>
      <c r="F302" s="19" t="s">
        <v>1202</v>
      </c>
    </row>
    <row r="303" spans="1:6" x14ac:dyDescent="0.2">
      <c r="A303" s="19" t="s">
        <v>34</v>
      </c>
      <c r="C303" s="19" t="s">
        <v>1203</v>
      </c>
      <c r="D303" s="19" t="s">
        <v>1204</v>
      </c>
      <c r="E303" s="19" t="s">
        <v>1205</v>
      </c>
      <c r="F303" s="19" t="s">
        <v>1206</v>
      </c>
    </row>
    <row r="304" spans="1:6" x14ac:dyDescent="0.2">
      <c r="A304" s="19" t="s">
        <v>34</v>
      </c>
      <c r="C304" s="19" t="s">
        <v>1207</v>
      </c>
      <c r="D304" s="19" t="s">
        <v>1208</v>
      </c>
      <c r="E304" s="19" t="s">
        <v>1209</v>
      </c>
      <c r="F304" s="19" t="s">
        <v>1210</v>
      </c>
    </row>
    <row r="305" spans="1:6" x14ac:dyDescent="0.2">
      <c r="A305" s="19" t="s">
        <v>34</v>
      </c>
      <c r="C305" s="19" t="s">
        <v>1211</v>
      </c>
      <c r="D305" s="19" t="s">
        <v>1212</v>
      </c>
      <c r="E305" s="19" t="s">
        <v>1213</v>
      </c>
      <c r="F305" s="19" t="s">
        <v>1214</v>
      </c>
    </row>
    <row r="306" spans="1:6" x14ac:dyDescent="0.2">
      <c r="A306" s="19" t="s">
        <v>34</v>
      </c>
      <c r="C306" s="19" t="s">
        <v>1215</v>
      </c>
      <c r="D306" s="19" t="s">
        <v>1216</v>
      </c>
      <c r="E306" s="19" t="s">
        <v>1217</v>
      </c>
      <c r="F306" s="19" t="s">
        <v>1218</v>
      </c>
    </row>
    <row r="307" spans="1:6" x14ac:dyDescent="0.2">
      <c r="A307" s="19" t="s">
        <v>34</v>
      </c>
      <c r="C307" s="19" t="s">
        <v>1219</v>
      </c>
      <c r="D307" s="19" t="s">
        <v>1220</v>
      </c>
      <c r="E307" s="19" t="s">
        <v>1221</v>
      </c>
      <c r="F307" s="19" t="s">
        <v>1222</v>
      </c>
    </row>
    <row r="308" spans="1:6" x14ac:dyDescent="0.2">
      <c r="A308" s="19" t="s">
        <v>34</v>
      </c>
      <c r="C308" s="19" t="s">
        <v>1223</v>
      </c>
      <c r="D308" s="19" t="s">
        <v>1224</v>
      </c>
      <c r="E308" s="19" t="s">
        <v>1225</v>
      </c>
      <c r="F308" s="19" t="s">
        <v>1226</v>
      </c>
    </row>
    <row r="309" spans="1:6" x14ac:dyDescent="0.2">
      <c r="A309" s="19" t="s">
        <v>34</v>
      </c>
      <c r="C309" s="19" t="s">
        <v>1227</v>
      </c>
      <c r="D309" s="19" t="s">
        <v>1228</v>
      </c>
      <c r="E309" s="19" t="s">
        <v>1229</v>
      </c>
      <c r="F309" s="19" t="s">
        <v>1230</v>
      </c>
    </row>
    <row r="310" spans="1:6" x14ac:dyDescent="0.2">
      <c r="A310" s="19" t="s">
        <v>34</v>
      </c>
      <c r="C310" s="19" t="s">
        <v>1231</v>
      </c>
      <c r="D310" s="19" t="s">
        <v>1232</v>
      </c>
      <c r="E310" s="19" t="s">
        <v>1233</v>
      </c>
      <c r="F310" s="19" t="s">
        <v>1234</v>
      </c>
    </row>
    <row r="311" spans="1:6" x14ac:dyDescent="0.2">
      <c r="A311" s="19" t="s">
        <v>34</v>
      </c>
      <c r="C311" s="19" t="s">
        <v>1235</v>
      </c>
      <c r="D311" s="19" t="s">
        <v>1236</v>
      </c>
      <c r="E311" s="19" t="s">
        <v>1237</v>
      </c>
      <c r="F311" s="19" t="s">
        <v>1238</v>
      </c>
    </row>
    <row r="312" spans="1:6" x14ac:dyDescent="0.2">
      <c r="A312" s="19" t="s">
        <v>34</v>
      </c>
      <c r="C312" s="19" t="s">
        <v>1239</v>
      </c>
      <c r="D312" s="19" t="s">
        <v>1240</v>
      </c>
      <c r="E312" s="19" t="s">
        <v>1241</v>
      </c>
      <c r="F312" s="19" t="s">
        <v>1242</v>
      </c>
    </row>
    <row r="313" spans="1:6" x14ac:dyDescent="0.2">
      <c r="A313" s="19" t="s">
        <v>34</v>
      </c>
      <c r="C313" s="19" t="s">
        <v>1243</v>
      </c>
      <c r="D313" s="19" t="s">
        <v>1244</v>
      </c>
      <c r="E313" s="19" t="s">
        <v>1245</v>
      </c>
      <c r="F313" s="19" t="s">
        <v>1246</v>
      </c>
    </row>
    <row r="314" spans="1:6" x14ac:dyDescent="0.2">
      <c r="A314" s="19" t="s">
        <v>34</v>
      </c>
      <c r="C314" s="19" t="s">
        <v>1247</v>
      </c>
      <c r="D314" s="19" t="s">
        <v>1248</v>
      </c>
      <c r="E314" s="19" t="s">
        <v>1249</v>
      </c>
      <c r="F314" s="19" t="s">
        <v>1250</v>
      </c>
    </row>
    <row r="315" spans="1:6" x14ac:dyDescent="0.2">
      <c r="A315" s="19" t="s">
        <v>34</v>
      </c>
      <c r="C315" s="19" t="s">
        <v>1251</v>
      </c>
      <c r="D315" s="19" t="s">
        <v>1252</v>
      </c>
      <c r="E315" s="19" t="s">
        <v>1253</v>
      </c>
      <c r="F315" s="19" t="s">
        <v>1254</v>
      </c>
    </row>
    <row r="316" spans="1:6" x14ac:dyDescent="0.2">
      <c r="A316" s="19" t="s">
        <v>34</v>
      </c>
      <c r="C316" s="19" t="s">
        <v>1255</v>
      </c>
      <c r="D316" s="19" t="s">
        <v>1256</v>
      </c>
      <c r="E316" s="19" t="s">
        <v>1257</v>
      </c>
      <c r="F316" s="19" t="s">
        <v>1258</v>
      </c>
    </row>
    <row r="317" spans="1:6" x14ac:dyDescent="0.2">
      <c r="A317" s="19" t="s">
        <v>34</v>
      </c>
      <c r="C317" s="19" t="s">
        <v>1259</v>
      </c>
      <c r="D317" s="19" t="s">
        <v>1260</v>
      </c>
      <c r="E317" s="19" t="s">
        <v>1261</v>
      </c>
      <c r="F317" s="19" t="s">
        <v>1262</v>
      </c>
    </row>
    <row r="318" spans="1:6" x14ac:dyDescent="0.2">
      <c r="A318" s="19" t="s">
        <v>34</v>
      </c>
      <c r="C318" s="19" t="s">
        <v>1263</v>
      </c>
      <c r="D318" s="19" t="s">
        <v>1264</v>
      </c>
      <c r="E318" s="19" t="s">
        <v>1265</v>
      </c>
      <c r="F318" s="19" t="s">
        <v>1266</v>
      </c>
    </row>
    <row r="319" spans="1:6" x14ac:dyDescent="0.2">
      <c r="A319" s="19" t="s">
        <v>34</v>
      </c>
      <c r="C319" s="19" t="s">
        <v>1267</v>
      </c>
      <c r="D319" s="19" t="s">
        <v>1268</v>
      </c>
      <c r="E319" s="19" t="s">
        <v>1269</v>
      </c>
      <c r="F319" s="19" t="s">
        <v>1270</v>
      </c>
    </row>
    <row r="320" spans="1:6" x14ac:dyDescent="0.2">
      <c r="A320" s="19" t="s">
        <v>34</v>
      </c>
      <c r="C320" s="19" t="s">
        <v>1271</v>
      </c>
      <c r="D320" s="19" t="s">
        <v>1272</v>
      </c>
      <c r="E320" s="19" t="s">
        <v>1273</v>
      </c>
      <c r="F320" s="19" t="s">
        <v>1274</v>
      </c>
    </row>
    <row r="321" spans="1:6" x14ac:dyDescent="0.2">
      <c r="A321" s="19" t="s">
        <v>34</v>
      </c>
      <c r="C321" s="19" t="s">
        <v>1275</v>
      </c>
      <c r="D321" s="19" t="s">
        <v>1276</v>
      </c>
      <c r="E321" s="19" t="s">
        <v>1277</v>
      </c>
      <c r="F321" s="19" t="s">
        <v>1278</v>
      </c>
    </row>
    <row r="322" spans="1:6" x14ac:dyDescent="0.2">
      <c r="A322" s="19" t="s">
        <v>34</v>
      </c>
      <c r="C322" s="19" t="s">
        <v>1279</v>
      </c>
      <c r="D322" s="19" t="s">
        <v>1280</v>
      </c>
      <c r="E322" s="19" t="s">
        <v>1281</v>
      </c>
      <c r="F322" s="19" t="s">
        <v>1282</v>
      </c>
    </row>
    <row r="323" spans="1:6" x14ac:dyDescent="0.2">
      <c r="A323" s="19" t="s">
        <v>34</v>
      </c>
      <c r="C323" s="19" t="s">
        <v>1283</v>
      </c>
      <c r="D323" s="19" t="s">
        <v>1284</v>
      </c>
      <c r="E323" s="19" t="s">
        <v>1285</v>
      </c>
      <c r="F323" s="19" t="s">
        <v>1286</v>
      </c>
    </row>
    <row r="324" spans="1:6" x14ac:dyDescent="0.2">
      <c r="A324" s="19" t="s">
        <v>34</v>
      </c>
      <c r="C324" s="19" t="s">
        <v>1287</v>
      </c>
      <c r="D324" s="19" t="s">
        <v>1288</v>
      </c>
      <c r="E324" s="19" t="s">
        <v>1289</v>
      </c>
      <c r="F324" s="19" t="s">
        <v>1290</v>
      </c>
    </row>
    <row r="325" spans="1:6" x14ac:dyDescent="0.2">
      <c r="A325" s="19" t="s">
        <v>34</v>
      </c>
      <c r="C325" s="19" t="s">
        <v>1291</v>
      </c>
      <c r="D325" s="19" t="s">
        <v>1292</v>
      </c>
      <c r="E325" s="19" t="s">
        <v>1293</v>
      </c>
      <c r="F325" s="19" t="s">
        <v>1294</v>
      </c>
    </row>
    <row r="326" spans="1:6" x14ac:dyDescent="0.2">
      <c r="A326" s="19" t="s">
        <v>34</v>
      </c>
      <c r="C326" s="19" t="s">
        <v>1295</v>
      </c>
      <c r="D326" s="19" t="s">
        <v>1296</v>
      </c>
      <c r="E326" s="19" t="s">
        <v>1297</v>
      </c>
      <c r="F326" s="19" t="s">
        <v>1298</v>
      </c>
    </row>
    <row r="327" spans="1:6" x14ac:dyDescent="0.2">
      <c r="A327" s="19" t="s">
        <v>34</v>
      </c>
      <c r="C327" s="19" t="s">
        <v>1299</v>
      </c>
      <c r="D327" s="19" t="s">
        <v>1300</v>
      </c>
      <c r="E327" s="19" t="s">
        <v>1301</v>
      </c>
      <c r="F327" s="19" t="s">
        <v>1302</v>
      </c>
    </row>
    <row r="328" spans="1:6" x14ac:dyDescent="0.2">
      <c r="A328" s="19" t="s">
        <v>34</v>
      </c>
      <c r="C328" s="19" t="s">
        <v>1303</v>
      </c>
      <c r="D328" s="19" t="s">
        <v>1304</v>
      </c>
      <c r="E328" s="19" t="s">
        <v>1305</v>
      </c>
      <c r="F328" s="19" t="s">
        <v>1306</v>
      </c>
    </row>
    <row r="329" spans="1:6" x14ac:dyDescent="0.2">
      <c r="A329" s="19" t="s">
        <v>34</v>
      </c>
      <c r="C329" s="19" t="s">
        <v>1307</v>
      </c>
      <c r="D329" s="19" t="s">
        <v>1308</v>
      </c>
      <c r="E329" s="19" t="s">
        <v>1309</v>
      </c>
      <c r="F329" s="19" t="s">
        <v>1310</v>
      </c>
    </row>
    <row r="330" spans="1:6" x14ac:dyDescent="0.2">
      <c r="A330" s="19" t="s">
        <v>34</v>
      </c>
      <c r="C330" s="19" t="s">
        <v>1311</v>
      </c>
      <c r="D330" s="19" t="s">
        <v>1312</v>
      </c>
      <c r="E330" s="19" t="s">
        <v>1313</v>
      </c>
      <c r="F330" s="19" t="s">
        <v>1314</v>
      </c>
    </row>
    <row r="331" spans="1:6" x14ac:dyDescent="0.2">
      <c r="A331" s="19" t="s">
        <v>34</v>
      </c>
      <c r="C331" s="19" t="s">
        <v>1315</v>
      </c>
      <c r="D331" s="19" t="s">
        <v>1316</v>
      </c>
      <c r="E331" s="19" t="s">
        <v>1317</v>
      </c>
      <c r="F331" s="19" t="s">
        <v>1318</v>
      </c>
    </row>
    <row r="332" spans="1:6" x14ac:dyDescent="0.2">
      <c r="A332" s="19" t="s">
        <v>34</v>
      </c>
      <c r="C332" s="19" t="s">
        <v>1319</v>
      </c>
      <c r="D332" s="19" t="s">
        <v>1320</v>
      </c>
      <c r="E332" s="19" t="s">
        <v>1321</v>
      </c>
      <c r="F332" s="19" t="s">
        <v>1322</v>
      </c>
    </row>
    <row r="333" spans="1:6" x14ac:dyDescent="0.2">
      <c r="A333" s="19" t="s">
        <v>34</v>
      </c>
      <c r="C333" s="19" t="s">
        <v>1323</v>
      </c>
      <c r="D333" s="19" t="s">
        <v>1324</v>
      </c>
      <c r="E333" s="19" t="s">
        <v>1325</v>
      </c>
      <c r="F333" s="19" t="s">
        <v>1326</v>
      </c>
    </row>
    <row r="334" spans="1:6" x14ac:dyDescent="0.2">
      <c r="A334" s="19" t="s">
        <v>34</v>
      </c>
      <c r="C334" s="19" t="s">
        <v>1327</v>
      </c>
      <c r="D334" s="19" t="s">
        <v>1328</v>
      </c>
      <c r="E334" s="19" t="s">
        <v>1329</v>
      </c>
      <c r="F334" s="19" t="s">
        <v>1330</v>
      </c>
    </row>
    <row r="335" spans="1:6" x14ac:dyDescent="0.2">
      <c r="A335" s="19" t="s">
        <v>34</v>
      </c>
      <c r="C335" s="19" t="s">
        <v>1331</v>
      </c>
      <c r="D335" s="19" t="s">
        <v>1332</v>
      </c>
      <c r="E335" s="19" t="s">
        <v>1333</v>
      </c>
      <c r="F335" s="19" t="s">
        <v>1334</v>
      </c>
    </row>
    <row r="336" spans="1:6" x14ac:dyDescent="0.2">
      <c r="A336" s="19" t="s">
        <v>34</v>
      </c>
      <c r="C336" s="19" t="s">
        <v>1335</v>
      </c>
      <c r="D336" s="19" t="s">
        <v>1336</v>
      </c>
      <c r="E336" s="19" t="s">
        <v>1337</v>
      </c>
      <c r="F336" s="19" t="s">
        <v>1338</v>
      </c>
    </row>
    <row r="337" spans="1:6" x14ac:dyDescent="0.2">
      <c r="A337" s="19" t="s">
        <v>34</v>
      </c>
      <c r="C337" s="19" t="s">
        <v>1339</v>
      </c>
      <c r="D337" s="19" t="s">
        <v>1340</v>
      </c>
      <c r="E337" s="19" t="s">
        <v>1341</v>
      </c>
      <c r="F337" s="19" t="s">
        <v>1342</v>
      </c>
    </row>
    <row r="338" spans="1:6" x14ac:dyDescent="0.2">
      <c r="A338" s="19" t="s">
        <v>34</v>
      </c>
      <c r="C338" s="19" t="s">
        <v>1343</v>
      </c>
      <c r="D338" s="19" t="s">
        <v>1344</v>
      </c>
      <c r="E338" s="19" t="s">
        <v>1345</v>
      </c>
      <c r="F338" s="19" t="s">
        <v>1346</v>
      </c>
    </row>
    <row r="339" spans="1:6" x14ac:dyDescent="0.2">
      <c r="A339" s="19" t="s">
        <v>34</v>
      </c>
      <c r="C339" s="19" t="s">
        <v>1347</v>
      </c>
      <c r="D339" s="19" t="s">
        <v>1348</v>
      </c>
      <c r="E339" s="19" t="s">
        <v>1349</v>
      </c>
      <c r="F339" s="19" t="s">
        <v>1350</v>
      </c>
    </row>
    <row r="340" spans="1:6" x14ac:dyDescent="0.2">
      <c r="A340" s="19" t="s">
        <v>34</v>
      </c>
      <c r="C340" s="19" t="s">
        <v>1351</v>
      </c>
      <c r="D340" s="19" t="s">
        <v>1352</v>
      </c>
      <c r="E340" s="19" t="s">
        <v>1353</v>
      </c>
      <c r="F340" s="19" t="s">
        <v>1354</v>
      </c>
    </row>
    <row r="341" spans="1:6" x14ac:dyDescent="0.2">
      <c r="A341" s="19" t="s">
        <v>34</v>
      </c>
      <c r="C341" s="19" t="s">
        <v>1355</v>
      </c>
      <c r="D341" s="19" t="s">
        <v>1356</v>
      </c>
      <c r="E341" s="19" t="s">
        <v>1357</v>
      </c>
      <c r="F341" s="19" t="s">
        <v>1358</v>
      </c>
    </row>
    <row r="342" spans="1:6" x14ac:dyDescent="0.2">
      <c r="A342" s="19" t="s">
        <v>34</v>
      </c>
      <c r="C342" s="19" t="s">
        <v>1359</v>
      </c>
      <c r="D342" s="19" t="s">
        <v>1360</v>
      </c>
      <c r="E342" s="19" t="s">
        <v>1361</v>
      </c>
      <c r="F342" s="19" t="s">
        <v>1362</v>
      </c>
    </row>
    <row r="343" spans="1:6" x14ac:dyDescent="0.2">
      <c r="A343" s="19" t="s">
        <v>34</v>
      </c>
      <c r="C343" s="19" t="s">
        <v>1363</v>
      </c>
      <c r="D343" s="19" t="s">
        <v>1364</v>
      </c>
      <c r="E343" s="19" t="s">
        <v>1365</v>
      </c>
      <c r="F343" s="19" t="s">
        <v>1366</v>
      </c>
    </row>
    <row r="344" spans="1:6" x14ac:dyDescent="0.2">
      <c r="A344" s="19" t="s">
        <v>34</v>
      </c>
      <c r="C344" s="19" t="s">
        <v>1367</v>
      </c>
      <c r="D344" s="19" t="s">
        <v>1368</v>
      </c>
      <c r="E344" s="19" t="s">
        <v>1369</v>
      </c>
      <c r="F344" s="19" t="s">
        <v>1370</v>
      </c>
    </row>
    <row r="345" spans="1:6" x14ac:dyDescent="0.2">
      <c r="A345" s="19" t="s">
        <v>34</v>
      </c>
      <c r="C345" s="19" t="s">
        <v>1371</v>
      </c>
      <c r="D345" s="19" t="s">
        <v>1372</v>
      </c>
      <c r="E345" s="19" t="s">
        <v>1373</v>
      </c>
      <c r="F345" s="19" t="s">
        <v>1374</v>
      </c>
    </row>
    <row r="346" spans="1:6" x14ac:dyDescent="0.2">
      <c r="A346" s="19" t="s">
        <v>34</v>
      </c>
      <c r="C346" s="19" t="s">
        <v>1375</v>
      </c>
      <c r="D346" s="19" t="s">
        <v>1376</v>
      </c>
      <c r="E346" s="19" t="s">
        <v>1377</v>
      </c>
      <c r="F346" s="19" t="s">
        <v>1378</v>
      </c>
    </row>
    <row r="347" spans="1:6" x14ac:dyDescent="0.2">
      <c r="A347" s="19" t="s">
        <v>34</v>
      </c>
      <c r="C347" s="19" t="s">
        <v>1379</v>
      </c>
      <c r="D347" s="19" t="s">
        <v>1380</v>
      </c>
      <c r="E347" s="19" t="s">
        <v>1381</v>
      </c>
      <c r="F347" s="19" t="s">
        <v>1382</v>
      </c>
    </row>
    <row r="348" spans="1:6" x14ac:dyDescent="0.2">
      <c r="A348" s="19" t="s">
        <v>34</v>
      </c>
      <c r="C348" s="19" t="s">
        <v>1383</v>
      </c>
      <c r="D348" s="19" t="s">
        <v>1384</v>
      </c>
      <c r="E348" s="19" t="s">
        <v>1385</v>
      </c>
      <c r="F348" s="19" t="s">
        <v>1386</v>
      </c>
    </row>
    <row r="349" spans="1:6" x14ac:dyDescent="0.2">
      <c r="A349" s="19" t="s">
        <v>34</v>
      </c>
      <c r="C349" s="19" t="s">
        <v>1387</v>
      </c>
      <c r="D349" s="19" t="s">
        <v>1388</v>
      </c>
      <c r="E349" s="19" t="s">
        <v>1389</v>
      </c>
      <c r="F349" s="19" t="s">
        <v>1390</v>
      </c>
    </row>
    <row r="350" spans="1:6" x14ac:dyDescent="0.2">
      <c r="A350" s="19" t="s">
        <v>34</v>
      </c>
      <c r="C350" s="19" t="s">
        <v>1391</v>
      </c>
      <c r="D350" s="19" t="s">
        <v>1392</v>
      </c>
      <c r="E350" s="19" t="s">
        <v>1393</v>
      </c>
      <c r="F350" s="19" t="s">
        <v>1394</v>
      </c>
    </row>
    <row r="351" spans="1:6" x14ac:dyDescent="0.2">
      <c r="A351" s="19" t="s">
        <v>34</v>
      </c>
      <c r="C351" s="19" t="s">
        <v>1395</v>
      </c>
      <c r="D351" s="19" t="s">
        <v>1396</v>
      </c>
      <c r="E351" s="19" t="s">
        <v>1397</v>
      </c>
      <c r="F351" s="19" t="s">
        <v>1398</v>
      </c>
    </row>
    <row r="352" spans="1:6" x14ac:dyDescent="0.2">
      <c r="A352" s="19" t="s">
        <v>34</v>
      </c>
      <c r="C352" s="19" t="s">
        <v>1399</v>
      </c>
      <c r="D352" s="19" t="s">
        <v>1400</v>
      </c>
      <c r="E352" s="19" t="s">
        <v>1401</v>
      </c>
      <c r="F352" s="19" t="s">
        <v>1402</v>
      </c>
    </row>
    <row r="353" spans="1:6" x14ac:dyDescent="0.2">
      <c r="A353" s="19" t="s">
        <v>34</v>
      </c>
      <c r="C353" s="19" t="s">
        <v>1403</v>
      </c>
      <c r="D353" s="19" t="s">
        <v>1404</v>
      </c>
      <c r="E353" s="19" t="s">
        <v>1405</v>
      </c>
      <c r="F353" s="19" t="s">
        <v>1406</v>
      </c>
    </row>
    <row r="354" spans="1:6" x14ac:dyDescent="0.2">
      <c r="A354" s="19" t="s">
        <v>34</v>
      </c>
      <c r="C354" s="19" t="s">
        <v>1407</v>
      </c>
      <c r="D354" s="19" t="s">
        <v>1408</v>
      </c>
      <c r="E354" s="19" t="s">
        <v>1409</v>
      </c>
      <c r="F354" s="19" t="s">
        <v>1410</v>
      </c>
    </row>
    <row r="355" spans="1:6" x14ac:dyDescent="0.2">
      <c r="A355" s="19" t="s">
        <v>34</v>
      </c>
      <c r="C355" s="19" t="s">
        <v>1411</v>
      </c>
      <c r="D355" s="19" t="s">
        <v>1412</v>
      </c>
      <c r="E355" s="19" t="s">
        <v>1413</v>
      </c>
      <c r="F355" s="19" t="s">
        <v>1414</v>
      </c>
    </row>
    <row r="356" spans="1:6" x14ac:dyDescent="0.2">
      <c r="A356" s="19" t="s">
        <v>34</v>
      </c>
      <c r="C356" s="19" t="s">
        <v>1415</v>
      </c>
      <c r="D356" s="19" t="s">
        <v>1416</v>
      </c>
      <c r="E356" s="19" t="s">
        <v>1417</v>
      </c>
      <c r="F356" s="19" t="s">
        <v>1418</v>
      </c>
    </row>
    <row r="357" spans="1:6" x14ac:dyDescent="0.2">
      <c r="A357" s="19" t="s">
        <v>34</v>
      </c>
      <c r="C357" s="19" t="s">
        <v>1419</v>
      </c>
      <c r="D357" s="19" t="s">
        <v>1420</v>
      </c>
      <c r="E357" s="19" t="s">
        <v>1421</v>
      </c>
      <c r="F357" s="19" t="s">
        <v>1422</v>
      </c>
    </row>
    <row r="358" spans="1:6" x14ac:dyDescent="0.2">
      <c r="A358" s="19" t="s">
        <v>34</v>
      </c>
      <c r="C358" s="19" t="s">
        <v>1423</v>
      </c>
      <c r="D358" s="19" t="s">
        <v>1424</v>
      </c>
      <c r="E358" s="19" t="s">
        <v>1425</v>
      </c>
      <c r="F358" s="19" t="s">
        <v>1426</v>
      </c>
    </row>
    <row r="359" spans="1:6" x14ac:dyDescent="0.2">
      <c r="A359" s="19" t="s">
        <v>34</v>
      </c>
      <c r="C359" s="19" t="s">
        <v>1427</v>
      </c>
      <c r="D359" s="19" t="s">
        <v>1428</v>
      </c>
      <c r="E359" s="19" t="s">
        <v>1429</v>
      </c>
      <c r="F359" s="19" t="s">
        <v>1430</v>
      </c>
    </row>
    <row r="360" spans="1:6" x14ac:dyDescent="0.2">
      <c r="A360" s="19" t="s">
        <v>34</v>
      </c>
      <c r="C360" s="19" t="s">
        <v>1431</v>
      </c>
      <c r="D360" s="19" t="s">
        <v>1432</v>
      </c>
      <c r="E360" s="19" t="s">
        <v>1433</v>
      </c>
      <c r="F360" s="19" t="s">
        <v>1434</v>
      </c>
    </row>
    <row r="361" spans="1:6" x14ac:dyDescent="0.2">
      <c r="A361" s="19" t="s">
        <v>34</v>
      </c>
      <c r="C361" s="19" t="s">
        <v>1435</v>
      </c>
      <c r="D361" s="19" t="s">
        <v>1436</v>
      </c>
      <c r="E361" s="19" t="s">
        <v>1437</v>
      </c>
      <c r="F361" s="19" t="s">
        <v>1438</v>
      </c>
    </row>
    <row r="362" spans="1:6" x14ac:dyDescent="0.2">
      <c r="A362" s="19" t="s">
        <v>34</v>
      </c>
      <c r="C362" s="19" t="s">
        <v>1439</v>
      </c>
      <c r="D362" s="19" t="s">
        <v>1440</v>
      </c>
      <c r="E362" s="19" t="s">
        <v>1441</v>
      </c>
      <c r="F362" s="19" t="s">
        <v>1442</v>
      </c>
    </row>
    <row r="363" spans="1:6" x14ac:dyDescent="0.2">
      <c r="A363" s="19" t="s">
        <v>34</v>
      </c>
      <c r="C363" s="19" t="s">
        <v>1443</v>
      </c>
      <c r="D363" s="19" t="s">
        <v>1444</v>
      </c>
      <c r="E363" s="19" t="s">
        <v>1445</v>
      </c>
      <c r="F363" s="19" t="s">
        <v>1446</v>
      </c>
    </row>
    <row r="364" spans="1:6" x14ac:dyDescent="0.2">
      <c r="A364" s="19" t="s">
        <v>34</v>
      </c>
      <c r="C364" s="19" t="s">
        <v>1447</v>
      </c>
      <c r="D364" s="19" t="s">
        <v>1448</v>
      </c>
      <c r="E364" s="19" t="s">
        <v>1449</v>
      </c>
      <c r="F364" s="19" t="s">
        <v>1450</v>
      </c>
    </row>
    <row r="365" spans="1:6" x14ac:dyDescent="0.2">
      <c r="A365" s="19" t="s">
        <v>34</v>
      </c>
      <c r="C365" s="19" t="s">
        <v>1451</v>
      </c>
      <c r="D365" s="19" t="s">
        <v>1452</v>
      </c>
      <c r="E365" s="19" t="s">
        <v>1453</v>
      </c>
      <c r="F365" s="19" t="s">
        <v>1454</v>
      </c>
    </row>
    <row r="366" spans="1:6" x14ac:dyDescent="0.2">
      <c r="A366" s="19" t="s">
        <v>34</v>
      </c>
      <c r="C366" s="19" t="s">
        <v>1455</v>
      </c>
      <c r="D366" s="19" t="s">
        <v>1456</v>
      </c>
      <c r="E366" s="19" t="s">
        <v>1457</v>
      </c>
      <c r="F366" s="19" t="s">
        <v>1458</v>
      </c>
    </row>
    <row r="367" spans="1:6" x14ac:dyDescent="0.2">
      <c r="A367" s="19" t="s">
        <v>34</v>
      </c>
      <c r="C367" s="19" t="s">
        <v>1459</v>
      </c>
      <c r="D367" s="19" t="s">
        <v>1460</v>
      </c>
      <c r="E367" s="19" t="s">
        <v>1461</v>
      </c>
      <c r="F367" s="19" t="s">
        <v>1462</v>
      </c>
    </row>
    <row r="368" spans="1:6" x14ac:dyDescent="0.2">
      <c r="A368" s="19" t="s">
        <v>34</v>
      </c>
      <c r="C368" s="19" t="s">
        <v>1463</v>
      </c>
      <c r="D368" s="19" t="s">
        <v>1464</v>
      </c>
      <c r="E368" s="19" t="s">
        <v>1465</v>
      </c>
      <c r="F368" s="19" t="s">
        <v>1466</v>
      </c>
    </row>
    <row r="369" spans="1:6" x14ac:dyDescent="0.2">
      <c r="A369" s="19" t="s">
        <v>34</v>
      </c>
      <c r="C369" s="19" t="s">
        <v>1467</v>
      </c>
      <c r="D369" s="19" t="s">
        <v>1468</v>
      </c>
      <c r="E369" s="19" t="s">
        <v>1469</v>
      </c>
      <c r="F369" s="19" t="s">
        <v>1470</v>
      </c>
    </row>
    <row r="370" spans="1:6" x14ac:dyDescent="0.2">
      <c r="A370" s="19" t="s">
        <v>34</v>
      </c>
      <c r="C370" s="19" t="s">
        <v>1471</v>
      </c>
      <c r="D370" s="19" t="s">
        <v>1472</v>
      </c>
      <c r="E370" s="19" t="s">
        <v>1473</v>
      </c>
      <c r="F370" s="19" t="s">
        <v>1474</v>
      </c>
    </row>
    <row r="371" spans="1:6" x14ac:dyDescent="0.2">
      <c r="A371" s="19" t="s">
        <v>34</v>
      </c>
      <c r="C371" s="19" t="s">
        <v>1475</v>
      </c>
      <c r="D371" s="19" t="s">
        <v>1476</v>
      </c>
      <c r="E371" s="19" t="s">
        <v>1477</v>
      </c>
      <c r="F371" s="19" t="s">
        <v>1478</v>
      </c>
    </row>
    <row r="372" spans="1:6" x14ac:dyDescent="0.2">
      <c r="A372" s="19" t="s">
        <v>34</v>
      </c>
      <c r="C372" s="19" t="s">
        <v>1479</v>
      </c>
      <c r="D372" s="19" t="s">
        <v>1480</v>
      </c>
      <c r="E372" s="19" t="s">
        <v>1481</v>
      </c>
      <c r="F372" s="19" t="s">
        <v>1482</v>
      </c>
    </row>
    <row r="373" spans="1:6" x14ac:dyDescent="0.2">
      <c r="A373" s="19" t="s">
        <v>34</v>
      </c>
      <c r="C373" s="19" t="s">
        <v>1483</v>
      </c>
      <c r="D373" s="19" t="s">
        <v>1484</v>
      </c>
      <c r="E373" s="19" t="s">
        <v>1485</v>
      </c>
      <c r="F373" s="19" t="s">
        <v>1486</v>
      </c>
    </row>
    <row r="374" spans="1:6" x14ac:dyDescent="0.2">
      <c r="A374" s="19" t="s">
        <v>34</v>
      </c>
      <c r="C374" s="19" t="s">
        <v>1487</v>
      </c>
      <c r="D374" s="19" t="s">
        <v>1488</v>
      </c>
      <c r="E374" s="19" t="s">
        <v>1489</v>
      </c>
      <c r="F374" s="19" t="s">
        <v>1490</v>
      </c>
    </row>
    <row r="375" spans="1:6" x14ac:dyDescent="0.2">
      <c r="A375" s="19" t="s">
        <v>34</v>
      </c>
      <c r="C375" s="19" t="s">
        <v>1491</v>
      </c>
      <c r="D375" s="19" t="s">
        <v>1492</v>
      </c>
      <c r="E375" s="19" t="s">
        <v>1493</v>
      </c>
      <c r="F375" s="19" t="s">
        <v>1494</v>
      </c>
    </row>
    <row r="376" spans="1:6" x14ac:dyDescent="0.2">
      <c r="A376" s="19" t="s">
        <v>34</v>
      </c>
      <c r="C376" s="19" t="s">
        <v>1495</v>
      </c>
      <c r="D376" s="19" t="s">
        <v>1496</v>
      </c>
      <c r="E376" s="19" t="s">
        <v>1497</v>
      </c>
      <c r="F376" s="19" t="s">
        <v>1498</v>
      </c>
    </row>
    <row r="377" spans="1:6" x14ac:dyDescent="0.2">
      <c r="A377" s="19" t="s">
        <v>34</v>
      </c>
      <c r="C377" s="19" t="s">
        <v>1499</v>
      </c>
      <c r="D377" s="19" t="s">
        <v>1500</v>
      </c>
      <c r="E377" s="19" t="s">
        <v>1501</v>
      </c>
      <c r="F377" s="19" t="s">
        <v>1502</v>
      </c>
    </row>
    <row r="378" spans="1:6" x14ac:dyDescent="0.2">
      <c r="A378" s="19" t="s">
        <v>34</v>
      </c>
      <c r="C378" s="19" t="s">
        <v>1503</v>
      </c>
      <c r="D378" s="19" t="s">
        <v>1504</v>
      </c>
      <c r="E378" s="19" t="s">
        <v>1505</v>
      </c>
      <c r="F378" s="19" t="s">
        <v>1506</v>
      </c>
    </row>
    <row r="379" spans="1:6" x14ac:dyDescent="0.2">
      <c r="A379" s="19" t="s">
        <v>34</v>
      </c>
      <c r="C379" s="19" t="s">
        <v>1507</v>
      </c>
      <c r="D379" s="19" t="s">
        <v>1508</v>
      </c>
      <c r="E379" s="19" t="s">
        <v>1509</v>
      </c>
      <c r="F379" s="19" t="s">
        <v>1510</v>
      </c>
    </row>
    <row r="380" spans="1:6" x14ac:dyDescent="0.2">
      <c r="A380" s="19" t="s">
        <v>34</v>
      </c>
      <c r="C380" s="19" t="s">
        <v>1511</v>
      </c>
      <c r="D380" s="19" t="s">
        <v>1512</v>
      </c>
      <c r="E380" s="19" t="s">
        <v>1513</v>
      </c>
      <c r="F380" s="19" t="s">
        <v>1514</v>
      </c>
    </row>
    <row r="381" spans="1:6" x14ac:dyDescent="0.2">
      <c r="A381" s="19" t="s">
        <v>34</v>
      </c>
      <c r="C381" s="19" t="s">
        <v>1515</v>
      </c>
      <c r="D381" s="19" t="s">
        <v>1516</v>
      </c>
      <c r="E381" s="19" t="s">
        <v>1517</v>
      </c>
      <c r="F381" s="19" t="s">
        <v>1518</v>
      </c>
    </row>
    <row r="382" spans="1:6" x14ac:dyDescent="0.2">
      <c r="A382" s="19" t="s">
        <v>34</v>
      </c>
      <c r="C382" s="19" t="s">
        <v>1519</v>
      </c>
      <c r="D382" s="19" t="s">
        <v>1520</v>
      </c>
      <c r="E382" s="19" t="s">
        <v>1521</v>
      </c>
      <c r="F382" s="19" t="s">
        <v>1522</v>
      </c>
    </row>
    <row r="383" spans="1:6" x14ac:dyDescent="0.2">
      <c r="A383" s="19" t="s">
        <v>34</v>
      </c>
      <c r="C383" s="19" t="s">
        <v>1523</v>
      </c>
      <c r="D383" s="19" t="s">
        <v>1524</v>
      </c>
      <c r="E383" s="19" t="s">
        <v>1525</v>
      </c>
      <c r="F383" s="19" t="s">
        <v>1526</v>
      </c>
    </row>
    <row r="384" spans="1:6" x14ac:dyDescent="0.2">
      <c r="A384" s="19" t="s">
        <v>34</v>
      </c>
      <c r="C384" s="19" t="s">
        <v>1527</v>
      </c>
      <c r="D384" s="19" t="s">
        <v>1528</v>
      </c>
      <c r="E384" s="19" t="s">
        <v>1529</v>
      </c>
      <c r="F384" s="19" t="s">
        <v>1530</v>
      </c>
    </row>
    <row r="385" spans="1:6" x14ac:dyDescent="0.2">
      <c r="A385" s="19" t="s">
        <v>34</v>
      </c>
      <c r="C385" s="19" t="s">
        <v>1531</v>
      </c>
      <c r="D385" s="19" t="s">
        <v>1532</v>
      </c>
      <c r="E385" s="19" t="s">
        <v>1533</v>
      </c>
      <c r="F385" s="19" t="s">
        <v>1534</v>
      </c>
    </row>
    <row r="386" spans="1:6" x14ac:dyDescent="0.2">
      <c r="A386" s="19" t="s">
        <v>34</v>
      </c>
      <c r="C386" s="19" t="s">
        <v>1535</v>
      </c>
      <c r="D386" s="19" t="s">
        <v>1536</v>
      </c>
      <c r="E386" s="19" t="s">
        <v>1537</v>
      </c>
      <c r="F386" s="19" t="s">
        <v>1538</v>
      </c>
    </row>
    <row r="387" spans="1:6" x14ac:dyDescent="0.2">
      <c r="A387" s="19" t="s">
        <v>34</v>
      </c>
      <c r="C387" s="19" t="s">
        <v>1539</v>
      </c>
      <c r="D387" s="19" t="s">
        <v>1540</v>
      </c>
      <c r="E387" s="19" t="s">
        <v>1541</v>
      </c>
      <c r="F387" s="19" t="s">
        <v>1542</v>
      </c>
    </row>
    <row r="388" spans="1:6" x14ac:dyDescent="0.2">
      <c r="A388" s="19" t="s">
        <v>34</v>
      </c>
      <c r="C388" s="19" t="s">
        <v>1543</v>
      </c>
      <c r="D388" s="19" t="s">
        <v>1544</v>
      </c>
      <c r="E388" s="19" t="s">
        <v>1545</v>
      </c>
      <c r="F388" s="19" t="s">
        <v>1546</v>
      </c>
    </row>
    <row r="389" spans="1:6" x14ac:dyDescent="0.2">
      <c r="A389" s="19" t="s">
        <v>34</v>
      </c>
      <c r="C389" s="19" t="s">
        <v>1547</v>
      </c>
      <c r="D389" s="19" t="s">
        <v>1548</v>
      </c>
      <c r="E389" s="19" t="s">
        <v>1549</v>
      </c>
      <c r="F389" s="19" t="s">
        <v>1550</v>
      </c>
    </row>
    <row r="390" spans="1:6" x14ac:dyDescent="0.2">
      <c r="A390" s="19" t="s">
        <v>34</v>
      </c>
      <c r="C390" s="19" t="s">
        <v>1551</v>
      </c>
      <c r="D390" s="19" t="s">
        <v>1552</v>
      </c>
      <c r="E390" s="19" t="s">
        <v>1553</v>
      </c>
      <c r="F390" s="19" t="s">
        <v>1554</v>
      </c>
    </row>
    <row r="391" spans="1:6" x14ac:dyDescent="0.2">
      <c r="A391" s="19" t="s">
        <v>34</v>
      </c>
      <c r="C391" s="19" t="s">
        <v>1555</v>
      </c>
      <c r="D391" s="19" t="s">
        <v>1556</v>
      </c>
      <c r="E391" s="19" t="s">
        <v>1557</v>
      </c>
      <c r="F391" s="19" t="s">
        <v>1558</v>
      </c>
    </row>
    <row r="392" spans="1:6" x14ac:dyDescent="0.2">
      <c r="A392" s="19" t="s">
        <v>34</v>
      </c>
      <c r="C392" s="19" t="s">
        <v>1559</v>
      </c>
      <c r="D392" s="19" t="s">
        <v>1560</v>
      </c>
      <c r="E392" s="19" t="s">
        <v>1561</v>
      </c>
      <c r="F392" s="19" t="s">
        <v>1562</v>
      </c>
    </row>
    <row r="393" spans="1:6" x14ac:dyDescent="0.2">
      <c r="A393" s="19" t="s">
        <v>34</v>
      </c>
      <c r="C393" s="19" t="s">
        <v>1563</v>
      </c>
      <c r="D393" s="19" t="s">
        <v>1564</v>
      </c>
      <c r="E393" s="19" t="s">
        <v>1565</v>
      </c>
      <c r="F393" s="19" t="s">
        <v>1566</v>
      </c>
    </row>
    <row r="394" spans="1:6" x14ac:dyDescent="0.2">
      <c r="A394" s="19" t="s">
        <v>34</v>
      </c>
      <c r="C394" s="19" t="s">
        <v>1567</v>
      </c>
      <c r="D394" s="19" t="s">
        <v>1568</v>
      </c>
      <c r="E394" s="19" t="s">
        <v>1569</v>
      </c>
      <c r="F394" s="19" t="s">
        <v>1570</v>
      </c>
    </row>
    <row r="395" spans="1:6" x14ac:dyDescent="0.2">
      <c r="A395" s="19" t="s">
        <v>34</v>
      </c>
      <c r="C395" s="19" t="s">
        <v>1571</v>
      </c>
      <c r="D395" s="19" t="s">
        <v>1572</v>
      </c>
      <c r="E395" s="19" t="s">
        <v>1573</v>
      </c>
      <c r="F395" s="19" t="s">
        <v>1574</v>
      </c>
    </row>
    <row r="396" spans="1:6" x14ac:dyDescent="0.2">
      <c r="A396" s="19" t="s">
        <v>34</v>
      </c>
      <c r="C396" s="19" t="s">
        <v>1575</v>
      </c>
      <c r="D396" s="19" t="s">
        <v>1576</v>
      </c>
      <c r="E396" s="19" t="s">
        <v>1577</v>
      </c>
      <c r="F396" s="19" t="s">
        <v>1578</v>
      </c>
    </row>
    <row r="397" spans="1:6" x14ac:dyDescent="0.2">
      <c r="A397" s="19" t="s">
        <v>34</v>
      </c>
      <c r="C397" s="19" t="s">
        <v>1579</v>
      </c>
      <c r="D397" s="19" t="s">
        <v>1580</v>
      </c>
      <c r="E397" s="19" t="s">
        <v>1581</v>
      </c>
      <c r="F397" s="19" t="s">
        <v>1582</v>
      </c>
    </row>
    <row r="398" spans="1:6" x14ac:dyDescent="0.2">
      <c r="A398" s="19" t="s">
        <v>34</v>
      </c>
      <c r="C398" s="19" t="s">
        <v>1583</v>
      </c>
      <c r="D398" s="19" t="s">
        <v>1584</v>
      </c>
      <c r="E398" s="19" t="s">
        <v>1585</v>
      </c>
      <c r="F398" s="19" t="s">
        <v>1586</v>
      </c>
    </row>
    <row r="399" spans="1:6" x14ac:dyDescent="0.2">
      <c r="A399" s="19" t="s">
        <v>34</v>
      </c>
      <c r="C399" s="19" t="s">
        <v>1587</v>
      </c>
      <c r="D399" s="19" t="s">
        <v>1588</v>
      </c>
      <c r="E399" s="19" t="s">
        <v>1589</v>
      </c>
      <c r="F399" s="19" t="s">
        <v>1590</v>
      </c>
    </row>
    <row r="400" spans="1:6" x14ac:dyDescent="0.2">
      <c r="A400" s="19" t="s">
        <v>34</v>
      </c>
      <c r="C400" s="19" t="s">
        <v>1591</v>
      </c>
      <c r="D400" s="19" t="s">
        <v>1592</v>
      </c>
      <c r="E400" s="19" t="s">
        <v>1593</v>
      </c>
      <c r="F400" s="19" t="s">
        <v>1594</v>
      </c>
    </row>
    <row r="401" spans="1:6" x14ac:dyDescent="0.2">
      <c r="A401" s="19" t="s">
        <v>34</v>
      </c>
      <c r="C401" s="19" t="s">
        <v>1595</v>
      </c>
      <c r="D401" s="19" t="s">
        <v>1596</v>
      </c>
      <c r="E401" s="19" t="s">
        <v>1597</v>
      </c>
      <c r="F401" s="19" t="s">
        <v>1598</v>
      </c>
    </row>
    <row r="402" spans="1:6" x14ac:dyDescent="0.2">
      <c r="A402" s="19" t="s">
        <v>34</v>
      </c>
      <c r="C402" s="19" t="s">
        <v>1599</v>
      </c>
      <c r="D402" s="19" t="s">
        <v>1600</v>
      </c>
      <c r="E402" s="19" t="s">
        <v>1601</v>
      </c>
      <c r="F402" s="19" t="s">
        <v>1602</v>
      </c>
    </row>
    <row r="403" spans="1:6" x14ac:dyDescent="0.2">
      <c r="A403" s="19" t="s">
        <v>34</v>
      </c>
      <c r="C403" s="19" t="s">
        <v>1603</v>
      </c>
      <c r="D403" s="19" t="s">
        <v>1604</v>
      </c>
      <c r="E403" s="19" t="s">
        <v>1605</v>
      </c>
      <c r="F403" s="19" t="s">
        <v>1606</v>
      </c>
    </row>
    <row r="404" spans="1:6" x14ac:dyDescent="0.2">
      <c r="A404" s="19" t="s">
        <v>34</v>
      </c>
      <c r="C404" s="19" t="s">
        <v>1607</v>
      </c>
      <c r="D404" s="19" t="s">
        <v>1608</v>
      </c>
      <c r="E404" s="19" t="s">
        <v>1609</v>
      </c>
      <c r="F404" s="19" t="s">
        <v>1610</v>
      </c>
    </row>
    <row r="405" spans="1:6" x14ac:dyDescent="0.2">
      <c r="A405" s="19" t="s">
        <v>34</v>
      </c>
      <c r="C405" s="19" t="s">
        <v>1611</v>
      </c>
      <c r="D405" s="19" t="s">
        <v>1612</v>
      </c>
      <c r="E405" s="19" t="s">
        <v>1613</v>
      </c>
      <c r="F405" s="19" t="s">
        <v>1614</v>
      </c>
    </row>
    <row r="406" spans="1:6" x14ac:dyDescent="0.2">
      <c r="A406" s="19" t="s">
        <v>34</v>
      </c>
      <c r="C406" s="19" t="s">
        <v>1615</v>
      </c>
      <c r="D406" s="19" t="s">
        <v>1616</v>
      </c>
      <c r="E406" s="19" t="s">
        <v>1617</v>
      </c>
      <c r="F406" s="19" t="s">
        <v>1618</v>
      </c>
    </row>
    <row r="407" spans="1:6" x14ac:dyDescent="0.2">
      <c r="A407" s="19" t="s">
        <v>34</v>
      </c>
      <c r="C407" s="19" t="s">
        <v>1619</v>
      </c>
      <c r="D407" s="19" t="s">
        <v>1620</v>
      </c>
      <c r="E407" s="19" t="s">
        <v>1621</v>
      </c>
      <c r="F407" s="19" t="s">
        <v>1622</v>
      </c>
    </row>
    <row r="408" spans="1:6" x14ac:dyDescent="0.2">
      <c r="A408" s="19" t="s">
        <v>34</v>
      </c>
      <c r="C408" s="19" t="s">
        <v>1623</v>
      </c>
      <c r="D408" s="19" t="s">
        <v>1624</v>
      </c>
      <c r="E408" s="19" t="s">
        <v>1625</v>
      </c>
      <c r="F408" s="19" t="s">
        <v>1626</v>
      </c>
    </row>
    <row r="409" spans="1:6" x14ac:dyDescent="0.2">
      <c r="A409" s="19" t="s">
        <v>34</v>
      </c>
      <c r="C409" s="19" t="s">
        <v>1627</v>
      </c>
      <c r="D409" s="19" t="s">
        <v>1628</v>
      </c>
      <c r="E409" s="19" t="s">
        <v>1629</v>
      </c>
      <c r="F409" s="19" t="s">
        <v>1630</v>
      </c>
    </row>
    <row r="410" spans="1:6" x14ac:dyDescent="0.2">
      <c r="A410" s="19" t="s">
        <v>34</v>
      </c>
      <c r="C410" s="19" t="s">
        <v>1631</v>
      </c>
      <c r="D410" s="19" t="s">
        <v>1632</v>
      </c>
      <c r="E410" s="19" t="s">
        <v>1633</v>
      </c>
      <c r="F410" s="19" t="s">
        <v>1634</v>
      </c>
    </row>
    <row r="411" spans="1:6" x14ac:dyDescent="0.2">
      <c r="A411" s="19" t="s">
        <v>34</v>
      </c>
      <c r="C411" s="19" t="s">
        <v>1635</v>
      </c>
      <c r="D411" s="19" t="s">
        <v>1636</v>
      </c>
      <c r="E411" s="19" t="s">
        <v>1637</v>
      </c>
      <c r="F411" s="19" t="s">
        <v>1638</v>
      </c>
    </row>
    <row r="412" spans="1:6" x14ac:dyDescent="0.2">
      <c r="A412" s="19" t="s">
        <v>34</v>
      </c>
      <c r="C412" s="19" t="s">
        <v>1639</v>
      </c>
      <c r="D412" s="19" t="s">
        <v>1640</v>
      </c>
      <c r="E412" s="19" t="s">
        <v>1641</v>
      </c>
      <c r="F412" s="19" t="s">
        <v>1642</v>
      </c>
    </row>
    <row r="413" spans="1:6" x14ac:dyDescent="0.2">
      <c r="A413" s="19" t="s">
        <v>34</v>
      </c>
      <c r="C413" s="19" t="s">
        <v>1643</v>
      </c>
      <c r="D413" s="19" t="s">
        <v>1644</v>
      </c>
      <c r="E413" s="19" t="s">
        <v>1645</v>
      </c>
      <c r="F413" s="19" t="s">
        <v>1646</v>
      </c>
    </row>
    <row r="414" spans="1:6" x14ac:dyDescent="0.2">
      <c r="A414" s="19" t="s">
        <v>34</v>
      </c>
      <c r="C414" s="19" t="s">
        <v>1647</v>
      </c>
      <c r="D414" s="19" t="s">
        <v>1648</v>
      </c>
      <c r="E414" s="19" t="s">
        <v>1649</v>
      </c>
      <c r="F414" s="19" t="s">
        <v>1650</v>
      </c>
    </row>
    <row r="415" spans="1:6" x14ac:dyDescent="0.2">
      <c r="A415" s="19" t="s">
        <v>34</v>
      </c>
      <c r="C415" s="19" t="s">
        <v>1651</v>
      </c>
      <c r="D415" s="19" t="s">
        <v>1652</v>
      </c>
      <c r="E415" s="19" t="s">
        <v>1653</v>
      </c>
      <c r="F415" s="19" t="s">
        <v>1654</v>
      </c>
    </row>
    <row r="416" spans="1:6" x14ac:dyDescent="0.2">
      <c r="A416" s="19" t="s">
        <v>34</v>
      </c>
      <c r="C416" s="19" t="s">
        <v>1655</v>
      </c>
      <c r="D416" s="19" t="s">
        <v>1656</v>
      </c>
      <c r="E416" s="19" t="s">
        <v>1657</v>
      </c>
      <c r="F416" s="19" t="s">
        <v>1658</v>
      </c>
    </row>
    <row r="417" spans="1:6" x14ac:dyDescent="0.2">
      <c r="A417" s="19" t="s">
        <v>34</v>
      </c>
      <c r="C417" s="19" t="s">
        <v>1659</v>
      </c>
      <c r="D417" s="19" t="s">
        <v>1660</v>
      </c>
      <c r="E417" s="19" t="s">
        <v>1661</v>
      </c>
      <c r="F417" s="19" t="s">
        <v>1662</v>
      </c>
    </row>
    <row r="418" spans="1:6" x14ac:dyDescent="0.2">
      <c r="A418" s="19" t="s">
        <v>34</v>
      </c>
      <c r="C418" s="19" t="s">
        <v>1663</v>
      </c>
      <c r="D418" s="19" t="s">
        <v>1664</v>
      </c>
      <c r="E418" s="19" t="s">
        <v>1665</v>
      </c>
      <c r="F418" s="19" t="s">
        <v>1666</v>
      </c>
    </row>
    <row r="419" spans="1:6" x14ac:dyDescent="0.2">
      <c r="A419" s="19" t="s">
        <v>34</v>
      </c>
      <c r="C419" s="19" t="s">
        <v>1667</v>
      </c>
      <c r="D419" s="19" t="s">
        <v>1668</v>
      </c>
      <c r="E419" s="19" t="s">
        <v>1669</v>
      </c>
      <c r="F419" s="19" t="s">
        <v>1670</v>
      </c>
    </row>
    <row r="420" spans="1:6" x14ac:dyDescent="0.2">
      <c r="A420" s="19" t="s">
        <v>34</v>
      </c>
      <c r="C420" s="19" t="s">
        <v>1671</v>
      </c>
      <c r="D420" s="19" t="s">
        <v>1672</v>
      </c>
      <c r="E420" s="19" t="s">
        <v>1673</v>
      </c>
      <c r="F420" s="19" t="s">
        <v>1674</v>
      </c>
    </row>
    <row r="421" spans="1:6" x14ac:dyDescent="0.2">
      <c r="A421" s="19" t="s">
        <v>34</v>
      </c>
      <c r="C421" s="19" t="s">
        <v>1675</v>
      </c>
      <c r="D421" s="19" t="s">
        <v>1676</v>
      </c>
      <c r="E421" s="19" t="s">
        <v>1677</v>
      </c>
      <c r="F421" s="19" t="s">
        <v>1678</v>
      </c>
    </row>
    <row r="422" spans="1:6" x14ac:dyDescent="0.2">
      <c r="A422" s="19" t="s">
        <v>34</v>
      </c>
      <c r="C422" s="19" t="s">
        <v>1679</v>
      </c>
      <c r="D422" s="19" t="s">
        <v>1680</v>
      </c>
      <c r="E422" s="19" t="s">
        <v>1681</v>
      </c>
      <c r="F422" s="19" t="s">
        <v>1682</v>
      </c>
    </row>
    <row r="423" spans="1:6" x14ac:dyDescent="0.2">
      <c r="A423" s="19" t="s">
        <v>34</v>
      </c>
      <c r="C423" s="19" t="s">
        <v>1683</v>
      </c>
      <c r="D423" s="19" t="s">
        <v>1684</v>
      </c>
      <c r="E423" s="19" t="s">
        <v>1685</v>
      </c>
      <c r="F423" s="19" t="s">
        <v>1686</v>
      </c>
    </row>
    <row r="424" spans="1:6" x14ac:dyDescent="0.2">
      <c r="A424" s="19" t="s">
        <v>34</v>
      </c>
      <c r="C424" s="19" t="s">
        <v>1687</v>
      </c>
      <c r="D424" s="19" t="s">
        <v>1688</v>
      </c>
      <c r="E424" s="19" t="s">
        <v>1689</v>
      </c>
      <c r="F424" s="19" t="s">
        <v>1690</v>
      </c>
    </row>
    <row r="425" spans="1:6" x14ac:dyDescent="0.2">
      <c r="A425" s="19" t="s">
        <v>34</v>
      </c>
      <c r="C425" s="19" t="s">
        <v>1691</v>
      </c>
      <c r="D425" s="19" t="s">
        <v>1692</v>
      </c>
      <c r="E425" s="19" t="s">
        <v>1693</v>
      </c>
      <c r="F425" s="19" t="s">
        <v>1694</v>
      </c>
    </row>
    <row r="426" spans="1:6" x14ac:dyDescent="0.2">
      <c r="A426" s="19" t="s">
        <v>34</v>
      </c>
      <c r="C426" s="19" t="s">
        <v>1695</v>
      </c>
      <c r="D426" s="19" t="s">
        <v>1696</v>
      </c>
      <c r="E426" s="19" t="s">
        <v>1697</v>
      </c>
      <c r="F426" s="19" t="s">
        <v>1698</v>
      </c>
    </row>
    <row r="427" spans="1:6" x14ac:dyDescent="0.2">
      <c r="A427" s="19" t="s">
        <v>34</v>
      </c>
      <c r="C427" s="19" t="s">
        <v>1699</v>
      </c>
      <c r="D427" s="19" t="s">
        <v>1700</v>
      </c>
      <c r="E427" s="19" t="s">
        <v>1701</v>
      </c>
      <c r="F427" s="19" t="s">
        <v>1702</v>
      </c>
    </row>
    <row r="428" spans="1:6" x14ac:dyDescent="0.2">
      <c r="A428" s="19" t="s">
        <v>34</v>
      </c>
      <c r="C428" s="19" t="s">
        <v>1703</v>
      </c>
      <c r="D428" s="19" t="s">
        <v>1704</v>
      </c>
      <c r="E428" s="19" t="s">
        <v>1705</v>
      </c>
      <c r="F428" s="19" t="s">
        <v>1706</v>
      </c>
    </row>
    <row r="429" spans="1:6" x14ac:dyDescent="0.2">
      <c r="A429" s="19" t="s">
        <v>34</v>
      </c>
      <c r="C429" s="19" t="s">
        <v>1707</v>
      </c>
      <c r="D429" s="19" t="s">
        <v>1708</v>
      </c>
      <c r="E429" s="19" t="s">
        <v>1709</v>
      </c>
      <c r="F429" s="19" t="s">
        <v>1710</v>
      </c>
    </row>
    <row r="430" spans="1:6" x14ac:dyDescent="0.2">
      <c r="A430" s="19" t="s">
        <v>34</v>
      </c>
      <c r="C430" s="19" t="s">
        <v>1711</v>
      </c>
      <c r="D430" s="19" t="s">
        <v>1712</v>
      </c>
      <c r="E430" s="19" t="s">
        <v>1713</v>
      </c>
      <c r="F430" s="19" t="s">
        <v>1714</v>
      </c>
    </row>
    <row r="431" spans="1:6" x14ac:dyDescent="0.2">
      <c r="A431" s="19" t="s">
        <v>34</v>
      </c>
      <c r="C431" s="19" t="s">
        <v>1715</v>
      </c>
      <c r="D431" s="19" t="s">
        <v>1716</v>
      </c>
      <c r="E431" s="19" t="s">
        <v>1717</v>
      </c>
      <c r="F431" s="19" t="s">
        <v>1718</v>
      </c>
    </row>
    <row r="432" spans="1:6" x14ac:dyDescent="0.2">
      <c r="A432" s="19" t="s">
        <v>34</v>
      </c>
      <c r="C432" s="19" t="s">
        <v>1719</v>
      </c>
      <c r="D432" s="19" t="s">
        <v>1720</v>
      </c>
      <c r="E432" s="19" t="s">
        <v>1721</v>
      </c>
      <c r="F432" s="19" t="s">
        <v>1722</v>
      </c>
    </row>
    <row r="433" spans="1:6" x14ac:dyDescent="0.2">
      <c r="A433" s="19" t="s">
        <v>34</v>
      </c>
      <c r="C433" s="19" t="s">
        <v>1723</v>
      </c>
      <c r="D433" s="19" t="s">
        <v>1724</v>
      </c>
      <c r="E433" s="19" t="s">
        <v>1725</v>
      </c>
      <c r="F433" s="19" t="s">
        <v>1726</v>
      </c>
    </row>
    <row r="434" spans="1:6" x14ac:dyDescent="0.2">
      <c r="A434" s="19" t="s">
        <v>34</v>
      </c>
      <c r="C434" s="19" t="s">
        <v>1727</v>
      </c>
      <c r="D434" s="19" t="s">
        <v>1728</v>
      </c>
      <c r="E434" s="19" t="s">
        <v>1729</v>
      </c>
      <c r="F434" s="19" t="s">
        <v>1730</v>
      </c>
    </row>
    <row r="435" spans="1:6" x14ac:dyDescent="0.2">
      <c r="A435" s="19" t="s">
        <v>34</v>
      </c>
      <c r="C435" s="19" t="s">
        <v>1731</v>
      </c>
      <c r="D435" s="19" t="s">
        <v>1732</v>
      </c>
      <c r="E435" s="19" t="s">
        <v>1733</v>
      </c>
      <c r="F435" s="19" t="s">
        <v>1734</v>
      </c>
    </row>
    <row r="436" spans="1:6" x14ac:dyDescent="0.2">
      <c r="A436" s="19" t="s">
        <v>34</v>
      </c>
      <c r="C436" s="19" t="s">
        <v>1735</v>
      </c>
      <c r="D436" s="19" t="s">
        <v>1736</v>
      </c>
      <c r="E436" s="19" t="s">
        <v>1737</v>
      </c>
      <c r="F436" s="19" t="s">
        <v>1738</v>
      </c>
    </row>
    <row r="437" spans="1:6" x14ac:dyDescent="0.2">
      <c r="A437" s="19" t="s">
        <v>34</v>
      </c>
      <c r="C437" s="19" t="s">
        <v>1739</v>
      </c>
      <c r="D437" s="19" t="s">
        <v>1740</v>
      </c>
      <c r="E437" s="19" t="s">
        <v>1741</v>
      </c>
      <c r="F437" s="19" t="s">
        <v>1742</v>
      </c>
    </row>
    <row r="438" spans="1:6" x14ac:dyDescent="0.2">
      <c r="A438" s="19" t="s">
        <v>34</v>
      </c>
      <c r="C438" s="19" t="s">
        <v>1743</v>
      </c>
      <c r="D438" s="19" t="s">
        <v>1744</v>
      </c>
      <c r="E438" s="19" t="s">
        <v>1745</v>
      </c>
      <c r="F438" s="19" t="s">
        <v>1746</v>
      </c>
    </row>
    <row r="439" spans="1:6" x14ac:dyDescent="0.2">
      <c r="A439" s="19" t="s">
        <v>34</v>
      </c>
      <c r="C439" s="19" t="s">
        <v>1747</v>
      </c>
      <c r="D439" s="19" t="s">
        <v>1748</v>
      </c>
      <c r="E439" s="19" t="s">
        <v>1749</v>
      </c>
      <c r="F439" s="19" t="s">
        <v>1750</v>
      </c>
    </row>
    <row r="440" spans="1:6" x14ac:dyDescent="0.2">
      <c r="A440" s="19" t="s">
        <v>34</v>
      </c>
      <c r="C440" s="19" t="s">
        <v>1751</v>
      </c>
      <c r="D440" s="19" t="s">
        <v>1752</v>
      </c>
      <c r="E440" s="19" t="s">
        <v>1753</v>
      </c>
      <c r="F440" s="19" t="s">
        <v>1754</v>
      </c>
    </row>
    <row r="441" spans="1:6" x14ac:dyDescent="0.2">
      <c r="A441" s="19" t="s">
        <v>34</v>
      </c>
      <c r="C441" s="19" t="s">
        <v>1755</v>
      </c>
      <c r="D441" s="19" t="s">
        <v>1756</v>
      </c>
      <c r="E441" s="19" t="s">
        <v>1757</v>
      </c>
      <c r="F441" s="19" t="s">
        <v>1758</v>
      </c>
    </row>
    <row r="442" spans="1:6" x14ac:dyDescent="0.2">
      <c r="A442" s="19" t="s">
        <v>34</v>
      </c>
      <c r="C442" s="19" t="s">
        <v>1759</v>
      </c>
      <c r="D442" s="19" t="s">
        <v>1760</v>
      </c>
      <c r="E442" s="19" t="s">
        <v>1761</v>
      </c>
      <c r="F442" s="19" t="s">
        <v>1762</v>
      </c>
    </row>
    <row r="443" spans="1:6" x14ac:dyDescent="0.2">
      <c r="A443" s="19" t="s">
        <v>34</v>
      </c>
      <c r="C443" s="19" t="s">
        <v>1763</v>
      </c>
      <c r="D443" s="19" t="s">
        <v>1764</v>
      </c>
      <c r="E443" s="19" t="s">
        <v>1765</v>
      </c>
      <c r="F443" s="19" t="s">
        <v>1766</v>
      </c>
    </row>
    <row r="444" spans="1:6" x14ac:dyDescent="0.2">
      <c r="A444" s="19" t="s">
        <v>34</v>
      </c>
      <c r="C444" s="19" t="s">
        <v>1767</v>
      </c>
      <c r="D444" s="19" t="s">
        <v>1768</v>
      </c>
      <c r="E444" s="19" t="s">
        <v>1769</v>
      </c>
      <c r="F444" s="19" t="s">
        <v>1770</v>
      </c>
    </row>
    <row r="445" spans="1:6" x14ac:dyDescent="0.2">
      <c r="A445" s="19" t="s">
        <v>34</v>
      </c>
      <c r="C445" s="19" t="s">
        <v>1771</v>
      </c>
      <c r="D445" s="19" t="s">
        <v>1772</v>
      </c>
      <c r="E445" s="19" t="s">
        <v>1773</v>
      </c>
      <c r="F445" s="19" t="s">
        <v>1774</v>
      </c>
    </row>
    <row r="446" spans="1:6" x14ac:dyDescent="0.2">
      <c r="A446" s="19" t="s">
        <v>34</v>
      </c>
      <c r="C446" s="19" t="s">
        <v>1775</v>
      </c>
      <c r="D446" s="19" t="s">
        <v>1776</v>
      </c>
      <c r="E446" s="19" t="s">
        <v>1777</v>
      </c>
      <c r="F446" s="19" t="s">
        <v>1778</v>
      </c>
    </row>
    <row r="447" spans="1:6" x14ac:dyDescent="0.2">
      <c r="A447" s="19" t="s">
        <v>34</v>
      </c>
      <c r="C447" s="19" t="s">
        <v>1779</v>
      </c>
      <c r="D447" s="19" t="s">
        <v>1780</v>
      </c>
      <c r="E447" s="19" t="s">
        <v>1781</v>
      </c>
      <c r="F447" s="19" t="s">
        <v>1782</v>
      </c>
    </row>
    <row r="448" spans="1:6" x14ac:dyDescent="0.2">
      <c r="A448" s="19" t="s">
        <v>34</v>
      </c>
      <c r="C448" s="19" t="s">
        <v>1783</v>
      </c>
      <c r="D448" s="19" t="s">
        <v>1784</v>
      </c>
      <c r="E448" s="19" t="s">
        <v>1785</v>
      </c>
      <c r="F448" s="19" t="s">
        <v>1786</v>
      </c>
    </row>
    <row r="449" spans="1:6" x14ac:dyDescent="0.2">
      <c r="A449" s="19" t="s">
        <v>34</v>
      </c>
      <c r="C449" s="19" t="s">
        <v>1787</v>
      </c>
      <c r="D449" s="19" t="s">
        <v>1788</v>
      </c>
      <c r="E449" s="19" t="s">
        <v>1789</v>
      </c>
      <c r="F449" s="19" t="s">
        <v>1790</v>
      </c>
    </row>
    <row r="450" spans="1:6" x14ac:dyDescent="0.2">
      <c r="A450" s="19" t="s">
        <v>34</v>
      </c>
      <c r="C450" s="19" t="s">
        <v>1791</v>
      </c>
      <c r="D450" s="19" t="s">
        <v>1792</v>
      </c>
      <c r="E450" s="19" t="s">
        <v>1793</v>
      </c>
      <c r="F450" s="19" t="s">
        <v>1794</v>
      </c>
    </row>
    <row r="451" spans="1:6" x14ac:dyDescent="0.2">
      <c r="A451" s="19" t="s">
        <v>34</v>
      </c>
      <c r="C451" s="19" t="s">
        <v>1795</v>
      </c>
      <c r="D451" s="19" t="s">
        <v>1796</v>
      </c>
      <c r="E451" s="19" t="s">
        <v>1797</v>
      </c>
      <c r="F451" s="19" t="s">
        <v>1798</v>
      </c>
    </row>
    <row r="452" spans="1:6" x14ac:dyDescent="0.2">
      <c r="A452" s="19" t="s">
        <v>34</v>
      </c>
      <c r="C452" s="19" t="s">
        <v>1799</v>
      </c>
      <c r="D452" s="19" t="s">
        <v>1800</v>
      </c>
      <c r="E452" s="19" t="s">
        <v>1801</v>
      </c>
      <c r="F452" s="19" t="s">
        <v>1802</v>
      </c>
    </row>
    <row r="453" spans="1:6" x14ac:dyDescent="0.2">
      <c r="A453" s="19" t="s">
        <v>34</v>
      </c>
      <c r="C453" s="19" t="s">
        <v>1803</v>
      </c>
      <c r="D453" s="19" t="s">
        <v>1804</v>
      </c>
      <c r="E453" s="19" t="s">
        <v>1805</v>
      </c>
      <c r="F453" s="19" t="s">
        <v>1806</v>
      </c>
    </row>
    <row r="454" spans="1:6" x14ac:dyDescent="0.2">
      <c r="A454" s="19" t="s">
        <v>34</v>
      </c>
      <c r="C454" s="19" t="s">
        <v>1807</v>
      </c>
      <c r="D454" s="19" t="s">
        <v>1808</v>
      </c>
      <c r="E454" s="19" t="s">
        <v>1809</v>
      </c>
      <c r="F454" s="19" t="s">
        <v>1810</v>
      </c>
    </row>
    <row r="455" spans="1:6" x14ac:dyDescent="0.2">
      <c r="A455" s="19" t="s">
        <v>34</v>
      </c>
      <c r="C455" s="19" t="s">
        <v>1811</v>
      </c>
      <c r="D455" s="19" t="s">
        <v>1812</v>
      </c>
      <c r="E455" s="19" t="s">
        <v>1813</v>
      </c>
      <c r="F455" s="19" t="s">
        <v>1814</v>
      </c>
    </row>
    <row r="456" spans="1:6" x14ac:dyDescent="0.2">
      <c r="A456" s="19" t="s">
        <v>34</v>
      </c>
      <c r="C456" s="19" t="s">
        <v>1815</v>
      </c>
      <c r="D456" s="19" t="s">
        <v>1816</v>
      </c>
      <c r="E456" s="19" t="s">
        <v>1817</v>
      </c>
      <c r="F456" s="19" t="s">
        <v>1818</v>
      </c>
    </row>
    <row r="457" spans="1:6" x14ac:dyDescent="0.2">
      <c r="A457" s="19" t="s">
        <v>34</v>
      </c>
      <c r="C457" s="19" t="s">
        <v>1819</v>
      </c>
      <c r="D457" s="19" t="s">
        <v>1820</v>
      </c>
      <c r="E457" s="19" t="s">
        <v>1821</v>
      </c>
      <c r="F457" s="19" t="s">
        <v>1822</v>
      </c>
    </row>
    <row r="458" spans="1:6" x14ac:dyDescent="0.2">
      <c r="A458" s="19" t="s">
        <v>34</v>
      </c>
      <c r="C458" s="19" t="s">
        <v>1823</v>
      </c>
      <c r="D458" s="19" t="s">
        <v>1824</v>
      </c>
      <c r="E458" s="19" t="s">
        <v>1825</v>
      </c>
      <c r="F458" s="19" t="s">
        <v>1826</v>
      </c>
    </row>
    <row r="459" spans="1:6" x14ac:dyDescent="0.2">
      <c r="A459" s="19" t="s">
        <v>34</v>
      </c>
      <c r="C459" s="19" t="s">
        <v>1827</v>
      </c>
      <c r="D459" s="19" t="s">
        <v>1828</v>
      </c>
      <c r="E459" s="19" t="s">
        <v>1829</v>
      </c>
      <c r="F459" s="19" t="s">
        <v>1830</v>
      </c>
    </row>
    <row r="460" spans="1:6" x14ac:dyDescent="0.2">
      <c r="A460" s="19" t="s">
        <v>34</v>
      </c>
      <c r="C460" s="19" t="s">
        <v>1831</v>
      </c>
      <c r="D460" s="19" t="s">
        <v>1832</v>
      </c>
      <c r="E460" s="19" t="s">
        <v>1833</v>
      </c>
      <c r="F460" s="19" t="s">
        <v>1834</v>
      </c>
    </row>
    <row r="461" spans="1:6" x14ac:dyDescent="0.2">
      <c r="A461" s="19" t="s">
        <v>34</v>
      </c>
      <c r="C461" s="19" t="s">
        <v>1835</v>
      </c>
      <c r="D461" s="19" t="s">
        <v>1836</v>
      </c>
      <c r="E461" s="19" t="s">
        <v>1837</v>
      </c>
      <c r="F461" s="19" t="s">
        <v>1838</v>
      </c>
    </row>
    <row r="462" spans="1:6" x14ac:dyDescent="0.2">
      <c r="A462" s="19" t="s">
        <v>34</v>
      </c>
      <c r="C462" s="19" t="s">
        <v>1839</v>
      </c>
      <c r="D462" s="19" t="s">
        <v>1840</v>
      </c>
      <c r="E462" s="19" t="s">
        <v>1841</v>
      </c>
      <c r="F462" s="19" t="s">
        <v>1842</v>
      </c>
    </row>
    <row r="463" spans="1:6" x14ac:dyDescent="0.2">
      <c r="A463" s="19" t="s">
        <v>34</v>
      </c>
      <c r="C463" s="19" t="s">
        <v>1843</v>
      </c>
      <c r="D463" s="19" t="s">
        <v>1844</v>
      </c>
      <c r="E463" s="19" t="s">
        <v>1845</v>
      </c>
      <c r="F463" s="19" t="s">
        <v>1846</v>
      </c>
    </row>
    <row r="464" spans="1:6" x14ac:dyDescent="0.2">
      <c r="A464" s="19" t="s">
        <v>34</v>
      </c>
      <c r="C464" s="19" t="s">
        <v>1847</v>
      </c>
      <c r="D464" s="19" t="s">
        <v>1848</v>
      </c>
      <c r="E464" s="19" t="s">
        <v>1849</v>
      </c>
      <c r="F464" s="19" t="s">
        <v>1850</v>
      </c>
    </row>
    <row r="465" spans="1:6" x14ac:dyDescent="0.2">
      <c r="A465" s="19" t="s">
        <v>34</v>
      </c>
      <c r="C465" s="19" t="s">
        <v>1851</v>
      </c>
      <c r="D465" s="19" t="s">
        <v>1852</v>
      </c>
      <c r="E465" s="19" t="s">
        <v>1853</v>
      </c>
      <c r="F465" s="19" t="s">
        <v>1854</v>
      </c>
    </row>
    <row r="466" spans="1:6" x14ac:dyDescent="0.2">
      <c r="A466" s="19" t="s">
        <v>34</v>
      </c>
      <c r="C466" s="19" t="s">
        <v>1855</v>
      </c>
      <c r="D466" s="19" t="s">
        <v>1856</v>
      </c>
      <c r="E466" s="19" t="s">
        <v>1857</v>
      </c>
      <c r="F466" s="19" t="s">
        <v>1858</v>
      </c>
    </row>
    <row r="467" spans="1:6" x14ac:dyDescent="0.2">
      <c r="A467" s="19" t="s">
        <v>34</v>
      </c>
      <c r="C467" s="19" t="s">
        <v>1859</v>
      </c>
      <c r="D467" s="19" t="s">
        <v>1860</v>
      </c>
      <c r="E467" s="19" t="s">
        <v>1861</v>
      </c>
      <c r="F467" s="19" t="s">
        <v>1862</v>
      </c>
    </row>
    <row r="468" spans="1:6" x14ac:dyDescent="0.2">
      <c r="A468" s="19" t="s">
        <v>34</v>
      </c>
      <c r="C468" s="19" t="s">
        <v>1863</v>
      </c>
      <c r="D468" s="19" t="s">
        <v>1864</v>
      </c>
      <c r="E468" s="19" t="s">
        <v>1865</v>
      </c>
      <c r="F468" s="19" t="s">
        <v>1866</v>
      </c>
    </row>
    <row r="469" spans="1:6" x14ac:dyDescent="0.2">
      <c r="A469" s="19" t="s">
        <v>34</v>
      </c>
      <c r="C469" s="19" t="s">
        <v>1867</v>
      </c>
      <c r="D469" s="19" t="s">
        <v>1868</v>
      </c>
      <c r="E469" s="19" t="s">
        <v>1869</v>
      </c>
      <c r="F469" s="19" t="s">
        <v>1870</v>
      </c>
    </row>
    <row r="470" spans="1:6" x14ac:dyDescent="0.2">
      <c r="A470" s="19" t="s">
        <v>34</v>
      </c>
      <c r="C470" s="19" t="s">
        <v>1871</v>
      </c>
      <c r="D470" s="19" t="s">
        <v>1872</v>
      </c>
      <c r="E470" s="19" t="s">
        <v>1873</v>
      </c>
      <c r="F470" s="19" t="s">
        <v>1874</v>
      </c>
    </row>
    <row r="471" spans="1:6" x14ac:dyDescent="0.2">
      <c r="A471" s="19" t="s">
        <v>34</v>
      </c>
      <c r="C471" s="19" t="s">
        <v>1875</v>
      </c>
      <c r="D471" s="19" t="s">
        <v>1876</v>
      </c>
      <c r="E471" s="19" t="s">
        <v>1877</v>
      </c>
      <c r="F471" s="19" t="s">
        <v>1878</v>
      </c>
    </row>
    <row r="472" spans="1:6" x14ac:dyDescent="0.2">
      <c r="A472" s="19" t="s">
        <v>34</v>
      </c>
      <c r="C472" s="19" t="s">
        <v>1879</v>
      </c>
      <c r="D472" s="19" t="s">
        <v>1880</v>
      </c>
      <c r="E472" s="19" t="s">
        <v>1881</v>
      </c>
      <c r="F472" s="19" t="s">
        <v>1882</v>
      </c>
    </row>
    <row r="473" spans="1:6" x14ac:dyDescent="0.2">
      <c r="A473" s="19" t="s">
        <v>34</v>
      </c>
      <c r="C473" s="19" t="s">
        <v>1883</v>
      </c>
      <c r="D473" s="19" t="s">
        <v>1884</v>
      </c>
      <c r="E473" s="19" t="s">
        <v>1885</v>
      </c>
      <c r="F473" s="19" t="s">
        <v>1886</v>
      </c>
    </row>
    <row r="474" spans="1:6" x14ac:dyDescent="0.2">
      <c r="A474" s="19" t="s">
        <v>34</v>
      </c>
      <c r="C474" s="19" t="s">
        <v>1887</v>
      </c>
      <c r="D474" s="19" t="s">
        <v>1888</v>
      </c>
      <c r="E474" s="19" t="s">
        <v>1889</v>
      </c>
      <c r="F474" s="19" t="s">
        <v>1890</v>
      </c>
    </row>
    <row r="475" spans="1:6" x14ac:dyDescent="0.2">
      <c r="A475" s="19" t="s">
        <v>34</v>
      </c>
      <c r="C475" s="19" t="s">
        <v>1891</v>
      </c>
      <c r="D475" s="19" t="s">
        <v>1892</v>
      </c>
      <c r="E475" s="19" t="s">
        <v>1893</v>
      </c>
      <c r="F475" s="19" t="s">
        <v>1894</v>
      </c>
    </row>
    <row r="476" spans="1:6" x14ac:dyDescent="0.2">
      <c r="A476" s="19" t="s">
        <v>34</v>
      </c>
      <c r="C476" s="19" t="s">
        <v>1895</v>
      </c>
      <c r="D476" s="19" t="s">
        <v>1896</v>
      </c>
      <c r="E476" s="19" t="s">
        <v>1897</v>
      </c>
      <c r="F476" s="19" t="s">
        <v>1898</v>
      </c>
    </row>
    <row r="477" spans="1:6" x14ac:dyDescent="0.2">
      <c r="A477" s="19" t="s">
        <v>34</v>
      </c>
      <c r="C477" s="19" t="s">
        <v>1899</v>
      </c>
      <c r="D477" s="19" t="s">
        <v>1900</v>
      </c>
      <c r="E477" s="19" t="s">
        <v>1901</v>
      </c>
      <c r="F477" s="19" t="s">
        <v>1902</v>
      </c>
    </row>
    <row r="478" spans="1:6" x14ac:dyDescent="0.2">
      <c r="A478" s="19" t="s">
        <v>34</v>
      </c>
      <c r="C478" s="19" t="s">
        <v>1903</v>
      </c>
      <c r="D478" s="19" t="s">
        <v>1904</v>
      </c>
      <c r="E478" s="19" t="s">
        <v>1905</v>
      </c>
      <c r="F478" s="19" t="s">
        <v>1906</v>
      </c>
    </row>
    <row r="479" spans="1:6" x14ac:dyDescent="0.2">
      <c r="A479" s="19" t="s">
        <v>34</v>
      </c>
      <c r="C479" s="19" t="s">
        <v>1907</v>
      </c>
      <c r="D479" s="19" t="s">
        <v>1908</v>
      </c>
      <c r="E479" s="19" t="s">
        <v>1909</v>
      </c>
      <c r="F479" s="19" t="s">
        <v>1910</v>
      </c>
    </row>
    <row r="480" spans="1:6" x14ac:dyDescent="0.2">
      <c r="A480" s="19" t="s">
        <v>34</v>
      </c>
      <c r="C480" s="19" t="s">
        <v>1911</v>
      </c>
      <c r="D480" s="19" t="s">
        <v>1912</v>
      </c>
      <c r="E480" s="19" t="s">
        <v>1913</v>
      </c>
      <c r="F480" s="19" t="s">
        <v>1914</v>
      </c>
    </row>
    <row r="481" spans="1:6" x14ac:dyDescent="0.2">
      <c r="A481" s="19" t="s">
        <v>34</v>
      </c>
      <c r="C481" s="19" t="s">
        <v>1915</v>
      </c>
      <c r="D481" s="19" t="s">
        <v>1916</v>
      </c>
      <c r="E481" s="19" t="s">
        <v>1917</v>
      </c>
      <c r="F481" s="19" t="s">
        <v>1918</v>
      </c>
    </row>
    <row r="482" spans="1:6" x14ac:dyDescent="0.2">
      <c r="A482" s="19" t="s">
        <v>34</v>
      </c>
      <c r="C482" s="19" t="s">
        <v>1919</v>
      </c>
      <c r="D482" s="19" t="s">
        <v>1920</v>
      </c>
      <c r="E482" s="19" t="s">
        <v>1921</v>
      </c>
      <c r="F482" s="19" t="s">
        <v>1922</v>
      </c>
    </row>
    <row r="483" spans="1:6" x14ac:dyDescent="0.2">
      <c r="A483" s="19" t="s">
        <v>34</v>
      </c>
      <c r="C483" s="19" t="s">
        <v>1923</v>
      </c>
      <c r="D483" s="19" t="s">
        <v>1924</v>
      </c>
      <c r="E483" s="19" t="s">
        <v>1925</v>
      </c>
      <c r="F483" s="19" t="s">
        <v>1926</v>
      </c>
    </row>
    <row r="484" spans="1:6" x14ac:dyDescent="0.2">
      <c r="A484" s="19" t="s">
        <v>34</v>
      </c>
      <c r="C484" s="19" t="s">
        <v>1927</v>
      </c>
      <c r="D484" s="19" t="s">
        <v>1928</v>
      </c>
      <c r="E484" s="19" t="s">
        <v>1929</v>
      </c>
      <c r="F484" s="19" t="s">
        <v>1930</v>
      </c>
    </row>
    <row r="485" spans="1:6" x14ac:dyDescent="0.2">
      <c r="A485" s="19" t="s">
        <v>34</v>
      </c>
      <c r="C485" s="19" t="s">
        <v>1931</v>
      </c>
      <c r="D485" s="19" t="s">
        <v>1932</v>
      </c>
      <c r="E485" s="19" t="s">
        <v>1933</v>
      </c>
      <c r="F485" s="19" t="s">
        <v>1934</v>
      </c>
    </row>
    <row r="486" spans="1:6" x14ac:dyDescent="0.2">
      <c r="A486" s="19" t="s">
        <v>34</v>
      </c>
      <c r="C486" s="19" t="s">
        <v>1935</v>
      </c>
      <c r="D486" s="19" t="s">
        <v>1936</v>
      </c>
      <c r="E486" s="19" t="s">
        <v>1937</v>
      </c>
      <c r="F486" s="19" t="s">
        <v>1938</v>
      </c>
    </row>
    <row r="487" spans="1:6" x14ac:dyDescent="0.2">
      <c r="A487" s="19" t="s">
        <v>34</v>
      </c>
      <c r="C487" s="19" t="s">
        <v>1939</v>
      </c>
      <c r="D487" s="19" t="s">
        <v>1940</v>
      </c>
      <c r="E487" s="19" t="s">
        <v>1941</v>
      </c>
      <c r="F487" s="19" t="s">
        <v>1942</v>
      </c>
    </row>
    <row r="488" spans="1:6" x14ac:dyDescent="0.2">
      <c r="A488" s="19" t="s">
        <v>34</v>
      </c>
      <c r="C488" s="19" t="s">
        <v>1943</v>
      </c>
      <c r="D488" s="19" t="s">
        <v>1944</v>
      </c>
      <c r="E488" s="19" t="s">
        <v>1945</v>
      </c>
      <c r="F488" s="19" t="s">
        <v>1946</v>
      </c>
    </row>
    <row r="489" spans="1:6" x14ac:dyDescent="0.2">
      <c r="A489" s="19" t="s">
        <v>34</v>
      </c>
      <c r="C489" s="19" t="s">
        <v>1947</v>
      </c>
      <c r="D489" s="19" t="s">
        <v>1948</v>
      </c>
      <c r="E489" s="19" t="s">
        <v>1949</v>
      </c>
      <c r="F489" s="19" t="s">
        <v>1950</v>
      </c>
    </row>
    <row r="490" spans="1:6" x14ac:dyDescent="0.2">
      <c r="A490" s="19" t="s">
        <v>34</v>
      </c>
      <c r="C490" s="19" t="s">
        <v>1951</v>
      </c>
      <c r="D490" s="19" t="s">
        <v>1952</v>
      </c>
      <c r="E490" s="19" t="s">
        <v>1953</v>
      </c>
      <c r="F490" s="19" t="s">
        <v>1954</v>
      </c>
    </row>
    <row r="491" spans="1:6" x14ac:dyDescent="0.2">
      <c r="A491" s="19" t="s">
        <v>34</v>
      </c>
      <c r="C491" s="19" t="s">
        <v>1955</v>
      </c>
      <c r="D491" s="19" t="s">
        <v>1956</v>
      </c>
      <c r="E491" s="19" t="s">
        <v>1957</v>
      </c>
      <c r="F491" s="19" t="s">
        <v>1958</v>
      </c>
    </row>
    <row r="492" spans="1:6" x14ac:dyDescent="0.2">
      <c r="A492" s="19" t="s">
        <v>34</v>
      </c>
      <c r="C492" s="19" t="s">
        <v>1959</v>
      </c>
      <c r="D492" s="19" t="s">
        <v>1960</v>
      </c>
      <c r="E492" s="19" t="s">
        <v>1961</v>
      </c>
      <c r="F492" s="19" t="s">
        <v>1962</v>
      </c>
    </row>
    <row r="493" spans="1:6" x14ac:dyDescent="0.2">
      <c r="A493" s="19" t="s">
        <v>34</v>
      </c>
      <c r="C493" s="19" t="s">
        <v>1963</v>
      </c>
      <c r="D493" s="19" t="s">
        <v>1964</v>
      </c>
      <c r="E493" s="19" t="s">
        <v>1965</v>
      </c>
      <c r="F493" s="19" t="s">
        <v>1966</v>
      </c>
    </row>
    <row r="494" spans="1:6" x14ac:dyDescent="0.2">
      <c r="A494" s="19" t="s">
        <v>34</v>
      </c>
      <c r="C494" s="19" t="s">
        <v>1967</v>
      </c>
      <c r="D494" s="19" t="s">
        <v>1968</v>
      </c>
      <c r="E494" s="19" t="s">
        <v>1969</v>
      </c>
      <c r="F494" s="19" t="s">
        <v>1970</v>
      </c>
    </row>
    <row r="495" spans="1:6" x14ac:dyDescent="0.2">
      <c r="A495" s="19" t="s">
        <v>34</v>
      </c>
      <c r="C495" s="19" t="s">
        <v>1971</v>
      </c>
      <c r="D495" s="19" t="s">
        <v>1972</v>
      </c>
      <c r="E495" s="19" t="s">
        <v>1973</v>
      </c>
      <c r="F495" s="19" t="s">
        <v>1974</v>
      </c>
    </row>
    <row r="496" spans="1:6" x14ac:dyDescent="0.2">
      <c r="A496" s="19" t="s">
        <v>34</v>
      </c>
      <c r="C496" s="19" t="s">
        <v>1975</v>
      </c>
      <c r="D496" s="19" t="s">
        <v>1976</v>
      </c>
      <c r="E496" s="19" t="s">
        <v>1977</v>
      </c>
      <c r="F496" s="19" t="s">
        <v>1978</v>
      </c>
    </row>
    <row r="497" spans="1:6" x14ac:dyDescent="0.2">
      <c r="A497" s="19" t="s">
        <v>34</v>
      </c>
      <c r="C497" s="19" t="s">
        <v>1979</v>
      </c>
      <c r="D497" s="19" t="s">
        <v>1980</v>
      </c>
      <c r="E497" s="19" t="s">
        <v>1981</v>
      </c>
      <c r="F497" s="19" t="s">
        <v>1982</v>
      </c>
    </row>
    <row r="498" spans="1:6" x14ac:dyDescent="0.2">
      <c r="A498" s="19" t="s">
        <v>34</v>
      </c>
      <c r="C498" s="19" t="s">
        <v>1983</v>
      </c>
      <c r="D498" s="19" t="s">
        <v>1984</v>
      </c>
      <c r="E498" s="19" t="s">
        <v>1985</v>
      </c>
      <c r="F498" s="19" t="s">
        <v>1986</v>
      </c>
    </row>
    <row r="499" spans="1:6" x14ac:dyDescent="0.2">
      <c r="A499" s="19" t="s">
        <v>34</v>
      </c>
      <c r="C499" s="19" t="s">
        <v>1987</v>
      </c>
      <c r="D499" s="19" t="s">
        <v>1988</v>
      </c>
      <c r="E499" s="19" t="s">
        <v>1989</v>
      </c>
      <c r="F499" s="19" t="s">
        <v>1990</v>
      </c>
    </row>
    <row r="500" spans="1:6" x14ac:dyDescent="0.2">
      <c r="A500" s="19" t="s">
        <v>34</v>
      </c>
      <c r="C500" s="19" t="s">
        <v>1991</v>
      </c>
      <c r="D500" s="19" t="s">
        <v>1992</v>
      </c>
      <c r="E500" s="19" t="s">
        <v>1993</v>
      </c>
      <c r="F500" s="19" t="s">
        <v>1994</v>
      </c>
    </row>
    <row r="501" spans="1:6" x14ac:dyDescent="0.2">
      <c r="A501" s="19" t="s">
        <v>34</v>
      </c>
      <c r="C501" s="19" t="s">
        <v>1995</v>
      </c>
      <c r="D501" s="19" t="s">
        <v>1996</v>
      </c>
      <c r="E501" s="19" t="s">
        <v>1997</v>
      </c>
      <c r="F501" s="19" t="s">
        <v>1998</v>
      </c>
    </row>
    <row r="502" spans="1:6" x14ac:dyDescent="0.2">
      <c r="A502" s="19" t="s">
        <v>34</v>
      </c>
      <c r="C502" s="19" t="s">
        <v>1999</v>
      </c>
      <c r="D502" s="19" t="s">
        <v>2000</v>
      </c>
      <c r="E502" s="19" t="s">
        <v>2001</v>
      </c>
      <c r="F502" s="19" t="s">
        <v>2002</v>
      </c>
    </row>
    <row r="503" spans="1:6" x14ac:dyDescent="0.2">
      <c r="A503" s="19" t="s">
        <v>34</v>
      </c>
      <c r="C503" s="19" t="s">
        <v>2003</v>
      </c>
      <c r="D503" s="19" t="s">
        <v>2004</v>
      </c>
      <c r="E503" s="19" t="s">
        <v>2005</v>
      </c>
      <c r="F503" s="19" t="s">
        <v>2006</v>
      </c>
    </row>
    <row r="504" spans="1:6" x14ac:dyDescent="0.2">
      <c r="A504" s="19" t="s">
        <v>34</v>
      </c>
      <c r="C504" s="19" t="s">
        <v>2007</v>
      </c>
      <c r="D504" s="19" t="s">
        <v>2008</v>
      </c>
      <c r="E504" s="19" t="s">
        <v>2009</v>
      </c>
      <c r="F504" s="19" t="s">
        <v>2010</v>
      </c>
    </row>
    <row r="505" spans="1:6" x14ac:dyDescent="0.2">
      <c r="A505" s="19" t="s">
        <v>34</v>
      </c>
      <c r="C505" s="19" t="s">
        <v>2011</v>
      </c>
      <c r="D505" s="19" t="s">
        <v>2012</v>
      </c>
      <c r="E505" s="19" t="s">
        <v>2013</v>
      </c>
      <c r="F505" s="19" t="s">
        <v>2014</v>
      </c>
    </row>
    <row r="506" spans="1:6" x14ac:dyDescent="0.2">
      <c r="A506" s="19" t="s">
        <v>34</v>
      </c>
      <c r="C506" s="19" t="s">
        <v>2015</v>
      </c>
      <c r="D506" s="19" t="s">
        <v>2016</v>
      </c>
      <c r="E506" s="19" t="s">
        <v>2017</v>
      </c>
      <c r="F506" s="19" t="s">
        <v>2018</v>
      </c>
    </row>
    <row r="507" spans="1:6" x14ac:dyDescent="0.2">
      <c r="A507" s="19" t="s">
        <v>34</v>
      </c>
      <c r="C507" s="19" t="s">
        <v>2019</v>
      </c>
      <c r="D507" s="19" t="s">
        <v>2020</v>
      </c>
      <c r="E507" s="19" t="s">
        <v>2021</v>
      </c>
      <c r="F507" s="19" t="s">
        <v>2022</v>
      </c>
    </row>
    <row r="508" spans="1:6" x14ac:dyDescent="0.2">
      <c r="A508" s="19" t="s">
        <v>34</v>
      </c>
      <c r="C508" s="19" t="s">
        <v>2023</v>
      </c>
      <c r="D508" s="19" t="s">
        <v>2024</v>
      </c>
      <c r="E508" s="19" t="s">
        <v>2025</v>
      </c>
      <c r="F508" s="19" t="s">
        <v>2026</v>
      </c>
    </row>
    <row r="509" spans="1:6" x14ac:dyDescent="0.2">
      <c r="A509" s="19" t="s">
        <v>34</v>
      </c>
      <c r="C509" s="19" t="s">
        <v>2027</v>
      </c>
      <c r="D509" s="19" t="s">
        <v>2028</v>
      </c>
      <c r="E509" s="19" t="s">
        <v>2029</v>
      </c>
      <c r="F509" s="19" t="s">
        <v>2030</v>
      </c>
    </row>
    <row r="510" spans="1:6" x14ac:dyDescent="0.2">
      <c r="A510" s="19" t="s">
        <v>34</v>
      </c>
      <c r="C510" s="19" t="s">
        <v>2031</v>
      </c>
      <c r="D510" s="19" t="s">
        <v>2032</v>
      </c>
      <c r="E510" s="19" t="s">
        <v>2033</v>
      </c>
      <c r="F510" s="19" t="s">
        <v>2034</v>
      </c>
    </row>
    <row r="511" spans="1:6" x14ac:dyDescent="0.2">
      <c r="A511" s="19" t="s">
        <v>34</v>
      </c>
      <c r="C511" s="19" t="s">
        <v>2035</v>
      </c>
      <c r="D511" s="19" t="s">
        <v>2036</v>
      </c>
      <c r="E511" s="19" t="s">
        <v>2037</v>
      </c>
      <c r="F511" s="19" t="s">
        <v>2038</v>
      </c>
    </row>
    <row r="512" spans="1:6" x14ac:dyDescent="0.2">
      <c r="A512" s="19" t="s">
        <v>34</v>
      </c>
      <c r="C512" s="19" t="s">
        <v>2039</v>
      </c>
      <c r="D512" s="19" t="s">
        <v>2040</v>
      </c>
      <c r="E512" s="19" t="s">
        <v>2041</v>
      </c>
      <c r="F512" s="19" t="s">
        <v>2042</v>
      </c>
    </row>
    <row r="513" spans="1:6" x14ac:dyDescent="0.2">
      <c r="A513" s="19" t="s">
        <v>34</v>
      </c>
      <c r="C513" s="19" t="s">
        <v>2043</v>
      </c>
      <c r="D513" s="19" t="s">
        <v>2044</v>
      </c>
      <c r="E513" s="19" t="s">
        <v>2045</v>
      </c>
      <c r="F513" s="19" t="s">
        <v>2046</v>
      </c>
    </row>
    <row r="514" spans="1:6" x14ac:dyDescent="0.2">
      <c r="A514" s="19" t="s">
        <v>34</v>
      </c>
      <c r="C514" s="19" t="s">
        <v>2047</v>
      </c>
      <c r="D514" s="19" t="s">
        <v>2048</v>
      </c>
      <c r="E514" s="19" t="s">
        <v>2049</v>
      </c>
      <c r="F514" s="19" t="s">
        <v>2050</v>
      </c>
    </row>
    <row r="515" spans="1:6" x14ac:dyDescent="0.2">
      <c r="A515" s="19" t="s">
        <v>34</v>
      </c>
      <c r="C515" s="19" t="s">
        <v>2051</v>
      </c>
      <c r="D515" s="19" t="s">
        <v>2052</v>
      </c>
      <c r="E515" s="19" t="s">
        <v>2053</v>
      </c>
      <c r="F515" s="19" t="s">
        <v>2054</v>
      </c>
    </row>
    <row r="516" spans="1:6" x14ac:dyDescent="0.2">
      <c r="A516" s="19" t="s">
        <v>34</v>
      </c>
      <c r="C516" s="19" t="s">
        <v>2055</v>
      </c>
      <c r="D516" s="19" t="s">
        <v>2056</v>
      </c>
      <c r="E516" s="19" t="s">
        <v>2057</v>
      </c>
      <c r="F516" s="19" t="s">
        <v>2058</v>
      </c>
    </row>
    <row r="517" spans="1:6" x14ac:dyDescent="0.2">
      <c r="A517" s="19" t="s">
        <v>34</v>
      </c>
      <c r="C517" s="19" t="s">
        <v>2059</v>
      </c>
      <c r="D517" s="19" t="s">
        <v>2060</v>
      </c>
      <c r="E517" s="19" t="s">
        <v>2061</v>
      </c>
      <c r="F517" s="19" t="s">
        <v>2062</v>
      </c>
    </row>
    <row r="518" spans="1:6" x14ac:dyDescent="0.2">
      <c r="A518" s="19" t="s">
        <v>34</v>
      </c>
      <c r="C518" s="19" t="s">
        <v>2063</v>
      </c>
      <c r="D518" s="19" t="s">
        <v>2064</v>
      </c>
      <c r="E518" s="19" t="s">
        <v>2065</v>
      </c>
      <c r="F518" s="19" t="s">
        <v>2066</v>
      </c>
    </row>
    <row r="519" spans="1:6" x14ac:dyDescent="0.2">
      <c r="A519" s="19" t="s">
        <v>34</v>
      </c>
      <c r="C519" s="19" t="s">
        <v>2067</v>
      </c>
      <c r="D519" s="19" t="s">
        <v>2068</v>
      </c>
      <c r="E519" s="19" t="s">
        <v>2069</v>
      </c>
      <c r="F519" s="19" t="s">
        <v>2070</v>
      </c>
    </row>
    <row r="520" spans="1:6" x14ac:dyDescent="0.2">
      <c r="A520" s="19" t="s">
        <v>34</v>
      </c>
      <c r="C520" s="19" t="s">
        <v>2071</v>
      </c>
      <c r="D520" s="19" t="s">
        <v>2072</v>
      </c>
      <c r="E520" s="19" t="s">
        <v>2073</v>
      </c>
      <c r="F520" s="19" t="s">
        <v>2074</v>
      </c>
    </row>
    <row r="521" spans="1:6" x14ac:dyDescent="0.2">
      <c r="A521" s="19" t="s">
        <v>34</v>
      </c>
      <c r="C521" s="19" t="s">
        <v>2075</v>
      </c>
      <c r="D521" s="19" t="s">
        <v>2076</v>
      </c>
      <c r="E521" s="19" t="s">
        <v>2077</v>
      </c>
      <c r="F521" s="19" t="s">
        <v>2078</v>
      </c>
    </row>
    <row r="522" spans="1:6" x14ac:dyDescent="0.2">
      <c r="A522" s="19" t="s">
        <v>34</v>
      </c>
      <c r="C522" s="19" t="s">
        <v>2079</v>
      </c>
      <c r="D522" s="19" t="s">
        <v>2080</v>
      </c>
      <c r="E522" s="19" t="s">
        <v>2081</v>
      </c>
      <c r="F522" s="19" t="s">
        <v>2082</v>
      </c>
    </row>
    <row r="523" spans="1:6" x14ac:dyDescent="0.2">
      <c r="A523" s="19" t="s">
        <v>34</v>
      </c>
      <c r="C523" s="19" t="s">
        <v>2083</v>
      </c>
      <c r="D523" s="19" t="s">
        <v>2084</v>
      </c>
      <c r="E523" s="19" t="s">
        <v>2085</v>
      </c>
      <c r="F523" s="19" t="s">
        <v>2086</v>
      </c>
    </row>
    <row r="524" spans="1:6" x14ac:dyDescent="0.2">
      <c r="A524" s="19" t="s">
        <v>34</v>
      </c>
      <c r="C524" s="19" t="s">
        <v>2087</v>
      </c>
      <c r="D524" s="19" t="s">
        <v>2088</v>
      </c>
      <c r="E524" s="19" t="s">
        <v>2089</v>
      </c>
      <c r="F524" s="19" t="s">
        <v>2090</v>
      </c>
    </row>
    <row r="525" spans="1:6" x14ac:dyDescent="0.2">
      <c r="A525" s="19" t="s">
        <v>34</v>
      </c>
      <c r="C525" s="19" t="s">
        <v>2091</v>
      </c>
      <c r="D525" s="19" t="s">
        <v>2092</v>
      </c>
      <c r="E525" s="19" t="s">
        <v>2093</v>
      </c>
      <c r="F525" s="19" t="s">
        <v>2094</v>
      </c>
    </row>
    <row r="526" spans="1:6" x14ac:dyDescent="0.2">
      <c r="A526" s="19" t="s">
        <v>34</v>
      </c>
      <c r="C526" s="19" t="s">
        <v>2095</v>
      </c>
      <c r="D526" s="19" t="s">
        <v>2096</v>
      </c>
      <c r="E526" s="19" t="s">
        <v>2097</v>
      </c>
      <c r="F526" s="19" t="s">
        <v>2098</v>
      </c>
    </row>
    <row r="527" spans="1:6" x14ac:dyDescent="0.2">
      <c r="A527" s="19" t="s">
        <v>34</v>
      </c>
      <c r="C527" s="19" t="s">
        <v>2099</v>
      </c>
      <c r="D527" s="19" t="s">
        <v>2100</v>
      </c>
      <c r="E527" s="19" t="s">
        <v>2101</v>
      </c>
      <c r="F527" s="19" t="s">
        <v>2102</v>
      </c>
    </row>
    <row r="528" spans="1:6" x14ac:dyDescent="0.2">
      <c r="A528" s="19" t="s">
        <v>34</v>
      </c>
      <c r="C528" s="19" t="s">
        <v>2103</v>
      </c>
      <c r="D528" s="19" t="s">
        <v>2104</v>
      </c>
      <c r="E528" s="19" t="s">
        <v>2105</v>
      </c>
      <c r="F528" s="19" t="s">
        <v>2106</v>
      </c>
    </row>
    <row r="530" spans="4:5" x14ac:dyDescent="0.2">
      <c r="D530" s="19" t="s">
        <v>0</v>
      </c>
      <c r="E530" s="19" t="s">
        <v>2107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 Me</vt:lpstr>
      <vt:lpstr>Options</vt:lpstr>
      <vt:lpstr>Trial Balance</vt:lpstr>
      <vt:lpstr>EndPeriod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Month End Trial Balance</dc:title>
  <dc:subject>Jet Basics</dc:subject>
  <dc:creator>Jim Hollcraft</dc:creator>
  <dc:description>Trial Balance for a specified month end date.</dc:description>
  <cp:lastModifiedBy>Kim R. Duey</cp:lastModifiedBy>
  <cp:lastPrinted>2012-12-07T23:49:33Z</cp:lastPrinted>
  <dcterms:created xsi:type="dcterms:W3CDTF">2004-03-13T22:38:26Z</dcterms:created>
  <dcterms:modified xsi:type="dcterms:W3CDTF">2018-09-27T14:33:20Z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Design Mode Active">
    <vt:bool>false</vt:bool>
  </property>
  <property fmtid="{D5CDD505-2E9C-101B-9397-08002B2CF9AE}" pid="4" name="Jet Reports Last Version Refresh">
    <vt:lpwstr>Version 7.0.1  Released 3/12/2007 3:30:53 PM</vt:lpwstr>
  </property>
  <property fmtid="{D5CDD505-2E9C-101B-9397-08002B2CF9AE}" pid="5" name="NeedsREVERT">
    <vt:lpwstr>FALSE</vt:lpwstr>
  </property>
  <property fmtid="{D5CDD505-2E9C-101B-9397-08002B2CF9AE}" pid="6" name="OriginalName">
    <vt:lpwstr>GL Trial Balance Work.xls</vt:lpwstr>
  </property>
  <property fmtid="{D5CDD505-2E9C-101B-9397-08002B2CF9AE}" pid="7" name="Jet Reports Report Id">
    <vt:lpwstr>ad7f72c9-3ef3-4055-b212-0a2b96c014f6</vt:lpwstr>
  </property>
  <property fmtid="{D5CDD505-2E9C-101B-9397-08002B2CF9AE}" pid="8" name="Jet Reports Function Literals">
    <vt:lpwstr>,	;	,	{	}	[@[{0}]]	1033</vt:lpwstr>
  </property>
</Properties>
</file>