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Budget\"/>
    </mc:Choice>
  </mc:AlternateContent>
  <bookViews>
    <workbookView xWindow="0" yWindow="0" windowWidth="15735" windowHeight="8670"/>
  </bookViews>
  <sheets>
    <sheet name="Read Me" sheetId="35" r:id="rId1"/>
    <sheet name="Options" sheetId="2" state="hidden" r:id="rId2"/>
    <sheet name="Report" sheetId="1" r:id="rId3"/>
    <sheet name="Sheet1" sheetId="56" state="veryHidden" r:id="rId4"/>
    <sheet name="Sheet2" sheetId="57" state="veryHidden" r:id="rId5"/>
    <sheet name="Sheet3" sheetId="58" state="veryHidden" r:id="rId6"/>
    <sheet name="Sheet4" sheetId="59" state="veryHidden"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G27" i="1"/>
  <c r="G28" i="1"/>
  <c r="G29" i="1"/>
  <c r="G30" i="1"/>
  <c r="G31" i="1"/>
  <c r="G32" i="1"/>
  <c r="G33" i="1"/>
  <c r="G34" i="1"/>
  <c r="G35" i="1"/>
  <c r="G36" i="1"/>
  <c r="G37" i="1"/>
  <c r="H37" i="1"/>
  <c r="F37" i="1"/>
  <c r="E37" i="1"/>
  <c r="D37" i="1"/>
  <c r="H36" i="1"/>
  <c r="F36" i="1"/>
  <c r="E36" i="1"/>
  <c r="D36" i="1"/>
  <c r="H35" i="1"/>
  <c r="F35" i="1"/>
  <c r="E35" i="1"/>
  <c r="D35" i="1"/>
  <c r="H34" i="1"/>
  <c r="F34" i="1"/>
  <c r="E34" i="1"/>
  <c r="D34" i="1"/>
  <c r="H33" i="1"/>
  <c r="F33" i="1"/>
  <c r="E33" i="1"/>
  <c r="D33" i="1"/>
  <c r="H32" i="1"/>
  <c r="F32" i="1"/>
  <c r="E32" i="1"/>
  <c r="D32" i="1"/>
  <c r="H31" i="1"/>
  <c r="F31" i="1"/>
  <c r="E31" i="1"/>
  <c r="D31" i="1"/>
  <c r="H30" i="1"/>
  <c r="F30" i="1"/>
  <c r="E30" i="1"/>
  <c r="D30" i="1"/>
  <c r="H29" i="1"/>
  <c r="F29" i="1"/>
  <c r="E29" i="1"/>
  <c r="D29" i="1"/>
  <c r="H28" i="1"/>
  <c r="F28" i="1"/>
  <c r="E28" i="1"/>
  <c r="D28" i="1"/>
  <c r="H27" i="1"/>
  <c r="F27" i="1"/>
  <c r="E27" i="1"/>
  <c r="D27" i="1"/>
  <c r="H26" i="1"/>
  <c r="F26" i="1"/>
  <c r="E26" i="1"/>
  <c r="D26" i="1"/>
  <c r="G20" i="1"/>
  <c r="G19" i="1"/>
  <c r="G18" i="1"/>
  <c r="G17" i="1"/>
  <c r="G16" i="1"/>
  <c r="G15" i="1"/>
  <c r="G14" i="1"/>
  <c r="G13" i="1"/>
  <c r="G12" i="1"/>
  <c r="G11" i="1"/>
  <c r="H8" i="1"/>
  <c r="H7" i="1" l="1"/>
  <c r="D23" i="2"/>
  <c r="E18" i="2" l="1"/>
  <c r="D18" i="2"/>
  <c r="H20" i="1" s="1"/>
  <c r="E17" i="2"/>
  <c r="D17" i="2"/>
  <c r="H19" i="1" s="1"/>
  <c r="E16" i="2"/>
  <c r="D16" i="2"/>
  <c r="H18" i="1" s="1"/>
  <c r="E15" i="2"/>
  <c r="D15" i="2"/>
  <c r="H17" i="1" s="1"/>
  <c r="E14" i="2"/>
  <c r="D14" i="2"/>
  <c r="H16" i="1" s="1"/>
  <c r="E13" i="2"/>
  <c r="D13" i="2"/>
  <c r="H15" i="1" s="1"/>
  <c r="E12" i="2"/>
  <c r="D12" i="2"/>
  <c r="H14" i="1" s="1"/>
  <c r="E11" i="2"/>
  <c r="D11" i="2"/>
  <c r="H13" i="1" s="1"/>
  <c r="E10" i="2"/>
  <c r="D10" i="2"/>
  <c r="H12" i="1" s="1"/>
  <c r="E9" i="2"/>
  <c r="D9" i="2"/>
  <c r="H11" i="1" s="1"/>
  <c r="E8" i="2"/>
  <c r="E7" i="2"/>
  <c r="D5" i="2"/>
  <c r="D21" i="2" s="1"/>
  <c r="D4" i="2"/>
  <c r="D22" i="2"/>
  <c r="J23" i="1" l="1"/>
  <c r="K23" i="1" s="1"/>
  <c r="H6" i="1"/>
  <c r="J22" i="1"/>
  <c r="H5" i="1"/>
  <c r="G25" i="1" s="1"/>
  <c r="J25" i="1" l="1"/>
  <c r="F25" i="1"/>
  <c r="D25" i="1"/>
  <c r="E25" i="1"/>
  <c r="H25" i="1"/>
  <c r="K22" i="1"/>
  <c r="J36" i="1"/>
  <c r="J28" i="1"/>
  <c r="J35" i="1"/>
  <c r="J26" i="1"/>
  <c r="J34" i="1"/>
  <c r="J33" i="1"/>
  <c r="J32" i="1"/>
  <c r="J31" i="1"/>
  <c r="J30" i="1"/>
  <c r="J37" i="1"/>
  <c r="J29" i="1"/>
  <c r="J27" i="1"/>
  <c r="K25" i="1" l="1"/>
  <c r="L25" i="1" s="1"/>
  <c r="M25" i="1" s="1"/>
  <c r="K27" i="1"/>
  <c r="L27" i="1" s="1"/>
  <c r="M27" i="1" s="1"/>
  <c r="K36" i="1"/>
  <c r="L36" i="1" s="1"/>
  <c r="M36" i="1" s="1"/>
  <c r="K28" i="1"/>
  <c r="L28" i="1" s="1"/>
  <c r="M28" i="1" s="1"/>
  <c r="K33" i="1"/>
  <c r="L33" i="1" s="1"/>
  <c r="M33" i="1" s="1"/>
  <c r="K34" i="1"/>
  <c r="L34" i="1" s="1"/>
  <c r="M34" i="1" s="1"/>
  <c r="K26" i="1"/>
  <c r="L26" i="1" s="1"/>
  <c r="M26" i="1" s="1"/>
  <c r="K29" i="1"/>
  <c r="L29" i="1" s="1"/>
  <c r="M29" i="1" s="1"/>
  <c r="K32" i="1"/>
  <c r="L32" i="1" s="1"/>
  <c r="M32" i="1" s="1"/>
  <c r="K31" i="1"/>
  <c r="L31" i="1" s="1"/>
  <c r="M31" i="1" s="1"/>
  <c r="K30" i="1"/>
  <c r="L30" i="1" s="1"/>
  <c r="M30" i="1" s="1"/>
  <c r="K37" i="1"/>
  <c r="L37" i="1" s="1"/>
  <c r="M37" i="1" s="1"/>
  <c r="K35" i="1"/>
  <c r="L35" i="1" s="1"/>
  <c r="M35" i="1" s="1"/>
  <c r="B25" i="1" l="1"/>
  <c r="B27" i="1"/>
  <c r="B32" i="1"/>
  <c r="B26" i="1"/>
  <c r="B34" i="1"/>
  <c r="B37" i="1"/>
  <c r="B31" i="1"/>
  <c r="B30" i="1"/>
  <c r="B29" i="1"/>
  <c r="B35" i="1"/>
  <c r="B33" i="1"/>
  <c r="B36" i="1"/>
  <c r="B28" i="1"/>
</calcChain>
</file>

<file path=xl/sharedStrings.xml><?xml version="1.0" encoding="utf-8"?>
<sst xmlns="http://schemas.openxmlformats.org/spreadsheetml/2006/main" count="406" uniqueCount="141">
  <si>
    <t>General Ledger Budget to Actual by Period</t>
  </si>
  <si>
    <t>Account No.</t>
  </si>
  <si>
    <t>Description</t>
  </si>
  <si>
    <t>%</t>
  </si>
  <si>
    <t>Title</t>
  </si>
  <si>
    <t>Value</t>
  </si>
  <si>
    <t>Option</t>
  </si>
  <si>
    <t>Segment 1</t>
  </si>
  <si>
    <t>Segment 2</t>
  </si>
  <si>
    <t>Segment 3</t>
  </si>
  <si>
    <t>Segment 4</t>
  </si>
  <si>
    <t>Segment 5</t>
  </si>
  <si>
    <t>Segment 6</t>
  </si>
  <si>
    <t>Segment 7</t>
  </si>
  <si>
    <t>Segment 8</t>
  </si>
  <si>
    <t>Segment 9</t>
  </si>
  <si>
    <t>Segment 10</t>
  </si>
  <si>
    <t>Hide</t>
  </si>
  <si>
    <t>fit</t>
  </si>
  <si>
    <t>Segment Filters</t>
  </si>
  <si>
    <t>Jet Budget Name</t>
  </si>
  <si>
    <t>Jet Budget</t>
  </si>
  <si>
    <t>2017 GP</t>
  </si>
  <si>
    <t>Show Unapproved</t>
  </si>
  <si>
    <t>Lookup</t>
  </si>
  <si>
    <t>Tooltip</t>
  </si>
  <si>
    <t>="1/1/2017"</t>
  </si>
  <si>
    <t>="3/31/2017"</t>
  </si>
  <si>
    <t>="*"</t>
  </si>
  <si>
    <t>=NP("Eval","=TODAY()")</t>
  </si>
  <si>
    <t>Auto</t>
  </si>
  <si>
    <t>Auto+Hide</t>
  </si>
  <si>
    <t>Calculations</t>
  </si>
  <si>
    <t>Actual End Date</t>
  </si>
  <si>
    <t>DateFilter</t>
  </si>
  <si>
    <t>Approve</t>
  </si>
  <si>
    <t>Field</t>
  </si>
  <si>
    <t>No</t>
  </si>
  <si>
    <t>Hide accounts with zero activity?</t>
  </si>
  <si>
    <t>Yes</t>
  </si>
  <si>
    <t>Start Date</t>
  </si>
  <si>
    <t>End Date</t>
  </si>
  <si>
    <t>Run Date</t>
  </si>
  <si>
    <t>ACTUAL</t>
  </si>
  <si>
    <t>BUDGET</t>
  </si>
  <si>
    <t>VARIANCE</t>
  </si>
  <si>
    <t>=NL("Lookup",{"Yes","No"},"Include unapproved budget numbers?")</t>
  </si>
  <si>
    <t>=NL("Lookup",{"Yes","No"},"Hide accounts with zero balance and activity?")</t>
  </si>
  <si>
    <t>=IF(D7="Yes",TRUE,FALSE)</t>
  </si>
  <si>
    <t>=Options!$D$21</t>
  </si>
  <si>
    <t>=Options!$D$6</t>
  </si>
  <si>
    <t>=Options!$D$9</t>
  </si>
  <si>
    <t>=Options!$D$10</t>
  </si>
  <si>
    <t>=Options!$D$11</t>
  </si>
  <si>
    <t>=Options!$D$12</t>
  </si>
  <si>
    <t>=Options!$D$13</t>
  </si>
  <si>
    <t>=Options!$D$14</t>
  </si>
  <si>
    <t>=Options!$D$15</t>
  </si>
  <si>
    <t>=Options!$D$16</t>
  </si>
  <si>
    <t>=Options!$D$17</t>
  </si>
  <si>
    <t>=Options!$D$18</t>
  </si>
  <si>
    <t xml:space="preserve">Report Readme </t>
  </si>
  <si>
    <t>About the report</t>
  </si>
  <si>
    <t>Modifying your report</t>
  </si>
  <si>
    <t>Version of Jet</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</si>
  <si>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</si>
  <si>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</si>
  <si>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</si>
  <si>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</si>
  <si>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</si>
  <si>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</si>
  <si>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</si>
  <si>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</si>
  <si>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Services</t>
  </si>
  <si>
    <t>For additional reports or customizations for your reports please contact Jet services at services@jetglobal.com.</t>
  </si>
  <si>
    <t>Click here to email Jet Global Services</t>
  </si>
  <si>
    <t>Training</t>
  </si>
  <si>
    <t>For training, see our website for more information.</t>
  </si>
  <si>
    <t>Click here to go to Jet Global contact page</t>
  </si>
  <si>
    <t>Sales</t>
  </si>
  <si>
    <t>To contact a sales representative, send an email to sales.us@jetglobal.com.</t>
  </si>
  <si>
    <t>Click here to email Jet Global sales</t>
  </si>
  <si>
    <t>DISCLAIMER</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</si>
  <si>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</si>
  <si>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Copyrights</t>
  </si>
  <si>
    <t xml:space="preserve">2018 Jet Global Data Technologies, Inc. </t>
  </si>
  <si>
    <r>
      <t xml:space="preserve">This report can be modified by entering into design mode from the Jet tab.
</t>
    </r>
    <r>
      <rPr>
        <b/>
        <sz val="10"/>
        <color theme="1"/>
        <rFont val="Segoe UI"/>
        <family val="2"/>
      </rPr>
      <t>If you use more than 3 segments in your G/L account number, you will need to modify the following:
     - in Options worksheet, if you wish to prompt for segment values, you will need to add the 'Option' keyword column A to the additional segments
     - Report Worksheet: modify the Jet GL Rows function (cell F25) to filter for additional segments
     - Report Worksheet: breakout the segment numbers by inserting additional columns and adding the appropriate Jet function to retrieve the appropriate segment
     - Report Worksheet: modify the Jet GL Cell function for Actual to include filtering for the new segment(s)
     - Report Worksheet: modify the Jet GL Budget function for Budget to include filtering for the new segment(s)</t>
    </r>
  </si>
  <si>
    <t>Hide+?</t>
  </si>
  <si>
    <t>=J22</t>
  </si>
  <si>
    <t>=J23</t>
  </si>
  <si>
    <t>=NL("first","gl00105","ACTNUMBR_1","ACTNUMST",$G25)</t>
  </si>
  <si>
    <t>=NL("first","gl00105","ACTNUMBR_2","ACTNUMST",$G25)</t>
  </si>
  <si>
    <t>=NL("first","gl00105","ACTNUMBR_3","ACTNUMST",$G25)</t>
  </si>
  <si>
    <t>=GL("Rows","Accounts",,$H$5,$H$6,,$H$11,$H$12,$H$13,$H$14,$H$15)</t>
  </si>
  <si>
    <t>=GL("Cell","AccountName",$G25)</t>
  </si>
  <si>
    <t>=GL("Cell","Balance",$G25,J$22,J$23)</t>
  </si>
  <si>
    <t>=IFERROR(L25/K25,"")</t>
  </si>
  <si>
    <t>Main Acct</t>
  </si>
  <si>
    <t>Segment #</t>
  </si>
  <si>
    <t>Auto+Hide+HideSheet+Formulas=Sheet1,Sheet2</t>
  </si>
  <si>
    <t>1</t>
  </si>
  <si>
    <t>=NL("Lookup","GL40200",{"SGMNTID","DSCRIPTN"},"SGMTNUMB",B9)</t>
  </si>
  <si>
    <t>2</t>
  </si>
  <si>
    <t>=NL("Lookup","GL40200",{"SGMNTID","DSCRIPTN"},"SGMTNUMB",B10)</t>
  </si>
  <si>
    <t>3</t>
  </si>
  <si>
    <t>=NL("Lookup","GL40200",{"SGMNTID","DSCRIPTN"},"SGMTNUMB",B11)</t>
  </si>
  <si>
    <t>4</t>
  </si>
  <si>
    <t>=NL("Lookup","GL40200",{"SGMNTID","DSCRIPTN"},"SGMTNUMB",B12)</t>
  </si>
  <si>
    <t>5</t>
  </si>
  <si>
    <t>=NL("Lookup","GL40200",{"SGMNTID","DSCRIPTN"},"SGMTNUMB",B13)</t>
  </si>
  <si>
    <t>6</t>
  </si>
  <si>
    <t>=NL("Lookup","GL40200",{"SGMNTID","DSCRIPTN"},"SGMTNUMB",B14)</t>
  </si>
  <si>
    <t>7</t>
  </si>
  <si>
    <t>=NL("Lookup","GL40200",{"SGMNTID","DSCRIPTN"},"SGMTNUMB",B15)</t>
  </si>
  <si>
    <t>8</t>
  </si>
  <si>
    <t>=NL("Lookup","GL40200",{"SGMNTID","DSCRIPTN"},"SGMTNUMB",B16)</t>
  </si>
  <si>
    <t>9</t>
  </si>
  <si>
    <t>=NL("Lookup","GL40200",{"SGMNTID","DSCRIPTN"},"SGMTNUMB",B17)</t>
  </si>
  <si>
    <t>10</t>
  </si>
  <si>
    <t>=NL("Lookup","GL40200",{"SGMNTID","DSCRIPTN"},"SGMTNUMB",B18)</t>
  </si>
  <si>
    <t>=EOMONTH($D$5,0)</t>
  </si>
  <si>
    <t>=NP("DateFilter",$D$4,$D$21)</t>
  </si>
  <si>
    <t>Auto+Hide+HideSheet+Formulas=Sheet1,Sheet2+FormulasOnly</t>
  </si>
  <si>
    <t>Auto+Hide+Formulas=Sheet3,Sheet4</t>
  </si>
  <si>
    <t>=Options!$D$4</t>
  </si>
  <si>
    <t>=Options!$C$9</t>
  </si>
  <si>
    <t>=Options!$C$10</t>
  </si>
  <si>
    <t>=Options!$C$11</t>
  </si>
  <si>
    <t>=Options!$C$12</t>
  </si>
  <si>
    <t>=Options!$C$13</t>
  </si>
  <si>
    <t>=Options!$C$14</t>
  </si>
  <si>
    <t>=Options!$C$15</t>
  </si>
  <si>
    <t>=Options!$C$16</t>
  </si>
  <si>
    <t>=Options!$C$17</t>
  </si>
  <si>
    <t>=Options!$C$18</t>
  </si>
  <si>
    <t>=IF(AND(Options!$D$8="Yes",MIN(J25:O25)=0,MAX(J25:O25)=0),"Hide","Show")</t>
  </si>
  <si>
    <t>=GL("JetBudget",$H$7,$E25,K$22,K$23,Options!$D$23,"Segment1",$D25,"Segment3",$F25)</t>
  </si>
  <si>
    <t>Auto+Hide+Formulas=Sheet3,Sheet4+FormulasOnly</t>
  </si>
  <si>
    <r>
      <t xml:space="preserve">This report provides data on Budget, Actual, and Variance for a user-specified range of accounts and date range.
Dates used in filtering must be formatted to the same format used in NAV.
</t>
    </r>
    <r>
      <rPr>
        <b/>
        <sz val="10"/>
        <color theme="1"/>
        <rFont val="Segoe UI"/>
        <family val="2"/>
      </rPr>
      <t>You must have a license for Jet Budgets for this report to work.</t>
    </r>
  </si>
  <si>
    <t>="4100..6200"</t>
  </si>
  <si>
    <t>=K25-J25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</si>
</sst>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0_);[Red]\(#,##0.00\);"/>
    <numFmt numFmtId="165" formatCode="0%;[Red]\(0%\);\ "/>
  </numFmts>
  <fonts count="13" x14ac:knownFonts="1">
    <font>
      <sz val="11"/>
      <color theme="1"/>
      <name val="Calibri"/>
      <family val="2"/>
      <scheme val="minor"/>
    </font>
    <font>
      <b/>
      <sz val="15"/>
      <color theme="3"/>
      <name val="Calibri"/>
      <family val="2"/>
      <scheme val="minor"/>
    </font>
    <font>
      <sz val="11"/>
      <color rgb="FF000000"/>
      <name val="Calibri"/>
      <family val="2"/>
      <scheme val="minor"/>
    </font>
    <font>
      <sz val="11"/>
      <color rgb="FFA6A6A6"/>
      <name val="Calibri"/>
      <family val="2"/>
      <scheme val="minor"/>
    </font>
    <font>
      <b/>
      <sz val="11"/>
      <color theme="1"/>
      <name val="Calibri"/>
      <family val="2"/>
      <scheme val="minor"/>
    </font>
    <font>
      <sz val="11"/>
      <color theme="1"/>
      <name val="Calibri"/>
      <family val="2"/>
      <scheme val="minor"/>
    </font>
    <font>
      <sz val="10"/>
      <color theme="1"/>
      <name val="Segoe UI"/>
      <family val="2"/>
    </font>
    <font>
      <b/>
      <sz val="18"/>
      <color theme="9" tint="-0.249977111117893"/>
      <name val="Calibri"/>
      <family val="2"/>
      <scheme val="minor"/>
    </font>
    <font>
      <b/>
      <sz val="11"/>
      <color theme="9" tint="-0.249977111117893"/>
      <name val="Calibri"/>
      <family val="2"/>
      <scheme val="minor"/>
    </font>
    <font>
      <b/>
      <sz val="20"/>
      <color rgb="FFDA4848"/>
      <name val="Segoe UI"/>
      <family val="2"/>
    </font>
    <font>
      <sz val="10"/>
      <color rgb="FFDA4848"/>
      <name val="Segoe UI"/>
      <family val="2"/>
    </font>
    <font>
      <b/>
      <sz val="10"/>
      <color theme="1"/>
      <name val="Segoe UI"/>
      <family val="2"/>
    </font>
    <font>
      <u/>
      <sz val="10"/>
      <color indexed="12"/>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s>
  <borders count="6">
    <border>
      <left/>
      <right/>
      <top/>
      <bottom/>
      <diagonal/>
    </border>
    <border>
      <left/>
      <right/>
      <top/>
      <bottom style="thick">
        <color theme="4"/>
      </bottom>
      <diagonal/>
    </border>
    <border>
      <left/>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1" applyNumberFormat="0" applyFill="0" applyAlignment="0" applyProtection="0"/>
    <xf numFmtId="0" fontId="5" fillId="0" borderId="0"/>
    <xf numFmtId="0" fontId="12" fillId="0" borderId="0" applyNumberFormat="0" applyFill="0" applyBorder="0" applyAlignment="0" applyProtection="0">
      <alignment vertical="top"/>
      <protection locked="0"/>
    </xf>
  </cellStyleXfs>
  <cellXfs count="30">
    <xf numFmtId="0" fontId="0" fillId="0" borderId="0" xfId="0"/>
    <xf numFmtId="14" fontId="0" fillId="0" borderId="0" xfId="0" applyNumberFormat="1"/>
    <xf numFmtId="14" fontId="3" fillId="0" borderId="0" xfId="0" applyNumberFormat="1" applyFont="1" applyAlignment="1"/>
    <xf numFmtId="0" fontId="2" fillId="0" borderId="0" xfId="0" applyNumberFormat="1" applyFont="1" applyAlignment="1"/>
    <xf numFmtId="0" fontId="2" fillId="0" borderId="4" xfId="0" applyNumberFormat="1" applyFont="1" applyBorder="1" applyAlignment="1"/>
    <xf numFmtId="43" fontId="2" fillId="0" borderId="0" xfId="0" applyNumberFormat="1" applyFont="1" applyBorder="1" applyAlignment="1"/>
    <xf numFmtId="164" fontId="2" fillId="0" borderId="0" xfId="0" applyNumberFormat="1" applyFont="1" applyBorder="1" applyAlignment="1"/>
    <xf numFmtId="165" fontId="2" fillId="0" borderId="4" xfId="0" applyNumberFormat="1" applyFont="1" applyBorder="1" applyAlignment="1"/>
    <xf numFmtId="0" fontId="4" fillId="0" borderId="0" xfId="0" applyFont="1"/>
    <xf numFmtId="0" fontId="0" fillId="0" borderId="0" xfId="0" applyFont="1"/>
    <xf numFmtId="0" fontId="3" fillId="0" borderId="0" xfId="0" applyNumberFormat="1" applyFont="1" applyAlignment="1"/>
    <xf numFmtId="0" fontId="0" fillId="0" borderId="0" xfId="0" quotePrefix="1"/>
    <xf numFmtId="0" fontId="2" fillId="0" borderId="0" xfId="0" applyNumberFormat="1" applyFont="1" applyFill="1" applyAlignment="1"/>
    <xf numFmtId="0" fontId="0" fillId="3" borderId="5" xfId="0" applyFill="1" applyBorder="1"/>
    <xf numFmtId="0" fontId="2" fillId="0" borderId="5" xfId="0" applyNumberFormat="1" applyFont="1" applyFill="1" applyBorder="1" applyAlignment="1"/>
    <xf numFmtId="14" fontId="2" fillId="0" borderId="5" xfId="0" applyNumberFormat="1" applyFont="1" applyBorder="1" applyAlignment="1"/>
    <xf numFmtId="0" fontId="8" fillId="2" borderId="2" xfId="0" applyNumberFormat="1" applyFont="1" applyFill="1" applyBorder="1" applyAlignment="1"/>
    <xf numFmtId="0" fontId="8" fillId="2" borderId="3" xfId="0" applyNumberFormat="1" applyFont="1" applyFill="1" applyBorder="1" applyAlignment="1"/>
    <xf numFmtId="0" fontId="8" fillId="2" borderId="2" xfId="0" applyNumberFormat="1" applyFont="1" applyFill="1" applyBorder="1" applyAlignment="1">
      <alignment horizontal="right"/>
    </xf>
    <xf numFmtId="0" fontId="8" fillId="2" borderId="3" xfId="0" applyNumberFormat="1" applyFont="1" applyFill="1" applyBorder="1" applyAlignment="1">
      <alignment horizontal="right"/>
    </xf>
    <xf numFmtId="0" fontId="6" fillId="0" borderId="0" xfId="2" applyFont="1"/>
    <xf numFmtId="0" fontId="6" fillId="0" borderId="0" xfId="2" applyFont="1" applyAlignment="1">
      <alignment vertical="top"/>
    </xf>
    <xf numFmtId="0" fontId="6" fillId="0" borderId="0" xfId="2" applyFont="1" applyAlignment="1">
      <alignment vertical="top" wrapText="1"/>
    </xf>
    <xf numFmtId="0" fontId="9" fillId="0" borderId="0" xfId="2" applyFont="1" applyAlignment="1">
      <alignment vertical="top"/>
    </xf>
    <xf numFmtId="0" fontId="10" fillId="0" borderId="0" xfId="2" applyFont="1" applyAlignment="1">
      <alignment vertical="top"/>
    </xf>
    <xf numFmtId="0" fontId="11" fillId="0" borderId="0" xfId="2" applyFont="1" applyAlignment="1">
      <alignment vertical="top"/>
    </xf>
    <xf numFmtId="0" fontId="12" fillId="0" borderId="0" xfId="3" applyAlignment="1" applyProtection="1">
      <alignment vertical="top"/>
    </xf>
    <xf numFmtId="0" fontId="6" fillId="0" borderId="0" xfId="0" applyFont="1" applyAlignment="1">
      <alignment vertical="top" wrapText="1"/>
    </xf>
    <xf numFmtId="14" fontId="0" fillId="0" borderId="0" xfId="0" applyNumberFormat="1" applyAlignment="1">
      <alignment horizontal="right"/>
    </xf>
    <xf numFmtId="0" fontId="7" fillId="0" borderId="0" xfId="1" applyNumberFormat="1" applyFont="1" applyBorder="1" applyAlignment="1">
      <alignment horizontal="left"/>
    </xf>
  </cellXfs>
  <cellStyles count="4">
    <cellStyle name="Heading 1" xfId="1" builtinId="16"/>
    <cellStyle name="Hyperlink 3" xfId="3"/>
    <cellStyle name="Normal" xfId="0" builtinId="0"/>
    <cellStyle name="Normal 5" xfId="2"/>
  </cellStyles>
  <dxfs count="2">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20" hidden="1" customWidth="1"/>
    <col min="2" max="2" width="10.28515625" style="20" customWidth="1"/>
    <col min="3" max="3" width="27.140625" style="21" customWidth="1"/>
    <col min="4" max="4" width="77.28515625" style="22" customWidth="1"/>
    <col min="5" max="5" width="36.42578125" style="20" customWidth="1"/>
    <col min="6" max="16384" width="9.140625" style="20"/>
  </cols>
  <sheetData>
    <row r="1" spans="1:5" hidden="1" x14ac:dyDescent="0.25">
      <c r="A1" s="20" t="s">
        <v>31</v>
      </c>
    </row>
    <row r="7" spans="1:5" ht="30.75" x14ac:dyDescent="0.25">
      <c r="C7" s="23" t="s">
        <v>61</v>
      </c>
    </row>
    <row r="9" spans="1:5" x14ac:dyDescent="0.25">
      <c r="C9" s="24"/>
    </row>
    <row r="10" spans="1:5" ht="85.5" x14ac:dyDescent="0.25">
      <c r="C10" s="25" t="s">
        <v>62</v>
      </c>
      <c r="D10" s="27" t="s">
        <v>138</v>
      </c>
    </row>
    <row r="11" spans="1:5" x14ac:dyDescent="0.25">
      <c r="C11" s="25"/>
    </row>
    <row r="12" spans="1:5" ht="213.75" x14ac:dyDescent="0.25">
      <c r="C12" s="25" t="s">
        <v>63</v>
      </c>
      <c r="D12" s="22" t="s">
        <v>86</v>
      </c>
    </row>
    <row r="13" spans="1:5" x14ac:dyDescent="0.25">
      <c r="C13" s="25"/>
    </row>
    <row r="14" spans="1:5" ht="57" x14ac:dyDescent="0.25">
      <c r="C14" s="25" t="s">
        <v>64</v>
      </c>
      <c r="D14" s="22" t="s">
        <v>65</v>
      </c>
      <c r="E14" s="26" t="s">
        <v>66</v>
      </c>
    </row>
    <row r="15" spans="1:5" x14ac:dyDescent="0.25">
      <c r="C15" s="25"/>
      <c r="E15" s="21"/>
    </row>
    <row r="16" spans="1:5" ht="28.5" x14ac:dyDescent="0.25">
      <c r="C16" s="25" t="s">
        <v>67</v>
      </c>
      <c r="D16" s="22" t="s">
        <v>68</v>
      </c>
      <c r="E16" s="26" t="s">
        <v>69</v>
      </c>
    </row>
    <row r="17" spans="3:5" x14ac:dyDescent="0.25">
      <c r="C17" s="25"/>
      <c r="E17" s="21"/>
    </row>
    <row r="18" spans="3:5" ht="57" x14ac:dyDescent="0.25">
      <c r="C18" s="25" t="s">
        <v>70</v>
      </c>
      <c r="D18" s="22" t="s">
        <v>71</v>
      </c>
      <c r="E18" s="26" t="s">
        <v>72</v>
      </c>
    </row>
    <row r="19" spans="3:5" x14ac:dyDescent="0.25">
      <c r="C19" s="25"/>
      <c r="E19" s="21"/>
    </row>
    <row r="20" spans="3:5" ht="30.75" customHeight="1" x14ac:dyDescent="0.25">
      <c r="C20" s="25" t="s">
        <v>73</v>
      </c>
      <c r="D20" s="22" t="s">
        <v>74</v>
      </c>
      <c r="E20" s="26" t="s">
        <v>75</v>
      </c>
    </row>
    <row r="21" spans="3:5" x14ac:dyDescent="0.25">
      <c r="C21" s="25"/>
      <c r="E21" s="21"/>
    </row>
    <row r="22" spans="3:5" ht="14.25" customHeight="1" x14ac:dyDescent="0.25">
      <c r="C22" s="25" t="s">
        <v>76</v>
      </c>
      <c r="D22" s="22" t="s">
        <v>77</v>
      </c>
      <c r="E22" s="26" t="s">
        <v>78</v>
      </c>
    </row>
    <row r="23" spans="3:5" x14ac:dyDescent="0.25">
      <c r="C23" s="25"/>
      <c r="E23" s="21"/>
    </row>
    <row r="24" spans="3:5" ht="15" customHeight="1" x14ac:dyDescent="0.25">
      <c r="C24" s="25" t="s">
        <v>79</v>
      </c>
      <c r="D24" s="22" t="s">
        <v>80</v>
      </c>
      <c r="E24" s="26" t="s">
        <v>81</v>
      </c>
    </row>
    <row r="25" spans="3:5" x14ac:dyDescent="0.25">
      <c r="C25" s="25"/>
    </row>
    <row r="26" spans="3:5" ht="71.25" x14ac:dyDescent="0.25">
      <c r="C26" s="25" t="s">
        <v>82</v>
      </c>
      <c r="D26" s="22" t="s">
        <v>83</v>
      </c>
    </row>
    <row r="27" spans="3:5" x14ac:dyDescent="0.25">
      <c r="C27" s="25"/>
    </row>
    <row r="28" spans="3:5" ht="17.25" customHeight="1" x14ac:dyDescent="0.25">
      <c r="C28" s="25" t="s">
        <v>84</v>
      </c>
      <c r="D28" s="22" t="s">
        <v>85</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opLeftCell="B2" workbookViewId="0">
      <selection activeCell="B4" sqref="B4"/>
    </sheetView>
  </sheetViews>
  <sheetFormatPr defaultRowHeight="15" x14ac:dyDescent="0.25"/>
  <cols>
    <col min="1" max="1" width="9.140625" hidden="1" customWidth="1"/>
    <col min="2" max="2" width="10.28515625" bestFit="1" customWidth="1"/>
    <col min="3" max="3" width="19.42578125" customWidth="1"/>
    <col min="4" max="4" width="13.85546875" customWidth="1"/>
    <col min="5" max="6" width="9.140625" customWidth="1"/>
  </cols>
  <sheetData>
    <row r="1" spans="1:6" hidden="1" x14ac:dyDescent="0.25">
      <c r="A1" s="10" t="s">
        <v>99</v>
      </c>
      <c r="B1" s="10"/>
      <c r="C1" s="10" t="s">
        <v>4</v>
      </c>
      <c r="D1" s="10" t="s">
        <v>5</v>
      </c>
      <c r="E1" s="10" t="s">
        <v>24</v>
      </c>
      <c r="F1" s="10" t="s">
        <v>25</v>
      </c>
    </row>
    <row r="3" spans="1:6" x14ac:dyDescent="0.25">
      <c r="B3" t="s">
        <v>98</v>
      </c>
      <c r="C3" s="13" t="s">
        <v>36</v>
      </c>
      <c r="D3" s="13" t="s">
        <v>5</v>
      </c>
    </row>
    <row r="4" spans="1:6" x14ac:dyDescent="0.25">
      <c r="A4" s="10" t="s">
        <v>6</v>
      </c>
      <c r="B4" s="10"/>
      <c r="C4" s="14" t="s">
        <v>40</v>
      </c>
      <c r="D4" s="15" t="str">
        <f>"1/1/2017"</f>
        <v>1/1/2017</v>
      </c>
    </row>
    <row r="5" spans="1:6" x14ac:dyDescent="0.25">
      <c r="A5" s="10" t="s">
        <v>6</v>
      </c>
      <c r="B5" s="10"/>
      <c r="C5" s="14" t="s">
        <v>41</v>
      </c>
      <c r="D5" s="15" t="str">
        <f>"3/31/2017"</f>
        <v>3/31/2017</v>
      </c>
    </row>
    <row r="6" spans="1:6" x14ac:dyDescent="0.25">
      <c r="A6" s="10" t="s">
        <v>6</v>
      </c>
      <c r="B6" s="10"/>
      <c r="C6" s="14" t="s">
        <v>20</v>
      </c>
      <c r="D6" s="15" t="s">
        <v>22</v>
      </c>
    </row>
    <row r="7" spans="1:6" x14ac:dyDescent="0.25">
      <c r="A7" s="10" t="s">
        <v>6</v>
      </c>
      <c r="B7" s="10"/>
      <c r="C7" s="14" t="s">
        <v>23</v>
      </c>
      <c r="D7" s="15" t="s">
        <v>37</v>
      </c>
      <c r="E7" s="12" t="str">
        <f>_xll.NL("Lookup",{"Yes","No"},"Include unapproved budget numbers?")</f>
        <v>Lookup</v>
      </c>
    </row>
    <row r="8" spans="1:6" x14ac:dyDescent="0.25">
      <c r="A8" s="10" t="s">
        <v>6</v>
      </c>
      <c r="B8" s="10"/>
      <c r="C8" s="14" t="s">
        <v>38</v>
      </c>
      <c r="D8" s="15" t="s">
        <v>39</v>
      </c>
      <c r="E8" s="12" t="str">
        <f>_xll.NL("Lookup",{"Yes","No"},"Hide accounts with zero balance and activity?")</f>
        <v>Lookup</v>
      </c>
    </row>
    <row r="9" spans="1:6" x14ac:dyDescent="0.25">
      <c r="A9" s="10" t="s">
        <v>6</v>
      </c>
      <c r="B9" s="10">
        <v>1</v>
      </c>
      <c r="C9" s="14" t="s">
        <v>7</v>
      </c>
      <c r="D9" s="15" t="str">
        <f>"*"</f>
        <v>*</v>
      </c>
      <c r="E9" t="str">
        <f>_xll.NL("Lookup","GL40200",{"SGMNTID","DSCRIPTN"},"SGMTNUMB",B9)</f>
        <v>Lookup</v>
      </c>
    </row>
    <row r="10" spans="1:6" x14ac:dyDescent="0.25">
      <c r="A10" s="10" t="s">
        <v>6</v>
      </c>
      <c r="B10" s="10">
        <v>2</v>
      </c>
      <c r="C10" s="14" t="s">
        <v>97</v>
      </c>
      <c r="D10" s="15" t="str">
        <f>"4100..6200"</f>
        <v>4100..6200</v>
      </c>
      <c r="E10" t="str">
        <f>_xll.NL("Lookup","GL40200",{"SGMNTID","DSCRIPTN"},"SGMTNUMB",B10)</f>
        <v>Lookup</v>
      </c>
    </row>
    <row r="11" spans="1:6" x14ac:dyDescent="0.25">
      <c r="A11" s="10" t="s">
        <v>6</v>
      </c>
      <c r="B11" s="10">
        <v>3</v>
      </c>
      <c r="C11" s="14" t="s">
        <v>9</v>
      </c>
      <c r="D11" s="15" t="str">
        <f t="shared" ref="D11:D18" si="0">"*"</f>
        <v>*</v>
      </c>
      <c r="E11" t="str">
        <f>_xll.NL("Lookup","GL40200",{"SGMNTID","DSCRIPTN"},"SGMTNUMB",B11)</f>
        <v>Lookup</v>
      </c>
    </row>
    <row r="12" spans="1:6" x14ac:dyDescent="0.25">
      <c r="A12" s="10"/>
      <c r="B12" s="10">
        <v>4</v>
      </c>
      <c r="C12" s="14" t="s">
        <v>10</v>
      </c>
      <c r="D12" s="15" t="str">
        <f t="shared" si="0"/>
        <v>*</v>
      </c>
      <c r="E12" t="str">
        <f>_xll.NL("Lookup","GL40200",{"SGMNTID","DSCRIPTN"},"SGMTNUMB",B12)</f>
        <v>Lookup</v>
      </c>
    </row>
    <row r="13" spans="1:6" x14ac:dyDescent="0.25">
      <c r="A13" s="10"/>
      <c r="B13" s="10">
        <v>5</v>
      </c>
      <c r="C13" s="14" t="s">
        <v>11</v>
      </c>
      <c r="D13" s="15" t="str">
        <f t="shared" si="0"/>
        <v>*</v>
      </c>
      <c r="E13" t="str">
        <f>_xll.NL("Lookup","GL40200",{"SGMNTID","DSCRIPTN"},"SGMTNUMB",B13)</f>
        <v>Lookup</v>
      </c>
    </row>
    <row r="14" spans="1:6" x14ac:dyDescent="0.25">
      <c r="A14" s="10"/>
      <c r="B14" s="10">
        <v>6</v>
      </c>
      <c r="C14" s="14" t="s">
        <v>12</v>
      </c>
      <c r="D14" s="15" t="str">
        <f t="shared" si="0"/>
        <v>*</v>
      </c>
      <c r="E14" t="str">
        <f>_xll.NL("Lookup","GL40200",{"SGMNTID","DSCRIPTN"},"SGMTNUMB",B14)</f>
        <v>Lookup</v>
      </c>
    </row>
    <row r="15" spans="1:6" x14ac:dyDescent="0.25">
      <c r="A15" s="10"/>
      <c r="B15" s="10">
        <v>7</v>
      </c>
      <c r="C15" s="14" t="s">
        <v>13</v>
      </c>
      <c r="D15" s="15" t="str">
        <f t="shared" si="0"/>
        <v>*</v>
      </c>
      <c r="E15" t="str">
        <f>_xll.NL("Lookup","GL40200",{"SGMNTID","DSCRIPTN"},"SGMTNUMB",B15)</f>
        <v>Lookup</v>
      </c>
    </row>
    <row r="16" spans="1:6" x14ac:dyDescent="0.25">
      <c r="A16" s="10"/>
      <c r="B16" s="10">
        <v>8</v>
      </c>
      <c r="C16" s="14" t="s">
        <v>14</v>
      </c>
      <c r="D16" s="15" t="str">
        <f t="shared" si="0"/>
        <v>*</v>
      </c>
      <c r="E16" t="str">
        <f>_xll.NL("Lookup","GL40200",{"SGMNTID","DSCRIPTN"},"SGMTNUMB",B16)</f>
        <v>Lookup</v>
      </c>
    </row>
    <row r="17" spans="1:7" x14ac:dyDescent="0.25">
      <c r="A17" s="10"/>
      <c r="B17" s="10">
        <v>9</v>
      </c>
      <c r="C17" s="14" t="s">
        <v>15</v>
      </c>
      <c r="D17" s="15" t="str">
        <f t="shared" si="0"/>
        <v>*</v>
      </c>
      <c r="E17" t="str">
        <f>_xll.NL("Lookup","GL40200",{"SGMNTID","DSCRIPTN"},"SGMTNUMB",B17)</f>
        <v>Lookup</v>
      </c>
    </row>
    <row r="18" spans="1:7" x14ac:dyDescent="0.25">
      <c r="A18" s="10"/>
      <c r="B18" s="10">
        <v>10</v>
      </c>
      <c r="C18" s="14" t="s">
        <v>16</v>
      </c>
      <c r="D18" s="15" t="str">
        <f t="shared" si="0"/>
        <v>*</v>
      </c>
      <c r="E18" t="str">
        <f>_xll.NL("Lookup","GL40200",{"SGMNTID","DSCRIPTN"},"SGMTNUMB",B18)</f>
        <v>Lookup</v>
      </c>
    </row>
    <row r="19" spans="1:7" x14ac:dyDescent="0.25">
      <c r="G19" s="1"/>
    </row>
    <row r="20" spans="1:7" x14ac:dyDescent="0.25">
      <c r="C20" s="8" t="s">
        <v>32</v>
      </c>
    </row>
    <row r="21" spans="1:7" x14ac:dyDescent="0.25">
      <c r="C21" s="12" t="s">
        <v>33</v>
      </c>
      <c r="D21" s="1">
        <f>EOMONTH($D$5,0)</f>
        <v>42825</v>
      </c>
    </row>
    <row r="22" spans="1:7" x14ac:dyDescent="0.25">
      <c r="C22" s="12" t="s">
        <v>34</v>
      </c>
      <c r="D22" s="3" t="str">
        <f>_xll.NP("DateFilter",$D$4,$D$21)</f>
        <v>1/1/2017..3/31/2017</v>
      </c>
    </row>
    <row r="23" spans="1:7" x14ac:dyDescent="0.25">
      <c r="C23" s="12" t="s">
        <v>35</v>
      </c>
      <c r="D23" t="b">
        <f>IF(D7="Yes",TRUE,FALSE)</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opLeftCell="C2" workbookViewId="0"/>
  </sheetViews>
  <sheetFormatPr defaultRowHeight="15" x14ac:dyDescent="0.25"/>
  <cols>
    <col min="1" max="2" width="9.140625" hidden="1" customWidth="1"/>
    <col min="3" max="3" width="4.28515625" customWidth="1"/>
    <col min="4" max="6" width="10.28515625" hidden="1" customWidth="1"/>
    <col min="7" max="7" width="13" customWidth="1"/>
    <col min="8" max="8" width="37.5703125" bestFit="1" customWidth="1"/>
    <col min="9" max="9" width="5.5703125" customWidth="1"/>
    <col min="10" max="11" width="12.28515625" bestFit="1" customWidth="1"/>
    <col min="12" max="12" width="11.5703125" bestFit="1" customWidth="1"/>
    <col min="13" max="13" width="8" bestFit="1" customWidth="1"/>
    <col min="14" max="14" width="2" customWidth="1"/>
  </cols>
  <sheetData>
    <row r="1" spans="1:13" hidden="1" x14ac:dyDescent="0.25">
      <c r="A1" t="s">
        <v>123</v>
      </c>
      <c r="B1" t="s">
        <v>87</v>
      </c>
      <c r="D1" t="s">
        <v>17</v>
      </c>
      <c r="E1" t="s">
        <v>17</v>
      </c>
      <c r="F1" t="s">
        <v>17</v>
      </c>
      <c r="H1" t="s">
        <v>18</v>
      </c>
      <c r="J1" t="s">
        <v>18</v>
      </c>
      <c r="K1" t="s">
        <v>18</v>
      </c>
      <c r="L1" t="s">
        <v>18</v>
      </c>
      <c r="M1" t="s">
        <v>18</v>
      </c>
    </row>
    <row r="3" spans="1:13" ht="23.25" x14ac:dyDescent="0.35">
      <c r="G3" s="29" t="s">
        <v>0</v>
      </c>
      <c r="H3" s="29"/>
      <c r="I3" s="29"/>
      <c r="J3" s="29"/>
      <c r="K3" s="29"/>
      <c r="L3" s="29"/>
    </row>
    <row r="5" spans="1:13" x14ac:dyDescent="0.25">
      <c r="G5" s="8" t="s">
        <v>40</v>
      </c>
      <c r="H5" s="28" t="str">
        <f>Options!$D$4</f>
        <v>1/1/2017</v>
      </c>
    </row>
    <row r="6" spans="1:13" x14ac:dyDescent="0.25">
      <c r="G6" s="8" t="s">
        <v>41</v>
      </c>
      <c r="H6" s="28">
        <f>Options!$D$21</f>
        <v>42825</v>
      </c>
    </row>
    <row r="7" spans="1:13" x14ac:dyDescent="0.25">
      <c r="G7" s="8" t="s">
        <v>21</v>
      </c>
      <c r="H7" s="28" t="str">
        <f>Options!$D$6</f>
        <v>2017 GP</v>
      </c>
    </row>
    <row r="8" spans="1:13" x14ac:dyDescent="0.25">
      <c r="G8" s="8" t="s">
        <v>42</v>
      </c>
      <c r="H8" s="28">
        <f>_xll.NP("Eval","=TODAY()")</f>
        <v>43444</v>
      </c>
    </row>
    <row r="9" spans="1:13" x14ac:dyDescent="0.25">
      <c r="H9" s="1"/>
    </row>
    <row r="10" spans="1:13" x14ac:dyDescent="0.25">
      <c r="G10" s="8" t="s">
        <v>19</v>
      </c>
    </row>
    <row r="11" spans="1:13" x14ac:dyDescent="0.25">
      <c r="G11" s="9" t="str">
        <f>Options!$C$9</f>
        <v>Segment 1</v>
      </c>
      <c r="H11" s="1" t="str">
        <f>Options!$D$9</f>
        <v>*</v>
      </c>
    </row>
    <row r="12" spans="1:13" x14ac:dyDescent="0.25">
      <c r="G12" s="9" t="str">
        <f>Options!$C$10</f>
        <v>Main Acct</v>
      </c>
      <c r="H12" s="1" t="str">
        <f>Options!$D$10</f>
        <v>4100..6200</v>
      </c>
    </row>
    <row r="13" spans="1:13" x14ac:dyDescent="0.25">
      <c r="G13" s="9" t="str">
        <f>Options!$C$11</f>
        <v>Segment 3</v>
      </c>
      <c r="H13" s="1" t="str">
        <f>Options!$D$11</f>
        <v>*</v>
      </c>
    </row>
    <row r="14" spans="1:13" hidden="1" x14ac:dyDescent="0.25">
      <c r="A14" t="s">
        <v>17</v>
      </c>
      <c r="G14" s="9" t="str">
        <f>Options!$C$12</f>
        <v>Segment 4</v>
      </c>
      <c r="H14" s="1" t="str">
        <f>Options!$D$12</f>
        <v>*</v>
      </c>
    </row>
    <row r="15" spans="1:13" hidden="1" x14ac:dyDescent="0.25">
      <c r="A15" t="s">
        <v>17</v>
      </c>
      <c r="G15" s="9" t="str">
        <f>Options!$C$13</f>
        <v>Segment 5</v>
      </c>
      <c r="H15" s="1" t="str">
        <f>Options!$D$13</f>
        <v>*</v>
      </c>
    </row>
    <row r="16" spans="1:13" hidden="1" x14ac:dyDescent="0.25">
      <c r="A16" t="s">
        <v>17</v>
      </c>
      <c r="G16" s="9" t="str">
        <f>Options!$C$14</f>
        <v>Segment 6</v>
      </c>
      <c r="H16" s="1" t="str">
        <f>Options!$D$14</f>
        <v>*</v>
      </c>
    </row>
    <row r="17" spans="1:13" hidden="1" x14ac:dyDescent="0.25">
      <c r="A17" t="s">
        <v>17</v>
      </c>
      <c r="G17" s="9" t="str">
        <f>Options!$C$15</f>
        <v>Segment 7</v>
      </c>
      <c r="H17" s="1" t="str">
        <f>Options!$D$15</f>
        <v>*</v>
      </c>
    </row>
    <row r="18" spans="1:13" hidden="1" x14ac:dyDescent="0.25">
      <c r="A18" t="s">
        <v>17</v>
      </c>
      <c r="G18" s="9" t="str">
        <f>Options!$C$16</f>
        <v>Segment 8</v>
      </c>
      <c r="H18" s="1" t="str">
        <f>Options!$D$16</f>
        <v>*</v>
      </c>
    </row>
    <row r="19" spans="1:13" hidden="1" x14ac:dyDescent="0.25">
      <c r="A19" t="s">
        <v>17</v>
      </c>
      <c r="G19" s="9" t="str">
        <f>Options!$C$17</f>
        <v>Segment 9</v>
      </c>
      <c r="H19" s="1" t="str">
        <f>Options!$D$17</f>
        <v>*</v>
      </c>
    </row>
    <row r="20" spans="1:13" hidden="1" x14ac:dyDescent="0.25">
      <c r="A20" t="s">
        <v>17</v>
      </c>
      <c r="G20" s="9" t="str">
        <f>Options!$C$18</f>
        <v>Segment 10</v>
      </c>
      <c r="H20" s="1" t="str">
        <f>Options!$D$18</f>
        <v>*</v>
      </c>
    </row>
    <row r="22" spans="1:13" hidden="1" x14ac:dyDescent="0.25">
      <c r="A22" t="s">
        <v>17</v>
      </c>
      <c r="J22" s="2" t="str">
        <f>Options!$D$4</f>
        <v>1/1/2017</v>
      </c>
      <c r="K22" s="2" t="str">
        <f>J22</f>
        <v>1/1/2017</v>
      </c>
    </row>
    <row r="23" spans="1:13" hidden="1" x14ac:dyDescent="0.25">
      <c r="A23" t="s">
        <v>17</v>
      </c>
      <c r="J23" s="2">
        <f>Options!$D$21</f>
        <v>42825</v>
      </c>
      <c r="K23" s="2">
        <f>J23</f>
        <v>42825</v>
      </c>
    </row>
    <row r="24" spans="1:13" ht="15.75" thickBot="1" x14ac:dyDescent="0.3">
      <c r="D24" t="s">
        <v>7</v>
      </c>
      <c r="E24" t="s">
        <v>8</v>
      </c>
      <c r="F24" t="s">
        <v>9</v>
      </c>
      <c r="G24" s="16" t="s">
        <v>1</v>
      </c>
      <c r="H24" s="16" t="s">
        <v>2</v>
      </c>
      <c r="I24" s="17"/>
      <c r="J24" s="18" t="s">
        <v>43</v>
      </c>
      <c r="K24" s="18" t="s">
        <v>44</v>
      </c>
      <c r="L24" s="18" t="s">
        <v>45</v>
      </c>
      <c r="M24" s="19" t="s">
        <v>3</v>
      </c>
    </row>
    <row r="25" spans="1:13" x14ac:dyDescent="0.25">
      <c r="B25" t="str">
        <f>IF(AND(Options!$D$8="Yes",MIN(J25:O25)=0,MAX(J25:O25)=0),"Hide","Show")</f>
        <v>Show</v>
      </c>
      <c r="D25" t="str">
        <f>_xll.NL("first","gl00105","ACTNUMBR_1","ACTNUMST",$G25)</f>
        <v>000</v>
      </c>
      <c r="E25" t="str">
        <f>_xll.NL("first","gl00105","ACTNUMBR_2","ACTNUMST",$G25)</f>
        <v>4100</v>
      </c>
      <c r="F25" t="str">
        <f>_xll.NL("first","gl00105","ACTNUMBR_3","ACTNUMST",$G25)</f>
        <v>00</v>
      </c>
      <c r="G25" s="3" t="str">
        <f>_xll.GL("Rows","Accounts",,$H$5,$H$6,,$H$11,$H$12,$H$13,$H$14,$H$15)</f>
        <v>000-4100-00</v>
      </c>
      <c r="H25" s="3" t="str">
        <f>_xll.GL("Cell","AccountName",$G25)</f>
        <v>Sales</v>
      </c>
      <c r="I25" s="4"/>
      <c r="J25" s="5">
        <f>_xll.GL("Cell","Balance",$G25,J$22,J$23)</f>
        <v>-539.54999999999995</v>
      </c>
      <c r="K25" s="5">
        <f>_xll.GL("JetBudget",$H$7,$E25,K$22,K$23,Options!$D$23,"Segment1",$D25,"Segment3",$F25)</f>
        <v>0</v>
      </c>
      <c r="L25" s="6">
        <f>K25-J25</f>
        <v>539.54999999999995</v>
      </c>
      <c r="M25" s="7" t="str">
        <f>IFERROR(L25/K25,"")</f>
        <v/>
      </c>
    </row>
    <row r="26" spans="1:13" x14ac:dyDescent="0.25">
      <c r="A26" t="s">
        <v>30</v>
      </c>
      <c r="B26" t="str">
        <f>IF(AND(Options!$D$8="Yes",MIN(J26:O26)=0,MAX(J26:O26)=0),"Hide","Show")</f>
        <v>Show</v>
      </c>
      <c r="D26" t="str">
        <f>_xll.NL("first","gl00105","ACTNUMBR_1","ACTNUMST",$G26)</f>
        <v>000</v>
      </c>
      <c r="E26" t="str">
        <f>_xll.NL("first","gl00105","ACTNUMBR_2","ACTNUMST",$G26)</f>
        <v>4110</v>
      </c>
      <c r="F26" t="str">
        <f>_xll.NL("first","gl00105","ACTNUMBR_3","ACTNUMST",$G26)</f>
        <v>01</v>
      </c>
      <c r="G26" s="3" t="str">
        <f>"000-4110-01"</f>
        <v>000-4110-01</v>
      </c>
      <c r="H26" s="3" t="str">
        <f>_xll.GL("Cell","AccountName",$G26)</f>
        <v>US Sales - Retail/Parts</v>
      </c>
      <c r="I26" s="4"/>
      <c r="J26" s="5">
        <f>_xll.GL("Cell","Balance",$G26,J$22,J$23)</f>
        <v>-6458.3</v>
      </c>
      <c r="K26" s="5">
        <f>_xll.GL("JetBudget",$H$7,$E26,K$22,K$23,Options!$D$23,"Segment1",$D26,"Segment3",$F26)</f>
        <v>-7751</v>
      </c>
      <c r="L26" s="6">
        <f t="shared" ref="L26:L37" si="0">K26-J26</f>
        <v>-1292.6999999999998</v>
      </c>
      <c r="M26" s="7">
        <f t="shared" ref="M26:M37" si="1">IFERROR(L26/K26,"")</f>
        <v>0.1667784801961037</v>
      </c>
    </row>
    <row r="27" spans="1:13" x14ac:dyDescent="0.25">
      <c r="A27" t="s">
        <v>30</v>
      </c>
      <c r="B27" t="str">
        <f>IF(AND(Options!$D$8="Yes",MIN(J27:O27)=0,MAX(J27:O27)=0),"Hide","Show")</f>
        <v>Show</v>
      </c>
      <c r="D27" t="str">
        <f>_xll.NL("first","gl00105","ACTNUMBR_1","ACTNUMST",$G27)</f>
        <v>000</v>
      </c>
      <c r="E27" t="str">
        <f>_xll.NL("first","gl00105","ACTNUMBR_2","ACTNUMST",$G27)</f>
        <v>4110</v>
      </c>
      <c r="F27" t="str">
        <f>_xll.NL("first","gl00105","ACTNUMBR_3","ACTNUMST",$G27)</f>
        <v>02</v>
      </c>
      <c r="G27" s="3" t="str">
        <f>"000-4110-02"</f>
        <v>000-4110-02</v>
      </c>
      <c r="H27" s="3" t="str">
        <f>_xll.GL("Cell","AccountName",$G27)</f>
        <v>US Sales - Finished Goods</v>
      </c>
      <c r="I27" s="4"/>
      <c r="J27" s="5">
        <f>_xll.GL("Cell","Balance",$G27,J$22,J$23)</f>
        <v>-252057.9</v>
      </c>
      <c r="K27" s="5">
        <f>_xll.GL("JetBudget",$H$7,$E27,K$22,K$23,Options!$D$23,"Segment1",$D27,"Segment3",$F27)</f>
        <v>-252059</v>
      </c>
      <c r="L27" s="6">
        <f t="shared" si="0"/>
        <v>-1.1000000000058208</v>
      </c>
      <c r="M27" s="7">
        <f t="shared" si="1"/>
        <v>4.3640576214529964E-6</v>
      </c>
    </row>
    <row r="28" spans="1:13" x14ac:dyDescent="0.25">
      <c r="A28" t="s">
        <v>30</v>
      </c>
      <c r="B28" t="str">
        <f>IF(AND(Options!$D$8="Yes",MIN(J28:O28)=0,MAX(J28:O28)=0),"Hide","Show")</f>
        <v>Show</v>
      </c>
      <c r="D28" t="str">
        <f>_xll.NL("first","gl00105","ACTNUMBR_1","ACTNUMST",$G28)</f>
        <v>000</v>
      </c>
      <c r="E28" t="str">
        <f>_xll.NL("first","gl00105","ACTNUMBR_2","ACTNUMST",$G28)</f>
        <v>4140</v>
      </c>
      <c r="F28" t="str">
        <f>_xll.NL("first","gl00105","ACTNUMBR_3","ACTNUMST",$G28)</f>
        <v>00</v>
      </c>
      <c r="G28" s="3" t="str">
        <f>"000-4140-00"</f>
        <v>000-4140-00</v>
      </c>
      <c r="H28" s="3" t="str">
        <f>_xll.GL("Cell","AccountName",$G28)</f>
        <v>US Sales - Repair Charges</v>
      </c>
      <c r="I28" s="4"/>
      <c r="J28" s="5">
        <f>_xll.GL("Cell","Balance",$G28,J$22,J$23)</f>
        <v>-419.4</v>
      </c>
      <c r="K28" s="5">
        <f>_xll.GL("JetBudget",$H$7,$E28,K$22,K$23,Options!$D$23,"Segment1",$D28,"Segment3",$F28)</f>
        <v>0</v>
      </c>
      <c r="L28" s="6">
        <f t="shared" si="0"/>
        <v>419.4</v>
      </c>
      <c r="M28" s="7" t="str">
        <f t="shared" si="1"/>
        <v/>
      </c>
    </row>
    <row r="29" spans="1:13" x14ac:dyDescent="0.25">
      <c r="A29" t="s">
        <v>30</v>
      </c>
      <c r="B29" t="str">
        <f>IF(AND(Options!$D$8="Yes",MIN(J29:O29)=0,MAX(J29:O29)=0),"Hide","Show")</f>
        <v>Show</v>
      </c>
      <c r="D29" t="str">
        <f>_xll.NL("first","gl00105","ACTNUMBR_1","ACTNUMST",$G29)</f>
        <v>000</v>
      </c>
      <c r="E29" t="str">
        <f>_xll.NL("first","gl00105","ACTNUMBR_2","ACTNUMST",$G29)</f>
        <v>4510</v>
      </c>
      <c r="F29" t="str">
        <f>_xll.NL("first","gl00105","ACTNUMBR_3","ACTNUMST",$G29)</f>
        <v>01</v>
      </c>
      <c r="G29" s="3" t="str">
        <f>"000-4510-01"</f>
        <v>000-4510-01</v>
      </c>
      <c r="H29" s="3" t="str">
        <f>_xll.GL("Cell","AccountName",$G29)</f>
        <v>Cost of Goods Sold - Retail/Parts</v>
      </c>
      <c r="I29" s="4"/>
      <c r="J29" s="5">
        <f>_xll.GL("Cell","Balance",$G29,J$22,J$23)</f>
        <v>132593.49</v>
      </c>
      <c r="K29" s="5">
        <f>_xll.GL("JetBudget",$H$7,$E29,K$22,K$23,Options!$D$23,"Segment1",$D29,"Segment3",$F29)</f>
        <v>3868</v>
      </c>
      <c r="L29" s="6">
        <f t="shared" si="0"/>
        <v>-128725.48999999999</v>
      </c>
      <c r="M29" s="7">
        <f t="shared" si="1"/>
        <v>-33.279599276111682</v>
      </c>
    </row>
    <row r="30" spans="1:13" x14ac:dyDescent="0.25">
      <c r="A30" t="s">
        <v>30</v>
      </c>
      <c r="B30" t="str">
        <f>IF(AND(Options!$D$8="Yes",MIN(J30:O30)=0,MAX(J30:O30)=0),"Hide","Show")</f>
        <v>Show</v>
      </c>
      <c r="D30" t="str">
        <f>_xll.NL("first","gl00105","ACTNUMBR_1","ACTNUMST",$G30)</f>
        <v>000</v>
      </c>
      <c r="E30" t="str">
        <f>_xll.NL("first","gl00105","ACTNUMBR_2","ACTNUMST",$G30)</f>
        <v>4600</v>
      </c>
      <c r="F30" t="str">
        <f>_xll.NL("first","gl00105","ACTNUMBR_3","ACTNUMST",$G30)</f>
        <v>00</v>
      </c>
      <c r="G30" s="3" t="str">
        <f>"000-4600-00"</f>
        <v>000-4600-00</v>
      </c>
      <c r="H30" s="3" t="str">
        <f>_xll.GL("Cell","AccountName",$G30)</f>
        <v>Purchases Discounts Taken</v>
      </c>
      <c r="I30" s="4"/>
      <c r="J30" s="5">
        <f>_xll.GL("Cell","Balance",$G30,J$22,J$23)</f>
        <v>-91.5</v>
      </c>
      <c r="K30" s="5">
        <f>_xll.GL("JetBudget",$H$7,$E30,K$22,K$23,Options!$D$23,"Segment1",$D30,"Segment3",$F30)</f>
        <v>0</v>
      </c>
      <c r="L30" s="6">
        <f t="shared" si="0"/>
        <v>91.5</v>
      </c>
      <c r="M30" s="7" t="str">
        <f t="shared" si="1"/>
        <v/>
      </c>
    </row>
    <row r="31" spans="1:13" x14ac:dyDescent="0.25">
      <c r="A31" t="s">
        <v>30</v>
      </c>
      <c r="B31" t="str">
        <f>IF(AND(Options!$D$8="Yes",MIN(J31:O31)=0,MAX(J31:O31)=0),"Hide","Show")</f>
        <v>Show</v>
      </c>
      <c r="D31" t="str">
        <f>_xll.NL("first","gl00105","ACTNUMBR_1","ACTNUMST",$G31)</f>
        <v>000</v>
      </c>
      <c r="E31" t="str">
        <f>_xll.NL("first","gl00105","ACTNUMBR_2","ACTNUMST",$G31)</f>
        <v>4730</v>
      </c>
      <c r="F31" t="str">
        <f>_xll.NL("first","gl00105","ACTNUMBR_3","ACTNUMST",$G31)</f>
        <v>00</v>
      </c>
      <c r="G31" s="3" t="str">
        <f>"000-4730-00"</f>
        <v>000-4730-00</v>
      </c>
      <c r="H31" s="3" t="str">
        <f>_xll.GL("Cell","AccountName",$G31)</f>
        <v>Purchase Price Variance - Unrealized</v>
      </c>
      <c r="I31" s="4"/>
      <c r="J31" s="5">
        <f>_xll.GL("Cell","Balance",$G31,J$22,J$23)</f>
        <v>-892.32</v>
      </c>
      <c r="K31" s="5">
        <f>_xll.GL("JetBudget",$H$7,$E31,K$22,K$23,Options!$D$23,"Segment1",$D31,"Segment3",$F31)</f>
        <v>0</v>
      </c>
      <c r="L31" s="6">
        <f t="shared" si="0"/>
        <v>892.32</v>
      </c>
      <c r="M31" s="7" t="str">
        <f t="shared" si="1"/>
        <v/>
      </c>
    </row>
    <row r="32" spans="1:13" x14ac:dyDescent="0.25">
      <c r="A32" t="s">
        <v>30</v>
      </c>
      <c r="B32" t="str">
        <f>IF(AND(Options!$D$8="Yes",MIN(J32:O32)=0,MAX(J32:O32)=0),"Hide","Show")</f>
        <v>Show</v>
      </c>
      <c r="D32" t="str">
        <f>_xll.NL("first","gl00105","ACTNUMBR_1","ACTNUMST",$G32)</f>
        <v>000</v>
      </c>
      <c r="E32" t="str">
        <f>_xll.NL("first","gl00105","ACTNUMBR_2","ACTNUMST",$G32)</f>
        <v>5100</v>
      </c>
      <c r="F32" t="str">
        <f>_xll.NL("first","gl00105","ACTNUMBR_3","ACTNUMST",$G32)</f>
        <v>00</v>
      </c>
      <c r="G32" s="3" t="str">
        <f>"000-5100-00"</f>
        <v>000-5100-00</v>
      </c>
      <c r="H32" s="3" t="str">
        <f>_xll.GL("Cell","AccountName",$G32)</f>
        <v>Salaries and Wages</v>
      </c>
      <c r="I32" s="4"/>
      <c r="J32" s="5">
        <f>_xll.GL("Cell","Balance",$G32,J$22,J$23)</f>
        <v>120335.33</v>
      </c>
      <c r="K32" s="5">
        <f>_xll.GL("JetBudget",$H$7,$E32,K$22,K$23,Options!$D$23,"Segment1",$D32,"Segment3",$F32)</f>
        <v>0</v>
      </c>
      <c r="L32" s="6">
        <f t="shared" si="0"/>
        <v>-120335.33</v>
      </c>
      <c r="M32" s="7" t="str">
        <f t="shared" si="1"/>
        <v/>
      </c>
    </row>
    <row r="33" spans="1:14" x14ac:dyDescent="0.25">
      <c r="A33" t="s">
        <v>30</v>
      </c>
      <c r="B33" t="str">
        <f>IF(AND(Options!$D$8="Yes",MIN(J33:O33)=0,MAX(J33:O33)=0),"Hide","Show")</f>
        <v>Show</v>
      </c>
      <c r="D33" t="str">
        <f>_xll.NL("first","gl00105","ACTNUMBR_1","ACTNUMST",$G33)</f>
        <v>100</v>
      </c>
      <c r="E33" t="str">
        <f>_xll.NL("first","gl00105","ACTNUMBR_2","ACTNUMST",$G33)</f>
        <v>5150</v>
      </c>
      <c r="F33" t="str">
        <f>_xll.NL("first","gl00105","ACTNUMBR_3","ACTNUMST",$G33)</f>
        <v>00</v>
      </c>
      <c r="G33" s="3" t="str">
        <f>"100-5150-00"</f>
        <v>100-5150-00</v>
      </c>
      <c r="H33" s="3" t="str">
        <f>_xll.GL("Cell","AccountName",$G33)</f>
        <v>Employee Benefits - Administration</v>
      </c>
      <c r="I33" s="4"/>
      <c r="J33" s="5">
        <f>_xll.GL("Cell","Balance",$G33,J$22,J$23)</f>
        <v>4294.01</v>
      </c>
      <c r="K33" s="5">
        <f>_xll.GL("JetBudget",$H$7,$E33,K$22,K$23,Options!$D$23,"Segment1",$D33,"Segment3",$F33)</f>
        <v>4300</v>
      </c>
      <c r="L33" s="6">
        <f t="shared" si="0"/>
        <v>5.9899999999997817</v>
      </c>
      <c r="M33" s="7">
        <f t="shared" si="1"/>
        <v>1.3930232558139028E-3</v>
      </c>
    </row>
    <row r="34" spans="1:14" x14ac:dyDescent="0.25">
      <c r="A34" t="s">
        <v>30</v>
      </c>
      <c r="B34" t="str">
        <f>IF(AND(Options!$D$8="Yes",MIN(J34:O34)=0,MAX(J34:O34)=0),"Hide","Show")</f>
        <v>Show</v>
      </c>
      <c r="D34" t="str">
        <f>_xll.NL("first","gl00105","ACTNUMBR_1","ACTNUMST",$G34)</f>
        <v>100</v>
      </c>
      <c r="E34" t="str">
        <f>_xll.NL("first","gl00105","ACTNUMBR_2","ACTNUMST",$G34)</f>
        <v>5170</v>
      </c>
      <c r="F34" t="str">
        <f>_xll.NL("first","gl00105","ACTNUMBR_3","ACTNUMST",$G34)</f>
        <v>00</v>
      </c>
      <c r="G34" s="3" t="str">
        <f>"100-5170-00"</f>
        <v>100-5170-00</v>
      </c>
      <c r="H34" s="3" t="str">
        <f>_xll.GL("Cell","AccountName",$G34)</f>
        <v>Payroll Taxes - Administration</v>
      </c>
      <c r="I34" s="4"/>
      <c r="J34" s="5">
        <f>_xll.GL("Cell","Balance",$G34,J$22,J$23)</f>
        <v>1702.34</v>
      </c>
      <c r="K34" s="5">
        <f>_xll.GL("JetBudget",$H$7,$E34,K$22,K$23,Options!$D$23,"Segment1",$D34,"Segment3",$F34)</f>
        <v>0</v>
      </c>
      <c r="L34" s="6">
        <f t="shared" si="0"/>
        <v>-1702.34</v>
      </c>
      <c r="M34" s="7" t="str">
        <f t="shared" si="1"/>
        <v/>
      </c>
    </row>
    <row r="35" spans="1:14" x14ac:dyDescent="0.25">
      <c r="A35" t="s">
        <v>30</v>
      </c>
      <c r="B35" t="str">
        <f>IF(AND(Options!$D$8="Yes",MIN(J35:O35)=0,MAX(J35:O35)=0),"Hide","Show")</f>
        <v>Show</v>
      </c>
      <c r="D35" t="str">
        <f>_xll.NL("first","gl00105","ACTNUMBR_1","ACTNUMST",$G35)</f>
        <v>200</v>
      </c>
      <c r="E35" t="str">
        <f>_xll.NL("first","gl00105","ACTNUMBR_2","ACTNUMST",$G35)</f>
        <v>5170</v>
      </c>
      <c r="F35" t="str">
        <f>_xll.NL("first","gl00105","ACTNUMBR_3","ACTNUMST",$G35)</f>
        <v>00</v>
      </c>
      <c r="G35" s="3" t="str">
        <f>"200-5170-00"</f>
        <v>200-5170-00</v>
      </c>
      <c r="H35" s="3" t="str">
        <f>_xll.GL("Cell","AccountName",$G35)</f>
        <v>Payroll Taxes - Accounting</v>
      </c>
      <c r="I35" s="4"/>
      <c r="J35" s="5">
        <f>_xll.GL("Cell","Balance",$G35,J$22,J$23)</f>
        <v>7278.98</v>
      </c>
      <c r="K35" s="5">
        <f>_xll.GL("JetBudget",$H$7,$E35,K$22,K$23,Options!$D$23,"Segment1",$D35,"Segment3",$F35)</f>
        <v>0</v>
      </c>
      <c r="L35" s="6">
        <f t="shared" si="0"/>
        <v>-7278.98</v>
      </c>
      <c r="M35" s="7" t="str">
        <f t="shared" si="1"/>
        <v/>
      </c>
    </row>
    <row r="36" spans="1:14" x14ac:dyDescent="0.25">
      <c r="A36" t="s">
        <v>30</v>
      </c>
      <c r="B36" t="str">
        <f>IF(AND(Options!$D$8="Yes",MIN(J36:O36)=0,MAX(J36:O36)=0),"Hide","Show")</f>
        <v>Show</v>
      </c>
      <c r="D36" t="str">
        <f>_xll.NL("first","gl00105","ACTNUMBR_1","ACTNUMST",$G36)</f>
        <v>300</v>
      </c>
      <c r="E36" t="str">
        <f>_xll.NL("first","gl00105","ACTNUMBR_2","ACTNUMST",$G36)</f>
        <v>5130</v>
      </c>
      <c r="F36" t="str">
        <f>_xll.NL("first","gl00105","ACTNUMBR_3","ACTNUMST",$G36)</f>
        <v>00</v>
      </c>
      <c r="G36" s="3" t="str">
        <f>"300-5130-00"</f>
        <v>300-5130-00</v>
      </c>
      <c r="H36" s="3" t="str">
        <f>_xll.GL("Cell","AccountName",$G36)</f>
        <v>Commissions - Sales</v>
      </c>
      <c r="I36" s="4"/>
      <c r="J36" s="5">
        <f>_xll.GL("Cell","Balance",$G36,J$22,J$23)</f>
        <v>7784.37</v>
      </c>
      <c r="K36" s="5">
        <f>_xll.GL("JetBudget",$H$7,$E36,K$22,K$23,Options!$D$23,"Segment1",$D36,"Segment3",$F36)</f>
        <v>7500</v>
      </c>
      <c r="L36" s="6">
        <f t="shared" si="0"/>
        <v>-284.36999999999989</v>
      </c>
      <c r="M36" s="7">
        <f t="shared" si="1"/>
        <v>-3.7915999999999984E-2</v>
      </c>
    </row>
    <row r="37" spans="1:14" x14ac:dyDescent="0.25">
      <c r="A37" t="s">
        <v>30</v>
      </c>
      <c r="B37" t="str">
        <f>IF(AND(Options!$D$8="Yes",MIN(J37:O37)=0,MAX(J37:O37)=0),"Hide","Show")</f>
        <v>Show</v>
      </c>
      <c r="D37" t="str">
        <f>_xll.NL("first","gl00105","ACTNUMBR_1","ACTNUMST",$G37)</f>
        <v>500</v>
      </c>
      <c r="E37" t="str">
        <f>_xll.NL("first","gl00105","ACTNUMBR_2","ACTNUMST",$G37)</f>
        <v>6150</v>
      </c>
      <c r="F37" t="str">
        <f>_xll.NL("first","gl00105","ACTNUMBR_3","ACTNUMST",$G37)</f>
        <v>00</v>
      </c>
      <c r="G37" s="3" t="str">
        <f>"500-6150-00"</f>
        <v>500-6150-00</v>
      </c>
      <c r="H37" s="3" t="str">
        <f>_xll.GL("Cell","AccountName",$G37)</f>
        <v>Supplies-Allocated - Consulting/Training</v>
      </c>
      <c r="I37" s="4"/>
      <c r="J37" s="5">
        <f>_xll.GL("Cell","Balance",$G37,J$22,J$23)</f>
        <v>15</v>
      </c>
      <c r="K37" s="5">
        <f>_xll.GL("JetBudget",$H$7,$E37,K$22,K$23,Options!$D$23,"Segment1",$D37,"Segment3",$F37)</f>
        <v>0</v>
      </c>
      <c r="L37" s="6">
        <f t="shared" si="0"/>
        <v>-15</v>
      </c>
      <c r="M37" s="7" t="str">
        <f t="shared" si="1"/>
        <v/>
      </c>
    </row>
    <row r="38" spans="1:14" x14ac:dyDescent="0.25">
      <c r="N38" s="1"/>
    </row>
  </sheetData>
  <mergeCells count="1">
    <mergeCell ref="G3:L3"/>
  </mergeCells>
  <conditionalFormatting sqref="M25">
    <cfRule type="expression" dxfId="1" priority="13">
      <formula>AccountType&lt;&gt;"Posting"</formula>
    </cfRule>
  </conditionalFormatting>
  <conditionalFormatting sqref="M26:M37">
    <cfRule type="expression" dxfId="0" priority="1">
      <formula>AccountType&lt;&gt;"Posting"</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5" x14ac:dyDescent="0.25"/>
  <sheetData>
    <row r="1" spans="1:6" x14ac:dyDescent="0.25">
      <c r="A1" s="11" t="s">
        <v>122</v>
      </c>
      <c r="C1" s="11" t="s">
        <v>4</v>
      </c>
      <c r="D1" s="11" t="s">
        <v>5</v>
      </c>
      <c r="E1" s="11" t="s">
        <v>24</v>
      </c>
      <c r="F1" s="11" t="s">
        <v>25</v>
      </c>
    </row>
    <row r="3" spans="1:6" x14ac:dyDescent="0.25">
      <c r="B3" s="11" t="s">
        <v>98</v>
      </c>
      <c r="C3" s="11" t="s">
        <v>36</v>
      </c>
      <c r="D3" s="11" t="s">
        <v>5</v>
      </c>
    </row>
    <row r="4" spans="1:6" x14ac:dyDescent="0.25">
      <c r="A4" s="11" t="s">
        <v>6</v>
      </c>
      <c r="C4" s="11" t="s">
        <v>40</v>
      </c>
      <c r="D4" s="11" t="s">
        <v>26</v>
      </c>
    </row>
    <row r="5" spans="1:6" x14ac:dyDescent="0.25">
      <c r="A5" s="11" t="s">
        <v>6</v>
      </c>
      <c r="C5" s="11" t="s">
        <v>41</v>
      </c>
      <c r="D5" s="11" t="s">
        <v>27</v>
      </c>
    </row>
    <row r="6" spans="1:6" x14ac:dyDescent="0.25">
      <c r="A6" s="11" t="s">
        <v>6</v>
      </c>
      <c r="C6" s="11" t="s">
        <v>20</v>
      </c>
      <c r="D6" s="11" t="s">
        <v>22</v>
      </c>
    </row>
    <row r="7" spans="1:6" x14ac:dyDescent="0.25">
      <c r="A7" s="11" t="s">
        <v>6</v>
      </c>
      <c r="C7" s="11" t="s">
        <v>23</v>
      </c>
      <c r="D7" s="11" t="s">
        <v>37</v>
      </c>
      <c r="E7" s="11" t="s">
        <v>46</v>
      </c>
    </row>
    <row r="8" spans="1:6" x14ac:dyDescent="0.25">
      <c r="A8" s="11" t="s">
        <v>6</v>
      </c>
      <c r="C8" s="11" t="s">
        <v>38</v>
      </c>
      <c r="D8" s="11" t="s">
        <v>39</v>
      </c>
      <c r="E8" s="11" t="s">
        <v>47</v>
      </c>
    </row>
    <row r="9" spans="1:6" x14ac:dyDescent="0.25">
      <c r="A9" s="11" t="s">
        <v>6</v>
      </c>
      <c r="B9" s="11" t="s">
        <v>100</v>
      </c>
      <c r="C9" s="11" t="s">
        <v>7</v>
      </c>
      <c r="D9" s="11" t="s">
        <v>28</v>
      </c>
      <c r="E9" s="11" t="s">
        <v>101</v>
      </c>
    </row>
    <row r="10" spans="1:6" x14ac:dyDescent="0.25">
      <c r="A10" s="11" t="s">
        <v>6</v>
      </c>
      <c r="B10" s="11" t="s">
        <v>102</v>
      </c>
      <c r="C10" s="11" t="s">
        <v>97</v>
      </c>
      <c r="D10" s="11" t="s">
        <v>139</v>
      </c>
      <c r="E10" s="11" t="s">
        <v>103</v>
      </c>
    </row>
    <row r="11" spans="1:6" x14ac:dyDescent="0.25">
      <c r="A11" s="11" t="s">
        <v>6</v>
      </c>
      <c r="B11" s="11" t="s">
        <v>104</v>
      </c>
      <c r="C11" s="11" t="s">
        <v>9</v>
      </c>
      <c r="D11" s="11" t="s">
        <v>28</v>
      </c>
      <c r="E11" s="11" t="s">
        <v>105</v>
      </c>
    </row>
    <row r="12" spans="1:6" x14ac:dyDescent="0.25">
      <c r="B12" s="11" t="s">
        <v>106</v>
      </c>
      <c r="C12" s="11" t="s">
        <v>10</v>
      </c>
      <c r="D12" s="11" t="s">
        <v>28</v>
      </c>
      <c r="E12" s="11" t="s">
        <v>107</v>
      </c>
    </row>
    <row r="13" spans="1:6" x14ac:dyDescent="0.25">
      <c r="B13" s="11" t="s">
        <v>108</v>
      </c>
      <c r="C13" s="11" t="s">
        <v>11</v>
      </c>
      <c r="D13" s="11" t="s">
        <v>28</v>
      </c>
      <c r="E13" s="11" t="s">
        <v>109</v>
      </c>
    </row>
    <row r="14" spans="1:6" x14ac:dyDescent="0.25">
      <c r="B14" s="11" t="s">
        <v>110</v>
      </c>
      <c r="C14" s="11" t="s">
        <v>12</v>
      </c>
      <c r="D14" s="11" t="s">
        <v>28</v>
      </c>
      <c r="E14" s="11" t="s">
        <v>111</v>
      </c>
    </row>
    <row r="15" spans="1:6" x14ac:dyDescent="0.25">
      <c r="B15" s="11" t="s">
        <v>112</v>
      </c>
      <c r="C15" s="11" t="s">
        <v>13</v>
      </c>
      <c r="D15" s="11" t="s">
        <v>28</v>
      </c>
      <c r="E15" s="11" t="s">
        <v>113</v>
      </c>
    </row>
    <row r="16" spans="1:6" x14ac:dyDescent="0.25">
      <c r="B16" s="11" t="s">
        <v>114</v>
      </c>
      <c r="C16" s="11" t="s">
        <v>14</v>
      </c>
      <c r="D16" s="11" t="s">
        <v>28</v>
      </c>
      <c r="E16" s="11" t="s">
        <v>115</v>
      </c>
    </row>
    <row r="17" spans="2:5" x14ac:dyDescent="0.25">
      <c r="B17" s="11" t="s">
        <v>116</v>
      </c>
      <c r="C17" s="11" t="s">
        <v>15</v>
      </c>
      <c r="D17" s="11" t="s">
        <v>28</v>
      </c>
      <c r="E17" s="11" t="s">
        <v>117</v>
      </c>
    </row>
    <row r="18" spans="2:5" x14ac:dyDescent="0.25">
      <c r="B18" s="11" t="s">
        <v>118</v>
      </c>
      <c r="C18" s="11" t="s">
        <v>16</v>
      </c>
      <c r="D18" s="11" t="s">
        <v>28</v>
      </c>
      <c r="E18" s="11" t="s">
        <v>119</v>
      </c>
    </row>
    <row r="20" spans="2:5" x14ac:dyDescent="0.25">
      <c r="C20" s="11" t="s">
        <v>32</v>
      </c>
    </row>
    <row r="21" spans="2:5" x14ac:dyDescent="0.25">
      <c r="C21" s="11" t="s">
        <v>33</v>
      </c>
      <c r="D21" s="11" t="s">
        <v>120</v>
      </c>
    </row>
    <row r="22" spans="2:5" x14ac:dyDescent="0.25">
      <c r="C22" s="11" t="s">
        <v>34</v>
      </c>
      <c r="D22" s="11" t="s">
        <v>121</v>
      </c>
    </row>
    <row r="23" spans="2:5" x14ac:dyDescent="0.25">
      <c r="C23" s="11" t="s">
        <v>35</v>
      </c>
      <c r="D23" s="11" t="s">
        <v>48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5" x14ac:dyDescent="0.25"/>
  <sheetData>
    <row r="1" spans="1:6" x14ac:dyDescent="0.25">
      <c r="A1" s="11" t="s">
        <v>122</v>
      </c>
      <c r="C1" s="11" t="s">
        <v>4</v>
      </c>
      <c r="D1" s="11" t="s">
        <v>5</v>
      </c>
      <c r="E1" s="11" t="s">
        <v>24</v>
      </c>
      <c r="F1" s="11" t="s">
        <v>25</v>
      </c>
    </row>
    <row r="3" spans="1:6" x14ac:dyDescent="0.25">
      <c r="B3" s="11" t="s">
        <v>98</v>
      </c>
      <c r="C3" s="11" t="s">
        <v>36</v>
      </c>
      <c r="D3" s="11" t="s">
        <v>5</v>
      </c>
    </row>
    <row r="4" spans="1:6" x14ac:dyDescent="0.25">
      <c r="A4" s="11" t="s">
        <v>6</v>
      </c>
      <c r="C4" s="11" t="s">
        <v>40</v>
      </c>
      <c r="D4" s="11" t="s">
        <v>26</v>
      </c>
    </row>
    <row r="5" spans="1:6" x14ac:dyDescent="0.25">
      <c r="A5" s="11" t="s">
        <v>6</v>
      </c>
      <c r="C5" s="11" t="s">
        <v>41</v>
      </c>
      <c r="D5" s="11" t="s">
        <v>27</v>
      </c>
    </row>
    <row r="6" spans="1:6" x14ac:dyDescent="0.25">
      <c r="A6" s="11" t="s">
        <v>6</v>
      </c>
      <c r="C6" s="11" t="s">
        <v>20</v>
      </c>
      <c r="D6" s="11" t="s">
        <v>22</v>
      </c>
    </row>
    <row r="7" spans="1:6" x14ac:dyDescent="0.25">
      <c r="A7" s="11" t="s">
        <v>6</v>
      </c>
      <c r="C7" s="11" t="s">
        <v>23</v>
      </c>
      <c r="D7" s="11" t="s">
        <v>37</v>
      </c>
      <c r="E7" s="11" t="s">
        <v>46</v>
      </c>
    </row>
    <row r="8" spans="1:6" x14ac:dyDescent="0.25">
      <c r="A8" s="11" t="s">
        <v>6</v>
      </c>
      <c r="C8" s="11" t="s">
        <v>38</v>
      </c>
      <c r="D8" s="11" t="s">
        <v>39</v>
      </c>
      <c r="E8" s="11" t="s">
        <v>47</v>
      </c>
    </row>
    <row r="9" spans="1:6" x14ac:dyDescent="0.25">
      <c r="A9" s="11" t="s">
        <v>6</v>
      </c>
      <c r="B9" s="11" t="s">
        <v>100</v>
      </c>
      <c r="C9" s="11" t="s">
        <v>7</v>
      </c>
      <c r="D9" s="11" t="s">
        <v>28</v>
      </c>
      <c r="E9" s="11" t="s">
        <v>101</v>
      </c>
    </row>
    <row r="10" spans="1:6" x14ac:dyDescent="0.25">
      <c r="A10" s="11" t="s">
        <v>6</v>
      </c>
      <c r="B10" s="11" t="s">
        <v>102</v>
      </c>
      <c r="C10" s="11" t="s">
        <v>97</v>
      </c>
      <c r="D10" s="11" t="s">
        <v>139</v>
      </c>
      <c r="E10" s="11" t="s">
        <v>103</v>
      </c>
    </row>
    <row r="11" spans="1:6" x14ac:dyDescent="0.25">
      <c r="A11" s="11" t="s">
        <v>6</v>
      </c>
      <c r="B11" s="11" t="s">
        <v>104</v>
      </c>
      <c r="C11" s="11" t="s">
        <v>9</v>
      </c>
      <c r="D11" s="11" t="s">
        <v>28</v>
      </c>
      <c r="E11" s="11" t="s">
        <v>105</v>
      </c>
    </row>
    <row r="12" spans="1:6" x14ac:dyDescent="0.25">
      <c r="B12" s="11" t="s">
        <v>106</v>
      </c>
      <c r="C12" s="11" t="s">
        <v>10</v>
      </c>
      <c r="D12" s="11" t="s">
        <v>28</v>
      </c>
      <c r="E12" s="11" t="s">
        <v>107</v>
      </c>
    </row>
    <row r="13" spans="1:6" x14ac:dyDescent="0.25">
      <c r="B13" s="11" t="s">
        <v>108</v>
      </c>
      <c r="C13" s="11" t="s">
        <v>11</v>
      </c>
      <c r="D13" s="11" t="s">
        <v>28</v>
      </c>
      <c r="E13" s="11" t="s">
        <v>109</v>
      </c>
    </row>
    <row r="14" spans="1:6" x14ac:dyDescent="0.25">
      <c r="B14" s="11" t="s">
        <v>110</v>
      </c>
      <c r="C14" s="11" t="s">
        <v>12</v>
      </c>
      <c r="D14" s="11" t="s">
        <v>28</v>
      </c>
      <c r="E14" s="11" t="s">
        <v>111</v>
      </c>
    </row>
    <row r="15" spans="1:6" x14ac:dyDescent="0.25">
      <c r="B15" s="11" t="s">
        <v>112</v>
      </c>
      <c r="C15" s="11" t="s">
        <v>13</v>
      </c>
      <c r="D15" s="11" t="s">
        <v>28</v>
      </c>
      <c r="E15" s="11" t="s">
        <v>113</v>
      </c>
    </row>
    <row r="16" spans="1:6" x14ac:dyDescent="0.25">
      <c r="B16" s="11" t="s">
        <v>114</v>
      </c>
      <c r="C16" s="11" t="s">
        <v>14</v>
      </c>
      <c r="D16" s="11" t="s">
        <v>28</v>
      </c>
      <c r="E16" s="11" t="s">
        <v>115</v>
      </c>
    </row>
    <row r="17" spans="2:5" x14ac:dyDescent="0.25">
      <c r="B17" s="11" t="s">
        <v>116</v>
      </c>
      <c r="C17" s="11" t="s">
        <v>15</v>
      </c>
      <c r="D17" s="11" t="s">
        <v>28</v>
      </c>
      <c r="E17" s="11" t="s">
        <v>117</v>
      </c>
    </row>
    <row r="18" spans="2:5" x14ac:dyDescent="0.25">
      <c r="B18" s="11" t="s">
        <v>118</v>
      </c>
      <c r="C18" s="11" t="s">
        <v>16</v>
      </c>
      <c r="D18" s="11" t="s">
        <v>28</v>
      </c>
      <c r="E18" s="11" t="s">
        <v>119</v>
      </c>
    </row>
    <row r="20" spans="2:5" x14ac:dyDescent="0.25">
      <c r="C20" s="11" t="s">
        <v>32</v>
      </c>
    </row>
    <row r="21" spans="2:5" x14ac:dyDescent="0.25">
      <c r="C21" s="11" t="s">
        <v>33</v>
      </c>
      <c r="D21" s="11" t="s">
        <v>120</v>
      </c>
    </row>
    <row r="22" spans="2:5" x14ac:dyDescent="0.25">
      <c r="C22" s="11" t="s">
        <v>34</v>
      </c>
      <c r="D22" s="11" t="s">
        <v>121</v>
      </c>
    </row>
    <row r="23" spans="2:5" x14ac:dyDescent="0.25">
      <c r="C23" s="11" t="s">
        <v>35</v>
      </c>
      <c r="D23" s="11" t="s">
        <v>48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heetViews>
  <sheetFormatPr defaultRowHeight="15" x14ac:dyDescent="0.25"/>
  <sheetData>
    <row r="1" spans="1:13" x14ac:dyDescent="0.25">
      <c r="A1" s="11" t="s">
        <v>137</v>
      </c>
      <c r="B1" s="11" t="s">
        <v>87</v>
      </c>
      <c r="D1" s="11" t="s">
        <v>17</v>
      </c>
      <c r="E1" s="11" t="s">
        <v>17</v>
      </c>
      <c r="F1" s="11" t="s">
        <v>17</v>
      </c>
      <c r="H1" s="11" t="s">
        <v>18</v>
      </c>
      <c r="J1" s="11" t="s">
        <v>18</v>
      </c>
      <c r="K1" s="11" t="s">
        <v>18</v>
      </c>
      <c r="L1" s="11" t="s">
        <v>18</v>
      </c>
      <c r="M1" s="11" t="s">
        <v>18</v>
      </c>
    </row>
    <row r="3" spans="1:13" x14ac:dyDescent="0.25">
      <c r="G3" s="11" t="s">
        <v>0</v>
      </c>
    </row>
    <row r="5" spans="1:13" x14ac:dyDescent="0.25">
      <c r="G5" s="11" t="s">
        <v>40</v>
      </c>
      <c r="H5" s="11" t="s">
        <v>124</v>
      </c>
    </row>
    <row r="6" spans="1:13" x14ac:dyDescent="0.25">
      <c r="G6" s="11" t="s">
        <v>41</v>
      </c>
      <c r="H6" s="11" t="s">
        <v>49</v>
      </c>
    </row>
    <row r="7" spans="1:13" x14ac:dyDescent="0.25">
      <c r="G7" s="11" t="s">
        <v>21</v>
      </c>
      <c r="H7" s="11" t="s">
        <v>50</v>
      </c>
    </row>
    <row r="8" spans="1:13" x14ac:dyDescent="0.25">
      <c r="G8" s="11" t="s">
        <v>42</v>
      </c>
      <c r="H8" s="11" t="s">
        <v>29</v>
      </c>
    </row>
    <row r="10" spans="1:13" x14ac:dyDescent="0.25">
      <c r="G10" s="11" t="s">
        <v>19</v>
      </c>
    </row>
    <row r="11" spans="1:13" x14ac:dyDescent="0.25">
      <c r="G11" s="11" t="s">
        <v>125</v>
      </c>
      <c r="H11" s="11" t="s">
        <v>51</v>
      </c>
    </row>
    <row r="12" spans="1:13" x14ac:dyDescent="0.25">
      <c r="G12" s="11" t="s">
        <v>126</v>
      </c>
      <c r="H12" s="11" t="s">
        <v>52</v>
      </c>
    </row>
    <row r="13" spans="1:13" x14ac:dyDescent="0.25">
      <c r="G13" s="11" t="s">
        <v>127</v>
      </c>
      <c r="H13" s="11" t="s">
        <v>53</v>
      </c>
    </row>
    <row r="14" spans="1:13" x14ac:dyDescent="0.25">
      <c r="A14" s="11" t="s">
        <v>17</v>
      </c>
      <c r="G14" s="11" t="s">
        <v>128</v>
      </c>
      <c r="H14" s="11" t="s">
        <v>54</v>
      </c>
    </row>
    <row r="15" spans="1:13" x14ac:dyDescent="0.25">
      <c r="A15" s="11" t="s">
        <v>17</v>
      </c>
      <c r="G15" s="11" t="s">
        <v>129</v>
      </c>
      <c r="H15" s="11" t="s">
        <v>55</v>
      </c>
    </row>
    <row r="16" spans="1:13" x14ac:dyDescent="0.25">
      <c r="A16" s="11" t="s">
        <v>17</v>
      </c>
      <c r="G16" s="11" t="s">
        <v>130</v>
      </c>
      <c r="H16" s="11" t="s">
        <v>56</v>
      </c>
    </row>
    <row r="17" spans="1:13" x14ac:dyDescent="0.25">
      <c r="A17" s="11" t="s">
        <v>17</v>
      </c>
      <c r="G17" s="11" t="s">
        <v>131</v>
      </c>
      <c r="H17" s="11" t="s">
        <v>57</v>
      </c>
    </row>
    <row r="18" spans="1:13" x14ac:dyDescent="0.25">
      <c r="A18" s="11" t="s">
        <v>17</v>
      </c>
      <c r="G18" s="11" t="s">
        <v>132</v>
      </c>
      <c r="H18" s="11" t="s">
        <v>58</v>
      </c>
    </row>
    <row r="19" spans="1:13" x14ac:dyDescent="0.25">
      <c r="A19" s="11" t="s">
        <v>17</v>
      </c>
      <c r="G19" s="11" t="s">
        <v>133</v>
      </c>
      <c r="H19" s="11" t="s">
        <v>59</v>
      </c>
    </row>
    <row r="20" spans="1:13" x14ac:dyDescent="0.25">
      <c r="A20" s="11" t="s">
        <v>17</v>
      </c>
      <c r="G20" s="11" t="s">
        <v>134</v>
      </c>
      <c r="H20" s="11" t="s">
        <v>60</v>
      </c>
    </row>
    <row r="22" spans="1:13" x14ac:dyDescent="0.25">
      <c r="A22" s="11" t="s">
        <v>17</v>
      </c>
      <c r="J22" s="11" t="s">
        <v>124</v>
      </c>
      <c r="K22" s="11" t="s">
        <v>88</v>
      </c>
    </row>
    <row r="23" spans="1:13" x14ac:dyDescent="0.25">
      <c r="A23" s="11" t="s">
        <v>17</v>
      </c>
      <c r="J23" s="11" t="s">
        <v>49</v>
      </c>
      <c r="K23" s="11" t="s">
        <v>89</v>
      </c>
    </row>
    <row r="24" spans="1:13" x14ac:dyDescent="0.25">
      <c r="D24" s="11" t="s">
        <v>7</v>
      </c>
      <c r="E24" s="11" t="s">
        <v>8</v>
      </c>
      <c r="F24" s="11" t="s">
        <v>9</v>
      </c>
      <c r="G24" s="11" t="s">
        <v>1</v>
      </c>
      <c r="H24" s="11" t="s">
        <v>2</v>
      </c>
      <c r="J24" s="11" t="s">
        <v>43</v>
      </c>
      <c r="K24" s="11" t="s">
        <v>44</v>
      </c>
      <c r="L24" s="11" t="s">
        <v>45</v>
      </c>
      <c r="M24" s="11" t="s">
        <v>3</v>
      </c>
    </row>
    <row r="25" spans="1:13" x14ac:dyDescent="0.25">
      <c r="B25" s="11" t="s">
        <v>135</v>
      </c>
      <c r="D25" s="11" t="s">
        <v>90</v>
      </c>
      <c r="E25" s="11" t="s">
        <v>91</v>
      </c>
      <c r="F25" s="11" t="s">
        <v>92</v>
      </c>
      <c r="G25" s="11" t="s">
        <v>93</v>
      </c>
      <c r="H25" s="11" t="s">
        <v>94</v>
      </c>
      <c r="J25" s="11" t="s">
        <v>95</v>
      </c>
      <c r="K25" s="11" t="s">
        <v>136</v>
      </c>
      <c r="L25" s="11" t="s">
        <v>140</v>
      </c>
      <c r="M25" s="11" t="s">
        <v>96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heetViews>
  <sheetFormatPr defaultRowHeight="15" x14ac:dyDescent="0.25"/>
  <sheetData>
    <row r="1" spans="1:13" x14ac:dyDescent="0.25">
      <c r="A1" s="11" t="s">
        <v>137</v>
      </c>
      <c r="B1" s="11" t="s">
        <v>87</v>
      </c>
      <c r="D1" s="11" t="s">
        <v>17</v>
      </c>
      <c r="E1" s="11" t="s">
        <v>17</v>
      </c>
      <c r="F1" s="11" t="s">
        <v>17</v>
      </c>
      <c r="H1" s="11" t="s">
        <v>18</v>
      </c>
      <c r="J1" s="11" t="s">
        <v>18</v>
      </c>
      <c r="K1" s="11" t="s">
        <v>18</v>
      </c>
      <c r="L1" s="11" t="s">
        <v>18</v>
      </c>
      <c r="M1" s="11" t="s">
        <v>18</v>
      </c>
    </row>
    <row r="3" spans="1:13" x14ac:dyDescent="0.25">
      <c r="G3" s="11" t="s">
        <v>0</v>
      </c>
    </row>
    <row r="5" spans="1:13" x14ac:dyDescent="0.25">
      <c r="G5" s="11" t="s">
        <v>40</v>
      </c>
      <c r="H5" s="11" t="s">
        <v>124</v>
      </c>
    </row>
    <row r="6" spans="1:13" x14ac:dyDescent="0.25">
      <c r="G6" s="11" t="s">
        <v>41</v>
      </c>
      <c r="H6" s="11" t="s">
        <v>49</v>
      </c>
    </row>
    <row r="7" spans="1:13" x14ac:dyDescent="0.25">
      <c r="G7" s="11" t="s">
        <v>21</v>
      </c>
      <c r="H7" s="11" t="s">
        <v>50</v>
      </c>
    </row>
    <row r="8" spans="1:13" x14ac:dyDescent="0.25">
      <c r="G8" s="11" t="s">
        <v>42</v>
      </c>
      <c r="H8" s="11" t="s">
        <v>29</v>
      </c>
    </row>
    <row r="10" spans="1:13" x14ac:dyDescent="0.25">
      <c r="G10" s="11" t="s">
        <v>19</v>
      </c>
    </row>
    <row r="11" spans="1:13" x14ac:dyDescent="0.25">
      <c r="G11" s="11" t="s">
        <v>125</v>
      </c>
      <c r="H11" s="11" t="s">
        <v>51</v>
      </c>
    </row>
    <row r="12" spans="1:13" x14ac:dyDescent="0.25">
      <c r="G12" s="11" t="s">
        <v>126</v>
      </c>
      <c r="H12" s="11" t="s">
        <v>52</v>
      </c>
    </row>
    <row r="13" spans="1:13" x14ac:dyDescent="0.25">
      <c r="G13" s="11" t="s">
        <v>127</v>
      </c>
      <c r="H13" s="11" t="s">
        <v>53</v>
      </c>
    </row>
    <row r="14" spans="1:13" x14ac:dyDescent="0.25">
      <c r="A14" s="11" t="s">
        <v>17</v>
      </c>
      <c r="G14" s="11" t="s">
        <v>128</v>
      </c>
      <c r="H14" s="11" t="s">
        <v>54</v>
      </c>
    </row>
    <row r="15" spans="1:13" x14ac:dyDescent="0.25">
      <c r="A15" s="11" t="s">
        <v>17</v>
      </c>
      <c r="G15" s="11" t="s">
        <v>129</v>
      </c>
      <c r="H15" s="11" t="s">
        <v>55</v>
      </c>
    </row>
    <row r="16" spans="1:13" x14ac:dyDescent="0.25">
      <c r="A16" s="11" t="s">
        <v>17</v>
      </c>
      <c r="G16" s="11" t="s">
        <v>130</v>
      </c>
      <c r="H16" s="11" t="s">
        <v>56</v>
      </c>
    </row>
    <row r="17" spans="1:13" x14ac:dyDescent="0.25">
      <c r="A17" s="11" t="s">
        <v>17</v>
      </c>
      <c r="G17" s="11" t="s">
        <v>131</v>
      </c>
      <c r="H17" s="11" t="s">
        <v>57</v>
      </c>
    </row>
    <row r="18" spans="1:13" x14ac:dyDescent="0.25">
      <c r="A18" s="11" t="s">
        <v>17</v>
      </c>
      <c r="G18" s="11" t="s">
        <v>132</v>
      </c>
      <c r="H18" s="11" t="s">
        <v>58</v>
      </c>
    </row>
    <row r="19" spans="1:13" x14ac:dyDescent="0.25">
      <c r="A19" s="11" t="s">
        <v>17</v>
      </c>
      <c r="G19" s="11" t="s">
        <v>133</v>
      </c>
      <c r="H19" s="11" t="s">
        <v>59</v>
      </c>
    </row>
    <row r="20" spans="1:13" x14ac:dyDescent="0.25">
      <c r="A20" s="11" t="s">
        <v>17</v>
      </c>
      <c r="G20" s="11" t="s">
        <v>134</v>
      </c>
      <c r="H20" s="11" t="s">
        <v>60</v>
      </c>
    </row>
    <row r="22" spans="1:13" x14ac:dyDescent="0.25">
      <c r="A22" s="11" t="s">
        <v>17</v>
      </c>
      <c r="J22" s="11" t="s">
        <v>124</v>
      </c>
      <c r="K22" s="11" t="s">
        <v>88</v>
      </c>
    </row>
    <row r="23" spans="1:13" x14ac:dyDescent="0.25">
      <c r="A23" s="11" t="s">
        <v>17</v>
      </c>
      <c r="J23" s="11" t="s">
        <v>49</v>
      </c>
      <c r="K23" s="11" t="s">
        <v>89</v>
      </c>
    </row>
    <row r="24" spans="1:13" x14ac:dyDescent="0.25">
      <c r="D24" s="11" t="s">
        <v>7</v>
      </c>
      <c r="E24" s="11" t="s">
        <v>8</v>
      </c>
      <c r="F24" s="11" t="s">
        <v>9</v>
      </c>
      <c r="G24" s="11" t="s">
        <v>1</v>
      </c>
      <c r="H24" s="11" t="s">
        <v>2</v>
      </c>
      <c r="J24" s="11" t="s">
        <v>43</v>
      </c>
      <c r="K24" s="11" t="s">
        <v>44</v>
      </c>
      <c r="L24" s="11" t="s">
        <v>45</v>
      </c>
      <c r="M24" s="11" t="s">
        <v>3</v>
      </c>
    </row>
    <row r="25" spans="1:13" x14ac:dyDescent="0.25">
      <c r="B25" s="11" t="s">
        <v>135</v>
      </c>
      <c r="D25" s="11" t="s">
        <v>90</v>
      </c>
      <c r="E25" s="11" t="s">
        <v>91</v>
      </c>
      <c r="F25" s="11" t="s">
        <v>92</v>
      </c>
      <c r="G25" s="11" t="s">
        <v>93</v>
      </c>
      <c r="H25" s="11" t="s">
        <v>94</v>
      </c>
      <c r="J25" s="11" t="s">
        <v>95</v>
      </c>
      <c r="K25" s="11" t="s">
        <v>136</v>
      </c>
      <c r="L25" s="11" t="s">
        <v>140</v>
      </c>
      <c r="M25" s="11"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Options</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Actual vs Budget</dc:title>
  <dc:subject>Jet Budgets</dc:subject>
  <dc:creator>Kim R. Duey</dc:creator>
  <dc:description>Provides data on Budget, Actual, and Variance for a user-specified range of accounts and date range.</dc:description>
  <cp:lastModifiedBy>Kim R. Duey</cp:lastModifiedBy>
  <dcterms:created xsi:type="dcterms:W3CDTF">2018-08-01T21:44:37Z</dcterms:created>
  <dcterms:modified xsi:type="dcterms:W3CDTF">2018-12-10T14:37:23Z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