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arbon\jet\CORP\Product Management\Reports - Published\Master List of Reports\GP\Reports\"/>
    </mc:Choice>
  </mc:AlternateContent>
  <bookViews>
    <workbookView xWindow="120" yWindow="90" windowWidth="20700" windowHeight="11700"/>
  </bookViews>
  <sheets>
    <sheet name="Before Running This Report" sheetId="401" r:id="rId1"/>
    <sheet name="Read Me" sheetId="402" r:id="rId2"/>
    <sheet name="Options" sheetId="3" state="hidden" r:id="rId3"/>
    <sheet name="Income Statement by month" sheetId="2" r:id="rId4"/>
    <sheet name="Sheet7" sheetId="415" state="veryHidden" r:id="rId5"/>
    <sheet name="Sheet8" sheetId="416" state="veryHidden" r:id="rId6"/>
    <sheet name="Sheet9" sheetId="417" state="veryHidden" r:id="rId7"/>
    <sheet name="Sheet10" sheetId="418" state="veryHidden" r:id="rId8"/>
    <sheet name="Sheet11" sheetId="419" state="veryHidden" r:id="rId9"/>
    <sheet name="Sheet12" sheetId="420" state="veryHidden" r:id="rId10"/>
  </sheets>
  <externalReferences>
    <externalReference r:id="rId11"/>
  </externalReferences>
  <definedNames>
    <definedName name="AccountType">Options!$C1</definedName>
    <definedName name="Datasource" localSheetId="0">[1]Options!$C$4</definedName>
    <definedName name="Datasource" localSheetId="1">[1]Options!$C$4</definedName>
    <definedName name="Datasource">Options!$C$6</definedName>
    <definedName name="DateFilter">Options!$E$4</definedName>
    <definedName name="EndDate">Options!$C$5</definedName>
    <definedName name="PostingType">Options!$C$7</definedName>
    <definedName name="StartDate">Options!$C$4</definedName>
  </definedNames>
  <calcPr calcId="162913"/>
</workbook>
</file>

<file path=xl/calcChain.xml><?xml version="1.0" encoding="utf-8"?>
<calcChain xmlns="http://schemas.openxmlformats.org/spreadsheetml/2006/main">
  <c r="H6" i="2" l="1"/>
  <c r="I6" i="2"/>
  <c r="J6" i="2"/>
  <c r="H7" i="2"/>
  <c r="I7" i="2"/>
  <c r="J7" i="2"/>
  <c r="E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E55" i="2"/>
  <c r="F65" i="2" s="1"/>
  <c r="F56" i="2"/>
  <c r="F57" i="2"/>
  <c r="F58" i="2"/>
  <c r="F59" i="2"/>
  <c r="F60" i="2"/>
  <c r="F61" i="2"/>
  <c r="F62" i="2"/>
  <c r="F63" i="2"/>
  <c r="F64" i="2"/>
  <c r="E67" i="2"/>
  <c r="F85" i="2" s="1"/>
  <c r="F68" i="2"/>
  <c r="F69" i="2"/>
  <c r="F70" i="2"/>
  <c r="F71" i="2"/>
  <c r="F72" i="2"/>
  <c r="F73" i="2"/>
  <c r="F74" i="2"/>
  <c r="F75" i="2"/>
  <c r="F76" i="2"/>
  <c r="F77" i="2"/>
  <c r="F78" i="2"/>
  <c r="F79" i="2"/>
  <c r="F80" i="2"/>
  <c r="F81" i="2"/>
  <c r="F82" i="2"/>
  <c r="F83" i="2"/>
  <c r="F84" i="2"/>
  <c r="E87" i="2"/>
  <c r="F88" i="2"/>
  <c r="F89" i="2"/>
  <c r="H92" i="2"/>
  <c r="I92" i="2"/>
  <c r="J92" i="2"/>
  <c r="J258" i="2" s="1"/>
  <c r="E94" i="2"/>
  <c r="F192" i="2" s="1"/>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E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E235" i="2"/>
  <c r="F236" i="2"/>
  <c r="F237" i="2"/>
  <c r="F238" i="2"/>
  <c r="F239" i="2"/>
  <c r="F240" i="2"/>
  <c r="F241" i="2"/>
  <c r="F242" i="2"/>
  <c r="F243" i="2"/>
  <c r="F244" i="2"/>
  <c r="F245" i="2"/>
  <c r="F246" i="2"/>
  <c r="F247" i="2"/>
  <c r="F248" i="2"/>
  <c r="F249" i="2"/>
  <c r="F250" i="2"/>
  <c r="F251" i="2"/>
  <c r="F252" i="2"/>
  <c r="F253" i="2"/>
  <c r="F254" i="2"/>
  <c r="H256" i="2"/>
  <c r="H258" i="2" s="1"/>
  <c r="I256" i="2"/>
  <c r="I258" i="2" s="1"/>
  <c r="J256" i="2"/>
  <c r="E260" i="2"/>
  <c r="F261" i="2"/>
  <c r="F262" i="2"/>
  <c r="F263" i="2"/>
  <c r="F264" i="2"/>
  <c r="F265" i="2"/>
  <c r="F266" i="2"/>
  <c r="F267" i="2"/>
  <c r="F268" i="2"/>
  <c r="F269" i="2"/>
  <c r="F270" i="2"/>
  <c r="F271" i="2"/>
  <c r="F272" i="2"/>
  <c r="F273" i="2"/>
  <c r="F274" i="2"/>
  <c r="F275" i="2"/>
  <c r="F276" i="2"/>
  <c r="F277" i="2"/>
  <c r="F278" i="2"/>
  <c r="F279" i="2"/>
  <c r="F280" i="2"/>
  <c r="F281" i="2"/>
  <c r="F282" i="2"/>
  <c r="F283" i="2"/>
  <c r="E285" i="2"/>
  <c r="F290" i="2" s="1"/>
  <c r="F286" i="2"/>
  <c r="F287" i="2"/>
  <c r="F288" i="2"/>
  <c r="F289" i="2"/>
  <c r="E292" i="2"/>
  <c r="F293" i="2"/>
  <c r="F294" i="2"/>
  <c r="F295" i="2"/>
  <c r="F296" i="2"/>
  <c r="F297" i="2"/>
  <c r="F298" i="2"/>
  <c r="F299" i="2"/>
  <c r="F300" i="2"/>
  <c r="F301" i="2"/>
  <c r="F302" i="2"/>
  <c r="F303" i="2"/>
  <c r="F304" i="2"/>
  <c r="F305" i="2"/>
  <c r="F306" i="2"/>
  <c r="F307" i="2"/>
  <c r="F308" i="2"/>
  <c r="F309" i="2"/>
  <c r="F310" i="2"/>
  <c r="F311" i="2"/>
  <c r="F312" i="2"/>
  <c r="E315" i="2"/>
  <c r="F350" i="2" s="1"/>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E353" i="2"/>
  <c r="F355" i="2" s="1"/>
  <c r="F354" i="2"/>
  <c r="E4" i="3"/>
  <c r="D6" i="3"/>
  <c r="D7" i="3"/>
  <c r="D8" i="2" l="1"/>
  <c r="C7" i="3"/>
  <c r="D9" i="2" l="1"/>
  <c r="D10" i="2" s="1"/>
  <c r="D11" i="2" s="1"/>
  <c r="D12" i="2" s="1"/>
  <c r="D13" i="2" s="1"/>
  <c r="D14" i="2" s="1"/>
  <c r="D15" i="2" s="1"/>
  <c r="D16" i="2" s="1"/>
  <c r="D17" i="2" s="1"/>
  <c r="D18" i="2" s="1"/>
  <c r="D19" i="2" s="1"/>
  <c r="D20" i="2" s="1"/>
  <c r="D21" i="2" s="1"/>
  <c r="D22" i="2" s="1"/>
  <c r="D23" i="2" s="1"/>
  <c r="D24" i="2" s="1"/>
  <c r="D25" i="2" s="1"/>
  <c r="D26" i="2" s="1"/>
  <c r="D27" i="2" s="1"/>
  <c r="D28" i="2" s="1"/>
  <c r="D29" i="2" s="1"/>
  <c r="D30" i="2" s="1"/>
  <c r="D31" i="2" s="1"/>
  <c r="D32" i="2" s="1"/>
  <c r="D33" i="2" s="1"/>
  <c r="D34" i="2" s="1"/>
  <c r="D35" i="2" s="1"/>
  <c r="D36" i="2" s="1"/>
  <c r="D37" i="2" s="1"/>
  <c r="D38" i="2" s="1"/>
  <c r="D39" i="2" s="1"/>
  <c r="D40" i="2" s="1"/>
  <c r="D41" i="2" s="1"/>
  <c r="D42" i="2" s="1"/>
  <c r="D43" i="2" s="1"/>
  <c r="D44" i="2" s="1"/>
  <c r="D45" i="2" s="1"/>
  <c r="D46" i="2" s="1"/>
  <c r="D47" i="2" s="1"/>
  <c r="D48" i="2" s="1"/>
  <c r="D49" i="2" s="1"/>
  <c r="D50" i="2" s="1"/>
  <c r="D51" i="2" s="1"/>
  <c r="D52" i="2" s="1"/>
  <c r="C6" i="3"/>
  <c r="C5" i="3"/>
  <c r="D53" i="2" l="1"/>
  <c r="C4" i="3"/>
  <c r="D260" i="2" l="1"/>
  <c r="D261" i="2" s="1"/>
  <c r="D353" i="2"/>
  <c r="D354" i="2" s="1"/>
  <c r="D55" i="2"/>
  <c r="D56" i="2" s="1"/>
  <c r="D67" i="2"/>
  <c r="D68" i="2" s="1"/>
  <c r="D87" i="2"/>
  <c r="D88" i="2" s="1"/>
  <c r="D94" i="2"/>
  <c r="D95" i="2" s="1"/>
  <c r="D194" i="2"/>
  <c r="D195" i="2" s="1"/>
  <c r="D285" i="2"/>
  <c r="D286" i="2" s="1"/>
  <c r="D235" i="2"/>
  <c r="D236" i="2" s="1"/>
  <c r="D315" i="2"/>
  <c r="D316" i="2" s="1"/>
  <c r="D292" i="2"/>
  <c r="D293" i="2" s="1"/>
  <c r="D317" i="2" l="1"/>
  <c r="D318" i="2" s="1"/>
  <c r="D319" i="2" s="1"/>
  <c r="D320" i="2" s="1"/>
  <c r="D321" i="2" s="1"/>
  <c r="D322" i="2" s="1"/>
  <c r="D323" i="2" s="1"/>
  <c r="D324" i="2" s="1"/>
  <c r="D325" i="2" s="1"/>
  <c r="D326" i="2" s="1"/>
  <c r="D327" i="2" s="1"/>
  <c r="D328" i="2" s="1"/>
  <c r="D329" i="2" s="1"/>
  <c r="D330" i="2" s="1"/>
  <c r="D331" i="2" s="1"/>
  <c r="D332" i="2" s="1"/>
  <c r="D333" i="2" s="1"/>
  <c r="D334" i="2" s="1"/>
  <c r="D335" i="2" s="1"/>
  <c r="D336" i="2" s="1"/>
  <c r="D337" i="2" s="1"/>
  <c r="D338" i="2" s="1"/>
  <c r="D339" i="2" s="1"/>
  <c r="D340" i="2" s="1"/>
  <c r="D341" i="2" s="1"/>
  <c r="D342" i="2" s="1"/>
  <c r="D343" i="2" s="1"/>
  <c r="D344" i="2" s="1"/>
  <c r="D345" i="2" s="1"/>
  <c r="D346" i="2" s="1"/>
  <c r="D347" i="2" s="1"/>
  <c r="D348" i="2" s="1"/>
  <c r="D349" i="2" s="1"/>
  <c r="D294" i="2"/>
  <c r="D295" i="2" s="1"/>
  <c r="D296" i="2" s="1"/>
  <c r="D297" i="2" s="1"/>
  <c r="D298" i="2" s="1"/>
  <c r="D299" i="2" s="1"/>
  <c r="D300" i="2" s="1"/>
  <c r="D301" i="2" s="1"/>
  <c r="D302" i="2" s="1"/>
  <c r="D303" i="2" s="1"/>
  <c r="D304" i="2" s="1"/>
  <c r="D305" i="2" s="1"/>
  <c r="D306" i="2" s="1"/>
  <c r="D307" i="2" s="1"/>
  <c r="D308" i="2" s="1"/>
  <c r="D309" i="2" s="1"/>
  <c r="D310" i="2" s="1"/>
  <c r="D311" i="2" s="1"/>
  <c r="D287" i="2"/>
  <c r="D288" i="2" s="1"/>
  <c r="D289" i="2" s="1"/>
  <c r="D262" i="2"/>
  <c r="D263" i="2" s="1"/>
  <c r="D264" i="2" s="1"/>
  <c r="D265" i="2" s="1"/>
  <c r="D266" i="2" s="1"/>
  <c r="D267" i="2" s="1"/>
  <c r="D268" i="2" s="1"/>
  <c r="D269" i="2" s="1"/>
  <c r="D270" i="2" s="1"/>
  <c r="D271" i="2" s="1"/>
  <c r="D272" i="2" s="1"/>
  <c r="D273" i="2" s="1"/>
  <c r="D274" i="2" s="1"/>
  <c r="D275" i="2" s="1"/>
  <c r="D276" i="2" s="1"/>
  <c r="D277" i="2" s="1"/>
  <c r="D278" i="2" s="1"/>
  <c r="D279" i="2" s="1"/>
  <c r="D280" i="2" s="1"/>
  <c r="D281" i="2" s="1"/>
  <c r="D282" i="2" s="1"/>
  <c r="D237" i="2"/>
  <c r="D238" i="2" s="1"/>
  <c r="D239" i="2" s="1"/>
  <c r="D240" i="2" s="1"/>
  <c r="D241" i="2" s="1"/>
  <c r="D242" i="2" s="1"/>
  <c r="D243" i="2" s="1"/>
  <c r="D244" i="2" s="1"/>
  <c r="D245" i="2" s="1"/>
  <c r="D246" i="2" s="1"/>
  <c r="D247" i="2" s="1"/>
  <c r="D248" i="2" s="1"/>
  <c r="D249" i="2" s="1"/>
  <c r="D250" i="2" s="1"/>
  <c r="D251" i="2" s="1"/>
  <c r="D252" i="2" s="1"/>
  <c r="D253" i="2" s="1"/>
  <c r="D196" i="2"/>
  <c r="D197" i="2" s="1"/>
  <c r="D198" i="2" s="1"/>
  <c r="D199" i="2" s="1"/>
  <c r="D200" i="2" s="1"/>
  <c r="D201" i="2" s="1"/>
  <c r="D202" i="2" s="1"/>
  <c r="D203" i="2" s="1"/>
  <c r="D204" i="2" s="1"/>
  <c r="D205" i="2" s="1"/>
  <c r="D206" i="2" s="1"/>
  <c r="D207" i="2" s="1"/>
  <c r="D208" i="2" s="1"/>
  <c r="D209" i="2" s="1"/>
  <c r="D210" i="2" s="1"/>
  <c r="D211" i="2" s="1"/>
  <c r="D212" i="2" s="1"/>
  <c r="D213" i="2" s="1"/>
  <c r="D214" i="2" s="1"/>
  <c r="D215" i="2" s="1"/>
  <c r="D216" i="2" s="1"/>
  <c r="D217" i="2" s="1"/>
  <c r="D218" i="2" s="1"/>
  <c r="D219" i="2" s="1"/>
  <c r="D220" i="2" s="1"/>
  <c r="D221" i="2" s="1"/>
  <c r="D222" i="2" s="1"/>
  <c r="D223" i="2" s="1"/>
  <c r="D224" i="2" s="1"/>
  <c r="D225" i="2" s="1"/>
  <c r="D226" i="2" s="1"/>
  <c r="D227" i="2" s="1"/>
  <c r="D228" i="2" s="1"/>
  <c r="D229" i="2" s="1"/>
  <c r="D230" i="2" s="1"/>
  <c r="D231" i="2" s="1"/>
  <c r="D232" i="2" s="1"/>
  <c r="D96" i="2"/>
  <c r="D97" i="2" s="1"/>
  <c r="D98" i="2" s="1"/>
  <c r="D99" i="2" s="1"/>
  <c r="D100" i="2" s="1"/>
  <c r="D101" i="2" s="1"/>
  <c r="D102" i="2" s="1"/>
  <c r="D103" i="2" s="1"/>
  <c r="D104" i="2" s="1"/>
  <c r="D105" i="2" s="1"/>
  <c r="D106" i="2" s="1"/>
  <c r="D107" i="2" s="1"/>
  <c r="D108" i="2" s="1"/>
  <c r="D109" i="2" s="1"/>
  <c r="D110" i="2" s="1"/>
  <c r="D111" i="2" s="1"/>
  <c r="D112" i="2" s="1"/>
  <c r="D113" i="2" s="1"/>
  <c r="D114" i="2" s="1"/>
  <c r="D115" i="2" s="1"/>
  <c r="D116" i="2" s="1"/>
  <c r="D117" i="2" s="1"/>
  <c r="D118" i="2" s="1"/>
  <c r="D119" i="2" s="1"/>
  <c r="D120" i="2" s="1"/>
  <c r="D121" i="2" s="1"/>
  <c r="D122" i="2" s="1"/>
  <c r="D123" i="2" s="1"/>
  <c r="D124" i="2" s="1"/>
  <c r="D125" i="2" s="1"/>
  <c r="D126" i="2" s="1"/>
  <c r="D127" i="2" s="1"/>
  <c r="D128" i="2" s="1"/>
  <c r="D129" i="2" s="1"/>
  <c r="D130" i="2" s="1"/>
  <c r="D131" i="2" s="1"/>
  <c r="D132" i="2" s="1"/>
  <c r="D133" i="2" s="1"/>
  <c r="D134" i="2" s="1"/>
  <c r="D135" i="2" s="1"/>
  <c r="D136" i="2" s="1"/>
  <c r="D137" i="2" s="1"/>
  <c r="D138" i="2" s="1"/>
  <c r="D139" i="2" s="1"/>
  <c r="D140" i="2" s="1"/>
  <c r="D141" i="2" s="1"/>
  <c r="D142" i="2" s="1"/>
  <c r="D143" i="2" s="1"/>
  <c r="D144" i="2" s="1"/>
  <c r="D145" i="2" s="1"/>
  <c r="D146" i="2" s="1"/>
  <c r="D147" i="2" s="1"/>
  <c r="D148" i="2" s="1"/>
  <c r="D149" i="2" s="1"/>
  <c r="D150" i="2" s="1"/>
  <c r="D151" i="2" s="1"/>
  <c r="D152" i="2" s="1"/>
  <c r="D153" i="2" s="1"/>
  <c r="D154" i="2" s="1"/>
  <c r="D155" i="2" s="1"/>
  <c r="D156" i="2" s="1"/>
  <c r="D157" i="2" s="1"/>
  <c r="D158" i="2" s="1"/>
  <c r="D159" i="2" s="1"/>
  <c r="D160" i="2" s="1"/>
  <c r="D161" i="2" s="1"/>
  <c r="D162" i="2" s="1"/>
  <c r="D163" i="2" s="1"/>
  <c r="D164" i="2" s="1"/>
  <c r="D165" i="2" s="1"/>
  <c r="D166" i="2" s="1"/>
  <c r="D167" i="2" s="1"/>
  <c r="D168" i="2" s="1"/>
  <c r="D169" i="2" s="1"/>
  <c r="D170" i="2" s="1"/>
  <c r="D171" i="2" s="1"/>
  <c r="D172" i="2" s="1"/>
  <c r="D173" i="2" s="1"/>
  <c r="D174" i="2" s="1"/>
  <c r="D175" i="2" s="1"/>
  <c r="D176" i="2" s="1"/>
  <c r="D177" i="2" s="1"/>
  <c r="D178" i="2" s="1"/>
  <c r="D179" i="2" s="1"/>
  <c r="D180" i="2" s="1"/>
  <c r="D181" i="2" s="1"/>
  <c r="D182" i="2" s="1"/>
  <c r="D183" i="2" s="1"/>
  <c r="D184" i="2" s="1"/>
  <c r="D185" i="2" s="1"/>
  <c r="D186" i="2" s="1"/>
  <c r="D187" i="2" s="1"/>
  <c r="D188" i="2" s="1"/>
  <c r="D189" i="2" s="1"/>
  <c r="D190" i="2" s="1"/>
  <c r="D191" i="2" s="1"/>
  <c r="D69" i="2"/>
  <c r="D70" i="2" s="1"/>
  <c r="D71" i="2" s="1"/>
  <c r="D72" i="2" s="1"/>
  <c r="D73" i="2" s="1"/>
  <c r="D74" i="2" s="1"/>
  <c r="D75" i="2" s="1"/>
  <c r="D76" i="2" s="1"/>
  <c r="D77" i="2" s="1"/>
  <c r="D78" i="2" s="1"/>
  <c r="D79" i="2" s="1"/>
  <c r="D80" i="2" s="1"/>
  <c r="D81" i="2" s="1"/>
  <c r="D82" i="2" s="1"/>
  <c r="D83" i="2" s="1"/>
  <c r="D84" i="2" s="1"/>
  <c r="D57" i="2"/>
  <c r="D58" i="2" s="1"/>
  <c r="D59" i="2" s="1"/>
  <c r="D60" i="2" s="1"/>
  <c r="D61" i="2" s="1"/>
  <c r="D62" i="2" s="1"/>
  <c r="D63" i="2" s="1"/>
  <c r="D64" i="2" s="1"/>
  <c r="D350" i="2"/>
  <c r="D85" i="2"/>
  <c r="D233" i="2"/>
  <c r="D192" i="2"/>
  <c r="D355" i="2"/>
  <c r="D312" i="2"/>
  <c r="D65" i="2"/>
  <c r="D254" i="2"/>
  <c r="D89" i="2"/>
  <c r="D290" i="2"/>
  <c r="D283" i="2"/>
  <c r="H358" i="2" l="1"/>
  <c r="H361" i="2" l="1"/>
  <c r="I358" i="2"/>
  <c r="J358" i="2"/>
  <c r="I361" i="2"/>
  <c r="J361" i="2" l="1"/>
</calcChain>
</file>

<file path=xl/comments1.xml><?xml version="1.0" encoding="utf-8"?>
<comments xmlns="http://schemas.openxmlformats.org/spreadsheetml/2006/main">
  <authors>
    <author>Stephen J. Little</author>
  </authors>
  <commentList>
    <comment ref="H5" authorId="0" shapeId="0">
      <text>
        <r>
          <rPr>
            <sz val="9"/>
            <color indexed="81"/>
            <rFont val="Tahoma"/>
            <family val="2"/>
          </rPr>
          <t xml:space="preserve">This cell creates a new column for each month based on the Start and End dates from the Options page
</t>
        </r>
      </text>
    </comment>
    <comment ref="I5" authorId="0" shapeId="0">
      <text>
        <r>
          <rPr>
            <sz val="9"/>
            <color indexed="81"/>
            <rFont val="Tahoma"/>
            <family val="2"/>
          </rPr>
          <t xml:space="preserve">This cell creates a new column for each month based on the Start and End dates from the Options page
</t>
        </r>
      </text>
    </comment>
    <comment ref="J5" authorId="0" shapeId="0">
      <text>
        <r>
          <rPr>
            <sz val="9"/>
            <color indexed="81"/>
            <rFont val="Tahoma"/>
            <family val="2"/>
          </rPr>
          <t xml:space="preserve">This cell creates a new column for each month based on the Start and End dates from the Options page
</t>
        </r>
      </text>
    </comment>
    <comment ref="C7" authorId="0" shapeId="0">
      <text>
        <r>
          <rPr>
            <sz val="9"/>
            <color indexed="81"/>
            <rFont val="Tahoma"/>
            <family val="2"/>
          </rPr>
          <t>The numbers in this column are the numeric enums for the account categories.  You may need to modify these to match
 your chart of accounts.  (i.e. change the number 33 in the cell below to a different number).</t>
        </r>
        <r>
          <rPr>
            <b/>
            <sz val="9"/>
            <color indexed="81"/>
            <rFont val="Tahoma"/>
            <family val="2"/>
          </rPr>
          <t xml:space="preserve">
</t>
        </r>
      </text>
    </comment>
  </commentList>
</comments>
</file>

<file path=xl/sharedStrings.xml><?xml version="1.0" encoding="utf-8"?>
<sst xmlns="http://schemas.openxmlformats.org/spreadsheetml/2006/main" count="2630" uniqueCount="1768">
  <si>
    <t>Sales</t>
  </si>
  <si>
    <t>Auto</t>
  </si>
  <si>
    <t>Gross Profit</t>
  </si>
  <si>
    <t>Title</t>
  </si>
  <si>
    <t>Value</t>
  </si>
  <si>
    <t>Lookup</t>
  </si>
  <si>
    <t>Report Options</t>
  </si>
  <si>
    <t>Option</t>
  </si>
  <si>
    <t>Start Date</t>
  </si>
  <si>
    <t>End Date</t>
  </si>
  <si>
    <t>hide</t>
  </si>
  <si>
    <t>Income Statement by Month</t>
  </si>
  <si>
    <t>=NP("DateFilter",StartDate,EndDate)</t>
  </si>
  <si>
    <t>Hide</t>
  </si>
  <si>
    <t>33</t>
  </si>
  <si>
    <t>35</t>
  </si>
  <si>
    <t>=D11</t>
  </si>
  <si>
    <t>37</t>
  </si>
  <si>
    <t>=D17</t>
  </si>
  <si>
    <t>=D21</t>
  </si>
  <si>
    <t>39</t>
  </si>
  <si>
    <t>=D25</t>
  </si>
  <si>
    <t>40</t>
  </si>
  <si>
    <t>=D29</t>
  </si>
  <si>
    <t>42</t>
  </si>
  <si>
    <t>=D33</t>
  </si>
  <si>
    <t>=D37</t>
  </si>
  <si>
    <t>47</t>
  </si>
  <si>
    <t>=D41</t>
  </si>
  <si>
    <t>=D49</t>
  </si>
  <si>
    <t>=D8</t>
  </si>
  <si>
    <t>=D9</t>
  </si>
  <si>
    <t>=D10</t>
  </si>
  <si>
    <t>=D12</t>
  </si>
  <si>
    <t>=D13</t>
  </si>
  <si>
    <t>=D14</t>
  </si>
  <si>
    <t>=D15</t>
  </si>
  <si>
    <t>=D16</t>
  </si>
  <si>
    <t>=D18</t>
  </si>
  <si>
    <t>=D19</t>
  </si>
  <si>
    <t>=D20</t>
  </si>
  <si>
    <t>=D24</t>
  </si>
  <si>
    <t>=D26</t>
  </si>
  <si>
    <t>=D27</t>
  </si>
  <si>
    <t>=D28</t>
  </si>
  <si>
    <t>=D30</t>
  </si>
  <si>
    <t>=D31</t>
  </si>
  <si>
    <t>=D32</t>
  </si>
  <si>
    <t>=D34</t>
  </si>
  <si>
    <t>=D35</t>
  </si>
  <si>
    <t>=D36</t>
  </si>
  <si>
    <t>=D38</t>
  </si>
  <si>
    <t>=D39</t>
  </si>
  <si>
    <t>=D40</t>
  </si>
  <si>
    <t>=D42</t>
  </si>
  <si>
    <t>=D48</t>
  </si>
  <si>
    <t>=D50</t>
  </si>
  <si>
    <t>=D55</t>
  </si>
  <si>
    <t>=D56</t>
  </si>
  <si>
    <t>=D60</t>
  </si>
  <si>
    <t>=D61</t>
  </si>
  <si>
    <t>=D67</t>
  </si>
  <si>
    <t>=D68</t>
  </si>
  <si>
    <t>=D69</t>
  </si>
  <si>
    <t>=D70</t>
  </si>
  <si>
    <t>=D71</t>
  </si>
  <si>
    <t>=D72</t>
  </si>
  <si>
    <t>=D73</t>
  </si>
  <si>
    <t>=D77</t>
  </si>
  <si>
    <t>=D81</t>
  </si>
  <si>
    <t>=D87</t>
  </si>
  <si>
    <t>=D94</t>
  </si>
  <si>
    <t>=D95</t>
  </si>
  <si>
    <t>=D96</t>
  </si>
  <si>
    <t>=D97</t>
  </si>
  <si>
    <t>=D98</t>
  </si>
  <si>
    <t>Total Operating Expenses</t>
  </si>
  <si>
    <t>Total Other Income/Expenses</t>
  </si>
  <si>
    <t>Net Income</t>
  </si>
  <si>
    <t>=D22</t>
  </si>
  <si>
    <t>=D44</t>
  </si>
  <si>
    <t>=D43</t>
  </si>
  <si>
    <t>=D78</t>
  </si>
  <si>
    <t>=D82</t>
  </si>
  <si>
    <t>=D88</t>
  </si>
  <si>
    <t>=D99</t>
  </si>
  <si>
    <t>=D100</t>
  </si>
  <si>
    <t>=D108</t>
  </si>
  <si>
    <t>=D107</t>
  </si>
  <si>
    <t>=E43</t>
  </si>
  <si>
    <t>="Total "&amp;E43</t>
  </si>
  <si>
    <t>=E47</t>
  </si>
  <si>
    <t>=D47</t>
  </si>
  <si>
    <t>="Total "&amp;E47</t>
  </si>
  <si>
    <t>=E87</t>
  </si>
  <si>
    <t>="Total "&amp;E87</t>
  </si>
  <si>
    <t>Posting Type</t>
  </si>
  <si>
    <t>="Posting Account"</t>
  </si>
  <si>
    <t>=NL("Lookup","Finance","[Account].[Account Type]")</t>
  </si>
  <si>
    <t>=NL("Columns",NP("Dates",StartDate,EndDate,"Month","False"))</t>
  </si>
  <si>
    <t>=NP("Datefilter",H5,EOMONTH(H5,0))</t>
  </si>
  <si>
    <t>31</t>
  </si>
  <si>
    <t>=E8</t>
  </si>
  <si>
    <t>="Total "&amp;E8</t>
  </si>
  <si>
    <t>=E12</t>
  </si>
  <si>
    <t>="Total "&amp;E12</t>
  </si>
  <si>
    <t>=D23</t>
  </si>
  <si>
    <t>=D45</t>
  </si>
  <si>
    <t>=E55</t>
  </si>
  <si>
    <t>="Total "&amp;E55</t>
  </si>
  <si>
    <t>=NP("Datefilter",I5,EOMONTH(I5,0))</t>
  </si>
  <si>
    <t>=NP("Datefilter",J5,EOMONTH(J5,0))</t>
  </si>
  <si>
    <t>="000-4110-01 - US Sales - Retail/Parts"</t>
  </si>
  <si>
    <t>="000-4110-02 - US Sales - Finished Goods"</t>
  </si>
  <si>
    <t>="000-4111-01 - Canadian Sales - Retail/Parts"</t>
  </si>
  <si>
    <t>="000-4111-02 - Canadian Sales - Finished Goods"</t>
  </si>
  <si>
    <t>="000-4112-01 - AustralAsian Sales - Retail/Parts"</t>
  </si>
  <si>
    <t>="000-4112-02 - AustralAsian Sales - Finished Goods"</t>
  </si>
  <si>
    <t>="000-4114-01 - Germany Sales - Retail/Parts"</t>
  </si>
  <si>
    <t>="000-4114-02 - Germany Sales - Finished Goods"</t>
  </si>
  <si>
    <t>="000-4115-01 - United Kingdom Sales - Retail/Parts"</t>
  </si>
  <si>
    <t>="000-4115-02 - United Kingdom Sales - Finished Goods"</t>
  </si>
  <si>
    <t>="000-4116-01 - South Africa - Retail/Parts"</t>
  </si>
  <si>
    <t>="000-4116-02 - South Africa Sales - Finished Goods"</t>
  </si>
  <si>
    <t>="000-4117-01 - Singapore Sales - Retail/Parts"</t>
  </si>
  <si>
    <t>="000-4117-02 - Singapore Sales - Finished Goods"</t>
  </si>
  <si>
    <t>="000-4120-00 - US Sales - Service Plans"</t>
  </si>
  <si>
    <t>="000-4121-00 - Canadian Sales - Service Plans"</t>
  </si>
  <si>
    <t>="000-4122-00 - AustralAsian Sales - Service Plans"</t>
  </si>
  <si>
    <t>="000-4124-00 - Germany Sales - Service Plans"</t>
  </si>
  <si>
    <t>="000-4125-00 - United Kingdom Sales - Service Plans"</t>
  </si>
  <si>
    <t>="000-4126-00 - South Africa Sales - Service Plans"</t>
  </si>
  <si>
    <t>="000-4127-00 - Singapore Sales - Service Plans"</t>
  </si>
  <si>
    <t>="000-4130-00 - US Sales - Installation Charges"</t>
  </si>
  <si>
    <t>="000-4131-00 - Canadian Sales - Installation Charges"</t>
  </si>
  <si>
    <t>="000-4132-00 - AustralAsian Sales - Installation Charges"</t>
  </si>
  <si>
    <t>="000-4134-00 - Germany Sales - Installation Charges"</t>
  </si>
  <si>
    <t>="000-4135-00 - United Kingdom Sales - Installation Charges"</t>
  </si>
  <si>
    <t>="000-4136-00 - South Africa Sales - Installation Charges"</t>
  </si>
  <si>
    <t>="000-4137-00 - Singapore Sales - Installation Charges"</t>
  </si>
  <si>
    <t>="000-4140-00 - US Sales - Repair Charges"</t>
  </si>
  <si>
    <t>="000-4141-00 - Canadian Sales - Repair Charges"</t>
  </si>
  <si>
    <t>="000-4142-00 - AustralAsian Sales - Repair Charges"</t>
  </si>
  <si>
    <t>="000-4176-00 - South Africa Sales Discount"</t>
  </si>
  <si>
    <t>="000-4177-00 - Germany Sales Discount"</t>
  </si>
  <si>
    <t>="000-4178-00 - Singapore Sales Discount"</t>
  </si>
  <si>
    <t>="000-4179-00 - United Kingdom Sales Discount"</t>
  </si>
  <si>
    <t>="000-4186-00 - United Kingdom Trade Discount"</t>
  </si>
  <si>
    <t>="000-4187-00 - Singapore Trade Discount"</t>
  </si>
  <si>
    <t>=D46</t>
  </si>
  <si>
    <t>="000-4188-00 - Germany Trade Discount"</t>
  </si>
  <si>
    <t>="000-4189-00 - South Africa Trade Discount"</t>
  </si>
  <si>
    <t>="000-4200-00 - Project Revenue/Sales"</t>
  </si>
  <si>
    <t>="000-4210-01 - Project Billings"</t>
  </si>
  <si>
    <t>="000-4280-01 - Unbilled Project Revenue"</t>
  </si>
  <si>
    <t>=D51</t>
  </si>
  <si>
    <t>="000-4500-01 - Project Revenue"</t>
  </si>
  <si>
    <t>=E61</t>
  </si>
  <si>
    <t>=D62</t>
  </si>
  <si>
    <t>="Total "&amp;E61</t>
  </si>
  <si>
    <t>=D74</t>
  </si>
  <si>
    <t>EBITDA</t>
  </si>
  <si>
    <t>="1/1/2014"</t>
  </si>
  <si>
    <t>32</t>
  </si>
  <si>
    <t>=E16</t>
  </si>
  <si>
    <t>="Total "&amp;E16</t>
  </si>
  <si>
    <t>34</t>
  </si>
  <si>
    <t>=E20</t>
  </si>
  <si>
    <t>="Total "&amp;E20</t>
  </si>
  <si>
    <t>=E27</t>
  </si>
  <si>
    <t>="Total "&amp;E27</t>
  </si>
  <si>
    <t>36</t>
  </si>
  <si>
    <t>=E31</t>
  </si>
  <si>
    <t>="Total "&amp;E31</t>
  </si>
  <si>
    <t>=E35</t>
  </si>
  <si>
    <t>="Total "&amp;E35</t>
  </si>
  <si>
    <t>=E51</t>
  </si>
  <si>
    <t>=D52</t>
  </si>
  <si>
    <t>="Total "&amp;E51</t>
  </si>
  <si>
    <t>43</t>
  </si>
  <si>
    <t>=E56</t>
  </si>
  <si>
    <t>=D57</t>
  </si>
  <si>
    <t>="Total "&amp;E56</t>
  </si>
  <si>
    <t>41671</t>
  </si>
  <si>
    <t>41699</t>
  </si>
  <si>
    <t>="000-4181-00 - Canadian Sales Discounts"</t>
  </si>
  <si>
    <t>="000-4182-00 - AustralAsian Sales Discounts"</t>
  </si>
  <si>
    <t>=D58</t>
  </si>
  <si>
    <t>="000-4183-00 - US Sales Trade Discounts"</t>
  </si>
  <si>
    <t>=D59</t>
  </si>
  <si>
    <t>="000-4184-00 - Canadian Sales Trade Discounts"</t>
  </si>
  <si>
    <t>="000-4185-00 - AustralAsian Trade Discounts"</t>
  </si>
  <si>
    <t>="000-4190-00 - US Sales Returns"</t>
  </si>
  <si>
    <t>="000-4191-00 - Canadian Sales Returns"</t>
  </si>
  <si>
    <t>=D63</t>
  </si>
  <si>
    <t>="000-4192-00 - AustralAsian Sales Returns"</t>
  </si>
  <si>
    <t>=E67</t>
  </si>
  <si>
    <t>="000-4510-02 - Cost of Goods Sold - Finished Goods"</t>
  </si>
  <si>
    <t>="000-4520-01 - CoGS - Material"</t>
  </si>
  <si>
    <t>="000-4520-02 - CoGS - Material Fixed OH"</t>
  </si>
  <si>
    <t>="000-4520-03 - CoGS - Material Var. OH"</t>
  </si>
  <si>
    <t>="000-4520-04 - CoGS - Labor"</t>
  </si>
  <si>
    <t>="000-4520-05 - CoGS - Labor Fixed OH"</t>
  </si>
  <si>
    <t>="000-4520-06 - CoGS - Labor Var. OH"</t>
  </si>
  <si>
    <t>=D75</t>
  </si>
  <si>
    <t>="000-4520-07 - CoGS - Machine"</t>
  </si>
  <si>
    <t>=D76</t>
  </si>
  <si>
    <t>="000-4520-08 - CoGS - Machine Fixed OH"</t>
  </si>
  <si>
    <t>="000-4520-09 - CoGS - Machine Var. OH"</t>
  </si>
  <si>
    <t>="000-4530-01 - Cost of Goods Sold/Expense"</t>
  </si>
  <si>
    <t>=D79</t>
  </si>
  <si>
    <t>="000-4600-00 - Purchases Discounts Taken"</t>
  </si>
  <si>
    <t>=D80</t>
  </si>
  <si>
    <t>="000-4601-00 - Purchases Trade Discounts"</t>
  </si>
  <si>
    <t>="000-4700-00 - Shrinkage and Waste"</t>
  </si>
  <si>
    <t>="000-4710-00 - Freight and Handling"</t>
  </si>
  <si>
    <t>=D83</t>
  </si>
  <si>
    <t>="000-4720-00 - International Freight and Handling"</t>
  </si>
  <si>
    <t>="Total "&amp;E67</t>
  </si>
  <si>
    <t>=E94</t>
  </si>
  <si>
    <t>="000-6170-05 - Repairs &amp; Maintenance Expense-Line"</t>
  </si>
  <si>
    <t>="000-6400-00 - Life Insurance - Administration"</t>
  </si>
  <si>
    <t>="000-6410-00 - Vehicle Insurance"</t>
  </si>
  <si>
    <t>="000-6420-00 - Liability Insurance"</t>
  </si>
  <si>
    <t>="000-6430-00 - Casualty Insurance"</t>
  </si>
  <si>
    <t>="000-6500-04 - Postage/Freight Expense-Staff"</t>
  </si>
  <si>
    <t>=D101</t>
  </si>
  <si>
    <t>="000-6500-05 - Postage/Freight Expense-Line"</t>
  </si>
  <si>
    <t>=D102</t>
  </si>
  <si>
    <t>="000-6600-00 - Bank Fees"</t>
  </si>
  <si>
    <t>=D103</t>
  </si>
  <si>
    <t>="000-6610-00 - Advertising Expense"</t>
  </si>
  <si>
    <t>=D104</t>
  </si>
  <si>
    <t>="000-6620-00 - Direct Mail Advertising Expense"</t>
  </si>
  <si>
    <t>=D105</t>
  </si>
  <si>
    <t>="000-6700-00 - Bad Debts Expense"</t>
  </si>
  <si>
    <t>=D106</t>
  </si>
  <si>
    <t>="000-6701-00 - Write-Off Expense"</t>
  </si>
  <si>
    <t>="000-6710-00 - Collection Costs"</t>
  </si>
  <si>
    <t>="000-6720-00 - Legal Fees"</t>
  </si>
  <si>
    <t>=D109</t>
  </si>
  <si>
    <t>="000-6730-00 - Accounting Fees"</t>
  </si>
  <si>
    <t>=D110</t>
  </si>
  <si>
    <t>="000-6740-00 - Fines &amp; Penalties"</t>
  </si>
  <si>
    <t>=D111</t>
  </si>
  <si>
    <t>="000-6750-00 - Licenses &amp; Fees"</t>
  </si>
  <si>
    <t>=D112</t>
  </si>
  <si>
    <t>="000-6760-00 - Recruiting &amp; Moving Expense"</t>
  </si>
  <si>
    <t>=D113</t>
  </si>
  <si>
    <t>="000-6770-00 - Company Meetings"</t>
  </si>
  <si>
    <t>=D114</t>
  </si>
  <si>
    <t>="000-6790-00 - Warranty Expense"</t>
  </si>
  <si>
    <t>=D115</t>
  </si>
  <si>
    <t>="100-6110-00 - Company Car - Administration"</t>
  </si>
  <si>
    <t>=D116</t>
  </si>
  <si>
    <t>="100-6120-00 - Supplies/Rental - Administration"</t>
  </si>
  <si>
    <t>=D117</t>
  </si>
  <si>
    <t>="100-6130-00 - Supplies/Hardware - Administration"</t>
  </si>
  <si>
    <t>=D118</t>
  </si>
  <si>
    <t>="100-6140-00 - Supplies/Software - Administation"</t>
  </si>
  <si>
    <t>=D119</t>
  </si>
  <si>
    <t>="100-6150-00 - Supplies-Allocated - Administration"</t>
  </si>
  <si>
    <t>=D120</t>
  </si>
  <si>
    <t>="100-6160-00 - Dues &amp; Subscriptions - Administration"</t>
  </si>
  <si>
    <t>=D121</t>
  </si>
  <si>
    <t>="100-6170-00 - Repairs &amp; Maintenance - Administration"</t>
  </si>
  <si>
    <t>=D122</t>
  </si>
  <si>
    <t>="100-6180-00 - Rent Expense - Administration"</t>
  </si>
  <si>
    <t>=D123</t>
  </si>
  <si>
    <t>="100-6190-00 - Utilities Expense - Administration"</t>
  </si>
  <si>
    <t>=D124</t>
  </si>
  <si>
    <t>="100-6500-00 - Postage/Freight - Administration"</t>
  </si>
  <si>
    <t>=D125</t>
  </si>
  <si>
    <t>="100-6510-00 - Telephone - Administration"</t>
  </si>
  <si>
    <t>=D126</t>
  </si>
  <si>
    <t>="100-6520-00 - Travel - Administration"</t>
  </si>
  <si>
    <t>=D127</t>
  </si>
  <si>
    <t>="100-6530-00 - Meals/Entertainment - Administration"</t>
  </si>
  <si>
    <t>=D128</t>
  </si>
  <si>
    <t>="200-6120-00 - Supplies/Rental - Accounting"</t>
  </si>
  <si>
    <t>=D129</t>
  </si>
  <si>
    <t>="200-6130-00 - Supplies/Hardware - Accounting"</t>
  </si>
  <si>
    <t>=D130</t>
  </si>
  <si>
    <t>="200-6140-00 - Supplies/Software - Accounting"</t>
  </si>
  <si>
    <t>=D131</t>
  </si>
  <si>
    <t>="200-6150-00 - Supplies-Allocated - Accounting"</t>
  </si>
  <si>
    <t>=D132</t>
  </si>
  <si>
    <t>="200-6160-00 - Dues &amp; Subscriptions - Accounting"</t>
  </si>
  <si>
    <t>=D133</t>
  </si>
  <si>
    <t>="200-6170-00 - Repairs &amp; Maintenance - Accounting"</t>
  </si>
  <si>
    <t>=D134</t>
  </si>
  <si>
    <t>="200-6180-00 - Rent Expense - Accounting"</t>
  </si>
  <si>
    <t>=D135</t>
  </si>
  <si>
    <t>="200-6190-00 - Utilities Expense - Accounting"</t>
  </si>
  <si>
    <t>=D136</t>
  </si>
  <si>
    <t>="200-6500-00 - Postage/Freight  - Accounting"</t>
  </si>
  <si>
    <t>=D137</t>
  </si>
  <si>
    <t>="200-6510-00 - Telephone - Accounting"</t>
  </si>
  <si>
    <t>=D138</t>
  </si>
  <si>
    <t>="200-6520-00 - Travel - Accounting"</t>
  </si>
  <si>
    <t>=D139</t>
  </si>
  <si>
    <t>="200-6530-00 - Meals/Entertainment - Accounting"</t>
  </si>
  <si>
    <t>=D140</t>
  </si>
  <si>
    <t>="300-6120-00 - Supplies/Rental - Sales"</t>
  </si>
  <si>
    <t>=D141</t>
  </si>
  <si>
    <t>="300-6130-00 - Supplies/Hardware - Sales"</t>
  </si>
  <si>
    <t>=D142</t>
  </si>
  <si>
    <t>="300-6140-00 - Supplies/Software - Sales"</t>
  </si>
  <si>
    <t>=D143</t>
  </si>
  <si>
    <t>="300-6150-00 - Supplies-Allocated - Sales"</t>
  </si>
  <si>
    <t>=D144</t>
  </si>
  <si>
    <t>="300-6160-00 - Dues &amp; Subscriptions - Sales"</t>
  </si>
  <si>
    <t>=D145</t>
  </si>
  <si>
    <t>="300-6170-00 - Repairs &amp; Maintenance - Sales"</t>
  </si>
  <si>
    <t>=D146</t>
  </si>
  <si>
    <t>="300-6180-00 - Rent Expense - Sales"</t>
  </si>
  <si>
    <t>=D147</t>
  </si>
  <si>
    <t>="300-6190-00 - Utilities Expense - Sales"</t>
  </si>
  <si>
    <t>=D148</t>
  </si>
  <si>
    <t>="300-6500-00 - Postage/Freight - Sales"</t>
  </si>
  <si>
    <t>=D149</t>
  </si>
  <si>
    <t>="300-6510-00 - Telephone - Sales"</t>
  </si>
  <si>
    <t>=D150</t>
  </si>
  <si>
    <t>="300-6520-00 - Travel - Sales"</t>
  </si>
  <si>
    <t>=D151</t>
  </si>
  <si>
    <t>="300-6530-00 - Meals/Entertainment - Sales"</t>
  </si>
  <si>
    <t>=D152</t>
  </si>
  <si>
    <t>="400-5600-00 - Contract Services - Service/Installation"</t>
  </si>
  <si>
    <t>=D153</t>
  </si>
  <si>
    <t>="400-6110-00 - Fleet Vehicle Expense"</t>
  </si>
  <si>
    <t>=D154</t>
  </si>
  <si>
    <t>="400-6120-00 - Supplies/Rental - Service/Installation"</t>
  </si>
  <si>
    <t>=D155</t>
  </si>
  <si>
    <t>="400-6130-00 - Supplies/Hardware - Service/Installation"</t>
  </si>
  <si>
    <t>=D156</t>
  </si>
  <si>
    <t>="400-6140-00 - Supplies/Software - Service/Installation"</t>
  </si>
  <si>
    <t>=D157</t>
  </si>
  <si>
    <t>="400-6150-00 - Supplies-Allocated - Services/Installation"</t>
  </si>
  <si>
    <t>=D158</t>
  </si>
  <si>
    <t>="400-6160-00 - Dues &amp; Subscriptions - Service/Installation"</t>
  </si>
  <si>
    <t>=D159</t>
  </si>
  <si>
    <t>="400-6170-00 - Repairs &amp; Maintenance - Service/Installation"</t>
  </si>
  <si>
    <t>=D160</t>
  </si>
  <si>
    <t>="400-6180-00 - Rent Expense - Service/Installation"</t>
  </si>
  <si>
    <t>=D161</t>
  </si>
  <si>
    <t>="400-6190-00 - Utilities Expense - Service/Installation"</t>
  </si>
  <si>
    <t>=D162</t>
  </si>
  <si>
    <t>="400-6500-00 - Postage/Freight - Service/Installation"</t>
  </si>
  <si>
    <t>=D163</t>
  </si>
  <si>
    <t>="400-6510-00 - Telephone - Service/Installation"</t>
  </si>
  <si>
    <t>=D164</t>
  </si>
  <si>
    <t>="400-6520-00 - Travel - Service/Installation"</t>
  </si>
  <si>
    <t>=D165</t>
  </si>
  <si>
    <t>="400-6530-00 - Meals/Entertainment - Service/Installation"</t>
  </si>
  <si>
    <t>=D166</t>
  </si>
  <si>
    <t>="500-5600-00 - Contract Services - Consulting/Training"</t>
  </si>
  <si>
    <t>=D167</t>
  </si>
  <si>
    <t>="500-6120-00 - Supplies/Rental - Consulting/Training"</t>
  </si>
  <si>
    <t>=D168</t>
  </si>
  <si>
    <t>="500-6130-00 - Supplies/Hardware - Consulting/Training"</t>
  </si>
  <si>
    <t>=D169</t>
  </si>
  <si>
    <t>="500-6140-00 - Supplies/Software - Consulting/Training"</t>
  </si>
  <si>
    <t>=D170</t>
  </si>
  <si>
    <t>="500-6150-00 - Supplies-Allocated - Consulting/Training"</t>
  </si>
  <si>
    <t>=D171</t>
  </si>
  <si>
    <t>="500-6160-00 - Dues &amp; Subscriptions - Consulting/Training"</t>
  </si>
  <si>
    <t>=D172</t>
  </si>
  <si>
    <t>="500-6170-00 - Repairs &amp; Maintenance - Consulting/Training"</t>
  </si>
  <si>
    <t>=D173</t>
  </si>
  <si>
    <t>="500-6180-00 - Rent Expense - Consulting/Training"</t>
  </si>
  <si>
    <t>=D174</t>
  </si>
  <si>
    <t>="500-6190-00 - Utilities Expense - Consulting/Training"</t>
  </si>
  <si>
    <t>=D175</t>
  </si>
  <si>
    <t>="500-6500-00 - Postage/Freight - Consulting/Training"</t>
  </si>
  <si>
    <t>=D176</t>
  </si>
  <si>
    <t>="500-6510-00 - Telephone - Consulting/Training"</t>
  </si>
  <si>
    <t>=D177</t>
  </si>
  <si>
    <t>="500-6520-00 - Travel - Consulting/Training"</t>
  </si>
  <si>
    <t>=D178</t>
  </si>
  <si>
    <t>="500-6530-00 - Meals/Entertainment - Consulting/Training"</t>
  </si>
  <si>
    <t>=D179</t>
  </si>
  <si>
    <t>="600-6120-00 - Supplies/Rental - Purchasing/Receiving"</t>
  </si>
  <si>
    <t>=D180</t>
  </si>
  <si>
    <t>="600-6130-00 - Supplies/Hardware - Purchasing/Receiving"</t>
  </si>
  <si>
    <t>=D181</t>
  </si>
  <si>
    <t>="600-6140-00 - Supplies/Software - Purchases/Receiving"</t>
  </si>
  <si>
    <t>=D182</t>
  </si>
  <si>
    <t>="600-6150-00 - Supplies-Allocated - Purchases/Receiving"</t>
  </si>
  <si>
    <t>=D183</t>
  </si>
  <si>
    <t>="600-6160-00 - Dues &amp; Subscriptions - Purchasing/Receiving"</t>
  </si>
  <si>
    <t>=D184</t>
  </si>
  <si>
    <t>="600-6170-00 - Repairs &amp; Maintenance - Purchasing/Receiving"</t>
  </si>
  <si>
    <t>=D185</t>
  </si>
  <si>
    <t>="600-6180-00 - Rent Expense - Purchasing/Receiving"</t>
  </si>
  <si>
    <t>=D186</t>
  </si>
  <si>
    <t>="600-6190-00 - Utilities Expense - Purchasing/Receiving"</t>
  </si>
  <si>
    <t>=D187</t>
  </si>
  <si>
    <t>="600-6500-00 - Postage/Freight - Purchasing/Receiving"</t>
  </si>
  <si>
    <t>=D188</t>
  </si>
  <si>
    <t>="600-6510-00 - Telephone - Purchasing/Receiving"</t>
  </si>
  <si>
    <t>=D189</t>
  </si>
  <si>
    <t>="600-6520-00 - Travel - Purchasing/Receiving"</t>
  </si>
  <si>
    <t>=D190</t>
  </si>
  <si>
    <t>="600-6530-00 - Meals/Entertainment - Purchasing/Receiving"</t>
  </si>
  <si>
    <t>="Total "&amp;E94</t>
  </si>
  <si>
    <t>=E194</t>
  </si>
  <si>
    <t>=D194</t>
  </si>
  <si>
    <t>=D195</t>
  </si>
  <si>
    <t>="100-5100-00 - Salaries and Wages - Administration"</t>
  </si>
  <si>
    <t>=D196</t>
  </si>
  <si>
    <t>="100-5110-00 - Overtime Pay - Administration"</t>
  </si>
  <si>
    <t>=D197</t>
  </si>
  <si>
    <t>="100-5120-00 - Bonuses - Administration"</t>
  </si>
  <si>
    <t>=D198</t>
  </si>
  <si>
    <t>="100-5140-00 - Profit Sharing - Administration"</t>
  </si>
  <si>
    <t>=D199</t>
  </si>
  <si>
    <t>="200-5100-00 - Salaries and Wages - Accounting"</t>
  </si>
  <si>
    <t>=D200</t>
  </si>
  <si>
    <t>="200-5110-00 - Overtime Pay - Accounting"</t>
  </si>
  <si>
    <t>=D201</t>
  </si>
  <si>
    <t>="200-5120-00 - Bonuses - Accounting"</t>
  </si>
  <si>
    <t>=D202</t>
  </si>
  <si>
    <t>="200-5140-00 - Profit Sharing - Accounting"</t>
  </si>
  <si>
    <t>=D203</t>
  </si>
  <si>
    <t>="300-5100-00 - Salaries and Wages - Sales"</t>
  </si>
  <si>
    <t>=D204</t>
  </si>
  <si>
    <t>="300-5110-00 - Overtime Pay - Sales"</t>
  </si>
  <si>
    <t>=D205</t>
  </si>
  <si>
    <t>="300-5120-00 - Bonuses - Sales"</t>
  </si>
  <si>
    <t>=D206</t>
  </si>
  <si>
    <t>="300-5130-00 - Commissions - Sales"</t>
  </si>
  <si>
    <t>=D207</t>
  </si>
  <si>
    <t>="300-5140-00 - Profit Sharing - Sales"</t>
  </si>
  <si>
    <t>=D208</t>
  </si>
  <si>
    <t>="400-5100-00 - Salaries and Wages - Service/Installation US"</t>
  </si>
  <si>
    <t>=D209</t>
  </si>
  <si>
    <t>="400-5101-00 - Salaries and Wages - Service/Installation Canada"</t>
  </si>
  <si>
    <t>=D210</t>
  </si>
  <si>
    <t>="400-5110-00 - Overtime Pay - Service/Installation US"</t>
  </si>
  <si>
    <t>=D211</t>
  </si>
  <si>
    <t>="400-5111-00 - Overtime Pay - Service/Installation Canada"</t>
  </si>
  <si>
    <t>=D212</t>
  </si>
  <si>
    <t>="400-5120-00 - Bonuses - Services/Installation US"</t>
  </si>
  <si>
    <t>=D213</t>
  </si>
  <si>
    <t>="400-5121-00 - Bonuses - Services/Installation Canada"</t>
  </si>
  <si>
    <t>=D214</t>
  </si>
  <si>
    <t>="400-5130-00 - Commissions - Service/Installation US"</t>
  </si>
  <si>
    <t>=D215</t>
  </si>
  <si>
    <t>="400-5131-00 - Commissions - Service/Installation Canada"</t>
  </si>
  <si>
    <t>=D216</t>
  </si>
  <si>
    <t>="400-5140-00 - Profit Sharing - Service/Installation US"</t>
  </si>
  <si>
    <t>=D217</t>
  </si>
  <si>
    <t>="400-5141-00 - Profit Sharing - Service/Installation Canada"</t>
  </si>
  <si>
    <t>=D218</t>
  </si>
  <si>
    <t>="500-5100-00 - Salaries and Wages - Consulting/Training US"</t>
  </si>
  <si>
    <t>=D219</t>
  </si>
  <si>
    <t>="500-5101-00 - Salaries and Wages - Consulting/Training Canada"</t>
  </si>
  <si>
    <t>=D220</t>
  </si>
  <si>
    <t>="500-5110-00 - Overtime Pay - Consulting/Training US"</t>
  </si>
  <si>
    <t>=D221</t>
  </si>
  <si>
    <t>="500-5111-00 - Overtime Pay - Consulting/Training Canada"</t>
  </si>
  <si>
    <t>=D222</t>
  </si>
  <si>
    <t>="500-5120-00 - Bonuses - Consulting/Training US"</t>
  </si>
  <si>
    <t>=D223</t>
  </si>
  <si>
    <t>="500-5121-00 - Bonuses - Consulting/Training Canada"</t>
  </si>
  <si>
    <t>=D224</t>
  </si>
  <si>
    <t>="500-5130-00 - Commissions - Consulting/Training US"</t>
  </si>
  <si>
    <t>=D225</t>
  </si>
  <si>
    <t>="500-5131-00 - Commissions - Consulting/Training Canada"</t>
  </si>
  <si>
    <t>=D226</t>
  </si>
  <si>
    <t>="500-5140-00 - Profit Sharing - Consulting/Training US"</t>
  </si>
  <si>
    <t>=D227</t>
  </si>
  <si>
    <t>="500-5141-00 - Profit Sharing - Consulting/Training Canada"</t>
  </si>
  <si>
    <t>=D228</t>
  </si>
  <si>
    <t>="600-5100-00 - Salaries and Wages - Purchasing/Receiving"</t>
  </si>
  <si>
    <t>=D229</t>
  </si>
  <si>
    <t>="600-5110-00 - Overtime Pay - Purchasing/Receiving"</t>
  </si>
  <si>
    <t>=D230</t>
  </si>
  <si>
    <t>="600-5120-00 - Bonuses - Purchasing/Receiving"</t>
  </si>
  <si>
    <t>=D231</t>
  </si>
  <si>
    <t>="600-5140-00 - Profit Sharing - Purchasing/Receiving"</t>
  </si>
  <si>
    <t>="Total "&amp;E194</t>
  </si>
  <si>
    <t>=E235</t>
  </si>
  <si>
    <t>=D235</t>
  </si>
  <si>
    <t>=D236</t>
  </si>
  <si>
    <t>="100-5160-00 - Health Insurance Expense - Administration"</t>
  </si>
  <si>
    <t>=D237</t>
  </si>
  <si>
    <t>="100-6100-00 - Training - Administration"</t>
  </si>
  <si>
    <t>=D238</t>
  </si>
  <si>
    <t>="200-5150-00 - Employee Benefits - Accounting"</t>
  </si>
  <si>
    <t>=D239</t>
  </si>
  <si>
    <t>="200-5160-00 - Health Insurance Expense - Accounting"</t>
  </si>
  <si>
    <t>=D240</t>
  </si>
  <si>
    <t>="200-6100-00 - Training - Accounting"</t>
  </si>
  <si>
    <t>=D241</t>
  </si>
  <si>
    <t>="300-5150-00 - Employee Benefits - Sales"</t>
  </si>
  <si>
    <t>=D242</t>
  </si>
  <si>
    <t>="300-5160-00 - Health Insurance Expense - Sales"</t>
  </si>
  <si>
    <t>=D243</t>
  </si>
  <si>
    <t>="300-6100-00 - Training - Sales"</t>
  </si>
  <si>
    <t>=D244</t>
  </si>
  <si>
    <t>="400-5150-00 - Employee Benefits - Service/Installation"</t>
  </si>
  <si>
    <t>=D245</t>
  </si>
  <si>
    <t>="400-5160-00 - Health Insurance Expense - Service/Installation"</t>
  </si>
  <si>
    <t>=D246</t>
  </si>
  <si>
    <t>="400-6100-00 - Training - Service/installation"</t>
  </si>
  <si>
    <t>=D247</t>
  </si>
  <si>
    <t>="500-5150-00 - Employee Benefits - Consulting/Training"</t>
  </si>
  <si>
    <t>=D248</t>
  </si>
  <si>
    <t>="500-5160-00 - Health Insurance Expense - Consulting/Training"</t>
  </si>
  <si>
    <t>=D249</t>
  </si>
  <si>
    <t>="500-6100-00 - Training - Consulting/Training"</t>
  </si>
  <si>
    <t>=D250</t>
  </si>
  <si>
    <t>="600-5150-00 - Employee Benefits - Purchasing/Receiving"</t>
  </si>
  <si>
    <t>=D251</t>
  </si>
  <si>
    <t>="600-5160-00 - Health Insurance Expense - Purchasing/Receiving"</t>
  </si>
  <si>
    <t>=D252</t>
  </si>
  <si>
    <t>="600-6100-00 - Training - Purchasing/Receiving"</t>
  </si>
  <si>
    <t>="Total "&amp;E235</t>
  </si>
  <si>
    <t>=E260</t>
  </si>
  <si>
    <t>=D260</t>
  </si>
  <si>
    <t>=D261</t>
  </si>
  <si>
    <t>="000-5210-00 - QPP Expense"</t>
  </si>
  <si>
    <t>=D262</t>
  </si>
  <si>
    <t>="000-5220-00 - UIC Expense"</t>
  </si>
  <si>
    <t>=D263</t>
  </si>
  <si>
    <t>="000-5300-00 - SUTA Tax Expense"</t>
  </si>
  <si>
    <t>=D264</t>
  </si>
  <si>
    <t>="000-5400-00 - FUTA Tax Expense"</t>
  </si>
  <si>
    <t>=D265</t>
  </si>
  <si>
    <t>="000-5500-00 - Workers Compensation Tax Expense"</t>
  </si>
  <si>
    <t>=D266</t>
  </si>
  <si>
    <t>="000-6630-00 - IL State Sales Tax Expense"</t>
  </si>
  <si>
    <t>=D267</t>
  </si>
  <si>
    <t>="000-6635-00 - Import Tax Expense"</t>
  </si>
  <si>
    <t>=D268</t>
  </si>
  <si>
    <t>="000-6640-00 - Chicago City Sales Tax Expense"</t>
  </si>
  <si>
    <t>=D269</t>
  </si>
  <si>
    <t>="000-6650-00 - Australia Sales Tax Expense"</t>
  </si>
  <si>
    <t>=D270</t>
  </si>
  <si>
    <t>="000-6651-00 - PST Expense"</t>
  </si>
  <si>
    <t>=D271</t>
  </si>
  <si>
    <t>="000-6652-00 - PPS Expense"</t>
  </si>
  <si>
    <t>=D272</t>
  </si>
  <si>
    <t>="000-6660-00 - PST Expense"</t>
  </si>
  <si>
    <t>=D273</t>
  </si>
  <si>
    <t>="000-6661-00 - QST Expense"</t>
  </si>
  <si>
    <t>=D274</t>
  </si>
  <si>
    <t>="000-8100-00 - Federal Income Taxes"</t>
  </si>
  <si>
    <t>=D275</t>
  </si>
  <si>
    <t>="000-8110-00 - State Income Taxes"</t>
  </si>
  <si>
    <t>=D276</t>
  </si>
  <si>
    <t>="100-5170-00 - Payroll Taxes - Administration"</t>
  </si>
  <si>
    <t>=D277</t>
  </si>
  <si>
    <t>="200-5170-00 - Payroll Taxes - Accounting"</t>
  </si>
  <si>
    <t>=D278</t>
  </si>
  <si>
    <t>="300-5170-00 - Payroll Taxes - Sales"</t>
  </si>
  <si>
    <t>=D279</t>
  </si>
  <si>
    <t>="400-5170-00 - Payroll Taxes - Service/Installation"</t>
  </si>
  <si>
    <t>=D280</t>
  </si>
  <si>
    <t>="500-5170-00 - Payroll Taxes - Consulting/Training"</t>
  </si>
  <si>
    <t>=D281</t>
  </si>
  <si>
    <t>="600-5170-00 - Payroll Taxes - Purchasing/Receiving"</t>
  </si>
  <si>
    <t>="Total "&amp;E260</t>
  </si>
  <si>
    <t>=E285</t>
  </si>
  <si>
    <t>=D285</t>
  </si>
  <si>
    <t>=D286</t>
  </si>
  <si>
    <t>="000-6210-00 - Depreciation Expense - Computer Equipment"</t>
  </si>
  <si>
    <t>=D287</t>
  </si>
  <si>
    <t>="000-6220-00 - Depreciation Expense - Machinery &amp; Equipment"</t>
  </si>
  <si>
    <t>=D288</t>
  </si>
  <si>
    <t>="000-6230-00 - Depreciation Expense - Fleet Vehicles"</t>
  </si>
  <si>
    <t>="Total "&amp;E285</t>
  </si>
  <si>
    <t>=E292</t>
  </si>
  <si>
    <t>=D292</t>
  </si>
  <si>
    <t>=D293</t>
  </si>
  <si>
    <t>="000-4740-00 - Assembly Variance"</t>
  </si>
  <si>
    <t>=D294</t>
  </si>
  <si>
    <t>="000-5615-00 - Floor Stock Expense"</t>
  </si>
  <si>
    <t>=D295</t>
  </si>
  <si>
    <t>="000-5700-00 - Non-Inventoried Purchase Item"</t>
  </si>
  <si>
    <t>=D296</t>
  </si>
  <si>
    <t>="000-6780-00 - Miscellaneous Expense"</t>
  </si>
  <si>
    <t>=D297</t>
  </si>
  <si>
    <t>="000-8010-00 - Finance Charge Expense"</t>
  </si>
  <si>
    <t>=D298</t>
  </si>
  <si>
    <t>="000-8020-00 - Interest Expense"</t>
  </si>
  <si>
    <t>=D299</t>
  </si>
  <si>
    <t>="000-8200-00 - Realized Loss on MC Transactions"</t>
  </si>
  <si>
    <t>=D300</t>
  </si>
  <si>
    <t>="000-8201-00 - Realized Loss on MC Transactions - Z - C$ - SELL"</t>
  </si>
  <si>
    <t>=D301</t>
  </si>
  <si>
    <t>="000-8202-00 - Realized Loss on MC Transactions - Z - C$ - BUY"</t>
  </si>
  <si>
    <t>=D302</t>
  </si>
  <si>
    <t>="000-8203-00 - Realized Loss on MC Transactions - Z - C$ - AVG"</t>
  </si>
  <si>
    <t>=D303</t>
  </si>
  <si>
    <t>="000-8300-00 - Unrealized Loss on MC Transactions"</t>
  </si>
  <si>
    <t>=D304</t>
  </si>
  <si>
    <t>="000-8301-00 - Unrealized Loss on MC Transactions - Canada"</t>
  </si>
  <si>
    <t>=D305</t>
  </si>
  <si>
    <t>="000-8302-00 - Unrealized Loss on MC Transactions - Australia"</t>
  </si>
  <si>
    <t>=D306</t>
  </si>
  <si>
    <t>="000-8303-00 - Unrealized Loss on MC Transactions - New Zealand"</t>
  </si>
  <si>
    <t>=D307</t>
  </si>
  <si>
    <t>="000-8304-00 - Unrealized Loss on MC Transactions - Germany"</t>
  </si>
  <si>
    <t>=D308</t>
  </si>
  <si>
    <t>="000-8305-00 - Unrealized Loss on MC Transactions - United Kingdo"</t>
  </si>
  <si>
    <t>=D309</t>
  </si>
  <si>
    <t>="000-8306-00 - Unrealized Loss on MC Transactions - South Africa"</t>
  </si>
  <si>
    <t>=D310</t>
  </si>
  <si>
    <t>="000-8307-00 - Unrealized Loss on MC Transactions - Singapore"</t>
  </si>
  <si>
    <t>="Total "&amp;E292</t>
  </si>
  <si>
    <t>=E315</t>
  </si>
  <si>
    <t>=D315</t>
  </si>
  <si>
    <t>=D316</t>
  </si>
  <si>
    <t>="000-7020-00 - Interest Income"</t>
  </si>
  <si>
    <t>=D317</t>
  </si>
  <si>
    <t>="000-7040-00 - Miscellaneous Income"</t>
  </si>
  <si>
    <t>=D318</t>
  </si>
  <si>
    <t>="000-7041-00 - Freight Income"</t>
  </si>
  <si>
    <t>=D319</t>
  </si>
  <si>
    <t>="000-7100-00 - Realized Gain on MC Transactions"</t>
  </si>
  <si>
    <t>=D320</t>
  </si>
  <si>
    <t>="000-7101-00 - Realized Gain on MC Transactions - Z - C$ - SELL"</t>
  </si>
  <si>
    <t>=D321</t>
  </si>
  <si>
    <t>="000-7102-00 - Realized Gain on MC Transactions - Z - C$ - BUY"</t>
  </si>
  <si>
    <t>=D322</t>
  </si>
  <si>
    <t>="000-7103-00 - Realized Gain on MC Transactions - Z - C$ - AVG"</t>
  </si>
  <si>
    <t>=D323</t>
  </si>
  <si>
    <t>="000-7200-00 - Unrealized Gain on MC Transactions"</t>
  </si>
  <si>
    <t>=D324</t>
  </si>
  <si>
    <t>="000-7201-00 - Unrealized Gain on MC Transactions-Canada"</t>
  </si>
  <si>
    <t>=D325</t>
  </si>
  <si>
    <t>="000-7202-00 - Unrealized Gain on MC Transactions - Australia"</t>
  </si>
  <si>
    <t>=D326</t>
  </si>
  <si>
    <t>="000-7203-00 - Unrealized Gain on MC Transactions - New Zealand"</t>
  </si>
  <si>
    <t>=D327</t>
  </si>
  <si>
    <t>="000-7204-00 - Unrealized Gain on MC Transactions - Germany"</t>
  </si>
  <si>
    <t>=D328</t>
  </si>
  <si>
    <t>="000-7205-00 - Unrealized Gain on MC Transactions - United Kingdo"</t>
  </si>
  <si>
    <t>=D329</t>
  </si>
  <si>
    <t>="000-7206-00 - Unrealized Gain on MC Transactions - South Africa"</t>
  </si>
  <si>
    <t>=D330</t>
  </si>
  <si>
    <t>="000-7207-00 - Unrealized Gain on MC Transactions - Singapore"</t>
  </si>
  <si>
    <t>=D331</t>
  </si>
  <si>
    <t>="000-7300-00 - Rounding Writeoff due to MC Trx"</t>
  </si>
  <si>
    <t>=D332</t>
  </si>
  <si>
    <t>="000-7301-00 - Rounding Writeoff - Canada"</t>
  </si>
  <si>
    <t>=D333</t>
  </si>
  <si>
    <t>="000-7302-00 - Rounding Writeoff - Australia"</t>
  </si>
  <si>
    <t>=D334</t>
  </si>
  <si>
    <t>="000-7303-00 - Rounding Writeoff - New Zealand"</t>
  </si>
  <si>
    <t>=D335</t>
  </si>
  <si>
    <t>="000-7304-00 - Rounding Writeoff - Germany"</t>
  </si>
  <si>
    <t>=D336</t>
  </si>
  <si>
    <t>="000-7305-00 - Rounding Writeoff - United Kingdom"</t>
  </si>
  <si>
    <t>=D337</t>
  </si>
  <si>
    <t>="000-7306-00 - Rounding Writeoff - South Africa"</t>
  </si>
  <si>
    <t>=D338</t>
  </si>
  <si>
    <t>="000-7307-00 - Rounding Writeoff - Singapore"</t>
  </si>
  <si>
    <t>=D339</t>
  </si>
  <si>
    <t>="000-7400-00 - Rounding Difference due to MC Trx"</t>
  </si>
  <si>
    <t>=D340</t>
  </si>
  <si>
    <t>="000-7401-00 - Rounding Difference - Canada"</t>
  </si>
  <si>
    <t>=D341</t>
  </si>
  <si>
    <t>="000-7402-00 - Rounding Difference - Australia"</t>
  </si>
  <si>
    <t>=D342</t>
  </si>
  <si>
    <t>="000-7403-00 - Rounding Difference - New Zealand"</t>
  </si>
  <si>
    <t>=D343</t>
  </si>
  <si>
    <t>="000-7404-00 - Rounding Difference - Germany"</t>
  </si>
  <si>
    <t>=D344</t>
  </si>
  <si>
    <t>="000-7405-00 - Rounding Difference - United Kingdom"</t>
  </si>
  <si>
    <t>=D345</t>
  </si>
  <si>
    <t>="000-7406-00 - Rounding Difference - South Africa"</t>
  </si>
  <si>
    <t>=D346</t>
  </si>
  <si>
    <t>="000-7407-00 - Rounding Difference - Singapore"</t>
  </si>
  <si>
    <t>=D347</t>
  </si>
  <si>
    <t>="000-8030-00 - Gain or Loss on Sale of Assets"</t>
  </si>
  <si>
    <t>=D348</t>
  </si>
  <si>
    <t>="000-8610-00 - Project Deferred Revenue"</t>
  </si>
  <si>
    <t>="Total "&amp;E315</t>
  </si>
  <si>
    <t>=E353</t>
  </si>
  <si>
    <t>=D353</t>
  </si>
  <si>
    <t>=D354</t>
  </si>
  <si>
    <t>="Total "&amp;E353</t>
  </si>
  <si>
    <t>=H10+H14+H18+H22</t>
  </si>
  <si>
    <t>=H29+H33+H37</t>
  </si>
  <si>
    <t>=H25+H39</t>
  </si>
  <si>
    <t>=H45+H49+H53+H58+H63</t>
  </si>
  <si>
    <t>=H41+H66</t>
  </si>
  <si>
    <t>=H53+H65+H85+H89</t>
  </si>
  <si>
    <t>=I53+I65+I85+I89</t>
  </si>
  <si>
    <t>=J53+J65+J85+J89</t>
  </si>
  <si>
    <t>=H192+H233+H254</t>
  </si>
  <si>
    <t>=I192+I233+I254</t>
  </si>
  <si>
    <t>=J192+J233+J254</t>
  </si>
  <si>
    <t>=H92+H256</t>
  </si>
  <si>
    <t>=I92+I256</t>
  </si>
  <si>
    <t>=J92+J256</t>
  </si>
  <si>
    <t>=H283+H290+H312+H350+H355</t>
  </si>
  <si>
    <t>=I283+I290+I312+I350+I355</t>
  </si>
  <si>
    <t>=J283+J290+J312+J350+J355</t>
  </si>
  <si>
    <t>=H258+H358</t>
  </si>
  <si>
    <t>=I258+I358</t>
  </si>
  <si>
    <t>=J258+J358</t>
  </si>
  <si>
    <t>Datasource:</t>
  </si>
  <si>
    <t>=NL("Lookup",NP("Datasources"),"Select the datasource to report from:")</t>
  </si>
  <si>
    <t>=NL("First","Finance","[Transaction Date].[Date YQMD].[Month]","[Transaction Date].[Date YQMD].[Day]",H5,"DataSource=",Datasource)</t>
  </si>
  <si>
    <t>=NL("First","Finance","[Transaction Date].[Date YQMD].[Month]","[Transaction Date].[Date YQMD].[Day]",I5,"DataSource=",Datasource)</t>
  </si>
  <si>
    <t>=NL("First","Finance","[Transaction Date].[Date YQMD].[Month]","[Transaction Date].[Date YQMD].[Day]",J5,"DataSource=",Datasource)</t>
  </si>
  <si>
    <t>Auto+Hide</t>
  </si>
  <si>
    <t>Prerequisites for running this report:</t>
  </si>
  <si>
    <t>Before running this report</t>
  </si>
  <si>
    <t>Modifying your report</t>
  </si>
  <si>
    <t>DISCLAIMER</t>
  </si>
  <si>
    <t>Services</t>
  </si>
  <si>
    <t>Training</t>
  </si>
  <si>
    <t>Copyrights</t>
  </si>
  <si>
    <t>Review</t>
  </si>
  <si>
    <t>=NL("First","Finance","[Account].[Account Category]","[Account].[Account Category]",C8,"DataSource=",Datasource)</t>
  </si>
  <si>
    <t>=NL("Rows","Finance","[Account].[by Account Category].[Account]","[Account].[Account Category]",$D9,"[Account].[Account Type]",PostingType,"DataSource=",Datasource)</t>
  </si>
  <si>
    <t>=NL("First","Finance","[Account].[Account Category]","[Account].[Account Category]",C12,"DataSource=",Datasource)</t>
  </si>
  <si>
    <t>=NL("Rows","Finance","[Account].[by Account Category].[Account]","[Account].[Account Category]",$D13,"[Account].[Account Type]",PostingType,"DataSource=",Datasource)</t>
  </si>
  <si>
    <t>=NL("First","Finance","[Account].[Account Category]","[Account].[Account Category]",C16,"DataSource=",Datasource)</t>
  </si>
  <si>
    <t>=NL("Rows","Finance","[Account].[by Account Category].[Account]","[Account].[Account Category]",$D17,"[Account].[Account Type]",PostingType,"DataSource=",Datasource)</t>
  </si>
  <si>
    <t>=NL("First","Finance","[Account].[Account Category]","[Account].[Account Category]",C20,"DataSource=",Datasource)</t>
  </si>
  <si>
    <t>=NL("Rows","Finance","[Account].[by Account Category].[Account]","[Account].[Account Category]",$D21,"[Account].[Account Type]",PostingType,"DataSource=",Datasource)</t>
  </si>
  <si>
    <t>=NL("First","Finance","[Account].[Account Category]","[Account].[Account Category]",C27,"DataSource=",Datasource)</t>
  </si>
  <si>
    <t>=NL("Rows","Finance","[Account].[by Account Category].[Account]","[Account].[Account Category]",$D28,"[Account].[Account Type]",PostingType,"DataSource=",Datasource)</t>
  </si>
  <si>
    <t>=NL("First","Finance","[Account].[Account Category]","[Account].[Account Category]",C31,"DataSource=",Datasource)</t>
  </si>
  <si>
    <t>=NL("Rows","Finance","[Account].[by Account Category].[Account]","[Account].[Account Category]",$D32,"[Account].[Account Type]",PostingType,"DataSource=",Datasource)</t>
  </si>
  <si>
    <t>=NL("First","Finance","[Account].[Account Category]","[Account].[Account Category]",C35,"DataSource=",Datasource)</t>
  </si>
  <si>
    <t>=NL("Rows","Finance","[Account].[by Account Category].[Account]","[Account].[Account Category]",$D36,"[Account].[Account Type]",PostingType,"DataSource=",Datasource)</t>
  </si>
  <si>
    <t>=NL("First","Finance","[Account].[Account Category]","[Account].[Account Category]",C43,"DataSource=",Datasource)</t>
  </si>
  <si>
    <t>=NL("Rows","Finance","[Account].[by Account Category].[Account]","[Account].[Account Category]",$D44,"[Account].[Account Type]",PostingType,"DataSource=",Datasource)</t>
  </si>
  <si>
    <t>=NL("First","Finance","[Account].[Account Category]","[Account].[Account Category]",C47,"DataSource=",Datasource)</t>
  </si>
  <si>
    <t>=NL("Rows","Finance","[Account].[by Account Category].[Account]","[Account].[Account Category]",$D48,"[Account].[Account Type]",PostingType,"DataSource=",Datasource)</t>
  </si>
  <si>
    <t>=NL("First","Finance","[Account].[Account Category]","[Account].[Account Category]",C51,"DataSource=",Datasource)</t>
  </si>
  <si>
    <t>=NL("Rows","Finance","[Account].[by Account Category].[Account]","[Account].[Account Category]",$D52,"[Account].[Account Type]",PostingType,"DataSource=",Datasource)</t>
  </si>
  <si>
    <t>=NL("First","Finance","[Account].[Account Category]","[Account].[Account Category]",C56,"DataSource=",Datasource)</t>
  </si>
  <si>
    <t>=NL("Rows","Finance","[Account].[by Account Category].[Account]","[Account].[Account Category]",$D57,"[Account].[Account Type]",PostingType,"DataSource=",Datasource)</t>
  </si>
  <si>
    <t>=NL("First","Finance","[Account].[Account Category]","[Account].[Account Category]",C61,"DataSource=",Datasource)</t>
  </si>
  <si>
    <t>=NL("Rows","Finance","[Account].[by Account Category].[Account]","[Account].[Account Category]",$D62,"[Account].[Account Type]",PostingType,"DataSource=",Datasource)</t>
  </si>
  <si>
    <t>=NL("First","Finance","[Account].[Account Category]","[Account].[Account Category]",C55,"DataSource=",Datasource)</t>
  </si>
  <si>
    <t>=NL("Rows","Finance","[Account].[by Account Category].[Account]","[Account].[Account Category]",$D56,"[Account].[Account Type]",PostingType,"DataSource=",Datasource)</t>
  </si>
  <si>
    <t>=NL("First","Finance","[Account].[Account Category]","[Account].[Account Category]",C67,"DataSource=",Datasource)</t>
  </si>
  <si>
    <t>=NL("Rows","Finance","[Account].[by Account Category].[Account]","[Account].[Account Category]",$D68,"[Account].[Account Type]",PostingType,"DataSource=",Datasource)</t>
  </si>
  <si>
    <t>=NL("First","Finance","[Account].[Account Category]","[Account].[Account Category]",C87,"DataSource=",Datasource)</t>
  </si>
  <si>
    <t>=NL("Rows","Finance","[Account].[by Account Category].[Account]","[Account].[Account Category]",$D88,"[Account].[Account Type]",PostingType,"DataSource=",Datasource)</t>
  </si>
  <si>
    <t>=NL("First","Finance","[Account].[Account Category]","[Account].[Account Category]",C94,"DataSource=",Datasource)</t>
  </si>
  <si>
    <t>=NL("Rows","Finance","[Account].[by Account Category].[Account]","[Account].[Account Category]",$D95,"[Account].[Account Type]",PostingType,"DataSource=",Datasource)</t>
  </si>
  <si>
    <t>=NL("First","Finance","[Account].[Account Category]","[Account].[Account Category]",C194,"DataSource=",Datasource)</t>
  </si>
  <si>
    <t>=NL("Rows","Finance","[Account].[by Account Category].[Account]","[Account].[Account Category]",$D195,"[Account].[Account Type]",PostingType,"DataSource=",Datasource)</t>
  </si>
  <si>
    <t>=NL("First","Finance","[Account].[Account Category]","[Account].[Account Category]",C235,"DataSource=",Datasource)</t>
  </si>
  <si>
    <t>=NL("Rows","Finance","[Account].[by Account Category].[Account]","[Account].[Account Category]",$D236,"[Account].[Account Type]",PostingType,"DataSource=",Datasource)</t>
  </si>
  <si>
    <t>=NL("First","Finance","[Account].[Account Category]","[Account].[Account Category]",C260,"DataSource=",Datasource)</t>
  </si>
  <si>
    <t>=NL("Rows","Finance","[Account].[by Account Category].[Account]","[Account].[Account Category]",$D261,"[Account].[Account Type]",PostingType,"DataSource=",Datasource)</t>
  </si>
  <si>
    <t>=NL("First","Finance","[Account].[Account Category]","[Account].[Account Category]",C285,"DataSource=",Datasource)</t>
  </si>
  <si>
    <t>=NL("Rows","Finance","[Account].[by Account Category].[Account]","[Account].[Account Category]",$D286,"[Account].[Account Type]",PostingType,"DataSource=",Datasource)</t>
  </si>
  <si>
    <t>=NL("First","Finance","[Account].[Account Category]","[Account].[Account Category]",C292,"DataSource=",Datasource)</t>
  </si>
  <si>
    <t>=NL("Rows","Finance","[Account].[by Account Category].[Account]","[Account].[Account Category]",$D293,"[Account].[Account Type]",PostingType,"DataSource=",Datasource)</t>
  </si>
  <si>
    <t>=NL("First","Finance","[Account].[Account Category]","[Account].[Account Category]",C315,"DataSource=",Datasource)</t>
  </si>
  <si>
    <t>=NL("Rows","Finance","[Account].[by Account Category].[Account]","[Account].[Account Category]",$D316,"[Account].[Account Type]",PostingType,"DataSource=",Datasource)</t>
  </si>
  <si>
    <t>=NL("First","Finance","[Account].[Account Category]","[Account].[Account Category]",C353,"DataSource=",Datasource)</t>
  </si>
  <si>
    <t>=NL("Rows","Finance","[Account].[by Account Category].[Account]","[Account].[Account Category]",$D354,"[Account].[Account Type]",PostingType,"DataSource=",Datasource)</t>
  </si>
  <si>
    <t>=-NL("CubeValue","Finance","[Measures].[Net Change]","[Transaction Date].[Date YQMD].[Month]",H$7,"[Account].[by Account Category].[Account]","@@"&amp;$F9,"DataSource=",Datasource)</t>
  </si>
  <si>
    <t>=-NL("CubeValue","Finance","[Measures].[Net Change]","[Transaction Date].[Date YQMD].[Month]",H$7,"[Account].[Account Category]",$D10,"DataSource=",Datasource)</t>
  </si>
  <si>
    <t>=-NL("CubeValue","Finance","[Measures].[Net Change]","[Transaction Date].[Date YQMD].[Month]",H$7,"[Account].[by Account Category].[Account]","@@"&amp;$F13,"DataSource=",Datasource)</t>
  </si>
  <si>
    <t>=-NL("CubeValue","Finance","[Measures].[Net Change]","[Transaction Date].[Date YQMD].[Month]",H$7,"[Account].[Account Category]",$D14,"DataSource=",Datasource)</t>
  </si>
  <si>
    <t>=-NL("CubeValue","Finance","[Measures].[Net Change]","[Transaction Date].[Date YQMD].[Month]",H$7,"[Account].[by Account Category].[Account]","@@"&amp;$F17,"DataSource=",Datasource)</t>
  </si>
  <si>
    <t>=-NL("CubeValue","Finance","[Measures].[Net Change]","[Transaction Date].[Date YQMD].[Month]",H$7,"[Account].[Account Category]",$D18,"DataSource=",Datasource)</t>
  </si>
  <si>
    <t>=-NL("CubeValue","Finance","[Measures].[Net Change]","[Transaction Date].[Date YQMD].[Month]",H$7,"[Account].[by Account Category].[Account]","@@"&amp;$F21,"DataSource=",Datasource)</t>
  </si>
  <si>
    <t>=-NL("CubeValue","Finance","[Measures].[Net Change]","[Transaction Date].[Date YQMD].[Month]",H$7,"[Account].[Account Category]",$D22,"DataSource=",Datasource)</t>
  </si>
  <si>
    <t>=-NL("CubeValue","Finance","[Measures].[Net Change]","[Transaction Date].[Date YQMD].[Month]",H$7,"[Account].[by Account Category].[Account]","@@"&amp;$F28,"DataSource=",Datasource)</t>
  </si>
  <si>
    <t>=-NL("CubeValue","Finance","[Measures].[Net Change]","[Transaction Date].[Date YQMD].[Month]",H$7,"[Account].[Account Category]",$D29,"DataSource=",Datasource)</t>
  </si>
  <si>
    <t>=-NL("CubeValue","Finance","[Measures].[Net Change]","[Transaction Date].[Date YQMD].[Month]",H$7,"[Account].[by Account Category].[Account]","@@"&amp;$F32,"DataSource=",Datasource)</t>
  </si>
  <si>
    <t>=-NL("CubeValue","Finance","[Measures].[Net Change]","[Transaction Date].[Date YQMD].[Month]",H$7,"[Account].[Account Category]",$D33,"DataSource=",Datasource)</t>
  </si>
  <si>
    <t>=-NL("CubeValue","Finance","[Measures].[Net Change]","[Transaction Date].[Date YQMD].[Month]",H$7,"[Account].[by Account Category].[Account]","@@"&amp;$F36,"DataSource=",Datasource)</t>
  </si>
  <si>
    <t>=-NL("CubeValue","Finance","[Measures].[Net Change]","[Transaction Date].[Date YQMD].[Month]",H$7,"[Account].[Account Category]",$D37,"DataSource=",Datasource)</t>
  </si>
  <si>
    <t>=-NL("CubeValue","Finance","[Measures].[Net Change]","[Transaction Date].[Date YQMD].[Month]",H$7,"[Account].[by Account Category].[Account]","@@"&amp;$F44,"DataSource=",Datasource)</t>
  </si>
  <si>
    <t>=-NL("CubeValue","Finance","[Measures].[Net Change]","[Transaction Date].[Date YQMD].[Month]",H$7,"[Account].[Account Category]",$D45,"DataSource=",Datasource)</t>
  </si>
  <si>
    <t>=-NL("CubeValue","Finance","[Measures].[Net Change]","[Transaction Date].[Date YQMD].[Month]",H$7,"[Account].[by Account Category].[Account]","@@"&amp;$F48,"DataSource=",Datasource)</t>
  </si>
  <si>
    <t>=-NL("CubeValue","Finance","[Measures].[Net Change]","[Transaction Date].[Date YQMD].[Month]",H$7,"[Account].[Account Category]",$D49,"DataSource=",Datasource)</t>
  </si>
  <si>
    <t>=-NL("CubeValue","Finance","[Measures].[Net Change]","[Transaction Date].[Date YQMD].[Month]",H$7,"[Account].[by Account Category].[Account]","@@"&amp;$F52,"DataSource=",Datasource)</t>
  </si>
  <si>
    <t>=-NL("CubeValue","Finance","[Measures].[Net Change]","[Transaction Date].[Date YQMD].[Month]",H$7,"[Account].[Account Category]",$D53,"DataSource=",Datasource)</t>
  </si>
  <si>
    <t>=-NL("CubeValue","Finance","[Measures].[Net Change]","[Transaction Date].[Date YQMD].[Month]",H$7,"[Account].[by Account Category].[Account]","@@"&amp;$F57,"DataSource=",Datasource)</t>
  </si>
  <si>
    <t>=-NL("CubeValue","Finance","[Measures].[Net Change]","[Transaction Date].[Date YQMD].[Month]",H$7,"[Account].[Account Category]",$D58,"DataSource=",Datasource)</t>
  </si>
  <si>
    <t>=-NL("CubeValue","Finance","[Measures].[Net Change]","[Transaction Date].[Date YQMD].[Month]",H$7,"[Account].[by Account Category].[Account]","@@"&amp;$F62,"DataSource=",Datasource)</t>
  </si>
  <si>
    <t>=-NL("CubeValue","Finance","[Measures].[Net Change]","[Transaction Date].[Date YQMD].[Month]",H$7,"[Account].[Account Category]",$D63,"DataSource=",Datasource)</t>
  </si>
  <si>
    <t>=-NL("CubeValue","Finance","[Measures].[Net Change]","[Transaction Date].[Date YQMD].[Month]",I$7,"[Account].[by Account Category].[Account]","@@"&amp;$F9,"DataSource=",Datasource)</t>
  </si>
  <si>
    <t>=-NL("CubeValue","Finance","[Measures].[Net Change]","[Transaction Date].[Date YQMD].[Month]",J$7,"[Account].[by Account Category].[Account]","@@"&amp;$F9,"DataSource=",Datasource)</t>
  </si>
  <si>
    <t>=-NL("CubeValue","Finance","[Measures].[Net Change]","[Transaction Date].[Date YQMD].[Month]",H$7,"[Account].[by Account Category].[Account]","@@"&amp;$F10,"DataSource=",Datasource)</t>
  </si>
  <si>
    <t>=-NL("CubeValue","Finance","[Measures].[Net Change]","[Transaction Date].[Date YQMD].[Month]",I$7,"[Account].[by Account Category].[Account]","@@"&amp;$F10,"DataSource=",Datasource)</t>
  </si>
  <si>
    <t>=-NL("CubeValue","Finance","[Measures].[Net Change]","[Transaction Date].[Date YQMD].[Month]",J$7,"[Account].[by Account Category].[Account]","@@"&amp;$F10,"DataSource=",Datasource)</t>
  </si>
  <si>
    <t>=-NL("CubeValue","Finance","[Measures].[Net Change]","[Transaction Date].[Date YQMD].[Month]",H$7,"[Account].[by Account Category].[Account]","@@"&amp;$F11,"DataSource=",Datasource)</t>
  </si>
  <si>
    <t>=-NL("CubeValue","Finance","[Measures].[Net Change]","[Transaction Date].[Date YQMD].[Month]",I$7,"[Account].[by Account Category].[Account]","@@"&amp;$F11,"DataSource=",Datasource)</t>
  </si>
  <si>
    <t>=-NL("CubeValue","Finance","[Measures].[Net Change]","[Transaction Date].[Date YQMD].[Month]",J$7,"[Account].[by Account Category].[Account]","@@"&amp;$F11,"DataSource=",Datasource)</t>
  </si>
  <si>
    <t>=-NL("CubeValue","Finance","[Measures].[Net Change]","[Transaction Date].[Date YQMD].[Month]",H$7,"[Account].[by Account Category].[Account]","@@"&amp;$F12,"DataSource=",Datasource)</t>
  </si>
  <si>
    <t>=-NL("CubeValue","Finance","[Measures].[Net Change]","[Transaction Date].[Date YQMD].[Month]",I$7,"[Account].[by Account Category].[Account]","@@"&amp;$F12,"DataSource=",Datasource)</t>
  </si>
  <si>
    <t>=-NL("CubeValue","Finance","[Measures].[Net Change]","[Transaction Date].[Date YQMD].[Month]",J$7,"[Account].[by Account Category].[Account]","@@"&amp;$F12,"DataSource=",Datasource)</t>
  </si>
  <si>
    <t>=-NL("CubeValue","Finance","[Measures].[Net Change]","[Transaction Date].[Date YQMD].[Month]",I$7,"[Account].[by Account Category].[Account]","@@"&amp;$F13,"DataSource=",Datasource)</t>
  </si>
  <si>
    <t>=-NL("CubeValue","Finance","[Measures].[Net Change]","[Transaction Date].[Date YQMD].[Month]",J$7,"[Account].[by Account Category].[Account]","@@"&amp;$F13,"DataSource=",Datasource)</t>
  </si>
  <si>
    <t>=-NL("CubeValue","Finance","[Measures].[Net Change]","[Transaction Date].[Date YQMD].[Month]",H$7,"[Account].[by Account Category].[Account]","@@"&amp;$F14,"DataSource=",Datasource)</t>
  </si>
  <si>
    <t>=-NL("CubeValue","Finance","[Measures].[Net Change]","[Transaction Date].[Date YQMD].[Month]",I$7,"[Account].[by Account Category].[Account]","@@"&amp;$F14,"DataSource=",Datasource)</t>
  </si>
  <si>
    <t>=-NL("CubeValue","Finance","[Measures].[Net Change]","[Transaction Date].[Date YQMD].[Month]",J$7,"[Account].[by Account Category].[Account]","@@"&amp;$F14,"DataSource=",Datasource)</t>
  </si>
  <si>
    <t>=-NL("CubeValue","Finance","[Measures].[Net Change]","[Transaction Date].[Date YQMD].[Month]",H$7,"[Account].[by Account Category].[Account]","@@"&amp;$F15,"DataSource=",Datasource)</t>
  </si>
  <si>
    <t>=-NL("CubeValue","Finance","[Measures].[Net Change]","[Transaction Date].[Date YQMD].[Month]",I$7,"[Account].[by Account Category].[Account]","@@"&amp;$F15,"DataSource=",Datasource)</t>
  </si>
  <si>
    <t>=-NL("CubeValue","Finance","[Measures].[Net Change]","[Transaction Date].[Date YQMD].[Month]",J$7,"[Account].[by Account Category].[Account]","@@"&amp;$F15,"DataSource=",Datasource)</t>
  </si>
  <si>
    <t>=-NL("CubeValue","Finance","[Measures].[Net Change]","[Transaction Date].[Date YQMD].[Month]",H$7,"[Account].[by Account Category].[Account]","@@"&amp;$F16,"DataSource=",Datasource)</t>
  </si>
  <si>
    <t>=-NL("CubeValue","Finance","[Measures].[Net Change]","[Transaction Date].[Date YQMD].[Month]",I$7,"[Account].[by Account Category].[Account]","@@"&amp;$F16,"DataSource=",Datasource)</t>
  </si>
  <si>
    <t>=-NL("CubeValue","Finance","[Measures].[Net Change]","[Transaction Date].[Date YQMD].[Month]",J$7,"[Account].[by Account Category].[Account]","@@"&amp;$F16,"DataSource=",Datasource)</t>
  </si>
  <si>
    <t>=-NL("CubeValue","Finance","[Measures].[Net Change]","[Transaction Date].[Date YQMD].[Month]",I$7,"[Account].[by Account Category].[Account]","@@"&amp;$F17,"DataSource=",Datasource)</t>
  </si>
  <si>
    <t>=-NL("CubeValue","Finance","[Measures].[Net Change]","[Transaction Date].[Date YQMD].[Month]",J$7,"[Account].[by Account Category].[Account]","@@"&amp;$F17,"DataSource=",Datasource)</t>
  </si>
  <si>
    <t>=-NL("CubeValue","Finance","[Measures].[Net Change]","[Transaction Date].[Date YQMD].[Month]",H$7,"[Account].[by Account Category].[Account]","@@"&amp;$F18,"DataSource=",Datasource)</t>
  </si>
  <si>
    <t>=-NL("CubeValue","Finance","[Measures].[Net Change]","[Transaction Date].[Date YQMD].[Month]",I$7,"[Account].[by Account Category].[Account]","@@"&amp;$F18,"DataSource=",Datasource)</t>
  </si>
  <si>
    <t>=-NL("CubeValue","Finance","[Measures].[Net Change]","[Transaction Date].[Date YQMD].[Month]",J$7,"[Account].[by Account Category].[Account]","@@"&amp;$F18,"DataSource=",Datasource)</t>
  </si>
  <si>
    <t>=-NL("CubeValue","Finance","[Measures].[Net Change]","[Transaction Date].[Date YQMD].[Month]",H$7,"[Account].[by Account Category].[Account]","@@"&amp;$F19,"DataSource=",Datasource)</t>
  </si>
  <si>
    <t>=-NL("CubeValue","Finance","[Measures].[Net Change]","[Transaction Date].[Date YQMD].[Month]",I$7,"[Account].[by Account Category].[Account]","@@"&amp;$F19,"DataSource=",Datasource)</t>
  </si>
  <si>
    <t>=-NL("CubeValue","Finance","[Measures].[Net Change]","[Transaction Date].[Date YQMD].[Month]",J$7,"[Account].[by Account Category].[Account]","@@"&amp;$F19,"DataSource=",Datasource)</t>
  </si>
  <si>
    <t>=-NL("CubeValue","Finance","[Measures].[Net Change]","[Transaction Date].[Date YQMD].[Month]",H$7,"[Account].[by Account Category].[Account]","@@"&amp;$F20,"DataSource=",Datasource)</t>
  </si>
  <si>
    <t>=-NL("CubeValue","Finance","[Measures].[Net Change]","[Transaction Date].[Date YQMD].[Month]",I$7,"[Account].[by Account Category].[Account]","@@"&amp;$F20,"DataSource=",Datasource)</t>
  </si>
  <si>
    <t>=-NL("CubeValue","Finance","[Measures].[Net Change]","[Transaction Date].[Date YQMD].[Month]",J$7,"[Account].[by Account Category].[Account]","@@"&amp;$F20,"DataSource=",Datasource)</t>
  </si>
  <si>
    <t>=-NL("CubeValue","Finance","[Measures].[Net Change]","[Transaction Date].[Date YQMD].[Month]",I$7,"[Account].[by Account Category].[Account]","@@"&amp;$F21,"DataSource=",Datasource)</t>
  </si>
  <si>
    <t>=-NL("CubeValue","Finance","[Measures].[Net Change]","[Transaction Date].[Date YQMD].[Month]",J$7,"[Account].[by Account Category].[Account]","@@"&amp;$F21,"DataSource=",Datasource)</t>
  </si>
  <si>
    <t>=-NL("CubeValue","Finance","[Measures].[Net Change]","[Transaction Date].[Date YQMD].[Month]",H$7,"[Account].[by Account Category].[Account]","@@"&amp;$F22,"DataSource=",Datasource)</t>
  </si>
  <si>
    <t>=-NL("CubeValue","Finance","[Measures].[Net Change]","[Transaction Date].[Date YQMD].[Month]",I$7,"[Account].[by Account Category].[Account]","@@"&amp;$F22,"DataSource=",Datasource)</t>
  </si>
  <si>
    <t>=-NL("CubeValue","Finance","[Measures].[Net Change]","[Transaction Date].[Date YQMD].[Month]",J$7,"[Account].[by Account Category].[Account]","@@"&amp;$F22,"DataSource=",Datasource)</t>
  </si>
  <si>
    <t>=-NL("CubeValue","Finance","[Measures].[Net Change]","[Transaction Date].[Date YQMD].[Month]",H$7,"[Account].[by Account Category].[Account]","@@"&amp;$F23,"DataSource=",Datasource)</t>
  </si>
  <si>
    <t>=-NL("CubeValue","Finance","[Measures].[Net Change]","[Transaction Date].[Date YQMD].[Month]",I$7,"[Account].[by Account Category].[Account]","@@"&amp;$F23,"DataSource=",Datasource)</t>
  </si>
  <si>
    <t>=-NL("CubeValue","Finance","[Measures].[Net Change]","[Transaction Date].[Date YQMD].[Month]",J$7,"[Account].[by Account Category].[Account]","@@"&amp;$F23,"DataSource=",Datasource)</t>
  </si>
  <si>
    <t>=-NL("CubeValue","Finance","[Measures].[Net Change]","[Transaction Date].[Date YQMD].[Month]",H$7,"[Account].[by Account Category].[Account]","@@"&amp;$F24,"DataSource=",Datasource)</t>
  </si>
  <si>
    <t>=-NL("CubeValue","Finance","[Measures].[Net Change]","[Transaction Date].[Date YQMD].[Month]",I$7,"[Account].[by Account Category].[Account]","@@"&amp;$F24,"DataSource=",Datasource)</t>
  </si>
  <si>
    <t>=-NL("CubeValue","Finance","[Measures].[Net Change]","[Transaction Date].[Date YQMD].[Month]",J$7,"[Account].[by Account Category].[Account]","@@"&amp;$F24,"DataSource=",Datasource)</t>
  </si>
  <si>
    <t>=-NL("CubeValue","Finance","[Measures].[Net Change]","[Transaction Date].[Date YQMD].[Month]",H$7,"[Account].[by Account Category].[Account]","@@"&amp;$F25,"DataSource=",Datasource)</t>
  </si>
  <si>
    <t>=-NL("CubeValue","Finance","[Measures].[Net Change]","[Transaction Date].[Date YQMD].[Month]",I$7,"[Account].[by Account Category].[Account]","@@"&amp;$F25,"DataSource=",Datasource)</t>
  </si>
  <si>
    <t>=-NL("CubeValue","Finance","[Measures].[Net Change]","[Transaction Date].[Date YQMD].[Month]",J$7,"[Account].[by Account Category].[Account]","@@"&amp;$F25,"DataSource=",Datasource)</t>
  </si>
  <si>
    <t>=-NL("CubeValue","Finance","[Measures].[Net Change]","[Transaction Date].[Date YQMD].[Month]",H$7,"[Account].[by Account Category].[Account]","@@"&amp;$F26,"DataSource=",Datasource)</t>
  </si>
  <si>
    <t>=-NL("CubeValue","Finance","[Measures].[Net Change]","[Transaction Date].[Date YQMD].[Month]",I$7,"[Account].[by Account Category].[Account]","@@"&amp;$F26,"DataSource=",Datasource)</t>
  </si>
  <si>
    <t>=-NL("CubeValue","Finance","[Measures].[Net Change]","[Transaction Date].[Date YQMD].[Month]",J$7,"[Account].[by Account Category].[Account]","@@"&amp;$F26,"DataSource=",Datasource)</t>
  </si>
  <si>
    <t>=-NL("CubeValue","Finance","[Measures].[Net Change]","[Transaction Date].[Date YQMD].[Month]",H$7,"[Account].[by Account Category].[Account]","@@"&amp;$F27,"DataSource=",Datasource)</t>
  </si>
  <si>
    <t>=-NL("CubeValue","Finance","[Measures].[Net Change]","[Transaction Date].[Date YQMD].[Month]",I$7,"[Account].[by Account Category].[Account]","@@"&amp;$F27,"DataSource=",Datasource)</t>
  </si>
  <si>
    <t>=-NL("CubeValue","Finance","[Measures].[Net Change]","[Transaction Date].[Date YQMD].[Month]",J$7,"[Account].[by Account Category].[Account]","@@"&amp;$F27,"DataSource=",Datasource)</t>
  </si>
  <si>
    <t>=-NL("CubeValue","Finance","[Measures].[Net Change]","[Transaction Date].[Date YQMD].[Month]",I$7,"[Account].[by Account Category].[Account]","@@"&amp;$F28,"DataSource=",Datasource)</t>
  </si>
  <si>
    <t>=-NL("CubeValue","Finance","[Measures].[Net Change]","[Transaction Date].[Date YQMD].[Month]",J$7,"[Account].[by Account Category].[Account]","@@"&amp;$F28,"DataSource=",Datasource)</t>
  </si>
  <si>
    <t>=-NL("CubeValue","Finance","[Measures].[Net Change]","[Transaction Date].[Date YQMD].[Month]",H$7,"[Account].[by Account Category].[Account]","@@"&amp;$F29,"DataSource=",Datasource)</t>
  </si>
  <si>
    <t>=-NL("CubeValue","Finance","[Measures].[Net Change]","[Transaction Date].[Date YQMD].[Month]",I$7,"[Account].[by Account Category].[Account]","@@"&amp;$F29,"DataSource=",Datasource)</t>
  </si>
  <si>
    <t>=-NL("CubeValue","Finance","[Measures].[Net Change]","[Transaction Date].[Date YQMD].[Month]",J$7,"[Account].[by Account Category].[Account]","@@"&amp;$F29,"DataSource=",Datasource)</t>
  </si>
  <si>
    <t>=-NL("CubeValue","Finance","[Measures].[Net Change]","[Transaction Date].[Date YQMD].[Month]",H$7,"[Account].[by Account Category].[Account]","@@"&amp;$F30,"DataSource=",Datasource)</t>
  </si>
  <si>
    <t>=-NL("CubeValue","Finance","[Measures].[Net Change]","[Transaction Date].[Date YQMD].[Month]",I$7,"[Account].[by Account Category].[Account]","@@"&amp;$F30,"DataSource=",Datasource)</t>
  </si>
  <si>
    <t>=-NL("CubeValue","Finance","[Measures].[Net Change]","[Transaction Date].[Date YQMD].[Month]",J$7,"[Account].[by Account Category].[Account]","@@"&amp;$F30,"DataSource=",Datasource)</t>
  </si>
  <si>
    <t>=-NL("CubeValue","Finance","[Measures].[Net Change]","[Transaction Date].[Date YQMD].[Month]",H$7,"[Account].[by Account Category].[Account]","@@"&amp;$F31,"DataSource=",Datasource)</t>
  </si>
  <si>
    <t>=-NL("CubeValue","Finance","[Measures].[Net Change]","[Transaction Date].[Date YQMD].[Month]",I$7,"[Account].[by Account Category].[Account]","@@"&amp;$F31,"DataSource=",Datasource)</t>
  </si>
  <si>
    <t>=-NL("CubeValue","Finance","[Measures].[Net Change]","[Transaction Date].[Date YQMD].[Month]",J$7,"[Account].[by Account Category].[Account]","@@"&amp;$F31,"DataSource=",Datasource)</t>
  </si>
  <si>
    <t>=-NL("CubeValue","Finance","[Measures].[Net Change]","[Transaction Date].[Date YQMD].[Month]",I$7,"[Account].[by Account Category].[Account]","@@"&amp;$F32,"DataSource=",Datasource)</t>
  </si>
  <si>
    <t>=-NL("CubeValue","Finance","[Measures].[Net Change]","[Transaction Date].[Date YQMD].[Month]",J$7,"[Account].[by Account Category].[Account]","@@"&amp;$F32,"DataSource=",Datasource)</t>
  </si>
  <si>
    <t>=-NL("CubeValue","Finance","[Measures].[Net Change]","[Transaction Date].[Date YQMD].[Month]",H$7,"[Account].[by Account Category].[Account]","@@"&amp;$F33,"DataSource=",Datasource)</t>
  </si>
  <si>
    <t>=-NL("CubeValue","Finance","[Measures].[Net Change]","[Transaction Date].[Date YQMD].[Month]",I$7,"[Account].[by Account Category].[Account]","@@"&amp;$F33,"DataSource=",Datasource)</t>
  </si>
  <si>
    <t>=-NL("CubeValue","Finance","[Measures].[Net Change]","[Transaction Date].[Date YQMD].[Month]",J$7,"[Account].[by Account Category].[Account]","@@"&amp;$F33,"DataSource=",Datasource)</t>
  </si>
  <si>
    <t>=-NL("CubeValue","Finance","[Measures].[Net Change]","[Transaction Date].[Date YQMD].[Month]",H$7,"[Account].[by Account Category].[Account]","@@"&amp;$F34,"DataSource=",Datasource)</t>
  </si>
  <si>
    <t>=-NL("CubeValue","Finance","[Measures].[Net Change]","[Transaction Date].[Date YQMD].[Month]",I$7,"[Account].[by Account Category].[Account]","@@"&amp;$F34,"DataSource=",Datasource)</t>
  </si>
  <si>
    <t>=-NL("CubeValue","Finance","[Measures].[Net Change]","[Transaction Date].[Date YQMD].[Month]",J$7,"[Account].[by Account Category].[Account]","@@"&amp;$F34,"DataSource=",Datasource)</t>
  </si>
  <si>
    <t>=-NL("CubeValue","Finance","[Measures].[Net Change]","[Transaction Date].[Date YQMD].[Month]",H$7,"[Account].[by Account Category].[Account]","@@"&amp;$F35,"DataSource=",Datasource)</t>
  </si>
  <si>
    <t>=-NL("CubeValue","Finance","[Measures].[Net Change]","[Transaction Date].[Date YQMD].[Month]",I$7,"[Account].[by Account Category].[Account]","@@"&amp;$F35,"DataSource=",Datasource)</t>
  </si>
  <si>
    <t>=-NL("CubeValue","Finance","[Measures].[Net Change]","[Transaction Date].[Date YQMD].[Month]",J$7,"[Account].[by Account Category].[Account]","@@"&amp;$F35,"DataSource=",Datasource)</t>
  </si>
  <si>
    <t>=-NL("CubeValue","Finance","[Measures].[Net Change]","[Transaction Date].[Date YQMD].[Month]",I$7,"[Account].[by Account Category].[Account]","@@"&amp;$F36,"DataSource=",Datasource)</t>
  </si>
  <si>
    <t>=-NL("CubeValue","Finance","[Measures].[Net Change]","[Transaction Date].[Date YQMD].[Month]",J$7,"[Account].[by Account Category].[Account]","@@"&amp;$F36,"DataSource=",Datasource)</t>
  </si>
  <si>
    <t>=-NL("CubeValue","Finance","[Measures].[Net Change]","[Transaction Date].[Date YQMD].[Month]",H$7,"[Account].[by Account Category].[Account]","@@"&amp;$F37,"DataSource=",Datasource)</t>
  </si>
  <si>
    <t>=-NL("CubeValue","Finance","[Measures].[Net Change]","[Transaction Date].[Date YQMD].[Month]",I$7,"[Account].[by Account Category].[Account]","@@"&amp;$F37,"DataSource=",Datasource)</t>
  </si>
  <si>
    <t>=-NL("CubeValue","Finance","[Measures].[Net Change]","[Transaction Date].[Date YQMD].[Month]",J$7,"[Account].[by Account Category].[Account]","@@"&amp;$F37,"DataSource=",Datasource)</t>
  </si>
  <si>
    <t>=-NL("CubeValue","Finance","[Measures].[Net Change]","[Transaction Date].[Date YQMD].[Month]",H$7,"[Account].[by Account Category].[Account]","@@"&amp;$F38,"DataSource=",Datasource)</t>
  </si>
  <si>
    <t>=-NL("CubeValue","Finance","[Measures].[Net Change]","[Transaction Date].[Date YQMD].[Month]",I$7,"[Account].[by Account Category].[Account]","@@"&amp;$F38,"DataSource=",Datasource)</t>
  </si>
  <si>
    <t>=-NL("CubeValue","Finance","[Measures].[Net Change]","[Transaction Date].[Date YQMD].[Month]",J$7,"[Account].[by Account Category].[Account]","@@"&amp;$F38,"DataSource=",Datasource)</t>
  </si>
  <si>
    <t>=-NL("CubeValue","Finance","[Measures].[Net Change]","[Transaction Date].[Date YQMD].[Month]",H$7,"[Account].[by Account Category].[Account]","@@"&amp;$F39,"DataSource=",Datasource)</t>
  </si>
  <si>
    <t>=-NL("CubeValue","Finance","[Measures].[Net Change]","[Transaction Date].[Date YQMD].[Month]",I$7,"[Account].[by Account Category].[Account]","@@"&amp;$F39,"DataSource=",Datasource)</t>
  </si>
  <si>
    <t>=-NL("CubeValue","Finance","[Measures].[Net Change]","[Transaction Date].[Date YQMD].[Month]",J$7,"[Account].[by Account Category].[Account]","@@"&amp;$F39,"DataSource=",Datasource)</t>
  </si>
  <si>
    <t>=-NL("CubeValue","Finance","[Measures].[Net Change]","[Transaction Date].[Date YQMD].[Month]",H$7,"[Account].[by Account Category].[Account]","@@"&amp;$F40,"DataSource=",Datasource)</t>
  </si>
  <si>
    <t>=-NL("CubeValue","Finance","[Measures].[Net Change]","[Transaction Date].[Date YQMD].[Month]",I$7,"[Account].[by Account Category].[Account]","@@"&amp;$F40,"DataSource=",Datasource)</t>
  </si>
  <si>
    <t>=-NL("CubeValue","Finance","[Measures].[Net Change]","[Transaction Date].[Date YQMD].[Month]",J$7,"[Account].[by Account Category].[Account]","@@"&amp;$F40,"DataSource=",Datasource)</t>
  </si>
  <si>
    <t>=-NL("CubeValue","Finance","[Measures].[Net Change]","[Transaction Date].[Date YQMD].[Month]",H$7,"[Account].[by Account Category].[Account]","@@"&amp;$F41,"DataSource=",Datasource)</t>
  </si>
  <si>
    <t>=-NL("CubeValue","Finance","[Measures].[Net Change]","[Transaction Date].[Date YQMD].[Month]",I$7,"[Account].[by Account Category].[Account]","@@"&amp;$F41,"DataSource=",Datasource)</t>
  </si>
  <si>
    <t>=-NL("CubeValue","Finance","[Measures].[Net Change]","[Transaction Date].[Date YQMD].[Month]",J$7,"[Account].[by Account Category].[Account]","@@"&amp;$F41,"DataSource=",Datasource)</t>
  </si>
  <si>
    <t>=-NL("CubeValue","Finance","[Measures].[Net Change]","[Transaction Date].[Date YQMD].[Month]",H$7,"[Account].[by Account Category].[Account]","@@"&amp;$F42,"DataSource=",Datasource)</t>
  </si>
  <si>
    <t>=-NL("CubeValue","Finance","[Measures].[Net Change]","[Transaction Date].[Date YQMD].[Month]",I$7,"[Account].[by Account Category].[Account]","@@"&amp;$F42,"DataSource=",Datasource)</t>
  </si>
  <si>
    <t>=-NL("CubeValue","Finance","[Measures].[Net Change]","[Transaction Date].[Date YQMD].[Month]",J$7,"[Account].[by Account Category].[Account]","@@"&amp;$F42,"DataSource=",Datasource)</t>
  </si>
  <si>
    <t>=-NL("CubeValue","Finance","[Measures].[Net Change]","[Transaction Date].[Date YQMD].[Month]",H$7,"[Account].[by Account Category].[Account]","@@"&amp;$F43,"DataSource=",Datasource)</t>
  </si>
  <si>
    <t>=-NL("CubeValue","Finance","[Measures].[Net Change]","[Transaction Date].[Date YQMD].[Month]",I$7,"[Account].[by Account Category].[Account]","@@"&amp;$F43,"DataSource=",Datasource)</t>
  </si>
  <si>
    <t>=-NL("CubeValue","Finance","[Measures].[Net Change]","[Transaction Date].[Date YQMD].[Month]",J$7,"[Account].[by Account Category].[Account]","@@"&amp;$F43,"DataSource=",Datasource)</t>
  </si>
  <si>
    <t>=-NL("CubeValue","Finance","[Measures].[Net Change]","[Transaction Date].[Date YQMD].[Month]",I$7,"[Account].[by Account Category].[Account]","@@"&amp;$F44,"DataSource=",Datasource)</t>
  </si>
  <si>
    <t>=-NL("CubeValue","Finance","[Measures].[Net Change]","[Transaction Date].[Date YQMD].[Month]",J$7,"[Account].[by Account Category].[Account]","@@"&amp;$F44,"DataSource=",Datasource)</t>
  </si>
  <si>
    <t>=-NL("CubeValue","Finance","[Measures].[Net Change]","[Transaction Date].[Date YQMD].[Month]",H$7,"[Account].[by Account Category].[Account]","@@"&amp;$F45,"DataSource=",Datasource)</t>
  </si>
  <si>
    <t>=-NL("CubeValue","Finance","[Measures].[Net Change]","[Transaction Date].[Date YQMD].[Month]",I$7,"[Account].[by Account Category].[Account]","@@"&amp;$F45,"DataSource=",Datasource)</t>
  </si>
  <si>
    <t>=-NL("CubeValue","Finance","[Measures].[Net Change]","[Transaction Date].[Date YQMD].[Month]",J$7,"[Account].[by Account Category].[Account]","@@"&amp;$F45,"DataSource=",Datasource)</t>
  </si>
  <si>
    <t>=-NL("CubeValue","Finance","[Measures].[Net Change]","[Transaction Date].[Date YQMD].[Month]",H$7,"[Account].[by Account Category].[Account]","@@"&amp;$F46,"DataSource=",Datasource)</t>
  </si>
  <si>
    <t>=-NL("CubeValue","Finance","[Measures].[Net Change]","[Transaction Date].[Date YQMD].[Month]",I$7,"[Account].[by Account Category].[Account]","@@"&amp;$F46,"DataSource=",Datasource)</t>
  </si>
  <si>
    <t>=-NL("CubeValue","Finance","[Measures].[Net Change]","[Transaction Date].[Date YQMD].[Month]",J$7,"[Account].[by Account Category].[Account]","@@"&amp;$F46,"DataSource=",Datasource)</t>
  </si>
  <si>
    <t>=-NL("CubeValue","Finance","[Measures].[Net Change]","[Transaction Date].[Date YQMD].[Month]",H$7,"[Account].[by Account Category].[Account]","@@"&amp;$F47,"DataSource=",Datasource)</t>
  </si>
  <si>
    <t>=-NL("CubeValue","Finance","[Measures].[Net Change]","[Transaction Date].[Date YQMD].[Month]",I$7,"[Account].[by Account Category].[Account]","@@"&amp;$F47,"DataSource=",Datasource)</t>
  </si>
  <si>
    <t>=-NL("CubeValue","Finance","[Measures].[Net Change]","[Transaction Date].[Date YQMD].[Month]",J$7,"[Account].[by Account Category].[Account]","@@"&amp;$F47,"DataSource=",Datasource)</t>
  </si>
  <si>
    <t>=-NL("CubeValue","Finance","[Measures].[Net Change]","[Transaction Date].[Date YQMD].[Month]",I$7,"[Account].[by Account Category].[Account]","@@"&amp;$F48,"DataSource=",Datasource)</t>
  </si>
  <si>
    <t>=-NL("CubeValue","Finance","[Measures].[Net Change]","[Transaction Date].[Date YQMD].[Month]",J$7,"[Account].[by Account Category].[Account]","@@"&amp;$F48,"DataSource=",Datasource)</t>
  </si>
  <si>
    <t>=-NL("CubeValue","Finance","[Measures].[Net Change]","[Transaction Date].[Date YQMD].[Month]",H$7,"[Account].[by Account Category].[Account]","@@"&amp;$F49,"DataSource=",Datasource)</t>
  </si>
  <si>
    <t>=-NL("CubeValue","Finance","[Measures].[Net Change]","[Transaction Date].[Date YQMD].[Month]",I$7,"[Account].[by Account Category].[Account]","@@"&amp;$F49,"DataSource=",Datasource)</t>
  </si>
  <si>
    <t>=-NL("CubeValue","Finance","[Measures].[Net Change]","[Transaction Date].[Date YQMD].[Month]",J$7,"[Account].[by Account Category].[Account]","@@"&amp;$F49,"DataSource=",Datasource)</t>
  </si>
  <si>
    <t>=-NL("CubeValue","Finance","[Measures].[Net Change]","[Transaction Date].[Date YQMD].[Month]",H$7,"[Account].[by Account Category].[Account]","@@"&amp;$F50,"DataSource=",Datasource)</t>
  </si>
  <si>
    <t>=-NL("CubeValue","Finance","[Measures].[Net Change]","[Transaction Date].[Date YQMD].[Month]",I$7,"[Account].[by Account Category].[Account]","@@"&amp;$F50,"DataSource=",Datasource)</t>
  </si>
  <si>
    <t>=-NL("CubeValue","Finance","[Measures].[Net Change]","[Transaction Date].[Date YQMD].[Month]",J$7,"[Account].[by Account Category].[Account]","@@"&amp;$F50,"DataSource=",Datasource)</t>
  </si>
  <si>
    <t>=-NL("CubeValue","Finance","[Measures].[Net Change]","[Transaction Date].[Date YQMD].[Month]",H$7,"[Account].[by Account Category].[Account]","@@"&amp;$F51,"DataSource=",Datasource)</t>
  </si>
  <si>
    <t>=-NL("CubeValue","Finance","[Measures].[Net Change]","[Transaction Date].[Date YQMD].[Month]",I$7,"[Account].[by Account Category].[Account]","@@"&amp;$F51,"DataSource=",Datasource)</t>
  </si>
  <si>
    <t>=-NL("CubeValue","Finance","[Measures].[Net Change]","[Transaction Date].[Date YQMD].[Month]",J$7,"[Account].[by Account Category].[Account]","@@"&amp;$F51,"DataSource=",Datasource)</t>
  </si>
  <si>
    <t>=-NL("CubeValue","Finance","[Measures].[Net Change]","[Transaction Date].[Date YQMD].[Month]",I$7,"[Account].[by Account Category].[Account]","@@"&amp;$F52,"DataSource=",Datasource)</t>
  </si>
  <si>
    <t>=-NL("CubeValue","Finance","[Measures].[Net Change]","[Transaction Date].[Date YQMD].[Month]",J$7,"[Account].[by Account Category].[Account]","@@"&amp;$F52,"DataSource=",Datasource)</t>
  </si>
  <si>
    <t>=-NL("CubeValue","Finance","[Measures].[Net Change]","[Transaction Date].[Date YQMD].[Month]",I$7,"[Account].[Account Category]",$D53,"DataSource=",Datasource)</t>
  </si>
  <si>
    <t>=-NL("CubeValue","Finance","[Measures].[Net Change]","[Transaction Date].[Date YQMD].[Month]",J$7,"[Account].[Account Category]",$D53,"DataSource=",Datasource)</t>
  </si>
  <si>
    <t>=-NL("CubeValue","Finance","[Measures].[Net Change]","[Transaction Date].[Date YQMD].[Month]",H$7,"[Account].[by Account Category].[Account]","@@"&amp;$F56,"DataSource=",Datasource)</t>
  </si>
  <si>
    <t>=-NL("CubeValue","Finance","[Measures].[Net Change]","[Transaction Date].[Date YQMD].[Month]",I$7,"[Account].[by Account Category].[Account]","@@"&amp;$F56,"DataSource=",Datasource)</t>
  </si>
  <si>
    <t>=-NL("CubeValue","Finance","[Measures].[Net Change]","[Transaction Date].[Date YQMD].[Month]",J$7,"[Account].[by Account Category].[Account]","@@"&amp;$F56,"DataSource=",Datasource)</t>
  </si>
  <si>
    <t>=-NL("CubeValue","Finance","[Measures].[Net Change]","[Transaction Date].[Date YQMD].[Month]",I$7,"[Account].[by Account Category].[Account]","@@"&amp;$F57,"DataSource=",Datasource)</t>
  </si>
  <si>
    <t>=-NL("CubeValue","Finance","[Measures].[Net Change]","[Transaction Date].[Date YQMD].[Month]",J$7,"[Account].[by Account Category].[Account]","@@"&amp;$F57,"DataSource=",Datasource)</t>
  </si>
  <si>
    <t>=-NL("CubeValue","Finance","[Measures].[Net Change]","[Transaction Date].[Date YQMD].[Month]",H$7,"[Account].[by Account Category].[Account]","@@"&amp;$F58,"DataSource=",Datasource)</t>
  </si>
  <si>
    <t>=-NL("CubeValue","Finance","[Measures].[Net Change]","[Transaction Date].[Date YQMD].[Month]",I$7,"[Account].[by Account Category].[Account]","@@"&amp;$F58,"DataSource=",Datasource)</t>
  </si>
  <si>
    <t>=-NL("CubeValue","Finance","[Measures].[Net Change]","[Transaction Date].[Date YQMD].[Month]",J$7,"[Account].[by Account Category].[Account]","@@"&amp;$F58,"DataSource=",Datasource)</t>
  </si>
  <si>
    <t>=-NL("CubeValue","Finance","[Measures].[Net Change]","[Transaction Date].[Date YQMD].[Month]",H$7,"[Account].[by Account Category].[Account]","@@"&amp;$F59,"DataSource=",Datasource)</t>
  </si>
  <si>
    <t>=-NL("CubeValue","Finance","[Measures].[Net Change]","[Transaction Date].[Date YQMD].[Month]",I$7,"[Account].[by Account Category].[Account]","@@"&amp;$F59,"DataSource=",Datasource)</t>
  </si>
  <si>
    <t>=-NL("CubeValue","Finance","[Measures].[Net Change]","[Transaction Date].[Date YQMD].[Month]",J$7,"[Account].[by Account Category].[Account]","@@"&amp;$F59,"DataSource=",Datasource)</t>
  </si>
  <si>
    <t>=-NL("CubeValue","Finance","[Measures].[Net Change]","[Transaction Date].[Date YQMD].[Month]",H$7,"[Account].[by Account Category].[Account]","@@"&amp;$F60,"DataSource=",Datasource)</t>
  </si>
  <si>
    <t>=-NL("CubeValue","Finance","[Measures].[Net Change]","[Transaction Date].[Date YQMD].[Month]",I$7,"[Account].[by Account Category].[Account]","@@"&amp;$F60,"DataSource=",Datasource)</t>
  </si>
  <si>
    <t>=-NL("CubeValue","Finance","[Measures].[Net Change]","[Transaction Date].[Date YQMD].[Month]",J$7,"[Account].[by Account Category].[Account]","@@"&amp;$F60,"DataSource=",Datasource)</t>
  </si>
  <si>
    <t>=-NL("CubeValue","Finance","[Measures].[Net Change]","[Transaction Date].[Date YQMD].[Month]",H$7,"[Account].[by Account Category].[Account]","@@"&amp;$F61,"DataSource=",Datasource)</t>
  </si>
  <si>
    <t>=-NL("CubeValue","Finance","[Measures].[Net Change]","[Transaction Date].[Date YQMD].[Month]",I$7,"[Account].[by Account Category].[Account]","@@"&amp;$F61,"DataSource=",Datasource)</t>
  </si>
  <si>
    <t>=-NL("CubeValue","Finance","[Measures].[Net Change]","[Transaction Date].[Date YQMD].[Month]",J$7,"[Account].[by Account Category].[Account]","@@"&amp;$F61,"DataSource=",Datasource)</t>
  </si>
  <si>
    <t>=-NL("CubeValue","Finance","[Measures].[Net Change]","[Transaction Date].[Date YQMD].[Month]",I$7,"[Account].[by Account Category].[Account]","@@"&amp;$F62,"DataSource=",Datasource)</t>
  </si>
  <si>
    <t>=-NL("CubeValue","Finance","[Measures].[Net Change]","[Transaction Date].[Date YQMD].[Month]",J$7,"[Account].[by Account Category].[Account]","@@"&amp;$F62,"DataSource=",Datasource)</t>
  </si>
  <si>
    <t>=-NL("CubeValue","Finance","[Measures].[Net Change]","[Transaction Date].[Date YQMD].[Month]",H$7,"[Account].[by Account Category].[Account]","@@"&amp;$F63,"DataSource=",Datasource)</t>
  </si>
  <si>
    <t>=-NL("CubeValue","Finance","[Measures].[Net Change]","[Transaction Date].[Date YQMD].[Month]",I$7,"[Account].[by Account Category].[Account]","@@"&amp;$F63,"DataSource=",Datasource)</t>
  </si>
  <si>
    <t>=-NL("CubeValue","Finance","[Measures].[Net Change]","[Transaction Date].[Date YQMD].[Month]",J$7,"[Account].[by Account Category].[Account]","@@"&amp;$F63,"DataSource=",Datasource)</t>
  </si>
  <si>
    <t>=-NL("CubeValue","Finance","[Measures].[Net Change]","[Transaction Date].[Date YQMD].[Month]",H$7,"[Account].[by Account Category].[Account]","@@"&amp;$F64,"DataSource=",Datasource)</t>
  </si>
  <si>
    <t>=-NL("CubeValue","Finance","[Measures].[Net Change]","[Transaction Date].[Date YQMD].[Month]",I$7,"[Account].[by Account Category].[Account]","@@"&amp;$F64,"DataSource=",Datasource)</t>
  </si>
  <si>
    <t>=-NL("CubeValue","Finance","[Measures].[Net Change]","[Transaction Date].[Date YQMD].[Month]",J$7,"[Account].[by Account Category].[Account]","@@"&amp;$F64,"DataSource=",Datasource)</t>
  </si>
  <si>
    <t>=-NL("CubeValue","Finance","[Measures].[Net Change]","[Transaction Date].[Date YQMD].[Month]",H$7,"[Account].[Account Category]",$D65,"DataSource=",Datasource)</t>
  </si>
  <si>
    <t>=-NL("CubeValue","Finance","[Measures].[Net Change]","[Transaction Date].[Date YQMD].[Month]",I$7,"[Account].[Account Category]",$D65,"DataSource=",Datasource)</t>
  </si>
  <si>
    <t>=-NL("CubeValue","Finance","[Measures].[Net Change]","[Transaction Date].[Date YQMD].[Month]",J$7,"[Account].[Account Category]",$D65,"DataSource=",Datasource)</t>
  </si>
  <si>
    <t>=-NL("CubeValue","Finance","[Measures].[Net Change]","[Transaction Date].[Date YQMD].[Month]",H$7,"[Account].[by Account Category].[Account]","@@"&amp;$F68,"DataSource=",Datasource)</t>
  </si>
  <si>
    <t>=-NL("CubeValue","Finance","[Measures].[Net Change]","[Transaction Date].[Date YQMD].[Month]",I$7,"[Account].[by Account Category].[Account]","@@"&amp;$F68,"DataSource=",Datasource)</t>
  </si>
  <si>
    <t>=-NL("CubeValue","Finance","[Measures].[Net Change]","[Transaction Date].[Date YQMD].[Month]",J$7,"[Account].[by Account Category].[Account]","@@"&amp;$F68,"DataSource=",Datasource)</t>
  </si>
  <si>
    <t>=-NL("CubeValue","Finance","[Measures].[Net Change]","[Transaction Date].[Date YQMD].[Month]",H$7,"[Account].[by Account Category].[Account]","@@"&amp;$F69,"DataSource=",Datasource)</t>
  </si>
  <si>
    <t>=-NL("CubeValue","Finance","[Measures].[Net Change]","[Transaction Date].[Date YQMD].[Month]",I$7,"[Account].[by Account Category].[Account]","@@"&amp;$F69,"DataSource=",Datasource)</t>
  </si>
  <si>
    <t>=-NL("CubeValue","Finance","[Measures].[Net Change]","[Transaction Date].[Date YQMD].[Month]",J$7,"[Account].[by Account Category].[Account]","@@"&amp;$F69,"DataSource=",Datasource)</t>
  </si>
  <si>
    <t>=-NL("CubeValue","Finance","[Measures].[Net Change]","[Transaction Date].[Date YQMD].[Month]",H$7,"[Account].[by Account Category].[Account]","@@"&amp;$F70,"DataSource=",Datasource)</t>
  </si>
  <si>
    <t>=-NL("CubeValue","Finance","[Measures].[Net Change]","[Transaction Date].[Date YQMD].[Month]",I$7,"[Account].[by Account Category].[Account]","@@"&amp;$F70,"DataSource=",Datasource)</t>
  </si>
  <si>
    <t>=-NL("CubeValue","Finance","[Measures].[Net Change]","[Transaction Date].[Date YQMD].[Month]",J$7,"[Account].[by Account Category].[Account]","@@"&amp;$F70,"DataSource=",Datasource)</t>
  </si>
  <si>
    <t>=-NL("CubeValue","Finance","[Measures].[Net Change]","[Transaction Date].[Date YQMD].[Month]",H$7,"[Account].[by Account Category].[Account]","@@"&amp;$F71,"DataSource=",Datasource)</t>
  </si>
  <si>
    <t>=-NL("CubeValue","Finance","[Measures].[Net Change]","[Transaction Date].[Date YQMD].[Month]",I$7,"[Account].[by Account Category].[Account]","@@"&amp;$F71,"DataSource=",Datasource)</t>
  </si>
  <si>
    <t>=-NL("CubeValue","Finance","[Measures].[Net Change]","[Transaction Date].[Date YQMD].[Month]",J$7,"[Account].[by Account Category].[Account]","@@"&amp;$F71,"DataSource=",Datasource)</t>
  </si>
  <si>
    <t>=-NL("CubeValue","Finance","[Measures].[Net Change]","[Transaction Date].[Date YQMD].[Month]",H$7,"[Account].[by Account Category].[Account]","@@"&amp;$F72,"DataSource=",Datasource)</t>
  </si>
  <si>
    <t>=-NL("CubeValue","Finance","[Measures].[Net Change]","[Transaction Date].[Date YQMD].[Month]",I$7,"[Account].[by Account Category].[Account]","@@"&amp;$F72,"DataSource=",Datasource)</t>
  </si>
  <si>
    <t>=-NL("CubeValue","Finance","[Measures].[Net Change]","[Transaction Date].[Date YQMD].[Month]",J$7,"[Account].[by Account Category].[Account]","@@"&amp;$F72,"DataSource=",Datasource)</t>
  </si>
  <si>
    <t>=-NL("CubeValue","Finance","[Measures].[Net Change]","[Transaction Date].[Date YQMD].[Month]",H$7,"[Account].[by Account Category].[Account]","@@"&amp;$F73,"DataSource=",Datasource)</t>
  </si>
  <si>
    <t>=-NL("CubeValue","Finance","[Measures].[Net Change]","[Transaction Date].[Date YQMD].[Month]",I$7,"[Account].[by Account Category].[Account]","@@"&amp;$F73,"DataSource=",Datasource)</t>
  </si>
  <si>
    <t>=-NL("CubeValue","Finance","[Measures].[Net Change]","[Transaction Date].[Date YQMD].[Month]",J$7,"[Account].[by Account Category].[Account]","@@"&amp;$F73,"DataSource=",Datasource)</t>
  </si>
  <si>
    <t>=-NL("CubeValue","Finance","[Measures].[Net Change]","[Transaction Date].[Date YQMD].[Month]",H$7,"[Account].[by Account Category].[Account]","@@"&amp;$F74,"DataSource=",Datasource)</t>
  </si>
  <si>
    <t>=-NL("CubeValue","Finance","[Measures].[Net Change]","[Transaction Date].[Date YQMD].[Month]",I$7,"[Account].[by Account Category].[Account]","@@"&amp;$F74,"DataSource=",Datasource)</t>
  </si>
  <si>
    <t>=-NL("CubeValue","Finance","[Measures].[Net Change]","[Transaction Date].[Date YQMD].[Month]",J$7,"[Account].[by Account Category].[Account]","@@"&amp;$F74,"DataSource=",Datasource)</t>
  </si>
  <si>
    <t>=-NL("CubeValue","Finance","[Measures].[Net Change]","[Transaction Date].[Date YQMD].[Month]",H$7,"[Account].[by Account Category].[Account]","@@"&amp;$F75,"DataSource=",Datasource)</t>
  </si>
  <si>
    <t>=-NL("CubeValue","Finance","[Measures].[Net Change]","[Transaction Date].[Date YQMD].[Month]",I$7,"[Account].[by Account Category].[Account]","@@"&amp;$F75,"DataSource=",Datasource)</t>
  </si>
  <si>
    <t>=-NL("CubeValue","Finance","[Measures].[Net Change]","[Transaction Date].[Date YQMD].[Month]",J$7,"[Account].[by Account Category].[Account]","@@"&amp;$F75,"DataSource=",Datasource)</t>
  </si>
  <si>
    <t>=-NL("CubeValue","Finance","[Measures].[Net Change]","[Transaction Date].[Date YQMD].[Month]",H$7,"[Account].[by Account Category].[Account]","@@"&amp;$F76,"DataSource=",Datasource)</t>
  </si>
  <si>
    <t>=-NL("CubeValue","Finance","[Measures].[Net Change]","[Transaction Date].[Date YQMD].[Month]",I$7,"[Account].[by Account Category].[Account]","@@"&amp;$F76,"DataSource=",Datasource)</t>
  </si>
  <si>
    <t>=-NL("CubeValue","Finance","[Measures].[Net Change]","[Transaction Date].[Date YQMD].[Month]",J$7,"[Account].[by Account Category].[Account]","@@"&amp;$F76,"DataSource=",Datasource)</t>
  </si>
  <si>
    <t>=-NL("CubeValue","Finance","[Measures].[Net Change]","[Transaction Date].[Date YQMD].[Month]",H$7,"[Account].[by Account Category].[Account]","@@"&amp;$F77,"DataSource=",Datasource)</t>
  </si>
  <si>
    <t>=-NL("CubeValue","Finance","[Measures].[Net Change]","[Transaction Date].[Date YQMD].[Month]",I$7,"[Account].[by Account Category].[Account]","@@"&amp;$F77,"DataSource=",Datasource)</t>
  </si>
  <si>
    <t>=-NL("CubeValue","Finance","[Measures].[Net Change]","[Transaction Date].[Date YQMD].[Month]",J$7,"[Account].[by Account Category].[Account]","@@"&amp;$F77,"DataSource=",Datasource)</t>
  </si>
  <si>
    <t>=-NL("CubeValue","Finance","[Measures].[Net Change]","[Transaction Date].[Date YQMD].[Month]",H$7,"[Account].[by Account Category].[Account]","@@"&amp;$F78,"DataSource=",Datasource)</t>
  </si>
  <si>
    <t>=-NL("CubeValue","Finance","[Measures].[Net Change]","[Transaction Date].[Date YQMD].[Month]",I$7,"[Account].[by Account Category].[Account]","@@"&amp;$F78,"DataSource=",Datasource)</t>
  </si>
  <si>
    <t>=-NL("CubeValue","Finance","[Measures].[Net Change]","[Transaction Date].[Date YQMD].[Month]",J$7,"[Account].[by Account Category].[Account]","@@"&amp;$F78,"DataSource=",Datasource)</t>
  </si>
  <si>
    <t>=-NL("CubeValue","Finance","[Measures].[Net Change]","[Transaction Date].[Date YQMD].[Month]",H$7,"[Account].[by Account Category].[Account]","@@"&amp;$F79,"DataSource=",Datasource)</t>
  </si>
  <si>
    <t>=-NL("CubeValue","Finance","[Measures].[Net Change]","[Transaction Date].[Date YQMD].[Month]",I$7,"[Account].[by Account Category].[Account]","@@"&amp;$F79,"DataSource=",Datasource)</t>
  </si>
  <si>
    <t>=-NL("CubeValue","Finance","[Measures].[Net Change]","[Transaction Date].[Date YQMD].[Month]",J$7,"[Account].[by Account Category].[Account]","@@"&amp;$F79,"DataSource=",Datasource)</t>
  </si>
  <si>
    <t>=-NL("CubeValue","Finance","[Measures].[Net Change]","[Transaction Date].[Date YQMD].[Month]",H$7,"[Account].[by Account Category].[Account]","@@"&amp;$F80,"DataSource=",Datasource)</t>
  </si>
  <si>
    <t>=-NL("CubeValue","Finance","[Measures].[Net Change]","[Transaction Date].[Date YQMD].[Month]",I$7,"[Account].[by Account Category].[Account]","@@"&amp;$F80,"DataSource=",Datasource)</t>
  </si>
  <si>
    <t>=-NL("CubeValue","Finance","[Measures].[Net Change]","[Transaction Date].[Date YQMD].[Month]",J$7,"[Account].[by Account Category].[Account]","@@"&amp;$F80,"DataSource=",Datasource)</t>
  </si>
  <si>
    <t>=-NL("CubeValue","Finance","[Measures].[Net Change]","[Transaction Date].[Date YQMD].[Month]",H$7,"[Account].[by Account Category].[Account]","@@"&amp;$F81,"DataSource=",Datasource)</t>
  </si>
  <si>
    <t>=-NL("CubeValue","Finance","[Measures].[Net Change]","[Transaction Date].[Date YQMD].[Month]",I$7,"[Account].[by Account Category].[Account]","@@"&amp;$F81,"DataSource=",Datasource)</t>
  </si>
  <si>
    <t>=-NL("CubeValue","Finance","[Measures].[Net Change]","[Transaction Date].[Date YQMD].[Month]",J$7,"[Account].[by Account Category].[Account]","@@"&amp;$F81,"DataSource=",Datasource)</t>
  </si>
  <si>
    <t>=-NL("CubeValue","Finance","[Measures].[Net Change]","[Transaction Date].[Date YQMD].[Month]",H$7,"[Account].[by Account Category].[Account]","@@"&amp;$F82,"DataSource=",Datasource)</t>
  </si>
  <si>
    <t>=-NL("CubeValue","Finance","[Measures].[Net Change]","[Transaction Date].[Date YQMD].[Month]",I$7,"[Account].[by Account Category].[Account]","@@"&amp;$F82,"DataSource=",Datasource)</t>
  </si>
  <si>
    <t>=-NL("CubeValue","Finance","[Measures].[Net Change]","[Transaction Date].[Date YQMD].[Month]",J$7,"[Account].[by Account Category].[Account]","@@"&amp;$F82,"DataSource=",Datasource)</t>
  </si>
  <si>
    <t>=-NL("CubeValue","Finance","[Measures].[Net Change]","[Transaction Date].[Date YQMD].[Month]",H$7,"[Account].[by Account Category].[Account]","@@"&amp;$F83,"DataSource=",Datasource)</t>
  </si>
  <si>
    <t>=-NL("CubeValue","Finance","[Measures].[Net Change]","[Transaction Date].[Date YQMD].[Month]",I$7,"[Account].[by Account Category].[Account]","@@"&amp;$F83,"DataSource=",Datasource)</t>
  </si>
  <si>
    <t>=-NL("CubeValue","Finance","[Measures].[Net Change]","[Transaction Date].[Date YQMD].[Month]",J$7,"[Account].[by Account Category].[Account]","@@"&amp;$F83,"DataSource=",Datasource)</t>
  </si>
  <si>
    <t>=-NL("CubeValue","Finance","[Measures].[Net Change]","[Transaction Date].[Date YQMD].[Month]",H$7,"[Account].[by Account Category].[Account]","@@"&amp;$F84,"DataSource=",Datasource)</t>
  </si>
  <si>
    <t>=-NL("CubeValue","Finance","[Measures].[Net Change]","[Transaction Date].[Date YQMD].[Month]",I$7,"[Account].[by Account Category].[Account]","@@"&amp;$F84,"DataSource=",Datasource)</t>
  </si>
  <si>
    <t>=-NL("CubeValue","Finance","[Measures].[Net Change]","[Transaction Date].[Date YQMD].[Month]",J$7,"[Account].[by Account Category].[Account]","@@"&amp;$F84,"DataSource=",Datasource)</t>
  </si>
  <si>
    <t>=-NL("CubeValue","Finance","[Measures].[Net Change]","[Transaction Date].[Date YQMD].[Month]",H$7,"[Account].[Account Category]",$D85,"DataSource=",Datasource)</t>
  </si>
  <si>
    <t>=-NL("CubeValue","Finance","[Measures].[Net Change]","[Transaction Date].[Date YQMD].[Month]",I$7,"[Account].[Account Category]",$D85,"DataSource=",Datasource)</t>
  </si>
  <si>
    <t>=-NL("CubeValue","Finance","[Measures].[Net Change]","[Transaction Date].[Date YQMD].[Month]",J$7,"[Account].[Account Category]",$D85,"DataSource=",Datasource)</t>
  </si>
  <si>
    <t>=-NL("CubeValue","Finance","[Measures].[Net Change]","[Transaction Date].[Date YQMD].[Month]",H$7,"[Account].[by Account Category].[Account]","@@"&amp;$F88,"DataSource=",Datasource)</t>
  </si>
  <si>
    <t>=-NL("CubeValue","Finance","[Measures].[Net Change]","[Transaction Date].[Date YQMD].[Month]",I$7,"[Account].[by Account Category].[Account]","@@"&amp;$F88,"DataSource=",Datasource)</t>
  </si>
  <si>
    <t>=-NL("CubeValue","Finance","[Measures].[Net Change]","[Transaction Date].[Date YQMD].[Month]",J$7,"[Account].[by Account Category].[Account]","@@"&amp;$F88,"DataSource=",Datasource)</t>
  </si>
  <si>
    <t>=-NL("CubeValue","Finance","[Measures].[Net Change]","[Transaction Date].[Date YQMD].[Month]",H$7,"[Account].[Account Category]",$D89,"DataSource=",Datasource)</t>
  </si>
  <si>
    <t>=-NL("CubeValue","Finance","[Measures].[Net Change]","[Transaction Date].[Date YQMD].[Month]",I$7,"[Account].[Account Category]",$D89,"DataSource=",Datasource)</t>
  </si>
  <si>
    <t>=-NL("CubeValue","Finance","[Measures].[Net Change]","[Transaction Date].[Date YQMD].[Month]",J$7,"[Account].[Account Category]",$D89,"DataSource=",Datasource)</t>
  </si>
  <si>
    <t>=-NL("CubeValue","Finance","[Measures].[Net Change]","[Transaction Date].[Date YQMD].[Month]",H$7,"[Account].[by Account Category].[Account]","@@"&amp;$F95,"DataSource=",Datasource)</t>
  </si>
  <si>
    <t>=-NL("CubeValue","Finance","[Measures].[Net Change]","[Transaction Date].[Date YQMD].[Month]",I$7,"[Account].[by Account Category].[Account]","@@"&amp;$F95,"DataSource=",Datasource)</t>
  </si>
  <si>
    <t>=-NL("CubeValue","Finance","[Measures].[Net Change]","[Transaction Date].[Date YQMD].[Month]",J$7,"[Account].[by Account Category].[Account]","@@"&amp;$F95,"DataSource=",Datasource)</t>
  </si>
  <si>
    <t>=-NL("CubeValue","Finance","[Measures].[Net Change]","[Transaction Date].[Date YQMD].[Month]",H$7,"[Account].[by Account Category].[Account]","@@"&amp;$F96,"DataSource=",Datasource)</t>
  </si>
  <si>
    <t>=-NL("CubeValue","Finance","[Measures].[Net Change]","[Transaction Date].[Date YQMD].[Month]",I$7,"[Account].[by Account Category].[Account]","@@"&amp;$F96,"DataSource=",Datasource)</t>
  </si>
  <si>
    <t>=-NL("CubeValue","Finance","[Measures].[Net Change]","[Transaction Date].[Date YQMD].[Month]",J$7,"[Account].[by Account Category].[Account]","@@"&amp;$F96,"DataSource=",Datasource)</t>
  </si>
  <si>
    <t>=-NL("CubeValue","Finance","[Measures].[Net Change]","[Transaction Date].[Date YQMD].[Month]",H$7,"[Account].[by Account Category].[Account]","@@"&amp;$F97,"DataSource=",Datasource)</t>
  </si>
  <si>
    <t>=-NL("CubeValue","Finance","[Measures].[Net Change]","[Transaction Date].[Date YQMD].[Month]",I$7,"[Account].[by Account Category].[Account]","@@"&amp;$F97,"DataSource=",Datasource)</t>
  </si>
  <si>
    <t>=-NL("CubeValue","Finance","[Measures].[Net Change]","[Transaction Date].[Date YQMD].[Month]",J$7,"[Account].[by Account Category].[Account]","@@"&amp;$F97,"DataSource=",Datasource)</t>
  </si>
  <si>
    <t>=-NL("CubeValue","Finance","[Measures].[Net Change]","[Transaction Date].[Date YQMD].[Month]",H$7,"[Account].[by Account Category].[Account]","@@"&amp;$F98,"DataSource=",Datasource)</t>
  </si>
  <si>
    <t>=-NL("CubeValue","Finance","[Measures].[Net Change]","[Transaction Date].[Date YQMD].[Month]",I$7,"[Account].[by Account Category].[Account]","@@"&amp;$F98,"DataSource=",Datasource)</t>
  </si>
  <si>
    <t>=-NL("CubeValue","Finance","[Measures].[Net Change]","[Transaction Date].[Date YQMD].[Month]",J$7,"[Account].[by Account Category].[Account]","@@"&amp;$F98,"DataSource=",Datasource)</t>
  </si>
  <si>
    <t>=-NL("CubeValue","Finance","[Measures].[Net Change]","[Transaction Date].[Date YQMD].[Month]",H$7,"[Account].[by Account Category].[Account]","@@"&amp;$F99,"DataSource=",Datasource)</t>
  </si>
  <si>
    <t>=-NL("CubeValue","Finance","[Measures].[Net Change]","[Transaction Date].[Date YQMD].[Month]",I$7,"[Account].[by Account Category].[Account]","@@"&amp;$F99,"DataSource=",Datasource)</t>
  </si>
  <si>
    <t>=-NL("CubeValue","Finance","[Measures].[Net Change]","[Transaction Date].[Date YQMD].[Month]",J$7,"[Account].[by Account Category].[Account]","@@"&amp;$F99,"DataSource=",Datasource)</t>
  </si>
  <si>
    <t>=-NL("CubeValue","Finance","[Measures].[Net Change]","[Transaction Date].[Date YQMD].[Month]",H$7,"[Account].[by Account Category].[Account]","@@"&amp;$F100,"DataSource=",Datasource)</t>
  </si>
  <si>
    <t>=-NL("CubeValue","Finance","[Measures].[Net Change]","[Transaction Date].[Date YQMD].[Month]",I$7,"[Account].[by Account Category].[Account]","@@"&amp;$F100,"DataSource=",Datasource)</t>
  </si>
  <si>
    <t>=-NL("CubeValue","Finance","[Measures].[Net Change]","[Transaction Date].[Date YQMD].[Month]",J$7,"[Account].[by Account Category].[Account]","@@"&amp;$F100,"DataSource=",Datasource)</t>
  </si>
  <si>
    <t>=-NL("CubeValue","Finance","[Measures].[Net Change]","[Transaction Date].[Date YQMD].[Month]",H$7,"[Account].[by Account Category].[Account]","@@"&amp;$F101,"DataSource=",Datasource)</t>
  </si>
  <si>
    <t>=-NL("CubeValue","Finance","[Measures].[Net Change]","[Transaction Date].[Date YQMD].[Month]",I$7,"[Account].[by Account Category].[Account]","@@"&amp;$F101,"DataSource=",Datasource)</t>
  </si>
  <si>
    <t>=-NL("CubeValue","Finance","[Measures].[Net Change]","[Transaction Date].[Date YQMD].[Month]",J$7,"[Account].[by Account Category].[Account]","@@"&amp;$F101,"DataSource=",Datasource)</t>
  </si>
  <si>
    <t>=-NL("CubeValue","Finance","[Measures].[Net Change]","[Transaction Date].[Date YQMD].[Month]",H$7,"[Account].[by Account Category].[Account]","@@"&amp;$F102,"DataSource=",Datasource)</t>
  </si>
  <si>
    <t>=-NL("CubeValue","Finance","[Measures].[Net Change]","[Transaction Date].[Date YQMD].[Month]",I$7,"[Account].[by Account Category].[Account]","@@"&amp;$F102,"DataSource=",Datasource)</t>
  </si>
  <si>
    <t>=-NL("CubeValue","Finance","[Measures].[Net Change]","[Transaction Date].[Date YQMD].[Month]",J$7,"[Account].[by Account Category].[Account]","@@"&amp;$F102,"DataSource=",Datasource)</t>
  </si>
  <si>
    <t>=-NL("CubeValue","Finance","[Measures].[Net Change]","[Transaction Date].[Date YQMD].[Month]",H$7,"[Account].[by Account Category].[Account]","@@"&amp;$F103,"DataSource=",Datasource)</t>
  </si>
  <si>
    <t>=-NL("CubeValue","Finance","[Measures].[Net Change]","[Transaction Date].[Date YQMD].[Month]",I$7,"[Account].[by Account Category].[Account]","@@"&amp;$F103,"DataSource=",Datasource)</t>
  </si>
  <si>
    <t>=-NL("CubeValue","Finance","[Measures].[Net Change]","[Transaction Date].[Date YQMD].[Month]",J$7,"[Account].[by Account Category].[Account]","@@"&amp;$F103,"DataSource=",Datasource)</t>
  </si>
  <si>
    <t>=-NL("CubeValue","Finance","[Measures].[Net Change]","[Transaction Date].[Date YQMD].[Month]",H$7,"[Account].[by Account Category].[Account]","@@"&amp;$F104,"DataSource=",Datasource)</t>
  </si>
  <si>
    <t>=-NL("CubeValue","Finance","[Measures].[Net Change]","[Transaction Date].[Date YQMD].[Month]",I$7,"[Account].[by Account Category].[Account]","@@"&amp;$F104,"DataSource=",Datasource)</t>
  </si>
  <si>
    <t>=-NL("CubeValue","Finance","[Measures].[Net Change]","[Transaction Date].[Date YQMD].[Month]",J$7,"[Account].[by Account Category].[Account]","@@"&amp;$F104,"DataSource=",Datasource)</t>
  </si>
  <si>
    <t>=-NL("CubeValue","Finance","[Measures].[Net Change]","[Transaction Date].[Date YQMD].[Month]",H$7,"[Account].[by Account Category].[Account]","@@"&amp;$F105,"DataSource=",Datasource)</t>
  </si>
  <si>
    <t>=-NL("CubeValue","Finance","[Measures].[Net Change]","[Transaction Date].[Date YQMD].[Month]",I$7,"[Account].[by Account Category].[Account]","@@"&amp;$F105,"DataSource=",Datasource)</t>
  </si>
  <si>
    <t>=-NL("CubeValue","Finance","[Measures].[Net Change]","[Transaction Date].[Date YQMD].[Month]",J$7,"[Account].[by Account Category].[Account]","@@"&amp;$F105,"DataSource=",Datasource)</t>
  </si>
  <si>
    <t>=-NL("CubeValue","Finance","[Measures].[Net Change]","[Transaction Date].[Date YQMD].[Month]",H$7,"[Account].[by Account Category].[Account]","@@"&amp;$F106,"DataSource=",Datasource)</t>
  </si>
  <si>
    <t>=-NL("CubeValue","Finance","[Measures].[Net Change]","[Transaction Date].[Date YQMD].[Month]",I$7,"[Account].[by Account Category].[Account]","@@"&amp;$F106,"DataSource=",Datasource)</t>
  </si>
  <si>
    <t>=-NL("CubeValue","Finance","[Measures].[Net Change]","[Transaction Date].[Date YQMD].[Month]",J$7,"[Account].[by Account Category].[Account]","@@"&amp;$F106,"DataSource=",Datasource)</t>
  </si>
  <si>
    <t>=-NL("CubeValue","Finance","[Measures].[Net Change]","[Transaction Date].[Date YQMD].[Month]",H$7,"[Account].[by Account Category].[Account]","@@"&amp;$F107,"DataSource=",Datasource)</t>
  </si>
  <si>
    <t>=-NL("CubeValue","Finance","[Measures].[Net Change]","[Transaction Date].[Date YQMD].[Month]",I$7,"[Account].[by Account Category].[Account]","@@"&amp;$F107,"DataSource=",Datasource)</t>
  </si>
  <si>
    <t>=-NL("CubeValue","Finance","[Measures].[Net Change]","[Transaction Date].[Date YQMD].[Month]",J$7,"[Account].[by Account Category].[Account]","@@"&amp;$F107,"DataSource=",Datasource)</t>
  </si>
  <si>
    <t>=-NL("CubeValue","Finance","[Measures].[Net Change]","[Transaction Date].[Date YQMD].[Month]",H$7,"[Account].[by Account Category].[Account]","@@"&amp;$F108,"DataSource=",Datasource)</t>
  </si>
  <si>
    <t>=-NL("CubeValue","Finance","[Measures].[Net Change]","[Transaction Date].[Date YQMD].[Month]",I$7,"[Account].[by Account Category].[Account]","@@"&amp;$F108,"DataSource=",Datasource)</t>
  </si>
  <si>
    <t>=-NL("CubeValue","Finance","[Measures].[Net Change]","[Transaction Date].[Date YQMD].[Month]",J$7,"[Account].[by Account Category].[Account]","@@"&amp;$F108,"DataSource=",Datasource)</t>
  </si>
  <si>
    <t>=-NL("CubeValue","Finance","[Measures].[Net Change]","[Transaction Date].[Date YQMD].[Month]",H$7,"[Account].[by Account Category].[Account]","@@"&amp;$F109,"DataSource=",Datasource)</t>
  </si>
  <si>
    <t>=-NL("CubeValue","Finance","[Measures].[Net Change]","[Transaction Date].[Date YQMD].[Month]",I$7,"[Account].[by Account Category].[Account]","@@"&amp;$F109,"DataSource=",Datasource)</t>
  </si>
  <si>
    <t>=-NL("CubeValue","Finance","[Measures].[Net Change]","[Transaction Date].[Date YQMD].[Month]",J$7,"[Account].[by Account Category].[Account]","@@"&amp;$F109,"DataSource=",Datasource)</t>
  </si>
  <si>
    <t>=-NL("CubeValue","Finance","[Measures].[Net Change]","[Transaction Date].[Date YQMD].[Month]",H$7,"[Account].[by Account Category].[Account]","@@"&amp;$F110,"DataSource=",Datasource)</t>
  </si>
  <si>
    <t>=-NL("CubeValue","Finance","[Measures].[Net Change]","[Transaction Date].[Date YQMD].[Month]",I$7,"[Account].[by Account Category].[Account]","@@"&amp;$F110,"DataSource=",Datasource)</t>
  </si>
  <si>
    <t>=-NL("CubeValue","Finance","[Measures].[Net Change]","[Transaction Date].[Date YQMD].[Month]",J$7,"[Account].[by Account Category].[Account]","@@"&amp;$F110,"DataSource=",Datasource)</t>
  </si>
  <si>
    <t>=-NL("CubeValue","Finance","[Measures].[Net Change]","[Transaction Date].[Date YQMD].[Month]",H$7,"[Account].[by Account Category].[Account]","@@"&amp;$F111,"DataSource=",Datasource)</t>
  </si>
  <si>
    <t>=-NL("CubeValue","Finance","[Measures].[Net Change]","[Transaction Date].[Date YQMD].[Month]",I$7,"[Account].[by Account Category].[Account]","@@"&amp;$F111,"DataSource=",Datasource)</t>
  </si>
  <si>
    <t>=-NL("CubeValue","Finance","[Measures].[Net Change]","[Transaction Date].[Date YQMD].[Month]",J$7,"[Account].[by Account Category].[Account]","@@"&amp;$F111,"DataSource=",Datasource)</t>
  </si>
  <si>
    <t>=-NL("CubeValue","Finance","[Measures].[Net Change]","[Transaction Date].[Date YQMD].[Month]",H$7,"[Account].[by Account Category].[Account]","@@"&amp;$F112,"DataSource=",Datasource)</t>
  </si>
  <si>
    <t>=-NL("CubeValue","Finance","[Measures].[Net Change]","[Transaction Date].[Date YQMD].[Month]",I$7,"[Account].[by Account Category].[Account]","@@"&amp;$F112,"DataSource=",Datasource)</t>
  </si>
  <si>
    <t>=-NL("CubeValue","Finance","[Measures].[Net Change]","[Transaction Date].[Date YQMD].[Month]",J$7,"[Account].[by Account Category].[Account]","@@"&amp;$F112,"DataSource=",Datasource)</t>
  </si>
  <si>
    <t>=-NL("CubeValue","Finance","[Measures].[Net Change]","[Transaction Date].[Date YQMD].[Month]",H$7,"[Account].[by Account Category].[Account]","@@"&amp;$F113,"DataSource=",Datasource)</t>
  </si>
  <si>
    <t>=-NL("CubeValue","Finance","[Measures].[Net Change]","[Transaction Date].[Date YQMD].[Month]",I$7,"[Account].[by Account Category].[Account]","@@"&amp;$F113,"DataSource=",Datasource)</t>
  </si>
  <si>
    <t>=-NL("CubeValue","Finance","[Measures].[Net Change]","[Transaction Date].[Date YQMD].[Month]",J$7,"[Account].[by Account Category].[Account]","@@"&amp;$F113,"DataSource=",Datasource)</t>
  </si>
  <si>
    <t>=-NL("CubeValue","Finance","[Measures].[Net Change]","[Transaction Date].[Date YQMD].[Month]",H$7,"[Account].[by Account Category].[Account]","@@"&amp;$F114,"DataSource=",Datasource)</t>
  </si>
  <si>
    <t>=-NL("CubeValue","Finance","[Measures].[Net Change]","[Transaction Date].[Date YQMD].[Month]",I$7,"[Account].[by Account Category].[Account]","@@"&amp;$F114,"DataSource=",Datasource)</t>
  </si>
  <si>
    <t>=-NL("CubeValue","Finance","[Measures].[Net Change]","[Transaction Date].[Date YQMD].[Month]",J$7,"[Account].[by Account Category].[Account]","@@"&amp;$F114,"DataSource=",Datasource)</t>
  </si>
  <si>
    <t>=-NL("CubeValue","Finance","[Measures].[Net Change]","[Transaction Date].[Date YQMD].[Month]",H$7,"[Account].[by Account Category].[Account]","@@"&amp;$F115,"DataSource=",Datasource)</t>
  </si>
  <si>
    <t>=-NL("CubeValue","Finance","[Measures].[Net Change]","[Transaction Date].[Date YQMD].[Month]",I$7,"[Account].[by Account Category].[Account]","@@"&amp;$F115,"DataSource=",Datasource)</t>
  </si>
  <si>
    <t>=-NL("CubeValue","Finance","[Measures].[Net Change]","[Transaction Date].[Date YQMD].[Month]",J$7,"[Account].[by Account Category].[Account]","@@"&amp;$F115,"DataSource=",Datasource)</t>
  </si>
  <si>
    <t>=-NL("CubeValue","Finance","[Measures].[Net Change]","[Transaction Date].[Date YQMD].[Month]",H$7,"[Account].[by Account Category].[Account]","@@"&amp;$F116,"DataSource=",Datasource)</t>
  </si>
  <si>
    <t>=-NL("CubeValue","Finance","[Measures].[Net Change]","[Transaction Date].[Date YQMD].[Month]",I$7,"[Account].[by Account Category].[Account]","@@"&amp;$F116,"DataSource=",Datasource)</t>
  </si>
  <si>
    <t>=-NL("CubeValue","Finance","[Measures].[Net Change]","[Transaction Date].[Date YQMD].[Month]",J$7,"[Account].[by Account Category].[Account]","@@"&amp;$F116,"DataSource=",Datasource)</t>
  </si>
  <si>
    <t>=-NL("CubeValue","Finance","[Measures].[Net Change]","[Transaction Date].[Date YQMD].[Month]",H$7,"[Account].[by Account Category].[Account]","@@"&amp;$F117,"DataSource=",Datasource)</t>
  </si>
  <si>
    <t>=-NL("CubeValue","Finance","[Measures].[Net Change]","[Transaction Date].[Date YQMD].[Month]",I$7,"[Account].[by Account Category].[Account]","@@"&amp;$F117,"DataSource=",Datasource)</t>
  </si>
  <si>
    <t>=-NL("CubeValue","Finance","[Measures].[Net Change]","[Transaction Date].[Date YQMD].[Month]",J$7,"[Account].[by Account Category].[Account]","@@"&amp;$F117,"DataSource=",Datasource)</t>
  </si>
  <si>
    <t>=-NL("CubeValue","Finance","[Measures].[Net Change]","[Transaction Date].[Date YQMD].[Month]",H$7,"[Account].[by Account Category].[Account]","@@"&amp;$F118,"DataSource=",Datasource)</t>
  </si>
  <si>
    <t>=-NL("CubeValue","Finance","[Measures].[Net Change]","[Transaction Date].[Date YQMD].[Month]",I$7,"[Account].[by Account Category].[Account]","@@"&amp;$F118,"DataSource=",Datasource)</t>
  </si>
  <si>
    <t>=-NL("CubeValue","Finance","[Measures].[Net Change]","[Transaction Date].[Date YQMD].[Month]",J$7,"[Account].[by Account Category].[Account]","@@"&amp;$F118,"DataSource=",Datasource)</t>
  </si>
  <si>
    <t>=-NL("CubeValue","Finance","[Measures].[Net Change]","[Transaction Date].[Date YQMD].[Month]",H$7,"[Account].[by Account Category].[Account]","@@"&amp;$F119,"DataSource=",Datasource)</t>
  </si>
  <si>
    <t>=-NL("CubeValue","Finance","[Measures].[Net Change]","[Transaction Date].[Date YQMD].[Month]",I$7,"[Account].[by Account Category].[Account]","@@"&amp;$F119,"DataSource=",Datasource)</t>
  </si>
  <si>
    <t>=-NL("CubeValue","Finance","[Measures].[Net Change]","[Transaction Date].[Date YQMD].[Month]",J$7,"[Account].[by Account Category].[Account]","@@"&amp;$F119,"DataSource=",Datasource)</t>
  </si>
  <si>
    <t>=-NL("CubeValue","Finance","[Measures].[Net Change]","[Transaction Date].[Date YQMD].[Month]",H$7,"[Account].[by Account Category].[Account]","@@"&amp;$F120,"DataSource=",Datasource)</t>
  </si>
  <si>
    <t>=-NL("CubeValue","Finance","[Measures].[Net Change]","[Transaction Date].[Date YQMD].[Month]",I$7,"[Account].[by Account Category].[Account]","@@"&amp;$F120,"DataSource=",Datasource)</t>
  </si>
  <si>
    <t>=-NL("CubeValue","Finance","[Measures].[Net Change]","[Transaction Date].[Date YQMD].[Month]",J$7,"[Account].[by Account Category].[Account]","@@"&amp;$F120,"DataSource=",Datasource)</t>
  </si>
  <si>
    <t>=-NL("CubeValue","Finance","[Measures].[Net Change]","[Transaction Date].[Date YQMD].[Month]",H$7,"[Account].[by Account Category].[Account]","@@"&amp;$F121,"DataSource=",Datasource)</t>
  </si>
  <si>
    <t>=-NL("CubeValue","Finance","[Measures].[Net Change]","[Transaction Date].[Date YQMD].[Month]",I$7,"[Account].[by Account Category].[Account]","@@"&amp;$F121,"DataSource=",Datasource)</t>
  </si>
  <si>
    <t>=-NL("CubeValue","Finance","[Measures].[Net Change]","[Transaction Date].[Date YQMD].[Month]",J$7,"[Account].[by Account Category].[Account]","@@"&amp;$F121,"DataSource=",Datasource)</t>
  </si>
  <si>
    <t>=-NL("CubeValue","Finance","[Measures].[Net Change]","[Transaction Date].[Date YQMD].[Month]",H$7,"[Account].[by Account Category].[Account]","@@"&amp;$F122,"DataSource=",Datasource)</t>
  </si>
  <si>
    <t>=-NL("CubeValue","Finance","[Measures].[Net Change]","[Transaction Date].[Date YQMD].[Month]",I$7,"[Account].[by Account Category].[Account]","@@"&amp;$F122,"DataSource=",Datasource)</t>
  </si>
  <si>
    <t>=-NL("CubeValue","Finance","[Measures].[Net Change]","[Transaction Date].[Date YQMD].[Month]",J$7,"[Account].[by Account Category].[Account]","@@"&amp;$F122,"DataSource=",Datasource)</t>
  </si>
  <si>
    <t>=-NL("CubeValue","Finance","[Measures].[Net Change]","[Transaction Date].[Date YQMD].[Month]",H$7,"[Account].[by Account Category].[Account]","@@"&amp;$F123,"DataSource=",Datasource)</t>
  </si>
  <si>
    <t>=-NL("CubeValue","Finance","[Measures].[Net Change]","[Transaction Date].[Date YQMD].[Month]",I$7,"[Account].[by Account Category].[Account]","@@"&amp;$F123,"DataSource=",Datasource)</t>
  </si>
  <si>
    <t>=-NL("CubeValue","Finance","[Measures].[Net Change]","[Transaction Date].[Date YQMD].[Month]",J$7,"[Account].[by Account Category].[Account]","@@"&amp;$F123,"DataSource=",Datasource)</t>
  </si>
  <si>
    <t>=-NL("CubeValue","Finance","[Measures].[Net Change]","[Transaction Date].[Date YQMD].[Month]",H$7,"[Account].[by Account Category].[Account]","@@"&amp;$F124,"DataSource=",Datasource)</t>
  </si>
  <si>
    <t>=-NL("CubeValue","Finance","[Measures].[Net Change]","[Transaction Date].[Date YQMD].[Month]",I$7,"[Account].[by Account Category].[Account]","@@"&amp;$F124,"DataSource=",Datasource)</t>
  </si>
  <si>
    <t>=-NL("CubeValue","Finance","[Measures].[Net Change]","[Transaction Date].[Date YQMD].[Month]",J$7,"[Account].[by Account Category].[Account]","@@"&amp;$F124,"DataSource=",Datasource)</t>
  </si>
  <si>
    <t>=-NL("CubeValue","Finance","[Measures].[Net Change]","[Transaction Date].[Date YQMD].[Month]",H$7,"[Account].[by Account Category].[Account]","@@"&amp;$F125,"DataSource=",Datasource)</t>
  </si>
  <si>
    <t>=-NL("CubeValue","Finance","[Measures].[Net Change]","[Transaction Date].[Date YQMD].[Month]",I$7,"[Account].[by Account Category].[Account]","@@"&amp;$F125,"DataSource=",Datasource)</t>
  </si>
  <si>
    <t>=-NL("CubeValue","Finance","[Measures].[Net Change]","[Transaction Date].[Date YQMD].[Month]",J$7,"[Account].[by Account Category].[Account]","@@"&amp;$F125,"DataSource=",Datasource)</t>
  </si>
  <si>
    <t>=-NL("CubeValue","Finance","[Measures].[Net Change]","[Transaction Date].[Date YQMD].[Month]",H$7,"[Account].[by Account Category].[Account]","@@"&amp;$F126,"DataSource=",Datasource)</t>
  </si>
  <si>
    <t>=-NL("CubeValue","Finance","[Measures].[Net Change]","[Transaction Date].[Date YQMD].[Month]",I$7,"[Account].[by Account Category].[Account]","@@"&amp;$F126,"DataSource=",Datasource)</t>
  </si>
  <si>
    <t>=-NL("CubeValue","Finance","[Measures].[Net Change]","[Transaction Date].[Date YQMD].[Month]",J$7,"[Account].[by Account Category].[Account]","@@"&amp;$F126,"DataSource=",Datasource)</t>
  </si>
  <si>
    <t>=-NL("CubeValue","Finance","[Measures].[Net Change]","[Transaction Date].[Date YQMD].[Month]",H$7,"[Account].[by Account Category].[Account]","@@"&amp;$F127,"DataSource=",Datasource)</t>
  </si>
  <si>
    <t>=-NL("CubeValue","Finance","[Measures].[Net Change]","[Transaction Date].[Date YQMD].[Month]",I$7,"[Account].[by Account Category].[Account]","@@"&amp;$F127,"DataSource=",Datasource)</t>
  </si>
  <si>
    <t>=-NL("CubeValue","Finance","[Measures].[Net Change]","[Transaction Date].[Date YQMD].[Month]",J$7,"[Account].[by Account Category].[Account]","@@"&amp;$F127,"DataSource=",Datasource)</t>
  </si>
  <si>
    <t>=-NL("CubeValue","Finance","[Measures].[Net Change]","[Transaction Date].[Date YQMD].[Month]",H$7,"[Account].[by Account Category].[Account]","@@"&amp;$F128,"DataSource=",Datasource)</t>
  </si>
  <si>
    <t>=-NL("CubeValue","Finance","[Measures].[Net Change]","[Transaction Date].[Date YQMD].[Month]",I$7,"[Account].[by Account Category].[Account]","@@"&amp;$F128,"DataSource=",Datasource)</t>
  </si>
  <si>
    <t>=-NL("CubeValue","Finance","[Measures].[Net Change]","[Transaction Date].[Date YQMD].[Month]",J$7,"[Account].[by Account Category].[Account]","@@"&amp;$F128,"DataSource=",Datasource)</t>
  </si>
  <si>
    <t>=-NL("CubeValue","Finance","[Measures].[Net Change]","[Transaction Date].[Date YQMD].[Month]",H$7,"[Account].[by Account Category].[Account]","@@"&amp;$F129,"DataSource=",Datasource)</t>
  </si>
  <si>
    <t>=-NL("CubeValue","Finance","[Measures].[Net Change]","[Transaction Date].[Date YQMD].[Month]",I$7,"[Account].[by Account Category].[Account]","@@"&amp;$F129,"DataSource=",Datasource)</t>
  </si>
  <si>
    <t>=-NL("CubeValue","Finance","[Measures].[Net Change]","[Transaction Date].[Date YQMD].[Month]",J$7,"[Account].[by Account Category].[Account]","@@"&amp;$F129,"DataSource=",Datasource)</t>
  </si>
  <si>
    <t>=-NL("CubeValue","Finance","[Measures].[Net Change]","[Transaction Date].[Date YQMD].[Month]",H$7,"[Account].[by Account Category].[Account]","@@"&amp;$F130,"DataSource=",Datasource)</t>
  </si>
  <si>
    <t>=-NL("CubeValue","Finance","[Measures].[Net Change]","[Transaction Date].[Date YQMD].[Month]",I$7,"[Account].[by Account Category].[Account]","@@"&amp;$F130,"DataSource=",Datasource)</t>
  </si>
  <si>
    <t>=-NL("CubeValue","Finance","[Measures].[Net Change]","[Transaction Date].[Date YQMD].[Month]",J$7,"[Account].[by Account Category].[Account]","@@"&amp;$F130,"DataSource=",Datasource)</t>
  </si>
  <si>
    <t>=-NL("CubeValue","Finance","[Measures].[Net Change]","[Transaction Date].[Date YQMD].[Month]",H$7,"[Account].[by Account Category].[Account]","@@"&amp;$F131,"DataSource=",Datasource)</t>
  </si>
  <si>
    <t>=-NL("CubeValue","Finance","[Measures].[Net Change]","[Transaction Date].[Date YQMD].[Month]",I$7,"[Account].[by Account Category].[Account]","@@"&amp;$F131,"DataSource=",Datasource)</t>
  </si>
  <si>
    <t>=-NL("CubeValue","Finance","[Measures].[Net Change]","[Transaction Date].[Date YQMD].[Month]",J$7,"[Account].[by Account Category].[Account]","@@"&amp;$F131,"DataSource=",Datasource)</t>
  </si>
  <si>
    <t>=-NL("CubeValue","Finance","[Measures].[Net Change]","[Transaction Date].[Date YQMD].[Month]",H$7,"[Account].[by Account Category].[Account]","@@"&amp;$F132,"DataSource=",Datasource)</t>
  </si>
  <si>
    <t>=-NL("CubeValue","Finance","[Measures].[Net Change]","[Transaction Date].[Date YQMD].[Month]",I$7,"[Account].[by Account Category].[Account]","@@"&amp;$F132,"DataSource=",Datasource)</t>
  </si>
  <si>
    <t>=-NL("CubeValue","Finance","[Measures].[Net Change]","[Transaction Date].[Date YQMD].[Month]",J$7,"[Account].[by Account Category].[Account]","@@"&amp;$F132,"DataSource=",Datasource)</t>
  </si>
  <si>
    <t>=-NL("CubeValue","Finance","[Measures].[Net Change]","[Transaction Date].[Date YQMD].[Month]",H$7,"[Account].[by Account Category].[Account]","@@"&amp;$F133,"DataSource=",Datasource)</t>
  </si>
  <si>
    <t>=-NL("CubeValue","Finance","[Measures].[Net Change]","[Transaction Date].[Date YQMD].[Month]",I$7,"[Account].[by Account Category].[Account]","@@"&amp;$F133,"DataSource=",Datasource)</t>
  </si>
  <si>
    <t>=-NL("CubeValue","Finance","[Measures].[Net Change]","[Transaction Date].[Date YQMD].[Month]",J$7,"[Account].[by Account Category].[Account]","@@"&amp;$F133,"DataSource=",Datasource)</t>
  </si>
  <si>
    <t>=-NL("CubeValue","Finance","[Measures].[Net Change]","[Transaction Date].[Date YQMD].[Month]",H$7,"[Account].[by Account Category].[Account]","@@"&amp;$F134,"DataSource=",Datasource)</t>
  </si>
  <si>
    <t>=-NL("CubeValue","Finance","[Measures].[Net Change]","[Transaction Date].[Date YQMD].[Month]",I$7,"[Account].[by Account Category].[Account]","@@"&amp;$F134,"DataSource=",Datasource)</t>
  </si>
  <si>
    <t>=-NL("CubeValue","Finance","[Measures].[Net Change]","[Transaction Date].[Date YQMD].[Month]",J$7,"[Account].[by Account Category].[Account]","@@"&amp;$F134,"DataSource=",Datasource)</t>
  </si>
  <si>
    <t>=-NL("CubeValue","Finance","[Measures].[Net Change]","[Transaction Date].[Date YQMD].[Month]",H$7,"[Account].[by Account Category].[Account]","@@"&amp;$F135,"DataSource=",Datasource)</t>
  </si>
  <si>
    <t>=-NL("CubeValue","Finance","[Measures].[Net Change]","[Transaction Date].[Date YQMD].[Month]",I$7,"[Account].[by Account Category].[Account]","@@"&amp;$F135,"DataSource=",Datasource)</t>
  </si>
  <si>
    <t>=-NL("CubeValue","Finance","[Measures].[Net Change]","[Transaction Date].[Date YQMD].[Month]",J$7,"[Account].[by Account Category].[Account]","@@"&amp;$F135,"DataSource=",Datasource)</t>
  </si>
  <si>
    <t>=-NL("CubeValue","Finance","[Measures].[Net Change]","[Transaction Date].[Date YQMD].[Month]",H$7,"[Account].[by Account Category].[Account]","@@"&amp;$F136,"DataSource=",Datasource)</t>
  </si>
  <si>
    <t>=-NL("CubeValue","Finance","[Measures].[Net Change]","[Transaction Date].[Date YQMD].[Month]",I$7,"[Account].[by Account Category].[Account]","@@"&amp;$F136,"DataSource=",Datasource)</t>
  </si>
  <si>
    <t>=-NL("CubeValue","Finance","[Measures].[Net Change]","[Transaction Date].[Date YQMD].[Month]",J$7,"[Account].[by Account Category].[Account]","@@"&amp;$F136,"DataSource=",Datasource)</t>
  </si>
  <si>
    <t>=-NL("CubeValue","Finance","[Measures].[Net Change]","[Transaction Date].[Date YQMD].[Month]",H$7,"[Account].[by Account Category].[Account]","@@"&amp;$F137,"DataSource=",Datasource)</t>
  </si>
  <si>
    <t>=-NL("CubeValue","Finance","[Measures].[Net Change]","[Transaction Date].[Date YQMD].[Month]",I$7,"[Account].[by Account Category].[Account]","@@"&amp;$F137,"DataSource=",Datasource)</t>
  </si>
  <si>
    <t>=-NL("CubeValue","Finance","[Measures].[Net Change]","[Transaction Date].[Date YQMD].[Month]",J$7,"[Account].[by Account Category].[Account]","@@"&amp;$F137,"DataSource=",Datasource)</t>
  </si>
  <si>
    <t>=-NL("CubeValue","Finance","[Measures].[Net Change]","[Transaction Date].[Date YQMD].[Month]",H$7,"[Account].[by Account Category].[Account]","@@"&amp;$F138,"DataSource=",Datasource)</t>
  </si>
  <si>
    <t>=-NL("CubeValue","Finance","[Measures].[Net Change]","[Transaction Date].[Date YQMD].[Month]",I$7,"[Account].[by Account Category].[Account]","@@"&amp;$F138,"DataSource=",Datasource)</t>
  </si>
  <si>
    <t>=-NL("CubeValue","Finance","[Measures].[Net Change]","[Transaction Date].[Date YQMD].[Month]",J$7,"[Account].[by Account Category].[Account]","@@"&amp;$F138,"DataSource=",Datasource)</t>
  </si>
  <si>
    <t>=-NL("CubeValue","Finance","[Measures].[Net Change]","[Transaction Date].[Date YQMD].[Month]",H$7,"[Account].[by Account Category].[Account]","@@"&amp;$F139,"DataSource=",Datasource)</t>
  </si>
  <si>
    <t>=-NL("CubeValue","Finance","[Measures].[Net Change]","[Transaction Date].[Date YQMD].[Month]",I$7,"[Account].[by Account Category].[Account]","@@"&amp;$F139,"DataSource=",Datasource)</t>
  </si>
  <si>
    <t>=-NL("CubeValue","Finance","[Measures].[Net Change]","[Transaction Date].[Date YQMD].[Month]",J$7,"[Account].[by Account Category].[Account]","@@"&amp;$F139,"DataSource=",Datasource)</t>
  </si>
  <si>
    <t>=-NL("CubeValue","Finance","[Measures].[Net Change]","[Transaction Date].[Date YQMD].[Month]",H$7,"[Account].[by Account Category].[Account]","@@"&amp;$F140,"DataSource=",Datasource)</t>
  </si>
  <si>
    <t>=-NL("CubeValue","Finance","[Measures].[Net Change]","[Transaction Date].[Date YQMD].[Month]",I$7,"[Account].[by Account Category].[Account]","@@"&amp;$F140,"DataSource=",Datasource)</t>
  </si>
  <si>
    <t>=-NL("CubeValue","Finance","[Measures].[Net Change]","[Transaction Date].[Date YQMD].[Month]",J$7,"[Account].[by Account Category].[Account]","@@"&amp;$F140,"DataSource=",Datasource)</t>
  </si>
  <si>
    <t>=-NL("CubeValue","Finance","[Measures].[Net Change]","[Transaction Date].[Date YQMD].[Month]",H$7,"[Account].[by Account Category].[Account]","@@"&amp;$F141,"DataSource=",Datasource)</t>
  </si>
  <si>
    <t>=-NL("CubeValue","Finance","[Measures].[Net Change]","[Transaction Date].[Date YQMD].[Month]",I$7,"[Account].[by Account Category].[Account]","@@"&amp;$F141,"DataSource=",Datasource)</t>
  </si>
  <si>
    <t>=-NL("CubeValue","Finance","[Measures].[Net Change]","[Transaction Date].[Date YQMD].[Month]",J$7,"[Account].[by Account Category].[Account]","@@"&amp;$F141,"DataSource=",Datasource)</t>
  </si>
  <si>
    <t>=-NL("CubeValue","Finance","[Measures].[Net Change]","[Transaction Date].[Date YQMD].[Month]",H$7,"[Account].[by Account Category].[Account]","@@"&amp;$F142,"DataSource=",Datasource)</t>
  </si>
  <si>
    <t>=-NL("CubeValue","Finance","[Measures].[Net Change]","[Transaction Date].[Date YQMD].[Month]",I$7,"[Account].[by Account Category].[Account]","@@"&amp;$F142,"DataSource=",Datasource)</t>
  </si>
  <si>
    <t>=-NL("CubeValue","Finance","[Measures].[Net Change]","[Transaction Date].[Date YQMD].[Month]",J$7,"[Account].[by Account Category].[Account]","@@"&amp;$F142,"DataSource=",Datasource)</t>
  </si>
  <si>
    <t>=-NL("CubeValue","Finance","[Measures].[Net Change]","[Transaction Date].[Date YQMD].[Month]",H$7,"[Account].[by Account Category].[Account]","@@"&amp;$F143,"DataSource=",Datasource)</t>
  </si>
  <si>
    <t>=-NL("CubeValue","Finance","[Measures].[Net Change]","[Transaction Date].[Date YQMD].[Month]",I$7,"[Account].[by Account Category].[Account]","@@"&amp;$F143,"DataSource=",Datasource)</t>
  </si>
  <si>
    <t>=-NL("CubeValue","Finance","[Measures].[Net Change]","[Transaction Date].[Date YQMD].[Month]",J$7,"[Account].[by Account Category].[Account]","@@"&amp;$F143,"DataSource=",Datasource)</t>
  </si>
  <si>
    <t>=-NL("CubeValue","Finance","[Measures].[Net Change]","[Transaction Date].[Date YQMD].[Month]",H$7,"[Account].[by Account Category].[Account]","@@"&amp;$F144,"DataSource=",Datasource)</t>
  </si>
  <si>
    <t>=-NL("CubeValue","Finance","[Measures].[Net Change]","[Transaction Date].[Date YQMD].[Month]",I$7,"[Account].[by Account Category].[Account]","@@"&amp;$F144,"DataSource=",Datasource)</t>
  </si>
  <si>
    <t>=-NL("CubeValue","Finance","[Measures].[Net Change]","[Transaction Date].[Date YQMD].[Month]",J$7,"[Account].[by Account Category].[Account]","@@"&amp;$F144,"DataSource=",Datasource)</t>
  </si>
  <si>
    <t>=-NL("CubeValue","Finance","[Measures].[Net Change]","[Transaction Date].[Date YQMD].[Month]",H$7,"[Account].[by Account Category].[Account]","@@"&amp;$F145,"DataSource=",Datasource)</t>
  </si>
  <si>
    <t>=-NL("CubeValue","Finance","[Measures].[Net Change]","[Transaction Date].[Date YQMD].[Month]",I$7,"[Account].[by Account Category].[Account]","@@"&amp;$F145,"DataSource=",Datasource)</t>
  </si>
  <si>
    <t>=-NL("CubeValue","Finance","[Measures].[Net Change]","[Transaction Date].[Date YQMD].[Month]",J$7,"[Account].[by Account Category].[Account]","@@"&amp;$F145,"DataSource=",Datasource)</t>
  </si>
  <si>
    <t>=-NL("CubeValue","Finance","[Measures].[Net Change]","[Transaction Date].[Date YQMD].[Month]",H$7,"[Account].[by Account Category].[Account]","@@"&amp;$F146,"DataSource=",Datasource)</t>
  </si>
  <si>
    <t>=-NL("CubeValue","Finance","[Measures].[Net Change]","[Transaction Date].[Date YQMD].[Month]",I$7,"[Account].[by Account Category].[Account]","@@"&amp;$F146,"DataSource=",Datasource)</t>
  </si>
  <si>
    <t>=-NL("CubeValue","Finance","[Measures].[Net Change]","[Transaction Date].[Date YQMD].[Month]",J$7,"[Account].[by Account Category].[Account]","@@"&amp;$F146,"DataSource=",Datasource)</t>
  </si>
  <si>
    <t>=-NL("CubeValue","Finance","[Measures].[Net Change]","[Transaction Date].[Date YQMD].[Month]",H$7,"[Account].[by Account Category].[Account]","@@"&amp;$F147,"DataSource=",Datasource)</t>
  </si>
  <si>
    <t>=-NL("CubeValue","Finance","[Measures].[Net Change]","[Transaction Date].[Date YQMD].[Month]",I$7,"[Account].[by Account Category].[Account]","@@"&amp;$F147,"DataSource=",Datasource)</t>
  </si>
  <si>
    <t>=-NL("CubeValue","Finance","[Measures].[Net Change]","[Transaction Date].[Date YQMD].[Month]",J$7,"[Account].[by Account Category].[Account]","@@"&amp;$F147,"DataSource=",Datasource)</t>
  </si>
  <si>
    <t>=-NL("CubeValue","Finance","[Measures].[Net Change]","[Transaction Date].[Date YQMD].[Month]",H$7,"[Account].[by Account Category].[Account]","@@"&amp;$F148,"DataSource=",Datasource)</t>
  </si>
  <si>
    <t>=-NL("CubeValue","Finance","[Measures].[Net Change]","[Transaction Date].[Date YQMD].[Month]",I$7,"[Account].[by Account Category].[Account]","@@"&amp;$F148,"DataSource=",Datasource)</t>
  </si>
  <si>
    <t>=-NL("CubeValue","Finance","[Measures].[Net Change]","[Transaction Date].[Date YQMD].[Month]",J$7,"[Account].[by Account Category].[Account]","@@"&amp;$F148,"DataSource=",Datasource)</t>
  </si>
  <si>
    <t>=-NL("CubeValue","Finance","[Measures].[Net Change]","[Transaction Date].[Date YQMD].[Month]",H$7,"[Account].[by Account Category].[Account]","@@"&amp;$F149,"DataSource=",Datasource)</t>
  </si>
  <si>
    <t>=-NL("CubeValue","Finance","[Measures].[Net Change]","[Transaction Date].[Date YQMD].[Month]",I$7,"[Account].[by Account Category].[Account]","@@"&amp;$F149,"DataSource=",Datasource)</t>
  </si>
  <si>
    <t>=-NL("CubeValue","Finance","[Measures].[Net Change]","[Transaction Date].[Date YQMD].[Month]",J$7,"[Account].[by Account Category].[Account]","@@"&amp;$F149,"DataSource=",Datasource)</t>
  </si>
  <si>
    <t>=-NL("CubeValue","Finance","[Measures].[Net Change]","[Transaction Date].[Date YQMD].[Month]",H$7,"[Account].[by Account Category].[Account]","@@"&amp;$F150,"DataSource=",Datasource)</t>
  </si>
  <si>
    <t>=-NL("CubeValue","Finance","[Measures].[Net Change]","[Transaction Date].[Date YQMD].[Month]",I$7,"[Account].[by Account Category].[Account]","@@"&amp;$F150,"DataSource=",Datasource)</t>
  </si>
  <si>
    <t>=-NL("CubeValue","Finance","[Measures].[Net Change]","[Transaction Date].[Date YQMD].[Month]",J$7,"[Account].[by Account Category].[Account]","@@"&amp;$F150,"DataSource=",Datasource)</t>
  </si>
  <si>
    <t>=-NL("CubeValue","Finance","[Measures].[Net Change]","[Transaction Date].[Date YQMD].[Month]",H$7,"[Account].[by Account Category].[Account]","@@"&amp;$F151,"DataSource=",Datasource)</t>
  </si>
  <si>
    <t>=-NL("CubeValue","Finance","[Measures].[Net Change]","[Transaction Date].[Date YQMD].[Month]",I$7,"[Account].[by Account Category].[Account]","@@"&amp;$F151,"DataSource=",Datasource)</t>
  </si>
  <si>
    <t>=-NL("CubeValue","Finance","[Measures].[Net Change]","[Transaction Date].[Date YQMD].[Month]",J$7,"[Account].[by Account Category].[Account]","@@"&amp;$F151,"DataSource=",Datasource)</t>
  </si>
  <si>
    <t>=-NL("CubeValue","Finance","[Measures].[Net Change]","[Transaction Date].[Date YQMD].[Month]",H$7,"[Account].[by Account Category].[Account]","@@"&amp;$F152,"DataSource=",Datasource)</t>
  </si>
  <si>
    <t>=-NL("CubeValue","Finance","[Measures].[Net Change]","[Transaction Date].[Date YQMD].[Month]",I$7,"[Account].[by Account Category].[Account]","@@"&amp;$F152,"DataSource=",Datasource)</t>
  </si>
  <si>
    <t>=-NL("CubeValue","Finance","[Measures].[Net Change]","[Transaction Date].[Date YQMD].[Month]",J$7,"[Account].[by Account Category].[Account]","@@"&amp;$F152,"DataSource=",Datasource)</t>
  </si>
  <si>
    <t>=-NL("CubeValue","Finance","[Measures].[Net Change]","[Transaction Date].[Date YQMD].[Month]",H$7,"[Account].[by Account Category].[Account]","@@"&amp;$F153,"DataSource=",Datasource)</t>
  </si>
  <si>
    <t>=-NL("CubeValue","Finance","[Measures].[Net Change]","[Transaction Date].[Date YQMD].[Month]",I$7,"[Account].[by Account Category].[Account]","@@"&amp;$F153,"DataSource=",Datasource)</t>
  </si>
  <si>
    <t>=-NL("CubeValue","Finance","[Measures].[Net Change]","[Transaction Date].[Date YQMD].[Month]",J$7,"[Account].[by Account Category].[Account]","@@"&amp;$F153,"DataSource=",Datasource)</t>
  </si>
  <si>
    <t>=-NL("CubeValue","Finance","[Measures].[Net Change]","[Transaction Date].[Date YQMD].[Month]",H$7,"[Account].[by Account Category].[Account]","@@"&amp;$F154,"DataSource=",Datasource)</t>
  </si>
  <si>
    <t>=-NL("CubeValue","Finance","[Measures].[Net Change]","[Transaction Date].[Date YQMD].[Month]",I$7,"[Account].[by Account Category].[Account]","@@"&amp;$F154,"DataSource=",Datasource)</t>
  </si>
  <si>
    <t>=-NL("CubeValue","Finance","[Measures].[Net Change]","[Transaction Date].[Date YQMD].[Month]",J$7,"[Account].[by Account Category].[Account]","@@"&amp;$F154,"DataSource=",Datasource)</t>
  </si>
  <si>
    <t>=-NL("CubeValue","Finance","[Measures].[Net Change]","[Transaction Date].[Date YQMD].[Month]",H$7,"[Account].[by Account Category].[Account]","@@"&amp;$F155,"DataSource=",Datasource)</t>
  </si>
  <si>
    <t>=-NL("CubeValue","Finance","[Measures].[Net Change]","[Transaction Date].[Date YQMD].[Month]",I$7,"[Account].[by Account Category].[Account]","@@"&amp;$F155,"DataSource=",Datasource)</t>
  </si>
  <si>
    <t>=-NL("CubeValue","Finance","[Measures].[Net Change]","[Transaction Date].[Date YQMD].[Month]",J$7,"[Account].[by Account Category].[Account]","@@"&amp;$F155,"DataSource=",Datasource)</t>
  </si>
  <si>
    <t>=-NL("CubeValue","Finance","[Measures].[Net Change]","[Transaction Date].[Date YQMD].[Month]",H$7,"[Account].[by Account Category].[Account]","@@"&amp;$F156,"DataSource=",Datasource)</t>
  </si>
  <si>
    <t>=-NL("CubeValue","Finance","[Measures].[Net Change]","[Transaction Date].[Date YQMD].[Month]",I$7,"[Account].[by Account Category].[Account]","@@"&amp;$F156,"DataSource=",Datasource)</t>
  </si>
  <si>
    <t>=-NL("CubeValue","Finance","[Measures].[Net Change]","[Transaction Date].[Date YQMD].[Month]",J$7,"[Account].[by Account Category].[Account]","@@"&amp;$F156,"DataSource=",Datasource)</t>
  </si>
  <si>
    <t>=-NL("CubeValue","Finance","[Measures].[Net Change]","[Transaction Date].[Date YQMD].[Month]",H$7,"[Account].[by Account Category].[Account]","@@"&amp;$F157,"DataSource=",Datasource)</t>
  </si>
  <si>
    <t>=-NL("CubeValue","Finance","[Measures].[Net Change]","[Transaction Date].[Date YQMD].[Month]",I$7,"[Account].[by Account Category].[Account]","@@"&amp;$F157,"DataSource=",Datasource)</t>
  </si>
  <si>
    <t>=-NL("CubeValue","Finance","[Measures].[Net Change]","[Transaction Date].[Date YQMD].[Month]",J$7,"[Account].[by Account Category].[Account]","@@"&amp;$F157,"DataSource=",Datasource)</t>
  </si>
  <si>
    <t>=-NL("CubeValue","Finance","[Measures].[Net Change]","[Transaction Date].[Date YQMD].[Month]",H$7,"[Account].[by Account Category].[Account]","@@"&amp;$F158,"DataSource=",Datasource)</t>
  </si>
  <si>
    <t>=-NL("CubeValue","Finance","[Measures].[Net Change]","[Transaction Date].[Date YQMD].[Month]",I$7,"[Account].[by Account Category].[Account]","@@"&amp;$F158,"DataSource=",Datasource)</t>
  </si>
  <si>
    <t>=-NL("CubeValue","Finance","[Measures].[Net Change]","[Transaction Date].[Date YQMD].[Month]",J$7,"[Account].[by Account Category].[Account]","@@"&amp;$F158,"DataSource=",Datasource)</t>
  </si>
  <si>
    <t>=-NL("CubeValue","Finance","[Measures].[Net Change]","[Transaction Date].[Date YQMD].[Month]",H$7,"[Account].[by Account Category].[Account]","@@"&amp;$F159,"DataSource=",Datasource)</t>
  </si>
  <si>
    <t>=-NL("CubeValue","Finance","[Measures].[Net Change]","[Transaction Date].[Date YQMD].[Month]",I$7,"[Account].[by Account Category].[Account]","@@"&amp;$F159,"DataSource=",Datasource)</t>
  </si>
  <si>
    <t>=-NL("CubeValue","Finance","[Measures].[Net Change]","[Transaction Date].[Date YQMD].[Month]",J$7,"[Account].[by Account Category].[Account]","@@"&amp;$F159,"DataSource=",Datasource)</t>
  </si>
  <si>
    <t>=-NL("CubeValue","Finance","[Measures].[Net Change]","[Transaction Date].[Date YQMD].[Month]",H$7,"[Account].[by Account Category].[Account]","@@"&amp;$F160,"DataSource=",Datasource)</t>
  </si>
  <si>
    <t>=-NL("CubeValue","Finance","[Measures].[Net Change]","[Transaction Date].[Date YQMD].[Month]",I$7,"[Account].[by Account Category].[Account]","@@"&amp;$F160,"DataSource=",Datasource)</t>
  </si>
  <si>
    <t>=-NL("CubeValue","Finance","[Measures].[Net Change]","[Transaction Date].[Date YQMD].[Month]",J$7,"[Account].[by Account Category].[Account]","@@"&amp;$F160,"DataSource=",Datasource)</t>
  </si>
  <si>
    <t>=-NL("CubeValue","Finance","[Measures].[Net Change]","[Transaction Date].[Date YQMD].[Month]",H$7,"[Account].[by Account Category].[Account]","@@"&amp;$F161,"DataSource=",Datasource)</t>
  </si>
  <si>
    <t>=-NL("CubeValue","Finance","[Measures].[Net Change]","[Transaction Date].[Date YQMD].[Month]",I$7,"[Account].[by Account Category].[Account]","@@"&amp;$F161,"DataSource=",Datasource)</t>
  </si>
  <si>
    <t>=-NL("CubeValue","Finance","[Measures].[Net Change]","[Transaction Date].[Date YQMD].[Month]",J$7,"[Account].[by Account Category].[Account]","@@"&amp;$F161,"DataSource=",Datasource)</t>
  </si>
  <si>
    <t>=-NL("CubeValue","Finance","[Measures].[Net Change]","[Transaction Date].[Date YQMD].[Month]",H$7,"[Account].[by Account Category].[Account]","@@"&amp;$F162,"DataSource=",Datasource)</t>
  </si>
  <si>
    <t>=-NL("CubeValue","Finance","[Measures].[Net Change]","[Transaction Date].[Date YQMD].[Month]",I$7,"[Account].[by Account Category].[Account]","@@"&amp;$F162,"DataSource=",Datasource)</t>
  </si>
  <si>
    <t>=-NL("CubeValue","Finance","[Measures].[Net Change]","[Transaction Date].[Date YQMD].[Month]",J$7,"[Account].[by Account Category].[Account]","@@"&amp;$F162,"DataSource=",Datasource)</t>
  </si>
  <si>
    <t>=-NL("CubeValue","Finance","[Measures].[Net Change]","[Transaction Date].[Date YQMD].[Month]",H$7,"[Account].[by Account Category].[Account]","@@"&amp;$F163,"DataSource=",Datasource)</t>
  </si>
  <si>
    <t>=-NL("CubeValue","Finance","[Measures].[Net Change]","[Transaction Date].[Date YQMD].[Month]",I$7,"[Account].[by Account Category].[Account]","@@"&amp;$F163,"DataSource=",Datasource)</t>
  </si>
  <si>
    <t>=-NL("CubeValue","Finance","[Measures].[Net Change]","[Transaction Date].[Date YQMD].[Month]",J$7,"[Account].[by Account Category].[Account]","@@"&amp;$F163,"DataSource=",Datasource)</t>
  </si>
  <si>
    <t>=-NL("CubeValue","Finance","[Measures].[Net Change]","[Transaction Date].[Date YQMD].[Month]",H$7,"[Account].[by Account Category].[Account]","@@"&amp;$F164,"DataSource=",Datasource)</t>
  </si>
  <si>
    <t>=-NL("CubeValue","Finance","[Measures].[Net Change]","[Transaction Date].[Date YQMD].[Month]",I$7,"[Account].[by Account Category].[Account]","@@"&amp;$F164,"DataSource=",Datasource)</t>
  </si>
  <si>
    <t>=-NL("CubeValue","Finance","[Measures].[Net Change]","[Transaction Date].[Date YQMD].[Month]",J$7,"[Account].[by Account Category].[Account]","@@"&amp;$F164,"DataSource=",Datasource)</t>
  </si>
  <si>
    <t>=-NL("CubeValue","Finance","[Measures].[Net Change]","[Transaction Date].[Date YQMD].[Month]",H$7,"[Account].[by Account Category].[Account]","@@"&amp;$F165,"DataSource=",Datasource)</t>
  </si>
  <si>
    <t>=-NL("CubeValue","Finance","[Measures].[Net Change]","[Transaction Date].[Date YQMD].[Month]",I$7,"[Account].[by Account Category].[Account]","@@"&amp;$F165,"DataSource=",Datasource)</t>
  </si>
  <si>
    <t>=-NL("CubeValue","Finance","[Measures].[Net Change]","[Transaction Date].[Date YQMD].[Month]",J$7,"[Account].[by Account Category].[Account]","@@"&amp;$F165,"DataSource=",Datasource)</t>
  </si>
  <si>
    <t>=-NL("CubeValue","Finance","[Measures].[Net Change]","[Transaction Date].[Date YQMD].[Month]",H$7,"[Account].[by Account Category].[Account]","@@"&amp;$F166,"DataSource=",Datasource)</t>
  </si>
  <si>
    <t>=-NL("CubeValue","Finance","[Measures].[Net Change]","[Transaction Date].[Date YQMD].[Month]",I$7,"[Account].[by Account Category].[Account]","@@"&amp;$F166,"DataSource=",Datasource)</t>
  </si>
  <si>
    <t>=-NL("CubeValue","Finance","[Measures].[Net Change]","[Transaction Date].[Date YQMD].[Month]",J$7,"[Account].[by Account Category].[Account]","@@"&amp;$F166,"DataSource=",Datasource)</t>
  </si>
  <si>
    <t>=-NL("CubeValue","Finance","[Measures].[Net Change]","[Transaction Date].[Date YQMD].[Month]",H$7,"[Account].[by Account Category].[Account]","@@"&amp;$F167,"DataSource=",Datasource)</t>
  </si>
  <si>
    <t>=-NL("CubeValue","Finance","[Measures].[Net Change]","[Transaction Date].[Date YQMD].[Month]",I$7,"[Account].[by Account Category].[Account]","@@"&amp;$F167,"DataSource=",Datasource)</t>
  </si>
  <si>
    <t>=-NL("CubeValue","Finance","[Measures].[Net Change]","[Transaction Date].[Date YQMD].[Month]",J$7,"[Account].[by Account Category].[Account]","@@"&amp;$F167,"DataSource=",Datasource)</t>
  </si>
  <si>
    <t>=-NL("CubeValue","Finance","[Measures].[Net Change]","[Transaction Date].[Date YQMD].[Month]",H$7,"[Account].[by Account Category].[Account]","@@"&amp;$F168,"DataSource=",Datasource)</t>
  </si>
  <si>
    <t>=-NL("CubeValue","Finance","[Measures].[Net Change]","[Transaction Date].[Date YQMD].[Month]",I$7,"[Account].[by Account Category].[Account]","@@"&amp;$F168,"DataSource=",Datasource)</t>
  </si>
  <si>
    <t>=-NL("CubeValue","Finance","[Measures].[Net Change]","[Transaction Date].[Date YQMD].[Month]",J$7,"[Account].[by Account Category].[Account]","@@"&amp;$F168,"DataSource=",Datasource)</t>
  </si>
  <si>
    <t>=-NL("CubeValue","Finance","[Measures].[Net Change]","[Transaction Date].[Date YQMD].[Month]",H$7,"[Account].[by Account Category].[Account]","@@"&amp;$F169,"DataSource=",Datasource)</t>
  </si>
  <si>
    <t>=-NL("CubeValue","Finance","[Measures].[Net Change]","[Transaction Date].[Date YQMD].[Month]",I$7,"[Account].[by Account Category].[Account]","@@"&amp;$F169,"DataSource=",Datasource)</t>
  </si>
  <si>
    <t>=-NL("CubeValue","Finance","[Measures].[Net Change]","[Transaction Date].[Date YQMD].[Month]",J$7,"[Account].[by Account Category].[Account]","@@"&amp;$F169,"DataSource=",Datasource)</t>
  </si>
  <si>
    <t>=-NL("CubeValue","Finance","[Measures].[Net Change]","[Transaction Date].[Date YQMD].[Month]",H$7,"[Account].[by Account Category].[Account]","@@"&amp;$F170,"DataSource=",Datasource)</t>
  </si>
  <si>
    <t>=-NL("CubeValue","Finance","[Measures].[Net Change]","[Transaction Date].[Date YQMD].[Month]",I$7,"[Account].[by Account Category].[Account]","@@"&amp;$F170,"DataSource=",Datasource)</t>
  </si>
  <si>
    <t>=-NL("CubeValue","Finance","[Measures].[Net Change]","[Transaction Date].[Date YQMD].[Month]",J$7,"[Account].[by Account Category].[Account]","@@"&amp;$F170,"DataSource=",Datasource)</t>
  </si>
  <si>
    <t>=-NL("CubeValue","Finance","[Measures].[Net Change]","[Transaction Date].[Date YQMD].[Month]",H$7,"[Account].[by Account Category].[Account]","@@"&amp;$F171,"DataSource=",Datasource)</t>
  </si>
  <si>
    <t>=-NL("CubeValue","Finance","[Measures].[Net Change]","[Transaction Date].[Date YQMD].[Month]",I$7,"[Account].[by Account Category].[Account]","@@"&amp;$F171,"DataSource=",Datasource)</t>
  </si>
  <si>
    <t>=-NL("CubeValue","Finance","[Measures].[Net Change]","[Transaction Date].[Date YQMD].[Month]",J$7,"[Account].[by Account Category].[Account]","@@"&amp;$F171,"DataSource=",Datasource)</t>
  </si>
  <si>
    <t>=-NL("CubeValue","Finance","[Measures].[Net Change]","[Transaction Date].[Date YQMD].[Month]",H$7,"[Account].[by Account Category].[Account]","@@"&amp;$F172,"DataSource=",Datasource)</t>
  </si>
  <si>
    <t>=-NL("CubeValue","Finance","[Measures].[Net Change]","[Transaction Date].[Date YQMD].[Month]",I$7,"[Account].[by Account Category].[Account]","@@"&amp;$F172,"DataSource=",Datasource)</t>
  </si>
  <si>
    <t>=-NL("CubeValue","Finance","[Measures].[Net Change]","[Transaction Date].[Date YQMD].[Month]",J$7,"[Account].[by Account Category].[Account]","@@"&amp;$F172,"DataSource=",Datasource)</t>
  </si>
  <si>
    <t>=-NL("CubeValue","Finance","[Measures].[Net Change]","[Transaction Date].[Date YQMD].[Month]",H$7,"[Account].[by Account Category].[Account]","@@"&amp;$F173,"DataSource=",Datasource)</t>
  </si>
  <si>
    <t>=-NL("CubeValue","Finance","[Measures].[Net Change]","[Transaction Date].[Date YQMD].[Month]",I$7,"[Account].[by Account Category].[Account]","@@"&amp;$F173,"DataSource=",Datasource)</t>
  </si>
  <si>
    <t>=-NL("CubeValue","Finance","[Measures].[Net Change]","[Transaction Date].[Date YQMD].[Month]",J$7,"[Account].[by Account Category].[Account]","@@"&amp;$F173,"DataSource=",Datasource)</t>
  </si>
  <si>
    <t>=-NL("CubeValue","Finance","[Measures].[Net Change]","[Transaction Date].[Date YQMD].[Month]",H$7,"[Account].[by Account Category].[Account]","@@"&amp;$F174,"DataSource=",Datasource)</t>
  </si>
  <si>
    <t>=-NL("CubeValue","Finance","[Measures].[Net Change]","[Transaction Date].[Date YQMD].[Month]",I$7,"[Account].[by Account Category].[Account]","@@"&amp;$F174,"DataSource=",Datasource)</t>
  </si>
  <si>
    <t>=-NL("CubeValue","Finance","[Measures].[Net Change]","[Transaction Date].[Date YQMD].[Month]",J$7,"[Account].[by Account Category].[Account]","@@"&amp;$F174,"DataSource=",Datasource)</t>
  </si>
  <si>
    <t>=-NL("CubeValue","Finance","[Measures].[Net Change]","[Transaction Date].[Date YQMD].[Month]",H$7,"[Account].[by Account Category].[Account]","@@"&amp;$F175,"DataSource=",Datasource)</t>
  </si>
  <si>
    <t>=-NL("CubeValue","Finance","[Measures].[Net Change]","[Transaction Date].[Date YQMD].[Month]",I$7,"[Account].[by Account Category].[Account]","@@"&amp;$F175,"DataSource=",Datasource)</t>
  </si>
  <si>
    <t>=-NL("CubeValue","Finance","[Measures].[Net Change]","[Transaction Date].[Date YQMD].[Month]",J$7,"[Account].[by Account Category].[Account]","@@"&amp;$F175,"DataSource=",Datasource)</t>
  </si>
  <si>
    <t>=-NL("CubeValue","Finance","[Measures].[Net Change]","[Transaction Date].[Date YQMD].[Month]",H$7,"[Account].[by Account Category].[Account]","@@"&amp;$F176,"DataSource=",Datasource)</t>
  </si>
  <si>
    <t>=-NL("CubeValue","Finance","[Measures].[Net Change]","[Transaction Date].[Date YQMD].[Month]",I$7,"[Account].[by Account Category].[Account]","@@"&amp;$F176,"DataSource=",Datasource)</t>
  </si>
  <si>
    <t>=-NL("CubeValue","Finance","[Measures].[Net Change]","[Transaction Date].[Date YQMD].[Month]",J$7,"[Account].[by Account Category].[Account]","@@"&amp;$F176,"DataSource=",Datasource)</t>
  </si>
  <si>
    <t>=-NL("CubeValue","Finance","[Measures].[Net Change]","[Transaction Date].[Date YQMD].[Month]",H$7,"[Account].[by Account Category].[Account]","@@"&amp;$F177,"DataSource=",Datasource)</t>
  </si>
  <si>
    <t>=-NL("CubeValue","Finance","[Measures].[Net Change]","[Transaction Date].[Date YQMD].[Month]",I$7,"[Account].[by Account Category].[Account]","@@"&amp;$F177,"DataSource=",Datasource)</t>
  </si>
  <si>
    <t>=-NL("CubeValue","Finance","[Measures].[Net Change]","[Transaction Date].[Date YQMD].[Month]",J$7,"[Account].[by Account Category].[Account]","@@"&amp;$F177,"DataSource=",Datasource)</t>
  </si>
  <si>
    <t>=-NL("CubeValue","Finance","[Measures].[Net Change]","[Transaction Date].[Date YQMD].[Month]",H$7,"[Account].[by Account Category].[Account]","@@"&amp;$F178,"DataSource=",Datasource)</t>
  </si>
  <si>
    <t>=-NL("CubeValue","Finance","[Measures].[Net Change]","[Transaction Date].[Date YQMD].[Month]",I$7,"[Account].[by Account Category].[Account]","@@"&amp;$F178,"DataSource=",Datasource)</t>
  </si>
  <si>
    <t>=-NL("CubeValue","Finance","[Measures].[Net Change]","[Transaction Date].[Date YQMD].[Month]",J$7,"[Account].[by Account Category].[Account]","@@"&amp;$F178,"DataSource=",Datasource)</t>
  </si>
  <si>
    <t>=-NL("CubeValue","Finance","[Measures].[Net Change]","[Transaction Date].[Date YQMD].[Month]",H$7,"[Account].[by Account Category].[Account]","@@"&amp;$F179,"DataSource=",Datasource)</t>
  </si>
  <si>
    <t>=-NL("CubeValue","Finance","[Measures].[Net Change]","[Transaction Date].[Date YQMD].[Month]",I$7,"[Account].[by Account Category].[Account]","@@"&amp;$F179,"DataSource=",Datasource)</t>
  </si>
  <si>
    <t>=-NL("CubeValue","Finance","[Measures].[Net Change]","[Transaction Date].[Date YQMD].[Month]",J$7,"[Account].[by Account Category].[Account]","@@"&amp;$F179,"DataSource=",Datasource)</t>
  </si>
  <si>
    <t>=-NL("CubeValue","Finance","[Measures].[Net Change]","[Transaction Date].[Date YQMD].[Month]",H$7,"[Account].[by Account Category].[Account]","@@"&amp;$F180,"DataSource=",Datasource)</t>
  </si>
  <si>
    <t>=-NL("CubeValue","Finance","[Measures].[Net Change]","[Transaction Date].[Date YQMD].[Month]",I$7,"[Account].[by Account Category].[Account]","@@"&amp;$F180,"DataSource=",Datasource)</t>
  </si>
  <si>
    <t>=-NL("CubeValue","Finance","[Measures].[Net Change]","[Transaction Date].[Date YQMD].[Month]",J$7,"[Account].[by Account Category].[Account]","@@"&amp;$F180,"DataSource=",Datasource)</t>
  </si>
  <si>
    <t>=-NL("CubeValue","Finance","[Measures].[Net Change]","[Transaction Date].[Date YQMD].[Month]",H$7,"[Account].[by Account Category].[Account]","@@"&amp;$F181,"DataSource=",Datasource)</t>
  </si>
  <si>
    <t>=-NL("CubeValue","Finance","[Measures].[Net Change]","[Transaction Date].[Date YQMD].[Month]",I$7,"[Account].[by Account Category].[Account]","@@"&amp;$F181,"DataSource=",Datasource)</t>
  </si>
  <si>
    <t>=-NL("CubeValue","Finance","[Measures].[Net Change]","[Transaction Date].[Date YQMD].[Month]",J$7,"[Account].[by Account Category].[Account]","@@"&amp;$F181,"DataSource=",Datasource)</t>
  </si>
  <si>
    <t>=-NL("CubeValue","Finance","[Measures].[Net Change]","[Transaction Date].[Date YQMD].[Month]",H$7,"[Account].[by Account Category].[Account]","@@"&amp;$F182,"DataSource=",Datasource)</t>
  </si>
  <si>
    <t>=-NL("CubeValue","Finance","[Measures].[Net Change]","[Transaction Date].[Date YQMD].[Month]",I$7,"[Account].[by Account Category].[Account]","@@"&amp;$F182,"DataSource=",Datasource)</t>
  </si>
  <si>
    <t>=-NL("CubeValue","Finance","[Measures].[Net Change]","[Transaction Date].[Date YQMD].[Month]",J$7,"[Account].[by Account Category].[Account]","@@"&amp;$F182,"DataSource=",Datasource)</t>
  </si>
  <si>
    <t>=-NL("CubeValue","Finance","[Measures].[Net Change]","[Transaction Date].[Date YQMD].[Month]",H$7,"[Account].[by Account Category].[Account]","@@"&amp;$F183,"DataSource=",Datasource)</t>
  </si>
  <si>
    <t>=-NL("CubeValue","Finance","[Measures].[Net Change]","[Transaction Date].[Date YQMD].[Month]",I$7,"[Account].[by Account Category].[Account]","@@"&amp;$F183,"DataSource=",Datasource)</t>
  </si>
  <si>
    <t>=-NL("CubeValue","Finance","[Measures].[Net Change]","[Transaction Date].[Date YQMD].[Month]",J$7,"[Account].[by Account Category].[Account]","@@"&amp;$F183,"DataSource=",Datasource)</t>
  </si>
  <si>
    <t>=-NL("CubeValue","Finance","[Measures].[Net Change]","[Transaction Date].[Date YQMD].[Month]",H$7,"[Account].[by Account Category].[Account]","@@"&amp;$F184,"DataSource=",Datasource)</t>
  </si>
  <si>
    <t>=-NL("CubeValue","Finance","[Measures].[Net Change]","[Transaction Date].[Date YQMD].[Month]",I$7,"[Account].[by Account Category].[Account]","@@"&amp;$F184,"DataSource=",Datasource)</t>
  </si>
  <si>
    <t>=-NL("CubeValue","Finance","[Measures].[Net Change]","[Transaction Date].[Date YQMD].[Month]",J$7,"[Account].[by Account Category].[Account]","@@"&amp;$F184,"DataSource=",Datasource)</t>
  </si>
  <si>
    <t>=-NL("CubeValue","Finance","[Measures].[Net Change]","[Transaction Date].[Date YQMD].[Month]",H$7,"[Account].[by Account Category].[Account]","@@"&amp;$F185,"DataSource=",Datasource)</t>
  </si>
  <si>
    <t>=-NL("CubeValue","Finance","[Measures].[Net Change]","[Transaction Date].[Date YQMD].[Month]",I$7,"[Account].[by Account Category].[Account]","@@"&amp;$F185,"DataSource=",Datasource)</t>
  </si>
  <si>
    <t>=-NL("CubeValue","Finance","[Measures].[Net Change]","[Transaction Date].[Date YQMD].[Month]",J$7,"[Account].[by Account Category].[Account]","@@"&amp;$F185,"DataSource=",Datasource)</t>
  </si>
  <si>
    <t>=-NL("CubeValue","Finance","[Measures].[Net Change]","[Transaction Date].[Date YQMD].[Month]",H$7,"[Account].[by Account Category].[Account]","@@"&amp;$F186,"DataSource=",Datasource)</t>
  </si>
  <si>
    <t>=-NL("CubeValue","Finance","[Measures].[Net Change]","[Transaction Date].[Date YQMD].[Month]",I$7,"[Account].[by Account Category].[Account]","@@"&amp;$F186,"DataSource=",Datasource)</t>
  </si>
  <si>
    <t>=-NL("CubeValue","Finance","[Measures].[Net Change]","[Transaction Date].[Date YQMD].[Month]",J$7,"[Account].[by Account Category].[Account]","@@"&amp;$F186,"DataSource=",Datasource)</t>
  </si>
  <si>
    <t>=-NL("CubeValue","Finance","[Measures].[Net Change]","[Transaction Date].[Date YQMD].[Month]",H$7,"[Account].[by Account Category].[Account]","@@"&amp;$F187,"DataSource=",Datasource)</t>
  </si>
  <si>
    <t>=-NL("CubeValue","Finance","[Measures].[Net Change]","[Transaction Date].[Date YQMD].[Month]",I$7,"[Account].[by Account Category].[Account]","@@"&amp;$F187,"DataSource=",Datasource)</t>
  </si>
  <si>
    <t>=-NL("CubeValue","Finance","[Measures].[Net Change]","[Transaction Date].[Date YQMD].[Month]",J$7,"[Account].[by Account Category].[Account]","@@"&amp;$F187,"DataSource=",Datasource)</t>
  </si>
  <si>
    <t>=-NL("CubeValue","Finance","[Measures].[Net Change]","[Transaction Date].[Date YQMD].[Month]",H$7,"[Account].[by Account Category].[Account]","@@"&amp;$F188,"DataSource=",Datasource)</t>
  </si>
  <si>
    <t>=-NL("CubeValue","Finance","[Measures].[Net Change]","[Transaction Date].[Date YQMD].[Month]",I$7,"[Account].[by Account Category].[Account]","@@"&amp;$F188,"DataSource=",Datasource)</t>
  </si>
  <si>
    <t>=-NL("CubeValue","Finance","[Measures].[Net Change]","[Transaction Date].[Date YQMD].[Month]",J$7,"[Account].[by Account Category].[Account]","@@"&amp;$F188,"DataSource=",Datasource)</t>
  </si>
  <si>
    <t>=-NL("CubeValue","Finance","[Measures].[Net Change]","[Transaction Date].[Date YQMD].[Month]",H$7,"[Account].[by Account Category].[Account]","@@"&amp;$F189,"DataSource=",Datasource)</t>
  </si>
  <si>
    <t>=-NL("CubeValue","Finance","[Measures].[Net Change]","[Transaction Date].[Date YQMD].[Month]",I$7,"[Account].[by Account Category].[Account]","@@"&amp;$F189,"DataSource=",Datasource)</t>
  </si>
  <si>
    <t>=-NL("CubeValue","Finance","[Measures].[Net Change]","[Transaction Date].[Date YQMD].[Month]",J$7,"[Account].[by Account Category].[Account]","@@"&amp;$F189,"DataSource=",Datasource)</t>
  </si>
  <si>
    <t>=-NL("CubeValue","Finance","[Measures].[Net Change]","[Transaction Date].[Date YQMD].[Month]",H$7,"[Account].[by Account Category].[Account]","@@"&amp;$F190,"DataSource=",Datasource)</t>
  </si>
  <si>
    <t>=-NL("CubeValue","Finance","[Measures].[Net Change]","[Transaction Date].[Date YQMD].[Month]",I$7,"[Account].[by Account Category].[Account]","@@"&amp;$F190,"DataSource=",Datasource)</t>
  </si>
  <si>
    <t>=-NL("CubeValue","Finance","[Measures].[Net Change]","[Transaction Date].[Date YQMD].[Month]",J$7,"[Account].[by Account Category].[Account]","@@"&amp;$F190,"DataSource=",Datasource)</t>
  </si>
  <si>
    <t>=-NL("CubeValue","Finance","[Measures].[Net Change]","[Transaction Date].[Date YQMD].[Month]",H$7,"[Account].[by Account Category].[Account]","@@"&amp;$F191,"DataSource=",Datasource)</t>
  </si>
  <si>
    <t>=-NL("CubeValue","Finance","[Measures].[Net Change]","[Transaction Date].[Date YQMD].[Month]",I$7,"[Account].[by Account Category].[Account]","@@"&amp;$F191,"DataSource=",Datasource)</t>
  </si>
  <si>
    <t>=-NL("CubeValue","Finance","[Measures].[Net Change]","[Transaction Date].[Date YQMD].[Month]",J$7,"[Account].[by Account Category].[Account]","@@"&amp;$F191,"DataSource=",Datasource)</t>
  </si>
  <si>
    <t>=-NL("CubeValue","Finance","[Measures].[Net Change]","[Transaction Date].[Date YQMD].[Month]",H$7,"[Account].[Account Category]",$D192,"DataSource=",Datasource)</t>
  </si>
  <si>
    <t>=-NL("CubeValue","Finance","[Measures].[Net Change]","[Transaction Date].[Date YQMD].[Month]",I$7,"[Account].[Account Category]",$D192,"DataSource=",Datasource)</t>
  </si>
  <si>
    <t>=-NL("CubeValue","Finance","[Measures].[Net Change]","[Transaction Date].[Date YQMD].[Month]",J$7,"[Account].[Account Category]",$D192,"DataSource=",Datasource)</t>
  </si>
  <si>
    <t>=-NL("CubeValue","Finance","[Measures].[Net Change]","[Transaction Date].[Date YQMD].[Month]",H$7,"[Account].[by Account Category].[Account]","@@"&amp;$F195,"DataSource=",Datasource)</t>
  </si>
  <si>
    <t>=-NL("CubeValue","Finance","[Measures].[Net Change]","[Transaction Date].[Date YQMD].[Month]",I$7,"[Account].[by Account Category].[Account]","@@"&amp;$F195,"DataSource=",Datasource)</t>
  </si>
  <si>
    <t>=-NL("CubeValue","Finance","[Measures].[Net Change]","[Transaction Date].[Date YQMD].[Month]",J$7,"[Account].[by Account Category].[Account]","@@"&amp;$F195,"DataSource=",Datasource)</t>
  </si>
  <si>
    <t>=-NL("CubeValue","Finance","[Measures].[Net Change]","[Transaction Date].[Date YQMD].[Month]",H$7,"[Account].[by Account Category].[Account]","@@"&amp;$F196,"DataSource=",Datasource)</t>
  </si>
  <si>
    <t>=-NL("CubeValue","Finance","[Measures].[Net Change]","[Transaction Date].[Date YQMD].[Month]",I$7,"[Account].[by Account Category].[Account]","@@"&amp;$F196,"DataSource=",Datasource)</t>
  </si>
  <si>
    <t>=-NL("CubeValue","Finance","[Measures].[Net Change]","[Transaction Date].[Date YQMD].[Month]",J$7,"[Account].[by Account Category].[Account]","@@"&amp;$F196,"DataSource=",Datasource)</t>
  </si>
  <si>
    <t>=-NL("CubeValue","Finance","[Measures].[Net Change]","[Transaction Date].[Date YQMD].[Month]",H$7,"[Account].[by Account Category].[Account]","@@"&amp;$F197,"DataSource=",Datasource)</t>
  </si>
  <si>
    <t>=-NL("CubeValue","Finance","[Measures].[Net Change]","[Transaction Date].[Date YQMD].[Month]",I$7,"[Account].[by Account Category].[Account]","@@"&amp;$F197,"DataSource=",Datasource)</t>
  </si>
  <si>
    <t>=-NL("CubeValue","Finance","[Measures].[Net Change]","[Transaction Date].[Date YQMD].[Month]",J$7,"[Account].[by Account Category].[Account]","@@"&amp;$F197,"DataSource=",Datasource)</t>
  </si>
  <si>
    <t>=-NL("CubeValue","Finance","[Measures].[Net Change]","[Transaction Date].[Date YQMD].[Month]",H$7,"[Account].[by Account Category].[Account]","@@"&amp;$F198,"DataSource=",Datasource)</t>
  </si>
  <si>
    <t>=-NL("CubeValue","Finance","[Measures].[Net Change]","[Transaction Date].[Date YQMD].[Month]",I$7,"[Account].[by Account Category].[Account]","@@"&amp;$F198,"DataSource=",Datasource)</t>
  </si>
  <si>
    <t>=-NL("CubeValue","Finance","[Measures].[Net Change]","[Transaction Date].[Date YQMD].[Month]",J$7,"[Account].[by Account Category].[Account]","@@"&amp;$F198,"DataSource=",Datasource)</t>
  </si>
  <si>
    <t>=-NL("CubeValue","Finance","[Measures].[Net Change]","[Transaction Date].[Date YQMD].[Month]",H$7,"[Account].[by Account Category].[Account]","@@"&amp;$F199,"DataSource=",Datasource)</t>
  </si>
  <si>
    <t>=-NL("CubeValue","Finance","[Measures].[Net Change]","[Transaction Date].[Date YQMD].[Month]",I$7,"[Account].[by Account Category].[Account]","@@"&amp;$F199,"DataSource=",Datasource)</t>
  </si>
  <si>
    <t>=-NL("CubeValue","Finance","[Measures].[Net Change]","[Transaction Date].[Date YQMD].[Month]",J$7,"[Account].[by Account Category].[Account]","@@"&amp;$F199,"DataSource=",Datasource)</t>
  </si>
  <si>
    <t>=-NL("CubeValue","Finance","[Measures].[Net Change]","[Transaction Date].[Date YQMD].[Month]",H$7,"[Account].[by Account Category].[Account]","@@"&amp;$F200,"DataSource=",Datasource)</t>
  </si>
  <si>
    <t>=-NL("CubeValue","Finance","[Measures].[Net Change]","[Transaction Date].[Date YQMD].[Month]",I$7,"[Account].[by Account Category].[Account]","@@"&amp;$F200,"DataSource=",Datasource)</t>
  </si>
  <si>
    <t>=-NL("CubeValue","Finance","[Measures].[Net Change]","[Transaction Date].[Date YQMD].[Month]",J$7,"[Account].[by Account Category].[Account]","@@"&amp;$F200,"DataSource=",Datasource)</t>
  </si>
  <si>
    <t>=-NL("CubeValue","Finance","[Measures].[Net Change]","[Transaction Date].[Date YQMD].[Month]",H$7,"[Account].[by Account Category].[Account]","@@"&amp;$F201,"DataSource=",Datasource)</t>
  </si>
  <si>
    <t>=-NL("CubeValue","Finance","[Measures].[Net Change]","[Transaction Date].[Date YQMD].[Month]",I$7,"[Account].[by Account Category].[Account]","@@"&amp;$F201,"DataSource=",Datasource)</t>
  </si>
  <si>
    <t>=-NL("CubeValue","Finance","[Measures].[Net Change]","[Transaction Date].[Date YQMD].[Month]",J$7,"[Account].[by Account Category].[Account]","@@"&amp;$F201,"DataSource=",Datasource)</t>
  </si>
  <si>
    <t>=-NL("CubeValue","Finance","[Measures].[Net Change]","[Transaction Date].[Date YQMD].[Month]",H$7,"[Account].[by Account Category].[Account]","@@"&amp;$F202,"DataSource=",Datasource)</t>
  </si>
  <si>
    <t>=-NL("CubeValue","Finance","[Measures].[Net Change]","[Transaction Date].[Date YQMD].[Month]",I$7,"[Account].[by Account Category].[Account]","@@"&amp;$F202,"DataSource=",Datasource)</t>
  </si>
  <si>
    <t>=-NL("CubeValue","Finance","[Measures].[Net Change]","[Transaction Date].[Date YQMD].[Month]",J$7,"[Account].[by Account Category].[Account]","@@"&amp;$F202,"DataSource=",Datasource)</t>
  </si>
  <si>
    <t>=-NL("CubeValue","Finance","[Measures].[Net Change]","[Transaction Date].[Date YQMD].[Month]",H$7,"[Account].[by Account Category].[Account]","@@"&amp;$F203,"DataSource=",Datasource)</t>
  </si>
  <si>
    <t>=-NL("CubeValue","Finance","[Measures].[Net Change]","[Transaction Date].[Date YQMD].[Month]",I$7,"[Account].[by Account Category].[Account]","@@"&amp;$F203,"DataSource=",Datasource)</t>
  </si>
  <si>
    <t>=-NL("CubeValue","Finance","[Measures].[Net Change]","[Transaction Date].[Date YQMD].[Month]",J$7,"[Account].[by Account Category].[Account]","@@"&amp;$F203,"DataSource=",Datasource)</t>
  </si>
  <si>
    <t>=-NL("CubeValue","Finance","[Measures].[Net Change]","[Transaction Date].[Date YQMD].[Month]",H$7,"[Account].[by Account Category].[Account]","@@"&amp;$F204,"DataSource=",Datasource)</t>
  </si>
  <si>
    <t>=-NL("CubeValue","Finance","[Measures].[Net Change]","[Transaction Date].[Date YQMD].[Month]",I$7,"[Account].[by Account Category].[Account]","@@"&amp;$F204,"DataSource=",Datasource)</t>
  </si>
  <si>
    <t>=-NL("CubeValue","Finance","[Measures].[Net Change]","[Transaction Date].[Date YQMD].[Month]",J$7,"[Account].[by Account Category].[Account]","@@"&amp;$F204,"DataSource=",Datasource)</t>
  </si>
  <si>
    <t>=-NL("CubeValue","Finance","[Measures].[Net Change]","[Transaction Date].[Date YQMD].[Month]",H$7,"[Account].[by Account Category].[Account]","@@"&amp;$F205,"DataSource=",Datasource)</t>
  </si>
  <si>
    <t>=-NL("CubeValue","Finance","[Measures].[Net Change]","[Transaction Date].[Date YQMD].[Month]",I$7,"[Account].[by Account Category].[Account]","@@"&amp;$F205,"DataSource=",Datasource)</t>
  </si>
  <si>
    <t>=-NL("CubeValue","Finance","[Measures].[Net Change]","[Transaction Date].[Date YQMD].[Month]",J$7,"[Account].[by Account Category].[Account]","@@"&amp;$F205,"DataSource=",Datasource)</t>
  </si>
  <si>
    <t>=-NL("CubeValue","Finance","[Measures].[Net Change]","[Transaction Date].[Date YQMD].[Month]",H$7,"[Account].[by Account Category].[Account]","@@"&amp;$F206,"DataSource=",Datasource)</t>
  </si>
  <si>
    <t>=-NL("CubeValue","Finance","[Measures].[Net Change]","[Transaction Date].[Date YQMD].[Month]",I$7,"[Account].[by Account Category].[Account]","@@"&amp;$F206,"DataSource=",Datasource)</t>
  </si>
  <si>
    <t>=-NL("CubeValue","Finance","[Measures].[Net Change]","[Transaction Date].[Date YQMD].[Month]",J$7,"[Account].[by Account Category].[Account]","@@"&amp;$F206,"DataSource=",Datasource)</t>
  </si>
  <si>
    <t>=-NL("CubeValue","Finance","[Measures].[Net Change]","[Transaction Date].[Date YQMD].[Month]",H$7,"[Account].[by Account Category].[Account]","@@"&amp;$F207,"DataSource=",Datasource)</t>
  </si>
  <si>
    <t>=-NL("CubeValue","Finance","[Measures].[Net Change]","[Transaction Date].[Date YQMD].[Month]",I$7,"[Account].[by Account Category].[Account]","@@"&amp;$F207,"DataSource=",Datasource)</t>
  </si>
  <si>
    <t>=-NL("CubeValue","Finance","[Measures].[Net Change]","[Transaction Date].[Date YQMD].[Month]",J$7,"[Account].[by Account Category].[Account]","@@"&amp;$F207,"DataSource=",Datasource)</t>
  </si>
  <si>
    <t>=-NL("CubeValue","Finance","[Measures].[Net Change]","[Transaction Date].[Date YQMD].[Month]",H$7,"[Account].[by Account Category].[Account]","@@"&amp;$F208,"DataSource=",Datasource)</t>
  </si>
  <si>
    <t>=-NL("CubeValue","Finance","[Measures].[Net Change]","[Transaction Date].[Date YQMD].[Month]",I$7,"[Account].[by Account Category].[Account]","@@"&amp;$F208,"DataSource=",Datasource)</t>
  </si>
  <si>
    <t>=-NL("CubeValue","Finance","[Measures].[Net Change]","[Transaction Date].[Date YQMD].[Month]",J$7,"[Account].[by Account Category].[Account]","@@"&amp;$F208,"DataSource=",Datasource)</t>
  </si>
  <si>
    <t>=-NL("CubeValue","Finance","[Measures].[Net Change]","[Transaction Date].[Date YQMD].[Month]",H$7,"[Account].[by Account Category].[Account]","@@"&amp;$F209,"DataSource=",Datasource)</t>
  </si>
  <si>
    <t>=-NL("CubeValue","Finance","[Measures].[Net Change]","[Transaction Date].[Date YQMD].[Month]",I$7,"[Account].[by Account Category].[Account]","@@"&amp;$F209,"DataSource=",Datasource)</t>
  </si>
  <si>
    <t>=-NL("CubeValue","Finance","[Measures].[Net Change]","[Transaction Date].[Date YQMD].[Month]",J$7,"[Account].[by Account Category].[Account]","@@"&amp;$F209,"DataSource=",Datasource)</t>
  </si>
  <si>
    <t>=-NL("CubeValue","Finance","[Measures].[Net Change]","[Transaction Date].[Date YQMD].[Month]",H$7,"[Account].[by Account Category].[Account]","@@"&amp;$F210,"DataSource=",Datasource)</t>
  </si>
  <si>
    <t>=-NL("CubeValue","Finance","[Measures].[Net Change]","[Transaction Date].[Date YQMD].[Month]",I$7,"[Account].[by Account Category].[Account]","@@"&amp;$F210,"DataSource=",Datasource)</t>
  </si>
  <si>
    <t>=-NL("CubeValue","Finance","[Measures].[Net Change]","[Transaction Date].[Date YQMD].[Month]",J$7,"[Account].[by Account Category].[Account]","@@"&amp;$F210,"DataSource=",Datasource)</t>
  </si>
  <si>
    <t>=-NL("CubeValue","Finance","[Measures].[Net Change]","[Transaction Date].[Date YQMD].[Month]",H$7,"[Account].[by Account Category].[Account]","@@"&amp;$F211,"DataSource=",Datasource)</t>
  </si>
  <si>
    <t>=-NL("CubeValue","Finance","[Measures].[Net Change]","[Transaction Date].[Date YQMD].[Month]",I$7,"[Account].[by Account Category].[Account]","@@"&amp;$F211,"DataSource=",Datasource)</t>
  </si>
  <si>
    <t>=-NL("CubeValue","Finance","[Measures].[Net Change]","[Transaction Date].[Date YQMD].[Month]",J$7,"[Account].[by Account Category].[Account]","@@"&amp;$F211,"DataSource=",Datasource)</t>
  </si>
  <si>
    <t>=-NL("CubeValue","Finance","[Measures].[Net Change]","[Transaction Date].[Date YQMD].[Month]",H$7,"[Account].[by Account Category].[Account]","@@"&amp;$F212,"DataSource=",Datasource)</t>
  </si>
  <si>
    <t>=-NL("CubeValue","Finance","[Measures].[Net Change]","[Transaction Date].[Date YQMD].[Month]",I$7,"[Account].[by Account Category].[Account]","@@"&amp;$F212,"DataSource=",Datasource)</t>
  </si>
  <si>
    <t>=-NL("CubeValue","Finance","[Measures].[Net Change]","[Transaction Date].[Date YQMD].[Month]",J$7,"[Account].[by Account Category].[Account]","@@"&amp;$F212,"DataSource=",Datasource)</t>
  </si>
  <si>
    <t>=-NL("CubeValue","Finance","[Measures].[Net Change]","[Transaction Date].[Date YQMD].[Month]",H$7,"[Account].[by Account Category].[Account]","@@"&amp;$F213,"DataSource=",Datasource)</t>
  </si>
  <si>
    <t>=-NL("CubeValue","Finance","[Measures].[Net Change]","[Transaction Date].[Date YQMD].[Month]",I$7,"[Account].[by Account Category].[Account]","@@"&amp;$F213,"DataSource=",Datasource)</t>
  </si>
  <si>
    <t>=-NL("CubeValue","Finance","[Measures].[Net Change]","[Transaction Date].[Date YQMD].[Month]",J$7,"[Account].[by Account Category].[Account]","@@"&amp;$F213,"DataSource=",Datasource)</t>
  </si>
  <si>
    <t>=-NL("CubeValue","Finance","[Measures].[Net Change]","[Transaction Date].[Date YQMD].[Month]",H$7,"[Account].[by Account Category].[Account]","@@"&amp;$F214,"DataSource=",Datasource)</t>
  </si>
  <si>
    <t>=-NL("CubeValue","Finance","[Measures].[Net Change]","[Transaction Date].[Date YQMD].[Month]",I$7,"[Account].[by Account Category].[Account]","@@"&amp;$F214,"DataSource=",Datasource)</t>
  </si>
  <si>
    <t>=-NL("CubeValue","Finance","[Measures].[Net Change]","[Transaction Date].[Date YQMD].[Month]",J$7,"[Account].[by Account Category].[Account]","@@"&amp;$F214,"DataSource=",Datasource)</t>
  </si>
  <si>
    <t>=-NL("CubeValue","Finance","[Measures].[Net Change]","[Transaction Date].[Date YQMD].[Month]",H$7,"[Account].[by Account Category].[Account]","@@"&amp;$F215,"DataSource=",Datasource)</t>
  </si>
  <si>
    <t>=-NL("CubeValue","Finance","[Measures].[Net Change]","[Transaction Date].[Date YQMD].[Month]",I$7,"[Account].[by Account Category].[Account]","@@"&amp;$F215,"DataSource=",Datasource)</t>
  </si>
  <si>
    <t>=-NL("CubeValue","Finance","[Measures].[Net Change]","[Transaction Date].[Date YQMD].[Month]",J$7,"[Account].[by Account Category].[Account]","@@"&amp;$F215,"DataSource=",Datasource)</t>
  </si>
  <si>
    <t>=-NL("CubeValue","Finance","[Measures].[Net Change]","[Transaction Date].[Date YQMD].[Month]",H$7,"[Account].[by Account Category].[Account]","@@"&amp;$F216,"DataSource=",Datasource)</t>
  </si>
  <si>
    <t>=-NL("CubeValue","Finance","[Measures].[Net Change]","[Transaction Date].[Date YQMD].[Month]",I$7,"[Account].[by Account Category].[Account]","@@"&amp;$F216,"DataSource=",Datasource)</t>
  </si>
  <si>
    <t>=-NL("CubeValue","Finance","[Measures].[Net Change]","[Transaction Date].[Date YQMD].[Month]",J$7,"[Account].[by Account Category].[Account]","@@"&amp;$F216,"DataSource=",Datasource)</t>
  </si>
  <si>
    <t>=-NL("CubeValue","Finance","[Measures].[Net Change]","[Transaction Date].[Date YQMD].[Month]",H$7,"[Account].[by Account Category].[Account]","@@"&amp;$F217,"DataSource=",Datasource)</t>
  </si>
  <si>
    <t>=-NL("CubeValue","Finance","[Measures].[Net Change]","[Transaction Date].[Date YQMD].[Month]",I$7,"[Account].[by Account Category].[Account]","@@"&amp;$F217,"DataSource=",Datasource)</t>
  </si>
  <si>
    <t>=-NL("CubeValue","Finance","[Measures].[Net Change]","[Transaction Date].[Date YQMD].[Month]",J$7,"[Account].[by Account Category].[Account]","@@"&amp;$F217,"DataSource=",Datasource)</t>
  </si>
  <si>
    <t>=-NL("CubeValue","Finance","[Measures].[Net Change]","[Transaction Date].[Date YQMD].[Month]",H$7,"[Account].[by Account Category].[Account]","@@"&amp;$F218,"DataSource=",Datasource)</t>
  </si>
  <si>
    <t>=-NL("CubeValue","Finance","[Measures].[Net Change]","[Transaction Date].[Date YQMD].[Month]",I$7,"[Account].[by Account Category].[Account]","@@"&amp;$F218,"DataSource=",Datasource)</t>
  </si>
  <si>
    <t>=-NL("CubeValue","Finance","[Measures].[Net Change]","[Transaction Date].[Date YQMD].[Month]",J$7,"[Account].[by Account Category].[Account]","@@"&amp;$F218,"DataSource=",Datasource)</t>
  </si>
  <si>
    <t>=-NL("CubeValue","Finance","[Measures].[Net Change]","[Transaction Date].[Date YQMD].[Month]",H$7,"[Account].[by Account Category].[Account]","@@"&amp;$F219,"DataSource=",Datasource)</t>
  </si>
  <si>
    <t>=-NL("CubeValue","Finance","[Measures].[Net Change]","[Transaction Date].[Date YQMD].[Month]",I$7,"[Account].[by Account Category].[Account]","@@"&amp;$F219,"DataSource=",Datasource)</t>
  </si>
  <si>
    <t>=-NL("CubeValue","Finance","[Measures].[Net Change]","[Transaction Date].[Date YQMD].[Month]",J$7,"[Account].[by Account Category].[Account]","@@"&amp;$F219,"DataSource=",Datasource)</t>
  </si>
  <si>
    <t>=-NL("CubeValue","Finance","[Measures].[Net Change]","[Transaction Date].[Date YQMD].[Month]",H$7,"[Account].[by Account Category].[Account]","@@"&amp;$F220,"DataSource=",Datasource)</t>
  </si>
  <si>
    <t>=-NL("CubeValue","Finance","[Measures].[Net Change]","[Transaction Date].[Date YQMD].[Month]",I$7,"[Account].[by Account Category].[Account]","@@"&amp;$F220,"DataSource=",Datasource)</t>
  </si>
  <si>
    <t>=-NL("CubeValue","Finance","[Measures].[Net Change]","[Transaction Date].[Date YQMD].[Month]",J$7,"[Account].[by Account Category].[Account]","@@"&amp;$F220,"DataSource=",Datasource)</t>
  </si>
  <si>
    <t>=-NL("CubeValue","Finance","[Measures].[Net Change]","[Transaction Date].[Date YQMD].[Month]",H$7,"[Account].[by Account Category].[Account]","@@"&amp;$F221,"DataSource=",Datasource)</t>
  </si>
  <si>
    <t>=-NL("CubeValue","Finance","[Measures].[Net Change]","[Transaction Date].[Date YQMD].[Month]",I$7,"[Account].[by Account Category].[Account]","@@"&amp;$F221,"DataSource=",Datasource)</t>
  </si>
  <si>
    <t>=-NL("CubeValue","Finance","[Measures].[Net Change]","[Transaction Date].[Date YQMD].[Month]",J$7,"[Account].[by Account Category].[Account]","@@"&amp;$F221,"DataSource=",Datasource)</t>
  </si>
  <si>
    <t>=-NL("CubeValue","Finance","[Measures].[Net Change]","[Transaction Date].[Date YQMD].[Month]",H$7,"[Account].[by Account Category].[Account]","@@"&amp;$F222,"DataSource=",Datasource)</t>
  </si>
  <si>
    <t>=-NL("CubeValue","Finance","[Measures].[Net Change]","[Transaction Date].[Date YQMD].[Month]",I$7,"[Account].[by Account Category].[Account]","@@"&amp;$F222,"DataSource=",Datasource)</t>
  </si>
  <si>
    <t>=-NL("CubeValue","Finance","[Measures].[Net Change]","[Transaction Date].[Date YQMD].[Month]",J$7,"[Account].[by Account Category].[Account]","@@"&amp;$F222,"DataSource=",Datasource)</t>
  </si>
  <si>
    <t>=-NL("CubeValue","Finance","[Measures].[Net Change]","[Transaction Date].[Date YQMD].[Month]",H$7,"[Account].[by Account Category].[Account]","@@"&amp;$F223,"DataSource=",Datasource)</t>
  </si>
  <si>
    <t>=-NL("CubeValue","Finance","[Measures].[Net Change]","[Transaction Date].[Date YQMD].[Month]",I$7,"[Account].[by Account Category].[Account]","@@"&amp;$F223,"DataSource=",Datasource)</t>
  </si>
  <si>
    <t>=-NL("CubeValue","Finance","[Measures].[Net Change]","[Transaction Date].[Date YQMD].[Month]",J$7,"[Account].[by Account Category].[Account]","@@"&amp;$F223,"DataSource=",Datasource)</t>
  </si>
  <si>
    <t>=-NL("CubeValue","Finance","[Measures].[Net Change]","[Transaction Date].[Date YQMD].[Month]",H$7,"[Account].[by Account Category].[Account]","@@"&amp;$F224,"DataSource=",Datasource)</t>
  </si>
  <si>
    <t>=-NL("CubeValue","Finance","[Measures].[Net Change]","[Transaction Date].[Date YQMD].[Month]",I$7,"[Account].[by Account Category].[Account]","@@"&amp;$F224,"DataSource=",Datasource)</t>
  </si>
  <si>
    <t>=-NL("CubeValue","Finance","[Measures].[Net Change]","[Transaction Date].[Date YQMD].[Month]",J$7,"[Account].[by Account Category].[Account]","@@"&amp;$F224,"DataSource=",Datasource)</t>
  </si>
  <si>
    <t>=-NL("CubeValue","Finance","[Measures].[Net Change]","[Transaction Date].[Date YQMD].[Month]",H$7,"[Account].[by Account Category].[Account]","@@"&amp;$F225,"DataSource=",Datasource)</t>
  </si>
  <si>
    <t>=-NL("CubeValue","Finance","[Measures].[Net Change]","[Transaction Date].[Date YQMD].[Month]",I$7,"[Account].[by Account Category].[Account]","@@"&amp;$F225,"DataSource=",Datasource)</t>
  </si>
  <si>
    <t>=-NL("CubeValue","Finance","[Measures].[Net Change]","[Transaction Date].[Date YQMD].[Month]",J$7,"[Account].[by Account Category].[Account]","@@"&amp;$F225,"DataSource=",Datasource)</t>
  </si>
  <si>
    <t>=-NL("CubeValue","Finance","[Measures].[Net Change]","[Transaction Date].[Date YQMD].[Month]",H$7,"[Account].[by Account Category].[Account]","@@"&amp;$F226,"DataSource=",Datasource)</t>
  </si>
  <si>
    <t>=-NL("CubeValue","Finance","[Measures].[Net Change]","[Transaction Date].[Date YQMD].[Month]",I$7,"[Account].[by Account Category].[Account]","@@"&amp;$F226,"DataSource=",Datasource)</t>
  </si>
  <si>
    <t>=-NL("CubeValue","Finance","[Measures].[Net Change]","[Transaction Date].[Date YQMD].[Month]",J$7,"[Account].[by Account Category].[Account]","@@"&amp;$F226,"DataSource=",Datasource)</t>
  </si>
  <si>
    <t>=-NL("CubeValue","Finance","[Measures].[Net Change]","[Transaction Date].[Date YQMD].[Month]",H$7,"[Account].[by Account Category].[Account]","@@"&amp;$F227,"DataSource=",Datasource)</t>
  </si>
  <si>
    <t>=-NL("CubeValue","Finance","[Measures].[Net Change]","[Transaction Date].[Date YQMD].[Month]",I$7,"[Account].[by Account Category].[Account]","@@"&amp;$F227,"DataSource=",Datasource)</t>
  </si>
  <si>
    <t>=-NL("CubeValue","Finance","[Measures].[Net Change]","[Transaction Date].[Date YQMD].[Month]",J$7,"[Account].[by Account Category].[Account]","@@"&amp;$F227,"DataSource=",Datasource)</t>
  </si>
  <si>
    <t>=-NL("CubeValue","Finance","[Measures].[Net Change]","[Transaction Date].[Date YQMD].[Month]",H$7,"[Account].[by Account Category].[Account]","@@"&amp;$F228,"DataSource=",Datasource)</t>
  </si>
  <si>
    <t>=-NL("CubeValue","Finance","[Measures].[Net Change]","[Transaction Date].[Date YQMD].[Month]",I$7,"[Account].[by Account Category].[Account]","@@"&amp;$F228,"DataSource=",Datasource)</t>
  </si>
  <si>
    <t>=-NL("CubeValue","Finance","[Measures].[Net Change]","[Transaction Date].[Date YQMD].[Month]",J$7,"[Account].[by Account Category].[Account]","@@"&amp;$F228,"DataSource=",Datasource)</t>
  </si>
  <si>
    <t>=-NL("CubeValue","Finance","[Measures].[Net Change]","[Transaction Date].[Date YQMD].[Month]",H$7,"[Account].[by Account Category].[Account]","@@"&amp;$F229,"DataSource=",Datasource)</t>
  </si>
  <si>
    <t>=-NL("CubeValue","Finance","[Measures].[Net Change]","[Transaction Date].[Date YQMD].[Month]",I$7,"[Account].[by Account Category].[Account]","@@"&amp;$F229,"DataSource=",Datasource)</t>
  </si>
  <si>
    <t>=-NL("CubeValue","Finance","[Measures].[Net Change]","[Transaction Date].[Date YQMD].[Month]",J$7,"[Account].[by Account Category].[Account]","@@"&amp;$F229,"DataSource=",Datasource)</t>
  </si>
  <si>
    <t>=-NL("CubeValue","Finance","[Measures].[Net Change]","[Transaction Date].[Date YQMD].[Month]",H$7,"[Account].[by Account Category].[Account]","@@"&amp;$F230,"DataSource=",Datasource)</t>
  </si>
  <si>
    <t>=-NL("CubeValue","Finance","[Measures].[Net Change]","[Transaction Date].[Date YQMD].[Month]",I$7,"[Account].[by Account Category].[Account]","@@"&amp;$F230,"DataSource=",Datasource)</t>
  </si>
  <si>
    <t>=-NL("CubeValue","Finance","[Measures].[Net Change]","[Transaction Date].[Date YQMD].[Month]",J$7,"[Account].[by Account Category].[Account]","@@"&amp;$F230,"DataSource=",Datasource)</t>
  </si>
  <si>
    <t>=-NL("CubeValue","Finance","[Measures].[Net Change]","[Transaction Date].[Date YQMD].[Month]",H$7,"[Account].[by Account Category].[Account]","@@"&amp;$F231,"DataSource=",Datasource)</t>
  </si>
  <si>
    <t>=-NL("CubeValue","Finance","[Measures].[Net Change]","[Transaction Date].[Date YQMD].[Month]",I$7,"[Account].[by Account Category].[Account]","@@"&amp;$F231,"DataSource=",Datasource)</t>
  </si>
  <si>
    <t>=-NL("CubeValue","Finance","[Measures].[Net Change]","[Transaction Date].[Date YQMD].[Month]",J$7,"[Account].[by Account Category].[Account]","@@"&amp;$F231,"DataSource=",Datasource)</t>
  </si>
  <si>
    <t>=-NL("CubeValue","Finance","[Measures].[Net Change]","[Transaction Date].[Date YQMD].[Month]",H$7,"[Account].[by Account Category].[Account]","@@"&amp;$F232,"DataSource=",Datasource)</t>
  </si>
  <si>
    <t>=-NL("CubeValue","Finance","[Measures].[Net Change]","[Transaction Date].[Date YQMD].[Month]",I$7,"[Account].[by Account Category].[Account]","@@"&amp;$F232,"DataSource=",Datasource)</t>
  </si>
  <si>
    <t>=-NL("CubeValue","Finance","[Measures].[Net Change]","[Transaction Date].[Date YQMD].[Month]",J$7,"[Account].[by Account Category].[Account]","@@"&amp;$F232,"DataSource=",Datasource)</t>
  </si>
  <si>
    <t>=-NL("CubeValue","Finance","[Measures].[Net Change]","[Transaction Date].[Date YQMD].[Month]",H$7,"[Account].[Account Category]",$D233,"DataSource=",Datasource)</t>
  </si>
  <si>
    <t>=-NL("CubeValue","Finance","[Measures].[Net Change]","[Transaction Date].[Date YQMD].[Month]",I$7,"[Account].[Account Category]",$D233,"DataSource=",Datasource)</t>
  </si>
  <si>
    <t>=-NL("CubeValue","Finance","[Measures].[Net Change]","[Transaction Date].[Date YQMD].[Month]",J$7,"[Account].[Account Category]",$D233,"DataSource=",Datasource)</t>
  </si>
  <si>
    <t>=-NL("CubeValue","Finance","[Measures].[Net Change]","[Transaction Date].[Date YQMD].[Month]",H$7,"[Account].[by Account Category].[Account]","@@"&amp;$F236,"DataSource=",Datasource)</t>
  </si>
  <si>
    <t>=-NL("CubeValue","Finance","[Measures].[Net Change]","[Transaction Date].[Date YQMD].[Month]",I$7,"[Account].[by Account Category].[Account]","@@"&amp;$F236,"DataSource=",Datasource)</t>
  </si>
  <si>
    <t>=-NL("CubeValue","Finance","[Measures].[Net Change]","[Transaction Date].[Date YQMD].[Month]",J$7,"[Account].[by Account Category].[Account]","@@"&amp;$F236,"DataSource=",Datasource)</t>
  </si>
  <si>
    <t>=-NL("CubeValue","Finance","[Measures].[Net Change]","[Transaction Date].[Date YQMD].[Month]",H$7,"[Account].[by Account Category].[Account]","@@"&amp;$F237,"DataSource=",Datasource)</t>
  </si>
  <si>
    <t>=-NL("CubeValue","Finance","[Measures].[Net Change]","[Transaction Date].[Date YQMD].[Month]",I$7,"[Account].[by Account Category].[Account]","@@"&amp;$F237,"DataSource=",Datasource)</t>
  </si>
  <si>
    <t>=-NL("CubeValue","Finance","[Measures].[Net Change]","[Transaction Date].[Date YQMD].[Month]",J$7,"[Account].[by Account Category].[Account]","@@"&amp;$F237,"DataSource=",Datasource)</t>
  </si>
  <si>
    <t>=-NL("CubeValue","Finance","[Measures].[Net Change]","[Transaction Date].[Date YQMD].[Month]",H$7,"[Account].[by Account Category].[Account]","@@"&amp;$F238,"DataSource=",Datasource)</t>
  </si>
  <si>
    <t>=-NL("CubeValue","Finance","[Measures].[Net Change]","[Transaction Date].[Date YQMD].[Month]",I$7,"[Account].[by Account Category].[Account]","@@"&amp;$F238,"DataSource=",Datasource)</t>
  </si>
  <si>
    <t>=-NL("CubeValue","Finance","[Measures].[Net Change]","[Transaction Date].[Date YQMD].[Month]",J$7,"[Account].[by Account Category].[Account]","@@"&amp;$F238,"DataSource=",Datasource)</t>
  </si>
  <si>
    <t>=-NL("CubeValue","Finance","[Measures].[Net Change]","[Transaction Date].[Date YQMD].[Month]",H$7,"[Account].[by Account Category].[Account]","@@"&amp;$F239,"DataSource=",Datasource)</t>
  </si>
  <si>
    <t>=-NL("CubeValue","Finance","[Measures].[Net Change]","[Transaction Date].[Date YQMD].[Month]",I$7,"[Account].[by Account Category].[Account]","@@"&amp;$F239,"DataSource=",Datasource)</t>
  </si>
  <si>
    <t>=-NL("CubeValue","Finance","[Measures].[Net Change]","[Transaction Date].[Date YQMD].[Month]",J$7,"[Account].[by Account Category].[Account]","@@"&amp;$F239,"DataSource=",Datasource)</t>
  </si>
  <si>
    <t>=-NL("CubeValue","Finance","[Measures].[Net Change]","[Transaction Date].[Date YQMD].[Month]",H$7,"[Account].[by Account Category].[Account]","@@"&amp;$F240,"DataSource=",Datasource)</t>
  </si>
  <si>
    <t>=-NL("CubeValue","Finance","[Measures].[Net Change]","[Transaction Date].[Date YQMD].[Month]",I$7,"[Account].[by Account Category].[Account]","@@"&amp;$F240,"DataSource=",Datasource)</t>
  </si>
  <si>
    <t>=-NL("CubeValue","Finance","[Measures].[Net Change]","[Transaction Date].[Date YQMD].[Month]",J$7,"[Account].[by Account Category].[Account]","@@"&amp;$F240,"DataSource=",Datasource)</t>
  </si>
  <si>
    <t>=-NL("CubeValue","Finance","[Measures].[Net Change]","[Transaction Date].[Date YQMD].[Month]",H$7,"[Account].[by Account Category].[Account]","@@"&amp;$F241,"DataSource=",Datasource)</t>
  </si>
  <si>
    <t>=-NL("CubeValue","Finance","[Measures].[Net Change]","[Transaction Date].[Date YQMD].[Month]",I$7,"[Account].[by Account Category].[Account]","@@"&amp;$F241,"DataSource=",Datasource)</t>
  </si>
  <si>
    <t>=-NL("CubeValue","Finance","[Measures].[Net Change]","[Transaction Date].[Date YQMD].[Month]",J$7,"[Account].[by Account Category].[Account]","@@"&amp;$F241,"DataSource=",Datasource)</t>
  </si>
  <si>
    <t>=-NL("CubeValue","Finance","[Measures].[Net Change]","[Transaction Date].[Date YQMD].[Month]",H$7,"[Account].[by Account Category].[Account]","@@"&amp;$F242,"DataSource=",Datasource)</t>
  </si>
  <si>
    <t>=-NL("CubeValue","Finance","[Measures].[Net Change]","[Transaction Date].[Date YQMD].[Month]",I$7,"[Account].[by Account Category].[Account]","@@"&amp;$F242,"DataSource=",Datasource)</t>
  </si>
  <si>
    <t>=-NL("CubeValue","Finance","[Measures].[Net Change]","[Transaction Date].[Date YQMD].[Month]",J$7,"[Account].[by Account Category].[Account]","@@"&amp;$F242,"DataSource=",Datasource)</t>
  </si>
  <si>
    <t>=-NL("CubeValue","Finance","[Measures].[Net Change]","[Transaction Date].[Date YQMD].[Month]",H$7,"[Account].[by Account Category].[Account]","@@"&amp;$F243,"DataSource=",Datasource)</t>
  </si>
  <si>
    <t>=-NL("CubeValue","Finance","[Measures].[Net Change]","[Transaction Date].[Date YQMD].[Month]",I$7,"[Account].[by Account Category].[Account]","@@"&amp;$F243,"DataSource=",Datasource)</t>
  </si>
  <si>
    <t>=-NL("CubeValue","Finance","[Measures].[Net Change]","[Transaction Date].[Date YQMD].[Month]",J$7,"[Account].[by Account Category].[Account]","@@"&amp;$F243,"DataSource=",Datasource)</t>
  </si>
  <si>
    <t>=-NL("CubeValue","Finance","[Measures].[Net Change]","[Transaction Date].[Date YQMD].[Month]",H$7,"[Account].[by Account Category].[Account]","@@"&amp;$F244,"DataSource=",Datasource)</t>
  </si>
  <si>
    <t>=-NL("CubeValue","Finance","[Measures].[Net Change]","[Transaction Date].[Date YQMD].[Month]",I$7,"[Account].[by Account Category].[Account]","@@"&amp;$F244,"DataSource=",Datasource)</t>
  </si>
  <si>
    <t>=-NL("CubeValue","Finance","[Measures].[Net Change]","[Transaction Date].[Date YQMD].[Month]",J$7,"[Account].[by Account Category].[Account]","@@"&amp;$F244,"DataSource=",Datasource)</t>
  </si>
  <si>
    <t>=-NL("CubeValue","Finance","[Measures].[Net Change]","[Transaction Date].[Date YQMD].[Month]",H$7,"[Account].[by Account Category].[Account]","@@"&amp;$F245,"DataSource=",Datasource)</t>
  </si>
  <si>
    <t>=-NL("CubeValue","Finance","[Measures].[Net Change]","[Transaction Date].[Date YQMD].[Month]",I$7,"[Account].[by Account Category].[Account]","@@"&amp;$F245,"DataSource=",Datasource)</t>
  </si>
  <si>
    <t>=-NL("CubeValue","Finance","[Measures].[Net Change]","[Transaction Date].[Date YQMD].[Month]",J$7,"[Account].[by Account Category].[Account]","@@"&amp;$F245,"DataSource=",Datasource)</t>
  </si>
  <si>
    <t>=-NL("CubeValue","Finance","[Measures].[Net Change]","[Transaction Date].[Date YQMD].[Month]",H$7,"[Account].[by Account Category].[Account]","@@"&amp;$F246,"DataSource=",Datasource)</t>
  </si>
  <si>
    <t>=-NL("CubeValue","Finance","[Measures].[Net Change]","[Transaction Date].[Date YQMD].[Month]",I$7,"[Account].[by Account Category].[Account]","@@"&amp;$F246,"DataSource=",Datasource)</t>
  </si>
  <si>
    <t>=-NL("CubeValue","Finance","[Measures].[Net Change]","[Transaction Date].[Date YQMD].[Month]",J$7,"[Account].[by Account Category].[Account]","@@"&amp;$F246,"DataSource=",Datasource)</t>
  </si>
  <si>
    <t>=-NL("CubeValue","Finance","[Measures].[Net Change]","[Transaction Date].[Date YQMD].[Month]",H$7,"[Account].[by Account Category].[Account]","@@"&amp;$F247,"DataSource=",Datasource)</t>
  </si>
  <si>
    <t>=-NL("CubeValue","Finance","[Measures].[Net Change]","[Transaction Date].[Date YQMD].[Month]",I$7,"[Account].[by Account Category].[Account]","@@"&amp;$F247,"DataSource=",Datasource)</t>
  </si>
  <si>
    <t>=-NL("CubeValue","Finance","[Measures].[Net Change]","[Transaction Date].[Date YQMD].[Month]",J$7,"[Account].[by Account Category].[Account]","@@"&amp;$F247,"DataSource=",Datasource)</t>
  </si>
  <si>
    <t>=-NL("CubeValue","Finance","[Measures].[Net Change]","[Transaction Date].[Date YQMD].[Month]",H$7,"[Account].[by Account Category].[Account]","@@"&amp;$F248,"DataSource=",Datasource)</t>
  </si>
  <si>
    <t>=-NL("CubeValue","Finance","[Measures].[Net Change]","[Transaction Date].[Date YQMD].[Month]",I$7,"[Account].[by Account Category].[Account]","@@"&amp;$F248,"DataSource=",Datasource)</t>
  </si>
  <si>
    <t>=-NL("CubeValue","Finance","[Measures].[Net Change]","[Transaction Date].[Date YQMD].[Month]",J$7,"[Account].[by Account Category].[Account]","@@"&amp;$F248,"DataSource=",Datasource)</t>
  </si>
  <si>
    <t>=-NL("CubeValue","Finance","[Measures].[Net Change]","[Transaction Date].[Date YQMD].[Month]",H$7,"[Account].[by Account Category].[Account]","@@"&amp;$F249,"DataSource=",Datasource)</t>
  </si>
  <si>
    <t>=-NL("CubeValue","Finance","[Measures].[Net Change]","[Transaction Date].[Date YQMD].[Month]",I$7,"[Account].[by Account Category].[Account]","@@"&amp;$F249,"DataSource=",Datasource)</t>
  </si>
  <si>
    <t>=-NL("CubeValue","Finance","[Measures].[Net Change]","[Transaction Date].[Date YQMD].[Month]",J$7,"[Account].[by Account Category].[Account]","@@"&amp;$F249,"DataSource=",Datasource)</t>
  </si>
  <si>
    <t>=-NL("CubeValue","Finance","[Measures].[Net Change]","[Transaction Date].[Date YQMD].[Month]",H$7,"[Account].[by Account Category].[Account]","@@"&amp;$F250,"DataSource=",Datasource)</t>
  </si>
  <si>
    <t>=-NL("CubeValue","Finance","[Measures].[Net Change]","[Transaction Date].[Date YQMD].[Month]",I$7,"[Account].[by Account Category].[Account]","@@"&amp;$F250,"DataSource=",Datasource)</t>
  </si>
  <si>
    <t>=-NL("CubeValue","Finance","[Measures].[Net Change]","[Transaction Date].[Date YQMD].[Month]",J$7,"[Account].[by Account Category].[Account]","@@"&amp;$F250,"DataSource=",Datasource)</t>
  </si>
  <si>
    <t>=-NL("CubeValue","Finance","[Measures].[Net Change]","[Transaction Date].[Date YQMD].[Month]",H$7,"[Account].[by Account Category].[Account]","@@"&amp;$F251,"DataSource=",Datasource)</t>
  </si>
  <si>
    <t>=-NL("CubeValue","Finance","[Measures].[Net Change]","[Transaction Date].[Date YQMD].[Month]",I$7,"[Account].[by Account Category].[Account]","@@"&amp;$F251,"DataSource=",Datasource)</t>
  </si>
  <si>
    <t>=-NL("CubeValue","Finance","[Measures].[Net Change]","[Transaction Date].[Date YQMD].[Month]",J$7,"[Account].[by Account Category].[Account]","@@"&amp;$F251,"DataSource=",Datasource)</t>
  </si>
  <si>
    <t>=-NL("CubeValue","Finance","[Measures].[Net Change]","[Transaction Date].[Date YQMD].[Month]",H$7,"[Account].[by Account Category].[Account]","@@"&amp;$F252,"DataSource=",Datasource)</t>
  </si>
  <si>
    <t>=-NL("CubeValue","Finance","[Measures].[Net Change]","[Transaction Date].[Date YQMD].[Month]",I$7,"[Account].[by Account Category].[Account]","@@"&amp;$F252,"DataSource=",Datasource)</t>
  </si>
  <si>
    <t>=-NL("CubeValue","Finance","[Measures].[Net Change]","[Transaction Date].[Date YQMD].[Month]",J$7,"[Account].[by Account Category].[Account]","@@"&amp;$F252,"DataSource=",Datasource)</t>
  </si>
  <si>
    <t>=-NL("CubeValue","Finance","[Measures].[Net Change]","[Transaction Date].[Date YQMD].[Month]",H$7,"[Account].[by Account Category].[Account]","@@"&amp;$F253,"DataSource=",Datasource)</t>
  </si>
  <si>
    <t>=-NL("CubeValue","Finance","[Measures].[Net Change]","[Transaction Date].[Date YQMD].[Month]",I$7,"[Account].[by Account Category].[Account]","@@"&amp;$F253,"DataSource=",Datasource)</t>
  </si>
  <si>
    <t>=-NL("CubeValue","Finance","[Measures].[Net Change]","[Transaction Date].[Date YQMD].[Month]",J$7,"[Account].[by Account Category].[Account]","@@"&amp;$F253,"DataSource=",Datasource)</t>
  </si>
  <si>
    <t>=-NL("CubeValue","Finance","[Measures].[Net Change]","[Transaction Date].[Date YQMD].[Month]",H$7,"[Account].[Account Category]",$D254,"DataSource=",Datasource)</t>
  </si>
  <si>
    <t>=-NL("CubeValue","Finance","[Measures].[Net Change]","[Transaction Date].[Date YQMD].[Month]",I$7,"[Account].[Account Category]",$D254,"DataSource=",Datasource)</t>
  </si>
  <si>
    <t>=-NL("CubeValue","Finance","[Measures].[Net Change]","[Transaction Date].[Date YQMD].[Month]",J$7,"[Account].[Account Category]",$D254,"DataSource=",Datasource)</t>
  </si>
  <si>
    <t>=-NL("CubeValue","Finance","[Measures].[Net Change]","[Transaction Date].[Date YQMD].[Month]",H$7,"[Account].[by Account Category].[Account]","@@"&amp;$F261,"DataSource=",Datasource)</t>
  </si>
  <si>
    <t>=-NL("CubeValue","Finance","[Measures].[Net Change]","[Transaction Date].[Date YQMD].[Month]",I$7,"[Account].[by Account Category].[Account]","@@"&amp;$F261,"DataSource=",Datasource)</t>
  </si>
  <si>
    <t>=-NL("CubeValue","Finance","[Measures].[Net Change]","[Transaction Date].[Date YQMD].[Month]",J$7,"[Account].[by Account Category].[Account]","@@"&amp;$F261,"DataSource=",Datasource)</t>
  </si>
  <si>
    <t>=-NL("CubeValue","Finance","[Measures].[Net Change]","[Transaction Date].[Date YQMD].[Month]",H$7,"[Account].[by Account Category].[Account]","@@"&amp;$F262,"DataSource=",Datasource)</t>
  </si>
  <si>
    <t>=-NL("CubeValue","Finance","[Measures].[Net Change]","[Transaction Date].[Date YQMD].[Month]",I$7,"[Account].[by Account Category].[Account]","@@"&amp;$F262,"DataSource=",Datasource)</t>
  </si>
  <si>
    <t>=-NL("CubeValue","Finance","[Measures].[Net Change]","[Transaction Date].[Date YQMD].[Month]",J$7,"[Account].[by Account Category].[Account]","@@"&amp;$F262,"DataSource=",Datasource)</t>
  </si>
  <si>
    <t>=-NL("CubeValue","Finance","[Measures].[Net Change]","[Transaction Date].[Date YQMD].[Month]",H$7,"[Account].[by Account Category].[Account]","@@"&amp;$F263,"DataSource=",Datasource)</t>
  </si>
  <si>
    <t>=-NL("CubeValue","Finance","[Measures].[Net Change]","[Transaction Date].[Date YQMD].[Month]",I$7,"[Account].[by Account Category].[Account]","@@"&amp;$F263,"DataSource=",Datasource)</t>
  </si>
  <si>
    <t>=-NL("CubeValue","Finance","[Measures].[Net Change]","[Transaction Date].[Date YQMD].[Month]",J$7,"[Account].[by Account Category].[Account]","@@"&amp;$F263,"DataSource=",Datasource)</t>
  </si>
  <si>
    <t>=-NL("CubeValue","Finance","[Measures].[Net Change]","[Transaction Date].[Date YQMD].[Month]",H$7,"[Account].[by Account Category].[Account]","@@"&amp;$F264,"DataSource=",Datasource)</t>
  </si>
  <si>
    <t>=-NL("CubeValue","Finance","[Measures].[Net Change]","[Transaction Date].[Date YQMD].[Month]",I$7,"[Account].[by Account Category].[Account]","@@"&amp;$F264,"DataSource=",Datasource)</t>
  </si>
  <si>
    <t>=-NL("CubeValue","Finance","[Measures].[Net Change]","[Transaction Date].[Date YQMD].[Month]",J$7,"[Account].[by Account Category].[Account]","@@"&amp;$F264,"DataSource=",Datasource)</t>
  </si>
  <si>
    <t>=-NL("CubeValue","Finance","[Measures].[Net Change]","[Transaction Date].[Date YQMD].[Month]",H$7,"[Account].[by Account Category].[Account]","@@"&amp;$F265,"DataSource=",Datasource)</t>
  </si>
  <si>
    <t>=-NL("CubeValue","Finance","[Measures].[Net Change]","[Transaction Date].[Date YQMD].[Month]",I$7,"[Account].[by Account Category].[Account]","@@"&amp;$F265,"DataSource=",Datasource)</t>
  </si>
  <si>
    <t>=-NL("CubeValue","Finance","[Measures].[Net Change]","[Transaction Date].[Date YQMD].[Month]",J$7,"[Account].[by Account Category].[Account]","@@"&amp;$F265,"DataSource=",Datasource)</t>
  </si>
  <si>
    <t>=-NL("CubeValue","Finance","[Measures].[Net Change]","[Transaction Date].[Date YQMD].[Month]",H$7,"[Account].[by Account Category].[Account]","@@"&amp;$F266,"DataSource=",Datasource)</t>
  </si>
  <si>
    <t>=-NL("CubeValue","Finance","[Measures].[Net Change]","[Transaction Date].[Date YQMD].[Month]",I$7,"[Account].[by Account Category].[Account]","@@"&amp;$F266,"DataSource=",Datasource)</t>
  </si>
  <si>
    <t>=-NL("CubeValue","Finance","[Measures].[Net Change]","[Transaction Date].[Date YQMD].[Month]",J$7,"[Account].[by Account Category].[Account]","@@"&amp;$F266,"DataSource=",Datasource)</t>
  </si>
  <si>
    <t>=-NL("CubeValue","Finance","[Measures].[Net Change]","[Transaction Date].[Date YQMD].[Month]",H$7,"[Account].[by Account Category].[Account]","@@"&amp;$F267,"DataSource=",Datasource)</t>
  </si>
  <si>
    <t>=-NL("CubeValue","Finance","[Measures].[Net Change]","[Transaction Date].[Date YQMD].[Month]",I$7,"[Account].[by Account Category].[Account]","@@"&amp;$F267,"DataSource=",Datasource)</t>
  </si>
  <si>
    <t>=-NL("CubeValue","Finance","[Measures].[Net Change]","[Transaction Date].[Date YQMD].[Month]",J$7,"[Account].[by Account Category].[Account]","@@"&amp;$F267,"DataSource=",Datasource)</t>
  </si>
  <si>
    <t>=-NL("CubeValue","Finance","[Measures].[Net Change]","[Transaction Date].[Date YQMD].[Month]",H$7,"[Account].[by Account Category].[Account]","@@"&amp;$F268,"DataSource=",Datasource)</t>
  </si>
  <si>
    <t>=-NL("CubeValue","Finance","[Measures].[Net Change]","[Transaction Date].[Date YQMD].[Month]",I$7,"[Account].[by Account Category].[Account]","@@"&amp;$F268,"DataSource=",Datasource)</t>
  </si>
  <si>
    <t>=-NL("CubeValue","Finance","[Measures].[Net Change]","[Transaction Date].[Date YQMD].[Month]",J$7,"[Account].[by Account Category].[Account]","@@"&amp;$F268,"DataSource=",Datasource)</t>
  </si>
  <si>
    <t>=-NL("CubeValue","Finance","[Measures].[Net Change]","[Transaction Date].[Date YQMD].[Month]",H$7,"[Account].[by Account Category].[Account]","@@"&amp;$F269,"DataSource=",Datasource)</t>
  </si>
  <si>
    <t>=-NL("CubeValue","Finance","[Measures].[Net Change]","[Transaction Date].[Date YQMD].[Month]",I$7,"[Account].[by Account Category].[Account]","@@"&amp;$F269,"DataSource=",Datasource)</t>
  </si>
  <si>
    <t>=-NL("CubeValue","Finance","[Measures].[Net Change]","[Transaction Date].[Date YQMD].[Month]",J$7,"[Account].[by Account Category].[Account]","@@"&amp;$F269,"DataSource=",Datasource)</t>
  </si>
  <si>
    <t>=-NL("CubeValue","Finance","[Measures].[Net Change]","[Transaction Date].[Date YQMD].[Month]",H$7,"[Account].[by Account Category].[Account]","@@"&amp;$F270,"DataSource=",Datasource)</t>
  </si>
  <si>
    <t>=-NL("CubeValue","Finance","[Measures].[Net Change]","[Transaction Date].[Date YQMD].[Month]",I$7,"[Account].[by Account Category].[Account]","@@"&amp;$F270,"DataSource=",Datasource)</t>
  </si>
  <si>
    <t>=-NL("CubeValue","Finance","[Measures].[Net Change]","[Transaction Date].[Date YQMD].[Month]",J$7,"[Account].[by Account Category].[Account]","@@"&amp;$F270,"DataSource=",Datasource)</t>
  </si>
  <si>
    <t>=-NL("CubeValue","Finance","[Measures].[Net Change]","[Transaction Date].[Date YQMD].[Month]",H$7,"[Account].[by Account Category].[Account]","@@"&amp;$F271,"DataSource=",Datasource)</t>
  </si>
  <si>
    <t>=-NL("CubeValue","Finance","[Measures].[Net Change]","[Transaction Date].[Date YQMD].[Month]",I$7,"[Account].[by Account Category].[Account]","@@"&amp;$F271,"DataSource=",Datasource)</t>
  </si>
  <si>
    <t>=-NL("CubeValue","Finance","[Measures].[Net Change]","[Transaction Date].[Date YQMD].[Month]",J$7,"[Account].[by Account Category].[Account]","@@"&amp;$F271,"DataSource=",Datasource)</t>
  </si>
  <si>
    <t>=-NL("CubeValue","Finance","[Measures].[Net Change]","[Transaction Date].[Date YQMD].[Month]",H$7,"[Account].[by Account Category].[Account]","@@"&amp;$F272,"DataSource=",Datasource)</t>
  </si>
  <si>
    <t>=-NL("CubeValue","Finance","[Measures].[Net Change]","[Transaction Date].[Date YQMD].[Month]",I$7,"[Account].[by Account Category].[Account]","@@"&amp;$F272,"DataSource=",Datasource)</t>
  </si>
  <si>
    <t>=-NL("CubeValue","Finance","[Measures].[Net Change]","[Transaction Date].[Date YQMD].[Month]",J$7,"[Account].[by Account Category].[Account]","@@"&amp;$F272,"DataSource=",Datasource)</t>
  </si>
  <si>
    <t>=-NL("CubeValue","Finance","[Measures].[Net Change]","[Transaction Date].[Date YQMD].[Month]",H$7,"[Account].[by Account Category].[Account]","@@"&amp;$F273,"DataSource=",Datasource)</t>
  </si>
  <si>
    <t>=-NL("CubeValue","Finance","[Measures].[Net Change]","[Transaction Date].[Date YQMD].[Month]",I$7,"[Account].[by Account Category].[Account]","@@"&amp;$F273,"DataSource=",Datasource)</t>
  </si>
  <si>
    <t>=-NL("CubeValue","Finance","[Measures].[Net Change]","[Transaction Date].[Date YQMD].[Month]",J$7,"[Account].[by Account Category].[Account]","@@"&amp;$F273,"DataSource=",Datasource)</t>
  </si>
  <si>
    <t>=-NL("CubeValue","Finance","[Measures].[Net Change]","[Transaction Date].[Date YQMD].[Month]",H$7,"[Account].[by Account Category].[Account]","@@"&amp;$F274,"DataSource=",Datasource)</t>
  </si>
  <si>
    <t>=-NL("CubeValue","Finance","[Measures].[Net Change]","[Transaction Date].[Date YQMD].[Month]",I$7,"[Account].[by Account Category].[Account]","@@"&amp;$F274,"DataSource=",Datasource)</t>
  </si>
  <si>
    <t>=-NL("CubeValue","Finance","[Measures].[Net Change]","[Transaction Date].[Date YQMD].[Month]",J$7,"[Account].[by Account Category].[Account]","@@"&amp;$F274,"DataSource=",Datasource)</t>
  </si>
  <si>
    <t>=-NL("CubeValue","Finance","[Measures].[Net Change]","[Transaction Date].[Date YQMD].[Month]",H$7,"[Account].[by Account Category].[Account]","@@"&amp;$F275,"DataSource=",Datasource)</t>
  </si>
  <si>
    <t>=-NL("CubeValue","Finance","[Measures].[Net Change]","[Transaction Date].[Date YQMD].[Month]",I$7,"[Account].[by Account Category].[Account]","@@"&amp;$F275,"DataSource=",Datasource)</t>
  </si>
  <si>
    <t>=-NL("CubeValue","Finance","[Measures].[Net Change]","[Transaction Date].[Date YQMD].[Month]",J$7,"[Account].[by Account Category].[Account]","@@"&amp;$F275,"DataSource=",Datasource)</t>
  </si>
  <si>
    <t>=-NL("CubeValue","Finance","[Measures].[Net Change]","[Transaction Date].[Date YQMD].[Month]",H$7,"[Account].[by Account Category].[Account]","@@"&amp;$F276,"DataSource=",Datasource)</t>
  </si>
  <si>
    <t>=-NL("CubeValue","Finance","[Measures].[Net Change]","[Transaction Date].[Date YQMD].[Month]",I$7,"[Account].[by Account Category].[Account]","@@"&amp;$F276,"DataSource=",Datasource)</t>
  </si>
  <si>
    <t>=-NL("CubeValue","Finance","[Measures].[Net Change]","[Transaction Date].[Date YQMD].[Month]",J$7,"[Account].[by Account Category].[Account]","@@"&amp;$F276,"DataSource=",Datasource)</t>
  </si>
  <si>
    <t>=-NL("CubeValue","Finance","[Measures].[Net Change]","[Transaction Date].[Date YQMD].[Month]",H$7,"[Account].[by Account Category].[Account]","@@"&amp;$F277,"DataSource=",Datasource)</t>
  </si>
  <si>
    <t>=-NL("CubeValue","Finance","[Measures].[Net Change]","[Transaction Date].[Date YQMD].[Month]",I$7,"[Account].[by Account Category].[Account]","@@"&amp;$F277,"DataSource=",Datasource)</t>
  </si>
  <si>
    <t>=-NL("CubeValue","Finance","[Measures].[Net Change]","[Transaction Date].[Date YQMD].[Month]",J$7,"[Account].[by Account Category].[Account]","@@"&amp;$F277,"DataSource=",Datasource)</t>
  </si>
  <si>
    <t>=-NL("CubeValue","Finance","[Measures].[Net Change]","[Transaction Date].[Date YQMD].[Month]",H$7,"[Account].[by Account Category].[Account]","@@"&amp;$F278,"DataSource=",Datasource)</t>
  </si>
  <si>
    <t>=-NL("CubeValue","Finance","[Measures].[Net Change]","[Transaction Date].[Date YQMD].[Month]",I$7,"[Account].[by Account Category].[Account]","@@"&amp;$F278,"DataSource=",Datasource)</t>
  </si>
  <si>
    <t>=-NL("CubeValue","Finance","[Measures].[Net Change]","[Transaction Date].[Date YQMD].[Month]",J$7,"[Account].[by Account Category].[Account]","@@"&amp;$F278,"DataSource=",Datasource)</t>
  </si>
  <si>
    <t>=-NL("CubeValue","Finance","[Measures].[Net Change]","[Transaction Date].[Date YQMD].[Month]",H$7,"[Account].[by Account Category].[Account]","@@"&amp;$F279,"DataSource=",Datasource)</t>
  </si>
  <si>
    <t>=-NL("CubeValue","Finance","[Measures].[Net Change]","[Transaction Date].[Date YQMD].[Month]",I$7,"[Account].[by Account Category].[Account]","@@"&amp;$F279,"DataSource=",Datasource)</t>
  </si>
  <si>
    <t>=-NL("CubeValue","Finance","[Measures].[Net Change]","[Transaction Date].[Date YQMD].[Month]",J$7,"[Account].[by Account Category].[Account]","@@"&amp;$F279,"DataSource=",Datasource)</t>
  </si>
  <si>
    <t>=-NL("CubeValue","Finance","[Measures].[Net Change]","[Transaction Date].[Date YQMD].[Month]",H$7,"[Account].[by Account Category].[Account]","@@"&amp;$F280,"DataSource=",Datasource)</t>
  </si>
  <si>
    <t>=-NL("CubeValue","Finance","[Measures].[Net Change]","[Transaction Date].[Date YQMD].[Month]",I$7,"[Account].[by Account Category].[Account]","@@"&amp;$F280,"DataSource=",Datasource)</t>
  </si>
  <si>
    <t>=-NL("CubeValue","Finance","[Measures].[Net Change]","[Transaction Date].[Date YQMD].[Month]",J$7,"[Account].[by Account Category].[Account]","@@"&amp;$F280,"DataSource=",Datasource)</t>
  </si>
  <si>
    <t>=-NL("CubeValue","Finance","[Measures].[Net Change]","[Transaction Date].[Date YQMD].[Month]",H$7,"[Account].[by Account Category].[Account]","@@"&amp;$F281,"DataSource=",Datasource)</t>
  </si>
  <si>
    <t>=-NL("CubeValue","Finance","[Measures].[Net Change]","[Transaction Date].[Date YQMD].[Month]",I$7,"[Account].[by Account Category].[Account]","@@"&amp;$F281,"DataSource=",Datasource)</t>
  </si>
  <si>
    <t>=-NL("CubeValue","Finance","[Measures].[Net Change]","[Transaction Date].[Date YQMD].[Month]",J$7,"[Account].[by Account Category].[Account]","@@"&amp;$F281,"DataSource=",Datasource)</t>
  </si>
  <si>
    <t>=-NL("CubeValue","Finance","[Measures].[Net Change]","[Transaction Date].[Date YQMD].[Month]",H$7,"[Account].[by Account Category].[Account]","@@"&amp;$F282,"DataSource=",Datasource)</t>
  </si>
  <si>
    <t>=-NL("CubeValue","Finance","[Measures].[Net Change]","[Transaction Date].[Date YQMD].[Month]",I$7,"[Account].[by Account Category].[Account]","@@"&amp;$F282,"DataSource=",Datasource)</t>
  </si>
  <si>
    <t>=-NL("CubeValue","Finance","[Measures].[Net Change]","[Transaction Date].[Date YQMD].[Month]",J$7,"[Account].[by Account Category].[Account]","@@"&amp;$F282,"DataSource=",Datasource)</t>
  </si>
  <si>
    <t>=-NL("CubeValue","Finance","[Measures].[Net Change]","[Transaction Date].[Date YQMD].[Month]",H$7,"[Account].[Account Category]",$D283,"DataSource=",Datasource)</t>
  </si>
  <si>
    <t>=-NL("CubeValue","Finance","[Measures].[Net Change]","[Transaction Date].[Date YQMD].[Month]",I$7,"[Account].[Account Category]",$D283,"DataSource=",Datasource)</t>
  </si>
  <si>
    <t>=-NL("CubeValue","Finance","[Measures].[Net Change]","[Transaction Date].[Date YQMD].[Month]",J$7,"[Account].[Account Category]",$D283,"DataSource=",Datasource)</t>
  </si>
  <si>
    <t>=-NL("CubeValue","Finance","[Measures].[Net Change]","[Transaction Date].[Date YQMD].[Month]",H$7,"[Account].[by Account Category].[Account]","@@"&amp;$F286,"DataSource=",Datasource)</t>
  </si>
  <si>
    <t>=-NL("CubeValue","Finance","[Measures].[Net Change]","[Transaction Date].[Date YQMD].[Month]",I$7,"[Account].[by Account Category].[Account]","@@"&amp;$F286,"DataSource=",Datasource)</t>
  </si>
  <si>
    <t>=-NL("CubeValue","Finance","[Measures].[Net Change]","[Transaction Date].[Date YQMD].[Month]",J$7,"[Account].[by Account Category].[Account]","@@"&amp;$F286,"DataSource=",Datasource)</t>
  </si>
  <si>
    <t>=-NL("CubeValue","Finance","[Measures].[Net Change]","[Transaction Date].[Date YQMD].[Month]",H$7,"[Account].[by Account Category].[Account]","@@"&amp;$F287,"DataSource=",Datasource)</t>
  </si>
  <si>
    <t>=-NL("CubeValue","Finance","[Measures].[Net Change]","[Transaction Date].[Date YQMD].[Month]",I$7,"[Account].[by Account Category].[Account]","@@"&amp;$F287,"DataSource=",Datasource)</t>
  </si>
  <si>
    <t>=-NL("CubeValue","Finance","[Measures].[Net Change]","[Transaction Date].[Date YQMD].[Month]",J$7,"[Account].[by Account Category].[Account]","@@"&amp;$F287,"DataSource=",Datasource)</t>
  </si>
  <si>
    <t>=-NL("CubeValue","Finance","[Measures].[Net Change]","[Transaction Date].[Date YQMD].[Month]",H$7,"[Account].[by Account Category].[Account]","@@"&amp;$F288,"DataSource=",Datasource)</t>
  </si>
  <si>
    <t>=-NL("CubeValue","Finance","[Measures].[Net Change]","[Transaction Date].[Date YQMD].[Month]",I$7,"[Account].[by Account Category].[Account]","@@"&amp;$F288,"DataSource=",Datasource)</t>
  </si>
  <si>
    <t>=-NL("CubeValue","Finance","[Measures].[Net Change]","[Transaction Date].[Date YQMD].[Month]",J$7,"[Account].[by Account Category].[Account]","@@"&amp;$F288,"DataSource=",Datasource)</t>
  </si>
  <si>
    <t>=-NL("CubeValue","Finance","[Measures].[Net Change]","[Transaction Date].[Date YQMD].[Month]",H$7,"[Account].[by Account Category].[Account]","@@"&amp;$F289,"DataSource=",Datasource)</t>
  </si>
  <si>
    <t>=-NL("CubeValue","Finance","[Measures].[Net Change]","[Transaction Date].[Date YQMD].[Month]",I$7,"[Account].[by Account Category].[Account]","@@"&amp;$F289,"DataSource=",Datasource)</t>
  </si>
  <si>
    <t>=-NL("CubeValue","Finance","[Measures].[Net Change]","[Transaction Date].[Date YQMD].[Month]",J$7,"[Account].[by Account Category].[Account]","@@"&amp;$F289,"DataSource=",Datasource)</t>
  </si>
  <si>
    <t>=-NL("CubeValue","Finance","[Measures].[Net Change]","[Transaction Date].[Date YQMD].[Month]",H$7,"[Account].[Account Category]",$D290,"DataSource=",Datasource)</t>
  </si>
  <si>
    <t>=-NL("CubeValue","Finance","[Measures].[Net Change]","[Transaction Date].[Date YQMD].[Month]",I$7,"[Account].[Account Category]",$D290,"DataSource=",Datasource)</t>
  </si>
  <si>
    <t>=-NL("CubeValue","Finance","[Measures].[Net Change]","[Transaction Date].[Date YQMD].[Month]",J$7,"[Account].[Account Category]",$D290,"DataSource=",Datasource)</t>
  </si>
  <si>
    <t>=-NL("CubeValue","Finance","[Measures].[Net Change]","[Transaction Date].[Date YQMD].[Month]",H$7,"[Account].[by Account Category].[Account]","@@"&amp;$F293,"DataSource=",Datasource)</t>
  </si>
  <si>
    <t>=-NL("CubeValue","Finance","[Measures].[Net Change]","[Transaction Date].[Date YQMD].[Month]",I$7,"[Account].[by Account Category].[Account]","@@"&amp;$F293,"DataSource=",Datasource)</t>
  </si>
  <si>
    <t>=-NL("CubeValue","Finance","[Measures].[Net Change]","[Transaction Date].[Date YQMD].[Month]",J$7,"[Account].[by Account Category].[Account]","@@"&amp;$F293,"DataSource=",Datasource)</t>
  </si>
  <si>
    <t>=-NL("CubeValue","Finance","[Measures].[Net Change]","[Transaction Date].[Date YQMD].[Month]",H$7,"[Account].[by Account Category].[Account]","@@"&amp;$F294,"DataSource=",Datasource)</t>
  </si>
  <si>
    <t>=-NL("CubeValue","Finance","[Measures].[Net Change]","[Transaction Date].[Date YQMD].[Month]",I$7,"[Account].[by Account Category].[Account]","@@"&amp;$F294,"DataSource=",Datasource)</t>
  </si>
  <si>
    <t>=-NL("CubeValue","Finance","[Measures].[Net Change]","[Transaction Date].[Date YQMD].[Month]",J$7,"[Account].[by Account Category].[Account]","@@"&amp;$F294,"DataSource=",Datasource)</t>
  </si>
  <si>
    <t>=-NL("CubeValue","Finance","[Measures].[Net Change]","[Transaction Date].[Date YQMD].[Month]",H$7,"[Account].[by Account Category].[Account]","@@"&amp;$F295,"DataSource=",Datasource)</t>
  </si>
  <si>
    <t>=-NL("CubeValue","Finance","[Measures].[Net Change]","[Transaction Date].[Date YQMD].[Month]",I$7,"[Account].[by Account Category].[Account]","@@"&amp;$F295,"DataSource=",Datasource)</t>
  </si>
  <si>
    <t>=-NL("CubeValue","Finance","[Measures].[Net Change]","[Transaction Date].[Date YQMD].[Month]",J$7,"[Account].[by Account Category].[Account]","@@"&amp;$F295,"DataSource=",Datasource)</t>
  </si>
  <si>
    <t>=-NL("CubeValue","Finance","[Measures].[Net Change]","[Transaction Date].[Date YQMD].[Month]",H$7,"[Account].[by Account Category].[Account]","@@"&amp;$F296,"DataSource=",Datasource)</t>
  </si>
  <si>
    <t>=-NL("CubeValue","Finance","[Measures].[Net Change]","[Transaction Date].[Date YQMD].[Month]",I$7,"[Account].[by Account Category].[Account]","@@"&amp;$F296,"DataSource=",Datasource)</t>
  </si>
  <si>
    <t>=-NL("CubeValue","Finance","[Measures].[Net Change]","[Transaction Date].[Date YQMD].[Month]",J$7,"[Account].[by Account Category].[Account]","@@"&amp;$F296,"DataSource=",Datasource)</t>
  </si>
  <si>
    <t>=-NL("CubeValue","Finance","[Measures].[Net Change]","[Transaction Date].[Date YQMD].[Month]",H$7,"[Account].[by Account Category].[Account]","@@"&amp;$F297,"DataSource=",Datasource)</t>
  </si>
  <si>
    <t>=-NL("CubeValue","Finance","[Measures].[Net Change]","[Transaction Date].[Date YQMD].[Month]",I$7,"[Account].[by Account Category].[Account]","@@"&amp;$F297,"DataSource=",Datasource)</t>
  </si>
  <si>
    <t>=-NL("CubeValue","Finance","[Measures].[Net Change]","[Transaction Date].[Date YQMD].[Month]",J$7,"[Account].[by Account Category].[Account]","@@"&amp;$F297,"DataSource=",Datasource)</t>
  </si>
  <si>
    <t>=-NL("CubeValue","Finance","[Measures].[Net Change]","[Transaction Date].[Date YQMD].[Month]",H$7,"[Account].[by Account Category].[Account]","@@"&amp;$F298,"DataSource=",Datasource)</t>
  </si>
  <si>
    <t>=-NL("CubeValue","Finance","[Measures].[Net Change]","[Transaction Date].[Date YQMD].[Month]",I$7,"[Account].[by Account Category].[Account]","@@"&amp;$F298,"DataSource=",Datasource)</t>
  </si>
  <si>
    <t>=-NL("CubeValue","Finance","[Measures].[Net Change]","[Transaction Date].[Date YQMD].[Month]",J$7,"[Account].[by Account Category].[Account]","@@"&amp;$F298,"DataSource=",Datasource)</t>
  </si>
  <si>
    <t>=-NL("CubeValue","Finance","[Measures].[Net Change]","[Transaction Date].[Date YQMD].[Month]",H$7,"[Account].[by Account Category].[Account]","@@"&amp;$F299,"DataSource=",Datasource)</t>
  </si>
  <si>
    <t>=-NL("CubeValue","Finance","[Measures].[Net Change]","[Transaction Date].[Date YQMD].[Month]",I$7,"[Account].[by Account Category].[Account]","@@"&amp;$F299,"DataSource=",Datasource)</t>
  </si>
  <si>
    <t>=-NL("CubeValue","Finance","[Measures].[Net Change]","[Transaction Date].[Date YQMD].[Month]",J$7,"[Account].[by Account Category].[Account]","@@"&amp;$F299,"DataSource=",Datasource)</t>
  </si>
  <si>
    <t>=-NL("CubeValue","Finance","[Measures].[Net Change]","[Transaction Date].[Date YQMD].[Month]",H$7,"[Account].[by Account Category].[Account]","@@"&amp;$F300,"DataSource=",Datasource)</t>
  </si>
  <si>
    <t>=-NL("CubeValue","Finance","[Measures].[Net Change]","[Transaction Date].[Date YQMD].[Month]",I$7,"[Account].[by Account Category].[Account]","@@"&amp;$F300,"DataSource=",Datasource)</t>
  </si>
  <si>
    <t>=-NL("CubeValue","Finance","[Measures].[Net Change]","[Transaction Date].[Date YQMD].[Month]",J$7,"[Account].[by Account Category].[Account]","@@"&amp;$F300,"DataSource=",Datasource)</t>
  </si>
  <si>
    <t>=-NL("CubeValue","Finance","[Measures].[Net Change]","[Transaction Date].[Date YQMD].[Month]",H$7,"[Account].[by Account Category].[Account]","@@"&amp;$F301,"DataSource=",Datasource)</t>
  </si>
  <si>
    <t>=-NL("CubeValue","Finance","[Measures].[Net Change]","[Transaction Date].[Date YQMD].[Month]",I$7,"[Account].[by Account Category].[Account]","@@"&amp;$F301,"DataSource=",Datasource)</t>
  </si>
  <si>
    <t>=-NL("CubeValue","Finance","[Measures].[Net Change]","[Transaction Date].[Date YQMD].[Month]",J$7,"[Account].[by Account Category].[Account]","@@"&amp;$F301,"DataSource=",Datasource)</t>
  </si>
  <si>
    <t>=-NL("CubeValue","Finance","[Measures].[Net Change]","[Transaction Date].[Date YQMD].[Month]",H$7,"[Account].[by Account Category].[Account]","@@"&amp;$F302,"DataSource=",Datasource)</t>
  </si>
  <si>
    <t>=-NL("CubeValue","Finance","[Measures].[Net Change]","[Transaction Date].[Date YQMD].[Month]",I$7,"[Account].[by Account Category].[Account]","@@"&amp;$F302,"DataSource=",Datasource)</t>
  </si>
  <si>
    <t>=-NL("CubeValue","Finance","[Measures].[Net Change]","[Transaction Date].[Date YQMD].[Month]",J$7,"[Account].[by Account Category].[Account]","@@"&amp;$F302,"DataSource=",Datasource)</t>
  </si>
  <si>
    <t>=-NL("CubeValue","Finance","[Measures].[Net Change]","[Transaction Date].[Date YQMD].[Month]",H$7,"[Account].[by Account Category].[Account]","@@"&amp;$F303,"DataSource=",Datasource)</t>
  </si>
  <si>
    <t>=-NL("CubeValue","Finance","[Measures].[Net Change]","[Transaction Date].[Date YQMD].[Month]",I$7,"[Account].[by Account Category].[Account]","@@"&amp;$F303,"DataSource=",Datasource)</t>
  </si>
  <si>
    <t>=-NL("CubeValue","Finance","[Measures].[Net Change]","[Transaction Date].[Date YQMD].[Month]",J$7,"[Account].[by Account Category].[Account]","@@"&amp;$F303,"DataSource=",Datasource)</t>
  </si>
  <si>
    <t>=-NL("CubeValue","Finance","[Measures].[Net Change]","[Transaction Date].[Date YQMD].[Month]",H$7,"[Account].[by Account Category].[Account]","@@"&amp;$F304,"DataSource=",Datasource)</t>
  </si>
  <si>
    <t>=-NL("CubeValue","Finance","[Measures].[Net Change]","[Transaction Date].[Date YQMD].[Month]",I$7,"[Account].[by Account Category].[Account]","@@"&amp;$F304,"DataSource=",Datasource)</t>
  </si>
  <si>
    <t>=-NL("CubeValue","Finance","[Measures].[Net Change]","[Transaction Date].[Date YQMD].[Month]",J$7,"[Account].[by Account Category].[Account]","@@"&amp;$F304,"DataSource=",Datasource)</t>
  </si>
  <si>
    <t>=-NL("CubeValue","Finance","[Measures].[Net Change]","[Transaction Date].[Date YQMD].[Month]",H$7,"[Account].[by Account Category].[Account]","@@"&amp;$F305,"DataSource=",Datasource)</t>
  </si>
  <si>
    <t>=-NL("CubeValue","Finance","[Measures].[Net Change]","[Transaction Date].[Date YQMD].[Month]",I$7,"[Account].[by Account Category].[Account]","@@"&amp;$F305,"DataSource=",Datasource)</t>
  </si>
  <si>
    <t>=-NL("CubeValue","Finance","[Measures].[Net Change]","[Transaction Date].[Date YQMD].[Month]",J$7,"[Account].[by Account Category].[Account]","@@"&amp;$F305,"DataSource=",Datasource)</t>
  </si>
  <si>
    <t>=-NL("CubeValue","Finance","[Measures].[Net Change]","[Transaction Date].[Date YQMD].[Month]",H$7,"[Account].[by Account Category].[Account]","@@"&amp;$F306,"DataSource=",Datasource)</t>
  </si>
  <si>
    <t>=-NL("CubeValue","Finance","[Measures].[Net Change]","[Transaction Date].[Date YQMD].[Month]",I$7,"[Account].[by Account Category].[Account]","@@"&amp;$F306,"DataSource=",Datasource)</t>
  </si>
  <si>
    <t>=-NL("CubeValue","Finance","[Measures].[Net Change]","[Transaction Date].[Date YQMD].[Month]",J$7,"[Account].[by Account Category].[Account]","@@"&amp;$F306,"DataSource=",Datasource)</t>
  </si>
  <si>
    <t>=-NL("CubeValue","Finance","[Measures].[Net Change]","[Transaction Date].[Date YQMD].[Month]",H$7,"[Account].[by Account Category].[Account]","@@"&amp;$F307,"DataSource=",Datasource)</t>
  </si>
  <si>
    <t>=-NL("CubeValue","Finance","[Measures].[Net Change]","[Transaction Date].[Date YQMD].[Month]",I$7,"[Account].[by Account Category].[Account]","@@"&amp;$F307,"DataSource=",Datasource)</t>
  </si>
  <si>
    <t>=-NL("CubeValue","Finance","[Measures].[Net Change]","[Transaction Date].[Date YQMD].[Month]",J$7,"[Account].[by Account Category].[Account]","@@"&amp;$F307,"DataSource=",Datasource)</t>
  </si>
  <si>
    <t>=-NL("CubeValue","Finance","[Measures].[Net Change]","[Transaction Date].[Date YQMD].[Month]",H$7,"[Account].[by Account Category].[Account]","@@"&amp;$F308,"DataSource=",Datasource)</t>
  </si>
  <si>
    <t>=-NL("CubeValue","Finance","[Measures].[Net Change]","[Transaction Date].[Date YQMD].[Month]",I$7,"[Account].[by Account Category].[Account]","@@"&amp;$F308,"DataSource=",Datasource)</t>
  </si>
  <si>
    <t>=-NL("CubeValue","Finance","[Measures].[Net Change]","[Transaction Date].[Date YQMD].[Month]",J$7,"[Account].[by Account Category].[Account]","@@"&amp;$F308,"DataSource=",Datasource)</t>
  </si>
  <si>
    <t>=-NL("CubeValue","Finance","[Measures].[Net Change]","[Transaction Date].[Date YQMD].[Month]",H$7,"[Account].[by Account Category].[Account]","@@"&amp;$F309,"DataSource=",Datasource)</t>
  </si>
  <si>
    <t>=-NL("CubeValue","Finance","[Measures].[Net Change]","[Transaction Date].[Date YQMD].[Month]",I$7,"[Account].[by Account Category].[Account]","@@"&amp;$F309,"DataSource=",Datasource)</t>
  </si>
  <si>
    <t>=-NL("CubeValue","Finance","[Measures].[Net Change]","[Transaction Date].[Date YQMD].[Month]",J$7,"[Account].[by Account Category].[Account]","@@"&amp;$F309,"DataSource=",Datasource)</t>
  </si>
  <si>
    <t>=-NL("CubeValue","Finance","[Measures].[Net Change]","[Transaction Date].[Date YQMD].[Month]",H$7,"[Account].[by Account Category].[Account]","@@"&amp;$F310,"DataSource=",Datasource)</t>
  </si>
  <si>
    <t>=-NL("CubeValue","Finance","[Measures].[Net Change]","[Transaction Date].[Date YQMD].[Month]",I$7,"[Account].[by Account Category].[Account]","@@"&amp;$F310,"DataSource=",Datasource)</t>
  </si>
  <si>
    <t>=-NL("CubeValue","Finance","[Measures].[Net Change]","[Transaction Date].[Date YQMD].[Month]",J$7,"[Account].[by Account Category].[Account]","@@"&amp;$F310,"DataSource=",Datasource)</t>
  </si>
  <si>
    <t>=-NL("CubeValue","Finance","[Measures].[Net Change]","[Transaction Date].[Date YQMD].[Month]",H$7,"[Account].[by Account Category].[Account]","@@"&amp;$F311,"DataSource=",Datasource)</t>
  </si>
  <si>
    <t>=-NL("CubeValue","Finance","[Measures].[Net Change]","[Transaction Date].[Date YQMD].[Month]",I$7,"[Account].[by Account Category].[Account]","@@"&amp;$F311,"DataSource=",Datasource)</t>
  </si>
  <si>
    <t>=-NL("CubeValue","Finance","[Measures].[Net Change]","[Transaction Date].[Date YQMD].[Month]",J$7,"[Account].[by Account Category].[Account]","@@"&amp;$F311,"DataSource=",Datasource)</t>
  </si>
  <si>
    <t>=-NL("CubeValue","Finance","[Measures].[Net Change]","[Transaction Date].[Date YQMD].[Month]",H$7,"[Account].[Account Category]",$D312,"DataSource=",Datasource)</t>
  </si>
  <si>
    <t>=-NL("CubeValue","Finance","[Measures].[Net Change]","[Transaction Date].[Date YQMD].[Month]",I$7,"[Account].[Account Category]",$D312,"DataSource=",Datasource)</t>
  </si>
  <si>
    <t>=-NL("CubeValue","Finance","[Measures].[Net Change]","[Transaction Date].[Date YQMD].[Month]",J$7,"[Account].[Account Category]",$D312,"DataSource=",Datasource)</t>
  </si>
  <si>
    <t>=-NL("CubeValue","Finance","[Measures].[Net Change]","[Transaction Date].[Date YQMD].[Month]",H$7,"[Account].[by Account Category].[Account]","@@"&amp;$F316,"DataSource=",Datasource)</t>
  </si>
  <si>
    <t>=-NL("CubeValue","Finance","[Measures].[Net Change]","[Transaction Date].[Date YQMD].[Month]",I$7,"[Account].[by Account Category].[Account]","@@"&amp;$F316,"DataSource=",Datasource)</t>
  </si>
  <si>
    <t>=-NL("CubeValue","Finance","[Measures].[Net Change]","[Transaction Date].[Date YQMD].[Month]",J$7,"[Account].[by Account Category].[Account]","@@"&amp;$F316,"DataSource=",Datasource)</t>
  </si>
  <si>
    <t>=-NL("CubeValue","Finance","[Measures].[Net Change]","[Transaction Date].[Date YQMD].[Month]",H$7,"[Account].[by Account Category].[Account]","@@"&amp;$F317,"DataSource=",Datasource)</t>
  </si>
  <si>
    <t>=-NL("CubeValue","Finance","[Measures].[Net Change]","[Transaction Date].[Date YQMD].[Month]",I$7,"[Account].[by Account Category].[Account]","@@"&amp;$F317,"DataSource=",Datasource)</t>
  </si>
  <si>
    <t>=-NL("CubeValue","Finance","[Measures].[Net Change]","[Transaction Date].[Date YQMD].[Month]",J$7,"[Account].[by Account Category].[Account]","@@"&amp;$F317,"DataSource=",Datasource)</t>
  </si>
  <si>
    <t>=-NL("CubeValue","Finance","[Measures].[Net Change]","[Transaction Date].[Date YQMD].[Month]",H$7,"[Account].[by Account Category].[Account]","@@"&amp;$F318,"DataSource=",Datasource)</t>
  </si>
  <si>
    <t>=-NL("CubeValue","Finance","[Measures].[Net Change]","[Transaction Date].[Date YQMD].[Month]",I$7,"[Account].[by Account Category].[Account]","@@"&amp;$F318,"DataSource=",Datasource)</t>
  </si>
  <si>
    <t>=-NL("CubeValue","Finance","[Measures].[Net Change]","[Transaction Date].[Date YQMD].[Month]",J$7,"[Account].[by Account Category].[Account]","@@"&amp;$F318,"DataSource=",Datasource)</t>
  </si>
  <si>
    <t>=-NL("CubeValue","Finance","[Measures].[Net Change]","[Transaction Date].[Date YQMD].[Month]",H$7,"[Account].[by Account Category].[Account]","@@"&amp;$F319,"DataSource=",Datasource)</t>
  </si>
  <si>
    <t>=-NL("CubeValue","Finance","[Measures].[Net Change]","[Transaction Date].[Date YQMD].[Month]",I$7,"[Account].[by Account Category].[Account]","@@"&amp;$F319,"DataSource=",Datasource)</t>
  </si>
  <si>
    <t>=-NL("CubeValue","Finance","[Measures].[Net Change]","[Transaction Date].[Date YQMD].[Month]",J$7,"[Account].[by Account Category].[Account]","@@"&amp;$F319,"DataSource=",Datasource)</t>
  </si>
  <si>
    <t>=-NL("CubeValue","Finance","[Measures].[Net Change]","[Transaction Date].[Date YQMD].[Month]",H$7,"[Account].[by Account Category].[Account]","@@"&amp;$F320,"DataSource=",Datasource)</t>
  </si>
  <si>
    <t>=-NL("CubeValue","Finance","[Measures].[Net Change]","[Transaction Date].[Date YQMD].[Month]",I$7,"[Account].[by Account Category].[Account]","@@"&amp;$F320,"DataSource=",Datasource)</t>
  </si>
  <si>
    <t>=-NL("CubeValue","Finance","[Measures].[Net Change]","[Transaction Date].[Date YQMD].[Month]",J$7,"[Account].[by Account Category].[Account]","@@"&amp;$F320,"DataSource=",Datasource)</t>
  </si>
  <si>
    <t>=-NL("CubeValue","Finance","[Measures].[Net Change]","[Transaction Date].[Date YQMD].[Month]",H$7,"[Account].[by Account Category].[Account]","@@"&amp;$F321,"DataSource=",Datasource)</t>
  </si>
  <si>
    <t>=-NL("CubeValue","Finance","[Measures].[Net Change]","[Transaction Date].[Date YQMD].[Month]",I$7,"[Account].[by Account Category].[Account]","@@"&amp;$F321,"DataSource=",Datasource)</t>
  </si>
  <si>
    <t>=-NL("CubeValue","Finance","[Measures].[Net Change]","[Transaction Date].[Date YQMD].[Month]",J$7,"[Account].[by Account Category].[Account]","@@"&amp;$F321,"DataSource=",Datasource)</t>
  </si>
  <si>
    <t>=-NL("CubeValue","Finance","[Measures].[Net Change]","[Transaction Date].[Date YQMD].[Month]",H$7,"[Account].[by Account Category].[Account]","@@"&amp;$F322,"DataSource=",Datasource)</t>
  </si>
  <si>
    <t>=-NL("CubeValue","Finance","[Measures].[Net Change]","[Transaction Date].[Date YQMD].[Month]",I$7,"[Account].[by Account Category].[Account]","@@"&amp;$F322,"DataSource=",Datasource)</t>
  </si>
  <si>
    <t>=-NL("CubeValue","Finance","[Measures].[Net Change]","[Transaction Date].[Date YQMD].[Month]",J$7,"[Account].[by Account Category].[Account]","@@"&amp;$F322,"DataSource=",Datasource)</t>
  </si>
  <si>
    <t>=-NL("CubeValue","Finance","[Measures].[Net Change]","[Transaction Date].[Date YQMD].[Month]",H$7,"[Account].[by Account Category].[Account]","@@"&amp;$F323,"DataSource=",Datasource)</t>
  </si>
  <si>
    <t>=-NL("CubeValue","Finance","[Measures].[Net Change]","[Transaction Date].[Date YQMD].[Month]",I$7,"[Account].[by Account Category].[Account]","@@"&amp;$F323,"DataSource=",Datasource)</t>
  </si>
  <si>
    <t>=-NL("CubeValue","Finance","[Measures].[Net Change]","[Transaction Date].[Date YQMD].[Month]",J$7,"[Account].[by Account Category].[Account]","@@"&amp;$F323,"DataSource=",Datasource)</t>
  </si>
  <si>
    <t>=-NL("CubeValue","Finance","[Measures].[Net Change]","[Transaction Date].[Date YQMD].[Month]",H$7,"[Account].[by Account Category].[Account]","@@"&amp;$F324,"DataSource=",Datasource)</t>
  </si>
  <si>
    <t>=-NL("CubeValue","Finance","[Measures].[Net Change]","[Transaction Date].[Date YQMD].[Month]",I$7,"[Account].[by Account Category].[Account]","@@"&amp;$F324,"DataSource=",Datasource)</t>
  </si>
  <si>
    <t>=-NL("CubeValue","Finance","[Measures].[Net Change]","[Transaction Date].[Date YQMD].[Month]",J$7,"[Account].[by Account Category].[Account]","@@"&amp;$F324,"DataSource=",Datasource)</t>
  </si>
  <si>
    <t>=-NL("CubeValue","Finance","[Measures].[Net Change]","[Transaction Date].[Date YQMD].[Month]",H$7,"[Account].[by Account Category].[Account]","@@"&amp;$F325,"DataSource=",Datasource)</t>
  </si>
  <si>
    <t>=-NL("CubeValue","Finance","[Measures].[Net Change]","[Transaction Date].[Date YQMD].[Month]",I$7,"[Account].[by Account Category].[Account]","@@"&amp;$F325,"DataSource=",Datasource)</t>
  </si>
  <si>
    <t>=-NL("CubeValue","Finance","[Measures].[Net Change]","[Transaction Date].[Date YQMD].[Month]",J$7,"[Account].[by Account Category].[Account]","@@"&amp;$F325,"DataSource=",Datasource)</t>
  </si>
  <si>
    <t>=-NL("CubeValue","Finance","[Measures].[Net Change]","[Transaction Date].[Date YQMD].[Month]",H$7,"[Account].[by Account Category].[Account]","@@"&amp;$F326,"DataSource=",Datasource)</t>
  </si>
  <si>
    <t>=-NL("CubeValue","Finance","[Measures].[Net Change]","[Transaction Date].[Date YQMD].[Month]",I$7,"[Account].[by Account Category].[Account]","@@"&amp;$F326,"DataSource=",Datasource)</t>
  </si>
  <si>
    <t>=-NL("CubeValue","Finance","[Measures].[Net Change]","[Transaction Date].[Date YQMD].[Month]",J$7,"[Account].[by Account Category].[Account]","@@"&amp;$F326,"DataSource=",Datasource)</t>
  </si>
  <si>
    <t>=-NL("CubeValue","Finance","[Measures].[Net Change]","[Transaction Date].[Date YQMD].[Month]",H$7,"[Account].[by Account Category].[Account]","@@"&amp;$F327,"DataSource=",Datasource)</t>
  </si>
  <si>
    <t>=-NL("CubeValue","Finance","[Measures].[Net Change]","[Transaction Date].[Date YQMD].[Month]",I$7,"[Account].[by Account Category].[Account]","@@"&amp;$F327,"DataSource=",Datasource)</t>
  </si>
  <si>
    <t>=-NL("CubeValue","Finance","[Measures].[Net Change]","[Transaction Date].[Date YQMD].[Month]",J$7,"[Account].[by Account Category].[Account]","@@"&amp;$F327,"DataSource=",Datasource)</t>
  </si>
  <si>
    <t>=-NL("CubeValue","Finance","[Measures].[Net Change]","[Transaction Date].[Date YQMD].[Month]",H$7,"[Account].[by Account Category].[Account]","@@"&amp;$F328,"DataSource=",Datasource)</t>
  </si>
  <si>
    <t>=-NL("CubeValue","Finance","[Measures].[Net Change]","[Transaction Date].[Date YQMD].[Month]",I$7,"[Account].[by Account Category].[Account]","@@"&amp;$F328,"DataSource=",Datasource)</t>
  </si>
  <si>
    <t>=-NL("CubeValue","Finance","[Measures].[Net Change]","[Transaction Date].[Date YQMD].[Month]",J$7,"[Account].[by Account Category].[Account]","@@"&amp;$F328,"DataSource=",Datasource)</t>
  </si>
  <si>
    <t>=-NL("CubeValue","Finance","[Measures].[Net Change]","[Transaction Date].[Date YQMD].[Month]",H$7,"[Account].[by Account Category].[Account]","@@"&amp;$F329,"DataSource=",Datasource)</t>
  </si>
  <si>
    <t>=-NL("CubeValue","Finance","[Measures].[Net Change]","[Transaction Date].[Date YQMD].[Month]",I$7,"[Account].[by Account Category].[Account]","@@"&amp;$F329,"DataSource=",Datasource)</t>
  </si>
  <si>
    <t>=-NL("CubeValue","Finance","[Measures].[Net Change]","[Transaction Date].[Date YQMD].[Month]",J$7,"[Account].[by Account Category].[Account]","@@"&amp;$F329,"DataSource=",Datasource)</t>
  </si>
  <si>
    <t>=-NL("CubeValue","Finance","[Measures].[Net Change]","[Transaction Date].[Date YQMD].[Month]",H$7,"[Account].[by Account Category].[Account]","@@"&amp;$F330,"DataSource=",Datasource)</t>
  </si>
  <si>
    <t>=-NL("CubeValue","Finance","[Measures].[Net Change]","[Transaction Date].[Date YQMD].[Month]",I$7,"[Account].[by Account Category].[Account]","@@"&amp;$F330,"DataSource=",Datasource)</t>
  </si>
  <si>
    <t>=-NL("CubeValue","Finance","[Measures].[Net Change]","[Transaction Date].[Date YQMD].[Month]",J$7,"[Account].[by Account Category].[Account]","@@"&amp;$F330,"DataSource=",Datasource)</t>
  </si>
  <si>
    <t>=-NL("CubeValue","Finance","[Measures].[Net Change]","[Transaction Date].[Date YQMD].[Month]",H$7,"[Account].[by Account Category].[Account]","@@"&amp;$F331,"DataSource=",Datasource)</t>
  </si>
  <si>
    <t>=-NL("CubeValue","Finance","[Measures].[Net Change]","[Transaction Date].[Date YQMD].[Month]",I$7,"[Account].[by Account Category].[Account]","@@"&amp;$F331,"DataSource=",Datasource)</t>
  </si>
  <si>
    <t>=-NL("CubeValue","Finance","[Measures].[Net Change]","[Transaction Date].[Date YQMD].[Month]",J$7,"[Account].[by Account Category].[Account]","@@"&amp;$F331,"DataSource=",Datasource)</t>
  </si>
  <si>
    <t>=-NL("CubeValue","Finance","[Measures].[Net Change]","[Transaction Date].[Date YQMD].[Month]",H$7,"[Account].[by Account Category].[Account]","@@"&amp;$F332,"DataSource=",Datasource)</t>
  </si>
  <si>
    <t>=-NL("CubeValue","Finance","[Measures].[Net Change]","[Transaction Date].[Date YQMD].[Month]",I$7,"[Account].[by Account Category].[Account]","@@"&amp;$F332,"DataSource=",Datasource)</t>
  </si>
  <si>
    <t>=-NL("CubeValue","Finance","[Measures].[Net Change]","[Transaction Date].[Date YQMD].[Month]",J$7,"[Account].[by Account Category].[Account]","@@"&amp;$F332,"DataSource=",Datasource)</t>
  </si>
  <si>
    <t>=-NL("CubeValue","Finance","[Measures].[Net Change]","[Transaction Date].[Date YQMD].[Month]",H$7,"[Account].[by Account Category].[Account]","@@"&amp;$F333,"DataSource=",Datasource)</t>
  </si>
  <si>
    <t>=-NL("CubeValue","Finance","[Measures].[Net Change]","[Transaction Date].[Date YQMD].[Month]",I$7,"[Account].[by Account Category].[Account]","@@"&amp;$F333,"DataSource=",Datasource)</t>
  </si>
  <si>
    <t>=-NL("CubeValue","Finance","[Measures].[Net Change]","[Transaction Date].[Date YQMD].[Month]",J$7,"[Account].[by Account Category].[Account]","@@"&amp;$F333,"DataSource=",Datasource)</t>
  </si>
  <si>
    <t>=-NL("CubeValue","Finance","[Measures].[Net Change]","[Transaction Date].[Date YQMD].[Month]",H$7,"[Account].[by Account Category].[Account]","@@"&amp;$F334,"DataSource=",Datasource)</t>
  </si>
  <si>
    <t>=-NL("CubeValue","Finance","[Measures].[Net Change]","[Transaction Date].[Date YQMD].[Month]",I$7,"[Account].[by Account Category].[Account]","@@"&amp;$F334,"DataSource=",Datasource)</t>
  </si>
  <si>
    <t>=-NL("CubeValue","Finance","[Measures].[Net Change]","[Transaction Date].[Date YQMD].[Month]",J$7,"[Account].[by Account Category].[Account]","@@"&amp;$F334,"DataSource=",Datasource)</t>
  </si>
  <si>
    <t>=-NL("CubeValue","Finance","[Measures].[Net Change]","[Transaction Date].[Date YQMD].[Month]",H$7,"[Account].[by Account Category].[Account]","@@"&amp;$F335,"DataSource=",Datasource)</t>
  </si>
  <si>
    <t>=-NL("CubeValue","Finance","[Measures].[Net Change]","[Transaction Date].[Date YQMD].[Month]",I$7,"[Account].[by Account Category].[Account]","@@"&amp;$F335,"DataSource=",Datasource)</t>
  </si>
  <si>
    <t>=-NL("CubeValue","Finance","[Measures].[Net Change]","[Transaction Date].[Date YQMD].[Month]",J$7,"[Account].[by Account Category].[Account]","@@"&amp;$F335,"DataSource=",Datasource)</t>
  </si>
  <si>
    <t>=-NL("CubeValue","Finance","[Measures].[Net Change]","[Transaction Date].[Date YQMD].[Month]",H$7,"[Account].[by Account Category].[Account]","@@"&amp;$F336,"DataSource=",Datasource)</t>
  </si>
  <si>
    <t>=-NL("CubeValue","Finance","[Measures].[Net Change]","[Transaction Date].[Date YQMD].[Month]",I$7,"[Account].[by Account Category].[Account]","@@"&amp;$F336,"DataSource=",Datasource)</t>
  </si>
  <si>
    <t>=-NL("CubeValue","Finance","[Measures].[Net Change]","[Transaction Date].[Date YQMD].[Month]",J$7,"[Account].[by Account Category].[Account]","@@"&amp;$F336,"DataSource=",Datasource)</t>
  </si>
  <si>
    <t>=-NL("CubeValue","Finance","[Measures].[Net Change]","[Transaction Date].[Date YQMD].[Month]",H$7,"[Account].[by Account Category].[Account]","@@"&amp;$F337,"DataSource=",Datasource)</t>
  </si>
  <si>
    <t>=-NL("CubeValue","Finance","[Measures].[Net Change]","[Transaction Date].[Date YQMD].[Month]",I$7,"[Account].[by Account Category].[Account]","@@"&amp;$F337,"DataSource=",Datasource)</t>
  </si>
  <si>
    <t>=-NL("CubeValue","Finance","[Measures].[Net Change]","[Transaction Date].[Date YQMD].[Month]",J$7,"[Account].[by Account Category].[Account]","@@"&amp;$F337,"DataSource=",Datasource)</t>
  </si>
  <si>
    <t>=-NL("CubeValue","Finance","[Measures].[Net Change]","[Transaction Date].[Date YQMD].[Month]",H$7,"[Account].[by Account Category].[Account]","@@"&amp;$F338,"DataSource=",Datasource)</t>
  </si>
  <si>
    <t>=-NL("CubeValue","Finance","[Measures].[Net Change]","[Transaction Date].[Date YQMD].[Month]",I$7,"[Account].[by Account Category].[Account]","@@"&amp;$F338,"DataSource=",Datasource)</t>
  </si>
  <si>
    <t>=-NL("CubeValue","Finance","[Measures].[Net Change]","[Transaction Date].[Date YQMD].[Month]",J$7,"[Account].[by Account Category].[Account]","@@"&amp;$F338,"DataSource=",Datasource)</t>
  </si>
  <si>
    <t>=-NL("CubeValue","Finance","[Measures].[Net Change]","[Transaction Date].[Date YQMD].[Month]",H$7,"[Account].[by Account Category].[Account]","@@"&amp;$F339,"DataSource=",Datasource)</t>
  </si>
  <si>
    <t>=-NL("CubeValue","Finance","[Measures].[Net Change]","[Transaction Date].[Date YQMD].[Month]",I$7,"[Account].[by Account Category].[Account]","@@"&amp;$F339,"DataSource=",Datasource)</t>
  </si>
  <si>
    <t>=-NL("CubeValue","Finance","[Measures].[Net Change]","[Transaction Date].[Date YQMD].[Month]",J$7,"[Account].[by Account Category].[Account]","@@"&amp;$F339,"DataSource=",Datasource)</t>
  </si>
  <si>
    <t>=-NL("CubeValue","Finance","[Measures].[Net Change]","[Transaction Date].[Date YQMD].[Month]",H$7,"[Account].[by Account Category].[Account]","@@"&amp;$F340,"DataSource=",Datasource)</t>
  </si>
  <si>
    <t>=-NL("CubeValue","Finance","[Measures].[Net Change]","[Transaction Date].[Date YQMD].[Month]",I$7,"[Account].[by Account Category].[Account]","@@"&amp;$F340,"DataSource=",Datasource)</t>
  </si>
  <si>
    <t>=-NL("CubeValue","Finance","[Measures].[Net Change]","[Transaction Date].[Date YQMD].[Month]",J$7,"[Account].[by Account Category].[Account]","@@"&amp;$F340,"DataSource=",Datasource)</t>
  </si>
  <si>
    <t>=-NL("CubeValue","Finance","[Measures].[Net Change]","[Transaction Date].[Date YQMD].[Month]",H$7,"[Account].[by Account Category].[Account]","@@"&amp;$F341,"DataSource=",Datasource)</t>
  </si>
  <si>
    <t>=-NL("CubeValue","Finance","[Measures].[Net Change]","[Transaction Date].[Date YQMD].[Month]",I$7,"[Account].[by Account Category].[Account]","@@"&amp;$F341,"DataSource=",Datasource)</t>
  </si>
  <si>
    <t>=-NL("CubeValue","Finance","[Measures].[Net Change]","[Transaction Date].[Date YQMD].[Month]",J$7,"[Account].[by Account Category].[Account]","@@"&amp;$F341,"DataSource=",Datasource)</t>
  </si>
  <si>
    <t>=-NL("CubeValue","Finance","[Measures].[Net Change]","[Transaction Date].[Date YQMD].[Month]",H$7,"[Account].[by Account Category].[Account]","@@"&amp;$F342,"DataSource=",Datasource)</t>
  </si>
  <si>
    <t>=-NL("CubeValue","Finance","[Measures].[Net Change]","[Transaction Date].[Date YQMD].[Month]",I$7,"[Account].[by Account Category].[Account]","@@"&amp;$F342,"DataSource=",Datasource)</t>
  </si>
  <si>
    <t>=-NL("CubeValue","Finance","[Measures].[Net Change]","[Transaction Date].[Date YQMD].[Month]",J$7,"[Account].[by Account Category].[Account]","@@"&amp;$F342,"DataSource=",Datasource)</t>
  </si>
  <si>
    <t>=-NL("CubeValue","Finance","[Measures].[Net Change]","[Transaction Date].[Date YQMD].[Month]",H$7,"[Account].[by Account Category].[Account]","@@"&amp;$F343,"DataSource=",Datasource)</t>
  </si>
  <si>
    <t>=-NL("CubeValue","Finance","[Measures].[Net Change]","[Transaction Date].[Date YQMD].[Month]",I$7,"[Account].[by Account Category].[Account]","@@"&amp;$F343,"DataSource=",Datasource)</t>
  </si>
  <si>
    <t>=-NL("CubeValue","Finance","[Measures].[Net Change]","[Transaction Date].[Date YQMD].[Month]",J$7,"[Account].[by Account Category].[Account]","@@"&amp;$F343,"DataSource=",Datasource)</t>
  </si>
  <si>
    <t>=-NL("CubeValue","Finance","[Measures].[Net Change]","[Transaction Date].[Date YQMD].[Month]",H$7,"[Account].[by Account Category].[Account]","@@"&amp;$F344,"DataSource=",Datasource)</t>
  </si>
  <si>
    <t>=-NL("CubeValue","Finance","[Measures].[Net Change]","[Transaction Date].[Date YQMD].[Month]",I$7,"[Account].[by Account Category].[Account]","@@"&amp;$F344,"DataSource=",Datasource)</t>
  </si>
  <si>
    <t>=-NL("CubeValue","Finance","[Measures].[Net Change]","[Transaction Date].[Date YQMD].[Month]",J$7,"[Account].[by Account Category].[Account]","@@"&amp;$F344,"DataSource=",Datasource)</t>
  </si>
  <si>
    <t>=-NL("CubeValue","Finance","[Measures].[Net Change]","[Transaction Date].[Date YQMD].[Month]",H$7,"[Account].[by Account Category].[Account]","@@"&amp;$F345,"DataSource=",Datasource)</t>
  </si>
  <si>
    <t>=-NL("CubeValue","Finance","[Measures].[Net Change]","[Transaction Date].[Date YQMD].[Month]",I$7,"[Account].[by Account Category].[Account]","@@"&amp;$F345,"DataSource=",Datasource)</t>
  </si>
  <si>
    <t>=-NL("CubeValue","Finance","[Measures].[Net Change]","[Transaction Date].[Date YQMD].[Month]",J$7,"[Account].[by Account Category].[Account]","@@"&amp;$F345,"DataSource=",Datasource)</t>
  </si>
  <si>
    <t>=-NL("CubeValue","Finance","[Measures].[Net Change]","[Transaction Date].[Date YQMD].[Month]",H$7,"[Account].[by Account Category].[Account]","@@"&amp;$F346,"DataSource=",Datasource)</t>
  </si>
  <si>
    <t>=-NL("CubeValue","Finance","[Measures].[Net Change]","[Transaction Date].[Date YQMD].[Month]",I$7,"[Account].[by Account Category].[Account]","@@"&amp;$F346,"DataSource=",Datasource)</t>
  </si>
  <si>
    <t>=-NL("CubeValue","Finance","[Measures].[Net Change]","[Transaction Date].[Date YQMD].[Month]",J$7,"[Account].[by Account Category].[Account]","@@"&amp;$F346,"DataSource=",Datasource)</t>
  </si>
  <si>
    <t>=-NL("CubeValue","Finance","[Measures].[Net Change]","[Transaction Date].[Date YQMD].[Month]",H$7,"[Account].[by Account Category].[Account]","@@"&amp;$F347,"DataSource=",Datasource)</t>
  </si>
  <si>
    <t>=-NL("CubeValue","Finance","[Measures].[Net Change]","[Transaction Date].[Date YQMD].[Month]",I$7,"[Account].[by Account Category].[Account]","@@"&amp;$F347,"DataSource=",Datasource)</t>
  </si>
  <si>
    <t>=-NL("CubeValue","Finance","[Measures].[Net Change]","[Transaction Date].[Date YQMD].[Month]",J$7,"[Account].[by Account Category].[Account]","@@"&amp;$F347,"DataSource=",Datasource)</t>
  </si>
  <si>
    <t>=-NL("CubeValue","Finance","[Measures].[Net Change]","[Transaction Date].[Date YQMD].[Month]",H$7,"[Account].[by Account Category].[Account]","@@"&amp;$F348,"DataSource=",Datasource)</t>
  </si>
  <si>
    <t>=-NL("CubeValue","Finance","[Measures].[Net Change]","[Transaction Date].[Date YQMD].[Month]",I$7,"[Account].[by Account Category].[Account]","@@"&amp;$F348,"DataSource=",Datasource)</t>
  </si>
  <si>
    <t>=-NL("CubeValue","Finance","[Measures].[Net Change]","[Transaction Date].[Date YQMD].[Month]",J$7,"[Account].[by Account Category].[Account]","@@"&amp;$F348,"DataSource=",Datasource)</t>
  </si>
  <si>
    <t>=-NL("CubeValue","Finance","[Measures].[Net Change]","[Transaction Date].[Date YQMD].[Month]",H$7,"[Account].[by Account Category].[Account]","@@"&amp;$F349,"DataSource=",Datasource)</t>
  </si>
  <si>
    <t>=-NL("CubeValue","Finance","[Measures].[Net Change]","[Transaction Date].[Date YQMD].[Month]",I$7,"[Account].[by Account Category].[Account]","@@"&amp;$F349,"DataSource=",Datasource)</t>
  </si>
  <si>
    <t>=-NL("CubeValue","Finance","[Measures].[Net Change]","[Transaction Date].[Date YQMD].[Month]",J$7,"[Account].[by Account Category].[Account]","@@"&amp;$F349,"DataSource=",Datasource)</t>
  </si>
  <si>
    <t>=-NL("CubeValue","Finance","[Measures].[Net Change]","[Transaction Date].[Date YQMD].[Month]",H$7,"[Account].[Account Category]",$D350,"DataSource=",Datasource)</t>
  </si>
  <si>
    <t>=-NL("CubeValue","Finance","[Measures].[Net Change]","[Transaction Date].[Date YQMD].[Month]",I$7,"[Account].[Account Category]",$D350,"DataSource=",Datasource)</t>
  </si>
  <si>
    <t>=-NL("CubeValue","Finance","[Measures].[Net Change]","[Transaction Date].[Date YQMD].[Month]",J$7,"[Account].[Account Category]",$D350,"DataSource=",Datasource)</t>
  </si>
  <si>
    <t>=-NL("CubeValue","Finance","[Measures].[Net Change]","[Transaction Date].[Date YQMD].[Month]",H$7,"[Account].[by Account Category].[Account]","@@"&amp;$F354,"DataSource=",Datasource)</t>
  </si>
  <si>
    <t>=-NL("CubeValue","Finance","[Measures].[Net Change]","[Transaction Date].[Date YQMD].[Month]",I$7,"[Account].[by Account Category].[Account]","@@"&amp;$F354,"DataSource=",Datasource)</t>
  </si>
  <si>
    <t>=-NL("CubeValue","Finance","[Measures].[Net Change]","[Transaction Date].[Date YQMD].[Month]",J$7,"[Account].[by Account Category].[Account]","@@"&amp;$F354,"DataSource=",Datasource)</t>
  </si>
  <si>
    <t>=-NL("CubeValue","Finance","[Measures].[Net Change]","[Transaction Date].[Date YQMD].[Month]",H$7,"[Account].[Account Category]",$D355,"DataSource=",Datasource)</t>
  </si>
  <si>
    <t>=-NL("CubeValue","Finance","[Measures].[Net Change]","[Transaction Date].[Date YQMD].[Month]",I$7,"[Account].[Account Category]",$D355,"DataSource=",Datasource)</t>
  </si>
  <si>
    <t>=-NL("CubeValue","Finance","[Measures].[Net Change]","[Transaction Date].[Date YQMD].[Month]",J$7,"[Account].[Account Category]",$D355,"DataSource=",Datasource)</t>
  </si>
  <si>
    <t>Jet Reports 2019 or later</t>
  </si>
  <si>
    <r>
      <t xml:space="preserve">Jet Analytics GP v3.0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</si>
  <si>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</si>
  <si>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</si>
  <si>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1)</t>
  </si>
  <si>
    <t>Place the report in Design mode in order to make changes to this report.  From the Jet tab, click on the Go to Design button.</t>
  </si>
  <si>
    <t>2)</t>
  </si>
  <si>
    <t>Update the Pivot Table data source using the "Update Data Sources" feature on the "Pivot Table"button.</t>
  </si>
  <si>
    <t>3)</t>
  </si>
  <si>
    <t>5)</t>
  </si>
  <si>
    <t>Run the report by clicking the Run button in the Jet tab and change the Datasource in the Report Options to match the name of your Cube datasource, as well as any other filter criteria values desired.</t>
  </si>
  <si>
    <t xml:space="preserve">Report Readme </t>
  </si>
  <si>
    <t>About the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</si>
  <si>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</si>
  <si>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</si>
  <si>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</si>
  <si>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</si>
  <si>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</si>
  <si>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</si>
  <si>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</si>
  <si>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</si>
  <si>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</si>
  <si>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</si>
  <si>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</si>
  <si>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</si>
  <si>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</si>
  <si>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</si>
  <si>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</si>
  <si>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</si>
  <si>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</si>
  <si>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</si>
  <si>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This report was based on the chart of accounts for the Fabrikam demo database for Microsoft Dynamics GP 2016. The chart of accounts for your organization will be different.  Please review the account categories and calculated values (e.g. Gross profit, Operating Income and Net Profit) to make sure they are correct for your chart of accounts. The categories are hard-coded on the "Income Statement" worksheet in column C.  These can be modified to meet your needs.</t>
  </si>
  <si>
    <t>This report provides a monthly income statement.  The user can select a date range and the report will create a separate column for each month in the range.
This report uses "cube queries" to return data from Jet Analytics Finance Cube data.</t>
  </si>
  <si>
    <t>�</t>
  </si>
  <si>
    <t>="GP Cube"</t>
  </si>
  <si>
    <t>This report can be modified by entering into design mode from the Jet tab.</t>
  </si>
  <si>
    <t>The account categories in column "C" on the "Income Statement by month" worksheet may need to be changed, depending on the company's chart of accounts structure.</t>
  </si>
  <si>
    <t>="3/12/2014"</t>
  </si>
  <si>
    <t>Auto+Hide+HideSheet+Formulas=Sheet7,Sheet8+FormulasOnly</t>
  </si>
  <si>
    <t>Auto+Hide+Values+Formulas=Sheet9,Sheet10+FormulasOnly</t>
  </si>
  <si>
    <t>Auto+Hide+HideSheet+Formulas=Sheet11,Sheet7,Sheet8</t>
  </si>
  <si>
    <t>Auto+Hide+HideSheet+Formulas=Sheet11,Sheet7,Sheet8+FormulasOnly</t>
  </si>
  <si>
    <t>Auto+Hide+Values+Formulas=Sheet12,Sheet9,Sheet10</t>
  </si>
  <si>
    <t>Auto+Hide+Values+Formulas=Sheet12,Sheet9,Sheet10+FormulasOnly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</si>
</sst>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_(* \(#,##0\);_(* &quot;-&quot;_);_(@_)"/>
    <numFmt numFmtId="44" formatCode="_(&quot;$&quot;* #,##0.00_);_(&quot;$&quot;* \(#,##0.00\);_(&quot;$&quot;* &quot;-&quot;??_);_(@_)"/>
  </numFmts>
  <fonts count="32" x14ac:knownFonts="1">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z val="11"/>
      <color rgb="FFA6A6A6"/>
      <name val="Calibri"/>
      <family val="2"/>
      <scheme val="minor"/>
    </font>
    <font>
      <b/>
      <sz val="12"/>
      <color theme="1"/>
      <name val="Calibri"/>
      <family val="2"/>
      <scheme val="minor"/>
    </font>
    <font>
      <b/>
      <u/>
      <sz val="15"/>
      <color theme="3"/>
      <name val="Calibri"/>
      <family val="2"/>
      <scheme val="minor"/>
    </font>
    <font>
      <sz val="11"/>
      <color theme="0" tint="-0.249977111117893"/>
      <name val="Calibri"/>
      <family val="2"/>
      <scheme val="minor"/>
    </font>
    <font>
      <sz val="11"/>
      <color theme="0" tint="-0.14999847407452621"/>
      <name val="Calibri"/>
      <family val="2"/>
      <scheme val="minor"/>
    </font>
    <font>
      <b/>
      <sz val="12"/>
      <color rgb="FF0070C0"/>
      <name val="Calibri"/>
      <family val="2"/>
      <scheme val="minor"/>
    </font>
    <font>
      <sz val="12"/>
      <color theme="1"/>
      <name val="Calibri"/>
      <family val="2"/>
      <scheme val="minor"/>
    </font>
    <font>
      <b/>
      <sz val="11"/>
      <color theme="0"/>
      <name val="Calibri"/>
      <family val="2"/>
      <scheme val="minor"/>
    </font>
    <font>
      <sz val="9"/>
      <color indexed="81"/>
      <name val="Tahoma"/>
      <family val="2"/>
    </font>
    <font>
      <b/>
      <sz val="9"/>
      <color indexed="81"/>
      <name val="Tahoma"/>
      <family val="2"/>
    </font>
    <font>
      <sz val="11"/>
      <color theme="0" tint="-0.499984740745262"/>
      <name val="Calibri"/>
      <family val="2"/>
      <scheme val="minor"/>
    </font>
    <font>
      <sz val="11"/>
      <color indexed="8"/>
      <name val="Segoe UI"/>
      <family val="2"/>
    </font>
    <font>
      <b/>
      <sz val="11"/>
      <color indexed="62"/>
      <name val="Segoe UI"/>
      <family val="2"/>
    </font>
    <font>
      <sz val="10"/>
      <name val="Arial"/>
      <family val="2"/>
    </font>
    <font>
      <sz val="10"/>
      <color theme="1"/>
      <name val="Arial"/>
      <family val="2"/>
    </font>
    <font>
      <u/>
      <sz val="10"/>
      <color indexed="12"/>
      <name val="Arial"/>
      <family val="2"/>
    </font>
    <font>
      <sz val="10"/>
      <color theme="1"/>
      <name val="Segoe UI"/>
      <family val="2"/>
    </font>
    <font>
      <sz val="10"/>
      <color indexed="8"/>
      <name val="Segoe UI"/>
      <family val="2"/>
    </font>
    <font>
      <b/>
      <sz val="10"/>
      <color rgb="FFDA4848"/>
      <name val="Segoe UI"/>
      <family val="2"/>
    </font>
    <font>
      <b/>
      <sz val="10"/>
      <color indexed="62"/>
      <name val="Segoe UI"/>
      <family val="2"/>
    </font>
    <font>
      <b/>
      <sz val="10"/>
      <color indexed="8"/>
      <name val="Segoe UI"/>
      <family val="2"/>
    </font>
    <font>
      <b/>
      <sz val="10"/>
      <name val="Segoe UI"/>
      <family val="2"/>
    </font>
    <font>
      <b/>
      <sz val="20"/>
      <color rgb="FFDA4848"/>
      <name val="Segoe UI"/>
      <family val="2"/>
    </font>
    <font>
      <sz val="10"/>
      <color rgb="FFDA4848"/>
      <name val="Segoe UI"/>
      <family val="2"/>
    </font>
    <font>
      <b/>
      <sz val="10"/>
      <color theme="1"/>
      <name val="Segoe UI"/>
      <family val="2"/>
    </font>
    <font>
      <b/>
      <i/>
      <sz val="10"/>
      <name val="Segoe UI"/>
      <family val="2"/>
    </font>
  </fonts>
  <fills count="9">
    <fill>
      <patternFill patternType="none"/>
    </fill>
    <fill>
      <patternFill patternType="gray125"/>
    </fill>
    <fill>
      <patternFill patternType="solid">
        <fgColor theme="4"/>
      </patternFill>
    </fill>
    <fill>
      <patternFill patternType="solid">
        <fgColor rgb="FFEEF3F8"/>
        <bgColor indexed="64"/>
      </patternFill>
    </fill>
    <fill>
      <patternFill patternType="solid">
        <fgColor theme="0" tint="-0.14999847407452621"/>
        <bgColor indexed="64"/>
      </patternFill>
    </fill>
    <fill>
      <patternFill patternType="solid">
        <fgColor rgb="FFFFFFFF"/>
        <bgColor indexed="64"/>
      </patternFill>
    </fill>
    <fill>
      <patternFill patternType="solid">
        <fgColor indexed="9"/>
        <bgColor indexed="64"/>
      </patternFill>
    </fill>
    <fill>
      <patternFill patternType="solid">
        <fgColor theme="9" tint="0.79998168889431442"/>
        <bgColor indexed="64"/>
      </patternFill>
    </fill>
    <fill>
      <patternFill patternType="solid">
        <fgColor theme="5" tint="0.79998168889431442"/>
        <bgColor indexed="64"/>
      </patternFill>
    </fill>
  </fills>
  <borders count="19">
    <border>
      <left/>
      <right/>
      <top/>
      <bottom/>
      <diagonal/>
    </border>
    <border>
      <left/>
      <right/>
      <top/>
      <bottom style="thick">
        <color theme="4"/>
      </bottom>
      <diagonal/>
    </border>
    <border>
      <left/>
      <right/>
      <top/>
      <bottom style="thin">
        <color theme="0" tint="-4.9989318521683403E-2"/>
      </bottom>
      <diagonal/>
    </border>
    <border>
      <left/>
      <right/>
      <top/>
      <bottom style="thin">
        <color theme="1"/>
      </bottom>
      <diagonal/>
    </border>
    <border>
      <left/>
      <right/>
      <top style="thin">
        <color theme="0" tint="-4.9989318521683403E-2"/>
      </top>
      <bottom style="thin">
        <color theme="1"/>
      </bottom>
      <diagonal/>
    </border>
    <border>
      <left/>
      <right/>
      <top style="thin">
        <color theme="1"/>
      </top>
      <bottom style="double">
        <color theme="1"/>
      </bottom>
      <diagonal/>
    </border>
    <border>
      <left/>
      <right/>
      <top/>
      <bottom style="thin">
        <color theme="0" tint="-0.1499984740745262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right/>
      <top/>
      <bottom style="medium">
        <color rgb="FFDA4848"/>
      </bottom>
      <diagonal/>
    </border>
    <border>
      <left style="medium">
        <color indexed="64"/>
      </left>
      <right style="medium">
        <color indexed="64"/>
      </right>
      <top style="medium">
        <color indexed="64"/>
      </top>
      <bottom style="medium">
        <color indexed="64"/>
      </bottom>
      <diagonal/>
    </border>
  </borders>
  <cellStyleXfs count="10">
    <xf numFmtId="0" fontId="0" fillId="0" borderId="0"/>
    <xf numFmtId="44" fontId="1" fillId="0" borderId="0" applyFont="0" applyFill="0" applyBorder="0" applyAlignment="0" applyProtection="0"/>
    <xf numFmtId="0" fontId="2" fillId="0" borderId="1" applyNumberFormat="0" applyFill="0" applyAlignment="0" applyProtection="0"/>
    <xf numFmtId="0" fontId="4" fillId="2" borderId="0" applyNumberFormat="0" applyBorder="0" applyAlignment="0" applyProtection="0"/>
    <xf numFmtId="0" fontId="17" fillId="0" borderId="0"/>
    <xf numFmtId="0" fontId="18" fillId="0" borderId="15" applyNumberFormat="0" applyFill="0" applyAlignment="0" applyProtection="0"/>
    <xf numFmtId="0" fontId="19" fillId="0" borderId="0"/>
    <xf numFmtId="0" fontId="20" fillId="0" borderId="0"/>
    <xf numFmtId="0" fontId="17" fillId="0" borderId="0"/>
    <xf numFmtId="0" fontId="21" fillId="0" borderId="0" applyNumberFormat="0" applyFill="0" applyBorder="0" applyAlignment="0" applyProtection="0">
      <alignment vertical="top"/>
      <protection locked="0"/>
    </xf>
  </cellStyleXfs>
  <cellXfs count="68">
    <xf numFmtId="0" fontId="0" fillId="0" borderId="0" xfId="0"/>
    <xf numFmtId="0" fontId="0" fillId="0" borderId="0" xfId="0" quotePrefix="1"/>
    <xf numFmtId="0" fontId="6" fillId="0" borderId="0" xfId="0" applyNumberFormat="1" applyFont="1" applyAlignment="1"/>
    <xf numFmtId="0" fontId="6" fillId="0" borderId="0" xfId="0" applyNumberFormat="1" applyFont="1" applyAlignment="1">
      <alignment horizontal="right"/>
    </xf>
    <xf numFmtId="0" fontId="5" fillId="0" borderId="0" xfId="0" applyNumberFormat="1" applyFont="1" applyAlignment="1"/>
    <xf numFmtId="14" fontId="0" fillId="0" borderId="0" xfId="0" applyNumberFormat="1"/>
    <xf numFmtId="0" fontId="4" fillId="2" borderId="0" xfId="3"/>
    <xf numFmtId="41" fontId="0" fillId="0" borderId="0" xfId="0" applyNumberFormat="1"/>
    <xf numFmtId="41" fontId="3" fillId="0" borderId="0" xfId="1" applyNumberFormat="1" applyFont="1" applyBorder="1"/>
    <xf numFmtId="0" fontId="8" fillId="0" borderId="0" xfId="2" applyFont="1" applyBorder="1"/>
    <xf numFmtId="0" fontId="0" fillId="0" borderId="0" xfId="0" applyBorder="1"/>
    <xf numFmtId="0" fontId="3" fillId="0" borderId="0" xfId="0" applyFont="1" applyBorder="1"/>
    <xf numFmtId="41" fontId="0" fillId="0" borderId="0" xfId="1" applyNumberFormat="1" applyFont="1" applyBorder="1"/>
    <xf numFmtId="0" fontId="7" fillId="0" borderId="0" xfId="0" applyFont="1" applyBorder="1"/>
    <xf numFmtId="0" fontId="0" fillId="0" borderId="2" xfId="0" applyBorder="1"/>
    <xf numFmtId="0" fontId="10" fillId="0" borderId="0" xfId="0" applyFont="1"/>
    <xf numFmtId="0" fontId="12" fillId="0" borderId="0" xfId="0" applyFont="1" applyBorder="1"/>
    <xf numFmtId="0" fontId="12" fillId="0" borderId="0" xfId="0" applyFont="1"/>
    <xf numFmtId="14" fontId="9" fillId="0" borderId="0" xfId="0" applyNumberFormat="1" applyFont="1"/>
    <xf numFmtId="0" fontId="13" fillId="2" borderId="0" xfId="3" applyFont="1" applyAlignment="1">
      <alignment horizontal="right"/>
    </xf>
    <xf numFmtId="0" fontId="0" fillId="0" borderId="6" xfId="0" applyBorder="1"/>
    <xf numFmtId="0" fontId="3" fillId="0" borderId="2" xfId="0" applyFont="1" applyBorder="1"/>
    <xf numFmtId="41" fontId="3" fillId="0" borderId="3" xfId="1" applyNumberFormat="1" applyFont="1" applyBorder="1"/>
    <xf numFmtId="41" fontId="1" fillId="0" borderId="6" xfId="1" applyNumberFormat="1" applyFont="1" applyBorder="1"/>
    <xf numFmtId="0" fontId="11" fillId="3" borderId="3" xfId="0" applyFont="1" applyFill="1" applyBorder="1"/>
    <xf numFmtId="0" fontId="11" fillId="3" borderId="4" xfId="0" applyFont="1" applyFill="1" applyBorder="1"/>
    <xf numFmtId="41" fontId="11" fillId="3" borderId="3" xfId="1" applyNumberFormat="1" applyFont="1" applyFill="1" applyBorder="1"/>
    <xf numFmtId="0" fontId="11" fillId="3" borderId="5" xfId="0" applyFont="1" applyFill="1" applyBorder="1"/>
    <xf numFmtId="41" fontId="11" fillId="3" borderId="5" xfId="1" applyNumberFormat="1" applyFont="1" applyFill="1" applyBorder="1"/>
    <xf numFmtId="0" fontId="11" fillId="3" borderId="7" xfId="0" applyFont="1" applyFill="1" applyBorder="1"/>
    <xf numFmtId="0" fontId="5" fillId="0" borderId="10" xfId="0" applyNumberFormat="1" applyFont="1" applyBorder="1" applyAlignment="1"/>
    <xf numFmtId="14" fontId="5" fillId="0" borderId="0" xfId="0" applyNumberFormat="1" applyFont="1" applyBorder="1" applyAlignment="1">
      <alignment horizontal="right"/>
    </xf>
    <xf numFmtId="0" fontId="5" fillId="0" borderId="11" xfId="0" applyNumberFormat="1" applyFont="1" applyBorder="1" applyAlignment="1">
      <alignment horizontal="right"/>
    </xf>
    <xf numFmtId="0" fontId="0" fillId="0" borderId="12" xfId="0" applyBorder="1"/>
    <xf numFmtId="0" fontId="11" fillId="3" borderId="8" xfId="0" applyFont="1" applyFill="1" applyBorder="1" applyAlignment="1">
      <alignment horizontal="right"/>
    </xf>
    <xf numFmtId="0" fontId="11" fillId="3" borderId="9" xfId="0" applyFont="1" applyFill="1" applyBorder="1" applyAlignment="1">
      <alignment horizontal="right"/>
    </xf>
    <xf numFmtId="0" fontId="0" fillId="0" borderId="13" xfId="0" applyBorder="1" applyAlignment="1">
      <alignment horizontal="right"/>
    </xf>
    <xf numFmtId="0" fontId="0" fillId="0" borderId="14" xfId="0" applyBorder="1" applyAlignment="1">
      <alignment horizontal="right"/>
    </xf>
    <xf numFmtId="0" fontId="0" fillId="0" borderId="0" xfId="0" applyAlignment="1">
      <alignment horizontal="right"/>
    </xf>
    <xf numFmtId="0" fontId="16" fillId="4" borderId="0" xfId="0" applyFont="1" applyFill="1"/>
    <xf numFmtId="0" fontId="16" fillId="0" borderId="0" xfId="0" applyFont="1"/>
    <xf numFmtId="0" fontId="5" fillId="0" borderId="10" xfId="0" applyNumberFormat="1" applyFont="1" applyBorder="1" applyAlignment="1">
      <alignment horizontal="left"/>
    </xf>
    <xf numFmtId="0" fontId="5" fillId="0" borderId="0" xfId="0" applyNumberFormat="1" applyFont="1" applyBorder="1" applyAlignment="1">
      <alignment horizontal="right"/>
    </xf>
    <xf numFmtId="0" fontId="19" fillId="5" borderId="0" xfId="6" applyFont="1" applyFill="1" applyAlignment="1">
      <alignment vertical="top" wrapText="1"/>
    </xf>
    <xf numFmtId="0" fontId="10" fillId="7" borderId="0" xfId="0" applyFont="1" applyFill="1"/>
    <xf numFmtId="0" fontId="0" fillId="7" borderId="0" xfId="0" applyFill="1"/>
    <xf numFmtId="0" fontId="23" fillId="0" borderId="0" xfId="4" applyFont="1"/>
    <xf numFmtId="0" fontId="24" fillId="0" borderId="17" xfId="5" applyFont="1" applyFill="1" applyBorder="1" applyAlignment="1">
      <alignment vertical="top"/>
    </xf>
    <xf numFmtId="0" fontId="25" fillId="0" borderId="17" xfId="5" applyFont="1" applyFill="1" applyBorder="1" applyAlignment="1">
      <alignment vertical="top"/>
    </xf>
    <xf numFmtId="0" fontId="23" fillId="0" borderId="0" xfId="4" applyFont="1" applyAlignment="1">
      <alignment vertical="top"/>
    </xf>
    <xf numFmtId="0" fontId="23" fillId="0" borderId="0" xfId="8" applyFont="1" applyAlignment="1">
      <alignment vertical="top"/>
    </xf>
    <xf numFmtId="0" fontId="26" fillId="0" borderId="0" xfId="8" applyFont="1" applyAlignment="1">
      <alignment vertical="top" wrapText="1"/>
    </xf>
    <xf numFmtId="0" fontId="26" fillId="0" borderId="0" xfId="4" applyFont="1" applyAlignment="1">
      <alignment horizontal="right" vertical="top"/>
    </xf>
    <xf numFmtId="0" fontId="26" fillId="0" borderId="0" xfId="4" applyFont="1" applyAlignment="1">
      <alignment vertical="top"/>
    </xf>
    <xf numFmtId="0" fontId="27" fillId="5" borderId="0" xfId="6" applyFont="1" applyFill="1" applyAlignment="1">
      <alignment vertical="top"/>
    </xf>
    <xf numFmtId="0" fontId="23" fillId="0" borderId="0" xfId="4" applyFont="1" applyAlignment="1">
      <alignment vertical="top" wrapText="1"/>
    </xf>
    <xf numFmtId="0" fontId="23" fillId="0" borderId="0" xfId="4" applyFont="1" applyAlignment="1">
      <alignment horizontal="right" vertical="top"/>
    </xf>
    <xf numFmtId="0" fontId="22" fillId="0" borderId="0" xfId="0" applyFont="1"/>
    <xf numFmtId="0" fontId="22" fillId="0" borderId="0" xfId="0" applyFont="1" applyAlignment="1">
      <alignment vertical="top"/>
    </xf>
    <xf numFmtId="0" fontId="22" fillId="0" borderId="0" xfId="0" applyFont="1" applyAlignment="1">
      <alignment vertical="top" wrapText="1"/>
    </xf>
    <xf numFmtId="0" fontId="28" fillId="0" borderId="0" xfId="0" applyFont="1" applyAlignment="1">
      <alignment vertical="top"/>
    </xf>
    <xf numFmtId="0" fontId="29" fillId="0" borderId="0" xfId="0" applyFont="1" applyAlignment="1">
      <alignment vertical="top"/>
    </xf>
    <xf numFmtId="0" fontId="30" fillId="0" borderId="0" xfId="0" applyFont="1" applyAlignment="1">
      <alignment vertical="top"/>
    </xf>
    <xf numFmtId="0" fontId="30" fillId="0" borderId="0" xfId="0" applyFont="1" applyAlignment="1">
      <alignment vertical="top" wrapText="1"/>
    </xf>
    <xf numFmtId="0" fontId="31" fillId="6" borderId="16" xfId="6" applyFont="1" applyFill="1" applyBorder="1" applyAlignment="1">
      <alignment vertical="top" wrapText="1"/>
    </xf>
    <xf numFmtId="0" fontId="21" fillId="0" borderId="0" xfId="9" applyAlignment="1" applyProtection="1">
      <alignment vertical="top"/>
    </xf>
    <xf numFmtId="0" fontId="22" fillId="8" borderId="18" xfId="0" applyFont="1" applyFill="1" applyBorder="1" applyAlignment="1">
      <alignment vertical="top" wrapText="1"/>
    </xf>
    <xf numFmtId="14" fontId="23" fillId="0" borderId="0" xfId="4" applyNumberFormat="1" applyFont="1"/>
  </cellXfs>
  <cellStyles count="10">
    <cellStyle name="Accent1" xfId="3" builtinId="29"/>
    <cellStyle name="Currency" xfId="1" builtinId="4"/>
    <cellStyle name="Heading 1" xfId="2" builtinId="16"/>
    <cellStyle name="Heading 3 2" xfId="5"/>
    <cellStyle name="Hyperlink 3" xfId="9"/>
    <cellStyle name="Normal" xfId="0" builtinId="0"/>
    <cellStyle name="Normal 2" xfId="4"/>
    <cellStyle name="Normal 2 2" xfId="7"/>
    <cellStyle name="Normal 2 4" xfId="6"/>
    <cellStyle name="Normal 3 2" xfId="8"/>
  </cellStyles>
  <dxfs count="0"/>
  <tableStyles count="0" defaultTableStyle="TableStyleMedium2" defaultPivotStyle="PivotStyleLight16"/>
  <colors>
    <mruColors>
      <color rgb="FFEEF3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sz="1400"/>
              <a:t>Income and Expenses</a:t>
            </a:r>
            <a:r>
              <a:rPr lang="en-US" sz="1400" baseline="0"/>
              <a:t> by Month</a:t>
            </a:r>
            <a:endParaRPr lang="en-US" sz="1400"/>
          </a:p>
        </c:rich>
      </c:tx>
      <c:layout>
        <c:manualLayout>
          <c:xMode val="edge"/>
          <c:yMode val="edge"/>
          <c:x val="0.58515860104552886"/>
          <c:y val="0"/>
        </c:manualLayout>
      </c:layout>
      <c:overlay val="0"/>
    </c:title>
    <c:autoTitleDeleted val="0"/>
    <c:plotArea>
      <c:layout/>
      <c:barChart>
        <c:barDir val="col"/>
        <c:grouping val="clustered"/>
        <c:varyColors val="0"/>
        <c:ser>
          <c:idx val="0"/>
          <c:order val="0"/>
          <c:tx>
            <c:strRef>
              <c:f>'Income Statement by month'!$E$92</c:f>
              <c:strCache>
                <c:ptCount val="1"/>
                <c:pt idx="0">
                  <c:v>Gross Profit</c:v>
                </c:pt>
              </c:strCache>
            </c:strRef>
          </c:tx>
          <c:spPr>
            <a:solidFill>
              <a:schemeClr val="accent3">
                <a:lumMod val="60000"/>
                <a:lumOff val="40000"/>
              </a:schemeClr>
            </a:solidFill>
          </c:spPr>
          <c:invertIfNegative val="0"/>
          <c:cat>
            <c:strRef>
              <c:f>'Income Statement by month'!$H$7:$K$7</c:f>
              <c:strCache>
                <c:ptCount val="3"/>
                <c:pt idx="0">
                  <c:v>2014 Jan</c:v>
                </c:pt>
                <c:pt idx="1">
                  <c:v>2014 Feb</c:v>
                </c:pt>
                <c:pt idx="2">
                  <c:v>2014 Mar</c:v>
                </c:pt>
              </c:strCache>
            </c:strRef>
          </c:cat>
          <c:val>
            <c:numRef>
              <c:f>'Income Statement by month'!$H$92:$K$92</c:f>
              <c:numCache>
                <c:formatCode>_(* #,##0_);_(* \(#,##0\);_(* "-"_);_(@_)</c:formatCode>
                <c:ptCount val="3"/>
                <c:pt idx="0">
                  <c:v>2197379.620000002</c:v>
                </c:pt>
                <c:pt idx="1">
                  <c:v>119.4</c:v>
                </c:pt>
                <c:pt idx="2">
                  <c:v>188216.22</c:v>
                </c:pt>
              </c:numCache>
            </c:numRef>
          </c:val>
          <c:extLst>
            <c:ext xmlns:c16="http://schemas.microsoft.com/office/drawing/2014/chart" uri="{C3380CC4-5D6E-409C-BE32-E72D297353CC}">
              <c16:uniqueId val="{00000000-0D08-4611-8AFF-7B301A09F7F9}"/>
            </c:ext>
          </c:extLst>
        </c:ser>
        <c:ser>
          <c:idx val="1"/>
          <c:order val="1"/>
          <c:tx>
            <c:strRef>
              <c:f>'Income Statement by month'!$E$256</c:f>
              <c:strCache>
                <c:ptCount val="1"/>
                <c:pt idx="0">
                  <c:v>Total Operating Expenses</c:v>
                </c:pt>
              </c:strCache>
            </c:strRef>
          </c:tx>
          <c:invertIfNegative val="0"/>
          <c:cat>
            <c:strRef>
              <c:f>'Income Statement by month'!$H$7:$K$7</c:f>
              <c:strCache>
                <c:ptCount val="3"/>
                <c:pt idx="0">
                  <c:v>2014 Jan</c:v>
                </c:pt>
                <c:pt idx="1">
                  <c:v>2014 Feb</c:v>
                </c:pt>
                <c:pt idx="2">
                  <c:v>2014 Mar</c:v>
                </c:pt>
              </c:strCache>
            </c:strRef>
          </c:cat>
          <c:val>
            <c:numRef>
              <c:f>'Income Statement by month'!$H$256:$K$256</c:f>
              <c:numCache>
                <c:formatCode>_(* #,##0_);_(* \(#,##0\);_(* "-"_);_(@_)</c:formatCode>
                <c:ptCount val="3"/>
                <c:pt idx="0">
                  <c:v>-1589117.6599999995</c:v>
                </c:pt>
                <c:pt idx="1">
                  <c:v>-61865.060000000005</c:v>
                </c:pt>
                <c:pt idx="2">
                  <c:v>-62660.760000000009</c:v>
                </c:pt>
              </c:numCache>
            </c:numRef>
          </c:val>
          <c:extLst>
            <c:ext xmlns:c16="http://schemas.microsoft.com/office/drawing/2014/chart" uri="{C3380CC4-5D6E-409C-BE32-E72D297353CC}">
              <c16:uniqueId val="{00000001-0D08-4611-8AFF-7B301A09F7F9}"/>
            </c:ext>
          </c:extLst>
        </c:ser>
        <c:ser>
          <c:idx val="2"/>
          <c:order val="2"/>
          <c:tx>
            <c:strRef>
              <c:f>'Income Statement by month'!$E$358</c:f>
              <c:strCache>
                <c:ptCount val="1"/>
                <c:pt idx="0">
                  <c:v>Total Other Income/Expenses</c:v>
                </c:pt>
              </c:strCache>
            </c:strRef>
          </c:tx>
          <c:spPr>
            <a:solidFill>
              <a:schemeClr val="accent3">
                <a:lumMod val="75000"/>
              </a:schemeClr>
            </a:solidFill>
          </c:spPr>
          <c:invertIfNegative val="0"/>
          <c:cat>
            <c:strRef>
              <c:f>'Income Statement by month'!$H$7:$K$7</c:f>
              <c:strCache>
                <c:ptCount val="3"/>
                <c:pt idx="0">
                  <c:v>2014 Jan</c:v>
                </c:pt>
                <c:pt idx="1">
                  <c:v>2014 Feb</c:v>
                </c:pt>
                <c:pt idx="2">
                  <c:v>2014 Mar</c:v>
                </c:pt>
              </c:strCache>
            </c:strRef>
          </c:cat>
          <c:val>
            <c:numRef>
              <c:f>'Income Statement by month'!$H$358:$K$358</c:f>
              <c:numCache>
                <c:formatCode>_(* #,##0_);_(* \(#,##0\);_(* "-"_);_(@_)</c:formatCode>
                <c:ptCount val="3"/>
                <c:pt idx="0">
                  <c:v>-58906.2</c:v>
                </c:pt>
                <c:pt idx="1">
                  <c:v>-4365.4400000000005</c:v>
                </c:pt>
                <c:pt idx="2">
                  <c:v>-4426.8400000000011</c:v>
                </c:pt>
              </c:numCache>
            </c:numRef>
          </c:val>
          <c:extLst>
            <c:ext xmlns:c16="http://schemas.microsoft.com/office/drawing/2014/chart" uri="{C3380CC4-5D6E-409C-BE32-E72D297353CC}">
              <c16:uniqueId val="{00000002-0D08-4611-8AFF-7B301A09F7F9}"/>
            </c:ext>
          </c:extLst>
        </c:ser>
        <c:ser>
          <c:idx val="3"/>
          <c:order val="3"/>
          <c:tx>
            <c:strRef>
              <c:f>'Income Statement by month'!$E$361</c:f>
              <c:strCache>
                <c:ptCount val="1"/>
                <c:pt idx="0">
                  <c:v>Net Income</c:v>
                </c:pt>
              </c:strCache>
            </c:strRef>
          </c:tx>
          <c:spPr>
            <a:solidFill>
              <a:schemeClr val="accent3">
                <a:lumMod val="50000"/>
              </a:schemeClr>
            </a:solidFill>
          </c:spPr>
          <c:invertIfNegative val="0"/>
          <c:cat>
            <c:strRef>
              <c:f>'Income Statement by month'!$H$7:$K$7</c:f>
              <c:strCache>
                <c:ptCount val="3"/>
                <c:pt idx="0">
                  <c:v>2014 Jan</c:v>
                </c:pt>
                <c:pt idx="1">
                  <c:v>2014 Feb</c:v>
                </c:pt>
                <c:pt idx="2">
                  <c:v>2014 Mar</c:v>
                </c:pt>
              </c:strCache>
            </c:strRef>
          </c:cat>
          <c:val>
            <c:numRef>
              <c:f>'Income Statement by month'!$H$361:$K$361</c:f>
              <c:numCache>
                <c:formatCode>_(* #,##0_);_(* \(#,##0\);_(* "-"_);_(@_)</c:formatCode>
                <c:ptCount val="3"/>
                <c:pt idx="0">
                  <c:v>549355.76000000257</c:v>
                </c:pt>
                <c:pt idx="1">
                  <c:v>-66111.100000000006</c:v>
                </c:pt>
                <c:pt idx="2">
                  <c:v>121128.62</c:v>
                </c:pt>
              </c:numCache>
            </c:numRef>
          </c:val>
          <c:extLst>
            <c:ext xmlns:c16="http://schemas.microsoft.com/office/drawing/2014/chart" uri="{C3380CC4-5D6E-409C-BE32-E72D297353CC}">
              <c16:uniqueId val="{00000003-0D08-4611-8AFF-7B301A09F7F9}"/>
            </c:ext>
          </c:extLst>
        </c:ser>
        <c:dLbls>
          <c:showLegendKey val="0"/>
          <c:showVal val="0"/>
          <c:showCatName val="0"/>
          <c:showSerName val="0"/>
          <c:showPercent val="0"/>
          <c:showBubbleSize val="0"/>
        </c:dLbls>
        <c:gapWidth val="150"/>
        <c:axId val="805145568"/>
        <c:axId val="805137728"/>
      </c:barChart>
      <c:catAx>
        <c:axId val="805145568"/>
        <c:scaling>
          <c:orientation val="minMax"/>
        </c:scaling>
        <c:delete val="0"/>
        <c:axPos val="b"/>
        <c:majorGridlines>
          <c:spPr>
            <a:ln>
              <a:solidFill>
                <a:schemeClr val="bg1">
                  <a:lumMod val="85000"/>
                </a:schemeClr>
              </a:solidFill>
            </a:ln>
          </c:spPr>
        </c:majorGridlines>
        <c:numFmt formatCode="General" sourceLinked="1"/>
        <c:majorTickMark val="out"/>
        <c:minorTickMark val="none"/>
        <c:tickLblPos val="low"/>
        <c:txPr>
          <a:bodyPr/>
          <a:lstStyle/>
          <a:p>
            <a:pPr>
              <a:defRPr b="1"/>
            </a:pPr>
            <a:endParaRPr lang="en-US"/>
          </a:p>
        </c:txPr>
        <c:crossAx val="805137728"/>
        <c:crosses val="autoZero"/>
        <c:auto val="1"/>
        <c:lblAlgn val="ctr"/>
        <c:lblOffset val="100"/>
        <c:noMultiLvlLbl val="0"/>
      </c:catAx>
      <c:valAx>
        <c:axId val="805137728"/>
        <c:scaling>
          <c:orientation val="minMax"/>
        </c:scaling>
        <c:delete val="0"/>
        <c:axPos val="l"/>
        <c:majorGridlines>
          <c:spPr>
            <a:ln>
              <a:solidFill>
                <a:schemeClr val="bg1">
                  <a:lumMod val="85000"/>
                </a:schemeClr>
              </a:solidFill>
            </a:ln>
          </c:spPr>
        </c:majorGridlines>
        <c:numFmt formatCode="_(* #,##0_);_(* \(#,##0\);_(* &quot;-&quot;_);_(@_)" sourceLinked="1"/>
        <c:majorTickMark val="out"/>
        <c:minorTickMark val="none"/>
        <c:tickLblPos val="nextTo"/>
        <c:txPr>
          <a:bodyPr/>
          <a:lstStyle/>
          <a:p>
            <a:pPr>
              <a:defRPr sz="1050"/>
            </a:pPr>
            <a:endParaRPr lang="en-US"/>
          </a:p>
        </c:txPr>
        <c:crossAx val="805145568"/>
        <c:crosses val="autoZero"/>
        <c:crossBetween val="between"/>
      </c:valAx>
    </c:plotArea>
    <c:legend>
      <c:legendPos val="b"/>
      <c:layout/>
      <c:overlay val="0"/>
    </c:legend>
    <c:plotVisOnly val="1"/>
    <c:dispBlanksAs val="gap"/>
    <c:showDLblsOverMax val="0"/>
  </c:chart>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9</xdr:row>
      <xdr:rowOff>133350</xdr:rowOff>
    </xdr:from>
    <xdr:to>
      <xdr:col>11</xdr:col>
      <xdr:colOff>257175</xdr:colOff>
      <xdr:row>20</xdr:row>
      <xdr:rowOff>77512</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01125" y="17811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12</xdr:col>
      <xdr:colOff>0</xdr:colOff>
      <xdr:row>4</xdr:row>
      <xdr:rowOff>0</xdr:rowOff>
    </xdr:from>
    <xdr:to>
      <xdr:col>20</xdr:col>
      <xdr:colOff>204789</xdr:colOff>
      <xdr:row>192</xdr:row>
      <xdr:rowOff>142875</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RP/Product%20Management/Reports%20-%20WIP/1st%20priority%20-%20Branding%20Update/Master%20List%20of%20Reports/GP/Reports/GP003%20-%20Enterprise%20-%20Income%20Statement%20with%20Slicers%20-%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fore Running This Report"/>
      <sheetName val="Read Me"/>
      <sheetName val="Options"/>
      <sheetName val="Dashboard"/>
      <sheetName val="Pivot Table"/>
    </sheetNames>
    <sheetDataSet>
      <sheetData sheetId="0" refreshError="1"/>
      <sheetData sheetId="1" refreshError="1"/>
      <sheetData sheetId="2">
        <row r="4">
          <cell r="C4" t="str">
            <v>GP Cube</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2.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tabSelected="1" workbookViewId="0"/>
  </sheetViews>
  <sheetFormatPr defaultColWidth="10.28515625" defaultRowHeight="14.25" x14ac:dyDescent="0.25"/>
  <cols>
    <col min="1" max="1" width="10.28515625" style="46" hidden="1" customWidth="1"/>
    <col min="2" max="2" width="3.42578125" style="46" customWidth="1"/>
    <col min="3" max="3" width="5.28515625" style="46" customWidth="1"/>
    <col min="4" max="4" width="115.7109375" style="46" customWidth="1"/>
    <col min="5" max="16384" width="10.28515625" style="46"/>
  </cols>
  <sheetData>
    <row r="1" spans="1:4" hidden="1" x14ac:dyDescent="0.25">
      <c r="A1" s="46" t="s">
        <v>710</v>
      </c>
    </row>
    <row r="3" spans="1:4" ht="15" thickBot="1" x14ac:dyDescent="0.3">
      <c r="C3" s="47" t="s">
        <v>711</v>
      </c>
      <c r="D3" s="48"/>
    </row>
    <row r="4" spans="1:4" x14ac:dyDescent="0.25">
      <c r="C4" s="49"/>
      <c r="D4" s="50" t="s">
        <v>1724</v>
      </c>
    </row>
    <row r="5" spans="1:4" x14ac:dyDescent="0.25">
      <c r="C5" s="49"/>
      <c r="D5" s="51" t="s">
        <v>1725</v>
      </c>
    </row>
    <row r="6" spans="1:4" x14ac:dyDescent="0.25">
      <c r="C6" s="49"/>
      <c r="D6" s="50" t="s">
        <v>1726</v>
      </c>
    </row>
    <row r="7" spans="1:4" x14ac:dyDescent="0.25">
      <c r="C7" s="49"/>
      <c r="D7" s="49"/>
    </row>
    <row r="8" spans="1:4" x14ac:dyDescent="0.25">
      <c r="C8" s="49"/>
      <c r="D8" s="49"/>
    </row>
    <row r="9" spans="1:4" ht="15" thickBot="1" x14ac:dyDescent="0.3">
      <c r="C9" s="47" t="s">
        <v>1727</v>
      </c>
      <c r="D9" s="48"/>
    </row>
    <row r="10" spans="1:4" x14ac:dyDescent="0.25">
      <c r="C10" s="52" t="s">
        <v>1728</v>
      </c>
      <c r="D10" s="46" t="s">
        <v>1729</v>
      </c>
    </row>
    <row r="11" spans="1:4" x14ac:dyDescent="0.25">
      <c r="C11" s="52"/>
      <c r="D11" s="49"/>
    </row>
    <row r="12" spans="1:4" x14ac:dyDescent="0.25">
      <c r="C12" s="52" t="s">
        <v>1730</v>
      </c>
      <c r="D12" s="49" t="s">
        <v>1731</v>
      </c>
    </row>
    <row r="13" spans="1:4" x14ac:dyDescent="0.25">
      <c r="C13" s="53"/>
      <c r="D13" s="54"/>
    </row>
    <row r="14" spans="1:4" ht="57" x14ac:dyDescent="0.25">
      <c r="C14" s="52" t="s">
        <v>1732</v>
      </c>
      <c r="D14" s="55" t="s">
        <v>1755</v>
      </c>
    </row>
    <row r="15" spans="1:4" x14ac:dyDescent="0.25">
      <c r="C15" s="52"/>
      <c r="D15" s="49"/>
    </row>
    <row r="16" spans="1:4" ht="28.5" x14ac:dyDescent="0.25">
      <c r="C16" s="52" t="s">
        <v>1733</v>
      </c>
      <c r="D16" s="55" t="s">
        <v>1734</v>
      </c>
    </row>
    <row r="17" spans="3:5" x14ac:dyDescent="0.25">
      <c r="C17" s="52"/>
      <c r="D17" s="49"/>
    </row>
    <row r="18" spans="3:5" x14ac:dyDescent="0.25">
      <c r="C18" s="56"/>
      <c r="D18" s="49"/>
    </row>
    <row r="19" spans="3:5" x14ac:dyDescent="0.25">
      <c r="C19" s="56"/>
      <c r="D19" s="49"/>
    </row>
    <row r="20" spans="3:5" x14ac:dyDescent="0.25">
      <c r="C20" s="56"/>
      <c r="D20" s="49"/>
    </row>
    <row r="21" spans="3:5" x14ac:dyDescent="0.25">
      <c r="C21" s="56"/>
      <c r="D21" s="49"/>
    </row>
    <row r="22" spans="3:5" x14ac:dyDescent="0.25">
      <c r="C22" s="56"/>
      <c r="D22" s="49"/>
    </row>
    <row r="23" spans="3:5" x14ac:dyDescent="0.25">
      <c r="C23" s="56"/>
      <c r="D23" s="49"/>
    </row>
    <row r="24" spans="3:5" x14ac:dyDescent="0.25">
      <c r="C24" s="56"/>
      <c r="D24" s="49"/>
    </row>
    <row r="25" spans="3:5" x14ac:dyDescent="0.25">
      <c r="E25" s="67"/>
    </row>
  </sheetData>
  <pageMargins left="0.7" right="0.7" top="0.75" bottom="0.75" header="0.3" footer="0.3"/>
  <pageSetup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1"/>
  <sheetViews>
    <sheetView workbookViewId="0"/>
  </sheetViews>
  <sheetFormatPr defaultRowHeight="15" x14ac:dyDescent="0.25"/>
  <sheetData>
    <row r="1" spans="1:11" x14ac:dyDescent="0.25">
      <c r="A1" s="1" t="s">
        <v>1767</v>
      </c>
      <c r="C1" s="1" t="s">
        <v>13</v>
      </c>
      <c r="D1" s="1" t="s">
        <v>13</v>
      </c>
      <c r="I1" s="1" t="s">
        <v>1</v>
      </c>
      <c r="J1" s="1" t="s">
        <v>1</v>
      </c>
      <c r="K1" s="1" t="s">
        <v>10</v>
      </c>
    </row>
    <row r="3" spans="1:11" x14ac:dyDescent="0.25">
      <c r="E3" s="1" t="s">
        <v>11</v>
      </c>
    </row>
    <row r="5" spans="1:11" x14ac:dyDescent="0.25">
      <c r="A5" s="1" t="s">
        <v>10</v>
      </c>
      <c r="H5" s="1" t="s">
        <v>99</v>
      </c>
      <c r="I5" s="1" t="s">
        <v>183</v>
      </c>
      <c r="J5" s="1" t="s">
        <v>184</v>
      </c>
    </row>
    <row r="6" spans="1:11" x14ac:dyDescent="0.25">
      <c r="A6" s="1" t="s">
        <v>13</v>
      </c>
      <c r="H6" s="1" t="s">
        <v>100</v>
      </c>
      <c r="I6" s="1" t="s">
        <v>110</v>
      </c>
      <c r="J6" s="1" t="s">
        <v>111</v>
      </c>
    </row>
    <row r="7" spans="1:11" x14ac:dyDescent="0.25">
      <c r="C7" s="1" t="s">
        <v>718</v>
      </c>
      <c r="H7" s="1" t="s">
        <v>707</v>
      </c>
      <c r="I7" s="1" t="s">
        <v>708</v>
      </c>
      <c r="J7" s="1" t="s">
        <v>709</v>
      </c>
    </row>
    <row r="8" spans="1:11" x14ac:dyDescent="0.25">
      <c r="C8" s="1" t="s">
        <v>101</v>
      </c>
      <c r="D8" s="1" t="s">
        <v>102</v>
      </c>
      <c r="E8" s="1" t="s">
        <v>719</v>
      </c>
    </row>
    <row r="9" spans="1:11" x14ac:dyDescent="0.25">
      <c r="D9" s="1" t="s">
        <v>30</v>
      </c>
      <c r="F9" s="1" t="s">
        <v>720</v>
      </c>
      <c r="H9" s="1" t="s">
        <v>765</v>
      </c>
      <c r="I9" s="1" t="s">
        <v>789</v>
      </c>
      <c r="J9" s="1" t="s">
        <v>790</v>
      </c>
    </row>
    <row r="10" spans="1:11" x14ac:dyDescent="0.25">
      <c r="A10" s="1" t="s">
        <v>1</v>
      </c>
      <c r="D10" s="1" t="s">
        <v>31</v>
      </c>
      <c r="F10" s="1" t="s">
        <v>112</v>
      </c>
      <c r="H10" s="1" t="s">
        <v>791</v>
      </c>
      <c r="I10" s="1" t="s">
        <v>792</v>
      </c>
      <c r="J10" s="1" t="s">
        <v>793</v>
      </c>
    </row>
    <row r="11" spans="1:11" x14ac:dyDescent="0.25">
      <c r="A11" s="1" t="s">
        <v>1</v>
      </c>
      <c r="D11" s="1" t="s">
        <v>32</v>
      </c>
      <c r="F11" s="1" t="s">
        <v>113</v>
      </c>
      <c r="H11" s="1" t="s">
        <v>794</v>
      </c>
      <c r="I11" s="1" t="s">
        <v>795</v>
      </c>
      <c r="J11" s="1" t="s">
        <v>796</v>
      </c>
    </row>
    <row r="12" spans="1:11" x14ac:dyDescent="0.25">
      <c r="A12" s="1" t="s">
        <v>1</v>
      </c>
      <c r="D12" s="1" t="s">
        <v>16</v>
      </c>
      <c r="F12" s="1" t="s">
        <v>114</v>
      </c>
      <c r="H12" s="1" t="s">
        <v>797</v>
      </c>
      <c r="I12" s="1" t="s">
        <v>798</v>
      </c>
      <c r="J12" s="1" t="s">
        <v>799</v>
      </c>
    </row>
    <row r="13" spans="1:11" x14ac:dyDescent="0.25">
      <c r="A13" s="1" t="s">
        <v>1</v>
      </c>
      <c r="D13" s="1" t="s">
        <v>33</v>
      </c>
      <c r="F13" s="1" t="s">
        <v>115</v>
      </c>
      <c r="H13" s="1" t="s">
        <v>767</v>
      </c>
      <c r="I13" s="1" t="s">
        <v>800</v>
      </c>
      <c r="J13" s="1" t="s">
        <v>801</v>
      </c>
    </row>
    <row r="14" spans="1:11" x14ac:dyDescent="0.25">
      <c r="A14" s="1" t="s">
        <v>1</v>
      </c>
      <c r="D14" s="1" t="s">
        <v>34</v>
      </c>
      <c r="F14" s="1" t="s">
        <v>116</v>
      </c>
      <c r="H14" s="1" t="s">
        <v>802</v>
      </c>
      <c r="I14" s="1" t="s">
        <v>803</v>
      </c>
      <c r="J14" s="1" t="s">
        <v>804</v>
      </c>
    </row>
    <row r="15" spans="1:11" x14ac:dyDescent="0.25">
      <c r="A15" s="1" t="s">
        <v>1</v>
      </c>
      <c r="D15" s="1" t="s">
        <v>35</v>
      </c>
      <c r="F15" s="1" t="s">
        <v>117</v>
      </c>
      <c r="H15" s="1" t="s">
        <v>805</v>
      </c>
      <c r="I15" s="1" t="s">
        <v>806</v>
      </c>
      <c r="J15" s="1" t="s">
        <v>807</v>
      </c>
    </row>
    <row r="16" spans="1:11" x14ac:dyDescent="0.25">
      <c r="A16" s="1" t="s">
        <v>1</v>
      </c>
      <c r="D16" s="1" t="s">
        <v>36</v>
      </c>
      <c r="F16" s="1" t="s">
        <v>118</v>
      </c>
      <c r="H16" s="1" t="s">
        <v>808</v>
      </c>
      <c r="I16" s="1" t="s">
        <v>809</v>
      </c>
      <c r="J16" s="1" t="s">
        <v>810</v>
      </c>
    </row>
    <row r="17" spans="1:10" x14ac:dyDescent="0.25">
      <c r="A17" s="1" t="s">
        <v>1</v>
      </c>
      <c r="D17" s="1" t="s">
        <v>37</v>
      </c>
      <c r="F17" s="1" t="s">
        <v>119</v>
      </c>
      <c r="H17" s="1" t="s">
        <v>769</v>
      </c>
      <c r="I17" s="1" t="s">
        <v>811</v>
      </c>
      <c r="J17" s="1" t="s">
        <v>812</v>
      </c>
    </row>
    <row r="18" spans="1:10" x14ac:dyDescent="0.25">
      <c r="A18" s="1" t="s">
        <v>1</v>
      </c>
      <c r="D18" s="1" t="s">
        <v>18</v>
      </c>
      <c r="F18" s="1" t="s">
        <v>120</v>
      </c>
      <c r="H18" s="1" t="s">
        <v>813</v>
      </c>
      <c r="I18" s="1" t="s">
        <v>814</v>
      </c>
      <c r="J18" s="1" t="s">
        <v>815</v>
      </c>
    </row>
    <row r="19" spans="1:10" x14ac:dyDescent="0.25">
      <c r="A19" s="1" t="s">
        <v>1</v>
      </c>
      <c r="D19" s="1" t="s">
        <v>38</v>
      </c>
      <c r="F19" s="1" t="s">
        <v>121</v>
      </c>
      <c r="H19" s="1" t="s">
        <v>816</v>
      </c>
      <c r="I19" s="1" t="s">
        <v>817</v>
      </c>
      <c r="J19" s="1" t="s">
        <v>818</v>
      </c>
    </row>
    <row r="20" spans="1:10" x14ac:dyDescent="0.25">
      <c r="A20" s="1" t="s">
        <v>1</v>
      </c>
      <c r="D20" s="1" t="s">
        <v>39</v>
      </c>
      <c r="F20" s="1" t="s">
        <v>122</v>
      </c>
      <c r="H20" s="1" t="s">
        <v>819</v>
      </c>
      <c r="I20" s="1" t="s">
        <v>820</v>
      </c>
      <c r="J20" s="1" t="s">
        <v>821</v>
      </c>
    </row>
    <row r="21" spans="1:10" x14ac:dyDescent="0.25">
      <c r="A21" s="1" t="s">
        <v>1</v>
      </c>
      <c r="D21" s="1" t="s">
        <v>40</v>
      </c>
      <c r="F21" s="1" t="s">
        <v>123</v>
      </c>
      <c r="H21" s="1" t="s">
        <v>771</v>
      </c>
      <c r="I21" s="1" t="s">
        <v>822</v>
      </c>
      <c r="J21" s="1" t="s">
        <v>823</v>
      </c>
    </row>
    <row r="22" spans="1:10" x14ac:dyDescent="0.25">
      <c r="A22" s="1" t="s">
        <v>1</v>
      </c>
      <c r="D22" s="1" t="s">
        <v>19</v>
      </c>
      <c r="F22" s="1" t="s">
        <v>124</v>
      </c>
      <c r="H22" s="1" t="s">
        <v>824</v>
      </c>
      <c r="I22" s="1" t="s">
        <v>825</v>
      </c>
      <c r="J22" s="1" t="s">
        <v>826</v>
      </c>
    </row>
    <row r="23" spans="1:10" x14ac:dyDescent="0.25">
      <c r="A23" s="1" t="s">
        <v>1</v>
      </c>
      <c r="D23" s="1" t="s">
        <v>79</v>
      </c>
      <c r="F23" s="1" t="s">
        <v>125</v>
      </c>
      <c r="H23" s="1" t="s">
        <v>827</v>
      </c>
      <c r="I23" s="1" t="s">
        <v>828</v>
      </c>
      <c r="J23" s="1" t="s">
        <v>829</v>
      </c>
    </row>
    <row r="24" spans="1:10" x14ac:dyDescent="0.25">
      <c r="A24" s="1" t="s">
        <v>1</v>
      </c>
      <c r="D24" s="1" t="s">
        <v>106</v>
      </c>
      <c r="F24" s="1" t="s">
        <v>126</v>
      </c>
      <c r="H24" s="1" t="s">
        <v>830</v>
      </c>
      <c r="I24" s="1" t="s">
        <v>831</v>
      </c>
      <c r="J24" s="1" t="s">
        <v>832</v>
      </c>
    </row>
    <row r="25" spans="1:10" x14ac:dyDescent="0.25">
      <c r="A25" s="1" t="s">
        <v>1</v>
      </c>
      <c r="D25" s="1" t="s">
        <v>41</v>
      </c>
      <c r="F25" s="1" t="s">
        <v>127</v>
      </c>
      <c r="H25" s="1" t="s">
        <v>833</v>
      </c>
      <c r="I25" s="1" t="s">
        <v>834</v>
      </c>
      <c r="J25" s="1" t="s">
        <v>835</v>
      </c>
    </row>
    <row r="26" spans="1:10" x14ac:dyDescent="0.25">
      <c r="A26" s="1" t="s">
        <v>1</v>
      </c>
      <c r="D26" s="1" t="s">
        <v>21</v>
      </c>
      <c r="F26" s="1" t="s">
        <v>128</v>
      </c>
      <c r="H26" s="1" t="s">
        <v>836</v>
      </c>
      <c r="I26" s="1" t="s">
        <v>837</v>
      </c>
      <c r="J26" s="1" t="s">
        <v>838</v>
      </c>
    </row>
    <row r="27" spans="1:10" x14ac:dyDescent="0.25">
      <c r="A27" s="1" t="s">
        <v>1</v>
      </c>
      <c r="D27" s="1" t="s">
        <v>42</v>
      </c>
      <c r="F27" s="1" t="s">
        <v>129</v>
      </c>
      <c r="H27" s="1" t="s">
        <v>839</v>
      </c>
      <c r="I27" s="1" t="s">
        <v>840</v>
      </c>
      <c r="J27" s="1" t="s">
        <v>841</v>
      </c>
    </row>
    <row r="28" spans="1:10" x14ac:dyDescent="0.25">
      <c r="A28" s="1" t="s">
        <v>1</v>
      </c>
      <c r="D28" s="1" t="s">
        <v>43</v>
      </c>
      <c r="F28" s="1" t="s">
        <v>130</v>
      </c>
      <c r="H28" s="1" t="s">
        <v>773</v>
      </c>
      <c r="I28" s="1" t="s">
        <v>842</v>
      </c>
      <c r="J28" s="1" t="s">
        <v>843</v>
      </c>
    </row>
    <row r="29" spans="1:10" x14ac:dyDescent="0.25">
      <c r="A29" s="1" t="s">
        <v>1</v>
      </c>
      <c r="D29" s="1" t="s">
        <v>44</v>
      </c>
      <c r="F29" s="1" t="s">
        <v>131</v>
      </c>
      <c r="H29" s="1" t="s">
        <v>844</v>
      </c>
      <c r="I29" s="1" t="s">
        <v>845</v>
      </c>
      <c r="J29" s="1" t="s">
        <v>846</v>
      </c>
    </row>
    <row r="30" spans="1:10" x14ac:dyDescent="0.25">
      <c r="A30" s="1" t="s">
        <v>1</v>
      </c>
      <c r="D30" s="1" t="s">
        <v>23</v>
      </c>
      <c r="F30" s="1" t="s">
        <v>132</v>
      </c>
      <c r="H30" s="1" t="s">
        <v>847</v>
      </c>
      <c r="I30" s="1" t="s">
        <v>848</v>
      </c>
      <c r="J30" s="1" t="s">
        <v>849</v>
      </c>
    </row>
    <row r="31" spans="1:10" x14ac:dyDescent="0.25">
      <c r="A31" s="1" t="s">
        <v>1</v>
      </c>
      <c r="D31" s="1" t="s">
        <v>45</v>
      </c>
      <c r="F31" s="1" t="s">
        <v>133</v>
      </c>
      <c r="H31" s="1" t="s">
        <v>850</v>
      </c>
      <c r="I31" s="1" t="s">
        <v>851</v>
      </c>
      <c r="J31" s="1" t="s">
        <v>852</v>
      </c>
    </row>
    <row r="32" spans="1:10" x14ac:dyDescent="0.25">
      <c r="A32" s="1" t="s">
        <v>1</v>
      </c>
      <c r="D32" s="1" t="s">
        <v>46</v>
      </c>
      <c r="F32" s="1" t="s">
        <v>134</v>
      </c>
      <c r="H32" s="1" t="s">
        <v>775</v>
      </c>
      <c r="I32" s="1" t="s">
        <v>853</v>
      </c>
      <c r="J32" s="1" t="s">
        <v>854</v>
      </c>
    </row>
    <row r="33" spans="1:10" x14ac:dyDescent="0.25">
      <c r="A33" s="1" t="s">
        <v>1</v>
      </c>
      <c r="D33" s="1" t="s">
        <v>47</v>
      </c>
      <c r="F33" s="1" t="s">
        <v>135</v>
      </c>
      <c r="H33" s="1" t="s">
        <v>855</v>
      </c>
      <c r="I33" s="1" t="s">
        <v>856</v>
      </c>
      <c r="J33" s="1" t="s">
        <v>857</v>
      </c>
    </row>
    <row r="34" spans="1:10" x14ac:dyDescent="0.25">
      <c r="A34" s="1" t="s">
        <v>1</v>
      </c>
      <c r="D34" s="1" t="s">
        <v>25</v>
      </c>
      <c r="F34" s="1" t="s">
        <v>136</v>
      </c>
      <c r="H34" s="1" t="s">
        <v>858</v>
      </c>
      <c r="I34" s="1" t="s">
        <v>859</v>
      </c>
      <c r="J34" s="1" t="s">
        <v>860</v>
      </c>
    </row>
    <row r="35" spans="1:10" x14ac:dyDescent="0.25">
      <c r="A35" s="1" t="s">
        <v>1</v>
      </c>
      <c r="D35" s="1" t="s">
        <v>48</v>
      </c>
      <c r="F35" s="1" t="s">
        <v>137</v>
      </c>
      <c r="H35" s="1" t="s">
        <v>861</v>
      </c>
      <c r="I35" s="1" t="s">
        <v>862</v>
      </c>
      <c r="J35" s="1" t="s">
        <v>863</v>
      </c>
    </row>
    <row r="36" spans="1:10" x14ac:dyDescent="0.25">
      <c r="A36" s="1" t="s">
        <v>1</v>
      </c>
      <c r="D36" s="1" t="s">
        <v>49</v>
      </c>
      <c r="F36" s="1" t="s">
        <v>138</v>
      </c>
      <c r="H36" s="1" t="s">
        <v>777</v>
      </c>
      <c r="I36" s="1" t="s">
        <v>864</v>
      </c>
      <c r="J36" s="1" t="s">
        <v>865</v>
      </c>
    </row>
    <row r="37" spans="1:10" x14ac:dyDescent="0.25">
      <c r="A37" s="1" t="s">
        <v>1</v>
      </c>
      <c r="D37" s="1" t="s">
        <v>50</v>
      </c>
      <c r="F37" s="1" t="s">
        <v>139</v>
      </c>
      <c r="H37" s="1" t="s">
        <v>866</v>
      </c>
      <c r="I37" s="1" t="s">
        <v>867</v>
      </c>
      <c r="J37" s="1" t="s">
        <v>868</v>
      </c>
    </row>
    <row r="38" spans="1:10" x14ac:dyDescent="0.25">
      <c r="A38" s="1" t="s">
        <v>1</v>
      </c>
      <c r="D38" s="1" t="s">
        <v>26</v>
      </c>
      <c r="F38" s="1" t="s">
        <v>140</v>
      </c>
      <c r="H38" s="1" t="s">
        <v>869</v>
      </c>
      <c r="I38" s="1" t="s">
        <v>870</v>
      </c>
      <c r="J38" s="1" t="s">
        <v>871</v>
      </c>
    </row>
    <row r="39" spans="1:10" x14ac:dyDescent="0.25">
      <c r="A39" s="1" t="s">
        <v>1</v>
      </c>
      <c r="D39" s="1" t="s">
        <v>51</v>
      </c>
      <c r="F39" s="1" t="s">
        <v>141</v>
      </c>
      <c r="H39" s="1" t="s">
        <v>872</v>
      </c>
      <c r="I39" s="1" t="s">
        <v>873</v>
      </c>
      <c r="J39" s="1" t="s">
        <v>874</v>
      </c>
    </row>
    <row r="40" spans="1:10" x14ac:dyDescent="0.25">
      <c r="A40" s="1" t="s">
        <v>1</v>
      </c>
      <c r="D40" s="1" t="s">
        <v>52</v>
      </c>
      <c r="F40" s="1" t="s">
        <v>142</v>
      </c>
      <c r="H40" s="1" t="s">
        <v>875</v>
      </c>
      <c r="I40" s="1" t="s">
        <v>876</v>
      </c>
      <c r="J40" s="1" t="s">
        <v>877</v>
      </c>
    </row>
    <row r="41" spans="1:10" x14ac:dyDescent="0.25">
      <c r="A41" s="1" t="s">
        <v>1</v>
      </c>
      <c r="D41" s="1" t="s">
        <v>53</v>
      </c>
      <c r="F41" s="1" t="s">
        <v>143</v>
      </c>
      <c r="H41" s="1" t="s">
        <v>878</v>
      </c>
      <c r="I41" s="1" t="s">
        <v>879</v>
      </c>
      <c r="J41" s="1" t="s">
        <v>880</v>
      </c>
    </row>
    <row r="42" spans="1:10" x14ac:dyDescent="0.25">
      <c r="A42" s="1" t="s">
        <v>1</v>
      </c>
      <c r="D42" s="1" t="s">
        <v>28</v>
      </c>
      <c r="F42" s="1" t="s">
        <v>144</v>
      </c>
      <c r="H42" s="1" t="s">
        <v>881</v>
      </c>
      <c r="I42" s="1" t="s">
        <v>882</v>
      </c>
      <c r="J42" s="1" t="s">
        <v>883</v>
      </c>
    </row>
    <row r="43" spans="1:10" x14ac:dyDescent="0.25">
      <c r="A43" s="1" t="s">
        <v>1</v>
      </c>
      <c r="D43" s="1" t="s">
        <v>54</v>
      </c>
      <c r="F43" s="1" t="s">
        <v>145</v>
      </c>
      <c r="H43" s="1" t="s">
        <v>884</v>
      </c>
      <c r="I43" s="1" t="s">
        <v>885</v>
      </c>
      <c r="J43" s="1" t="s">
        <v>886</v>
      </c>
    </row>
    <row r="44" spans="1:10" x14ac:dyDescent="0.25">
      <c r="A44" s="1" t="s">
        <v>1</v>
      </c>
      <c r="D44" s="1" t="s">
        <v>81</v>
      </c>
      <c r="F44" s="1" t="s">
        <v>146</v>
      </c>
      <c r="H44" s="1" t="s">
        <v>779</v>
      </c>
      <c r="I44" s="1" t="s">
        <v>887</v>
      </c>
      <c r="J44" s="1" t="s">
        <v>888</v>
      </c>
    </row>
    <row r="45" spans="1:10" x14ac:dyDescent="0.25">
      <c r="A45" s="1" t="s">
        <v>1</v>
      </c>
      <c r="D45" s="1" t="s">
        <v>80</v>
      </c>
      <c r="F45" s="1" t="s">
        <v>147</v>
      </c>
      <c r="H45" s="1" t="s">
        <v>889</v>
      </c>
      <c r="I45" s="1" t="s">
        <v>890</v>
      </c>
      <c r="J45" s="1" t="s">
        <v>891</v>
      </c>
    </row>
    <row r="46" spans="1:10" x14ac:dyDescent="0.25">
      <c r="A46" s="1" t="s">
        <v>1</v>
      </c>
      <c r="D46" s="1" t="s">
        <v>107</v>
      </c>
      <c r="F46" s="1" t="s">
        <v>148</v>
      </c>
      <c r="H46" s="1" t="s">
        <v>892</v>
      </c>
      <c r="I46" s="1" t="s">
        <v>893</v>
      </c>
      <c r="J46" s="1" t="s">
        <v>894</v>
      </c>
    </row>
    <row r="47" spans="1:10" x14ac:dyDescent="0.25">
      <c r="A47" s="1" t="s">
        <v>1</v>
      </c>
      <c r="D47" s="1" t="s">
        <v>149</v>
      </c>
      <c r="F47" s="1" t="s">
        <v>150</v>
      </c>
      <c r="H47" s="1" t="s">
        <v>895</v>
      </c>
      <c r="I47" s="1" t="s">
        <v>896</v>
      </c>
      <c r="J47" s="1" t="s">
        <v>897</v>
      </c>
    </row>
    <row r="48" spans="1:10" x14ac:dyDescent="0.25">
      <c r="A48" s="1" t="s">
        <v>1</v>
      </c>
      <c r="D48" s="1" t="s">
        <v>92</v>
      </c>
      <c r="F48" s="1" t="s">
        <v>151</v>
      </c>
      <c r="H48" s="1" t="s">
        <v>781</v>
      </c>
      <c r="I48" s="1" t="s">
        <v>898</v>
      </c>
      <c r="J48" s="1" t="s">
        <v>899</v>
      </c>
    </row>
    <row r="49" spans="1:10" x14ac:dyDescent="0.25">
      <c r="A49" s="1" t="s">
        <v>1</v>
      </c>
      <c r="D49" s="1" t="s">
        <v>55</v>
      </c>
      <c r="F49" s="1" t="s">
        <v>152</v>
      </c>
      <c r="H49" s="1" t="s">
        <v>900</v>
      </c>
      <c r="I49" s="1" t="s">
        <v>901</v>
      </c>
      <c r="J49" s="1" t="s">
        <v>902</v>
      </c>
    </row>
    <row r="50" spans="1:10" x14ac:dyDescent="0.25">
      <c r="A50" s="1" t="s">
        <v>1</v>
      </c>
      <c r="D50" s="1" t="s">
        <v>29</v>
      </c>
      <c r="F50" s="1" t="s">
        <v>153</v>
      </c>
      <c r="H50" s="1" t="s">
        <v>903</v>
      </c>
      <c r="I50" s="1" t="s">
        <v>904</v>
      </c>
      <c r="J50" s="1" t="s">
        <v>905</v>
      </c>
    </row>
    <row r="51" spans="1:10" x14ac:dyDescent="0.25">
      <c r="A51" s="1" t="s">
        <v>1</v>
      </c>
      <c r="D51" s="1" t="s">
        <v>56</v>
      </c>
      <c r="F51" s="1" t="s">
        <v>154</v>
      </c>
      <c r="H51" s="1" t="s">
        <v>906</v>
      </c>
      <c r="I51" s="1" t="s">
        <v>907</v>
      </c>
      <c r="J51" s="1" t="s">
        <v>908</v>
      </c>
    </row>
    <row r="52" spans="1:10" x14ac:dyDescent="0.25">
      <c r="A52" s="1" t="s">
        <v>1</v>
      </c>
      <c r="D52" s="1" t="s">
        <v>155</v>
      </c>
      <c r="F52" s="1" t="s">
        <v>156</v>
      </c>
      <c r="H52" s="1" t="s">
        <v>783</v>
      </c>
      <c r="I52" s="1" t="s">
        <v>909</v>
      </c>
      <c r="J52" s="1" t="s">
        <v>910</v>
      </c>
    </row>
    <row r="53" spans="1:10" x14ac:dyDescent="0.25">
      <c r="D53" s="1" t="s">
        <v>31</v>
      </c>
      <c r="F53" s="1" t="s">
        <v>103</v>
      </c>
      <c r="H53" s="1" t="s">
        <v>784</v>
      </c>
      <c r="I53" s="1" t="s">
        <v>911</v>
      </c>
      <c r="J53" s="1" t="s">
        <v>912</v>
      </c>
    </row>
    <row r="55" spans="1:10" x14ac:dyDescent="0.25">
      <c r="C55" s="1" t="s">
        <v>163</v>
      </c>
      <c r="D55" s="1" t="s">
        <v>108</v>
      </c>
      <c r="E55" s="1" t="s">
        <v>743</v>
      </c>
    </row>
    <row r="56" spans="1:10" x14ac:dyDescent="0.25">
      <c r="D56" s="1" t="s">
        <v>57</v>
      </c>
      <c r="F56" s="1" t="s">
        <v>744</v>
      </c>
      <c r="H56" s="1" t="s">
        <v>913</v>
      </c>
      <c r="I56" s="1" t="s">
        <v>914</v>
      </c>
      <c r="J56" s="1" t="s">
        <v>915</v>
      </c>
    </row>
    <row r="57" spans="1:10" x14ac:dyDescent="0.25">
      <c r="A57" s="1" t="s">
        <v>1</v>
      </c>
      <c r="D57" s="1" t="s">
        <v>58</v>
      </c>
      <c r="F57" s="1" t="s">
        <v>185</v>
      </c>
      <c r="H57" s="1" t="s">
        <v>785</v>
      </c>
      <c r="I57" s="1" t="s">
        <v>916</v>
      </c>
      <c r="J57" s="1" t="s">
        <v>917</v>
      </c>
    </row>
    <row r="58" spans="1:10" x14ac:dyDescent="0.25">
      <c r="A58" s="1" t="s">
        <v>1</v>
      </c>
      <c r="D58" s="1" t="s">
        <v>181</v>
      </c>
      <c r="F58" s="1" t="s">
        <v>186</v>
      </c>
      <c r="H58" s="1" t="s">
        <v>918</v>
      </c>
      <c r="I58" s="1" t="s">
        <v>919</v>
      </c>
      <c r="J58" s="1" t="s">
        <v>920</v>
      </c>
    </row>
    <row r="59" spans="1:10" x14ac:dyDescent="0.25">
      <c r="A59" s="1" t="s">
        <v>1</v>
      </c>
      <c r="D59" s="1" t="s">
        <v>187</v>
      </c>
      <c r="F59" s="1" t="s">
        <v>188</v>
      </c>
      <c r="H59" s="1" t="s">
        <v>921</v>
      </c>
      <c r="I59" s="1" t="s">
        <v>922</v>
      </c>
      <c r="J59" s="1" t="s">
        <v>923</v>
      </c>
    </row>
    <row r="60" spans="1:10" x14ac:dyDescent="0.25">
      <c r="A60" s="1" t="s">
        <v>1</v>
      </c>
      <c r="D60" s="1" t="s">
        <v>189</v>
      </c>
      <c r="F60" s="1" t="s">
        <v>190</v>
      </c>
      <c r="H60" s="1" t="s">
        <v>924</v>
      </c>
      <c r="I60" s="1" t="s">
        <v>925</v>
      </c>
      <c r="J60" s="1" t="s">
        <v>926</v>
      </c>
    </row>
    <row r="61" spans="1:10" x14ac:dyDescent="0.25">
      <c r="A61" s="1" t="s">
        <v>1</v>
      </c>
      <c r="D61" s="1" t="s">
        <v>59</v>
      </c>
      <c r="F61" s="1" t="s">
        <v>191</v>
      </c>
      <c r="H61" s="1" t="s">
        <v>927</v>
      </c>
      <c r="I61" s="1" t="s">
        <v>928</v>
      </c>
      <c r="J61" s="1" t="s">
        <v>929</v>
      </c>
    </row>
    <row r="62" spans="1:10" x14ac:dyDescent="0.25">
      <c r="A62" s="1" t="s">
        <v>1</v>
      </c>
      <c r="D62" s="1" t="s">
        <v>60</v>
      </c>
      <c r="F62" s="1" t="s">
        <v>192</v>
      </c>
      <c r="H62" s="1" t="s">
        <v>787</v>
      </c>
      <c r="I62" s="1" t="s">
        <v>930</v>
      </c>
      <c r="J62" s="1" t="s">
        <v>931</v>
      </c>
    </row>
    <row r="63" spans="1:10" x14ac:dyDescent="0.25">
      <c r="A63" s="1" t="s">
        <v>1</v>
      </c>
      <c r="D63" s="1" t="s">
        <v>158</v>
      </c>
      <c r="F63" s="1" t="s">
        <v>193</v>
      </c>
      <c r="H63" s="1" t="s">
        <v>932</v>
      </c>
      <c r="I63" s="1" t="s">
        <v>933</v>
      </c>
      <c r="J63" s="1" t="s">
        <v>934</v>
      </c>
    </row>
    <row r="64" spans="1:10" x14ac:dyDescent="0.25">
      <c r="A64" s="1" t="s">
        <v>1</v>
      </c>
      <c r="D64" s="1" t="s">
        <v>194</v>
      </c>
      <c r="F64" s="1" t="s">
        <v>195</v>
      </c>
      <c r="H64" s="1" t="s">
        <v>935</v>
      </c>
      <c r="I64" s="1" t="s">
        <v>936</v>
      </c>
      <c r="J64" s="1" t="s">
        <v>937</v>
      </c>
    </row>
    <row r="65" spans="1:10" x14ac:dyDescent="0.25">
      <c r="D65" s="1" t="s">
        <v>58</v>
      </c>
      <c r="F65" s="1" t="s">
        <v>109</v>
      </c>
      <c r="H65" s="1" t="s">
        <v>938</v>
      </c>
      <c r="I65" s="1" t="s">
        <v>939</v>
      </c>
      <c r="J65" s="1" t="s">
        <v>940</v>
      </c>
    </row>
    <row r="67" spans="1:10" x14ac:dyDescent="0.25">
      <c r="C67" s="1" t="s">
        <v>14</v>
      </c>
      <c r="D67" s="1" t="s">
        <v>196</v>
      </c>
      <c r="E67" s="1" t="s">
        <v>745</v>
      </c>
    </row>
    <row r="68" spans="1:10" x14ac:dyDescent="0.25">
      <c r="D68" s="1" t="s">
        <v>61</v>
      </c>
      <c r="F68" s="1" t="s">
        <v>746</v>
      </c>
      <c r="H68" s="1" t="s">
        <v>941</v>
      </c>
      <c r="I68" s="1" t="s">
        <v>942</v>
      </c>
      <c r="J68" s="1" t="s">
        <v>943</v>
      </c>
    </row>
    <row r="69" spans="1:10" x14ac:dyDescent="0.25">
      <c r="A69" s="1" t="s">
        <v>1</v>
      </c>
      <c r="D69" s="1" t="s">
        <v>62</v>
      </c>
      <c r="F69" s="1" t="s">
        <v>197</v>
      </c>
      <c r="H69" s="1" t="s">
        <v>944</v>
      </c>
      <c r="I69" s="1" t="s">
        <v>945</v>
      </c>
      <c r="J69" s="1" t="s">
        <v>946</v>
      </c>
    </row>
    <row r="70" spans="1:10" x14ac:dyDescent="0.25">
      <c r="A70" s="1" t="s">
        <v>1</v>
      </c>
      <c r="D70" s="1" t="s">
        <v>63</v>
      </c>
      <c r="F70" s="1" t="s">
        <v>198</v>
      </c>
      <c r="H70" s="1" t="s">
        <v>947</v>
      </c>
      <c r="I70" s="1" t="s">
        <v>948</v>
      </c>
      <c r="J70" s="1" t="s">
        <v>949</v>
      </c>
    </row>
    <row r="71" spans="1:10" x14ac:dyDescent="0.25">
      <c r="A71" s="1" t="s">
        <v>1</v>
      </c>
      <c r="D71" s="1" t="s">
        <v>64</v>
      </c>
      <c r="F71" s="1" t="s">
        <v>199</v>
      </c>
      <c r="H71" s="1" t="s">
        <v>950</v>
      </c>
      <c r="I71" s="1" t="s">
        <v>951</v>
      </c>
      <c r="J71" s="1" t="s">
        <v>952</v>
      </c>
    </row>
    <row r="72" spans="1:10" x14ac:dyDescent="0.25">
      <c r="A72" s="1" t="s">
        <v>1</v>
      </c>
      <c r="D72" s="1" t="s">
        <v>65</v>
      </c>
      <c r="F72" s="1" t="s">
        <v>200</v>
      </c>
      <c r="H72" s="1" t="s">
        <v>953</v>
      </c>
      <c r="I72" s="1" t="s">
        <v>954</v>
      </c>
      <c r="J72" s="1" t="s">
        <v>955</v>
      </c>
    </row>
    <row r="73" spans="1:10" x14ac:dyDescent="0.25">
      <c r="A73" s="1" t="s">
        <v>1</v>
      </c>
      <c r="D73" s="1" t="s">
        <v>66</v>
      </c>
      <c r="F73" s="1" t="s">
        <v>201</v>
      </c>
      <c r="H73" s="1" t="s">
        <v>956</v>
      </c>
      <c r="I73" s="1" t="s">
        <v>957</v>
      </c>
      <c r="J73" s="1" t="s">
        <v>958</v>
      </c>
    </row>
    <row r="74" spans="1:10" x14ac:dyDescent="0.25">
      <c r="A74" s="1" t="s">
        <v>1</v>
      </c>
      <c r="D74" s="1" t="s">
        <v>67</v>
      </c>
      <c r="F74" s="1" t="s">
        <v>202</v>
      </c>
      <c r="H74" s="1" t="s">
        <v>959</v>
      </c>
      <c r="I74" s="1" t="s">
        <v>960</v>
      </c>
      <c r="J74" s="1" t="s">
        <v>961</v>
      </c>
    </row>
    <row r="75" spans="1:10" x14ac:dyDescent="0.25">
      <c r="A75" s="1" t="s">
        <v>1</v>
      </c>
      <c r="D75" s="1" t="s">
        <v>160</v>
      </c>
      <c r="F75" s="1" t="s">
        <v>203</v>
      </c>
      <c r="H75" s="1" t="s">
        <v>962</v>
      </c>
      <c r="I75" s="1" t="s">
        <v>963</v>
      </c>
      <c r="J75" s="1" t="s">
        <v>964</v>
      </c>
    </row>
    <row r="76" spans="1:10" x14ac:dyDescent="0.25">
      <c r="A76" s="1" t="s">
        <v>1</v>
      </c>
      <c r="D76" s="1" t="s">
        <v>204</v>
      </c>
      <c r="F76" s="1" t="s">
        <v>205</v>
      </c>
      <c r="H76" s="1" t="s">
        <v>965</v>
      </c>
      <c r="I76" s="1" t="s">
        <v>966</v>
      </c>
      <c r="J76" s="1" t="s">
        <v>967</v>
      </c>
    </row>
    <row r="77" spans="1:10" x14ac:dyDescent="0.25">
      <c r="A77" s="1" t="s">
        <v>1</v>
      </c>
      <c r="D77" s="1" t="s">
        <v>206</v>
      </c>
      <c r="F77" s="1" t="s">
        <v>207</v>
      </c>
      <c r="H77" s="1" t="s">
        <v>968</v>
      </c>
      <c r="I77" s="1" t="s">
        <v>969</v>
      </c>
      <c r="J77" s="1" t="s">
        <v>970</v>
      </c>
    </row>
    <row r="78" spans="1:10" x14ac:dyDescent="0.25">
      <c r="A78" s="1" t="s">
        <v>1</v>
      </c>
      <c r="D78" s="1" t="s">
        <v>68</v>
      </c>
      <c r="F78" s="1" t="s">
        <v>208</v>
      </c>
      <c r="H78" s="1" t="s">
        <v>971</v>
      </c>
      <c r="I78" s="1" t="s">
        <v>972</v>
      </c>
      <c r="J78" s="1" t="s">
        <v>973</v>
      </c>
    </row>
    <row r="79" spans="1:10" x14ac:dyDescent="0.25">
      <c r="A79" s="1" t="s">
        <v>1</v>
      </c>
      <c r="D79" s="1" t="s">
        <v>82</v>
      </c>
      <c r="F79" s="1" t="s">
        <v>209</v>
      </c>
      <c r="H79" s="1" t="s">
        <v>974</v>
      </c>
      <c r="I79" s="1" t="s">
        <v>975</v>
      </c>
      <c r="J79" s="1" t="s">
        <v>976</v>
      </c>
    </row>
    <row r="80" spans="1:10" x14ac:dyDescent="0.25">
      <c r="A80" s="1" t="s">
        <v>1</v>
      </c>
      <c r="D80" s="1" t="s">
        <v>210</v>
      </c>
      <c r="F80" s="1" t="s">
        <v>211</v>
      </c>
      <c r="H80" s="1" t="s">
        <v>977</v>
      </c>
      <c r="I80" s="1" t="s">
        <v>978</v>
      </c>
      <c r="J80" s="1" t="s">
        <v>979</v>
      </c>
    </row>
    <row r="81" spans="1:10" x14ac:dyDescent="0.25">
      <c r="A81" s="1" t="s">
        <v>1</v>
      </c>
      <c r="D81" s="1" t="s">
        <v>212</v>
      </c>
      <c r="F81" s="1" t="s">
        <v>213</v>
      </c>
      <c r="H81" s="1" t="s">
        <v>980</v>
      </c>
      <c r="I81" s="1" t="s">
        <v>981</v>
      </c>
      <c r="J81" s="1" t="s">
        <v>982</v>
      </c>
    </row>
    <row r="82" spans="1:10" x14ac:dyDescent="0.25">
      <c r="A82" s="1" t="s">
        <v>1</v>
      </c>
      <c r="D82" s="1" t="s">
        <v>69</v>
      </c>
      <c r="F82" s="1" t="s">
        <v>214</v>
      </c>
      <c r="H82" s="1" t="s">
        <v>983</v>
      </c>
      <c r="I82" s="1" t="s">
        <v>984</v>
      </c>
      <c r="J82" s="1" t="s">
        <v>985</v>
      </c>
    </row>
    <row r="83" spans="1:10" x14ac:dyDescent="0.25">
      <c r="A83" s="1" t="s">
        <v>1</v>
      </c>
      <c r="D83" s="1" t="s">
        <v>83</v>
      </c>
      <c r="F83" s="1" t="s">
        <v>215</v>
      </c>
      <c r="H83" s="1" t="s">
        <v>986</v>
      </c>
      <c r="I83" s="1" t="s">
        <v>987</v>
      </c>
      <c r="J83" s="1" t="s">
        <v>988</v>
      </c>
    </row>
    <row r="84" spans="1:10" x14ac:dyDescent="0.25">
      <c r="A84" s="1" t="s">
        <v>1</v>
      </c>
      <c r="D84" s="1" t="s">
        <v>216</v>
      </c>
      <c r="F84" s="1" t="s">
        <v>217</v>
      </c>
      <c r="H84" s="1" t="s">
        <v>989</v>
      </c>
      <c r="I84" s="1" t="s">
        <v>990</v>
      </c>
      <c r="J84" s="1" t="s">
        <v>991</v>
      </c>
    </row>
    <row r="85" spans="1:10" x14ac:dyDescent="0.25">
      <c r="D85" s="1" t="s">
        <v>62</v>
      </c>
      <c r="F85" s="1" t="s">
        <v>218</v>
      </c>
      <c r="H85" s="1" t="s">
        <v>992</v>
      </c>
      <c r="I85" s="1" t="s">
        <v>993</v>
      </c>
      <c r="J85" s="1" t="s">
        <v>994</v>
      </c>
    </row>
    <row r="87" spans="1:10" x14ac:dyDescent="0.25">
      <c r="C87" s="1" t="s">
        <v>166</v>
      </c>
      <c r="D87" s="1" t="s">
        <v>94</v>
      </c>
      <c r="E87" s="1" t="s">
        <v>747</v>
      </c>
    </row>
    <row r="88" spans="1:10" x14ac:dyDescent="0.25">
      <c r="D88" s="1" t="s">
        <v>70</v>
      </c>
      <c r="F88" s="1" t="s">
        <v>748</v>
      </c>
      <c r="H88" s="1" t="s">
        <v>995</v>
      </c>
      <c r="I88" s="1" t="s">
        <v>996</v>
      </c>
      <c r="J88" s="1" t="s">
        <v>997</v>
      </c>
    </row>
    <row r="89" spans="1:10" x14ac:dyDescent="0.25">
      <c r="D89" s="1" t="s">
        <v>84</v>
      </c>
      <c r="F89" s="1" t="s">
        <v>95</v>
      </c>
      <c r="H89" s="1" t="s">
        <v>998</v>
      </c>
      <c r="I89" s="1" t="s">
        <v>999</v>
      </c>
      <c r="J89" s="1" t="s">
        <v>1000</v>
      </c>
    </row>
    <row r="92" spans="1:10" x14ac:dyDescent="0.25">
      <c r="E92" s="1" t="s">
        <v>2</v>
      </c>
      <c r="H92" s="1" t="s">
        <v>690</v>
      </c>
      <c r="I92" s="1" t="s">
        <v>691</v>
      </c>
      <c r="J92" s="1" t="s">
        <v>692</v>
      </c>
    </row>
    <row r="94" spans="1:10" x14ac:dyDescent="0.25">
      <c r="C94" s="1" t="s">
        <v>15</v>
      </c>
      <c r="D94" s="1" t="s">
        <v>219</v>
      </c>
      <c r="E94" s="1" t="s">
        <v>749</v>
      </c>
    </row>
    <row r="95" spans="1:10" x14ac:dyDescent="0.25">
      <c r="D95" s="1" t="s">
        <v>71</v>
      </c>
      <c r="F95" s="1" t="s">
        <v>750</v>
      </c>
      <c r="H95" s="1" t="s">
        <v>1001</v>
      </c>
      <c r="I95" s="1" t="s">
        <v>1002</v>
      </c>
      <c r="J95" s="1" t="s">
        <v>1003</v>
      </c>
    </row>
    <row r="96" spans="1:10" x14ac:dyDescent="0.25">
      <c r="A96" s="1" t="s">
        <v>1</v>
      </c>
      <c r="D96" s="1" t="s">
        <v>72</v>
      </c>
      <c r="F96" s="1" t="s">
        <v>220</v>
      </c>
      <c r="H96" s="1" t="s">
        <v>1004</v>
      </c>
      <c r="I96" s="1" t="s">
        <v>1005</v>
      </c>
      <c r="J96" s="1" t="s">
        <v>1006</v>
      </c>
    </row>
    <row r="97" spans="1:10" x14ac:dyDescent="0.25">
      <c r="A97" s="1" t="s">
        <v>1</v>
      </c>
      <c r="D97" s="1" t="s">
        <v>73</v>
      </c>
      <c r="F97" s="1" t="s">
        <v>221</v>
      </c>
      <c r="H97" s="1" t="s">
        <v>1007</v>
      </c>
      <c r="I97" s="1" t="s">
        <v>1008</v>
      </c>
      <c r="J97" s="1" t="s">
        <v>1009</v>
      </c>
    </row>
    <row r="98" spans="1:10" x14ac:dyDescent="0.25">
      <c r="A98" s="1" t="s">
        <v>1</v>
      </c>
      <c r="D98" s="1" t="s">
        <v>74</v>
      </c>
      <c r="F98" s="1" t="s">
        <v>222</v>
      </c>
      <c r="H98" s="1" t="s">
        <v>1010</v>
      </c>
      <c r="I98" s="1" t="s">
        <v>1011</v>
      </c>
      <c r="J98" s="1" t="s">
        <v>1012</v>
      </c>
    </row>
    <row r="99" spans="1:10" x14ac:dyDescent="0.25">
      <c r="A99" s="1" t="s">
        <v>1</v>
      </c>
      <c r="D99" s="1" t="s">
        <v>75</v>
      </c>
      <c r="F99" s="1" t="s">
        <v>223</v>
      </c>
      <c r="H99" s="1" t="s">
        <v>1013</v>
      </c>
      <c r="I99" s="1" t="s">
        <v>1014</v>
      </c>
      <c r="J99" s="1" t="s">
        <v>1015</v>
      </c>
    </row>
    <row r="100" spans="1:10" x14ac:dyDescent="0.25">
      <c r="A100" s="1" t="s">
        <v>1</v>
      </c>
      <c r="D100" s="1" t="s">
        <v>85</v>
      </c>
      <c r="F100" s="1" t="s">
        <v>224</v>
      </c>
      <c r="H100" s="1" t="s">
        <v>1016</v>
      </c>
      <c r="I100" s="1" t="s">
        <v>1017</v>
      </c>
      <c r="J100" s="1" t="s">
        <v>1018</v>
      </c>
    </row>
    <row r="101" spans="1:10" x14ac:dyDescent="0.25">
      <c r="A101" s="1" t="s">
        <v>1</v>
      </c>
      <c r="D101" s="1" t="s">
        <v>86</v>
      </c>
      <c r="F101" s="1" t="s">
        <v>225</v>
      </c>
      <c r="H101" s="1" t="s">
        <v>1019</v>
      </c>
      <c r="I101" s="1" t="s">
        <v>1020</v>
      </c>
      <c r="J101" s="1" t="s">
        <v>1021</v>
      </c>
    </row>
    <row r="102" spans="1:10" x14ac:dyDescent="0.25">
      <c r="A102" s="1" t="s">
        <v>1</v>
      </c>
      <c r="D102" s="1" t="s">
        <v>226</v>
      </c>
      <c r="F102" s="1" t="s">
        <v>227</v>
      </c>
      <c r="H102" s="1" t="s">
        <v>1022</v>
      </c>
      <c r="I102" s="1" t="s">
        <v>1023</v>
      </c>
      <c r="J102" s="1" t="s">
        <v>1024</v>
      </c>
    </row>
    <row r="103" spans="1:10" x14ac:dyDescent="0.25">
      <c r="A103" s="1" t="s">
        <v>1</v>
      </c>
      <c r="D103" s="1" t="s">
        <v>228</v>
      </c>
      <c r="F103" s="1" t="s">
        <v>229</v>
      </c>
      <c r="H103" s="1" t="s">
        <v>1025</v>
      </c>
      <c r="I103" s="1" t="s">
        <v>1026</v>
      </c>
      <c r="J103" s="1" t="s">
        <v>1027</v>
      </c>
    </row>
    <row r="104" spans="1:10" x14ac:dyDescent="0.25">
      <c r="A104" s="1" t="s">
        <v>1</v>
      </c>
      <c r="D104" s="1" t="s">
        <v>230</v>
      </c>
      <c r="F104" s="1" t="s">
        <v>231</v>
      </c>
      <c r="H104" s="1" t="s">
        <v>1028</v>
      </c>
      <c r="I104" s="1" t="s">
        <v>1029</v>
      </c>
      <c r="J104" s="1" t="s">
        <v>1030</v>
      </c>
    </row>
    <row r="105" spans="1:10" x14ac:dyDescent="0.25">
      <c r="A105" s="1" t="s">
        <v>1</v>
      </c>
      <c r="D105" s="1" t="s">
        <v>232</v>
      </c>
      <c r="F105" s="1" t="s">
        <v>233</v>
      </c>
      <c r="H105" s="1" t="s">
        <v>1031</v>
      </c>
      <c r="I105" s="1" t="s">
        <v>1032</v>
      </c>
      <c r="J105" s="1" t="s">
        <v>1033</v>
      </c>
    </row>
    <row r="106" spans="1:10" x14ac:dyDescent="0.25">
      <c r="A106" s="1" t="s">
        <v>1</v>
      </c>
      <c r="D106" s="1" t="s">
        <v>234</v>
      </c>
      <c r="F106" s="1" t="s">
        <v>235</v>
      </c>
      <c r="H106" s="1" t="s">
        <v>1034</v>
      </c>
      <c r="I106" s="1" t="s">
        <v>1035</v>
      </c>
      <c r="J106" s="1" t="s">
        <v>1036</v>
      </c>
    </row>
    <row r="107" spans="1:10" x14ac:dyDescent="0.25">
      <c r="A107" s="1" t="s">
        <v>1</v>
      </c>
      <c r="D107" s="1" t="s">
        <v>236</v>
      </c>
      <c r="F107" s="1" t="s">
        <v>237</v>
      </c>
      <c r="H107" s="1" t="s">
        <v>1037</v>
      </c>
      <c r="I107" s="1" t="s">
        <v>1038</v>
      </c>
      <c r="J107" s="1" t="s">
        <v>1039</v>
      </c>
    </row>
    <row r="108" spans="1:10" x14ac:dyDescent="0.25">
      <c r="A108" s="1" t="s">
        <v>1</v>
      </c>
      <c r="D108" s="1" t="s">
        <v>88</v>
      </c>
      <c r="F108" s="1" t="s">
        <v>238</v>
      </c>
      <c r="H108" s="1" t="s">
        <v>1040</v>
      </c>
      <c r="I108" s="1" t="s">
        <v>1041</v>
      </c>
      <c r="J108" s="1" t="s">
        <v>1042</v>
      </c>
    </row>
    <row r="109" spans="1:10" x14ac:dyDescent="0.25">
      <c r="A109" s="1" t="s">
        <v>1</v>
      </c>
      <c r="D109" s="1" t="s">
        <v>87</v>
      </c>
      <c r="F109" s="1" t="s">
        <v>239</v>
      </c>
      <c r="H109" s="1" t="s">
        <v>1043</v>
      </c>
      <c r="I109" s="1" t="s">
        <v>1044</v>
      </c>
      <c r="J109" s="1" t="s">
        <v>1045</v>
      </c>
    </row>
    <row r="110" spans="1:10" x14ac:dyDescent="0.25">
      <c r="A110" s="1" t="s">
        <v>1</v>
      </c>
      <c r="D110" s="1" t="s">
        <v>240</v>
      </c>
      <c r="F110" s="1" t="s">
        <v>241</v>
      </c>
      <c r="H110" s="1" t="s">
        <v>1046</v>
      </c>
      <c r="I110" s="1" t="s">
        <v>1047</v>
      </c>
      <c r="J110" s="1" t="s">
        <v>1048</v>
      </c>
    </row>
    <row r="111" spans="1:10" x14ac:dyDescent="0.25">
      <c r="A111" s="1" t="s">
        <v>1</v>
      </c>
      <c r="D111" s="1" t="s">
        <v>242</v>
      </c>
      <c r="F111" s="1" t="s">
        <v>243</v>
      </c>
      <c r="H111" s="1" t="s">
        <v>1049</v>
      </c>
      <c r="I111" s="1" t="s">
        <v>1050</v>
      </c>
      <c r="J111" s="1" t="s">
        <v>1051</v>
      </c>
    </row>
    <row r="112" spans="1:10" x14ac:dyDescent="0.25">
      <c r="A112" s="1" t="s">
        <v>1</v>
      </c>
      <c r="D112" s="1" t="s">
        <v>244</v>
      </c>
      <c r="F112" s="1" t="s">
        <v>245</v>
      </c>
      <c r="H112" s="1" t="s">
        <v>1052</v>
      </c>
      <c r="I112" s="1" t="s">
        <v>1053</v>
      </c>
      <c r="J112" s="1" t="s">
        <v>1054</v>
      </c>
    </row>
    <row r="113" spans="1:10" x14ac:dyDescent="0.25">
      <c r="A113" s="1" t="s">
        <v>1</v>
      </c>
      <c r="D113" s="1" t="s">
        <v>246</v>
      </c>
      <c r="F113" s="1" t="s">
        <v>247</v>
      </c>
      <c r="H113" s="1" t="s">
        <v>1055</v>
      </c>
      <c r="I113" s="1" t="s">
        <v>1056</v>
      </c>
      <c r="J113" s="1" t="s">
        <v>1057</v>
      </c>
    </row>
    <row r="114" spans="1:10" x14ac:dyDescent="0.25">
      <c r="A114" s="1" t="s">
        <v>1</v>
      </c>
      <c r="D114" s="1" t="s">
        <v>248</v>
      </c>
      <c r="F114" s="1" t="s">
        <v>249</v>
      </c>
      <c r="H114" s="1" t="s">
        <v>1058</v>
      </c>
      <c r="I114" s="1" t="s">
        <v>1059</v>
      </c>
      <c r="J114" s="1" t="s">
        <v>1060</v>
      </c>
    </row>
    <row r="115" spans="1:10" x14ac:dyDescent="0.25">
      <c r="A115" s="1" t="s">
        <v>1</v>
      </c>
      <c r="D115" s="1" t="s">
        <v>250</v>
      </c>
      <c r="F115" s="1" t="s">
        <v>251</v>
      </c>
      <c r="H115" s="1" t="s">
        <v>1061</v>
      </c>
      <c r="I115" s="1" t="s">
        <v>1062</v>
      </c>
      <c r="J115" s="1" t="s">
        <v>1063</v>
      </c>
    </row>
    <row r="116" spans="1:10" x14ac:dyDescent="0.25">
      <c r="A116" s="1" t="s">
        <v>1</v>
      </c>
      <c r="D116" s="1" t="s">
        <v>252</v>
      </c>
      <c r="F116" s="1" t="s">
        <v>253</v>
      </c>
      <c r="H116" s="1" t="s">
        <v>1064</v>
      </c>
      <c r="I116" s="1" t="s">
        <v>1065</v>
      </c>
      <c r="J116" s="1" t="s">
        <v>1066</v>
      </c>
    </row>
    <row r="117" spans="1:10" x14ac:dyDescent="0.25">
      <c r="A117" s="1" t="s">
        <v>1</v>
      </c>
      <c r="D117" s="1" t="s">
        <v>254</v>
      </c>
      <c r="F117" s="1" t="s">
        <v>255</v>
      </c>
      <c r="H117" s="1" t="s">
        <v>1067</v>
      </c>
      <c r="I117" s="1" t="s">
        <v>1068</v>
      </c>
      <c r="J117" s="1" t="s">
        <v>1069</v>
      </c>
    </row>
    <row r="118" spans="1:10" x14ac:dyDescent="0.25">
      <c r="A118" s="1" t="s">
        <v>1</v>
      </c>
      <c r="D118" s="1" t="s">
        <v>256</v>
      </c>
      <c r="F118" s="1" t="s">
        <v>257</v>
      </c>
      <c r="H118" s="1" t="s">
        <v>1070</v>
      </c>
      <c r="I118" s="1" t="s">
        <v>1071</v>
      </c>
      <c r="J118" s="1" t="s">
        <v>1072</v>
      </c>
    </row>
    <row r="119" spans="1:10" x14ac:dyDescent="0.25">
      <c r="A119" s="1" t="s">
        <v>1</v>
      </c>
      <c r="D119" s="1" t="s">
        <v>258</v>
      </c>
      <c r="F119" s="1" t="s">
        <v>259</v>
      </c>
      <c r="H119" s="1" t="s">
        <v>1073</v>
      </c>
      <c r="I119" s="1" t="s">
        <v>1074</v>
      </c>
      <c r="J119" s="1" t="s">
        <v>1075</v>
      </c>
    </row>
    <row r="120" spans="1:10" x14ac:dyDescent="0.25">
      <c r="A120" s="1" t="s">
        <v>1</v>
      </c>
      <c r="D120" s="1" t="s">
        <v>260</v>
      </c>
      <c r="F120" s="1" t="s">
        <v>261</v>
      </c>
      <c r="H120" s="1" t="s">
        <v>1076</v>
      </c>
      <c r="I120" s="1" t="s">
        <v>1077</v>
      </c>
      <c r="J120" s="1" t="s">
        <v>1078</v>
      </c>
    </row>
    <row r="121" spans="1:10" x14ac:dyDescent="0.25">
      <c r="A121" s="1" t="s">
        <v>1</v>
      </c>
      <c r="D121" s="1" t="s">
        <v>262</v>
      </c>
      <c r="F121" s="1" t="s">
        <v>263</v>
      </c>
      <c r="H121" s="1" t="s">
        <v>1079</v>
      </c>
      <c r="I121" s="1" t="s">
        <v>1080</v>
      </c>
      <c r="J121" s="1" t="s">
        <v>1081</v>
      </c>
    </row>
    <row r="122" spans="1:10" x14ac:dyDescent="0.25">
      <c r="A122" s="1" t="s">
        <v>1</v>
      </c>
      <c r="D122" s="1" t="s">
        <v>264</v>
      </c>
      <c r="F122" s="1" t="s">
        <v>265</v>
      </c>
      <c r="H122" s="1" t="s">
        <v>1082</v>
      </c>
      <c r="I122" s="1" t="s">
        <v>1083</v>
      </c>
      <c r="J122" s="1" t="s">
        <v>1084</v>
      </c>
    </row>
    <row r="123" spans="1:10" x14ac:dyDescent="0.25">
      <c r="A123" s="1" t="s">
        <v>1</v>
      </c>
      <c r="D123" s="1" t="s">
        <v>266</v>
      </c>
      <c r="F123" s="1" t="s">
        <v>267</v>
      </c>
      <c r="H123" s="1" t="s">
        <v>1085</v>
      </c>
      <c r="I123" s="1" t="s">
        <v>1086</v>
      </c>
      <c r="J123" s="1" t="s">
        <v>1087</v>
      </c>
    </row>
    <row r="124" spans="1:10" x14ac:dyDescent="0.25">
      <c r="A124" s="1" t="s">
        <v>1</v>
      </c>
      <c r="D124" s="1" t="s">
        <v>268</v>
      </c>
      <c r="F124" s="1" t="s">
        <v>269</v>
      </c>
      <c r="H124" s="1" t="s">
        <v>1088</v>
      </c>
      <c r="I124" s="1" t="s">
        <v>1089</v>
      </c>
      <c r="J124" s="1" t="s">
        <v>1090</v>
      </c>
    </row>
    <row r="125" spans="1:10" x14ac:dyDescent="0.25">
      <c r="A125" s="1" t="s">
        <v>1</v>
      </c>
      <c r="D125" s="1" t="s">
        <v>270</v>
      </c>
      <c r="F125" s="1" t="s">
        <v>271</v>
      </c>
      <c r="H125" s="1" t="s">
        <v>1091</v>
      </c>
      <c r="I125" s="1" t="s">
        <v>1092</v>
      </c>
      <c r="J125" s="1" t="s">
        <v>1093</v>
      </c>
    </row>
    <row r="126" spans="1:10" x14ac:dyDescent="0.25">
      <c r="A126" s="1" t="s">
        <v>1</v>
      </c>
      <c r="D126" s="1" t="s">
        <v>272</v>
      </c>
      <c r="F126" s="1" t="s">
        <v>273</v>
      </c>
      <c r="H126" s="1" t="s">
        <v>1094</v>
      </c>
      <c r="I126" s="1" t="s">
        <v>1095</v>
      </c>
      <c r="J126" s="1" t="s">
        <v>1096</v>
      </c>
    </row>
    <row r="127" spans="1:10" x14ac:dyDescent="0.25">
      <c r="A127" s="1" t="s">
        <v>1</v>
      </c>
      <c r="D127" s="1" t="s">
        <v>274</v>
      </c>
      <c r="F127" s="1" t="s">
        <v>275</v>
      </c>
      <c r="H127" s="1" t="s">
        <v>1097</v>
      </c>
      <c r="I127" s="1" t="s">
        <v>1098</v>
      </c>
      <c r="J127" s="1" t="s">
        <v>1099</v>
      </c>
    </row>
    <row r="128" spans="1:10" x14ac:dyDescent="0.25">
      <c r="A128" s="1" t="s">
        <v>1</v>
      </c>
      <c r="D128" s="1" t="s">
        <v>276</v>
      </c>
      <c r="F128" s="1" t="s">
        <v>277</v>
      </c>
      <c r="H128" s="1" t="s">
        <v>1100</v>
      </c>
      <c r="I128" s="1" t="s">
        <v>1101</v>
      </c>
      <c r="J128" s="1" t="s">
        <v>1102</v>
      </c>
    </row>
    <row r="129" spans="1:10" x14ac:dyDescent="0.25">
      <c r="A129" s="1" t="s">
        <v>1</v>
      </c>
      <c r="D129" s="1" t="s">
        <v>278</v>
      </c>
      <c r="F129" s="1" t="s">
        <v>279</v>
      </c>
      <c r="H129" s="1" t="s">
        <v>1103</v>
      </c>
      <c r="I129" s="1" t="s">
        <v>1104</v>
      </c>
      <c r="J129" s="1" t="s">
        <v>1105</v>
      </c>
    </row>
    <row r="130" spans="1:10" x14ac:dyDescent="0.25">
      <c r="A130" s="1" t="s">
        <v>1</v>
      </c>
      <c r="D130" s="1" t="s">
        <v>280</v>
      </c>
      <c r="F130" s="1" t="s">
        <v>281</v>
      </c>
      <c r="H130" s="1" t="s">
        <v>1106</v>
      </c>
      <c r="I130" s="1" t="s">
        <v>1107</v>
      </c>
      <c r="J130" s="1" t="s">
        <v>1108</v>
      </c>
    </row>
    <row r="131" spans="1:10" x14ac:dyDescent="0.25">
      <c r="A131" s="1" t="s">
        <v>1</v>
      </c>
      <c r="D131" s="1" t="s">
        <v>282</v>
      </c>
      <c r="F131" s="1" t="s">
        <v>283</v>
      </c>
      <c r="H131" s="1" t="s">
        <v>1109</v>
      </c>
      <c r="I131" s="1" t="s">
        <v>1110</v>
      </c>
      <c r="J131" s="1" t="s">
        <v>1111</v>
      </c>
    </row>
    <row r="132" spans="1:10" x14ac:dyDescent="0.25">
      <c r="A132" s="1" t="s">
        <v>1</v>
      </c>
      <c r="D132" s="1" t="s">
        <v>284</v>
      </c>
      <c r="F132" s="1" t="s">
        <v>285</v>
      </c>
      <c r="H132" s="1" t="s">
        <v>1112</v>
      </c>
      <c r="I132" s="1" t="s">
        <v>1113</v>
      </c>
      <c r="J132" s="1" t="s">
        <v>1114</v>
      </c>
    </row>
    <row r="133" spans="1:10" x14ac:dyDescent="0.25">
      <c r="A133" s="1" t="s">
        <v>1</v>
      </c>
      <c r="D133" s="1" t="s">
        <v>286</v>
      </c>
      <c r="F133" s="1" t="s">
        <v>287</v>
      </c>
      <c r="H133" s="1" t="s">
        <v>1115</v>
      </c>
      <c r="I133" s="1" t="s">
        <v>1116</v>
      </c>
      <c r="J133" s="1" t="s">
        <v>1117</v>
      </c>
    </row>
    <row r="134" spans="1:10" x14ac:dyDescent="0.25">
      <c r="A134" s="1" t="s">
        <v>1</v>
      </c>
      <c r="D134" s="1" t="s">
        <v>288</v>
      </c>
      <c r="F134" s="1" t="s">
        <v>289</v>
      </c>
      <c r="H134" s="1" t="s">
        <v>1118</v>
      </c>
      <c r="I134" s="1" t="s">
        <v>1119</v>
      </c>
      <c r="J134" s="1" t="s">
        <v>1120</v>
      </c>
    </row>
    <row r="135" spans="1:10" x14ac:dyDescent="0.25">
      <c r="A135" s="1" t="s">
        <v>1</v>
      </c>
      <c r="D135" s="1" t="s">
        <v>290</v>
      </c>
      <c r="F135" s="1" t="s">
        <v>291</v>
      </c>
      <c r="H135" s="1" t="s">
        <v>1121</v>
      </c>
      <c r="I135" s="1" t="s">
        <v>1122</v>
      </c>
      <c r="J135" s="1" t="s">
        <v>1123</v>
      </c>
    </row>
    <row r="136" spans="1:10" x14ac:dyDescent="0.25">
      <c r="A136" s="1" t="s">
        <v>1</v>
      </c>
      <c r="D136" s="1" t="s">
        <v>292</v>
      </c>
      <c r="F136" s="1" t="s">
        <v>293</v>
      </c>
      <c r="H136" s="1" t="s">
        <v>1124</v>
      </c>
      <c r="I136" s="1" t="s">
        <v>1125</v>
      </c>
      <c r="J136" s="1" t="s">
        <v>1126</v>
      </c>
    </row>
    <row r="137" spans="1:10" x14ac:dyDescent="0.25">
      <c r="A137" s="1" t="s">
        <v>1</v>
      </c>
      <c r="D137" s="1" t="s">
        <v>294</v>
      </c>
      <c r="F137" s="1" t="s">
        <v>295</v>
      </c>
      <c r="H137" s="1" t="s">
        <v>1127</v>
      </c>
      <c r="I137" s="1" t="s">
        <v>1128</v>
      </c>
      <c r="J137" s="1" t="s">
        <v>1129</v>
      </c>
    </row>
    <row r="138" spans="1:10" x14ac:dyDescent="0.25">
      <c r="A138" s="1" t="s">
        <v>1</v>
      </c>
      <c r="D138" s="1" t="s">
        <v>296</v>
      </c>
      <c r="F138" s="1" t="s">
        <v>297</v>
      </c>
      <c r="H138" s="1" t="s">
        <v>1130</v>
      </c>
      <c r="I138" s="1" t="s">
        <v>1131</v>
      </c>
      <c r="J138" s="1" t="s">
        <v>1132</v>
      </c>
    </row>
    <row r="139" spans="1:10" x14ac:dyDescent="0.25">
      <c r="A139" s="1" t="s">
        <v>1</v>
      </c>
      <c r="D139" s="1" t="s">
        <v>298</v>
      </c>
      <c r="F139" s="1" t="s">
        <v>299</v>
      </c>
      <c r="H139" s="1" t="s">
        <v>1133</v>
      </c>
      <c r="I139" s="1" t="s">
        <v>1134</v>
      </c>
      <c r="J139" s="1" t="s">
        <v>1135</v>
      </c>
    </row>
    <row r="140" spans="1:10" x14ac:dyDescent="0.25">
      <c r="A140" s="1" t="s">
        <v>1</v>
      </c>
      <c r="D140" s="1" t="s">
        <v>300</v>
      </c>
      <c r="F140" s="1" t="s">
        <v>301</v>
      </c>
      <c r="H140" s="1" t="s">
        <v>1136</v>
      </c>
      <c r="I140" s="1" t="s">
        <v>1137</v>
      </c>
      <c r="J140" s="1" t="s">
        <v>1138</v>
      </c>
    </row>
    <row r="141" spans="1:10" x14ac:dyDescent="0.25">
      <c r="A141" s="1" t="s">
        <v>1</v>
      </c>
      <c r="D141" s="1" t="s">
        <v>302</v>
      </c>
      <c r="F141" s="1" t="s">
        <v>303</v>
      </c>
      <c r="H141" s="1" t="s">
        <v>1139</v>
      </c>
      <c r="I141" s="1" t="s">
        <v>1140</v>
      </c>
      <c r="J141" s="1" t="s">
        <v>1141</v>
      </c>
    </row>
    <row r="142" spans="1:10" x14ac:dyDescent="0.25">
      <c r="A142" s="1" t="s">
        <v>1</v>
      </c>
      <c r="D142" s="1" t="s">
        <v>304</v>
      </c>
      <c r="F142" s="1" t="s">
        <v>305</v>
      </c>
      <c r="H142" s="1" t="s">
        <v>1142</v>
      </c>
      <c r="I142" s="1" t="s">
        <v>1143</v>
      </c>
      <c r="J142" s="1" t="s">
        <v>1144</v>
      </c>
    </row>
    <row r="143" spans="1:10" x14ac:dyDescent="0.25">
      <c r="A143" s="1" t="s">
        <v>1</v>
      </c>
      <c r="D143" s="1" t="s">
        <v>306</v>
      </c>
      <c r="F143" s="1" t="s">
        <v>307</v>
      </c>
      <c r="H143" s="1" t="s">
        <v>1145</v>
      </c>
      <c r="I143" s="1" t="s">
        <v>1146</v>
      </c>
      <c r="J143" s="1" t="s">
        <v>1147</v>
      </c>
    </row>
    <row r="144" spans="1:10" x14ac:dyDescent="0.25">
      <c r="A144" s="1" t="s">
        <v>1</v>
      </c>
      <c r="D144" s="1" t="s">
        <v>308</v>
      </c>
      <c r="F144" s="1" t="s">
        <v>309</v>
      </c>
      <c r="H144" s="1" t="s">
        <v>1148</v>
      </c>
      <c r="I144" s="1" t="s">
        <v>1149</v>
      </c>
      <c r="J144" s="1" t="s">
        <v>1150</v>
      </c>
    </row>
    <row r="145" spans="1:10" x14ac:dyDescent="0.25">
      <c r="A145" s="1" t="s">
        <v>1</v>
      </c>
      <c r="D145" s="1" t="s">
        <v>310</v>
      </c>
      <c r="F145" s="1" t="s">
        <v>311</v>
      </c>
      <c r="H145" s="1" t="s">
        <v>1151</v>
      </c>
      <c r="I145" s="1" t="s">
        <v>1152</v>
      </c>
      <c r="J145" s="1" t="s">
        <v>1153</v>
      </c>
    </row>
    <row r="146" spans="1:10" x14ac:dyDescent="0.25">
      <c r="A146" s="1" t="s">
        <v>1</v>
      </c>
      <c r="D146" s="1" t="s">
        <v>312</v>
      </c>
      <c r="F146" s="1" t="s">
        <v>313</v>
      </c>
      <c r="H146" s="1" t="s">
        <v>1154</v>
      </c>
      <c r="I146" s="1" t="s">
        <v>1155</v>
      </c>
      <c r="J146" s="1" t="s">
        <v>1156</v>
      </c>
    </row>
    <row r="147" spans="1:10" x14ac:dyDescent="0.25">
      <c r="A147" s="1" t="s">
        <v>1</v>
      </c>
      <c r="D147" s="1" t="s">
        <v>314</v>
      </c>
      <c r="F147" s="1" t="s">
        <v>315</v>
      </c>
      <c r="H147" s="1" t="s">
        <v>1157</v>
      </c>
      <c r="I147" s="1" t="s">
        <v>1158</v>
      </c>
      <c r="J147" s="1" t="s">
        <v>1159</v>
      </c>
    </row>
    <row r="148" spans="1:10" x14ac:dyDescent="0.25">
      <c r="A148" s="1" t="s">
        <v>1</v>
      </c>
      <c r="D148" s="1" t="s">
        <v>316</v>
      </c>
      <c r="F148" s="1" t="s">
        <v>317</v>
      </c>
      <c r="H148" s="1" t="s">
        <v>1160</v>
      </c>
      <c r="I148" s="1" t="s">
        <v>1161</v>
      </c>
      <c r="J148" s="1" t="s">
        <v>1162</v>
      </c>
    </row>
    <row r="149" spans="1:10" x14ac:dyDescent="0.25">
      <c r="A149" s="1" t="s">
        <v>1</v>
      </c>
      <c r="D149" s="1" t="s">
        <v>318</v>
      </c>
      <c r="F149" s="1" t="s">
        <v>319</v>
      </c>
      <c r="H149" s="1" t="s">
        <v>1163</v>
      </c>
      <c r="I149" s="1" t="s">
        <v>1164</v>
      </c>
      <c r="J149" s="1" t="s">
        <v>1165</v>
      </c>
    </row>
    <row r="150" spans="1:10" x14ac:dyDescent="0.25">
      <c r="A150" s="1" t="s">
        <v>1</v>
      </c>
      <c r="D150" s="1" t="s">
        <v>320</v>
      </c>
      <c r="F150" s="1" t="s">
        <v>321</v>
      </c>
      <c r="H150" s="1" t="s">
        <v>1166</v>
      </c>
      <c r="I150" s="1" t="s">
        <v>1167</v>
      </c>
      <c r="J150" s="1" t="s">
        <v>1168</v>
      </c>
    </row>
    <row r="151" spans="1:10" x14ac:dyDescent="0.25">
      <c r="A151" s="1" t="s">
        <v>1</v>
      </c>
      <c r="D151" s="1" t="s">
        <v>322</v>
      </c>
      <c r="F151" s="1" t="s">
        <v>323</v>
      </c>
      <c r="H151" s="1" t="s">
        <v>1169</v>
      </c>
      <c r="I151" s="1" t="s">
        <v>1170</v>
      </c>
      <c r="J151" s="1" t="s">
        <v>1171</v>
      </c>
    </row>
    <row r="152" spans="1:10" x14ac:dyDescent="0.25">
      <c r="A152" s="1" t="s">
        <v>1</v>
      </c>
      <c r="D152" s="1" t="s">
        <v>324</v>
      </c>
      <c r="F152" s="1" t="s">
        <v>325</v>
      </c>
      <c r="H152" s="1" t="s">
        <v>1172</v>
      </c>
      <c r="I152" s="1" t="s">
        <v>1173</v>
      </c>
      <c r="J152" s="1" t="s">
        <v>1174</v>
      </c>
    </row>
    <row r="153" spans="1:10" x14ac:dyDescent="0.25">
      <c r="A153" s="1" t="s">
        <v>1</v>
      </c>
      <c r="D153" s="1" t="s">
        <v>326</v>
      </c>
      <c r="F153" s="1" t="s">
        <v>327</v>
      </c>
      <c r="H153" s="1" t="s">
        <v>1175</v>
      </c>
      <c r="I153" s="1" t="s">
        <v>1176</v>
      </c>
      <c r="J153" s="1" t="s">
        <v>1177</v>
      </c>
    </row>
    <row r="154" spans="1:10" x14ac:dyDescent="0.25">
      <c r="A154" s="1" t="s">
        <v>1</v>
      </c>
      <c r="D154" s="1" t="s">
        <v>328</v>
      </c>
      <c r="F154" s="1" t="s">
        <v>329</v>
      </c>
      <c r="H154" s="1" t="s">
        <v>1178</v>
      </c>
      <c r="I154" s="1" t="s">
        <v>1179</v>
      </c>
      <c r="J154" s="1" t="s">
        <v>1180</v>
      </c>
    </row>
    <row r="155" spans="1:10" x14ac:dyDescent="0.25">
      <c r="A155" s="1" t="s">
        <v>1</v>
      </c>
      <c r="D155" s="1" t="s">
        <v>330</v>
      </c>
      <c r="F155" s="1" t="s">
        <v>331</v>
      </c>
      <c r="H155" s="1" t="s">
        <v>1181</v>
      </c>
      <c r="I155" s="1" t="s">
        <v>1182</v>
      </c>
      <c r="J155" s="1" t="s">
        <v>1183</v>
      </c>
    </row>
    <row r="156" spans="1:10" x14ac:dyDescent="0.25">
      <c r="A156" s="1" t="s">
        <v>1</v>
      </c>
      <c r="D156" s="1" t="s">
        <v>332</v>
      </c>
      <c r="F156" s="1" t="s">
        <v>333</v>
      </c>
      <c r="H156" s="1" t="s">
        <v>1184</v>
      </c>
      <c r="I156" s="1" t="s">
        <v>1185</v>
      </c>
      <c r="J156" s="1" t="s">
        <v>1186</v>
      </c>
    </row>
    <row r="157" spans="1:10" x14ac:dyDescent="0.25">
      <c r="A157" s="1" t="s">
        <v>1</v>
      </c>
      <c r="D157" s="1" t="s">
        <v>334</v>
      </c>
      <c r="F157" s="1" t="s">
        <v>335</v>
      </c>
      <c r="H157" s="1" t="s">
        <v>1187</v>
      </c>
      <c r="I157" s="1" t="s">
        <v>1188</v>
      </c>
      <c r="J157" s="1" t="s">
        <v>1189</v>
      </c>
    </row>
    <row r="158" spans="1:10" x14ac:dyDescent="0.25">
      <c r="A158" s="1" t="s">
        <v>1</v>
      </c>
      <c r="D158" s="1" t="s">
        <v>336</v>
      </c>
      <c r="F158" s="1" t="s">
        <v>337</v>
      </c>
      <c r="H158" s="1" t="s">
        <v>1190</v>
      </c>
      <c r="I158" s="1" t="s">
        <v>1191</v>
      </c>
      <c r="J158" s="1" t="s">
        <v>1192</v>
      </c>
    </row>
    <row r="159" spans="1:10" x14ac:dyDescent="0.25">
      <c r="A159" s="1" t="s">
        <v>1</v>
      </c>
      <c r="D159" s="1" t="s">
        <v>338</v>
      </c>
      <c r="F159" s="1" t="s">
        <v>339</v>
      </c>
      <c r="H159" s="1" t="s">
        <v>1193</v>
      </c>
      <c r="I159" s="1" t="s">
        <v>1194</v>
      </c>
      <c r="J159" s="1" t="s">
        <v>1195</v>
      </c>
    </row>
    <row r="160" spans="1:10" x14ac:dyDescent="0.25">
      <c r="A160" s="1" t="s">
        <v>1</v>
      </c>
      <c r="D160" s="1" t="s">
        <v>340</v>
      </c>
      <c r="F160" s="1" t="s">
        <v>341</v>
      </c>
      <c r="H160" s="1" t="s">
        <v>1196</v>
      </c>
      <c r="I160" s="1" t="s">
        <v>1197</v>
      </c>
      <c r="J160" s="1" t="s">
        <v>1198</v>
      </c>
    </row>
    <row r="161" spans="1:10" x14ac:dyDescent="0.25">
      <c r="A161" s="1" t="s">
        <v>1</v>
      </c>
      <c r="D161" s="1" t="s">
        <v>342</v>
      </c>
      <c r="F161" s="1" t="s">
        <v>343</v>
      </c>
      <c r="H161" s="1" t="s">
        <v>1199</v>
      </c>
      <c r="I161" s="1" t="s">
        <v>1200</v>
      </c>
      <c r="J161" s="1" t="s">
        <v>1201</v>
      </c>
    </row>
    <row r="162" spans="1:10" x14ac:dyDescent="0.25">
      <c r="A162" s="1" t="s">
        <v>1</v>
      </c>
      <c r="D162" s="1" t="s">
        <v>344</v>
      </c>
      <c r="F162" s="1" t="s">
        <v>345</v>
      </c>
      <c r="H162" s="1" t="s">
        <v>1202</v>
      </c>
      <c r="I162" s="1" t="s">
        <v>1203</v>
      </c>
      <c r="J162" s="1" t="s">
        <v>1204</v>
      </c>
    </row>
    <row r="163" spans="1:10" x14ac:dyDescent="0.25">
      <c r="A163" s="1" t="s">
        <v>1</v>
      </c>
      <c r="D163" s="1" t="s">
        <v>346</v>
      </c>
      <c r="F163" s="1" t="s">
        <v>347</v>
      </c>
      <c r="H163" s="1" t="s">
        <v>1205</v>
      </c>
      <c r="I163" s="1" t="s">
        <v>1206</v>
      </c>
      <c r="J163" s="1" t="s">
        <v>1207</v>
      </c>
    </row>
    <row r="164" spans="1:10" x14ac:dyDescent="0.25">
      <c r="A164" s="1" t="s">
        <v>1</v>
      </c>
      <c r="D164" s="1" t="s">
        <v>348</v>
      </c>
      <c r="F164" s="1" t="s">
        <v>349</v>
      </c>
      <c r="H164" s="1" t="s">
        <v>1208</v>
      </c>
      <c r="I164" s="1" t="s">
        <v>1209</v>
      </c>
      <c r="J164" s="1" t="s">
        <v>1210</v>
      </c>
    </row>
    <row r="165" spans="1:10" x14ac:dyDescent="0.25">
      <c r="A165" s="1" t="s">
        <v>1</v>
      </c>
      <c r="D165" s="1" t="s">
        <v>350</v>
      </c>
      <c r="F165" s="1" t="s">
        <v>351</v>
      </c>
      <c r="H165" s="1" t="s">
        <v>1211</v>
      </c>
      <c r="I165" s="1" t="s">
        <v>1212</v>
      </c>
      <c r="J165" s="1" t="s">
        <v>1213</v>
      </c>
    </row>
    <row r="166" spans="1:10" x14ac:dyDescent="0.25">
      <c r="A166" s="1" t="s">
        <v>1</v>
      </c>
      <c r="D166" s="1" t="s">
        <v>352</v>
      </c>
      <c r="F166" s="1" t="s">
        <v>353</v>
      </c>
      <c r="H166" s="1" t="s">
        <v>1214</v>
      </c>
      <c r="I166" s="1" t="s">
        <v>1215</v>
      </c>
      <c r="J166" s="1" t="s">
        <v>1216</v>
      </c>
    </row>
    <row r="167" spans="1:10" x14ac:dyDescent="0.25">
      <c r="A167" s="1" t="s">
        <v>1</v>
      </c>
      <c r="D167" s="1" t="s">
        <v>354</v>
      </c>
      <c r="F167" s="1" t="s">
        <v>355</v>
      </c>
      <c r="H167" s="1" t="s">
        <v>1217</v>
      </c>
      <c r="I167" s="1" t="s">
        <v>1218</v>
      </c>
      <c r="J167" s="1" t="s">
        <v>1219</v>
      </c>
    </row>
    <row r="168" spans="1:10" x14ac:dyDescent="0.25">
      <c r="A168" s="1" t="s">
        <v>1</v>
      </c>
      <c r="D168" s="1" t="s">
        <v>356</v>
      </c>
      <c r="F168" s="1" t="s">
        <v>357</v>
      </c>
      <c r="H168" s="1" t="s">
        <v>1220</v>
      </c>
      <c r="I168" s="1" t="s">
        <v>1221</v>
      </c>
      <c r="J168" s="1" t="s">
        <v>1222</v>
      </c>
    </row>
    <row r="169" spans="1:10" x14ac:dyDescent="0.25">
      <c r="A169" s="1" t="s">
        <v>1</v>
      </c>
      <c r="D169" s="1" t="s">
        <v>358</v>
      </c>
      <c r="F169" s="1" t="s">
        <v>359</v>
      </c>
      <c r="H169" s="1" t="s">
        <v>1223</v>
      </c>
      <c r="I169" s="1" t="s">
        <v>1224</v>
      </c>
      <c r="J169" s="1" t="s">
        <v>1225</v>
      </c>
    </row>
    <row r="170" spans="1:10" x14ac:dyDescent="0.25">
      <c r="A170" s="1" t="s">
        <v>1</v>
      </c>
      <c r="D170" s="1" t="s">
        <v>360</v>
      </c>
      <c r="F170" s="1" t="s">
        <v>361</v>
      </c>
      <c r="H170" s="1" t="s">
        <v>1226</v>
      </c>
      <c r="I170" s="1" t="s">
        <v>1227</v>
      </c>
      <c r="J170" s="1" t="s">
        <v>1228</v>
      </c>
    </row>
    <row r="171" spans="1:10" x14ac:dyDescent="0.25">
      <c r="A171" s="1" t="s">
        <v>1</v>
      </c>
      <c r="D171" s="1" t="s">
        <v>362</v>
      </c>
      <c r="F171" s="1" t="s">
        <v>363</v>
      </c>
      <c r="H171" s="1" t="s">
        <v>1229</v>
      </c>
      <c r="I171" s="1" t="s">
        <v>1230</v>
      </c>
      <c r="J171" s="1" t="s">
        <v>1231</v>
      </c>
    </row>
    <row r="172" spans="1:10" x14ac:dyDescent="0.25">
      <c r="A172" s="1" t="s">
        <v>1</v>
      </c>
      <c r="D172" s="1" t="s">
        <v>364</v>
      </c>
      <c r="F172" s="1" t="s">
        <v>365</v>
      </c>
      <c r="H172" s="1" t="s">
        <v>1232</v>
      </c>
      <c r="I172" s="1" t="s">
        <v>1233</v>
      </c>
      <c r="J172" s="1" t="s">
        <v>1234</v>
      </c>
    </row>
    <row r="173" spans="1:10" x14ac:dyDescent="0.25">
      <c r="A173" s="1" t="s">
        <v>1</v>
      </c>
      <c r="D173" s="1" t="s">
        <v>366</v>
      </c>
      <c r="F173" s="1" t="s">
        <v>367</v>
      </c>
      <c r="H173" s="1" t="s">
        <v>1235</v>
      </c>
      <c r="I173" s="1" t="s">
        <v>1236</v>
      </c>
      <c r="J173" s="1" t="s">
        <v>1237</v>
      </c>
    </row>
    <row r="174" spans="1:10" x14ac:dyDescent="0.25">
      <c r="A174" s="1" t="s">
        <v>1</v>
      </c>
      <c r="D174" s="1" t="s">
        <v>368</v>
      </c>
      <c r="F174" s="1" t="s">
        <v>369</v>
      </c>
      <c r="H174" s="1" t="s">
        <v>1238</v>
      </c>
      <c r="I174" s="1" t="s">
        <v>1239</v>
      </c>
      <c r="J174" s="1" t="s">
        <v>1240</v>
      </c>
    </row>
    <row r="175" spans="1:10" x14ac:dyDescent="0.25">
      <c r="A175" s="1" t="s">
        <v>1</v>
      </c>
      <c r="D175" s="1" t="s">
        <v>370</v>
      </c>
      <c r="F175" s="1" t="s">
        <v>371</v>
      </c>
      <c r="H175" s="1" t="s">
        <v>1241</v>
      </c>
      <c r="I175" s="1" t="s">
        <v>1242</v>
      </c>
      <c r="J175" s="1" t="s">
        <v>1243</v>
      </c>
    </row>
    <row r="176" spans="1:10" x14ac:dyDescent="0.25">
      <c r="A176" s="1" t="s">
        <v>1</v>
      </c>
      <c r="D176" s="1" t="s">
        <v>372</v>
      </c>
      <c r="F176" s="1" t="s">
        <v>373</v>
      </c>
      <c r="H176" s="1" t="s">
        <v>1244</v>
      </c>
      <c r="I176" s="1" t="s">
        <v>1245</v>
      </c>
      <c r="J176" s="1" t="s">
        <v>1246</v>
      </c>
    </row>
    <row r="177" spans="1:10" x14ac:dyDescent="0.25">
      <c r="A177" s="1" t="s">
        <v>1</v>
      </c>
      <c r="D177" s="1" t="s">
        <v>374</v>
      </c>
      <c r="F177" s="1" t="s">
        <v>375</v>
      </c>
      <c r="H177" s="1" t="s">
        <v>1247</v>
      </c>
      <c r="I177" s="1" t="s">
        <v>1248</v>
      </c>
      <c r="J177" s="1" t="s">
        <v>1249</v>
      </c>
    </row>
    <row r="178" spans="1:10" x14ac:dyDescent="0.25">
      <c r="A178" s="1" t="s">
        <v>1</v>
      </c>
      <c r="D178" s="1" t="s">
        <v>376</v>
      </c>
      <c r="F178" s="1" t="s">
        <v>377</v>
      </c>
      <c r="H178" s="1" t="s">
        <v>1250</v>
      </c>
      <c r="I178" s="1" t="s">
        <v>1251</v>
      </c>
      <c r="J178" s="1" t="s">
        <v>1252</v>
      </c>
    </row>
    <row r="179" spans="1:10" x14ac:dyDescent="0.25">
      <c r="A179" s="1" t="s">
        <v>1</v>
      </c>
      <c r="D179" s="1" t="s">
        <v>378</v>
      </c>
      <c r="F179" s="1" t="s">
        <v>379</v>
      </c>
      <c r="H179" s="1" t="s">
        <v>1253</v>
      </c>
      <c r="I179" s="1" t="s">
        <v>1254</v>
      </c>
      <c r="J179" s="1" t="s">
        <v>1255</v>
      </c>
    </row>
    <row r="180" spans="1:10" x14ac:dyDescent="0.25">
      <c r="A180" s="1" t="s">
        <v>1</v>
      </c>
      <c r="D180" s="1" t="s">
        <v>380</v>
      </c>
      <c r="F180" s="1" t="s">
        <v>381</v>
      </c>
      <c r="H180" s="1" t="s">
        <v>1256</v>
      </c>
      <c r="I180" s="1" t="s">
        <v>1257</v>
      </c>
      <c r="J180" s="1" t="s">
        <v>1258</v>
      </c>
    </row>
    <row r="181" spans="1:10" x14ac:dyDescent="0.25">
      <c r="A181" s="1" t="s">
        <v>1</v>
      </c>
      <c r="D181" s="1" t="s">
        <v>382</v>
      </c>
      <c r="F181" s="1" t="s">
        <v>383</v>
      </c>
      <c r="H181" s="1" t="s">
        <v>1259</v>
      </c>
      <c r="I181" s="1" t="s">
        <v>1260</v>
      </c>
      <c r="J181" s="1" t="s">
        <v>1261</v>
      </c>
    </row>
    <row r="182" spans="1:10" x14ac:dyDescent="0.25">
      <c r="A182" s="1" t="s">
        <v>1</v>
      </c>
      <c r="D182" s="1" t="s">
        <v>384</v>
      </c>
      <c r="F182" s="1" t="s">
        <v>385</v>
      </c>
      <c r="H182" s="1" t="s">
        <v>1262</v>
      </c>
      <c r="I182" s="1" t="s">
        <v>1263</v>
      </c>
      <c r="J182" s="1" t="s">
        <v>1264</v>
      </c>
    </row>
    <row r="183" spans="1:10" x14ac:dyDescent="0.25">
      <c r="A183" s="1" t="s">
        <v>1</v>
      </c>
      <c r="D183" s="1" t="s">
        <v>386</v>
      </c>
      <c r="F183" s="1" t="s">
        <v>387</v>
      </c>
      <c r="H183" s="1" t="s">
        <v>1265</v>
      </c>
      <c r="I183" s="1" t="s">
        <v>1266</v>
      </c>
      <c r="J183" s="1" t="s">
        <v>1267</v>
      </c>
    </row>
    <row r="184" spans="1:10" x14ac:dyDescent="0.25">
      <c r="A184" s="1" t="s">
        <v>1</v>
      </c>
      <c r="D184" s="1" t="s">
        <v>388</v>
      </c>
      <c r="F184" s="1" t="s">
        <v>389</v>
      </c>
      <c r="H184" s="1" t="s">
        <v>1268</v>
      </c>
      <c r="I184" s="1" t="s">
        <v>1269</v>
      </c>
      <c r="J184" s="1" t="s">
        <v>1270</v>
      </c>
    </row>
    <row r="185" spans="1:10" x14ac:dyDescent="0.25">
      <c r="A185" s="1" t="s">
        <v>1</v>
      </c>
      <c r="D185" s="1" t="s">
        <v>390</v>
      </c>
      <c r="F185" s="1" t="s">
        <v>391</v>
      </c>
      <c r="H185" s="1" t="s">
        <v>1271</v>
      </c>
      <c r="I185" s="1" t="s">
        <v>1272</v>
      </c>
      <c r="J185" s="1" t="s">
        <v>1273</v>
      </c>
    </row>
    <row r="186" spans="1:10" x14ac:dyDescent="0.25">
      <c r="A186" s="1" t="s">
        <v>1</v>
      </c>
      <c r="D186" s="1" t="s">
        <v>392</v>
      </c>
      <c r="F186" s="1" t="s">
        <v>393</v>
      </c>
      <c r="H186" s="1" t="s">
        <v>1274</v>
      </c>
      <c r="I186" s="1" t="s">
        <v>1275</v>
      </c>
      <c r="J186" s="1" t="s">
        <v>1276</v>
      </c>
    </row>
    <row r="187" spans="1:10" x14ac:dyDescent="0.25">
      <c r="A187" s="1" t="s">
        <v>1</v>
      </c>
      <c r="D187" s="1" t="s">
        <v>394</v>
      </c>
      <c r="F187" s="1" t="s">
        <v>395</v>
      </c>
      <c r="H187" s="1" t="s">
        <v>1277</v>
      </c>
      <c r="I187" s="1" t="s">
        <v>1278</v>
      </c>
      <c r="J187" s="1" t="s">
        <v>1279</v>
      </c>
    </row>
    <row r="188" spans="1:10" x14ac:dyDescent="0.25">
      <c r="A188" s="1" t="s">
        <v>1</v>
      </c>
      <c r="D188" s="1" t="s">
        <v>396</v>
      </c>
      <c r="F188" s="1" t="s">
        <v>397</v>
      </c>
      <c r="H188" s="1" t="s">
        <v>1280</v>
      </c>
      <c r="I188" s="1" t="s">
        <v>1281</v>
      </c>
      <c r="J188" s="1" t="s">
        <v>1282</v>
      </c>
    </row>
    <row r="189" spans="1:10" x14ac:dyDescent="0.25">
      <c r="A189" s="1" t="s">
        <v>1</v>
      </c>
      <c r="D189" s="1" t="s">
        <v>398</v>
      </c>
      <c r="F189" s="1" t="s">
        <v>399</v>
      </c>
      <c r="H189" s="1" t="s">
        <v>1283</v>
      </c>
      <c r="I189" s="1" t="s">
        <v>1284</v>
      </c>
      <c r="J189" s="1" t="s">
        <v>1285</v>
      </c>
    </row>
    <row r="190" spans="1:10" x14ac:dyDescent="0.25">
      <c r="A190" s="1" t="s">
        <v>1</v>
      </c>
      <c r="D190" s="1" t="s">
        <v>400</v>
      </c>
      <c r="F190" s="1" t="s">
        <v>401</v>
      </c>
      <c r="H190" s="1" t="s">
        <v>1286</v>
      </c>
      <c r="I190" s="1" t="s">
        <v>1287</v>
      </c>
      <c r="J190" s="1" t="s">
        <v>1288</v>
      </c>
    </row>
    <row r="191" spans="1:10" x14ac:dyDescent="0.25">
      <c r="A191" s="1" t="s">
        <v>1</v>
      </c>
      <c r="D191" s="1" t="s">
        <v>402</v>
      </c>
      <c r="F191" s="1" t="s">
        <v>403</v>
      </c>
      <c r="H191" s="1" t="s">
        <v>1289</v>
      </c>
      <c r="I191" s="1" t="s">
        <v>1290</v>
      </c>
      <c r="J191" s="1" t="s">
        <v>1291</v>
      </c>
    </row>
    <row r="192" spans="1:10" x14ac:dyDescent="0.25">
      <c r="D192" s="1" t="s">
        <v>72</v>
      </c>
      <c r="F192" s="1" t="s">
        <v>404</v>
      </c>
      <c r="H192" s="1" t="s">
        <v>1292</v>
      </c>
      <c r="I192" s="1" t="s">
        <v>1293</v>
      </c>
      <c r="J192" s="1" t="s">
        <v>1294</v>
      </c>
    </row>
    <row r="194" spans="1:10" x14ac:dyDescent="0.25">
      <c r="C194" s="1" t="s">
        <v>171</v>
      </c>
      <c r="D194" s="1" t="s">
        <v>405</v>
      </c>
      <c r="E194" s="1" t="s">
        <v>751</v>
      </c>
    </row>
    <row r="195" spans="1:10" x14ac:dyDescent="0.25">
      <c r="D195" s="1" t="s">
        <v>406</v>
      </c>
      <c r="F195" s="1" t="s">
        <v>752</v>
      </c>
      <c r="H195" s="1" t="s">
        <v>1295</v>
      </c>
      <c r="I195" s="1" t="s">
        <v>1296</v>
      </c>
      <c r="J195" s="1" t="s">
        <v>1297</v>
      </c>
    </row>
    <row r="196" spans="1:10" x14ac:dyDescent="0.25">
      <c r="A196" s="1" t="s">
        <v>1</v>
      </c>
      <c r="D196" s="1" t="s">
        <v>407</v>
      </c>
      <c r="F196" s="1" t="s">
        <v>408</v>
      </c>
      <c r="H196" s="1" t="s">
        <v>1298</v>
      </c>
      <c r="I196" s="1" t="s">
        <v>1299</v>
      </c>
      <c r="J196" s="1" t="s">
        <v>1300</v>
      </c>
    </row>
    <row r="197" spans="1:10" x14ac:dyDescent="0.25">
      <c r="A197" s="1" t="s">
        <v>1</v>
      </c>
      <c r="D197" s="1" t="s">
        <v>409</v>
      </c>
      <c r="F197" s="1" t="s">
        <v>410</v>
      </c>
      <c r="H197" s="1" t="s">
        <v>1301</v>
      </c>
      <c r="I197" s="1" t="s">
        <v>1302</v>
      </c>
      <c r="J197" s="1" t="s">
        <v>1303</v>
      </c>
    </row>
    <row r="198" spans="1:10" x14ac:dyDescent="0.25">
      <c r="A198" s="1" t="s">
        <v>1</v>
      </c>
      <c r="D198" s="1" t="s">
        <v>411</v>
      </c>
      <c r="F198" s="1" t="s">
        <v>412</v>
      </c>
      <c r="H198" s="1" t="s">
        <v>1304</v>
      </c>
      <c r="I198" s="1" t="s">
        <v>1305</v>
      </c>
      <c r="J198" s="1" t="s">
        <v>1306</v>
      </c>
    </row>
    <row r="199" spans="1:10" x14ac:dyDescent="0.25">
      <c r="A199" s="1" t="s">
        <v>1</v>
      </c>
      <c r="D199" s="1" t="s">
        <v>413</v>
      </c>
      <c r="F199" s="1" t="s">
        <v>414</v>
      </c>
      <c r="H199" s="1" t="s">
        <v>1307</v>
      </c>
      <c r="I199" s="1" t="s">
        <v>1308</v>
      </c>
      <c r="J199" s="1" t="s">
        <v>1309</v>
      </c>
    </row>
    <row r="200" spans="1:10" x14ac:dyDescent="0.25">
      <c r="A200" s="1" t="s">
        <v>1</v>
      </c>
      <c r="D200" s="1" t="s">
        <v>415</v>
      </c>
      <c r="F200" s="1" t="s">
        <v>416</v>
      </c>
      <c r="H200" s="1" t="s">
        <v>1310</v>
      </c>
      <c r="I200" s="1" t="s">
        <v>1311</v>
      </c>
      <c r="J200" s="1" t="s">
        <v>1312</v>
      </c>
    </row>
    <row r="201" spans="1:10" x14ac:dyDescent="0.25">
      <c r="A201" s="1" t="s">
        <v>1</v>
      </c>
      <c r="D201" s="1" t="s">
        <v>417</v>
      </c>
      <c r="F201" s="1" t="s">
        <v>418</v>
      </c>
      <c r="H201" s="1" t="s">
        <v>1313</v>
      </c>
      <c r="I201" s="1" t="s">
        <v>1314</v>
      </c>
      <c r="J201" s="1" t="s">
        <v>1315</v>
      </c>
    </row>
    <row r="202" spans="1:10" x14ac:dyDescent="0.25">
      <c r="A202" s="1" t="s">
        <v>1</v>
      </c>
      <c r="D202" s="1" t="s">
        <v>419</v>
      </c>
      <c r="F202" s="1" t="s">
        <v>420</v>
      </c>
      <c r="H202" s="1" t="s">
        <v>1316</v>
      </c>
      <c r="I202" s="1" t="s">
        <v>1317</v>
      </c>
      <c r="J202" s="1" t="s">
        <v>1318</v>
      </c>
    </row>
    <row r="203" spans="1:10" x14ac:dyDescent="0.25">
      <c r="A203" s="1" t="s">
        <v>1</v>
      </c>
      <c r="D203" s="1" t="s">
        <v>421</v>
      </c>
      <c r="F203" s="1" t="s">
        <v>422</v>
      </c>
      <c r="H203" s="1" t="s">
        <v>1319</v>
      </c>
      <c r="I203" s="1" t="s">
        <v>1320</v>
      </c>
      <c r="J203" s="1" t="s">
        <v>1321</v>
      </c>
    </row>
    <row r="204" spans="1:10" x14ac:dyDescent="0.25">
      <c r="A204" s="1" t="s">
        <v>1</v>
      </c>
      <c r="D204" s="1" t="s">
        <v>423</v>
      </c>
      <c r="F204" s="1" t="s">
        <v>424</v>
      </c>
      <c r="H204" s="1" t="s">
        <v>1322</v>
      </c>
      <c r="I204" s="1" t="s">
        <v>1323</v>
      </c>
      <c r="J204" s="1" t="s">
        <v>1324</v>
      </c>
    </row>
    <row r="205" spans="1:10" x14ac:dyDescent="0.25">
      <c r="A205" s="1" t="s">
        <v>1</v>
      </c>
      <c r="D205" s="1" t="s">
        <v>425</v>
      </c>
      <c r="F205" s="1" t="s">
        <v>426</v>
      </c>
      <c r="H205" s="1" t="s">
        <v>1325</v>
      </c>
      <c r="I205" s="1" t="s">
        <v>1326</v>
      </c>
      <c r="J205" s="1" t="s">
        <v>1327</v>
      </c>
    </row>
    <row r="206" spans="1:10" x14ac:dyDescent="0.25">
      <c r="A206" s="1" t="s">
        <v>1</v>
      </c>
      <c r="D206" s="1" t="s">
        <v>427</v>
      </c>
      <c r="F206" s="1" t="s">
        <v>428</v>
      </c>
      <c r="H206" s="1" t="s">
        <v>1328</v>
      </c>
      <c r="I206" s="1" t="s">
        <v>1329</v>
      </c>
      <c r="J206" s="1" t="s">
        <v>1330</v>
      </c>
    </row>
    <row r="207" spans="1:10" x14ac:dyDescent="0.25">
      <c r="A207" s="1" t="s">
        <v>1</v>
      </c>
      <c r="D207" s="1" t="s">
        <v>429</v>
      </c>
      <c r="F207" s="1" t="s">
        <v>430</v>
      </c>
      <c r="H207" s="1" t="s">
        <v>1331</v>
      </c>
      <c r="I207" s="1" t="s">
        <v>1332</v>
      </c>
      <c r="J207" s="1" t="s">
        <v>1333</v>
      </c>
    </row>
    <row r="208" spans="1:10" x14ac:dyDescent="0.25">
      <c r="A208" s="1" t="s">
        <v>1</v>
      </c>
      <c r="D208" s="1" t="s">
        <v>431</v>
      </c>
      <c r="F208" s="1" t="s">
        <v>432</v>
      </c>
      <c r="H208" s="1" t="s">
        <v>1334</v>
      </c>
      <c r="I208" s="1" t="s">
        <v>1335</v>
      </c>
      <c r="J208" s="1" t="s">
        <v>1336</v>
      </c>
    </row>
    <row r="209" spans="1:10" x14ac:dyDescent="0.25">
      <c r="A209" s="1" t="s">
        <v>1</v>
      </c>
      <c r="D209" s="1" t="s">
        <v>433</v>
      </c>
      <c r="F209" s="1" t="s">
        <v>434</v>
      </c>
      <c r="H209" s="1" t="s">
        <v>1337</v>
      </c>
      <c r="I209" s="1" t="s">
        <v>1338</v>
      </c>
      <c r="J209" s="1" t="s">
        <v>1339</v>
      </c>
    </row>
    <row r="210" spans="1:10" x14ac:dyDescent="0.25">
      <c r="A210" s="1" t="s">
        <v>1</v>
      </c>
      <c r="D210" s="1" t="s">
        <v>435</v>
      </c>
      <c r="F210" s="1" t="s">
        <v>436</v>
      </c>
      <c r="H210" s="1" t="s">
        <v>1340</v>
      </c>
      <c r="I210" s="1" t="s">
        <v>1341</v>
      </c>
      <c r="J210" s="1" t="s">
        <v>1342</v>
      </c>
    </row>
    <row r="211" spans="1:10" x14ac:dyDescent="0.25">
      <c r="A211" s="1" t="s">
        <v>1</v>
      </c>
      <c r="D211" s="1" t="s">
        <v>437</v>
      </c>
      <c r="F211" s="1" t="s">
        <v>438</v>
      </c>
      <c r="H211" s="1" t="s">
        <v>1343</v>
      </c>
      <c r="I211" s="1" t="s">
        <v>1344</v>
      </c>
      <c r="J211" s="1" t="s">
        <v>1345</v>
      </c>
    </row>
    <row r="212" spans="1:10" x14ac:dyDescent="0.25">
      <c r="A212" s="1" t="s">
        <v>1</v>
      </c>
      <c r="D212" s="1" t="s">
        <v>439</v>
      </c>
      <c r="F212" s="1" t="s">
        <v>440</v>
      </c>
      <c r="H212" s="1" t="s">
        <v>1346</v>
      </c>
      <c r="I212" s="1" t="s">
        <v>1347</v>
      </c>
      <c r="J212" s="1" t="s">
        <v>1348</v>
      </c>
    </row>
    <row r="213" spans="1:10" x14ac:dyDescent="0.25">
      <c r="A213" s="1" t="s">
        <v>1</v>
      </c>
      <c r="D213" s="1" t="s">
        <v>441</v>
      </c>
      <c r="F213" s="1" t="s">
        <v>442</v>
      </c>
      <c r="H213" s="1" t="s">
        <v>1349</v>
      </c>
      <c r="I213" s="1" t="s">
        <v>1350</v>
      </c>
      <c r="J213" s="1" t="s">
        <v>1351</v>
      </c>
    </row>
    <row r="214" spans="1:10" x14ac:dyDescent="0.25">
      <c r="A214" s="1" t="s">
        <v>1</v>
      </c>
      <c r="D214" s="1" t="s">
        <v>443</v>
      </c>
      <c r="F214" s="1" t="s">
        <v>444</v>
      </c>
      <c r="H214" s="1" t="s">
        <v>1352</v>
      </c>
      <c r="I214" s="1" t="s">
        <v>1353</v>
      </c>
      <c r="J214" s="1" t="s">
        <v>1354</v>
      </c>
    </row>
    <row r="215" spans="1:10" x14ac:dyDescent="0.25">
      <c r="A215" s="1" t="s">
        <v>1</v>
      </c>
      <c r="D215" s="1" t="s">
        <v>445</v>
      </c>
      <c r="F215" s="1" t="s">
        <v>446</v>
      </c>
      <c r="H215" s="1" t="s">
        <v>1355</v>
      </c>
      <c r="I215" s="1" t="s">
        <v>1356</v>
      </c>
      <c r="J215" s="1" t="s">
        <v>1357</v>
      </c>
    </row>
    <row r="216" spans="1:10" x14ac:dyDescent="0.25">
      <c r="A216" s="1" t="s">
        <v>1</v>
      </c>
      <c r="D216" s="1" t="s">
        <v>447</v>
      </c>
      <c r="F216" s="1" t="s">
        <v>448</v>
      </c>
      <c r="H216" s="1" t="s">
        <v>1358</v>
      </c>
      <c r="I216" s="1" t="s">
        <v>1359</v>
      </c>
      <c r="J216" s="1" t="s">
        <v>1360</v>
      </c>
    </row>
    <row r="217" spans="1:10" x14ac:dyDescent="0.25">
      <c r="A217" s="1" t="s">
        <v>1</v>
      </c>
      <c r="D217" s="1" t="s">
        <v>449</v>
      </c>
      <c r="F217" s="1" t="s">
        <v>450</v>
      </c>
      <c r="H217" s="1" t="s">
        <v>1361</v>
      </c>
      <c r="I217" s="1" t="s">
        <v>1362</v>
      </c>
      <c r="J217" s="1" t="s">
        <v>1363</v>
      </c>
    </row>
    <row r="218" spans="1:10" x14ac:dyDescent="0.25">
      <c r="A218" s="1" t="s">
        <v>1</v>
      </c>
      <c r="D218" s="1" t="s">
        <v>451</v>
      </c>
      <c r="F218" s="1" t="s">
        <v>452</v>
      </c>
      <c r="H218" s="1" t="s">
        <v>1364</v>
      </c>
      <c r="I218" s="1" t="s">
        <v>1365</v>
      </c>
      <c r="J218" s="1" t="s">
        <v>1366</v>
      </c>
    </row>
    <row r="219" spans="1:10" x14ac:dyDescent="0.25">
      <c r="A219" s="1" t="s">
        <v>1</v>
      </c>
      <c r="D219" s="1" t="s">
        <v>453</v>
      </c>
      <c r="F219" s="1" t="s">
        <v>454</v>
      </c>
      <c r="H219" s="1" t="s">
        <v>1367</v>
      </c>
      <c r="I219" s="1" t="s">
        <v>1368</v>
      </c>
      <c r="J219" s="1" t="s">
        <v>1369</v>
      </c>
    </row>
    <row r="220" spans="1:10" x14ac:dyDescent="0.25">
      <c r="A220" s="1" t="s">
        <v>1</v>
      </c>
      <c r="D220" s="1" t="s">
        <v>455</v>
      </c>
      <c r="F220" s="1" t="s">
        <v>456</v>
      </c>
      <c r="H220" s="1" t="s">
        <v>1370</v>
      </c>
      <c r="I220" s="1" t="s">
        <v>1371</v>
      </c>
      <c r="J220" s="1" t="s">
        <v>1372</v>
      </c>
    </row>
    <row r="221" spans="1:10" x14ac:dyDescent="0.25">
      <c r="A221" s="1" t="s">
        <v>1</v>
      </c>
      <c r="D221" s="1" t="s">
        <v>457</v>
      </c>
      <c r="F221" s="1" t="s">
        <v>458</v>
      </c>
      <c r="H221" s="1" t="s">
        <v>1373</v>
      </c>
      <c r="I221" s="1" t="s">
        <v>1374</v>
      </c>
      <c r="J221" s="1" t="s">
        <v>1375</v>
      </c>
    </row>
    <row r="222" spans="1:10" x14ac:dyDescent="0.25">
      <c r="A222" s="1" t="s">
        <v>1</v>
      </c>
      <c r="D222" s="1" t="s">
        <v>459</v>
      </c>
      <c r="F222" s="1" t="s">
        <v>460</v>
      </c>
      <c r="H222" s="1" t="s">
        <v>1376</v>
      </c>
      <c r="I222" s="1" t="s">
        <v>1377</v>
      </c>
      <c r="J222" s="1" t="s">
        <v>1378</v>
      </c>
    </row>
    <row r="223" spans="1:10" x14ac:dyDescent="0.25">
      <c r="A223" s="1" t="s">
        <v>1</v>
      </c>
      <c r="D223" s="1" t="s">
        <v>461</v>
      </c>
      <c r="F223" s="1" t="s">
        <v>462</v>
      </c>
      <c r="H223" s="1" t="s">
        <v>1379</v>
      </c>
      <c r="I223" s="1" t="s">
        <v>1380</v>
      </c>
      <c r="J223" s="1" t="s">
        <v>1381</v>
      </c>
    </row>
    <row r="224" spans="1:10" x14ac:dyDescent="0.25">
      <c r="A224" s="1" t="s">
        <v>1</v>
      </c>
      <c r="D224" s="1" t="s">
        <v>463</v>
      </c>
      <c r="F224" s="1" t="s">
        <v>464</v>
      </c>
      <c r="H224" s="1" t="s">
        <v>1382</v>
      </c>
      <c r="I224" s="1" t="s">
        <v>1383</v>
      </c>
      <c r="J224" s="1" t="s">
        <v>1384</v>
      </c>
    </row>
    <row r="225" spans="1:10" x14ac:dyDescent="0.25">
      <c r="A225" s="1" t="s">
        <v>1</v>
      </c>
      <c r="D225" s="1" t="s">
        <v>465</v>
      </c>
      <c r="F225" s="1" t="s">
        <v>466</v>
      </c>
      <c r="H225" s="1" t="s">
        <v>1385</v>
      </c>
      <c r="I225" s="1" t="s">
        <v>1386</v>
      </c>
      <c r="J225" s="1" t="s">
        <v>1387</v>
      </c>
    </row>
    <row r="226" spans="1:10" x14ac:dyDescent="0.25">
      <c r="A226" s="1" t="s">
        <v>1</v>
      </c>
      <c r="D226" s="1" t="s">
        <v>467</v>
      </c>
      <c r="F226" s="1" t="s">
        <v>468</v>
      </c>
      <c r="H226" s="1" t="s">
        <v>1388</v>
      </c>
      <c r="I226" s="1" t="s">
        <v>1389</v>
      </c>
      <c r="J226" s="1" t="s">
        <v>1390</v>
      </c>
    </row>
    <row r="227" spans="1:10" x14ac:dyDescent="0.25">
      <c r="A227" s="1" t="s">
        <v>1</v>
      </c>
      <c r="D227" s="1" t="s">
        <v>469</v>
      </c>
      <c r="F227" s="1" t="s">
        <v>470</v>
      </c>
      <c r="H227" s="1" t="s">
        <v>1391</v>
      </c>
      <c r="I227" s="1" t="s">
        <v>1392</v>
      </c>
      <c r="J227" s="1" t="s">
        <v>1393</v>
      </c>
    </row>
    <row r="228" spans="1:10" x14ac:dyDescent="0.25">
      <c r="A228" s="1" t="s">
        <v>1</v>
      </c>
      <c r="D228" s="1" t="s">
        <v>471</v>
      </c>
      <c r="F228" s="1" t="s">
        <v>472</v>
      </c>
      <c r="H228" s="1" t="s">
        <v>1394</v>
      </c>
      <c r="I228" s="1" t="s">
        <v>1395</v>
      </c>
      <c r="J228" s="1" t="s">
        <v>1396</v>
      </c>
    </row>
    <row r="229" spans="1:10" x14ac:dyDescent="0.25">
      <c r="A229" s="1" t="s">
        <v>1</v>
      </c>
      <c r="D229" s="1" t="s">
        <v>473</v>
      </c>
      <c r="F229" s="1" t="s">
        <v>474</v>
      </c>
      <c r="H229" s="1" t="s">
        <v>1397</v>
      </c>
      <c r="I229" s="1" t="s">
        <v>1398</v>
      </c>
      <c r="J229" s="1" t="s">
        <v>1399</v>
      </c>
    </row>
    <row r="230" spans="1:10" x14ac:dyDescent="0.25">
      <c r="A230" s="1" t="s">
        <v>1</v>
      </c>
      <c r="D230" s="1" t="s">
        <v>475</v>
      </c>
      <c r="F230" s="1" t="s">
        <v>476</v>
      </c>
      <c r="H230" s="1" t="s">
        <v>1400</v>
      </c>
      <c r="I230" s="1" t="s">
        <v>1401</v>
      </c>
      <c r="J230" s="1" t="s">
        <v>1402</v>
      </c>
    </row>
    <row r="231" spans="1:10" x14ac:dyDescent="0.25">
      <c r="A231" s="1" t="s">
        <v>1</v>
      </c>
      <c r="D231" s="1" t="s">
        <v>477</v>
      </c>
      <c r="F231" s="1" t="s">
        <v>478</v>
      </c>
      <c r="H231" s="1" t="s">
        <v>1403</v>
      </c>
      <c r="I231" s="1" t="s">
        <v>1404</v>
      </c>
      <c r="J231" s="1" t="s">
        <v>1405</v>
      </c>
    </row>
    <row r="232" spans="1:10" x14ac:dyDescent="0.25">
      <c r="A232" s="1" t="s">
        <v>1</v>
      </c>
      <c r="D232" s="1" t="s">
        <v>479</v>
      </c>
      <c r="F232" s="1" t="s">
        <v>480</v>
      </c>
      <c r="H232" s="1" t="s">
        <v>1406</v>
      </c>
      <c r="I232" s="1" t="s">
        <v>1407</v>
      </c>
      <c r="J232" s="1" t="s">
        <v>1408</v>
      </c>
    </row>
    <row r="233" spans="1:10" x14ac:dyDescent="0.25">
      <c r="D233" s="1" t="s">
        <v>407</v>
      </c>
      <c r="F233" s="1" t="s">
        <v>481</v>
      </c>
      <c r="H233" s="1" t="s">
        <v>1409</v>
      </c>
      <c r="I233" s="1" t="s">
        <v>1410</v>
      </c>
      <c r="J233" s="1" t="s">
        <v>1411</v>
      </c>
    </row>
    <row r="235" spans="1:10" x14ac:dyDescent="0.25">
      <c r="C235" s="1" t="s">
        <v>17</v>
      </c>
      <c r="D235" s="1" t="s">
        <v>482</v>
      </c>
      <c r="E235" s="1" t="s">
        <v>753</v>
      </c>
    </row>
    <row r="236" spans="1:10" x14ac:dyDescent="0.25">
      <c r="D236" s="1" t="s">
        <v>483</v>
      </c>
      <c r="F236" s="1" t="s">
        <v>754</v>
      </c>
      <c r="H236" s="1" t="s">
        <v>1412</v>
      </c>
      <c r="I236" s="1" t="s">
        <v>1413</v>
      </c>
      <c r="J236" s="1" t="s">
        <v>1414</v>
      </c>
    </row>
    <row r="237" spans="1:10" x14ac:dyDescent="0.25">
      <c r="A237" s="1" t="s">
        <v>1</v>
      </c>
      <c r="D237" s="1" t="s">
        <v>484</v>
      </c>
      <c r="F237" s="1" t="s">
        <v>485</v>
      </c>
      <c r="H237" s="1" t="s">
        <v>1415</v>
      </c>
      <c r="I237" s="1" t="s">
        <v>1416</v>
      </c>
      <c r="J237" s="1" t="s">
        <v>1417</v>
      </c>
    </row>
    <row r="238" spans="1:10" x14ac:dyDescent="0.25">
      <c r="A238" s="1" t="s">
        <v>1</v>
      </c>
      <c r="D238" s="1" t="s">
        <v>486</v>
      </c>
      <c r="F238" s="1" t="s">
        <v>487</v>
      </c>
      <c r="H238" s="1" t="s">
        <v>1418</v>
      </c>
      <c r="I238" s="1" t="s">
        <v>1419</v>
      </c>
      <c r="J238" s="1" t="s">
        <v>1420</v>
      </c>
    </row>
    <row r="239" spans="1:10" x14ac:dyDescent="0.25">
      <c r="A239" s="1" t="s">
        <v>1</v>
      </c>
      <c r="D239" s="1" t="s">
        <v>488</v>
      </c>
      <c r="F239" s="1" t="s">
        <v>489</v>
      </c>
      <c r="H239" s="1" t="s">
        <v>1421</v>
      </c>
      <c r="I239" s="1" t="s">
        <v>1422</v>
      </c>
      <c r="J239" s="1" t="s">
        <v>1423</v>
      </c>
    </row>
    <row r="240" spans="1:10" x14ac:dyDescent="0.25">
      <c r="A240" s="1" t="s">
        <v>1</v>
      </c>
      <c r="D240" s="1" t="s">
        <v>490</v>
      </c>
      <c r="F240" s="1" t="s">
        <v>491</v>
      </c>
      <c r="H240" s="1" t="s">
        <v>1424</v>
      </c>
      <c r="I240" s="1" t="s">
        <v>1425</v>
      </c>
      <c r="J240" s="1" t="s">
        <v>1426</v>
      </c>
    </row>
    <row r="241" spans="1:10" x14ac:dyDescent="0.25">
      <c r="A241" s="1" t="s">
        <v>1</v>
      </c>
      <c r="D241" s="1" t="s">
        <v>492</v>
      </c>
      <c r="F241" s="1" t="s">
        <v>493</v>
      </c>
      <c r="H241" s="1" t="s">
        <v>1427</v>
      </c>
      <c r="I241" s="1" t="s">
        <v>1428</v>
      </c>
      <c r="J241" s="1" t="s">
        <v>1429</v>
      </c>
    </row>
    <row r="242" spans="1:10" x14ac:dyDescent="0.25">
      <c r="A242" s="1" t="s">
        <v>1</v>
      </c>
      <c r="D242" s="1" t="s">
        <v>494</v>
      </c>
      <c r="F242" s="1" t="s">
        <v>495</v>
      </c>
      <c r="H242" s="1" t="s">
        <v>1430</v>
      </c>
      <c r="I242" s="1" t="s">
        <v>1431</v>
      </c>
      <c r="J242" s="1" t="s">
        <v>1432</v>
      </c>
    </row>
    <row r="243" spans="1:10" x14ac:dyDescent="0.25">
      <c r="A243" s="1" t="s">
        <v>1</v>
      </c>
      <c r="D243" s="1" t="s">
        <v>496</v>
      </c>
      <c r="F243" s="1" t="s">
        <v>497</v>
      </c>
      <c r="H243" s="1" t="s">
        <v>1433</v>
      </c>
      <c r="I243" s="1" t="s">
        <v>1434</v>
      </c>
      <c r="J243" s="1" t="s">
        <v>1435</v>
      </c>
    </row>
    <row r="244" spans="1:10" x14ac:dyDescent="0.25">
      <c r="A244" s="1" t="s">
        <v>1</v>
      </c>
      <c r="D244" s="1" t="s">
        <v>498</v>
      </c>
      <c r="F244" s="1" t="s">
        <v>499</v>
      </c>
      <c r="H244" s="1" t="s">
        <v>1436</v>
      </c>
      <c r="I244" s="1" t="s">
        <v>1437</v>
      </c>
      <c r="J244" s="1" t="s">
        <v>1438</v>
      </c>
    </row>
    <row r="245" spans="1:10" x14ac:dyDescent="0.25">
      <c r="A245" s="1" t="s">
        <v>1</v>
      </c>
      <c r="D245" s="1" t="s">
        <v>500</v>
      </c>
      <c r="F245" s="1" t="s">
        <v>501</v>
      </c>
      <c r="H245" s="1" t="s">
        <v>1439</v>
      </c>
      <c r="I245" s="1" t="s">
        <v>1440</v>
      </c>
      <c r="J245" s="1" t="s">
        <v>1441</v>
      </c>
    </row>
    <row r="246" spans="1:10" x14ac:dyDescent="0.25">
      <c r="A246" s="1" t="s">
        <v>1</v>
      </c>
      <c r="D246" s="1" t="s">
        <v>502</v>
      </c>
      <c r="F246" s="1" t="s">
        <v>503</v>
      </c>
      <c r="H246" s="1" t="s">
        <v>1442</v>
      </c>
      <c r="I246" s="1" t="s">
        <v>1443</v>
      </c>
      <c r="J246" s="1" t="s">
        <v>1444</v>
      </c>
    </row>
    <row r="247" spans="1:10" x14ac:dyDescent="0.25">
      <c r="A247" s="1" t="s">
        <v>1</v>
      </c>
      <c r="D247" s="1" t="s">
        <v>504</v>
      </c>
      <c r="F247" s="1" t="s">
        <v>505</v>
      </c>
      <c r="H247" s="1" t="s">
        <v>1445</v>
      </c>
      <c r="I247" s="1" t="s">
        <v>1446</v>
      </c>
      <c r="J247" s="1" t="s">
        <v>1447</v>
      </c>
    </row>
    <row r="248" spans="1:10" x14ac:dyDescent="0.25">
      <c r="A248" s="1" t="s">
        <v>1</v>
      </c>
      <c r="D248" s="1" t="s">
        <v>506</v>
      </c>
      <c r="F248" s="1" t="s">
        <v>507</v>
      </c>
      <c r="H248" s="1" t="s">
        <v>1448</v>
      </c>
      <c r="I248" s="1" t="s">
        <v>1449</v>
      </c>
      <c r="J248" s="1" t="s">
        <v>1450</v>
      </c>
    </row>
    <row r="249" spans="1:10" x14ac:dyDescent="0.25">
      <c r="A249" s="1" t="s">
        <v>1</v>
      </c>
      <c r="D249" s="1" t="s">
        <v>508</v>
      </c>
      <c r="F249" s="1" t="s">
        <v>509</v>
      </c>
      <c r="H249" s="1" t="s">
        <v>1451</v>
      </c>
      <c r="I249" s="1" t="s">
        <v>1452</v>
      </c>
      <c r="J249" s="1" t="s">
        <v>1453</v>
      </c>
    </row>
    <row r="250" spans="1:10" x14ac:dyDescent="0.25">
      <c r="A250" s="1" t="s">
        <v>1</v>
      </c>
      <c r="D250" s="1" t="s">
        <v>510</v>
      </c>
      <c r="F250" s="1" t="s">
        <v>511</v>
      </c>
      <c r="H250" s="1" t="s">
        <v>1454</v>
      </c>
      <c r="I250" s="1" t="s">
        <v>1455</v>
      </c>
      <c r="J250" s="1" t="s">
        <v>1456</v>
      </c>
    </row>
    <row r="251" spans="1:10" x14ac:dyDescent="0.25">
      <c r="A251" s="1" t="s">
        <v>1</v>
      </c>
      <c r="D251" s="1" t="s">
        <v>512</v>
      </c>
      <c r="F251" s="1" t="s">
        <v>513</v>
      </c>
      <c r="H251" s="1" t="s">
        <v>1457</v>
      </c>
      <c r="I251" s="1" t="s">
        <v>1458</v>
      </c>
      <c r="J251" s="1" t="s">
        <v>1459</v>
      </c>
    </row>
    <row r="252" spans="1:10" x14ac:dyDescent="0.25">
      <c r="A252" s="1" t="s">
        <v>1</v>
      </c>
      <c r="D252" s="1" t="s">
        <v>514</v>
      </c>
      <c r="F252" s="1" t="s">
        <v>515</v>
      </c>
      <c r="H252" s="1" t="s">
        <v>1460</v>
      </c>
      <c r="I252" s="1" t="s">
        <v>1461</v>
      </c>
      <c r="J252" s="1" t="s">
        <v>1462</v>
      </c>
    </row>
    <row r="253" spans="1:10" x14ac:dyDescent="0.25">
      <c r="A253" s="1" t="s">
        <v>1</v>
      </c>
      <c r="D253" s="1" t="s">
        <v>516</v>
      </c>
      <c r="F253" s="1" t="s">
        <v>517</v>
      </c>
      <c r="H253" s="1" t="s">
        <v>1463</v>
      </c>
      <c r="I253" s="1" t="s">
        <v>1464</v>
      </c>
      <c r="J253" s="1" t="s">
        <v>1465</v>
      </c>
    </row>
    <row r="254" spans="1:10" x14ac:dyDescent="0.25">
      <c r="D254" s="1" t="s">
        <v>484</v>
      </c>
      <c r="F254" s="1" t="s">
        <v>518</v>
      </c>
      <c r="H254" s="1" t="s">
        <v>1466</v>
      </c>
      <c r="I254" s="1" t="s">
        <v>1467</v>
      </c>
      <c r="J254" s="1" t="s">
        <v>1468</v>
      </c>
    </row>
    <row r="256" spans="1:10" x14ac:dyDescent="0.25">
      <c r="E256" s="1" t="s">
        <v>76</v>
      </c>
      <c r="H256" s="1" t="s">
        <v>693</v>
      </c>
      <c r="I256" s="1" t="s">
        <v>694</v>
      </c>
      <c r="J256" s="1" t="s">
        <v>695</v>
      </c>
    </row>
    <row r="258" spans="1:10" x14ac:dyDescent="0.25">
      <c r="E258" s="1" t="s">
        <v>161</v>
      </c>
      <c r="H258" s="1" t="s">
        <v>696</v>
      </c>
      <c r="I258" s="1" t="s">
        <v>697</v>
      </c>
      <c r="J258" s="1" t="s">
        <v>698</v>
      </c>
    </row>
    <row r="260" spans="1:10" x14ac:dyDescent="0.25">
      <c r="C260" s="1" t="s">
        <v>20</v>
      </c>
      <c r="D260" s="1" t="s">
        <v>519</v>
      </c>
      <c r="E260" s="1" t="s">
        <v>755</v>
      </c>
    </row>
    <row r="261" spans="1:10" x14ac:dyDescent="0.25">
      <c r="D261" s="1" t="s">
        <v>520</v>
      </c>
      <c r="F261" s="1" t="s">
        <v>756</v>
      </c>
      <c r="H261" s="1" t="s">
        <v>1469</v>
      </c>
      <c r="I261" s="1" t="s">
        <v>1470</v>
      </c>
      <c r="J261" s="1" t="s">
        <v>1471</v>
      </c>
    </row>
    <row r="262" spans="1:10" x14ac:dyDescent="0.25">
      <c r="A262" s="1" t="s">
        <v>1</v>
      </c>
      <c r="D262" s="1" t="s">
        <v>521</v>
      </c>
      <c r="F262" s="1" t="s">
        <v>522</v>
      </c>
      <c r="H262" s="1" t="s">
        <v>1472</v>
      </c>
      <c r="I262" s="1" t="s">
        <v>1473</v>
      </c>
      <c r="J262" s="1" t="s">
        <v>1474</v>
      </c>
    </row>
    <row r="263" spans="1:10" x14ac:dyDescent="0.25">
      <c r="A263" s="1" t="s">
        <v>1</v>
      </c>
      <c r="D263" s="1" t="s">
        <v>523</v>
      </c>
      <c r="F263" s="1" t="s">
        <v>524</v>
      </c>
      <c r="H263" s="1" t="s">
        <v>1475</v>
      </c>
      <c r="I263" s="1" t="s">
        <v>1476</v>
      </c>
      <c r="J263" s="1" t="s">
        <v>1477</v>
      </c>
    </row>
    <row r="264" spans="1:10" x14ac:dyDescent="0.25">
      <c r="A264" s="1" t="s">
        <v>1</v>
      </c>
      <c r="D264" s="1" t="s">
        <v>525</v>
      </c>
      <c r="F264" s="1" t="s">
        <v>526</v>
      </c>
      <c r="H264" s="1" t="s">
        <v>1478</v>
      </c>
      <c r="I264" s="1" t="s">
        <v>1479</v>
      </c>
      <c r="J264" s="1" t="s">
        <v>1480</v>
      </c>
    </row>
    <row r="265" spans="1:10" x14ac:dyDescent="0.25">
      <c r="A265" s="1" t="s">
        <v>1</v>
      </c>
      <c r="D265" s="1" t="s">
        <v>527</v>
      </c>
      <c r="F265" s="1" t="s">
        <v>528</v>
      </c>
      <c r="H265" s="1" t="s">
        <v>1481</v>
      </c>
      <c r="I265" s="1" t="s">
        <v>1482</v>
      </c>
      <c r="J265" s="1" t="s">
        <v>1483</v>
      </c>
    </row>
    <row r="266" spans="1:10" x14ac:dyDescent="0.25">
      <c r="A266" s="1" t="s">
        <v>1</v>
      </c>
      <c r="D266" s="1" t="s">
        <v>529</v>
      </c>
      <c r="F266" s="1" t="s">
        <v>530</v>
      </c>
      <c r="H266" s="1" t="s">
        <v>1484</v>
      </c>
      <c r="I266" s="1" t="s">
        <v>1485</v>
      </c>
      <c r="J266" s="1" t="s">
        <v>1486</v>
      </c>
    </row>
    <row r="267" spans="1:10" x14ac:dyDescent="0.25">
      <c r="A267" s="1" t="s">
        <v>1</v>
      </c>
      <c r="D267" s="1" t="s">
        <v>531</v>
      </c>
      <c r="F267" s="1" t="s">
        <v>532</v>
      </c>
      <c r="H267" s="1" t="s">
        <v>1487</v>
      </c>
      <c r="I267" s="1" t="s">
        <v>1488</v>
      </c>
      <c r="J267" s="1" t="s">
        <v>1489</v>
      </c>
    </row>
    <row r="268" spans="1:10" x14ac:dyDescent="0.25">
      <c r="A268" s="1" t="s">
        <v>1</v>
      </c>
      <c r="D268" s="1" t="s">
        <v>533</v>
      </c>
      <c r="F268" s="1" t="s">
        <v>534</v>
      </c>
      <c r="H268" s="1" t="s">
        <v>1490</v>
      </c>
      <c r="I268" s="1" t="s">
        <v>1491</v>
      </c>
      <c r="J268" s="1" t="s">
        <v>1492</v>
      </c>
    </row>
    <row r="269" spans="1:10" x14ac:dyDescent="0.25">
      <c r="A269" s="1" t="s">
        <v>1</v>
      </c>
      <c r="D269" s="1" t="s">
        <v>535</v>
      </c>
      <c r="F269" s="1" t="s">
        <v>536</v>
      </c>
      <c r="H269" s="1" t="s">
        <v>1493</v>
      </c>
      <c r="I269" s="1" t="s">
        <v>1494</v>
      </c>
      <c r="J269" s="1" t="s">
        <v>1495</v>
      </c>
    </row>
    <row r="270" spans="1:10" x14ac:dyDescent="0.25">
      <c r="A270" s="1" t="s">
        <v>1</v>
      </c>
      <c r="D270" s="1" t="s">
        <v>537</v>
      </c>
      <c r="F270" s="1" t="s">
        <v>538</v>
      </c>
      <c r="H270" s="1" t="s">
        <v>1496</v>
      </c>
      <c r="I270" s="1" t="s">
        <v>1497</v>
      </c>
      <c r="J270" s="1" t="s">
        <v>1498</v>
      </c>
    </row>
    <row r="271" spans="1:10" x14ac:dyDescent="0.25">
      <c r="A271" s="1" t="s">
        <v>1</v>
      </c>
      <c r="D271" s="1" t="s">
        <v>539</v>
      </c>
      <c r="F271" s="1" t="s">
        <v>540</v>
      </c>
      <c r="H271" s="1" t="s">
        <v>1499</v>
      </c>
      <c r="I271" s="1" t="s">
        <v>1500</v>
      </c>
      <c r="J271" s="1" t="s">
        <v>1501</v>
      </c>
    </row>
    <row r="272" spans="1:10" x14ac:dyDescent="0.25">
      <c r="A272" s="1" t="s">
        <v>1</v>
      </c>
      <c r="D272" s="1" t="s">
        <v>541</v>
      </c>
      <c r="F272" s="1" t="s">
        <v>542</v>
      </c>
      <c r="H272" s="1" t="s">
        <v>1502</v>
      </c>
      <c r="I272" s="1" t="s">
        <v>1503</v>
      </c>
      <c r="J272" s="1" t="s">
        <v>1504</v>
      </c>
    </row>
    <row r="273" spans="1:10" x14ac:dyDescent="0.25">
      <c r="A273" s="1" t="s">
        <v>1</v>
      </c>
      <c r="D273" s="1" t="s">
        <v>543</v>
      </c>
      <c r="F273" s="1" t="s">
        <v>544</v>
      </c>
      <c r="H273" s="1" t="s">
        <v>1505</v>
      </c>
      <c r="I273" s="1" t="s">
        <v>1506</v>
      </c>
      <c r="J273" s="1" t="s">
        <v>1507</v>
      </c>
    </row>
    <row r="274" spans="1:10" x14ac:dyDescent="0.25">
      <c r="A274" s="1" t="s">
        <v>1</v>
      </c>
      <c r="D274" s="1" t="s">
        <v>545</v>
      </c>
      <c r="F274" s="1" t="s">
        <v>546</v>
      </c>
      <c r="H274" s="1" t="s">
        <v>1508</v>
      </c>
      <c r="I274" s="1" t="s">
        <v>1509</v>
      </c>
      <c r="J274" s="1" t="s">
        <v>1510</v>
      </c>
    </row>
    <row r="275" spans="1:10" x14ac:dyDescent="0.25">
      <c r="A275" s="1" t="s">
        <v>1</v>
      </c>
      <c r="D275" s="1" t="s">
        <v>547</v>
      </c>
      <c r="F275" s="1" t="s">
        <v>548</v>
      </c>
      <c r="H275" s="1" t="s">
        <v>1511</v>
      </c>
      <c r="I275" s="1" t="s">
        <v>1512</v>
      </c>
      <c r="J275" s="1" t="s">
        <v>1513</v>
      </c>
    </row>
    <row r="276" spans="1:10" x14ac:dyDescent="0.25">
      <c r="A276" s="1" t="s">
        <v>1</v>
      </c>
      <c r="D276" s="1" t="s">
        <v>549</v>
      </c>
      <c r="F276" s="1" t="s">
        <v>550</v>
      </c>
      <c r="H276" s="1" t="s">
        <v>1514</v>
      </c>
      <c r="I276" s="1" t="s">
        <v>1515</v>
      </c>
      <c r="J276" s="1" t="s">
        <v>1516</v>
      </c>
    </row>
    <row r="277" spans="1:10" x14ac:dyDescent="0.25">
      <c r="A277" s="1" t="s">
        <v>1</v>
      </c>
      <c r="D277" s="1" t="s">
        <v>551</v>
      </c>
      <c r="F277" s="1" t="s">
        <v>552</v>
      </c>
      <c r="H277" s="1" t="s">
        <v>1517</v>
      </c>
      <c r="I277" s="1" t="s">
        <v>1518</v>
      </c>
      <c r="J277" s="1" t="s">
        <v>1519</v>
      </c>
    </row>
    <row r="278" spans="1:10" x14ac:dyDescent="0.25">
      <c r="A278" s="1" t="s">
        <v>1</v>
      </c>
      <c r="D278" s="1" t="s">
        <v>553</v>
      </c>
      <c r="F278" s="1" t="s">
        <v>554</v>
      </c>
      <c r="H278" s="1" t="s">
        <v>1520</v>
      </c>
      <c r="I278" s="1" t="s">
        <v>1521</v>
      </c>
      <c r="J278" s="1" t="s">
        <v>1522</v>
      </c>
    </row>
    <row r="279" spans="1:10" x14ac:dyDescent="0.25">
      <c r="A279" s="1" t="s">
        <v>1</v>
      </c>
      <c r="D279" s="1" t="s">
        <v>555</v>
      </c>
      <c r="F279" s="1" t="s">
        <v>556</v>
      </c>
      <c r="H279" s="1" t="s">
        <v>1523</v>
      </c>
      <c r="I279" s="1" t="s">
        <v>1524</v>
      </c>
      <c r="J279" s="1" t="s">
        <v>1525</v>
      </c>
    </row>
    <row r="280" spans="1:10" x14ac:dyDescent="0.25">
      <c r="A280" s="1" t="s">
        <v>1</v>
      </c>
      <c r="D280" s="1" t="s">
        <v>557</v>
      </c>
      <c r="F280" s="1" t="s">
        <v>558</v>
      </c>
      <c r="H280" s="1" t="s">
        <v>1526</v>
      </c>
      <c r="I280" s="1" t="s">
        <v>1527</v>
      </c>
      <c r="J280" s="1" t="s">
        <v>1528</v>
      </c>
    </row>
    <row r="281" spans="1:10" x14ac:dyDescent="0.25">
      <c r="A281" s="1" t="s">
        <v>1</v>
      </c>
      <c r="D281" s="1" t="s">
        <v>559</v>
      </c>
      <c r="F281" s="1" t="s">
        <v>560</v>
      </c>
      <c r="H281" s="1" t="s">
        <v>1529</v>
      </c>
      <c r="I281" s="1" t="s">
        <v>1530</v>
      </c>
      <c r="J281" s="1" t="s">
        <v>1531</v>
      </c>
    </row>
    <row r="282" spans="1:10" x14ac:dyDescent="0.25">
      <c r="A282" s="1" t="s">
        <v>1</v>
      </c>
      <c r="D282" s="1" t="s">
        <v>561</v>
      </c>
      <c r="F282" s="1" t="s">
        <v>562</v>
      </c>
      <c r="H282" s="1" t="s">
        <v>1532</v>
      </c>
      <c r="I282" s="1" t="s">
        <v>1533</v>
      </c>
      <c r="J282" s="1" t="s">
        <v>1534</v>
      </c>
    </row>
    <row r="283" spans="1:10" x14ac:dyDescent="0.25">
      <c r="D283" s="1" t="s">
        <v>521</v>
      </c>
      <c r="F283" s="1" t="s">
        <v>563</v>
      </c>
      <c r="H283" s="1" t="s">
        <v>1535</v>
      </c>
      <c r="I283" s="1" t="s">
        <v>1536</v>
      </c>
      <c r="J283" s="1" t="s">
        <v>1537</v>
      </c>
    </row>
    <row r="285" spans="1:10" x14ac:dyDescent="0.25">
      <c r="C285" s="1" t="s">
        <v>22</v>
      </c>
      <c r="D285" s="1" t="s">
        <v>564</v>
      </c>
      <c r="E285" s="1" t="s">
        <v>757</v>
      </c>
    </row>
    <row r="286" spans="1:10" x14ac:dyDescent="0.25">
      <c r="D286" s="1" t="s">
        <v>565</v>
      </c>
      <c r="F286" s="1" t="s">
        <v>758</v>
      </c>
      <c r="H286" s="1" t="s">
        <v>1538</v>
      </c>
      <c r="I286" s="1" t="s">
        <v>1539</v>
      </c>
      <c r="J286" s="1" t="s">
        <v>1540</v>
      </c>
    </row>
    <row r="287" spans="1:10" x14ac:dyDescent="0.25">
      <c r="A287" s="1" t="s">
        <v>1</v>
      </c>
      <c r="D287" s="1" t="s">
        <v>566</v>
      </c>
      <c r="F287" s="1" t="s">
        <v>567</v>
      </c>
      <c r="H287" s="1" t="s">
        <v>1541</v>
      </c>
      <c r="I287" s="1" t="s">
        <v>1542</v>
      </c>
      <c r="J287" s="1" t="s">
        <v>1543</v>
      </c>
    </row>
    <row r="288" spans="1:10" x14ac:dyDescent="0.25">
      <c r="A288" s="1" t="s">
        <v>1</v>
      </c>
      <c r="D288" s="1" t="s">
        <v>568</v>
      </c>
      <c r="F288" s="1" t="s">
        <v>569</v>
      </c>
      <c r="H288" s="1" t="s">
        <v>1544</v>
      </c>
      <c r="I288" s="1" t="s">
        <v>1545</v>
      </c>
      <c r="J288" s="1" t="s">
        <v>1546</v>
      </c>
    </row>
    <row r="289" spans="1:10" x14ac:dyDescent="0.25">
      <c r="A289" s="1" t="s">
        <v>1</v>
      </c>
      <c r="D289" s="1" t="s">
        <v>570</v>
      </c>
      <c r="F289" s="1" t="s">
        <v>571</v>
      </c>
      <c r="H289" s="1" t="s">
        <v>1547</v>
      </c>
      <c r="I289" s="1" t="s">
        <v>1548</v>
      </c>
      <c r="J289" s="1" t="s">
        <v>1549</v>
      </c>
    </row>
    <row r="290" spans="1:10" x14ac:dyDescent="0.25">
      <c r="D290" s="1" t="s">
        <v>566</v>
      </c>
      <c r="F290" s="1" t="s">
        <v>572</v>
      </c>
      <c r="H290" s="1" t="s">
        <v>1550</v>
      </c>
      <c r="I290" s="1" t="s">
        <v>1551</v>
      </c>
      <c r="J290" s="1" t="s">
        <v>1552</v>
      </c>
    </row>
    <row r="292" spans="1:10" x14ac:dyDescent="0.25">
      <c r="C292" s="1" t="s">
        <v>24</v>
      </c>
      <c r="D292" s="1" t="s">
        <v>573</v>
      </c>
      <c r="E292" s="1" t="s">
        <v>759</v>
      </c>
    </row>
    <row r="293" spans="1:10" x14ac:dyDescent="0.25">
      <c r="D293" s="1" t="s">
        <v>574</v>
      </c>
      <c r="F293" s="1" t="s">
        <v>760</v>
      </c>
      <c r="H293" s="1" t="s">
        <v>1553</v>
      </c>
      <c r="I293" s="1" t="s">
        <v>1554</v>
      </c>
      <c r="J293" s="1" t="s">
        <v>1555</v>
      </c>
    </row>
    <row r="294" spans="1:10" x14ac:dyDescent="0.25">
      <c r="A294" s="1" t="s">
        <v>1</v>
      </c>
      <c r="D294" s="1" t="s">
        <v>575</v>
      </c>
      <c r="F294" s="1" t="s">
        <v>576</v>
      </c>
      <c r="H294" s="1" t="s">
        <v>1556</v>
      </c>
      <c r="I294" s="1" t="s">
        <v>1557</v>
      </c>
      <c r="J294" s="1" t="s">
        <v>1558</v>
      </c>
    </row>
    <row r="295" spans="1:10" x14ac:dyDescent="0.25">
      <c r="A295" s="1" t="s">
        <v>1</v>
      </c>
      <c r="D295" s="1" t="s">
        <v>577</v>
      </c>
      <c r="F295" s="1" t="s">
        <v>578</v>
      </c>
      <c r="H295" s="1" t="s">
        <v>1559</v>
      </c>
      <c r="I295" s="1" t="s">
        <v>1560</v>
      </c>
      <c r="J295" s="1" t="s">
        <v>1561</v>
      </c>
    </row>
    <row r="296" spans="1:10" x14ac:dyDescent="0.25">
      <c r="A296" s="1" t="s">
        <v>1</v>
      </c>
      <c r="D296" s="1" t="s">
        <v>579</v>
      </c>
      <c r="F296" s="1" t="s">
        <v>580</v>
      </c>
      <c r="H296" s="1" t="s">
        <v>1562</v>
      </c>
      <c r="I296" s="1" t="s">
        <v>1563</v>
      </c>
      <c r="J296" s="1" t="s">
        <v>1564</v>
      </c>
    </row>
    <row r="297" spans="1:10" x14ac:dyDescent="0.25">
      <c r="A297" s="1" t="s">
        <v>1</v>
      </c>
      <c r="D297" s="1" t="s">
        <v>581</v>
      </c>
      <c r="F297" s="1" t="s">
        <v>582</v>
      </c>
      <c r="H297" s="1" t="s">
        <v>1565</v>
      </c>
      <c r="I297" s="1" t="s">
        <v>1566</v>
      </c>
      <c r="J297" s="1" t="s">
        <v>1567</v>
      </c>
    </row>
    <row r="298" spans="1:10" x14ac:dyDescent="0.25">
      <c r="A298" s="1" t="s">
        <v>1</v>
      </c>
      <c r="D298" s="1" t="s">
        <v>583</v>
      </c>
      <c r="F298" s="1" t="s">
        <v>584</v>
      </c>
      <c r="H298" s="1" t="s">
        <v>1568</v>
      </c>
      <c r="I298" s="1" t="s">
        <v>1569</v>
      </c>
      <c r="J298" s="1" t="s">
        <v>1570</v>
      </c>
    </row>
    <row r="299" spans="1:10" x14ac:dyDescent="0.25">
      <c r="A299" s="1" t="s">
        <v>1</v>
      </c>
      <c r="D299" s="1" t="s">
        <v>585</v>
      </c>
      <c r="F299" s="1" t="s">
        <v>586</v>
      </c>
      <c r="H299" s="1" t="s">
        <v>1571</v>
      </c>
      <c r="I299" s="1" t="s">
        <v>1572</v>
      </c>
      <c r="J299" s="1" t="s">
        <v>1573</v>
      </c>
    </row>
    <row r="300" spans="1:10" x14ac:dyDescent="0.25">
      <c r="A300" s="1" t="s">
        <v>1</v>
      </c>
      <c r="D300" s="1" t="s">
        <v>587</v>
      </c>
      <c r="F300" s="1" t="s">
        <v>588</v>
      </c>
      <c r="H300" s="1" t="s">
        <v>1574</v>
      </c>
      <c r="I300" s="1" t="s">
        <v>1575</v>
      </c>
      <c r="J300" s="1" t="s">
        <v>1576</v>
      </c>
    </row>
    <row r="301" spans="1:10" x14ac:dyDescent="0.25">
      <c r="A301" s="1" t="s">
        <v>1</v>
      </c>
      <c r="D301" s="1" t="s">
        <v>589</v>
      </c>
      <c r="F301" s="1" t="s">
        <v>590</v>
      </c>
      <c r="H301" s="1" t="s">
        <v>1577</v>
      </c>
      <c r="I301" s="1" t="s">
        <v>1578</v>
      </c>
      <c r="J301" s="1" t="s">
        <v>1579</v>
      </c>
    </row>
    <row r="302" spans="1:10" x14ac:dyDescent="0.25">
      <c r="A302" s="1" t="s">
        <v>1</v>
      </c>
      <c r="D302" s="1" t="s">
        <v>591</v>
      </c>
      <c r="F302" s="1" t="s">
        <v>592</v>
      </c>
      <c r="H302" s="1" t="s">
        <v>1580</v>
      </c>
      <c r="I302" s="1" t="s">
        <v>1581</v>
      </c>
      <c r="J302" s="1" t="s">
        <v>1582</v>
      </c>
    </row>
    <row r="303" spans="1:10" x14ac:dyDescent="0.25">
      <c r="A303" s="1" t="s">
        <v>1</v>
      </c>
      <c r="D303" s="1" t="s">
        <v>593</v>
      </c>
      <c r="F303" s="1" t="s">
        <v>594</v>
      </c>
      <c r="H303" s="1" t="s">
        <v>1583</v>
      </c>
      <c r="I303" s="1" t="s">
        <v>1584</v>
      </c>
      <c r="J303" s="1" t="s">
        <v>1585</v>
      </c>
    </row>
    <row r="304" spans="1:10" x14ac:dyDescent="0.25">
      <c r="A304" s="1" t="s">
        <v>1</v>
      </c>
      <c r="D304" s="1" t="s">
        <v>595</v>
      </c>
      <c r="F304" s="1" t="s">
        <v>596</v>
      </c>
      <c r="H304" s="1" t="s">
        <v>1586</v>
      </c>
      <c r="I304" s="1" t="s">
        <v>1587</v>
      </c>
      <c r="J304" s="1" t="s">
        <v>1588</v>
      </c>
    </row>
    <row r="305" spans="1:10" x14ac:dyDescent="0.25">
      <c r="A305" s="1" t="s">
        <v>1</v>
      </c>
      <c r="D305" s="1" t="s">
        <v>597</v>
      </c>
      <c r="F305" s="1" t="s">
        <v>598</v>
      </c>
      <c r="H305" s="1" t="s">
        <v>1589</v>
      </c>
      <c r="I305" s="1" t="s">
        <v>1590</v>
      </c>
      <c r="J305" s="1" t="s">
        <v>1591</v>
      </c>
    </row>
    <row r="306" spans="1:10" x14ac:dyDescent="0.25">
      <c r="A306" s="1" t="s">
        <v>1</v>
      </c>
      <c r="D306" s="1" t="s">
        <v>599</v>
      </c>
      <c r="F306" s="1" t="s">
        <v>600</v>
      </c>
      <c r="H306" s="1" t="s">
        <v>1592</v>
      </c>
      <c r="I306" s="1" t="s">
        <v>1593</v>
      </c>
      <c r="J306" s="1" t="s">
        <v>1594</v>
      </c>
    </row>
    <row r="307" spans="1:10" x14ac:dyDescent="0.25">
      <c r="A307" s="1" t="s">
        <v>1</v>
      </c>
      <c r="D307" s="1" t="s">
        <v>601</v>
      </c>
      <c r="F307" s="1" t="s">
        <v>602</v>
      </c>
      <c r="H307" s="1" t="s">
        <v>1595</v>
      </c>
      <c r="I307" s="1" t="s">
        <v>1596</v>
      </c>
      <c r="J307" s="1" t="s">
        <v>1597</v>
      </c>
    </row>
    <row r="308" spans="1:10" x14ac:dyDescent="0.25">
      <c r="A308" s="1" t="s">
        <v>1</v>
      </c>
      <c r="D308" s="1" t="s">
        <v>603</v>
      </c>
      <c r="F308" s="1" t="s">
        <v>604</v>
      </c>
      <c r="H308" s="1" t="s">
        <v>1598</v>
      </c>
      <c r="I308" s="1" t="s">
        <v>1599</v>
      </c>
      <c r="J308" s="1" t="s">
        <v>1600</v>
      </c>
    </row>
    <row r="309" spans="1:10" x14ac:dyDescent="0.25">
      <c r="A309" s="1" t="s">
        <v>1</v>
      </c>
      <c r="D309" s="1" t="s">
        <v>605</v>
      </c>
      <c r="F309" s="1" t="s">
        <v>606</v>
      </c>
      <c r="H309" s="1" t="s">
        <v>1601</v>
      </c>
      <c r="I309" s="1" t="s">
        <v>1602</v>
      </c>
      <c r="J309" s="1" t="s">
        <v>1603</v>
      </c>
    </row>
    <row r="310" spans="1:10" x14ac:dyDescent="0.25">
      <c r="A310" s="1" t="s">
        <v>1</v>
      </c>
      <c r="D310" s="1" t="s">
        <v>607</v>
      </c>
      <c r="F310" s="1" t="s">
        <v>608</v>
      </c>
      <c r="H310" s="1" t="s">
        <v>1604</v>
      </c>
      <c r="I310" s="1" t="s">
        <v>1605</v>
      </c>
      <c r="J310" s="1" t="s">
        <v>1606</v>
      </c>
    </row>
    <row r="311" spans="1:10" x14ac:dyDescent="0.25">
      <c r="A311" s="1" t="s">
        <v>1</v>
      </c>
      <c r="D311" s="1" t="s">
        <v>609</v>
      </c>
      <c r="F311" s="1" t="s">
        <v>610</v>
      </c>
      <c r="H311" s="1" t="s">
        <v>1607</v>
      </c>
      <c r="I311" s="1" t="s">
        <v>1608</v>
      </c>
      <c r="J311" s="1" t="s">
        <v>1609</v>
      </c>
    </row>
    <row r="312" spans="1:10" x14ac:dyDescent="0.25">
      <c r="D312" s="1" t="s">
        <v>575</v>
      </c>
      <c r="F312" s="1" t="s">
        <v>611</v>
      </c>
      <c r="H312" s="1" t="s">
        <v>1610</v>
      </c>
      <c r="I312" s="1" t="s">
        <v>1611</v>
      </c>
      <c r="J312" s="1" t="s">
        <v>1612</v>
      </c>
    </row>
    <row r="315" spans="1:10" x14ac:dyDescent="0.25">
      <c r="C315" s="1" t="s">
        <v>179</v>
      </c>
      <c r="D315" s="1" t="s">
        <v>612</v>
      </c>
      <c r="E315" s="1" t="s">
        <v>761</v>
      </c>
    </row>
    <row r="316" spans="1:10" x14ac:dyDescent="0.25">
      <c r="D316" s="1" t="s">
        <v>613</v>
      </c>
      <c r="F316" s="1" t="s">
        <v>762</v>
      </c>
      <c r="H316" s="1" t="s">
        <v>1613</v>
      </c>
      <c r="I316" s="1" t="s">
        <v>1614</v>
      </c>
      <c r="J316" s="1" t="s">
        <v>1615</v>
      </c>
    </row>
    <row r="317" spans="1:10" x14ac:dyDescent="0.25">
      <c r="A317" s="1" t="s">
        <v>1</v>
      </c>
      <c r="D317" s="1" t="s">
        <v>614</v>
      </c>
      <c r="F317" s="1" t="s">
        <v>615</v>
      </c>
      <c r="H317" s="1" t="s">
        <v>1616</v>
      </c>
      <c r="I317" s="1" t="s">
        <v>1617</v>
      </c>
      <c r="J317" s="1" t="s">
        <v>1618</v>
      </c>
    </row>
    <row r="318" spans="1:10" x14ac:dyDescent="0.25">
      <c r="A318" s="1" t="s">
        <v>1</v>
      </c>
      <c r="D318" s="1" t="s">
        <v>616</v>
      </c>
      <c r="F318" s="1" t="s">
        <v>617</v>
      </c>
      <c r="H318" s="1" t="s">
        <v>1619</v>
      </c>
      <c r="I318" s="1" t="s">
        <v>1620</v>
      </c>
      <c r="J318" s="1" t="s">
        <v>1621</v>
      </c>
    </row>
    <row r="319" spans="1:10" x14ac:dyDescent="0.25">
      <c r="A319" s="1" t="s">
        <v>1</v>
      </c>
      <c r="D319" s="1" t="s">
        <v>618</v>
      </c>
      <c r="F319" s="1" t="s">
        <v>619</v>
      </c>
      <c r="H319" s="1" t="s">
        <v>1622</v>
      </c>
      <c r="I319" s="1" t="s">
        <v>1623</v>
      </c>
      <c r="J319" s="1" t="s">
        <v>1624</v>
      </c>
    </row>
    <row r="320" spans="1:10" x14ac:dyDescent="0.25">
      <c r="A320" s="1" t="s">
        <v>1</v>
      </c>
      <c r="D320" s="1" t="s">
        <v>620</v>
      </c>
      <c r="F320" s="1" t="s">
        <v>621</v>
      </c>
      <c r="H320" s="1" t="s">
        <v>1625</v>
      </c>
      <c r="I320" s="1" t="s">
        <v>1626</v>
      </c>
      <c r="J320" s="1" t="s">
        <v>1627</v>
      </c>
    </row>
    <row r="321" spans="1:10" x14ac:dyDescent="0.25">
      <c r="A321" s="1" t="s">
        <v>1</v>
      </c>
      <c r="D321" s="1" t="s">
        <v>622</v>
      </c>
      <c r="F321" s="1" t="s">
        <v>623</v>
      </c>
      <c r="H321" s="1" t="s">
        <v>1628</v>
      </c>
      <c r="I321" s="1" t="s">
        <v>1629</v>
      </c>
      <c r="J321" s="1" t="s">
        <v>1630</v>
      </c>
    </row>
    <row r="322" spans="1:10" x14ac:dyDescent="0.25">
      <c r="A322" s="1" t="s">
        <v>1</v>
      </c>
      <c r="D322" s="1" t="s">
        <v>624</v>
      </c>
      <c r="F322" s="1" t="s">
        <v>625</v>
      </c>
      <c r="H322" s="1" t="s">
        <v>1631</v>
      </c>
      <c r="I322" s="1" t="s">
        <v>1632</v>
      </c>
      <c r="J322" s="1" t="s">
        <v>1633</v>
      </c>
    </row>
    <row r="323" spans="1:10" x14ac:dyDescent="0.25">
      <c r="A323" s="1" t="s">
        <v>1</v>
      </c>
      <c r="D323" s="1" t="s">
        <v>626</v>
      </c>
      <c r="F323" s="1" t="s">
        <v>627</v>
      </c>
      <c r="H323" s="1" t="s">
        <v>1634</v>
      </c>
      <c r="I323" s="1" t="s">
        <v>1635</v>
      </c>
      <c r="J323" s="1" t="s">
        <v>1636</v>
      </c>
    </row>
    <row r="324" spans="1:10" x14ac:dyDescent="0.25">
      <c r="A324" s="1" t="s">
        <v>1</v>
      </c>
      <c r="D324" s="1" t="s">
        <v>628</v>
      </c>
      <c r="F324" s="1" t="s">
        <v>629</v>
      </c>
      <c r="H324" s="1" t="s">
        <v>1637</v>
      </c>
      <c r="I324" s="1" t="s">
        <v>1638</v>
      </c>
      <c r="J324" s="1" t="s">
        <v>1639</v>
      </c>
    </row>
    <row r="325" spans="1:10" x14ac:dyDescent="0.25">
      <c r="A325" s="1" t="s">
        <v>1</v>
      </c>
      <c r="D325" s="1" t="s">
        <v>630</v>
      </c>
      <c r="F325" s="1" t="s">
        <v>631</v>
      </c>
      <c r="H325" s="1" t="s">
        <v>1640</v>
      </c>
      <c r="I325" s="1" t="s">
        <v>1641</v>
      </c>
      <c r="J325" s="1" t="s">
        <v>1642</v>
      </c>
    </row>
    <row r="326" spans="1:10" x14ac:dyDescent="0.25">
      <c r="A326" s="1" t="s">
        <v>1</v>
      </c>
      <c r="D326" s="1" t="s">
        <v>632</v>
      </c>
      <c r="F326" s="1" t="s">
        <v>633</v>
      </c>
      <c r="H326" s="1" t="s">
        <v>1643</v>
      </c>
      <c r="I326" s="1" t="s">
        <v>1644</v>
      </c>
      <c r="J326" s="1" t="s">
        <v>1645</v>
      </c>
    </row>
    <row r="327" spans="1:10" x14ac:dyDescent="0.25">
      <c r="A327" s="1" t="s">
        <v>1</v>
      </c>
      <c r="D327" s="1" t="s">
        <v>634</v>
      </c>
      <c r="F327" s="1" t="s">
        <v>635</v>
      </c>
      <c r="H327" s="1" t="s">
        <v>1646</v>
      </c>
      <c r="I327" s="1" t="s">
        <v>1647</v>
      </c>
      <c r="J327" s="1" t="s">
        <v>1648</v>
      </c>
    </row>
    <row r="328" spans="1:10" x14ac:dyDescent="0.25">
      <c r="A328" s="1" t="s">
        <v>1</v>
      </c>
      <c r="D328" s="1" t="s">
        <v>636</v>
      </c>
      <c r="F328" s="1" t="s">
        <v>637</v>
      </c>
      <c r="H328" s="1" t="s">
        <v>1649</v>
      </c>
      <c r="I328" s="1" t="s">
        <v>1650</v>
      </c>
      <c r="J328" s="1" t="s">
        <v>1651</v>
      </c>
    </row>
    <row r="329" spans="1:10" x14ac:dyDescent="0.25">
      <c r="A329" s="1" t="s">
        <v>1</v>
      </c>
      <c r="D329" s="1" t="s">
        <v>638</v>
      </c>
      <c r="F329" s="1" t="s">
        <v>639</v>
      </c>
      <c r="H329" s="1" t="s">
        <v>1652</v>
      </c>
      <c r="I329" s="1" t="s">
        <v>1653</v>
      </c>
      <c r="J329" s="1" t="s">
        <v>1654</v>
      </c>
    </row>
    <row r="330" spans="1:10" x14ac:dyDescent="0.25">
      <c r="A330" s="1" t="s">
        <v>1</v>
      </c>
      <c r="D330" s="1" t="s">
        <v>640</v>
      </c>
      <c r="F330" s="1" t="s">
        <v>641</v>
      </c>
      <c r="H330" s="1" t="s">
        <v>1655</v>
      </c>
      <c r="I330" s="1" t="s">
        <v>1656</v>
      </c>
      <c r="J330" s="1" t="s">
        <v>1657</v>
      </c>
    </row>
    <row r="331" spans="1:10" x14ac:dyDescent="0.25">
      <c r="A331" s="1" t="s">
        <v>1</v>
      </c>
      <c r="D331" s="1" t="s">
        <v>642</v>
      </c>
      <c r="F331" s="1" t="s">
        <v>643</v>
      </c>
      <c r="H331" s="1" t="s">
        <v>1658</v>
      </c>
      <c r="I331" s="1" t="s">
        <v>1659</v>
      </c>
      <c r="J331" s="1" t="s">
        <v>1660</v>
      </c>
    </row>
    <row r="332" spans="1:10" x14ac:dyDescent="0.25">
      <c r="A332" s="1" t="s">
        <v>1</v>
      </c>
      <c r="D332" s="1" t="s">
        <v>644</v>
      </c>
      <c r="F332" s="1" t="s">
        <v>645</v>
      </c>
      <c r="H332" s="1" t="s">
        <v>1661</v>
      </c>
      <c r="I332" s="1" t="s">
        <v>1662</v>
      </c>
      <c r="J332" s="1" t="s">
        <v>1663</v>
      </c>
    </row>
    <row r="333" spans="1:10" x14ac:dyDescent="0.25">
      <c r="A333" s="1" t="s">
        <v>1</v>
      </c>
      <c r="D333" s="1" t="s">
        <v>646</v>
      </c>
      <c r="F333" s="1" t="s">
        <v>647</v>
      </c>
      <c r="H333" s="1" t="s">
        <v>1664</v>
      </c>
      <c r="I333" s="1" t="s">
        <v>1665</v>
      </c>
      <c r="J333" s="1" t="s">
        <v>1666</v>
      </c>
    </row>
    <row r="334" spans="1:10" x14ac:dyDescent="0.25">
      <c r="A334" s="1" t="s">
        <v>1</v>
      </c>
      <c r="D334" s="1" t="s">
        <v>648</v>
      </c>
      <c r="F334" s="1" t="s">
        <v>649</v>
      </c>
      <c r="H334" s="1" t="s">
        <v>1667</v>
      </c>
      <c r="I334" s="1" t="s">
        <v>1668</v>
      </c>
      <c r="J334" s="1" t="s">
        <v>1669</v>
      </c>
    </row>
    <row r="335" spans="1:10" x14ac:dyDescent="0.25">
      <c r="A335" s="1" t="s">
        <v>1</v>
      </c>
      <c r="D335" s="1" t="s">
        <v>650</v>
      </c>
      <c r="F335" s="1" t="s">
        <v>651</v>
      </c>
      <c r="H335" s="1" t="s">
        <v>1670</v>
      </c>
      <c r="I335" s="1" t="s">
        <v>1671</v>
      </c>
      <c r="J335" s="1" t="s">
        <v>1672</v>
      </c>
    </row>
    <row r="336" spans="1:10" x14ac:dyDescent="0.25">
      <c r="A336" s="1" t="s">
        <v>1</v>
      </c>
      <c r="D336" s="1" t="s">
        <v>652</v>
      </c>
      <c r="F336" s="1" t="s">
        <v>653</v>
      </c>
      <c r="H336" s="1" t="s">
        <v>1673</v>
      </c>
      <c r="I336" s="1" t="s">
        <v>1674</v>
      </c>
      <c r="J336" s="1" t="s">
        <v>1675</v>
      </c>
    </row>
    <row r="337" spans="1:10" x14ac:dyDescent="0.25">
      <c r="A337" s="1" t="s">
        <v>1</v>
      </c>
      <c r="D337" s="1" t="s">
        <v>654</v>
      </c>
      <c r="F337" s="1" t="s">
        <v>655</v>
      </c>
      <c r="H337" s="1" t="s">
        <v>1676</v>
      </c>
      <c r="I337" s="1" t="s">
        <v>1677</v>
      </c>
      <c r="J337" s="1" t="s">
        <v>1678</v>
      </c>
    </row>
    <row r="338" spans="1:10" x14ac:dyDescent="0.25">
      <c r="A338" s="1" t="s">
        <v>1</v>
      </c>
      <c r="D338" s="1" t="s">
        <v>656</v>
      </c>
      <c r="F338" s="1" t="s">
        <v>657</v>
      </c>
      <c r="H338" s="1" t="s">
        <v>1679</v>
      </c>
      <c r="I338" s="1" t="s">
        <v>1680</v>
      </c>
      <c r="J338" s="1" t="s">
        <v>1681</v>
      </c>
    </row>
    <row r="339" spans="1:10" x14ac:dyDescent="0.25">
      <c r="A339" s="1" t="s">
        <v>1</v>
      </c>
      <c r="D339" s="1" t="s">
        <v>658</v>
      </c>
      <c r="F339" s="1" t="s">
        <v>659</v>
      </c>
      <c r="H339" s="1" t="s">
        <v>1682</v>
      </c>
      <c r="I339" s="1" t="s">
        <v>1683</v>
      </c>
      <c r="J339" s="1" t="s">
        <v>1684</v>
      </c>
    </row>
    <row r="340" spans="1:10" x14ac:dyDescent="0.25">
      <c r="A340" s="1" t="s">
        <v>1</v>
      </c>
      <c r="D340" s="1" t="s">
        <v>660</v>
      </c>
      <c r="F340" s="1" t="s">
        <v>661</v>
      </c>
      <c r="H340" s="1" t="s">
        <v>1685</v>
      </c>
      <c r="I340" s="1" t="s">
        <v>1686</v>
      </c>
      <c r="J340" s="1" t="s">
        <v>1687</v>
      </c>
    </row>
    <row r="341" spans="1:10" x14ac:dyDescent="0.25">
      <c r="A341" s="1" t="s">
        <v>1</v>
      </c>
      <c r="D341" s="1" t="s">
        <v>662</v>
      </c>
      <c r="F341" s="1" t="s">
        <v>663</v>
      </c>
      <c r="H341" s="1" t="s">
        <v>1688</v>
      </c>
      <c r="I341" s="1" t="s">
        <v>1689</v>
      </c>
      <c r="J341" s="1" t="s">
        <v>1690</v>
      </c>
    </row>
    <row r="342" spans="1:10" x14ac:dyDescent="0.25">
      <c r="A342" s="1" t="s">
        <v>1</v>
      </c>
      <c r="D342" s="1" t="s">
        <v>664</v>
      </c>
      <c r="F342" s="1" t="s">
        <v>665</v>
      </c>
      <c r="H342" s="1" t="s">
        <v>1691</v>
      </c>
      <c r="I342" s="1" t="s">
        <v>1692</v>
      </c>
      <c r="J342" s="1" t="s">
        <v>1693</v>
      </c>
    </row>
    <row r="343" spans="1:10" x14ac:dyDescent="0.25">
      <c r="A343" s="1" t="s">
        <v>1</v>
      </c>
      <c r="D343" s="1" t="s">
        <v>666</v>
      </c>
      <c r="F343" s="1" t="s">
        <v>667</v>
      </c>
      <c r="H343" s="1" t="s">
        <v>1694</v>
      </c>
      <c r="I343" s="1" t="s">
        <v>1695</v>
      </c>
      <c r="J343" s="1" t="s">
        <v>1696</v>
      </c>
    </row>
    <row r="344" spans="1:10" x14ac:dyDescent="0.25">
      <c r="A344" s="1" t="s">
        <v>1</v>
      </c>
      <c r="D344" s="1" t="s">
        <v>668</v>
      </c>
      <c r="F344" s="1" t="s">
        <v>669</v>
      </c>
      <c r="H344" s="1" t="s">
        <v>1697</v>
      </c>
      <c r="I344" s="1" t="s">
        <v>1698</v>
      </c>
      <c r="J344" s="1" t="s">
        <v>1699</v>
      </c>
    </row>
    <row r="345" spans="1:10" x14ac:dyDescent="0.25">
      <c r="A345" s="1" t="s">
        <v>1</v>
      </c>
      <c r="D345" s="1" t="s">
        <v>670</v>
      </c>
      <c r="F345" s="1" t="s">
        <v>671</v>
      </c>
      <c r="H345" s="1" t="s">
        <v>1700</v>
      </c>
      <c r="I345" s="1" t="s">
        <v>1701</v>
      </c>
      <c r="J345" s="1" t="s">
        <v>1702</v>
      </c>
    </row>
    <row r="346" spans="1:10" x14ac:dyDescent="0.25">
      <c r="A346" s="1" t="s">
        <v>1</v>
      </c>
      <c r="D346" s="1" t="s">
        <v>672</v>
      </c>
      <c r="F346" s="1" t="s">
        <v>673</v>
      </c>
      <c r="H346" s="1" t="s">
        <v>1703</v>
      </c>
      <c r="I346" s="1" t="s">
        <v>1704</v>
      </c>
      <c r="J346" s="1" t="s">
        <v>1705</v>
      </c>
    </row>
    <row r="347" spans="1:10" x14ac:dyDescent="0.25">
      <c r="A347" s="1" t="s">
        <v>1</v>
      </c>
      <c r="D347" s="1" t="s">
        <v>674</v>
      </c>
      <c r="F347" s="1" t="s">
        <v>675</v>
      </c>
      <c r="H347" s="1" t="s">
        <v>1706</v>
      </c>
      <c r="I347" s="1" t="s">
        <v>1707</v>
      </c>
      <c r="J347" s="1" t="s">
        <v>1708</v>
      </c>
    </row>
    <row r="348" spans="1:10" x14ac:dyDescent="0.25">
      <c r="A348" s="1" t="s">
        <v>1</v>
      </c>
      <c r="D348" s="1" t="s">
        <v>676</v>
      </c>
      <c r="F348" s="1" t="s">
        <v>677</v>
      </c>
      <c r="H348" s="1" t="s">
        <v>1709</v>
      </c>
      <c r="I348" s="1" t="s">
        <v>1710</v>
      </c>
      <c r="J348" s="1" t="s">
        <v>1711</v>
      </c>
    </row>
    <row r="349" spans="1:10" x14ac:dyDescent="0.25">
      <c r="A349" s="1" t="s">
        <v>1</v>
      </c>
      <c r="D349" s="1" t="s">
        <v>678</v>
      </c>
      <c r="F349" s="1" t="s">
        <v>679</v>
      </c>
      <c r="H349" s="1" t="s">
        <v>1712</v>
      </c>
      <c r="I349" s="1" t="s">
        <v>1713</v>
      </c>
      <c r="J349" s="1" t="s">
        <v>1714</v>
      </c>
    </row>
    <row r="350" spans="1:10" x14ac:dyDescent="0.25">
      <c r="D350" s="1" t="s">
        <v>614</v>
      </c>
      <c r="F350" s="1" t="s">
        <v>680</v>
      </c>
      <c r="H350" s="1" t="s">
        <v>1715</v>
      </c>
      <c r="I350" s="1" t="s">
        <v>1716</v>
      </c>
      <c r="J350" s="1" t="s">
        <v>1717</v>
      </c>
    </row>
    <row r="353" spans="3:10" x14ac:dyDescent="0.25">
      <c r="C353" s="1" t="s">
        <v>27</v>
      </c>
      <c r="D353" s="1" t="s">
        <v>681</v>
      </c>
      <c r="E353" s="1" t="s">
        <v>763</v>
      </c>
    </row>
    <row r="354" spans="3:10" x14ac:dyDescent="0.25">
      <c r="D354" s="1" t="s">
        <v>682</v>
      </c>
      <c r="F354" s="1" t="s">
        <v>764</v>
      </c>
      <c r="H354" s="1" t="s">
        <v>1718</v>
      </c>
      <c r="I354" s="1" t="s">
        <v>1719</v>
      </c>
      <c r="J354" s="1" t="s">
        <v>1720</v>
      </c>
    </row>
    <row r="355" spans="3:10" x14ac:dyDescent="0.25">
      <c r="D355" s="1" t="s">
        <v>683</v>
      </c>
      <c r="F355" s="1" t="s">
        <v>684</v>
      </c>
      <c r="H355" s="1" t="s">
        <v>1721</v>
      </c>
      <c r="I355" s="1" t="s">
        <v>1722</v>
      </c>
      <c r="J355" s="1" t="s">
        <v>1723</v>
      </c>
    </row>
    <row r="358" spans="3:10" x14ac:dyDescent="0.25">
      <c r="E358" s="1" t="s">
        <v>77</v>
      </c>
      <c r="H358" s="1" t="s">
        <v>699</v>
      </c>
      <c r="I358" s="1" t="s">
        <v>700</v>
      </c>
      <c r="J358" s="1" t="s">
        <v>701</v>
      </c>
    </row>
    <row r="361" spans="3:10" x14ac:dyDescent="0.25">
      <c r="E361" s="1" t="s">
        <v>78</v>
      </c>
      <c r="H361" s="1" t="s">
        <v>702</v>
      </c>
      <c r="I361" s="1" t="s">
        <v>703</v>
      </c>
      <c r="J361" s="1" t="s">
        <v>704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showGridLines="0" workbookViewId="0"/>
  </sheetViews>
  <sheetFormatPr defaultColWidth="9.140625" defaultRowHeight="14.25" x14ac:dyDescent="0.25"/>
  <cols>
    <col min="1" max="1" width="3.42578125" style="57" hidden="1" customWidth="1"/>
    <col min="2" max="2" width="10.28515625" style="57" customWidth="1"/>
    <col min="3" max="3" width="27.140625" style="58" customWidth="1"/>
    <col min="4" max="4" width="77.28515625" style="59" customWidth="1"/>
    <col min="5" max="5" width="36.42578125" style="57" customWidth="1"/>
    <col min="6" max="16384" width="9.140625" style="57"/>
  </cols>
  <sheetData>
    <row r="1" spans="1:5" hidden="1" x14ac:dyDescent="0.25">
      <c r="A1" s="57" t="s">
        <v>710</v>
      </c>
    </row>
    <row r="7" spans="1:5" ht="30.75" x14ac:dyDescent="0.25">
      <c r="C7" s="60" t="s">
        <v>1735</v>
      </c>
    </row>
    <row r="9" spans="1:5" x14ac:dyDescent="0.25">
      <c r="C9" s="61"/>
    </row>
    <row r="10" spans="1:5" ht="51" x14ac:dyDescent="0.25">
      <c r="C10" s="62" t="s">
        <v>1736</v>
      </c>
      <c r="D10" s="43" t="s">
        <v>1756</v>
      </c>
    </row>
    <row r="11" spans="1:5" x14ac:dyDescent="0.25">
      <c r="C11" s="62"/>
    </row>
    <row r="12" spans="1:5" ht="28.5" x14ac:dyDescent="0.25">
      <c r="C12" s="63" t="s">
        <v>712</v>
      </c>
      <c r="D12" s="64" t="s">
        <v>1737</v>
      </c>
      <c r="E12" s="58"/>
    </row>
    <row r="13" spans="1:5" x14ac:dyDescent="0.25">
      <c r="C13" s="63"/>
      <c r="E13" s="58"/>
    </row>
    <row r="14" spans="1:5" ht="15" thickBot="1" x14ac:dyDescent="0.3">
      <c r="C14" s="62" t="s">
        <v>713</v>
      </c>
      <c r="D14" s="59" t="s">
        <v>1759</v>
      </c>
    </row>
    <row r="15" spans="1:5" ht="29.25" thickBot="1" x14ac:dyDescent="0.3">
      <c r="C15" s="62"/>
      <c r="D15" s="66" t="s">
        <v>1760</v>
      </c>
    </row>
    <row r="16" spans="1:5" x14ac:dyDescent="0.25">
      <c r="C16" s="62"/>
    </row>
    <row r="17" spans="3:5" ht="42.75" x14ac:dyDescent="0.25">
      <c r="C17" s="62" t="s">
        <v>1738</v>
      </c>
      <c r="D17" s="59" t="s">
        <v>1739</v>
      </c>
      <c r="E17" s="65" t="s">
        <v>1740</v>
      </c>
    </row>
    <row r="18" spans="3:5" x14ac:dyDescent="0.25">
      <c r="C18" s="62"/>
      <c r="E18" s="58"/>
    </row>
    <row r="19" spans="3:5" ht="28.5" x14ac:dyDescent="0.25">
      <c r="C19" s="62" t="s">
        <v>1741</v>
      </c>
      <c r="D19" s="59" t="s">
        <v>1742</v>
      </c>
      <c r="E19" s="65" t="s">
        <v>1743</v>
      </c>
    </row>
    <row r="20" spans="3:5" x14ac:dyDescent="0.25">
      <c r="C20" s="62"/>
      <c r="E20" s="58"/>
    </row>
    <row r="21" spans="3:5" ht="57" x14ac:dyDescent="0.25">
      <c r="C21" s="62" t="s">
        <v>1744</v>
      </c>
      <c r="D21" s="59" t="s">
        <v>1745</v>
      </c>
      <c r="E21" s="65" t="s">
        <v>1746</v>
      </c>
    </row>
    <row r="22" spans="3:5" x14ac:dyDescent="0.25">
      <c r="C22" s="62"/>
      <c r="E22" s="58"/>
    </row>
    <row r="23" spans="3:5" ht="30.75" customHeight="1" x14ac:dyDescent="0.25">
      <c r="C23" s="62" t="s">
        <v>715</v>
      </c>
      <c r="D23" s="59" t="s">
        <v>1747</v>
      </c>
      <c r="E23" s="65" t="s">
        <v>1748</v>
      </c>
    </row>
    <row r="24" spans="3:5" x14ac:dyDescent="0.25">
      <c r="C24" s="62"/>
      <c r="E24" s="58"/>
    </row>
    <row r="25" spans="3:5" ht="14.25" customHeight="1" x14ac:dyDescent="0.25">
      <c r="C25" s="62" t="s">
        <v>716</v>
      </c>
      <c r="D25" s="59" t="s">
        <v>1749</v>
      </c>
      <c r="E25" s="65" t="s">
        <v>1750</v>
      </c>
    </row>
    <row r="26" spans="3:5" x14ac:dyDescent="0.25">
      <c r="C26" s="62"/>
      <c r="E26" s="58"/>
    </row>
    <row r="27" spans="3:5" ht="15" customHeight="1" x14ac:dyDescent="0.25">
      <c r="C27" s="62" t="s">
        <v>0</v>
      </c>
      <c r="D27" s="59" t="s">
        <v>1751</v>
      </c>
      <c r="E27" s="65" t="s">
        <v>1752</v>
      </c>
    </row>
    <row r="28" spans="3:5" x14ac:dyDescent="0.25">
      <c r="C28" s="62"/>
    </row>
    <row r="29" spans="3:5" ht="71.25" x14ac:dyDescent="0.25">
      <c r="C29" s="62" t="s">
        <v>714</v>
      </c>
      <c r="D29" s="59" t="s">
        <v>1753</v>
      </c>
    </row>
    <row r="30" spans="3:5" x14ac:dyDescent="0.25">
      <c r="C30" s="62"/>
    </row>
    <row r="31" spans="3:5" ht="17.25" customHeight="1" x14ac:dyDescent="0.25">
      <c r="C31" s="62" t="s">
        <v>717</v>
      </c>
      <c r="D31" s="59" t="s">
        <v>1754</v>
      </c>
    </row>
  </sheetData>
  <hyperlinks>
    <hyperlink ref="E23" r:id="rId1"/>
    <hyperlink ref="E19" r:id="rId2"/>
    <hyperlink ref="E17" r:id="rId3"/>
    <hyperlink ref="E27" r:id="rId4"/>
    <hyperlink ref="E21" r:id="rId5"/>
    <hyperlink ref="E25" r:id="rId6"/>
  </hyperlinks>
  <pageMargins left="0.7" right="0.7" top="0.75" bottom="0.75" header="0.3" footer="0.3"/>
  <pageSetup scale="71" orientation="landscape"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election activeCell="ALL1000" sqref="ALL1000"/>
    </sheetView>
  </sheetViews>
  <sheetFormatPr defaultRowHeight="15" x14ac:dyDescent="0.25"/>
  <cols>
    <col min="1" max="1" width="9.140625" hidden="1" customWidth="1"/>
    <col min="2" max="2" width="22.28515625" customWidth="1"/>
    <col min="3" max="4" width="22.28515625" style="38" customWidth="1"/>
  </cols>
  <sheetData>
    <row r="1" spans="1:5" hidden="1" x14ac:dyDescent="0.25">
      <c r="A1" s="2" t="s">
        <v>1764</v>
      </c>
      <c r="B1" s="2" t="s">
        <v>3</v>
      </c>
      <c r="C1" s="3" t="s">
        <v>4</v>
      </c>
      <c r="D1" s="3" t="s">
        <v>5</v>
      </c>
      <c r="E1" s="2"/>
    </row>
    <row r="2" spans="1:5" x14ac:dyDescent="0.25">
      <c r="A2" s="2"/>
      <c r="B2" s="2"/>
      <c r="C2" s="3"/>
      <c r="D2" s="3"/>
      <c r="E2" s="2"/>
    </row>
    <row r="3" spans="1:5" ht="15.75" x14ac:dyDescent="0.25">
      <c r="A3" s="2"/>
      <c r="B3" s="29"/>
      <c r="C3" s="34" t="s">
        <v>6</v>
      </c>
      <c r="D3" s="35"/>
    </row>
    <row r="4" spans="1:5" x14ac:dyDescent="0.25">
      <c r="A4" s="2" t="s">
        <v>7</v>
      </c>
      <c r="B4" s="30" t="s">
        <v>8</v>
      </c>
      <c r="C4" s="31" t="str">
        <f>"1/1/2014"</f>
        <v>1/1/2014</v>
      </c>
      <c r="D4" s="32"/>
      <c r="E4" s="4" t="str">
        <f>"1/1/2014..3/12/2014"</f>
        <v>1/1/2014..3/12/2014</v>
      </c>
    </row>
    <row r="5" spans="1:5" x14ac:dyDescent="0.25">
      <c r="A5" s="2" t="s">
        <v>7</v>
      </c>
      <c r="B5" s="30" t="s">
        <v>9</v>
      </c>
      <c r="C5" s="31" t="str">
        <f>"3/12/2014"</f>
        <v>3/12/2014</v>
      </c>
      <c r="D5" s="32"/>
    </row>
    <row r="6" spans="1:5" x14ac:dyDescent="0.25">
      <c r="A6" s="2" t="s">
        <v>7</v>
      </c>
      <c r="B6" s="41" t="s">
        <v>705</v>
      </c>
      <c r="C6" s="42" t="str">
        <f>"GP Cube"</f>
        <v>GP Cube</v>
      </c>
      <c r="D6" s="32" t="str">
        <f>"Lookup"</f>
        <v>Lookup</v>
      </c>
    </row>
    <row r="7" spans="1:5" x14ac:dyDescent="0.25">
      <c r="A7" s="2" t="s">
        <v>7</v>
      </c>
      <c r="B7" s="33" t="s">
        <v>96</v>
      </c>
      <c r="C7" s="36" t="str">
        <f>"Posting Account"</f>
        <v>Posting Account</v>
      </c>
      <c r="D7" s="37" t="str">
        <f>"Lookup"</f>
        <v>Lookup</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Z368"/>
  <sheetViews>
    <sheetView showGridLines="0" topLeftCell="B2" zoomScale="90" zoomScaleNormal="90" workbookViewId="0"/>
  </sheetViews>
  <sheetFormatPr defaultRowHeight="15" outlineLevelRow="1" x14ac:dyDescent="0.25"/>
  <cols>
    <col min="1" max="1" width="9.140625" style="15" hidden="1" customWidth="1"/>
    <col min="2" max="2" width="9.140625" customWidth="1"/>
    <col min="3" max="3" width="9.140625" hidden="1" customWidth="1"/>
    <col min="4" max="4" width="4" style="15" hidden="1" customWidth="1"/>
    <col min="5" max="5" width="10" customWidth="1"/>
    <col min="6" max="6" width="37" bestFit="1" customWidth="1"/>
    <col min="8" max="10" width="17.85546875" customWidth="1"/>
    <col min="11" max="11" width="3.85546875" hidden="1" customWidth="1"/>
    <col min="12" max="12" width="3.85546875" customWidth="1"/>
    <col min="13" max="13" width="9.7109375" bestFit="1" customWidth="1"/>
    <col min="14" max="25" width="10.7109375" bestFit="1" customWidth="1"/>
  </cols>
  <sheetData>
    <row r="1" spans="1:26" hidden="1" x14ac:dyDescent="0.25">
      <c r="A1" s="39" t="s">
        <v>1766</v>
      </c>
      <c r="B1" s="39"/>
      <c r="C1" s="39" t="s">
        <v>13</v>
      </c>
      <c r="D1" s="39" t="s">
        <v>13</v>
      </c>
      <c r="E1" s="39"/>
      <c r="F1" s="39"/>
      <c r="G1" s="39"/>
      <c r="H1" s="39"/>
      <c r="I1" s="39" t="s">
        <v>1</v>
      </c>
      <c r="J1" s="39" t="s">
        <v>1</v>
      </c>
      <c r="K1" s="39" t="s">
        <v>10</v>
      </c>
      <c r="L1" s="39"/>
      <c r="M1" s="39"/>
      <c r="N1" s="39"/>
      <c r="O1" s="39"/>
      <c r="P1" s="39"/>
      <c r="Q1" s="39"/>
      <c r="R1" s="39"/>
      <c r="S1" s="39"/>
      <c r="T1" s="39"/>
      <c r="U1" s="39"/>
      <c r="V1" s="39"/>
      <c r="W1" s="39"/>
      <c r="X1" s="39"/>
      <c r="Y1" s="39"/>
      <c r="Z1" s="39"/>
    </row>
    <row r="2" spans="1:26" x14ac:dyDescent="0.25">
      <c r="A2" s="39"/>
      <c r="K2" s="5"/>
      <c r="L2" s="5"/>
    </row>
    <row r="3" spans="1:26" ht="19.5" x14ac:dyDescent="0.3">
      <c r="A3" s="39"/>
      <c r="E3" s="9" t="s">
        <v>11</v>
      </c>
    </row>
    <row r="4" spans="1:26" x14ac:dyDescent="0.25">
      <c r="A4" s="39"/>
    </row>
    <row r="5" spans="1:26" hidden="1" x14ac:dyDescent="0.25">
      <c r="A5" s="39" t="s">
        <v>10</v>
      </c>
      <c r="H5" s="18">
        <v>41640</v>
      </c>
      <c r="I5" s="18">
        <v>41671</v>
      </c>
      <c r="J5" s="18">
        <v>41699</v>
      </c>
    </row>
    <row r="6" spans="1:26" hidden="1" x14ac:dyDescent="0.25">
      <c r="A6" s="39" t="s">
        <v>13</v>
      </c>
      <c r="H6" s="18" t="str">
        <f>"1/1/2014..1/31/2014"</f>
        <v>1/1/2014..1/31/2014</v>
      </c>
      <c r="I6" s="18" t="str">
        <f>"2/1/2014..2/28/2014"</f>
        <v>2/1/2014..2/28/2014</v>
      </c>
      <c r="J6" s="18" t="str">
        <f>"3/1/2014..3/31/2014"</f>
        <v>3/1/2014..3/31/2014</v>
      </c>
    </row>
    <row r="7" spans="1:26" x14ac:dyDescent="0.25">
      <c r="A7" s="39"/>
      <c r="C7" s="45" t="s">
        <v>718</v>
      </c>
      <c r="E7" s="6"/>
      <c r="F7" s="6"/>
      <c r="G7" s="6"/>
      <c r="H7" s="19" t="str">
        <f>"2014 Jan"</f>
        <v>2014 Jan</v>
      </c>
      <c r="I7" s="19" t="str">
        <f>"2014 Feb"</f>
        <v>2014 Feb</v>
      </c>
      <c r="J7" s="19" t="str">
        <f>"2014 Mar"</f>
        <v>2014 Mar</v>
      </c>
    </row>
    <row r="8" spans="1:26" ht="15.75" collapsed="1" x14ac:dyDescent="0.25">
      <c r="A8" s="39"/>
      <c r="C8" s="44">
        <v>31</v>
      </c>
      <c r="D8" s="15" t="str">
        <f>E8</f>
        <v>Sales</v>
      </c>
      <c r="E8" s="13" t="str">
        <f>"Sales"</f>
        <v>Sales</v>
      </c>
      <c r="F8" s="10"/>
      <c r="G8" s="11"/>
      <c r="H8" s="10"/>
      <c r="I8" s="10"/>
      <c r="J8" s="10"/>
    </row>
    <row r="9" spans="1:26" ht="15.75" hidden="1" outlineLevel="1" x14ac:dyDescent="0.25">
      <c r="A9" s="39"/>
      <c r="C9" s="45"/>
      <c r="D9" s="15" t="str">
        <f>D8</f>
        <v>Sales</v>
      </c>
      <c r="E9" s="16"/>
      <c r="F9" s="20" t="str">
        <f>"000-4100-00 - Sales"</f>
        <v>000-4100-00 - Sales</v>
      </c>
      <c r="G9" s="20"/>
      <c r="H9" s="23">
        <v>0</v>
      </c>
      <c r="I9" s="23">
        <v>0</v>
      </c>
      <c r="J9" s="23">
        <v>0</v>
      </c>
    </row>
    <row r="10" spans="1:26" ht="15.75" hidden="1" outlineLevel="1" x14ac:dyDescent="0.25">
      <c r="A10" s="39" t="s">
        <v>1</v>
      </c>
      <c r="C10" s="45"/>
      <c r="D10" s="15" t="str">
        <f t="shared" ref="D10:D52" si="0">D9</f>
        <v>Sales</v>
      </c>
      <c r="E10" s="16"/>
      <c r="F10" s="20" t="str">
        <f>"000-4110-01 - US Sales - Retail/Parts"</f>
        <v>000-4110-01 - US Sales - Retail/Parts</v>
      </c>
      <c r="G10" s="20"/>
      <c r="H10" s="23">
        <v>2040374.159999999</v>
      </c>
      <c r="I10" s="23">
        <v>0</v>
      </c>
      <c r="J10" s="23">
        <v>0</v>
      </c>
    </row>
    <row r="11" spans="1:26" ht="15.75" hidden="1" outlineLevel="1" x14ac:dyDescent="0.25">
      <c r="A11" s="39" t="s">
        <v>1</v>
      </c>
      <c r="C11" s="45"/>
      <c r="D11" s="15" t="str">
        <f t="shared" si="0"/>
        <v>Sales</v>
      </c>
      <c r="E11" s="16"/>
      <c r="F11" s="20" t="str">
        <f>"000-4110-02 - US Sales - Finished Goods"</f>
        <v>000-4110-02 - US Sales - Finished Goods</v>
      </c>
      <c r="G11" s="20"/>
      <c r="H11" s="23">
        <v>112851.48</v>
      </c>
      <c r="I11" s="23">
        <v>219.9</v>
      </c>
      <c r="J11" s="23">
        <v>0</v>
      </c>
    </row>
    <row r="12" spans="1:26" ht="15.75" hidden="1" outlineLevel="1" x14ac:dyDescent="0.25">
      <c r="A12" s="39" t="s">
        <v>1</v>
      </c>
      <c r="C12" s="45"/>
      <c r="D12" s="15" t="str">
        <f t="shared" si="0"/>
        <v>Sales</v>
      </c>
      <c r="E12" s="16"/>
      <c r="F12" s="20" t="str">
        <f>"000-4111-01 - Canadian Sales - Retail/Parts"</f>
        <v>000-4111-01 - Canadian Sales - Retail/Parts</v>
      </c>
      <c r="G12" s="20"/>
      <c r="H12" s="23">
        <v>90417.10000000002</v>
      </c>
      <c r="I12" s="23">
        <v>0</v>
      </c>
      <c r="J12" s="23">
        <v>0</v>
      </c>
    </row>
    <row r="13" spans="1:26" ht="15.75" hidden="1" outlineLevel="1" x14ac:dyDescent="0.25">
      <c r="A13" s="39" t="s">
        <v>1</v>
      </c>
      <c r="C13" s="45"/>
      <c r="D13" s="15" t="str">
        <f t="shared" si="0"/>
        <v>Sales</v>
      </c>
      <c r="E13" s="16"/>
      <c r="F13" s="20" t="str">
        <f>"000-4111-02 - Canadian Sales - Finished Goods"</f>
        <v>000-4111-02 - Canadian Sales - Finished Goods</v>
      </c>
      <c r="G13" s="20"/>
      <c r="H13" s="23">
        <v>0</v>
      </c>
      <c r="I13" s="23">
        <v>0</v>
      </c>
      <c r="J13" s="23">
        <v>0</v>
      </c>
    </row>
    <row r="14" spans="1:26" ht="15.75" hidden="1" outlineLevel="1" x14ac:dyDescent="0.25">
      <c r="A14" s="39" t="s">
        <v>1</v>
      </c>
      <c r="C14" s="45"/>
      <c r="D14" s="15" t="str">
        <f t="shared" si="0"/>
        <v>Sales</v>
      </c>
      <c r="E14" s="16"/>
      <c r="F14" s="20" t="str">
        <f>"000-4112-01 - AustralAsian Sales - Retail/Parts"</f>
        <v>000-4112-01 - AustralAsian Sales - Retail/Parts</v>
      </c>
      <c r="G14" s="20"/>
      <c r="H14" s="23">
        <v>193873.14</v>
      </c>
      <c r="I14" s="23">
        <v>0</v>
      </c>
      <c r="J14" s="23">
        <v>0</v>
      </c>
    </row>
    <row r="15" spans="1:26" ht="15.75" hidden="1" outlineLevel="1" x14ac:dyDescent="0.25">
      <c r="A15" s="39" t="s">
        <v>1</v>
      </c>
      <c r="C15" s="45"/>
      <c r="D15" s="15" t="str">
        <f t="shared" si="0"/>
        <v>Sales</v>
      </c>
      <c r="E15" s="16"/>
      <c r="F15" s="20" t="str">
        <f>"000-4112-02 - AustralAsian Sales - Finished Goods"</f>
        <v>000-4112-02 - AustralAsian Sales - Finished Goods</v>
      </c>
      <c r="G15" s="20"/>
      <c r="H15" s="23">
        <v>12581.3</v>
      </c>
      <c r="I15" s="23">
        <v>0</v>
      </c>
      <c r="J15" s="23">
        <v>0</v>
      </c>
    </row>
    <row r="16" spans="1:26" ht="15.75" hidden="1" outlineLevel="1" x14ac:dyDescent="0.25">
      <c r="A16" s="39" t="s">
        <v>1</v>
      </c>
      <c r="C16" s="45"/>
      <c r="D16" s="15" t="str">
        <f t="shared" si="0"/>
        <v>Sales</v>
      </c>
      <c r="E16" s="16"/>
      <c r="F16" s="20" t="str">
        <f>"000-4114-01 - Germany Sales - Retail/Parts"</f>
        <v>000-4114-01 - Germany Sales - Retail/Parts</v>
      </c>
      <c r="G16" s="20"/>
      <c r="H16" s="23">
        <v>0</v>
      </c>
      <c r="I16" s="23">
        <v>0</v>
      </c>
      <c r="J16" s="23">
        <v>0</v>
      </c>
    </row>
    <row r="17" spans="1:10" ht="15.75" hidden="1" outlineLevel="1" x14ac:dyDescent="0.25">
      <c r="A17" s="39" t="s">
        <v>1</v>
      </c>
      <c r="C17" s="45"/>
      <c r="D17" s="15" t="str">
        <f t="shared" si="0"/>
        <v>Sales</v>
      </c>
      <c r="E17" s="16"/>
      <c r="F17" s="20" t="str">
        <f>"000-4114-02 - Germany Sales - Finished Goods"</f>
        <v>000-4114-02 - Germany Sales - Finished Goods</v>
      </c>
      <c r="G17" s="20"/>
      <c r="H17" s="23">
        <v>0</v>
      </c>
      <c r="I17" s="23">
        <v>0</v>
      </c>
      <c r="J17" s="23">
        <v>0</v>
      </c>
    </row>
    <row r="18" spans="1:10" ht="15.75" hidden="1" outlineLevel="1" x14ac:dyDescent="0.25">
      <c r="A18" s="39" t="s">
        <v>1</v>
      </c>
      <c r="C18" s="45"/>
      <c r="D18" s="15" t="str">
        <f t="shared" si="0"/>
        <v>Sales</v>
      </c>
      <c r="E18" s="16"/>
      <c r="F18" s="20" t="str">
        <f>"000-4115-01 - United Kingdom Sales - Retail/Parts"</f>
        <v>000-4115-01 - United Kingdom Sales - Retail/Parts</v>
      </c>
      <c r="G18" s="20"/>
      <c r="H18" s="23">
        <v>1788.24</v>
      </c>
      <c r="I18" s="23">
        <v>0</v>
      </c>
      <c r="J18" s="23">
        <v>0</v>
      </c>
    </row>
    <row r="19" spans="1:10" ht="15.75" hidden="1" outlineLevel="1" x14ac:dyDescent="0.25">
      <c r="A19" s="39" t="s">
        <v>1</v>
      </c>
      <c r="C19" s="45"/>
      <c r="D19" s="15" t="str">
        <f t="shared" si="0"/>
        <v>Sales</v>
      </c>
      <c r="E19" s="16"/>
      <c r="F19" s="20" t="str">
        <f>"000-4115-02 - United Kingdom Sales - Finished Goods"</f>
        <v>000-4115-02 - United Kingdom Sales - Finished Goods</v>
      </c>
      <c r="G19" s="20"/>
      <c r="H19" s="23">
        <v>13084.24</v>
      </c>
      <c r="I19" s="23">
        <v>0</v>
      </c>
      <c r="J19" s="23">
        <v>0</v>
      </c>
    </row>
    <row r="20" spans="1:10" ht="15.75" hidden="1" outlineLevel="1" x14ac:dyDescent="0.25">
      <c r="A20" s="39" t="s">
        <v>1</v>
      </c>
      <c r="C20" s="45"/>
      <c r="D20" s="15" t="str">
        <f t="shared" si="0"/>
        <v>Sales</v>
      </c>
      <c r="E20" s="16"/>
      <c r="F20" s="20" t="str">
        <f>"000-4116-01 - South Africa - Retail/Parts"</f>
        <v>000-4116-01 - South Africa - Retail/Parts</v>
      </c>
      <c r="G20" s="20"/>
      <c r="H20" s="23">
        <v>10068.66</v>
      </c>
      <c r="I20" s="23">
        <v>0</v>
      </c>
      <c r="J20" s="23">
        <v>0</v>
      </c>
    </row>
    <row r="21" spans="1:10" ht="15.75" hidden="1" outlineLevel="1" x14ac:dyDescent="0.25">
      <c r="A21" s="39" t="s">
        <v>1</v>
      </c>
      <c r="C21" s="45"/>
      <c r="D21" s="15" t="str">
        <f t="shared" si="0"/>
        <v>Sales</v>
      </c>
      <c r="E21" s="16"/>
      <c r="F21" s="20" t="str">
        <f>"000-4116-02 - South Africa Sales - Finished Goods"</f>
        <v>000-4116-02 - South Africa Sales - Finished Goods</v>
      </c>
      <c r="G21" s="20"/>
      <c r="H21" s="23">
        <v>0</v>
      </c>
      <c r="I21" s="23">
        <v>0</v>
      </c>
      <c r="J21" s="23">
        <v>0</v>
      </c>
    </row>
    <row r="22" spans="1:10" ht="15.75" hidden="1" outlineLevel="1" x14ac:dyDescent="0.25">
      <c r="A22" s="39" t="s">
        <v>1</v>
      </c>
      <c r="C22" s="45"/>
      <c r="D22" s="15" t="str">
        <f t="shared" si="0"/>
        <v>Sales</v>
      </c>
      <c r="E22" s="16"/>
      <c r="F22" s="20" t="str">
        <f>"000-4117-01 - Singapore Sales - Retail/Parts"</f>
        <v>000-4117-01 - Singapore Sales - Retail/Parts</v>
      </c>
      <c r="G22" s="20"/>
      <c r="H22" s="23">
        <v>3386.64</v>
      </c>
      <c r="I22" s="23">
        <v>0</v>
      </c>
      <c r="J22" s="23">
        <v>0</v>
      </c>
    </row>
    <row r="23" spans="1:10" ht="15.75" hidden="1" outlineLevel="1" x14ac:dyDescent="0.25">
      <c r="A23" s="39" t="s">
        <v>1</v>
      </c>
      <c r="C23" s="45"/>
      <c r="D23" s="15" t="str">
        <f t="shared" si="0"/>
        <v>Sales</v>
      </c>
      <c r="E23" s="16"/>
      <c r="F23" s="20" t="str">
        <f>"000-4117-02 - Singapore Sales - Finished Goods"</f>
        <v>000-4117-02 - Singapore Sales - Finished Goods</v>
      </c>
      <c r="G23" s="20"/>
      <c r="H23" s="23">
        <v>3386.64</v>
      </c>
      <c r="I23" s="23">
        <v>0</v>
      </c>
      <c r="J23" s="23">
        <v>0</v>
      </c>
    </row>
    <row r="24" spans="1:10" ht="15.75" hidden="1" outlineLevel="1" x14ac:dyDescent="0.25">
      <c r="A24" s="39" t="s">
        <v>1</v>
      </c>
      <c r="C24" s="45"/>
      <c r="D24" s="15" t="str">
        <f t="shared" si="0"/>
        <v>Sales</v>
      </c>
      <c r="E24" s="16"/>
      <c r="F24" s="20" t="str">
        <f>"000-4120-00 - US Sales - Service Plans"</f>
        <v>000-4120-00 - US Sales - Service Plans</v>
      </c>
      <c r="G24" s="20"/>
      <c r="H24" s="23">
        <v>333789.07999999996</v>
      </c>
      <c r="I24" s="23">
        <v>0</v>
      </c>
      <c r="J24" s="23">
        <v>0</v>
      </c>
    </row>
    <row r="25" spans="1:10" ht="15.75" hidden="1" outlineLevel="1" x14ac:dyDescent="0.25">
      <c r="A25" s="39" t="s">
        <v>1</v>
      </c>
      <c r="C25" s="45"/>
      <c r="D25" s="15" t="str">
        <f t="shared" si="0"/>
        <v>Sales</v>
      </c>
      <c r="E25" s="16"/>
      <c r="F25" s="20" t="str">
        <f>"000-4121-00 - Canadian Sales - Service Plans"</f>
        <v>000-4121-00 - Canadian Sales - Service Plans</v>
      </c>
      <c r="G25" s="20"/>
      <c r="H25" s="23">
        <v>0</v>
      </c>
      <c r="I25" s="23">
        <v>0</v>
      </c>
      <c r="J25" s="23">
        <v>0</v>
      </c>
    </row>
    <row r="26" spans="1:10" ht="15.75" hidden="1" outlineLevel="1" x14ac:dyDescent="0.25">
      <c r="A26" s="39" t="s">
        <v>1</v>
      </c>
      <c r="C26" s="45"/>
      <c r="D26" s="15" t="str">
        <f t="shared" si="0"/>
        <v>Sales</v>
      </c>
      <c r="E26" s="16"/>
      <c r="F26" s="20" t="str">
        <f>"000-4122-00 - AustralAsian Sales - Service Plans"</f>
        <v>000-4122-00 - AustralAsian Sales - Service Plans</v>
      </c>
      <c r="G26" s="20"/>
      <c r="H26" s="23">
        <v>25000</v>
      </c>
      <c r="I26" s="23">
        <v>0</v>
      </c>
      <c r="J26" s="23">
        <v>0</v>
      </c>
    </row>
    <row r="27" spans="1:10" ht="15.75" hidden="1" outlineLevel="1" x14ac:dyDescent="0.25">
      <c r="A27" s="39" t="s">
        <v>1</v>
      </c>
      <c r="C27" s="45"/>
      <c r="D27" s="15" t="str">
        <f t="shared" si="0"/>
        <v>Sales</v>
      </c>
      <c r="E27" s="16"/>
      <c r="F27" s="20" t="str">
        <f>"000-4124-00 - Germany Sales - Service Plans"</f>
        <v>000-4124-00 - Germany Sales - Service Plans</v>
      </c>
      <c r="G27" s="20"/>
      <c r="H27" s="23">
        <v>0</v>
      </c>
      <c r="I27" s="23">
        <v>0</v>
      </c>
      <c r="J27" s="23">
        <v>0</v>
      </c>
    </row>
    <row r="28" spans="1:10" ht="15.75" hidden="1" outlineLevel="1" x14ac:dyDescent="0.25">
      <c r="A28" s="39" t="s">
        <v>1</v>
      </c>
      <c r="C28" s="45"/>
      <c r="D28" s="15" t="str">
        <f t="shared" si="0"/>
        <v>Sales</v>
      </c>
      <c r="E28" s="16"/>
      <c r="F28" s="20" t="str">
        <f>"000-4125-00 - United Kingdom Sales - Service Plans"</f>
        <v>000-4125-00 - United Kingdom Sales - Service Plans</v>
      </c>
      <c r="G28" s="20"/>
      <c r="H28" s="23">
        <v>0</v>
      </c>
      <c r="I28" s="23">
        <v>0</v>
      </c>
      <c r="J28" s="23">
        <v>0</v>
      </c>
    </row>
    <row r="29" spans="1:10" ht="15.75" hidden="1" outlineLevel="1" x14ac:dyDescent="0.25">
      <c r="A29" s="39" t="s">
        <v>1</v>
      </c>
      <c r="C29" s="45"/>
      <c r="D29" s="15" t="str">
        <f t="shared" si="0"/>
        <v>Sales</v>
      </c>
      <c r="E29" s="16"/>
      <c r="F29" s="20" t="str">
        <f>"000-4126-00 - South Africa Sales - Service Plans"</f>
        <v>000-4126-00 - South Africa Sales - Service Plans</v>
      </c>
      <c r="G29" s="20"/>
      <c r="H29" s="23">
        <v>0</v>
      </c>
      <c r="I29" s="23">
        <v>0</v>
      </c>
      <c r="J29" s="23">
        <v>0</v>
      </c>
    </row>
    <row r="30" spans="1:10" ht="15.75" hidden="1" outlineLevel="1" x14ac:dyDescent="0.25">
      <c r="A30" s="39" t="s">
        <v>1</v>
      </c>
      <c r="C30" s="45"/>
      <c r="D30" s="15" t="str">
        <f t="shared" si="0"/>
        <v>Sales</v>
      </c>
      <c r="E30" s="16"/>
      <c r="F30" s="20" t="str">
        <f>"000-4127-00 - Singapore Sales - Service Plans"</f>
        <v>000-4127-00 - Singapore Sales - Service Plans</v>
      </c>
      <c r="G30" s="20"/>
      <c r="H30" s="23">
        <v>0</v>
      </c>
      <c r="I30" s="23">
        <v>0</v>
      </c>
      <c r="J30" s="23">
        <v>0</v>
      </c>
    </row>
    <row r="31" spans="1:10" ht="15.75" hidden="1" outlineLevel="1" x14ac:dyDescent="0.25">
      <c r="A31" s="39" t="s">
        <v>1</v>
      </c>
      <c r="C31" s="45"/>
      <c r="D31" s="15" t="str">
        <f t="shared" si="0"/>
        <v>Sales</v>
      </c>
      <c r="E31" s="16"/>
      <c r="F31" s="20" t="str">
        <f>"000-4130-00 - US Sales - Installation Charges"</f>
        <v>000-4130-00 - US Sales - Installation Charges</v>
      </c>
      <c r="G31" s="20"/>
      <c r="H31" s="23">
        <v>423495.56</v>
      </c>
      <c r="I31" s="23">
        <v>0</v>
      </c>
      <c r="J31" s="23">
        <v>0</v>
      </c>
    </row>
    <row r="32" spans="1:10" ht="15.75" hidden="1" outlineLevel="1" x14ac:dyDescent="0.25">
      <c r="A32" s="39" t="s">
        <v>1</v>
      </c>
      <c r="C32" s="45"/>
      <c r="D32" s="15" t="str">
        <f t="shared" si="0"/>
        <v>Sales</v>
      </c>
      <c r="E32" s="16"/>
      <c r="F32" s="20" t="str">
        <f>"000-4131-00 - Canadian Sales - Installation Charges"</f>
        <v>000-4131-00 - Canadian Sales - Installation Charges</v>
      </c>
      <c r="G32" s="20"/>
      <c r="H32" s="23">
        <v>0</v>
      </c>
      <c r="I32" s="23">
        <v>0</v>
      </c>
      <c r="J32" s="23">
        <v>0</v>
      </c>
    </row>
    <row r="33" spans="1:10" ht="15.75" hidden="1" outlineLevel="1" x14ac:dyDescent="0.25">
      <c r="A33" s="39" t="s">
        <v>1</v>
      </c>
      <c r="C33" s="45"/>
      <c r="D33" s="15" t="str">
        <f t="shared" si="0"/>
        <v>Sales</v>
      </c>
      <c r="E33" s="16"/>
      <c r="F33" s="20" t="str">
        <f>"000-4132-00 - AustralAsian Sales - Installation Charges"</f>
        <v>000-4132-00 - AustralAsian Sales - Installation Charges</v>
      </c>
      <c r="G33" s="20"/>
      <c r="H33" s="23">
        <v>22309.18</v>
      </c>
      <c r="I33" s="23">
        <v>0</v>
      </c>
      <c r="J33" s="23">
        <v>0</v>
      </c>
    </row>
    <row r="34" spans="1:10" ht="15.75" hidden="1" outlineLevel="1" x14ac:dyDescent="0.25">
      <c r="A34" s="39" t="s">
        <v>1</v>
      </c>
      <c r="C34" s="45"/>
      <c r="D34" s="15" t="str">
        <f t="shared" si="0"/>
        <v>Sales</v>
      </c>
      <c r="E34" s="16"/>
      <c r="F34" s="20" t="str">
        <f>"000-4134-00 - Germany Sales - Installation Charges"</f>
        <v>000-4134-00 - Germany Sales - Installation Charges</v>
      </c>
      <c r="G34" s="20"/>
      <c r="H34" s="23">
        <v>0</v>
      </c>
      <c r="I34" s="23">
        <v>0</v>
      </c>
      <c r="J34" s="23">
        <v>0</v>
      </c>
    </row>
    <row r="35" spans="1:10" ht="15.75" hidden="1" outlineLevel="1" x14ac:dyDescent="0.25">
      <c r="A35" s="39" t="s">
        <v>1</v>
      </c>
      <c r="C35" s="45"/>
      <c r="D35" s="15" t="str">
        <f t="shared" si="0"/>
        <v>Sales</v>
      </c>
      <c r="E35" s="16"/>
      <c r="F35" s="20" t="str">
        <f>"000-4135-00 - United Kingdom Sales - Installation Charges"</f>
        <v>000-4135-00 - United Kingdom Sales - Installation Charges</v>
      </c>
      <c r="G35" s="20"/>
      <c r="H35" s="23">
        <v>0</v>
      </c>
      <c r="I35" s="23">
        <v>0</v>
      </c>
      <c r="J35" s="23">
        <v>0</v>
      </c>
    </row>
    <row r="36" spans="1:10" ht="15.75" hidden="1" outlineLevel="1" x14ac:dyDescent="0.25">
      <c r="A36" s="39" t="s">
        <v>1</v>
      </c>
      <c r="C36" s="45"/>
      <c r="D36" s="15" t="str">
        <f t="shared" si="0"/>
        <v>Sales</v>
      </c>
      <c r="E36" s="16"/>
      <c r="F36" s="20" t="str">
        <f>"000-4136-00 - South Africa Sales - Installation Charges"</f>
        <v>000-4136-00 - South Africa Sales - Installation Charges</v>
      </c>
      <c r="G36" s="20"/>
      <c r="H36" s="23">
        <v>0</v>
      </c>
      <c r="I36" s="23">
        <v>0</v>
      </c>
      <c r="J36" s="23">
        <v>0</v>
      </c>
    </row>
    <row r="37" spans="1:10" ht="15.75" hidden="1" outlineLevel="1" x14ac:dyDescent="0.25">
      <c r="A37" s="39" t="s">
        <v>1</v>
      </c>
      <c r="C37" s="45"/>
      <c r="D37" s="15" t="str">
        <f t="shared" si="0"/>
        <v>Sales</v>
      </c>
      <c r="E37" s="16"/>
      <c r="F37" s="20" t="str">
        <f>"000-4137-00 - Singapore Sales - Installation Charges"</f>
        <v>000-4137-00 - Singapore Sales - Installation Charges</v>
      </c>
      <c r="G37" s="20"/>
      <c r="H37" s="23">
        <v>0</v>
      </c>
      <c r="I37" s="23">
        <v>0</v>
      </c>
      <c r="J37" s="23">
        <v>0</v>
      </c>
    </row>
    <row r="38" spans="1:10" ht="15.75" hidden="1" outlineLevel="1" x14ac:dyDescent="0.25">
      <c r="A38" s="39" t="s">
        <v>1</v>
      </c>
      <c r="C38" s="45"/>
      <c r="D38" s="15" t="str">
        <f t="shared" si="0"/>
        <v>Sales</v>
      </c>
      <c r="E38" s="16"/>
      <c r="F38" s="20" t="str">
        <f>"000-4140-00 - US Sales - Repair Charges"</f>
        <v>000-4140-00 - US Sales - Repair Charges</v>
      </c>
      <c r="G38" s="20"/>
      <c r="H38" s="23">
        <v>164900.37999999998</v>
      </c>
      <c r="I38" s="23">
        <v>0</v>
      </c>
      <c r="J38" s="23">
        <v>0</v>
      </c>
    </row>
    <row r="39" spans="1:10" ht="15.75" hidden="1" outlineLevel="1" x14ac:dyDescent="0.25">
      <c r="A39" s="39" t="s">
        <v>1</v>
      </c>
      <c r="C39" s="45"/>
      <c r="D39" s="15" t="str">
        <f t="shared" si="0"/>
        <v>Sales</v>
      </c>
      <c r="E39" s="16"/>
      <c r="F39" s="20" t="str">
        <f>"000-4141-00 - Canadian Sales - Repair Charges"</f>
        <v>000-4141-00 - Canadian Sales - Repair Charges</v>
      </c>
      <c r="G39" s="20"/>
      <c r="H39" s="23">
        <v>9682.52</v>
      </c>
      <c r="I39" s="23">
        <v>0</v>
      </c>
      <c r="J39" s="23">
        <v>0</v>
      </c>
    </row>
    <row r="40" spans="1:10" ht="15.75" hidden="1" outlineLevel="1" x14ac:dyDescent="0.25">
      <c r="A40" s="39" t="s">
        <v>1</v>
      </c>
      <c r="C40" s="45"/>
      <c r="D40" s="15" t="str">
        <f t="shared" si="0"/>
        <v>Sales</v>
      </c>
      <c r="E40" s="16"/>
      <c r="F40" s="20" t="str">
        <f>"000-4142-00 - AustralAsian Sales - Repair Charges"</f>
        <v>000-4142-00 - AustralAsian Sales - Repair Charges</v>
      </c>
      <c r="G40" s="20"/>
      <c r="H40" s="23">
        <v>8718.8000000000011</v>
      </c>
      <c r="I40" s="23">
        <v>0</v>
      </c>
      <c r="J40" s="23">
        <v>0</v>
      </c>
    </row>
    <row r="41" spans="1:10" ht="15.75" hidden="1" outlineLevel="1" x14ac:dyDescent="0.25">
      <c r="A41" s="39" t="s">
        <v>1</v>
      </c>
      <c r="C41" s="45"/>
      <c r="D41" s="15" t="str">
        <f t="shared" si="0"/>
        <v>Sales</v>
      </c>
      <c r="E41" s="16"/>
      <c r="F41" s="20" t="str">
        <f>"000-4176-00 - South Africa Sales Discount"</f>
        <v>000-4176-00 - South Africa Sales Discount</v>
      </c>
      <c r="G41" s="20"/>
      <c r="H41" s="23">
        <v>0</v>
      </c>
      <c r="I41" s="23">
        <v>0</v>
      </c>
      <c r="J41" s="23">
        <v>0</v>
      </c>
    </row>
    <row r="42" spans="1:10" ht="15.75" hidden="1" outlineLevel="1" x14ac:dyDescent="0.25">
      <c r="A42" s="39" t="s">
        <v>1</v>
      </c>
      <c r="C42" s="45"/>
      <c r="D42" s="15" t="str">
        <f t="shared" si="0"/>
        <v>Sales</v>
      </c>
      <c r="E42" s="16"/>
      <c r="F42" s="20" t="str">
        <f>"000-4177-00 - Germany Sales Discount"</f>
        <v>000-4177-00 - Germany Sales Discount</v>
      </c>
      <c r="G42" s="20"/>
      <c r="H42" s="23">
        <v>0</v>
      </c>
      <c r="I42" s="23">
        <v>0</v>
      </c>
      <c r="J42" s="23">
        <v>0</v>
      </c>
    </row>
    <row r="43" spans="1:10" ht="15.75" hidden="1" outlineLevel="1" x14ac:dyDescent="0.25">
      <c r="A43" s="39" t="s">
        <v>1</v>
      </c>
      <c r="C43" s="45"/>
      <c r="D43" s="15" t="str">
        <f t="shared" si="0"/>
        <v>Sales</v>
      </c>
      <c r="E43" s="16"/>
      <c r="F43" s="20" t="str">
        <f>"000-4178-00 - Singapore Sales Discount"</f>
        <v>000-4178-00 - Singapore Sales Discount</v>
      </c>
      <c r="G43" s="20"/>
      <c r="H43" s="23">
        <v>0</v>
      </c>
      <c r="I43" s="23">
        <v>0</v>
      </c>
      <c r="J43" s="23">
        <v>0</v>
      </c>
    </row>
    <row r="44" spans="1:10" ht="15.75" hidden="1" outlineLevel="1" x14ac:dyDescent="0.25">
      <c r="A44" s="39" t="s">
        <v>1</v>
      </c>
      <c r="C44" s="45"/>
      <c r="D44" s="15" t="str">
        <f t="shared" si="0"/>
        <v>Sales</v>
      </c>
      <c r="E44" s="16"/>
      <c r="F44" s="20" t="str">
        <f>"000-4179-00 - United Kingdom Sales Discount"</f>
        <v>000-4179-00 - United Kingdom Sales Discount</v>
      </c>
      <c r="G44" s="20"/>
      <c r="H44" s="23">
        <v>0</v>
      </c>
      <c r="I44" s="23">
        <v>0</v>
      </c>
      <c r="J44" s="23">
        <v>0</v>
      </c>
    </row>
    <row r="45" spans="1:10" ht="15.75" hidden="1" outlineLevel="1" x14ac:dyDescent="0.25">
      <c r="A45" s="39" t="s">
        <v>1</v>
      </c>
      <c r="C45" s="45"/>
      <c r="D45" s="15" t="str">
        <f t="shared" si="0"/>
        <v>Sales</v>
      </c>
      <c r="E45" s="16"/>
      <c r="F45" s="20" t="str">
        <f>"000-4186-00 - United Kingdom Trade Discount"</f>
        <v>000-4186-00 - United Kingdom Trade Discount</v>
      </c>
      <c r="G45" s="20"/>
      <c r="H45" s="23">
        <v>0</v>
      </c>
      <c r="I45" s="23">
        <v>0</v>
      </c>
      <c r="J45" s="23">
        <v>0</v>
      </c>
    </row>
    <row r="46" spans="1:10" ht="15.75" hidden="1" outlineLevel="1" x14ac:dyDescent="0.25">
      <c r="A46" s="39" t="s">
        <v>1</v>
      </c>
      <c r="C46" s="45"/>
      <c r="D46" s="15" t="str">
        <f t="shared" si="0"/>
        <v>Sales</v>
      </c>
      <c r="E46" s="16"/>
      <c r="F46" s="20" t="str">
        <f>"000-4187-00 - Singapore Trade Discount"</f>
        <v>000-4187-00 - Singapore Trade Discount</v>
      </c>
      <c r="G46" s="20"/>
      <c r="H46" s="23">
        <v>0</v>
      </c>
      <c r="I46" s="23">
        <v>0</v>
      </c>
      <c r="J46" s="23">
        <v>0</v>
      </c>
    </row>
    <row r="47" spans="1:10" ht="15.75" hidden="1" outlineLevel="1" x14ac:dyDescent="0.25">
      <c r="A47" s="39" t="s">
        <v>1</v>
      </c>
      <c r="C47" s="45"/>
      <c r="D47" s="15" t="str">
        <f t="shared" si="0"/>
        <v>Sales</v>
      </c>
      <c r="E47" s="16"/>
      <c r="F47" s="20" t="str">
        <f>"000-4188-00 - Germany Trade Discount"</f>
        <v>000-4188-00 - Germany Trade Discount</v>
      </c>
      <c r="G47" s="20"/>
      <c r="H47" s="23">
        <v>0</v>
      </c>
      <c r="I47" s="23">
        <v>0</v>
      </c>
      <c r="J47" s="23">
        <v>0</v>
      </c>
    </row>
    <row r="48" spans="1:10" ht="15.75" hidden="1" outlineLevel="1" x14ac:dyDescent="0.25">
      <c r="A48" s="39" t="s">
        <v>1</v>
      </c>
      <c r="C48" s="45"/>
      <c r="D48" s="15" t="str">
        <f t="shared" si="0"/>
        <v>Sales</v>
      </c>
      <c r="E48" s="16"/>
      <c r="F48" s="20" t="str">
        <f>"000-4189-00 - South Africa Trade Discount"</f>
        <v>000-4189-00 - South Africa Trade Discount</v>
      </c>
      <c r="G48" s="20"/>
      <c r="H48" s="23">
        <v>0</v>
      </c>
      <c r="I48" s="23">
        <v>0</v>
      </c>
      <c r="J48" s="23">
        <v>0</v>
      </c>
    </row>
    <row r="49" spans="1:13" ht="15.75" hidden="1" outlineLevel="1" x14ac:dyDescent="0.25">
      <c r="A49" s="39" t="s">
        <v>1</v>
      </c>
      <c r="C49" s="45"/>
      <c r="D49" s="15" t="str">
        <f t="shared" si="0"/>
        <v>Sales</v>
      </c>
      <c r="E49" s="16"/>
      <c r="F49" s="20" t="str">
        <f>"000-4200-00 - Project Revenue/Sales"</f>
        <v>000-4200-00 - Project Revenue/Sales</v>
      </c>
      <c r="G49" s="20"/>
      <c r="H49" s="23">
        <v>0</v>
      </c>
      <c r="I49" s="23">
        <v>0</v>
      </c>
      <c r="J49" s="23">
        <v>0</v>
      </c>
    </row>
    <row r="50" spans="1:13" ht="15.75" hidden="1" outlineLevel="1" x14ac:dyDescent="0.25">
      <c r="A50" s="39" t="s">
        <v>1</v>
      </c>
      <c r="C50" s="45"/>
      <c r="D50" s="15" t="str">
        <f t="shared" si="0"/>
        <v>Sales</v>
      </c>
      <c r="E50" s="16"/>
      <c r="F50" s="20" t="str">
        <f>"000-4210-01 - Project Billings"</f>
        <v>000-4210-01 - Project Billings</v>
      </c>
      <c r="G50" s="20"/>
      <c r="H50" s="23">
        <v>0</v>
      </c>
      <c r="I50" s="23">
        <v>0</v>
      </c>
      <c r="J50" s="23">
        <v>0</v>
      </c>
    </row>
    <row r="51" spans="1:13" ht="15.75" hidden="1" outlineLevel="1" x14ac:dyDescent="0.25">
      <c r="A51" s="39" t="s">
        <v>1</v>
      </c>
      <c r="C51" s="45"/>
      <c r="D51" s="15" t="str">
        <f t="shared" si="0"/>
        <v>Sales</v>
      </c>
      <c r="E51" s="16"/>
      <c r="F51" s="20" t="str">
        <f>"000-4280-01 - Unbilled Project Revenue"</f>
        <v>000-4280-01 - Unbilled Project Revenue</v>
      </c>
      <c r="G51" s="20"/>
      <c r="H51" s="23">
        <v>0</v>
      </c>
      <c r="I51" s="23">
        <v>0</v>
      </c>
      <c r="J51" s="23">
        <v>0</v>
      </c>
    </row>
    <row r="52" spans="1:13" ht="15.75" hidden="1" outlineLevel="1" x14ac:dyDescent="0.25">
      <c r="A52" s="39" t="s">
        <v>1</v>
      </c>
      <c r="C52" s="45"/>
      <c r="D52" s="15" t="str">
        <f t="shared" si="0"/>
        <v>Sales</v>
      </c>
      <c r="E52" s="16"/>
      <c r="F52" s="20" t="str">
        <f>"000-4500-01 - Project Revenue"</f>
        <v>000-4500-01 - Project Revenue</v>
      </c>
      <c r="G52" s="20"/>
      <c r="H52" s="23">
        <v>0</v>
      </c>
      <c r="I52" s="23">
        <v>0</v>
      </c>
      <c r="J52" s="23">
        <v>0</v>
      </c>
    </row>
    <row r="53" spans="1:13" ht="15.75" x14ac:dyDescent="0.25">
      <c r="A53" s="39"/>
      <c r="C53" s="45"/>
      <c r="D53" s="15" t="str">
        <f>D9</f>
        <v>Sales</v>
      </c>
      <c r="E53" s="16"/>
      <c r="F53" s="21" t="str">
        <f>"Total "&amp;E8</f>
        <v>Total Sales</v>
      </c>
      <c r="G53" s="14"/>
      <c r="H53" s="22">
        <v>3469707.120000002</v>
      </c>
      <c r="I53" s="22">
        <v>219.9</v>
      </c>
      <c r="J53" s="22">
        <v>0</v>
      </c>
      <c r="K53" s="7"/>
      <c r="L53" s="7"/>
      <c r="M53" s="7"/>
    </row>
    <row r="54" spans="1:13" ht="15.75" x14ac:dyDescent="0.25">
      <c r="A54" s="39"/>
      <c r="C54" s="45"/>
      <c r="E54" s="16"/>
      <c r="F54" s="10"/>
      <c r="G54" s="10"/>
      <c r="H54" s="12"/>
      <c r="I54" s="12"/>
      <c r="J54" s="12"/>
    </row>
    <row r="55" spans="1:13" ht="15.75" collapsed="1" x14ac:dyDescent="0.25">
      <c r="A55" s="39"/>
      <c r="C55" s="44">
        <v>32</v>
      </c>
      <c r="D55" s="15" t="str">
        <f>E55</f>
        <v>Sales Returns and Discounts</v>
      </c>
      <c r="E55" s="13" t="str">
        <f>"Sales Returns and Discounts"</f>
        <v>Sales Returns and Discounts</v>
      </c>
      <c r="F55" s="10"/>
      <c r="G55" s="11"/>
      <c r="H55" s="10"/>
      <c r="I55" s="10"/>
      <c r="J55" s="10"/>
    </row>
    <row r="56" spans="1:13" ht="15.75" hidden="1" outlineLevel="1" x14ac:dyDescent="0.25">
      <c r="A56" s="39"/>
      <c r="C56" s="45"/>
      <c r="D56" s="15" t="str">
        <f>D55</f>
        <v>Sales Returns and Discounts</v>
      </c>
      <c r="E56" s="16"/>
      <c r="F56" s="20" t="str">
        <f>"000-4180-00 - US Sales Discounts"</f>
        <v>000-4180-00 - US Sales Discounts</v>
      </c>
      <c r="G56" s="20"/>
      <c r="H56" s="23">
        <v>-4946.3400000000011</v>
      </c>
      <c r="I56" s="23">
        <v>0</v>
      </c>
      <c r="J56" s="23">
        <v>0</v>
      </c>
    </row>
    <row r="57" spans="1:13" ht="15.75" hidden="1" outlineLevel="1" x14ac:dyDescent="0.25">
      <c r="A57" s="39" t="s">
        <v>1</v>
      </c>
      <c r="C57" s="45"/>
      <c r="D57" s="15" t="str">
        <f t="shared" ref="D57:D64" si="1">D56</f>
        <v>Sales Returns and Discounts</v>
      </c>
      <c r="E57" s="16"/>
      <c r="F57" s="20" t="str">
        <f>"000-4181-00 - Canadian Sales Discounts"</f>
        <v>000-4181-00 - Canadian Sales Discounts</v>
      </c>
      <c r="G57" s="20"/>
      <c r="H57" s="23">
        <v>0</v>
      </c>
      <c r="I57" s="23">
        <v>0</v>
      </c>
      <c r="J57" s="23">
        <v>0</v>
      </c>
    </row>
    <row r="58" spans="1:13" ht="15.75" hidden="1" outlineLevel="1" x14ac:dyDescent="0.25">
      <c r="A58" s="39" t="s">
        <v>1</v>
      </c>
      <c r="C58" s="45"/>
      <c r="D58" s="15" t="str">
        <f t="shared" si="1"/>
        <v>Sales Returns and Discounts</v>
      </c>
      <c r="E58" s="16"/>
      <c r="F58" s="20" t="str">
        <f>"000-4182-00 - AustralAsian Sales Discounts"</f>
        <v>000-4182-00 - AustralAsian Sales Discounts</v>
      </c>
      <c r="G58" s="20"/>
      <c r="H58" s="23">
        <v>0</v>
      </c>
      <c r="I58" s="23">
        <v>0</v>
      </c>
      <c r="J58" s="23">
        <v>0</v>
      </c>
    </row>
    <row r="59" spans="1:13" ht="15.75" hidden="1" outlineLevel="1" x14ac:dyDescent="0.25">
      <c r="A59" s="39" t="s">
        <v>1</v>
      </c>
      <c r="C59" s="45"/>
      <c r="D59" s="15" t="str">
        <f t="shared" si="1"/>
        <v>Sales Returns and Discounts</v>
      </c>
      <c r="E59" s="16"/>
      <c r="F59" s="20" t="str">
        <f>"000-4183-00 - US Sales Trade Discounts"</f>
        <v>000-4183-00 - US Sales Trade Discounts</v>
      </c>
      <c r="G59" s="20"/>
      <c r="H59" s="23">
        <v>-10430.179999999998</v>
      </c>
      <c r="I59" s="23">
        <v>0</v>
      </c>
      <c r="J59" s="23">
        <v>0</v>
      </c>
    </row>
    <row r="60" spans="1:13" ht="15.75" hidden="1" outlineLevel="1" x14ac:dyDescent="0.25">
      <c r="A60" s="39" t="s">
        <v>1</v>
      </c>
      <c r="C60" s="45"/>
      <c r="D60" s="15" t="str">
        <f t="shared" si="1"/>
        <v>Sales Returns and Discounts</v>
      </c>
      <c r="E60" s="16"/>
      <c r="F60" s="20" t="str">
        <f>"000-4184-00 - Canadian Sales Trade Discounts"</f>
        <v>000-4184-00 - Canadian Sales Trade Discounts</v>
      </c>
      <c r="G60" s="20"/>
      <c r="H60" s="23">
        <v>0</v>
      </c>
      <c r="I60" s="23">
        <v>0</v>
      </c>
      <c r="J60" s="23">
        <v>0</v>
      </c>
    </row>
    <row r="61" spans="1:13" ht="15.75" hidden="1" outlineLevel="1" x14ac:dyDescent="0.25">
      <c r="A61" s="39" t="s">
        <v>1</v>
      </c>
      <c r="C61" s="45"/>
      <c r="D61" s="15" t="str">
        <f t="shared" si="1"/>
        <v>Sales Returns and Discounts</v>
      </c>
      <c r="E61" s="16"/>
      <c r="F61" s="20" t="str">
        <f>"000-4185-00 - AustralAsian Trade Discounts"</f>
        <v>000-4185-00 - AustralAsian Trade Discounts</v>
      </c>
      <c r="G61" s="20"/>
      <c r="H61" s="23">
        <v>0</v>
      </c>
      <c r="I61" s="23">
        <v>0</v>
      </c>
      <c r="J61" s="23">
        <v>0</v>
      </c>
    </row>
    <row r="62" spans="1:13" ht="15.75" hidden="1" outlineLevel="1" x14ac:dyDescent="0.25">
      <c r="A62" s="39" t="s">
        <v>1</v>
      </c>
      <c r="C62" s="45"/>
      <c r="D62" s="15" t="str">
        <f t="shared" si="1"/>
        <v>Sales Returns and Discounts</v>
      </c>
      <c r="E62" s="16"/>
      <c r="F62" s="20" t="str">
        <f>"000-4190-00 - US Sales Returns"</f>
        <v>000-4190-00 - US Sales Returns</v>
      </c>
      <c r="G62" s="20"/>
      <c r="H62" s="23">
        <v>-98387.060000000012</v>
      </c>
      <c r="I62" s="23">
        <v>0</v>
      </c>
      <c r="J62" s="23">
        <v>0</v>
      </c>
    </row>
    <row r="63" spans="1:13" ht="15.75" hidden="1" outlineLevel="1" x14ac:dyDescent="0.25">
      <c r="A63" s="39" t="s">
        <v>1</v>
      </c>
      <c r="C63" s="45"/>
      <c r="D63" s="15" t="str">
        <f t="shared" si="1"/>
        <v>Sales Returns and Discounts</v>
      </c>
      <c r="E63" s="16"/>
      <c r="F63" s="20" t="str">
        <f>"000-4191-00 - Canadian Sales Returns"</f>
        <v>000-4191-00 - Canadian Sales Returns</v>
      </c>
      <c r="G63" s="20"/>
      <c r="H63" s="23">
        <v>0</v>
      </c>
      <c r="I63" s="23">
        <v>0</v>
      </c>
      <c r="J63" s="23">
        <v>0</v>
      </c>
    </row>
    <row r="64" spans="1:13" ht="15.75" hidden="1" outlineLevel="1" x14ac:dyDescent="0.25">
      <c r="A64" s="39" t="s">
        <v>1</v>
      </c>
      <c r="C64" s="45"/>
      <c r="D64" s="15" t="str">
        <f t="shared" si="1"/>
        <v>Sales Returns and Discounts</v>
      </c>
      <c r="E64" s="16"/>
      <c r="F64" s="20" t="str">
        <f>"000-4192-00 - AustralAsian Sales Returns"</f>
        <v>000-4192-00 - AustralAsian Sales Returns</v>
      </c>
      <c r="G64" s="20"/>
      <c r="H64" s="23">
        <v>0</v>
      </c>
      <c r="I64" s="23">
        <v>0</v>
      </c>
      <c r="J64" s="23">
        <v>0</v>
      </c>
    </row>
    <row r="65" spans="1:13" ht="15.75" x14ac:dyDescent="0.25">
      <c r="A65" s="39"/>
      <c r="C65" s="45"/>
      <c r="D65" s="15" t="str">
        <f>D56</f>
        <v>Sales Returns and Discounts</v>
      </c>
      <c r="E65" s="16"/>
      <c r="F65" s="21" t="str">
        <f>"Total "&amp;E55</f>
        <v>Total Sales Returns and Discounts</v>
      </c>
      <c r="G65" s="14"/>
      <c r="H65" s="22">
        <v>-113763.58000000002</v>
      </c>
      <c r="I65" s="22">
        <v>0</v>
      </c>
      <c r="J65" s="22">
        <v>0</v>
      </c>
      <c r="K65" s="7"/>
      <c r="L65" s="7"/>
      <c r="M65" s="7"/>
    </row>
    <row r="66" spans="1:13" ht="15.75" x14ac:dyDescent="0.25">
      <c r="A66" s="39"/>
      <c r="C66" s="45"/>
      <c r="E66" s="16"/>
      <c r="F66" s="11"/>
      <c r="G66" s="10"/>
      <c r="H66" s="8"/>
      <c r="I66" s="8"/>
      <c r="J66" s="8"/>
      <c r="K66" s="7"/>
      <c r="L66" s="7"/>
      <c r="M66" s="7"/>
    </row>
    <row r="67" spans="1:13" ht="15.75" collapsed="1" x14ac:dyDescent="0.25">
      <c r="A67" s="39"/>
      <c r="C67" s="44">
        <v>33</v>
      </c>
      <c r="D67" s="15" t="str">
        <f>E67</f>
        <v>Cost of Goods Sold</v>
      </c>
      <c r="E67" s="13" t="str">
        <f>"Cost of Goods Sold"</f>
        <v>Cost of Goods Sold</v>
      </c>
      <c r="F67" s="10"/>
      <c r="G67" s="11"/>
      <c r="H67" s="10"/>
      <c r="I67" s="10"/>
      <c r="J67" s="10"/>
      <c r="K67" s="7"/>
      <c r="L67" s="7"/>
      <c r="M67" s="7"/>
    </row>
    <row r="68" spans="1:13" ht="15.75" hidden="1" outlineLevel="1" x14ac:dyDescent="0.25">
      <c r="A68" s="39"/>
      <c r="C68" s="44"/>
      <c r="D68" s="15" t="str">
        <f>D67</f>
        <v>Cost of Goods Sold</v>
      </c>
      <c r="E68" s="16"/>
      <c r="F68" s="20" t="str">
        <f>"000-4510-01 - Cost of Goods Sold - Retail/Parts"</f>
        <v>000-4510-01 - Cost of Goods Sold - Retail/Parts</v>
      </c>
      <c r="G68" s="20"/>
      <c r="H68" s="23">
        <v>-991084.97999999917</v>
      </c>
      <c r="I68" s="23">
        <v>-100.5</v>
      </c>
      <c r="J68" s="23">
        <v>187608.30000000002</v>
      </c>
      <c r="K68" s="7"/>
      <c r="L68" s="7"/>
      <c r="M68" s="7"/>
    </row>
    <row r="69" spans="1:13" ht="15.75" hidden="1" outlineLevel="1" x14ac:dyDescent="0.25">
      <c r="A69" s="39" t="s">
        <v>1</v>
      </c>
      <c r="C69" s="44"/>
      <c r="D69" s="15" t="str">
        <f t="shared" ref="D69:D84" si="2">D68</f>
        <v>Cost of Goods Sold</v>
      </c>
      <c r="E69" s="16"/>
      <c r="F69" s="20" t="str">
        <f>"000-4510-02 - Cost of Goods Sold - Finished Goods"</f>
        <v>000-4510-02 - Cost of Goods Sold - Finished Goods</v>
      </c>
      <c r="G69" s="20"/>
      <c r="H69" s="23">
        <v>-77767</v>
      </c>
      <c r="I69" s="23">
        <v>0</v>
      </c>
      <c r="J69" s="23">
        <v>607.91999999999996</v>
      </c>
      <c r="K69" s="7"/>
      <c r="L69" s="7"/>
      <c r="M69" s="7"/>
    </row>
    <row r="70" spans="1:13" ht="15.75" hidden="1" outlineLevel="1" x14ac:dyDescent="0.25">
      <c r="A70" s="39" t="s">
        <v>1</v>
      </c>
      <c r="C70" s="44"/>
      <c r="D70" s="15" t="str">
        <f t="shared" si="2"/>
        <v>Cost of Goods Sold</v>
      </c>
      <c r="E70" s="16"/>
      <c r="F70" s="20" t="str">
        <f>"000-4520-01 - CoGS - Material"</f>
        <v>000-4520-01 - CoGS - Material</v>
      </c>
      <c r="G70" s="20"/>
      <c r="H70" s="23">
        <v>0</v>
      </c>
      <c r="I70" s="23">
        <v>0</v>
      </c>
      <c r="J70" s="23">
        <v>0</v>
      </c>
      <c r="K70" s="7"/>
      <c r="L70" s="7"/>
      <c r="M70" s="7"/>
    </row>
    <row r="71" spans="1:13" ht="15.75" hidden="1" outlineLevel="1" x14ac:dyDescent="0.25">
      <c r="A71" s="39" t="s">
        <v>1</v>
      </c>
      <c r="C71" s="44"/>
      <c r="D71" s="15" t="str">
        <f t="shared" si="2"/>
        <v>Cost of Goods Sold</v>
      </c>
      <c r="E71" s="16"/>
      <c r="F71" s="20" t="str">
        <f>"000-4520-02 - CoGS - Material Fixed OH"</f>
        <v>000-4520-02 - CoGS - Material Fixed OH</v>
      </c>
      <c r="G71" s="20"/>
      <c r="H71" s="23">
        <v>0</v>
      </c>
      <c r="I71" s="23">
        <v>0</v>
      </c>
      <c r="J71" s="23">
        <v>0</v>
      </c>
      <c r="K71" s="7"/>
      <c r="L71" s="7"/>
      <c r="M71" s="7"/>
    </row>
    <row r="72" spans="1:13" ht="15.75" hidden="1" outlineLevel="1" x14ac:dyDescent="0.25">
      <c r="A72" s="39" t="s">
        <v>1</v>
      </c>
      <c r="C72" s="44"/>
      <c r="D72" s="15" t="str">
        <f t="shared" si="2"/>
        <v>Cost of Goods Sold</v>
      </c>
      <c r="E72" s="16"/>
      <c r="F72" s="20" t="str">
        <f>"000-4520-03 - CoGS - Material Var. OH"</f>
        <v>000-4520-03 - CoGS - Material Var. OH</v>
      </c>
      <c r="G72" s="20"/>
      <c r="H72" s="23">
        <v>0</v>
      </c>
      <c r="I72" s="23">
        <v>0</v>
      </c>
      <c r="J72" s="23">
        <v>0</v>
      </c>
      <c r="K72" s="7"/>
      <c r="L72" s="7"/>
      <c r="M72" s="7"/>
    </row>
    <row r="73" spans="1:13" ht="15.75" hidden="1" outlineLevel="1" x14ac:dyDescent="0.25">
      <c r="A73" s="39" t="s">
        <v>1</v>
      </c>
      <c r="C73" s="44"/>
      <c r="D73" s="15" t="str">
        <f t="shared" si="2"/>
        <v>Cost of Goods Sold</v>
      </c>
      <c r="E73" s="16"/>
      <c r="F73" s="20" t="str">
        <f>"000-4520-04 - CoGS - Labor"</f>
        <v>000-4520-04 - CoGS - Labor</v>
      </c>
      <c r="G73" s="20"/>
      <c r="H73" s="23">
        <v>0</v>
      </c>
      <c r="I73" s="23">
        <v>0</v>
      </c>
      <c r="J73" s="23">
        <v>0</v>
      </c>
      <c r="K73" s="7"/>
      <c r="L73" s="7"/>
      <c r="M73" s="7"/>
    </row>
    <row r="74" spans="1:13" ht="15.75" hidden="1" outlineLevel="1" x14ac:dyDescent="0.25">
      <c r="A74" s="39" t="s">
        <v>1</v>
      </c>
      <c r="C74" s="44"/>
      <c r="D74" s="15" t="str">
        <f t="shared" si="2"/>
        <v>Cost of Goods Sold</v>
      </c>
      <c r="E74" s="16"/>
      <c r="F74" s="20" t="str">
        <f>"000-4520-05 - CoGS - Labor Fixed OH"</f>
        <v>000-4520-05 - CoGS - Labor Fixed OH</v>
      </c>
      <c r="G74" s="20"/>
      <c r="H74" s="23">
        <v>0</v>
      </c>
      <c r="I74" s="23">
        <v>0</v>
      </c>
      <c r="J74" s="23">
        <v>0</v>
      </c>
      <c r="K74" s="7"/>
      <c r="L74" s="7"/>
      <c r="M74" s="7"/>
    </row>
    <row r="75" spans="1:13" ht="15.75" hidden="1" outlineLevel="1" x14ac:dyDescent="0.25">
      <c r="A75" s="39" t="s">
        <v>1</v>
      </c>
      <c r="C75" s="44"/>
      <c r="D75" s="15" t="str">
        <f t="shared" si="2"/>
        <v>Cost of Goods Sold</v>
      </c>
      <c r="E75" s="16"/>
      <c r="F75" s="20" t="str">
        <f>"000-4520-06 - CoGS - Labor Var. OH"</f>
        <v>000-4520-06 - CoGS - Labor Var. OH</v>
      </c>
      <c r="G75" s="20"/>
      <c r="H75" s="23">
        <v>0</v>
      </c>
      <c r="I75" s="23">
        <v>0</v>
      </c>
      <c r="J75" s="23">
        <v>0</v>
      </c>
      <c r="K75" s="7"/>
      <c r="L75" s="7"/>
      <c r="M75" s="7"/>
    </row>
    <row r="76" spans="1:13" ht="15.75" hidden="1" outlineLevel="1" x14ac:dyDescent="0.25">
      <c r="A76" s="39" t="s">
        <v>1</v>
      </c>
      <c r="C76" s="44"/>
      <c r="D76" s="15" t="str">
        <f t="shared" si="2"/>
        <v>Cost of Goods Sold</v>
      </c>
      <c r="E76" s="16"/>
      <c r="F76" s="20" t="str">
        <f>"000-4520-07 - CoGS - Machine"</f>
        <v>000-4520-07 - CoGS - Machine</v>
      </c>
      <c r="G76" s="20"/>
      <c r="H76" s="23">
        <v>0</v>
      </c>
      <c r="I76" s="23">
        <v>0</v>
      </c>
      <c r="J76" s="23">
        <v>0</v>
      </c>
      <c r="K76" s="7"/>
      <c r="L76" s="7"/>
      <c r="M76" s="7"/>
    </row>
    <row r="77" spans="1:13" ht="15.75" hidden="1" outlineLevel="1" x14ac:dyDescent="0.25">
      <c r="A77" s="39" t="s">
        <v>1</v>
      </c>
      <c r="C77" s="44"/>
      <c r="D77" s="15" t="str">
        <f t="shared" si="2"/>
        <v>Cost of Goods Sold</v>
      </c>
      <c r="E77" s="16"/>
      <c r="F77" s="20" t="str">
        <f>"000-4520-08 - CoGS - Machine Fixed OH"</f>
        <v>000-4520-08 - CoGS - Machine Fixed OH</v>
      </c>
      <c r="G77" s="20"/>
      <c r="H77" s="23">
        <v>0</v>
      </c>
      <c r="I77" s="23">
        <v>0</v>
      </c>
      <c r="J77" s="23">
        <v>0</v>
      </c>
      <c r="K77" s="7"/>
      <c r="L77" s="7"/>
      <c r="M77" s="7"/>
    </row>
    <row r="78" spans="1:13" ht="15.75" hidden="1" outlineLevel="1" x14ac:dyDescent="0.25">
      <c r="A78" s="39" t="s">
        <v>1</v>
      </c>
      <c r="C78" s="44"/>
      <c r="D78" s="15" t="str">
        <f t="shared" si="2"/>
        <v>Cost of Goods Sold</v>
      </c>
      <c r="E78" s="16"/>
      <c r="F78" s="20" t="str">
        <f>"000-4520-09 - CoGS - Machine Var. OH"</f>
        <v>000-4520-09 - CoGS - Machine Var. OH</v>
      </c>
      <c r="G78" s="20"/>
      <c r="H78" s="23">
        <v>0</v>
      </c>
      <c r="I78" s="23">
        <v>0</v>
      </c>
      <c r="J78" s="23">
        <v>0</v>
      </c>
      <c r="K78" s="7"/>
      <c r="L78" s="7"/>
      <c r="M78" s="7"/>
    </row>
    <row r="79" spans="1:13" ht="15.75" hidden="1" outlineLevel="1" x14ac:dyDescent="0.25">
      <c r="A79" s="39" t="s">
        <v>1</v>
      </c>
      <c r="C79" s="44"/>
      <c r="D79" s="15" t="str">
        <f t="shared" si="2"/>
        <v>Cost of Goods Sold</v>
      </c>
      <c r="E79" s="16"/>
      <c r="F79" s="20" t="str">
        <f>"000-4530-01 - Cost of Goods Sold/Expense"</f>
        <v>000-4530-01 - Cost of Goods Sold/Expense</v>
      </c>
      <c r="G79" s="20"/>
      <c r="H79" s="23">
        <v>0</v>
      </c>
      <c r="I79" s="23">
        <v>0</v>
      </c>
      <c r="J79" s="23">
        <v>0</v>
      </c>
      <c r="K79" s="7"/>
      <c r="L79" s="7"/>
      <c r="M79" s="7"/>
    </row>
    <row r="80" spans="1:13" ht="15.75" hidden="1" outlineLevel="1" x14ac:dyDescent="0.25">
      <c r="A80" s="39" t="s">
        <v>1</v>
      </c>
      <c r="C80" s="44"/>
      <c r="D80" s="15" t="str">
        <f t="shared" si="2"/>
        <v>Cost of Goods Sold</v>
      </c>
      <c r="E80" s="16"/>
      <c r="F80" s="20" t="str">
        <f>"000-4600-00 - Purchases Discounts Taken"</f>
        <v>000-4600-00 - Purchases Discounts Taken</v>
      </c>
      <c r="G80" s="20"/>
      <c r="H80" s="23">
        <v>459.14</v>
      </c>
      <c r="I80" s="23">
        <v>0</v>
      </c>
      <c r="J80" s="23">
        <v>0</v>
      </c>
      <c r="K80" s="7"/>
      <c r="L80" s="7"/>
      <c r="M80" s="7"/>
    </row>
    <row r="81" spans="1:13" ht="15.75" hidden="1" outlineLevel="1" x14ac:dyDescent="0.25">
      <c r="A81" s="39" t="s">
        <v>1</v>
      </c>
      <c r="C81" s="44"/>
      <c r="D81" s="15" t="str">
        <f t="shared" si="2"/>
        <v>Cost of Goods Sold</v>
      </c>
      <c r="E81" s="16"/>
      <c r="F81" s="20" t="str">
        <f>"000-4601-00 - Purchases Trade Discounts"</f>
        <v>000-4601-00 - Purchases Trade Discounts</v>
      </c>
      <c r="G81" s="20"/>
      <c r="H81" s="23">
        <v>0</v>
      </c>
      <c r="I81" s="23">
        <v>0</v>
      </c>
      <c r="J81" s="23">
        <v>0</v>
      </c>
      <c r="K81" s="7"/>
      <c r="L81" s="7"/>
      <c r="M81" s="7"/>
    </row>
    <row r="82" spans="1:13" ht="15.75" hidden="1" outlineLevel="1" x14ac:dyDescent="0.25">
      <c r="A82" s="39" t="s">
        <v>1</v>
      </c>
      <c r="C82" s="44"/>
      <c r="D82" s="15" t="str">
        <f t="shared" si="2"/>
        <v>Cost of Goods Sold</v>
      </c>
      <c r="E82" s="16"/>
      <c r="F82" s="20" t="str">
        <f>"000-4700-00 - Shrinkage and Waste"</f>
        <v>000-4700-00 - Shrinkage and Waste</v>
      </c>
      <c r="G82" s="20"/>
      <c r="H82" s="23">
        <v>-49500.72</v>
      </c>
      <c r="I82" s="23">
        <v>0</v>
      </c>
      <c r="J82" s="23">
        <v>0</v>
      </c>
      <c r="K82" s="7"/>
      <c r="L82" s="7"/>
      <c r="M82" s="7"/>
    </row>
    <row r="83" spans="1:13" ht="15.75" hidden="1" outlineLevel="1" x14ac:dyDescent="0.25">
      <c r="A83" s="39" t="s">
        <v>1</v>
      </c>
      <c r="C83" s="44"/>
      <c r="D83" s="15" t="str">
        <f t="shared" si="2"/>
        <v>Cost of Goods Sold</v>
      </c>
      <c r="E83" s="16"/>
      <c r="F83" s="20" t="str">
        <f>"000-4710-00 - Freight and Handling"</f>
        <v>000-4710-00 - Freight and Handling</v>
      </c>
      <c r="G83" s="20"/>
      <c r="H83" s="23">
        <v>-23479.899999999991</v>
      </c>
      <c r="I83" s="23">
        <v>0</v>
      </c>
      <c r="J83" s="23">
        <v>0</v>
      </c>
      <c r="K83" s="7"/>
      <c r="L83" s="7"/>
      <c r="M83" s="7"/>
    </row>
    <row r="84" spans="1:13" ht="15.75" hidden="1" outlineLevel="1" x14ac:dyDescent="0.25">
      <c r="A84" s="39" t="s">
        <v>1</v>
      </c>
      <c r="C84" s="44"/>
      <c r="D84" s="15" t="str">
        <f t="shared" si="2"/>
        <v>Cost of Goods Sold</v>
      </c>
      <c r="E84" s="16"/>
      <c r="F84" s="20" t="str">
        <f>"000-4720-00 - International Freight and Handling"</f>
        <v>000-4720-00 - International Freight and Handling</v>
      </c>
      <c r="G84" s="20"/>
      <c r="H84" s="23">
        <v>-17190.46</v>
      </c>
      <c r="I84" s="23">
        <v>0</v>
      </c>
      <c r="J84" s="23">
        <v>0</v>
      </c>
      <c r="K84" s="7"/>
      <c r="L84" s="7"/>
      <c r="M84" s="7"/>
    </row>
    <row r="85" spans="1:13" ht="15.75" x14ac:dyDescent="0.25">
      <c r="A85" s="39"/>
      <c r="C85" s="44"/>
      <c r="D85" s="15" t="str">
        <f>D68</f>
        <v>Cost of Goods Sold</v>
      </c>
      <c r="E85" s="16"/>
      <c r="F85" s="21" t="str">
        <f>"Total "&amp;E67</f>
        <v>Total Cost of Goods Sold</v>
      </c>
      <c r="G85" s="14"/>
      <c r="H85" s="22">
        <v>-1158563.92</v>
      </c>
      <c r="I85" s="22">
        <v>-100.5</v>
      </c>
      <c r="J85" s="22">
        <v>188216.22</v>
      </c>
      <c r="K85" s="7"/>
      <c r="L85" s="7"/>
      <c r="M85" s="7"/>
    </row>
    <row r="86" spans="1:13" ht="15.75" x14ac:dyDescent="0.25">
      <c r="A86" s="39"/>
      <c r="C86" s="44"/>
      <c r="E86" s="16"/>
      <c r="F86" s="11"/>
      <c r="G86" s="10"/>
      <c r="H86" s="8"/>
      <c r="I86" s="8"/>
      <c r="J86" s="8"/>
      <c r="K86" s="7"/>
      <c r="L86" s="7"/>
      <c r="M86" s="7"/>
    </row>
    <row r="87" spans="1:13" ht="15.75" collapsed="1" x14ac:dyDescent="0.25">
      <c r="A87" s="39"/>
      <c r="C87" s="44">
        <v>34</v>
      </c>
      <c r="D87" s="15" t="str">
        <f>E87</f>
        <v>Selling Expense</v>
      </c>
      <c r="E87" s="13" t="str">
        <f>"Selling Expense"</f>
        <v>Selling Expense</v>
      </c>
      <c r="F87" s="10"/>
      <c r="G87" s="11"/>
      <c r="H87" s="10"/>
      <c r="I87" s="10"/>
      <c r="J87" s="10"/>
      <c r="K87" s="7"/>
      <c r="L87" s="7"/>
      <c r="M87" s="7"/>
    </row>
    <row r="88" spans="1:13" ht="15.75" hidden="1" outlineLevel="1" x14ac:dyDescent="0.25">
      <c r="A88" s="39"/>
      <c r="C88" s="44"/>
      <c r="D88" s="15" t="str">
        <f>D87</f>
        <v>Selling Expense</v>
      </c>
      <c r="E88" s="16"/>
      <c r="F88" s="20" t="str">
        <f>"000-6800-01 - Project Expenses"</f>
        <v>000-6800-01 - Project Expenses</v>
      </c>
      <c r="G88" s="20"/>
      <c r="H88" s="23">
        <v>0</v>
      </c>
      <c r="I88" s="23">
        <v>0</v>
      </c>
      <c r="J88" s="23">
        <v>0</v>
      </c>
      <c r="K88" s="7"/>
      <c r="L88" s="7"/>
      <c r="M88" s="7"/>
    </row>
    <row r="89" spans="1:13" ht="15.75" x14ac:dyDescent="0.25">
      <c r="A89" s="39"/>
      <c r="C89" s="44"/>
      <c r="D89" s="15" t="str">
        <f>D88</f>
        <v>Selling Expense</v>
      </c>
      <c r="E89" s="16"/>
      <c r="F89" s="21" t="str">
        <f>"Total "&amp;E87</f>
        <v>Total Selling Expense</v>
      </c>
      <c r="G89" s="14"/>
      <c r="H89" s="22">
        <v>0</v>
      </c>
      <c r="I89" s="22">
        <v>0</v>
      </c>
      <c r="J89" s="22">
        <v>0</v>
      </c>
      <c r="K89" s="7"/>
      <c r="L89" s="7"/>
      <c r="M89" s="7"/>
    </row>
    <row r="90" spans="1:13" ht="15.75" x14ac:dyDescent="0.25">
      <c r="A90" s="39"/>
      <c r="C90" s="45"/>
      <c r="E90" s="16"/>
      <c r="F90" s="11"/>
      <c r="G90" s="10"/>
      <c r="H90" s="8"/>
      <c r="I90" s="8"/>
      <c r="J90" s="8"/>
      <c r="K90" s="7"/>
      <c r="L90" s="7"/>
      <c r="M90" s="7"/>
    </row>
    <row r="91" spans="1:13" ht="15.75" x14ac:dyDescent="0.25">
      <c r="A91" s="39"/>
      <c r="C91" s="45"/>
      <c r="E91" s="16"/>
      <c r="F91" s="11"/>
      <c r="G91" s="10"/>
      <c r="H91" s="8"/>
      <c r="I91" s="8"/>
      <c r="J91" s="8"/>
    </row>
    <row r="92" spans="1:13" ht="15.75" x14ac:dyDescent="0.25">
      <c r="A92" s="39"/>
      <c r="C92" s="45"/>
      <c r="E92" s="24" t="s">
        <v>2</v>
      </c>
      <c r="F92" s="25"/>
      <c r="G92" s="25"/>
      <c r="H92" s="26">
        <f>H53+H65+H85+H89</f>
        <v>2197379.620000002</v>
      </c>
      <c r="I92" s="26">
        <f>I53+I65+I85+I89</f>
        <v>119.4</v>
      </c>
      <c r="J92" s="26">
        <f>J53+J65+J85+J89</f>
        <v>188216.22</v>
      </c>
    </row>
    <row r="93" spans="1:13" ht="15.75" x14ac:dyDescent="0.25">
      <c r="A93" s="39"/>
      <c r="C93" s="44"/>
      <c r="E93" s="17"/>
    </row>
    <row r="94" spans="1:13" ht="15.75" collapsed="1" x14ac:dyDescent="0.25">
      <c r="A94" s="39"/>
      <c r="C94" s="44">
        <v>35</v>
      </c>
      <c r="D94" s="15" t="str">
        <f>E94</f>
        <v>Administrative Expense</v>
      </c>
      <c r="E94" s="13" t="str">
        <f>"Administrative Expense"</f>
        <v>Administrative Expense</v>
      </c>
      <c r="F94" s="10"/>
      <c r="G94" s="11"/>
      <c r="H94" s="10"/>
      <c r="I94" s="10"/>
      <c r="J94" s="10"/>
    </row>
    <row r="95" spans="1:13" ht="15.75" hidden="1" outlineLevel="1" x14ac:dyDescent="0.25">
      <c r="A95" s="39"/>
      <c r="C95" s="44"/>
      <c r="D95" s="15" t="str">
        <f>D94</f>
        <v>Administrative Expense</v>
      </c>
      <c r="E95" s="16"/>
      <c r="F95" s="20" t="str">
        <f>"000-6170-04 - Repairs &amp; Maintenance Expense-Staff"</f>
        <v>000-6170-04 - Repairs &amp; Maintenance Expense-Staff</v>
      </c>
      <c r="G95" s="20"/>
      <c r="H95" s="23">
        <v>0</v>
      </c>
      <c r="I95" s="23">
        <v>0</v>
      </c>
      <c r="J95" s="23">
        <v>0</v>
      </c>
    </row>
    <row r="96" spans="1:13" ht="15.75" hidden="1" outlineLevel="1" x14ac:dyDescent="0.25">
      <c r="A96" s="39" t="s">
        <v>1</v>
      </c>
      <c r="C96" s="44"/>
      <c r="D96" s="15" t="str">
        <f t="shared" ref="D96:D159" si="3">D95</f>
        <v>Administrative Expense</v>
      </c>
      <c r="E96" s="16"/>
      <c r="F96" s="20" t="str">
        <f>"000-6170-05 - Repairs &amp; Maintenance Expense-Line"</f>
        <v>000-6170-05 - Repairs &amp; Maintenance Expense-Line</v>
      </c>
      <c r="G96" s="20"/>
      <c r="H96" s="23">
        <v>0</v>
      </c>
      <c r="I96" s="23">
        <v>0</v>
      </c>
      <c r="J96" s="23">
        <v>0</v>
      </c>
    </row>
    <row r="97" spans="1:10" ht="15.75" hidden="1" outlineLevel="1" x14ac:dyDescent="0.25">
      <c r="A97" s="39" t="s">
        <v>1</v>
      </c>
      <c r="C97" s="44"/>
      <c r="D97" s="15" t="str">
        <f t="shared" si="3"/>
        <v>Administrative Expense</v>
      </c>
      <c r="E97" s="16"/>
      <c r="F97" s="20" t="str">
        <f>"000-6400-00 - Life Insurance - Administration"</f>
        <v>000-6400-00 - Life Insurance - Administration</v>
      </c>
      <c r="G97" s="20"/>
      <c r="H97" s="23">
        <v>-267.95999999999998</v>
      </c>
      <c r="I97" s="23">
        <v>0</v>
      </c>
      <c r="J97" s="23">
        <v>0</v>
      </c>
    </row>
    <row r="98" spans="1:10" ht="15.75" hidden="1" outlineLevel="1" x14ac:dyDescent="0.25">
      <c r="A98" s="39" t="s">
        <v>1</v>
      </c>
      <c r="C98" s="44"/>
      <c r="D98" s="15" t="str">
        <f t="shared" si="3"/>
        <v>Administrative Expense</v>
      </c>
      <c r="E98" s="16"/>
      <c r="F98" s="20" t="str">
        <f>"000-6410-00 - Vehicle Insurance"</f>
        <v>000-6410-00 - Vehicle Insurance</v>
      </c>
      <c r="G98" s="20"/>
      <c r="H98" s="23">
        <v>-1139</v>
      </c>
      <c r="I98" s="23">
        <v>0</v>
      </c>
      <c r="J98" s="23">
        <v>0</v>
      </c>
    </row>
    <row r="99" spans="1:10" ht="15.75" hidden="1" outlineLevel="1" x14ac:dyDescent="0.25">
      <c r="A99" s="39" t="s">
        <v>1</v>
      </c>
      <c r="C99" s="44"/>
      <c r="D99" s="15" t="str">
        <f t="shared" si="3"/>
        <v>Administrative Expense</v>
      </c>
      <c r="E99" s="16"/>
      <c r="F99" s="20" t="str">
        <f>"000-6420-00 - Liability Insurance"</f>
        <v>000-6420-00 - Liability Insurance</v>
      </c>
      <c r="G99" s="20"/>
      <c r="H99" s="23">
        <v>-2541.66</v>
      </c>
      <c r="I99" s="23">
        <v>0</v>
      </c>
      <c r="J99" s="23">
        <v>0</v>
      </c>
    </row>
    <row r="100" spans="1:10" ht="15.75" hidden="1" outlineLevel="1" x14ac:dyDescent="0.25">
      <c r="A100" s="39" t="s">
        <v>1</v>
      </c>
      <c r="C100" s="44"/>
      <c r="D100" s="15" t="str">
        <f t="shared" si="3"/>
        <v>Administrative Expense</v>
      </c>
      <c r="E100" s="16"/>
      <c r="F100" s="20" t="str">
        <f>"000-6430-00 - Casualty Insurance"</f>
        <v>000-6430-00 - Casualty Insurance</v>
      </c>
      <c r="G100" s="20"/>
      <c r="H100" s="23">
        <v>-1776.2</v>
      </c>
      <c r="I100" s="23">
        <v>0</v>
      </c>
      <c r="J100" s="23">
        <v>0</v>
      </c>
    </row>
    <row r="101" spans="1:10" ht="15.75" hidden="1" outlineLevel="1" x14ac:dyDescent="0.25">
      <c r="A101" s="39" t="s">
        <v>1</v>
      </c>
      <c r="C101" s="44"/>
      <c r="D101" s="15" t="str">
        <f t="shared" si="3"/>
        <v>Administrative Expense</v>
      </c>
      <c r="E101" s="16"/>
      <c r="F101" s="20" t="str">
        <f>"000-6500-04 - Postage/Freight Expense-Staff"</f>
        <v>000-6500-04 - Postage/Freight Expense-Staff</v>
      </c>
      <c r="G101" s="20"/>
      <c r="H101" s="23">
        <v>0</v>
      </c>
      <c r="I101" s="23">
        <v>0</v>
      </c>
      <c r="J101" s="23">
        <v>0</v>
      </c>
    </row>
    <row r="102" spans="1:10" ht="15.75" hidden="1" outlineLevel="1" x14ac:dyDescent="0.25">
      <c r="A102" s="39" t="s">
        <v>1</v>
      </c>
      <c r="C102" s="44"/>
      <c r="D102" s="15" t="str">
        <f t="shared" si="3"/>
        <v>Administrative Expense</v>
      </c>
      <c r="E102" s="16"/>
      <c r="F102" s="20" t="str">
        <f>"000-6500-05 - Postage/Freight Expense-Line"</f>
        <v>000-6500-05 - Postage/Freight Expense-Line</v>
      </c>
      <c r="G102" s="20"/>
      <c r="H102" s="23">
        <v>0</v>
      </c>
      <c r="I102" s="23">
        <v>0</v>
      </c>
      <c r="J102" s="23">
        <v>0</v>
      </c>
    </row>
    <row r="103" spans="1:10" ht="15.75" hidden="1" outlineLevel="1" x14ac:dyDescent="0.25">
      <c r="A103" s="39" t="s">
        <v>1</v>
      </c>
      <c r="C103" s="44"/>
      <c r="D103" s="15" t="str">
        <f t="shared" si="3"/>
        <v>Administrative Expense</v>
      </c>
      <c r="E103" s="16"/>
      <c r="F103" s="20" t="str">
        <f>"000-6600-00 - Bank Fees"</f>
        <v>000-6600-00 - Bank Fees</v>
      </c>
      <c r="G103" s="20"/>
      <c r="H103" s="23">
        <v>-550</v>
      </c>
      <c r="I103" s="23">
        <v>0</v>
      </c>
      <c r="J103" s="23">
        <v>0</v>
      </c>
    </row>
    <row r="104" spans="1:10" ht="15.75" hidden="1" outlineLevel="1" x14ac:dyDescent="0.25">
      <c r="A104" s="39" t="s">
        <v>1</v>
      </c>
      <c r="C104" s="44"/>
      <c r="D104" s="15" t="str">
        <f t="shared" si="3"/>
        <v>Administrative Expense</v>
      </c>
      <c r="E104" s="16"/>
      <c r="F104" s="20" t="str">
        <f>"000-6610-00 - Advertising Expense"</f>
        <v>000-6610-00 - Advertising Expense</v>
      </c>
      <c r="G104" s="20"/>
      <c r="H104" s="23">
        <v>-2300</v>
      </c>
      <c r="I104" s="23">
        <v>0</v>
      </c>
      <c r="J104" s="23">
        <v>0</v>
      </c>
    </row>
    <row r="105" spans="1:10" ht="15.75" hidden="1" outlineLevel="1" x14ac:dyDescent="0.25">
      <c r="A105" s="39" t="s">
        <v>1</v>
      </c>
      <c r="C105" s="44"/>
      <c r="D105" s="15" t="str">
        <f t="shared" si="3"/>
        <v>Administrative Expense</v>
      </c>
      <c r="E105" s="16"/>
      <c r="F105" s="20" t="str">
        <f>"000-6620-00 - Direct Mail Advertising Expense"</f>
        <v>000-6620-00 - Direct Mail Advertising Expense</v>
      </c>
      <c r="G105" s="20"/>
      <c r="H105" s="23">
        <v>-1276.02</v>
      </c>
      <c r="I105" s="23">
        <v>0</v>
      </c>
      <c r="J105" s="23">
        <v>0</v>
      </c>
    </row>
    <row r="106" spans="1:10" ht="15.75" hidden="1" outlineLevel="1" x14ac:dyDescent="0.25">
      <c r="A106" s="39" t="s">
        <v>1</v>
      </c>
      <c r="C106" s="44"/>
      <c r="D106" s="15" t="str">
        <f t="shared" si="3"/>
        <v>Administrative Expense</v>
      </c>
      <c r="E106" s="16"/>
      <c r="F106" s="20" t="str">
        <f>"000-6700-00 - Bad Debts Expense"</f>
        <v>000-6700-00 - Bad Debts Expense</v>
      </c>
      <c r="G106" s="20"/>
      <c r="H106" s="23">
        <v>-38891.519999999997</v>
      </c>
      <c r="I106" s="23">
        <v>0</v>
      </c>
      <c r="J106" s="23">
        <v>0</v>
      </c>
    </row>
    <row r="107" spans="1:10" ht="15.75" hidden="1" outlineLevel="1" x14ac:dyDescent="0.25">
      <c r="A107" s="39" t="s">
        <v>1</v>
      </c>
      <c r="C107" s="44"/>
      <c r="D107" s="15" t="str">
        <f t="shared" si="3"/>
        <v>Administrative Expense</v>
      </c>
      <c r="E107" s="16"/>
      <c r="F107" s="20" t="str">
        <f>"000-6701-00 - Write-Off Expense"</f>
        <v>000-6701-00 - Write-Off Expense</v>
      </c>
      <c r="G107" s="20"/>
      <c r="H107" s="23">
        <v>0</v>
      </c>
      <c r="I107" s="23">
        <v>0</v>
      </c>
      <c r="J107" s="23">
        <v>0</v>
      </c>
    </row>
    <row r="108" spans="1:10" ht="15.75" hidden="1" outlineLevel="1" x14ac:dyDescent="0.25">
      <c r="A108" s="39" t="s">
        <v>1</v>
      </c>
      <c r="C108" s="44"/>
      <c r="D108" s="15" t="str">
        <f t="shared" si="3"/>
        <v>Administrative Expense</v>
      </c>
      <c r="E108" s="16"/>
      <c r="F108" s="20" t="str">
        <f>"000-6710-00 - Collection Costs"</f>
        <v>000-6710-00 - Collection Costs</v>
      </c>
      <c r="G108" s="20"/>
      <c r="H108" s="23">
        <v>-1050</v>
      </c>
      <c r="I108" s="23">
        <v>0</v>
      </c>
      <c r="J108" s="23">
        <v>0</v>
      </c>
    </row>
    <row r="109" spans="1:10" ht="15.75" hidden="1" outlineLevel="1" x14ac:dyDescent="0.25">
      <c r="A109" s="39" t="s">
        <v>1</v>
      </c>
      <c r="C109" s="44"/>
      <c r="D109" s="15" t="str">
        <f t="shared" si="3"/>
        <v>Administrative Expense</v>
      </c>
      <c r="E109" s="16"/>
      <c r="F109" s="20" t="str">
        <f>"000-6720-00 - Legal Fees"</f>
        <v>000-6720-00 - Legal Fees</v>
      </c>
      <c r="G109" s="20"/>
      <c r="H109" s="23">
        <v>0</v>
      </c>
      <c r="I109" s="23">
        <v>0</v>
      </c>
      <c r="J109" s="23">
        <v>0</v>
      </c>
    </row>
    <row r="110" spans="1:10" ht="15.75" hidden="1" outlineLevel="1" x14ac:dyDescent="0.25">
      <c r="A110" s="39" t="s">
        <v>1</v>
      </c>
      <c r="C110" s="44"/>
      <c r="D110" s="15" t="str">
        <f t="shared" si="3"/>
        <v>Administrative Expense</v>
      </c>
      <c r="E110" s="16"/>
      <c r="F110" s="20" t="str">
        <f>"000-6730-00 - Accounting Fees"</f>
        <v>000-6730-00 - Accounting Fees</v>
      </c>
      <c r="G110" s="20"/>
      <c r="H110" s="23">
        <v>-10000</v>
      </c>
      <c r="I110" s="23">
        <v>0</v>
      </c>
      <c r="J110" s="23">
        <v>0</v>
      </c>
    </row>
    <row r="111" spans="1:10" ht="15.75" hidden="1" outlineLevel="1" x14ac:dyDescent="0.25">
      <c r="A111" s="39" t="s">
        <v>1</v>
      </c>
      <c r="C111" s="44"/>
      <c r="D111" s="15" t="str">
        <f t="shared" si="3"/>
        <v>Administrative Expense</v>
      </c>
      <c r="E111" s="16"/>
      <c r="F111" s="20" t="str">
        <f>"000-6740-00 - Fines &amp; Penalties"</f>
        <v>000-6740-00 - Fines &amp; Penalties</v>
      </c>
      <c r="G111" s="20"/>
      <c r="H111" s="23">
        <v>0</v>
      </c>
      <c r="I111" s="23">
        <v>0</v>
      </c>
      <c r="J111" s="23">
        <v>0</v>
      </c>
    </row>
    <row r="112" spans="1:10" ht="15.75" hidden="1" outlineLevel="1" x14ac:dyDescent="0.25">
      <c r="A112" s="39" t="s">
        <v>1</v>
      </c>
      <c r="C112" s="44"/>
      <c r="D112" s="15" t="str">
        <f t="shared" si="3"/>
        <v>Administrative Expense</v>
      </c>
      <c r="E112" s="16"/>
      <c r="F112" s="20" t="str">
        <f>"000-6750-00 - Licenses &amp; Fees"</f>
        <v>000-6750-00 - Licenses &amp; Fees</v>
      </c>
      <c r="G112" s="20"/>
      <c r="H112" s="23">
        <v>-21000</v>
      </c>
      <c r="I112" s="23">
        <v>0</v>
      </c>
      <c r="J112" s="23">
        <v>0</v>
      </c>
    </row>
    <row r="113" spans="1:10" ht="15.75" hidden="1" outlineLevel="1" x14ac:dyDescent="0.25">
      <c r="A113" s="39" t="s">
        <v>1</v>
      </c>
      <c r="C113" s="44"/>
      <c r="D113" s="15" t="str">
        <f t="shared" si="3"/>
        <v>Administrative Expense</v>
      </c>
      <c r="E113" s="16"/>
      <c r="F113" s="20" t="str">
        <f>"000-6760-00 - Recruiting &amp; Moving Expense"</f>
        <v>000-6760-00 - Recruiting &amp; Moving Expense</v>
      </c>
      <c r="G113" s="20"/>
      <c r="H113" s="23">
        <v>-1519.74</v>
      </c>
      <c r="I113" s="23">
        <v>0</v>
      </c>
      <c r="J113" s="23">
        <v>0</v>
      </c>
    </row>
    <row r="114" spans="1:10" ht="15.75" hidden="1" outlineLevel="1" x14ac:dyDescent="0.25">
      <c r="A114" s="39" t="s">
        <v>1</v>
      </c>
      <c r="C114" s="44"/>
      <c r="D114" s="15" t="str">
        <f t="shared" si="3"/>
        <v>Administrative Expense</v>
      </c>
      <c r="E114" s="16"/>
      <c r="F114" s="20" t="str">
        <f>"000-6770-00 - Company Meetings"</f>
        <v>000-6770-00 - Company Meetings</v>
      </c>
      <c r="G114" s="20"/>
      <c r="H114" s="23">
        <v>-700</v>
      </c>
      <c r="I114" s="23">
        <v>0</v>
      </c>
      <c r="J114" s="23">
        <v>0</v>
      </c>
    </row>
    <row r="115" spans="1:10" ht="15.75" hidden="1" outlineLevel="1" x14ac:dyDescent="0.25">
      <c r="A115" s="39" t="s">
        <v>1</v>
      </c>
      <c r="C115" s="44"/>
      <c r="D115" s="15" t="str">
        <f t="shared" si="3"/>
        <v>Administrative Expense</v>
      </c>
      <c r="E115" s="16"/>
      <c r="F115" s="20" t="str">
        <f>"000-6790-00 - Warranty Expense"</f>
        <v>000-6790-00 - Warranty Expense</v>
      </c>
      <c r="G115" s="20"/>
      <c r="H115" s="23">
        <v>-5500</v>
      </c>
      <c r="I115" s="23">
        <v>0</v>
      </c>
      <c r="J115" s="23">
        <v>0</v>
      </c>
    </row>
    <row r="116" spans="1:10" ht="15.75" hidden="1" outlineLevel="1" x14ac:dyDescent="0.25">
      <c r="A116" s="39" t="s">
        <v>1</v>
      </c>
      <c r="C116" s="44"/>
      <c r="D116" s="15" t="str">
        <f t="shared" si="3"/>
        <v>Administrative Expense</v>
      </c>
      <c r="E116" s="16"/>
      <c r="F116" s="20" t="str">
        <f>"100-6110-00 - Company Car - Administration"</f>
        <v>100-6110-00 - Company Car - Administration</v>
      </c>
      <c r="G116" s="20"/>
      <c r="H116" s="23">
        <v>-595</v>
      </c>
      <c r="I116" s="23">
        <v>0</v>
      </c>
      <c r="J116" s="23">
        <v>0</v>
      </c>
    </row>
    <row r="117" spans="1:10" ht="15.75" hidden="1" outlineLevel="1" x14ac:dyDescent="0.25">
      <c r="A117" s="39" t="s">
        <v>1</v>
      </c>
      <c r="C117" s="44"/>
      <c r="D117" s="15" t="str">
        <f t="shared" si="3"/>
        <v>Administrative Expense</v>
      </c>
      <c r="E117" s="16"/>
      <c r="F117" s="20" t="str">
        <f>"100-6120-00 - Supplies/Rental - Administration"</f>
        <v>100-6120-00 - Supplies/Rental - Administration</v>
      </c>
      <c r="G117" s="20"/>
      <c r="H117" s="23">
        <v>0</v>
      </c>
      <c r="I117" s="23">
        <v>0</v>
      </c>
      <c r="J117" s="23">
        <v>0</v>
      </c>
    </row>
    <row r="118" spans="1:10" ht="15.75" hidden="1" outlineLevel="1" x14ac:dyDescent="0.25">
      <c r="A118" s="39" t="s">
        <v>1</v>
      </c>
      <c r="C118" s="44"/>
      <c r="D118" s="15" t="str">
        <f t="shared" si="3"/>
        <v>Administrative Expense</v>
      </c>
      <c r="E118" s="16"/>
      <c r="F118" s="20" t="str">
        <f>"100-6130-00 - Supplies/Hardware - Administration"</f>
        <v>100-6130-00 - Supplies/Hardware - Administration</v>
      </c>
      <c r="G118" s="20"/>
      <c r="H118" s="23">
        <v>-499</v>
      </c>
      <c r="I118" s="23">
        <v>0</v>
      </c>
      <c r="J118" s="23">
        <v>0</v>
      </c>
    </row>
    <row r="119" spans="1:10" ht="15.75" hidden="1" outlineLevel="1" x14ac:dyDescent="0.25">
      <c r="A119" s="39" t="s">
        <v>1</v>
      </c>
      <c r="C119" s="44"/>
      <c r="D119" s="15" t="str">
        <f t="shared" si="3"/>
        <v>Administrative Expense</v>
      </c>
      <c r="E119" s="16"/>
      <c r="F119" s="20" t="str">
        <f>"100-6140-00 - Supplies/Software - Administation"</f>
        <v>100-6140-00 - Supplies/Software - Administation</v>
      </c>
      <c r="G119" s="20"/>
      <c r="H119" s="23">
        <v>-458</v>
      </c>
      <c r="I119" s="23">
        <v>0</v>
      </c>
      <c r="J119" s="23">
        <v>0</v>
      </c>
    </row>
    <row r="120" spans="1:10" ht="15.75" hidden="1" outlineLevel="1" x14ac:dyDescent="0.25">
      <c r="A120" s="39" t="s">
        <v>1</v>
      </c>
      <c r="C120" s="44"/>
      <c r="D120" s="15" t="str">
        <f t="shared" si="3"/>
        <v>Administrative Expense</v>
      </c>
      <c r="E120" s="16"/>
      <c r="F120" s="20" t="str">
        <f>"100-6150-00 - Supplies-Allocated - Administration"</f>
        <v>100-6150-00 - Supplies-Allocated - Administration</v>
      </c>
      <c r="G120" s="20"/>
      <c r="H120" s="23">
        <v>-487.5</v>
      </c>
      <c r="I120" s="23">
        <v>0</v>
      </c>
      <c r="J120" s="23">
        <v>0</v>
      </c>
    </row>
    <row r="121" spans="1:10" ht="15.75" hidden="1" outlineLevel="1" x14ac:dyDescent="0.25">
      <c r="A121" s="39" t="s">
        <v>1</v>
      </c>
      <c r="C121" s="44"/>
      <c r="D121" s="15" t="str">
        <f t="shared" si="3"/>
        <v>Administrative Expense</v>
      </c>
      <c r="E121" s="16"/>
      <c r="F121" s="20" t="str">
        <f>"100-6160-00 - Dues &amp; Subscriptions - Administration"</f>
        <v>100-6160-00 - Dues &amp; Subscriptions - Administration</v>
      </c>
      <c r="G121" s="20"/>
      <c r="H121" s="23">
        <v>-100</v>
      </c>
      <c r="I121" s="23">
        <v>0</v>
      </c>
      <c r="J121" s="23">
        <v>0</v>
      </c>
    </row>
    <row r="122" spans="1:10" ht="15.75" hidden="1" outlineLevel="1" x14ac:dyDescent="0.25">
      <c r="A122" s="39" t="s">
        <v>1</v>
      </c>
      <c r="C122" s="44"/>
      <c r="D122" s="15" t="str">
        <f t="shared" si="3"/>
        <v>Administrative Expense</v>
      </c>
      <c r="E122" s="16"/>
      <c r="F122" s="20" t="str">
        <f>"100-6170-00 - Repairs &amp; Maintenance - Administration"</f>
        <v>100-6170-00 - Repairs &amp; Maintenance - Administration</v>
      </c>
      <c r="G122" s="20"/>
      <c r="H122" s="23">
        <v>-518.62</v>
      </c>
      <c r="I122" s="23">
        <v>0</v>
      </c>
      <c r="J122" s="23">
        <v>0</v>
      </c>
    </row>
    <row r="123" spans="1:10" ht="15.75" hidden="1" outlineLevel="1" x14ac:dyDescent="0.25">
      <c r="A123" s="39" t="s">
        <v>1</v>
      </c>
      <c r="C123" s="44"/>
      <c r="D123" s="15" t="str">
        <f t="shared" si="3"/>
        <v>Administrative Expense</v>
      </c>
      <c r="E123" s="16"/>
      <c r="F123" s="20" t="str">
        <f>"100-6180-00 - Rent Expense - Administration"</f>
        <v>100-6180-00 - Rent Expense - Administration</v>
      </c>
      <c r="G123" s="20"/>
      <c r="H123" s="23">
        <v>-5574.380000000001</v>
      </c>
      <c r="I123" s="23">
        <v>0</v>
      </c>
      <c r="J123" s="23">
        <v>0</v>
      </c>
    </row>
    <row r="124" spans="1:10" ht="15.75" hidden="1" outlineLevel="1" x14ac:dyDescent="0.25">
      <c r="A124" s="39" t="s">
        <v>1</v>
      </c>
      <c r="C124" s="44"/>
      <c r="D124" s="15" t="str">
        <f t="shared" si="3"/>
        <v>Administrative Expense</v>
      </c>
      <c r="E124" s="16"/>
      <c r="F124" s="20" t="str">
        <f>"100-6190-00 - Utilities Expense - Administration"</f>
        <v>100-6190-00 - Utilities Expense - Administration</v>
      </c>
      <c r="G124" s="20"/>
      <c r="H124" s="23">
        <v>-631.58000000000004</v>
      </c>
      <c r="I124" s="23">
        <v>0</v>
      </c>
      <c r="J124" s="23">
        <v>0</v>
      </c>
    </row>
    <row r="125" spans="1:10" ht="15.75" hidden="1" outlineLevel="1" x14ac:dyDescent="0.25">
      <c r="A125" s="39" t="s">
        <v>1</v>
      </c>
      <c r="C125" s="44"/>
      <c r="D125" s="15" t="str">
        <f t="shared" si="3"/>
        <v>Administrative Expense</v>
      </c>
      <c r="E125" s="16"/>
      <c r="F125" s="20" t="str">
        <f>"100-6500-00 - Postage/Freight - Administration"</f>
        <v>100-6500-00 - Postage/Freight - Administration</v>
      </c>
      <c r="G125" s="20"/>
      <c r="H125" s="23">
        <v>-155.82</v>
      </c>
      <c r="I125" s="23">
        <v>0</v>
      </c>
      <c r="J125" s="23">
        <v>0</v>
      </c>
    </row>
    <row r="126" spans="1:10" ht="15.75" hidden="1" outlineLevel="1" x14ac:dyDescent="0.25">
      <c r="A126" s="39" t="s">
        <v>1</v>
      </c>
      <c r="C126" s="44"/>
      <c r="D126" s="15" t="str">
        <f t="shared" si="3"/>
        <v>Administrative Expense</v>
      </c>
      <c r="E126" s="16"/>
      <c r="F126" s="20" t="str">
        <f>"100-6510-00 - Telephone - Administration"</f>
        <v>100-6510-00 - Telephone - Administration</v>
      </c>
      <c r="G126" s="20"/>
      <c r="H126" s="23">
        <v>-4507.0600000000004</v>
      </c>
      <c r="I126" s="23">
        <v>0</v>
      </c>
      <c r="J126" s="23">
        <v>0</v>
      </c>
    </row>
    <row r="127" spans="1:10" ht="15.75" hidden="1" outlineLevel="1" x14ac:dyDescent="0.25">
      <c r="A127" s="39" t="s">
        <v>1</v>
      </c>
      <c r="C127" s="44"/>
      <c r="D127" s="15" t="str">
        <f t="shared" si="3"/>
        <v>Administrative Expense</v>
      </c>
      <c r="E127" s="16"/>
      <c r="F127" s="20" t="str">
        <f>"100-6520-00 - Travel - Administration"</f>
        <v>100-6520-00 - Travel - Administration</v>
      </c>
      <c r="G127" s="20"/>
      <c r="H127" s="23">
        <v>-4098.5599999999995</v>
      </c>
      <c r="I127" s="23">
        <v>0</v>
      </c>
      <c r="J127" s="23">
        <v>0</v>
      </c>
    </row>
    <row r="128" spans="1:10" ht="15.75" hidden="1" outlineLevel="1" x14ac:dyDescent="0.25">
      <c r="A128" s="39" t="s">
        <v>1</v>
      </c>
      <c r="C128" s="44"/>
      <c r="D128" s="15" t="str">
        <f t="shared" si="3"/>
        <v>Administrative Expense</v>
      </c>
      <c r="E128" s="16"/>
      <c r="F128" s="20" t="str">
        <f>"100-6530-00 - Meals/Entertainment - Administration"</f>
        <v>100-6530-00 - Meals/Entertainment - Administration</v>
      </c>
      <c r="G128" s="20"/>
      <c r="H128" s="23">
        <v>-500</v>
      </c>
      <c r="I128" s="23">
        <v>0</v>
      </c>
      <c r="J128" s="23">
        <v>0</v>
      </c>
    </row>
    <row r="129" spans="1:10" ht="15.75" hidden="1" outlineLevel="1" x14ac:dyDescent="0.25">
      <c r="A129" s="39" t="s">
        <v>1</v>
      </c>
      <c r="C129" s="44"/>
      <c r="D129" s="15" t="str">
        <f t="shared" si="3"/>
        <v>Administrative Expense</v>
      </c>
      <c r="E129" s="16"/>
      <c r="F129" s="20" t="str">
        <f>"200-6120-00 - Supplies/Rental - Accounting"</f>
        <v>200-6120-00 - Supplies/Rental - Accounting</v>
      </c>
      <c r="G129" s="20"/>
      <c r="H129" s="23">
        <v>0</v>
      </c>
      <c r="I129" s="23">
        <v>0</v>
      </c>
      <c r="J129" s="23">
        <v>0</v>
      </c>
    </row>
    <row r="130" spans="1:10" ht="15.75" hidden="1" outlineLevel="1" x14ac:dyDescent="0.25">
      <c r="A130" s="39" t="s">
        <v>1</v>
      </c>
      <c r="C130" s="44"/>
      <c r="D130" s="15" t="str">
        <f t="shared" si="3"/>
        <v>Administrative Expense</v>
      </c>
      <c r="E130" s="16"/>
      <c r="F130" s="20" t="str">
        <f>"200-6130-00 - Supplies/Hardware - Accounting"</f>
        <v>200-6130-00 - Supplies/Hardware - Accounting</v>
      </c>
      <c r="G130" s="20"/>
      <c r="H130" s="23">
        <v>-979.9</v>
      </c>
      <c r="I130" s="23">
        <v>0</v>
      </c>
      <c r="J130" s="23">
        <v>0</v>
      </c>
    </row>
    <row r="131" spans="1:10" ht="15.75" hidden="1" outlineLevel="1" x14ac:dyDescent="0.25">
      <c r="A131" s="39" t="s">
        <v>1</v>
      </c>
      <c r="C131" s="44"/>
      <c r="D131" s="15" t="str">
        <f t="shared" si="3"/>
        <v>Administrative Expense</v>
      </c>
      <c r="E131" s="16"/>
      <c r="F131" s="20" t="str">
        <f>"200-6140-00 - Supplies/Software - Accounting"</f>
        <v>200-6140-00 - Supplies/Software - Accounting</v>
      </c>
      <c r="G131" s="20"/>
      <c r="H131" s="23">
        <v>-1074</v>
      </c>
      <c r="I131" s="23">
        <v>0</v>
      </c>
      <c r="J131" s="23">
        <v>0</v>
      </c>
    </row>
    <row r="132" spans="1:10" ht="15.75" hidden="1" outlineLevel="1" x14ac:dyDescent="0.25">
      <c r="A132" s="39" t="s">
        <v>1</v>
      </c>
      <c r="C132" s="44"/>
      <c r="D132" s="15" t="str">
        <f t="shared" si="3"/>
        <v>Administrative Expense</v>
      </c>
      <c r="E132" s="16"/>
      <c r="F132" s="20" t="str">
        <f>"200-6150-00 - Supplies-Allocated - Accounting"</f>
        <v>200-6150-00 - Supplies-Allocated - Accounting</v>
      </c>
      <c r="G132" s="20"/>
      <c r="H132" s="23">
        <v>-1218.76</v>
      </c>
      <c r="I132" s="23">
        <v>0</v>
      </c>
      <c r="J132" s="23">
        <v>0</v>
      </c>
    </row>
    <row r="133" spans="1:10" ht="15.75" hidden="1" outlineLevel="1" x14ac:dyDescent="0.25">
      <c r="A133" s="39" t="s">
        <v>1</v>
      </c>
      <c r="C133" s="44"/>
      <c r="D133" s="15" t="str">
        <f t="shared" si="3"/>
        <v>Administrative Expense</v>
      </c>
      <c r="E133" s="16"/>
      <c r="F133" s="20" t="str">
        <f>"200-6160-00 - Dues &amp; Subscriptions - Accounting"</f>
        <v>200-6160-00 - Dues &amp; Subscriptions - Accounting</v>
      </c>
      <c r="G133" s="20"/>
      <c r="H133" s="23">
        <v>0</v>
      </c>
      <c r="I133" s="23">
        <v>0</v>
      </c>
      <c r="J133" s="23">
        <v>0</v>
      </c>
    </row>
    <row r="134" spans="1:10" ht="15.75" hidden="1" outlineLevel="1" x14ac:dyDescent="0.25">
      <c r="A134" s="39" t="s">
        <v>1</v>
      </c>
      <c r="C134" s="44"/>
      <c r="D134" s="15" t="str">
        <f t="shared" si="3"/>
        <v>Administrative Expense</v>
      </c>
      <c r="E134" s="16"/>
      <c r="F134" s="20" t="str">
        <f>"200-6170-00 - Repairs &amp; Maintenance - Accounting"</f>
        <v>200-6170-00 - Repairs &amp; Maintenance - Accounting</v>
      </c>
      <c r="G134" s="20"/>
      <c r="H134" s="23">
        <v>-1728.76</v>
      </c>
      <c r="I134" s="23">
        <v>0</v>
      </c>
      <c r="J134" s="23">
        <v>0</v>
      </c>
    </row>
    <row r="135" spans="1:10" ht="15.75" hidden="1" outlineLevel="1" x14ac:dyDescent="0.25">
      <c r="A135" s="39" t="s">
        <v>1</v>
      </c>
      <c r="C135" s="44"/>
      <c r="D135" s="15" t="str">
        <f t="shared" si="3"/>
        <v>Administrative Expense</v>
      </c>
      <c r="E135" s="16"/>
      <c r="F135" s="20" t="str">
        <f>"200-6180-00 - Rent Expense - Accounting"</f>
        <v>200-6180-00 - Rent Expense - Accounting</v>
      </c>
      <c r="G135" s="20"/>
      <c r="H135" s="23">
        <v>-5574.380000000001</v>
      </c>
      <c r="I135" s="23">
        <v>0</v>
      </c>
      <c r="J135" s="23">
        <v>0</v>
      </c>
    </row>
    <row r="136" spans="1:10" ht="15.75" hidden="1" outlineLevel="1" x14ac:dyDescent="0.25">
      <c r="A136" s="39" t="s">
        <v>1</v>
      </c>
      <c r="C136" s="44"/>
      <c r="D136" s="15" t="str">
        <f t="shared" si="3"/>
        <v>Administrative Expense</v>
      </c>
      <c r="E136" s="16"/>
      <c r="F136" s="20" t="str">
        <f>"200-6190-00 - Utilities Expense - Accounting"</f>
        <v>200-6190-00 - Utilities Expense - Accounting</v>
      </c>
      <c r="G136" s="20"/>
      <c r="H136" s="23">
        <v>-631.58000000000004</v>
      </c>
      <c r="I136" s="23">
        <v>0</v>
      </c>
      <c r="J136" s="23">
        <v>0</v>
      </c>
    </row>
    <row r="137" spans="1:10" ht="15.75" hidden="1" outlineLevel="1" x14ac:dyDescent="0.25">
      <c r="A137" s="39" t="s">
        <v>1</v>
      </c>
      <c r="C137" s="44"/>
      <c r="D137" s="15" t="str">
        <f t="shared" si="3"/>
        <v>Administrative Expense</v>
      </c>
      <c r="E137" s="16"/>
      <c r="F137" s="20" t="str">
        <f>"200-6500-00 - Postage/Freight  - Accounting"</f>
        <v>200-6500-00 - Postage/Freight  - Accounting</v>
      </c>
      <c r="G137" s="20"/>
      <c r="H137" s="23">
        <v>-258.58</v>
      </c>
      <c r="I137" s="23">
        <v>0</v>
      </c>
      <c r="J137" s="23">
        <v>0</v>
      </c>
    </row>
    <row r="138" spans="1:10" ht="15.75" hidden="1" outlineLevel="1" x14ac:dyDescent="0.25">
      <c r="A138" s="39" t="s">
        <v>1</v>
      </c>
      <c r="C138" s="44"/>
      <c r="D138" s="15" t="str">
        <f t="shared" si="3"/>
        <v>Administrative Expense</v>
      </c>
      <c r="E138" s="16"/>
      <c r="F138" s="20" t="str">
        <f>"200-6510-00 - Telephone - Accounting"</f>
        <v>200-6510-00 - Telephone - Accounting</v>
      </c>
      <c r="G138" s="20"/>
      <c r="H138" s="23">
        <v>-4507.0600000000004</v>
      </c>
      <c r="I138" s="23">
        <v>0</v>
      </c>
      <c r="J138" s="23">
        <v>0</v>
      </c>
    </row>
    <row r="139" spans="1:10" ht="15.75" hidden="1" outlineLevel="1" x14ac:dyDescent="0.25">
      <c r="A139" s="39" t="s">
        <v>1</v>
      </c>
      <c r="C139" s="44"/>
      <c r="D139" s="15" t="str">
        <f t="shared" si="3"/>
        <v>Administrative Expense</v>
      </c>
      <c r="E139" s="16"/>
      <c r="F139" s="20" t="str">
        <f>"200-6520-00 - Travel - Accounting"</f>
        <v>200-6520-00 - Travel - Accounting</v>
      </c>
      <c r="G139" s="20"/>
      <c r="H139" s="23">
        <v>0</v>
      </c>
      <c r="I139" s="23">
        <v>0</v>
      </c>
      <c r="J139" s="23">
        <v>0</v>
      </c>
    </row>
    <row r="140" spans="1:10" ht="15.75" hidden="1" outlineLevel="1" x14ac:dyDescent="0.25">
      <c r="A140" s="39" t="s">
        <v>1</v>
      </c>
      <c r="C140" s="44"/>
      <c r="D140" s="15" t="str">
        <f t="shared" si="3"/>
        <v>Administrative Expense</v>
      </c>
      <c r="E140" s="16"/>
      <c r="F140" s="20" t="str">
        <f>"200-6530-00 - Meals/Entertainment - Accounting"</f>
        <v>200-6530-00 - Meals/Entertainment - Accounting</v>
      </c>
      <c r="G140" s="20"/>
      <c r="H140" s="23">
        <v>0</v>
      </c>
      <c r="I140" s="23">
        <v>0</v>
      </c>
      <c r="J140" s="23">
        <v>0</v>
      </c>
    </row>
    <row r="141" spans="1:10" ht="15.75" hidden="1" outlineLevel="1" x14ac:dyDescent="0.25">
      <c r="A141" s="39" t="s">
        <v>1</v>
      </c>
      <c r="C141" s="44"/>
      <c r="D141" s="15" t="str">
        <f t="shared" si="3"/>
        <v>Administrative Expense</v>
      </c>
      <c r="E141" s="16"/>
      <c r="F141" s="20" t="str">
        <f>"300-6120-00 - Supplies/Rental - Sales"</f>
        <v>300-6120-00 - Supplies/Rental - Sales</v>
      </c>
      <c r="G141" s="20"/>
      <c r="H141" s="23">
        <v>0</v>
      </c>
      <c r="I141" s="23">
        <v>0</v>
      </c>
      <c r="J141" s="23">
        <v>0</v>
      </c>
    </row>
    <row r="142" spans="1:10" ht="15.75" hidden="1" outlineLevel="1" x14ac:dyDescent="0.25">
      <c r="A142" s="39" t="s">
        <v>1</v>
      </c>
      <c r="C142" s="44"/>
      <c r="D142" s="15" t="str">
        <f t="shared" si="3"/>
        <v>Administrative Expense</v>
      </c>
      <c r="E142" s="16"/>
      <c r="F142" s="20" t="str">
        <f>"300-6130-00 - Supplies/Hardware - Sales"</f>
        <v>300-6130-00 - Supplies/Hardware - Sales</v>
      </c>
      <c r="G142" s="20"/>
      <c r="H142" s="23">
        <v>0</v>
      </c>
      <c r="I142" s="23">
        <v>0</v>
      </c>
      <c r="J142" s="23">
        <v>0</v>
      </c>
    </row>
    <row r="143" spans="1:10" ht="15.75" hidden="1" outlineLevel="1" x14ac:dyDescent="0.25">
      <c r="A143" s="39" t="s">
        <v>1</v>
      </c>
      <c r="C143" s="44"/>
      <c r="D143" s="15" t="str">
        <f t="shared" si="3"/>
        <v>Administrative Expense</v>
      </c>
      <c r="E143" s="16"/>
      <c r="F143" s="20" t="str">
        <f>"300-6140-00 - Supplies/Software - Sales"</f>
        <v>300-6140-00 - Supplies/Software - Sales</v>
      </c>
      <c r="G143" s="20"/>
      <c r="H143" s="23">
        <v>-1584</v>
      </c>
      <c r="I143" s="23">
        <v>0</v>
      </c>
      <c r="J143" s="23">
        <v>0</v>
      </c>
    </row>
    <row r="144" spans="1:10" ht="15.75" hidden="1" outlineLevel="1" x14ac:dyDescent="0.25">
      <c r="A144" s="39" t="s">
        <v>1</v>
      </c>
      <c r="C144" s="44"/>
      <c r="D144" s="15" t="str">
        <f t="shared" si="3"/>
        <v>Administrative Expense</v>
      </c>
      <c r="E144" s="16"/>
      <c r="F144" s="20" t="str">
        <f>"300-6150-00 - Supplies-Allocated - Sales"</f>
        <v>300-6150-00 - Supplies-Allocated - Sales</v>
      </c>
      <c r="G144" s="20"/>
      <c r="H144" s="23">
        <v>-2925</v>
      </c>
      <c r="I144" s="23">
        <v>0</v>
      </c>
      <c r="J144" s="23">
        <v>0</v>
      </c>
    </row>
    <row r="145" spans="1:10" ht="15.75" hidden="1" outlineLevel="1" x14ac:dyDescent="0.25">
      <c r="A145" s="39" t="s">
        <v>1</v>
      </c>
      <c r="C145" s="44"/>
      <c r="D145" s="15" t="str">
        <f t="shared" si="3"/>
        <v>Administrative Expense</v>
      </c>
      <c r="E145" s="16"/>
      <c r="F145" s="20" t="str">
        <f>"300-6160-00 - Dues &amp; Subscriptions - Sales"</f>
        <v>300-6160-00 - Dues &amp; Subscriptions - Sales</v>
      </c>
      <c r="G145" s="20"/>
      <c r="H145" s="23">
        <v>-900</v>
      </c>
      <c r="I145" s="23">
        <v>0</v>
      </c>
      <c r="J145" s="23">
        <v>0</v>
      </c>
    </row>
    <row r="146" spans="1:10" ht="15.75" hidden="1" outlineLevel="1" x14ac:dyDescent="0.25">
      <c r="A146" s="39" t="s">
        <v>1</v>
      </c>
      <c r="C146" s="44"/>
      <c r="D146" s="15" t="str">
        <f t="shared" si="3"/>
        <v>Administrative Expense</v>
      </c>
      <c r="E146" s="16"/>
      <c r="F146" s="20" t="str">
        <f>"300-6170-00 - Repairs &amp; Maintenance - Sales"</f>
        <v>300-6170-00 - Repairs &amp; Maintenance - Sales</v>
      </c>
      <c r="G146" s="20"/>
      <c r="H146" s="23">
        <v>-4149</v>
      </c>
      <c r="I146" s="23">
        <v>0</v>
      </c>
      <c r="J146" s="23">
        <v>0</v>
      </c>
    </row>
    <row r="147" spans="1:10" ht="15.75" hidden="1" outlineLevel="1" x14ac:dyDescent="0.25">
      <c r="A147" s="39" t="s">
        <v>1</v>
      </c>
      <c r="C147" s="44"/>
      <c r="D147" s="15" t="str">
        <f t="shared" si="3"/>
        <v>Administrative Expense</v>
      </c>
      <c r="E147" s="16"/>
      <c r="F147" s="20" t="str">
        <f>"300-6180-00 - Rent Expense - Sales"</f>
        <v>300-6180-00 - Rent Expense - Sales</v>
      </c>
      <c r="G147" s="20"/>
      <c r="H147" s="23">
        <v>-39020.600000000006</v>
      </c>
      <c r="I147" s="23">
        <v>0</v>
      </c>
      <c r="J147" s="23">
        <v>0</v>
      </c>
    </row>
    <row r="148" spans="1:10" ht="15.75" hidden="1" outlineLevel="1" x14ac:dyDescent="0.25">
      <c r="A148" s="39" t="s">
        <v>1</v>
      </c>
      <c r="C148" s="44"/>
      <c r="D148" s="15" t="str">
        <f t="shared" si="3"/>
        <v>Administrative Expense</v>
      </c>
      <c r="E148" s="16"/>
      <c r="F148" s="20" t="str">
        <f>"300-6190-00 - Utilities Expense - Sales"</f>
        <v>300-6190-00 - Utilities Expense - Sales</v>
      </c>
      <c r="G148" s="20"/>
      <c r="H148" s="23">
        <v>-4421.0200000000004</v>
      </c>
      <c r="I148" s="23">
        <v>0</v>
      </c>
      <c r="J148" s="23">
        <v>0</v>
      </c>
    </row>
    <row r="149" spans="1:10" ht="15.75" hidden="1" outlineLevel="1" x14ac:dyDescent="0.25">
      <c r="A149" s="39" t="s">
        <v>1</v>
      </c>
      <c r="C149" s="44"/>
      <c r="D149" s="15" t="str">
        <f t="shared" si="3"/>
        <v>Administrative Expense</v>
      </c>
      <c r="E149" s="16"/>
      <c r="F149" s="20" t="str">
        <f>"300-6500-00 - Postage/Freight - Sales"</f>
        <v>300-6500-00 - Postage/Freight - Sales</v>
      </c>
      <c r="G149" s="20"/>
      <c r="H149" s="23">
        <v>-731.32</v>
      </c>
      <c r="I149" s="23">
        <v>0</v>
      </c>
      <c r="J149" s="23">
        <v>0</v>
      </c>
    </row>
    <row r="150" spans="1:10" ht="15.75" hidden="1" outlineLevel="1" x14ac:dyDescent="0.25">
      <c r="A150" s="39" t="s">
        <v>1</v>
      </c>
      <c r="C150" s="44"/>
      <c r="D150" s="15" t="str">
        <f t="shared" si="3"/>
        <v>Administrative Expense</v>
      </c>
      <c r="E150" s="16"/>
      <c r="F150" s="20" t="str">
        <f>"300-6510-00 - Telephone - Sales"</f>
        <v>300-6510-00 - Telephone - Sales</v>
      </c>
      <c r="G150" s="20"/>
      <c r="H150" s="23">
        <v>-13521.16</v>
      </c>
      <c r="I150" s="23">
        <v>0</v>
      </c>
      <c r="J150" s="23">
        <v>0</v>
      </c>
    </row>
    <row r="151" spans="1:10" ht="15.75" hidden="1" outlineLevel="1" x14ac:dyDescent="0.25">
      <c r="A151" s="39" t="s">
        <v>1</v>
      </c>
      <c r="C151" s="44"/>
      <c r="D151" s="15" t="str">
        <f t="shared" si="3"/>
        <v>Administrative Expense</v>
      </c>
      <c r="E151" s="16"/>
      <c r="F151" s="20" t="str">
        <f>"300-6520-00 - Travel - Sales"</f>
        <v>300-6520-00 - Travel - Sales</v>
      </c>
      <c r="G151" s="20"/>
      <c r="H151" s="23">
        <v>-33998.92</v>
      </c>
      <c r="I151" s="23">
        <v>0</v>
      </c>
      <c r="J151" s="23">
        <v>0</v>
      </c>
    </row>
    <row r="152" spans="1:10" ht="15.75" hidden="1" outlineLevel="1" x14ac:dyDescent="0.25">
      <c r="A152" s="39" t="s">
        <v>1</v>
      </c>
      <c r="C152" s="44"/>
      <c r="D152" s="15" t="str">
        <f t="shared" si="3"/>
        <v>Administrative Expense</v>
      </c>
      <c r="E152" s="16"/>
      <c r="F152" s="20" t="str">
        <f>"300-6530-00 - Meals/Entertainment - Sales"</f>
        <v>300-6530-00 - Meals/Entertainment - Sales</v>
      </c>
      <c r="G152" s="20"/>
      <c r="H152" s="23">
        <v>-5165.9799999999996</v>
      </c>
      <c r="I152" s="23">
        <v>0</v>
      </c>
      <c r="J152" s="23">
        <v>0</v>
      </c>
    </row>
    <row r="153" spans="1:10" ht="15.75" hidden="1" outlineLevel="1" x14ac:dyDescent="0.25">
      <c r="A153" s="39" t="s">
        <v>1</v>
      </c>
      <c r="C153" s="44"/>
      <c r="D153" s="15" t="str">
        <f t="shared" si="3"/>
        <v>Administrative Expense</v>
      </c>
      <c r="E153" s="16"/>
      <c r="F153" s="20" t="str">
        <f>"400-5600-00 - Contract Services - Service/Installation"</f>
        <v>400-5600-00 - Contract Services - Service/Installation</v>
      </c>
      <c r="G153" s="20"/>
      <c r="H153" s="23">
        <v>-677101.7</v>
      </c>
      <c r="I153" s="23">
        <v>0</v>
      </c>
      <c r="J153" s="23">
        <v>0</v>
      </c>
    </row>
    <row r="154" spans="1:10" ht="15.75" hidden="1" outlineLevel="1" x14ac:dyDescent="0.25">
      <c r="A154" s="39" t="s">
        <v>1</v>
      </c>
      <c r="C154" s="44"/>
      <c r="D154" s="15" t="str">
        <f t="shared" si="3"/>
        <v>Administrative Expense</v>
      </c>
      <c r="E154" s="16"/>
      <c r="F154" s="20" t="str">
        <f>"400-6110-00 - Fleet Vehicle Expense"</f>
        <v>400-6110-00 - Fleet Vehicle Expense</v>
      </c>
      <c r="G154" s="20"/>
      <c r="H154" s="23">
        <v>-1257.1199999999999</v>
      </c>
      <c r="I154" s="23">
        <v>0</v>
      </c>
      <c r="J154" s="23">
        <v>0</v>
      </c>
    </row>
    <row r="155" spans="1:10" ht="15.75" hidden="1" outlineLevel="1" x14ac:dyDescent="0.25">
      <c r="A155" s="39" t="s">
        <v>1</v>
      </c>
      <c r="C155" s="44"/>
      <c r="D155" s="15" t="str">
        <f t="shared" si="3"/>
        <v>Administrative Expense</v>
      </c>
      <c r="E155" s="16"/>
      <c r="F155" s="20" t="str">
        <f>"400-6120-00 - Supplies/Rental - Service/Installation"</f>
        <v>400-6120-00 - Supplies/Rental - Service/Installation</v>
      </c>
      <c r="G155" s="20"/>
      <c r="H155" s="23">
        <v>-3100</v>
      </c>
      <c r="I155" s="23">
        <v>0</v>
      </c>
      <c r="J155" s="23">
        <v>0</v>
      </c>
    </row>
    <row r="156" spans="1:10" ht="15.75" hidden="1" outlineLevel="1" x14ac:dyDescent="0.25">
      <c r="A156" s="39" t="s">
        <v>1</v>
      </c>
      <c r="C156" s="44"/>
      <c r="D156" s="15" t="str">
        <f t="shared" si="3"/>
        <v>Administrative Expense</v>
      </c>
      <c r="E156" s="16"/>
      <c r="F156" s="20" t="str">
        <f>"400-6130-00 - Supplies/Hardware - Service/Installation"</f>
        <v>400-6130-00 - Supplies/Hardware - Service/Installation</v>
      </c>
      <c r="G156" s="20"/>
      <c r="H156" s="23">
        <v>0</v>
      </c>
      <c r="I156" s="23">
        <v>0</v>
      </c>
      <c r="J156" s="23">
        <v>0</v>
      </c>
    </row>
    <row r="157" spans="1:10" ht="15.75" hidden="1" outlineLevel="1" x14ac:dyDescent="0.25">
      <c r="A157" s="39" t="s">
        <v>1</v>
      </c>
      <c r="C157" s="44"/>
      <c r="D157" s="15" t="str">
        <f t="shared" si="3"/>
        <v>Administrative Expense</v>
      </c>
      <c r="E157" s="16"/>
      <c r="F157" s="20" t="str">
        <f>"400-6140-00 - Supplies/Software - Service/Installation"</f>
        <v>400-6140-00 - Supplies/Software - Service/Installation</v>
      </c>
      <c r="G157" s="20"/>
      <c r="H157" s="23">
        <v>0</v>
      </c>
      <c r="I157" s="23">
        <v>0</v>
      </c>
      <c r="J157" s="23">
        <v>0</v>
      </c>
    </row>
    <row r="158" spans="1:10" ht="15.75" hidden="1" outlineLevel="1" x14ac:dyDescent="0.25">
      <c r="A158" s="39" t="s">
        <v>1</v>
      </c>
      <c r="C158" s="44"/>
      <c r="D158" s="15" t="str">
        <f t="shared" si="3"/>
        <v>Administrative Expense</v>
      </c>
      <c r="E158" s="16"/>
      <c r="F158" s="20" t="str">
        <f>"400-6150-00 - Supplies-Allocated - Services/Installation"</f>
        <v>400-6150-00 - Supplies-Allocated - Services/Installation</v>
      </c>
      <c r="G158" s="20"/>
      <c r="H158" s="23">
        <v>-2437.5</v>
      </c>
      <c r="I158" s="23">
        <v>0</v>
      </c>
      <c r="J158" s="23">
        <v>0</v>
      </c>
    </row>
    <row r="159" spans="1:10" ht="15.75" hidden="1" outlineLevel="1" x14ac:dyDescent="0.25">
      <c r="A159" s="39" t="s">
        <v>1</v>
      </c>
      <c r="C159" s="44"/>
      <c r="D159" s="15" t="str">
        <f t="shared" si="3"/>
        <v>Administrative Expense</v>
      </c>
      <c r="E159" s="16"/>
      <c r="F159" s="20" t="str">
        <f>"400-6160-00 - Dues &amp; Subscriptions - Service/Installation"</f>
        <v>400-6160-00 - Dues &amp; Subscriptions - Service/Installation</v>
      </c>
      <c r="G159" s="20"/>
      <c r="H159" s="23">
        <v>-1900</v>
      </c>
      <c r="I159" s="23">
        <v>0</v>
      </c>
      <c r="J159" s="23">
        <v>0</v>
      </c>
    </row>
    <row r="160" spans="1:10" ht="15.75" hidden="1" outlineLevel="1" x14ac:dyDescent="0.25">
      <c r="A160" s="39" t="s">
        <v>1</v>
      </c>
      <c r="C160" s="44"/>
      <c r="D160" s="15" t="str">
        <f t="shared" ref="D160:D191" si="4">D159</f>
        <v>Administrative Expense</v>
      </c>
      <c r="E160" s="16"/>
      <c r="F160" s="20" t="str">
        <f>"400-6170-00 - Repairs &amp; Maintenance - Service/Installation"</f>
        <v>400-6170-00 - Repairs &amp; Maintenance - Service/Installation</v>
      </c>
      <c r="G160" s="20"/>
      <c r="H160" s="23">
        <v>-3457.5</v>
      </c>
      <c r="I160" s="23">
        <v>0</v>
      </c>
      <c r="J160" s="23">
        <v>0</v>
      </c>
    </row>
    <row r="161" spans="1:10" ht="15.75" hidden="1" outlineLevel="1" x14ac:dyDescent="0.25">
      <c r="A161" s="39" t="s">
        <v>1</v>
      </c>
      <c r="C161" s="44"/>
      <c r="D161" s="15" t="str">
        <f t="shared" si="4"/>
        <v>Administrative Expense</v>
      </c>
      <c r="E161" s="16"/>
      <c r="F161" s="20" t="str">
        <f>"400-6180-00 - Rent Expense - Service/Installation"</f>
        <v>400-6180-00 - Rent Expense - Service/Installation</v>
      </c>
      <c r="G161" s="20"/>
      <c r="H161" s="23">
        <v>-22297.479999999996</v>
      </c>
      <c r="I161" s="23">
        <v>0</v>
      </c>
      <c r="J161" s="23">
        <v>0</v>
      </c>
    </row>
    <row r="162" spans="1:10" ht="15.75" hidden="1" outlineLevel="1" x14ac:dyDescent="0.25">
      <c r="A162" s="39" t="s">
        <v>1</v>
      </c>
      <c r="C162" s="44"/>
      <c r="D162" s="15" t="str">
        <f t="shared" si="4"/>
        <v>Administrative Expense</v>
      </c>
      <c r="E162" s="16"/>
      <c r="F162" s="20" t="str">
        <f>"400-6190-00 - Utilities Expense - Service/Installation"</f>
        <v>400-6190-00 - Utilities Expense - Service/Installation</v>
      </c>
      <c r="G162" s="20"/>
      <c r="H162" s="23">
        <v>-2526.3000000000002</v>
      </c>
      <c r="I162" s="23">
        <v>0</v>
      </c>
      <c r="J162" s="23">
        <v>0</v>
      </c>
    </row>
    <row r="163" spans="1:10" ht="15.75" hidden="1" outlineLevel="1" x14ac:dyDescent="0.25">
      <c r="A163" s="39" t="s">
        <v>1</v>
      </c>
      <c r="C163" s="44"/>
      <c r="D163" s="15" t="str">
        <f t="shared" si="4"/>
        <v>Administrative Expense</v>
      </c>
      <c r="E163" s="16"/>
      <c r="F163" s="20" t="str">
        <f>"400-6500-00 - Postage/Freight - Service/Installation"</f>
        <v>400-6500-00 - Postage/Freight - Service/Installation</v>
      </c>
      <c r="G163" s="20"/>
      <c r="H163" s="23">
        <v>-5061.8999999999996</v>
      </c>
      <c r="I163" s="23">
        <v>0</v>
      </c>
      <c r="J163" s="23">
        <v>0</v>
      </c>
    </row>
    <row r="164" spans="1:10" ht="15.75" hidden="1" outlineLevel="1" x14ac:dyDescent="0.25">
      <c r="A164" s="39" t="s">
        <v>1</v>
      </c>
      <c r="C164" s="44"/>
      <c r="D164" s="15" t="str">
        <f t="shared" si="4"/>
        <v>Administrative Expense</v>
      </c>
      <c r="E164" s="16"/>
      <c r="F164" s="20" t="str">
        <f>"400-6510-00 - Telephone - Service/Installation"</f>
        <v>400-6510-00 - Telephone - Service/Installation</v>
      </c>
      <c r="G164" s="20"/>
      <c r="H164" s="23">
        <v>-6760.58</v>
      </c>
      <c r="I164" s="23">
        <v>0</v>
      </c>
      <c r="J164" s="23">
        <v>0</v>
      </c>
    </row>
    <row r="165" spans="1:10" ht="15.75" hidden="1" outlineLevel="1" x14ac:dyDescent="0.25">
      <c r="A165" s="39" t="s">
        <v>1</v>
      </c>
      <c r="C165" s="44"/>
      <c r="D165" s="15" t="str">
        <f t="shared" si="4"/>
        <v>Administrative Expense</v>
      </c>
      <c r="E165" s="16"/>
      <c r="F165" s="20" t="str">
        <f>"400-6520-00 - Travel - Service/Installation"</f>
        <v>400-6520-00 - Travel - Service/Installation</v>
      </c>
      <c r="G165" s="20"/>
      <c r="H165" s="23">
        <v>-29884.02</v>
      </c>
      <c r="I165" s="23">
        <v>0</v>
      </c>
      <c r="J165" s="23">
        <v>0</v>
      </c>
    </row>
    <row r="166" spans="1:10" ht="15.75" hidden="1" outlineLevel="1" x14ac:dyDescent="0.25">
      <c r="A166" s="39" t="s">
        <v>1</v>
      </c>
      <c r="C166" s="44"/>
      <c r="D166" s="15" t="str">
        <f t="shared" si="4"/>
        <v>Administrative Expense</v>
      </c>
      <c r="E166" s="16"/>
      <c r="F166" s="20" t="str">
        <f>"400-6530-00 - Meals/Entertainment - Service/Installation"</f>
        <v>400-6530-00 - Meals/Entertainment - Service/Installation</v>
      </c>
      <c r="G166" s="20"/>
      <c r="H166" s="23">
        <v>-3379.24</v>
      </c>
      <c r="I166" s="23">
        <v>0</v>
      </c>
      <c r="J166" s="23">
        <v>0</v>
      </c>
    </row>
    <row r="167" spans="1:10" ht="15.75" hidden="1" outlineLevel="1" x14ac:dyDescent="0.25">
      <c r="A167" s="39" t="s">
        <v>1</v>
      </c>
      <c r="C167" s="44"/>
      <c r="D167" s="15" t="str">
        <f t="shared" si="4"/>
        <v>Administrative Expense</v>
      </c>
      <c r="E167" s="16"/>
      <c r="F167" s="20" t="str">
        <f>"500-5600-00 - Contract Services - Consulting/Training"</f>
        <v>500-5600-00 - Contract Services - Consulting/Training</v>
      </c>
      <c r="G167" s="20"/>
      <c r="H167" s="23">
        <v>-75400</v>
      </c>
      <c r="I167" s="23">
        <v>0</v>
      </c>
      <c r="J167" s="23">
        <v>0</v>
      </c>
    </row>
    <row r="168" spans="1:10" ht="15.75" hidden="1" outlineLevel="1" x14ac:dyDescent="0.25">
      <c r="A168" s="39" t="s">
        <v>1</v>
      </c>
      <c r="C168" s="44"/>
      <c r="D168" s="15" t="str">
        <f t="shared" si="4"/>
        <v>Administrative Expense</v>
      </c>
      <c r="E168" s="16"/>
      <c r="F168" s="20" t="str">
        <f>"500-6120-00 - Supplies/Rental - Consulting/Training"</f>
        <v>500-6120-00 - Supplies/Rental - Consulting/Training</v>
      </c>
      <c r="G168" s="20"/>
      <c r="H168" s="23">
        <v>-1950</v>
      </c>
      <c r="I168" s="23">
        <v>0</v>
      </c>
      <c r="J168" s="23">
        <v>0</v>
      </c>
    </row>
    <row r="169" spans="1:10" ht="15.75" hidden="1" outlineLevel="1" x14ac:dyDescent="0.25">
      <c r="A169" s="39" t="s">
        <v>1</v>
      </c>
      <c r="C169" s="44"/>
      <c r="D169" s="15" t="str">
        <f t="shared" si="4"/>
        <v>Administrative Expense</v>
      </c>
      <c r="E169" s="16"/>
      <c r="F169" s="20" t="str">
        <f>"500-6130-00 - Supplies/Hardware - Consulting/Training"</f>
        <v>500-6130-00 - Supplies/Hardware - Consulting/Training</v>
      </c>
      <c r="G169" s="20"/>
      <c r="H169" s="23">
        <v>0</v>
      </c>
      <c r="I169" s="23">
        <v>0</v>
      </c>
      <c r="J169" s="23">
        <v>0</v>
      </c>
    </row>
    <row r="170" spans="1:10" ht="15.75" hidden="1" outlineLevel="1" x14ac:dyDescent="0.25">
      <c r="A170" s="39" t="s">
        <v>1</v>
      </c>
      <c r="C170" s="44"/>
      <c r="D170" s="15" t="str">
        <f t="shared" si="4"/>
        <v>Administrative Expense</v>
      </c>
      <c r="E170" s="16"/>
      <c r="F170" s="20" t="str">
        <f>"500-6140-00 - Supplies/Software - Consulting/Training"</f>
        <v>500-6140-00 - Supplies/Software - Consulting/Training</v>
      </c>
      <c r="G170" s="20"/>
      <c r="H170" s="23">
        <v>0</v>
      </c>
      <c r="I170" s="23">
        <v>0</v>
      </c>
      <c r="J170" s="23">
        <v>0</v>
      </c>
    </row>
    <row r="171" spans="1:10" ht="15.75" hidden="1" outlineLevel="1" x14ac:dyDescent="0.25">
      <c r="A171" s="39" t="s">
        <v>1</v>
      </c>
      <c r="C171" s="44"/>
      <c r="D171" s="15" t="str">
        <f t="shared" si="4"/>
        <v>Administrative Expense</v>
      </c>
      <c r="E171" s="16"/>
      <c r="F171" s="20" t="str">
        <f>"500-6150-00 - Supplies-Allocated - Consulting/Training"</f>
        <v>500-6150-00 - Supplies-Allocated - Consulting/Training</v>
      </c>
      <c r="G171" s="20"/>
      <c r="H171" s="23">
        <v>-21899.24</v>
      </c>
      <c r="I171" s="23">
        <v>0</v>
      </c>
      <c r="J171" s="23">
        <v>0</v>
      </c>
    </row>
    <row r="172" spans="1:10" ht="15.75" hidden="1" outlineLevel="1" x14ac:dyDescent="0.25">
      <c r="A172" s="39" t="s">
        <v>1</v>
      </c>
      <c r="C172" s="44"/>
      <c r="D172" s="15" t="str">
        <f t="shared" si="4"/>
        <v>Administrative Expense</v>
      </c>
      <c r="E172" s="16"/>
      <c r="F172" s="20" t="str">
        <f>"500-6160-00 - Dues &amp; Subscriptions - Consulting/Training"</f>
        <v>500-6160-00 - Dues &amp; Subscriptions - Consulting/Training</v>
      </c>
      <c r="G172" s="20"/>
      <c r="H172" s="23">
        <v>-179</v>
      </c>
      <c r="I172" s="23">
        <v>0</v>
      </c>
      <c r="J172" s="23">
        <v>0</v>
      </c>
    </row>
    <row r="173" spans="1:10" ht="15.75" hidden="1" outlineLevel="1" x14ac:dyDescent="0.25">
      <c r="A173" s="39" t="s">
        <v>1</v>
      </c>
      <c r="C173" s="44"/>
      <c r="D173" s="15" t="str">
        <f t="shared" si="4"/>
        <v>Administrative Expense</v>
      </c>
      <c r="E173" s="16"/>
      <c r="F173" s="20" t="str">
        <f>"500-6170-00 - Repairs &amp; Maintenance - Consulting/Training"</f>
        <v>500-6170-00 - Repairs &amp; Maintenance - Consulting/Training</v>
      </c>
      <c r="G173" s="20"/>
      <c r="H173" s="23">
        <v>-3111.76</v>
      </c>
      <c r="I173" s="23">
        <v>0</v>
      </c>
      <c r="J173" s="23">
        <v>0</v>
      </c>
    </row>
    <row r="174" spans="1:10" ht="15.75" hidden="1" outlineLevel="1" x14ac:dyDescent="0.25">
      <c r="A174" s="39" t="s">
        <v>1</v>
      </c>
      <c r="C174" s="44"/>
      <c r="D174" s="15" t="str">
        <f t="shared" si="4"/>
        <v>Administrative Expense</v>
      </c>
      <c r="E174" s="16"/>
      <c r="F174" s="20" t="str">
        <f>"500-6180-00 - Rent Expense - Consulting/Training"</f>
        <v>500-6180-00 - Rent Expense - Consulting/Training</v>
      </c>
      <c r="G174" s="20"/>
      <c r="H174" s="23">
        <v>-11148.739999999998</v>
      </c>
      <c r="I174" s="23">
        <v>0</v>
      </c>
      <c r="J174" s="23">
        <v>0</v>
      </c>
    </row>
    <row r="175" spans="1:10" ht="15.75" hidden="1" outlineLevel="1" x14ac:dyDescent="0.25">
      <c r="A175" s="39" t="s">
        <v>1</v>
      </c>
      <c r="C175" s="44"/>
      <c r="D175" s="15" t="str">
        <f t="shared" si="4"/>
        <v>Administrative Expense</v>
      </c>
      <c r="E175" s="16"/>
      <c r="F175" s="20" t="str">
        <f>"500-6190-00 - Utilities Expense - Consulting/Training"</f>
        <v>500-6190-00 - Utilities Expense - Consulting/Training</v>
      </c>
      <c r="G175" s="20"/>
      <c r="H175" s="23">
        <v>-1263.1600000000001</v>
      </c>
      <c r="I175" s="23">
        <v>0</v>
      </c>
      <c r="J175" s="23">
        <v>0</v>
      </c>
    </row>
    <row r="176" spans="1:10" ht="15.75" hidden="1" outlineLevel="1" x14ac:dyDescent="0.25">
      <c r="A176" s="39" t="s">
        <v>1</v>
      </c>
      <c r="C176" s="44"/>
      <c r="D176" s="15" t="str">
        <f t="shared" si="4"/>
        <v>Administrative Expense</v>
      </c>
      <c r="E176" s="16"/>
      <c r="F176" s="20" t="str">
        <f>"500-6500-00 - Postage/Freight - Consulting/Training"</f>
        <v>500-6500-00 - Postage/Freight - Consulting/Training</v>
      </c>
      <c r="G176" s="20"/>
      <c r="H176" s="23">
        <v>-1279.44</v>
      </c>
      <c r="I176" s="23">
        <v>0</v>
      </c>
      <c r="J176" s="23">
        <v>0</v>
      </c>
    </row>
    <row r="177" spans="1:13" ht="15.75" hidden="1" outlineLevel="1" x14ac:dyDescent="0.25">
      <c r="A177" s="39" t="s">
        <v>1</v>
      </c>
      <c r="C177" s="44"/>
      <c r="D177" s="15" t="str">
        <f t="shared" si="4"/>
        <v>Administrative Expense</v>
      </c>
      <c r="E177" s="16"/>
      <c r="F177" s="20" t="str">
        <f>"500-6510-00 - Telephone - Consulting/Training"</f>
        <v>500-6510-00 - Telephone - Consulting/Training</v>
      </c>
      <c r="G177" s="20"/>
      <c r="H177" s="23">
        <v>-11267.64</v>
      </c>
      <c r="I177" s="23">
        <v>0</v>
      </c>
      <c r="J177" s="23">
        <v>0</v>
      </c>
    </row>
    <row r="178" spans="1:13" ht="15.75" hidden="1" outlineLevel="1" x14ac:dyDescent="0.25">
      <c r="A178" s="39" t="s">
        <v>1</v>
      </c>
      <c r="C178" s="44"/>
      <c r="D178" s="15" t="str">
        <f t="shared" si="4"/>
        <v>Administrative Expense</v>
      </c>
      <c r="E178" s="16"/>
      <c r="F178" s="20" t="str">
        <f>"500-6520-00 - Travel - Consulting/Training"</f>
        <v>500-6520-00 - Travel - Consulting/Training</v>
      </c>
      <c r="G178" s="20"/>
      <c r="H178" s="23">
        <v>-23976.080000000002</v>
      </c>
      <c r="I178" s="23">
        <v>0</v>
      </c>
      <c r="J178" s="23">
        <v>0</v>
      </c>
    </row>
    <row r="179" spans="1:13" ht="15.75" hidden="1" outlineLevel="1" x14ac:dyDescent="0.25">
      <c r="A179" s="39" t="s">
        <v>1</v>
      </c>
      <c r="C179" s="44"/>
      <c r="D179" s="15" t="str">
        <f t="shared" si="4"/>
        <v>Administrative Expense</v>
      </c>
      <c r="E179" s="16"/>
      <c r="F179" s="20" t="str">
        <f>"500-6530-00 - Meals/Entertainment - Consulting/Training"</f>
        <v>500-6530-00 - Meals/Entertainment - Consulting/Training</v>
      </c>
      <c r="G179" s="20"/>
      <c r="H179" s="23">
        <v>-3519.4</v>
      </c>
      <c r="I179" s="23">
        <v>0</v>
      </c>
      <c r="J179" s="23">
        <v>0</v>
      </c>
    </row>
    <row r="180" spans="1:13" ht="15.75" hidden="1" outlineLevel="1" x14ac:dyDescent="0.25">
      <c r="A180" s="39" t="s">
        <v>1</v>
      </c>
      <c r="C180" s="44"/>
      <c r="D180" s="15" t="str">
        <f t="shared" si="4"/>
        <v>Administrative Expense</v>
      </c>
      <c r="E180" s="16"/>
      <c r="F180" s="20" t="str">
        <f>"600-6120-00 - Supplies/Rental - Purchasing/Receiving"</f>
        <v>600-6120-00 - Supplies/Rental - Purchasing/Receiving</v>
      </c>
      <c r="G180" s="20"/>
      <c r="H180" s="23">
        <v>0</v>
      </c>
      <c r="I180" s="23">
        <v>0</v>
      </c>
      <c r="J180" s="23">
        <v>0</v>
      </c>
    </row>
    <row r="181" spans="1:13" ht="15.75" hidden="1" outlineLevel="1" x14ac:dyDescent="0.25">
      <c r="A181" s="39" t="s">
        <v>1</v>
      </c>
      <c r="C181" s="44"/>
      <c r="D181" s="15" t="str">
        <f t="shared" si="4"/>
        <v>Administrative Expense</v>
      </c>
      <c r="E181" s="16"/>
      <c r="F181" s="20" t="str">
        <f>"600-6130-00 - Supplies/Hardware - Purchasing/Receiving"</f>
        <v>600-6130-00 - Supplies/Hardware - Purchasing/Receiving</v>
      </c>
      <c r="G181" s="20"/>
      <c r="H181" s="23">
        <v>0</v>
      </c>
      <c r="I181" s="23">
        <v>0</v>
      </c>
      <c r="J181" s="23">
        <v>0</v>
      </c>
    </row>
    <row r="182" spans="1:13" ht="15.75" hidden="1" outlineLevel="1" x14ac:dyDescent="0.25">
      <c r="A182" s="39" t="s">
        <v>1</v>
      </c>
      <c r="C182" s="44"/>
      <c r="D182" s="15" t="str">
        <f t="shared" si="4"/>
        <v>Administrative Expense</v>
      </c>
      <c r="E182" s="16"/>
      <c r="F182" s="20" t="str">
        <f>"600-6140-00 - Supplies/Software - Purchases/Receiving"</f>
        <v>600-6140-00 - Supplies/Software - Purchases/Receiving</v>
      </c>
      <c r="G182" s="20"/>
      <c r="H182" s="23">
        <v>0</v>
      </c>
      <c r="I182" s="23">
        <v>0</v>
      </c>
      <c r="J182" s="23">
        <v>0</v>
      </c>
    </row>
    <row r="183" spans="1:13" ht="15.75" hidden="1" outlineLevel="1" x14ac:dyDescent="0.25">
      <c r="A183" s="39" t="s">
        <v>1</v>
      </c>
      <c r="C183" s="44"/>
      <c r="D183" s="15" t="str">
        <f t="shared" si="4"/>
        <v>Administrative Expense</v>
      </c>
      <c r="E183" s="16"/>
      <c r="F183" s="20" t="str">
        <f>"600-6150-00 - Supplies-Allocated - Purchases/Receiving"</f>
        <v>600-6150-00 - Supplies-Allocated - Purchases/Receiving</v>
      </c>
      <c r="G183" s="20"/>
      <c r="H183" s="23">
        <v>-487.5</v>
      </c>
      <c r="I183" s="23">
        <v>0</v>
      </c>
      <c r="J183" s="23">
        <v>0</v>
      </c>
    </row>
    <row r="184" spans="1:13" ht="15.75" hidden="1" outlineLevel="1" x14ac:dyDescent="0.25">
      <c r="A184" s="39" t="s">
        <v>1</v>
      </c>
      <c r="C184" s="44"/>
      <c r="D184" s="15" t="str">
        <f t="shared" si="4"/>
        <v>Administrative Expense</v>
      </c>
      <c r="E184" s="16"/>
      <c r="F184" s="20" t="str">
        <f>"600-6160-00 - Dues &amp; Subscriptions - Purchasing/Receiving"</f>
        <v>600-6160-00 - Dues &amp; Subscriptions - Purchasing/Receiving</v>
      </c>
      <c r="G184" s="20"/>
      <c r="H184" s="23">
        <v>-110</v>
      </c>
      <c r="I184" s="23">
        <v>0</v>
      </c>
      <c r="J184" s="23">
        <v>0</v>
      </c>
    </row>
    <row r="185" spans="1:13" ht="15.75" hidden="1" outlineLevel="1" x14ac:dyDescent="0.25">
      <c r="A185" s="39" t="s">
        <v>1</v>
      </c>
      <c r="C185" s="44"/>
      <c r="D185" s="15" t="str">
        <f t="shared" si="4"/>
        <v>Administrative Expense</v>
      </c>
      <c r="E185" s="16"/>
      <c r="F185" s="20" t="str">
        <f>"600-6170-00 - Repairs &amp; Maintenance - Purchasing/Receiving"</f>
        <v>600-6170-00 - Repairs &amp; Maintenance - Purchasing/Receiving</v>
      </c>
      <c r="G185" s="20"/>
      <c r="H185" s="23">
        <v>-691.5</v>
      </c>
      <c r="I185" s="23">
        <v>0</v>
      </c>
      <c r="J185" s="23">
        <v>0</v>
      </c>
    </row>
    <row r="186" spans="1:13" ht="15.75" hidden="1" outlineLevel="1" x14ac:dyDescent="0.25">
      <c r="A186" s="39" t="s">
        <v>1</v>
      </c>
      <c r="C186" s="44"/>
      <c r="D186" s="15" t="str">
        <f t="shared" si="4"/>
        <v>Administrative Expense</v>
      </c>
      <c r="E186" s="16"/>
      <c r="F186" s="20" t="str">
        <f>"600-6180-00 - Rent Expense - Purchasing/Receiving"</f>
        <v>600-6180-00 - Rent Expense - Purchasing/Receiving</v>
      </c>
      <c r="G186" s="20"/>
      <c r="H186" s="23">
        <v>-27871.82</v>
      </c>
      <c r="I186" s="23">
        <v>0</v>
      </c>
      <c r="J186" s="23">
        <v>0</v>
      </c>
    </row>
    <row r="187" spans="1:13" ht="15.75" hidden="1" outlineLevel="1" x14ac:dyDescent="0.25">
      <c r="A187" s="39" t="s">
        <v>1</v>
      </c>
      <c r="C187" s="44"/>
      <c r="D187" s="15" t="str">
        <f t="shared" si="4"/>
        <v>Administrative Expense</v>
      </c>
      <c r="E187" s="16"/>
      <c r="F187" s="20" t="str">
        <f>"600-6190-00 - Utilities Expense - Purchasing/Receiving"</f>
        <v>600-6190-00 - Utilities Expense - Purchasing/Receiving</v>
      </c>
      <c r="G187" s="20"/>
      <c r="H187" s="23">
        <v>-3157.88</v>
      </c>
      <c r="I187" s="23">
        <v>0</v>
      </c>
      <c r="J187" s="23">
        <v>0</v>
      </c>
    </row>
    <row r="188" spans="1:13" ht="15.75" hidden="1" outlineLevel="1" x14ac:dyDescent="0.25">
      <c r="A188" s="39" t="s">
        <v>1</v>
      </c>
      <c r="C188" s="44"/>
      <c r="D188" s="15" t="str">
        <f t="shared" si="4"/>
        <v>Administrative Expense</v>
      </c>
      <c r="E188" s="16"/>
      <c r="F188" s="20" t="str">
        <f>"600-6500-00 - Postage/Freight - Purchasing/Receiving"</f>
        <v>600-6500-00 - Postage/Freight - Purchasing/Receiving</v>
      </c>
      <c r="G188" s="20"/>
      <c r="H188" s="23">
        <v>-221.62</v>
      </c>
      <c r="I188" s="23">
        <v>0</v>
      </c>
      <c r="J188" s="23">
        <v>0</v>
      </c>
    </row>
    <row r="189" spans="1:13" ht="15.75" hidden="1" outlineLevel="1" x14ac:dyDescent="0.25">
      <c r="A189" s="39" t="s">
        <v>1</v>
      </c>
      <c r="C189" s="44"/>
      <c r="D189" s="15" t="str">
        <f t="shared" si="4"/>
        <v>Administrative Expense</v>
      </c>
      <c r="E189" s="16"/>
      <c r="F189" s="20" t="str">
        <f>"600-6510-00 - Telephone - Purchasing/Receiving"</f>
        <v>600-6510-00 - Telephone - Purchasing/Receiving</v>
      </c>
      <c r="G189" s="20"/>
      <c r="H189" s="23">
        <v>-4507.0600000000004</v>
      </c>
      <c r="I189" s="23">
        <v>0</v>
      </c>
      <c r="J189" s="23">
        <v>0</v>
      </c>
    </row>
    <row r="190" spans="1:13" ht="15.75" hidden="1" outlineLevel="1" x14ac:dyDescent="0.25">
      <c r="A190" s="39" t="s">
        <v>1</v>
      </c>
      <c r="C190" s="44"/>
      <c r="D190" s="15" t="str">
        <f t="shared" si="4"/>
        <v>Administrative Expense</v>
      </c>
      <c r="E190" s="16"/>
      <c r="F190" s="20" t="str">
        <f>"600-6520-00 - Travel - Purchasing/Receiving"</f>
        <v>600-6520-00 - Travel - Purchasing/Receiving</v>
      </c>
      <c r="G190" s="20"/>
      <c r="H190" s="23">
        <v>-90000</v>
      </c>
      <c r="I190" s="23">
        <v>0</v>
      </c>
      <c r="J190" s="23">
        <v>0</v>
      </c>
    </row>
    <row r="191" spans="1:13" ht="15.75" hidden="1" outlineLevel="1" x14ac:dyDescent="0.25">
      <c r="A191" s="39" t="s">
        <v>1</v>
      </c>
      <c r="C191" s="44"/>
      <c r="D191" s="15" t="str">
        <f t="shared" si="4"/>
        <v>Administrative Expense</v>
      </c>
      <c r="E191" s="16"/>
      <c r="F191" s="20" t="str">
        <f>"600-6530-00 - Meals/Entertainment - Purchasing/Receiving"</f>
        <v>600-6530-00 - Meals/Entertainment - Purchasing/Receiving</v>
      </c>
      <c r="G191" s="20"/>
      <c r="H191" s="23">
        <v>0</v>
      </c>
      <c r="I191" s="23">
        <v>0</v>
      </c>
      <c r="J191" s="23">
        <v>0</v>
      </c>
    </row>
    <row r="192" spans="1:13" ht="15.75" x14ac:dyDescent="0.25">
      <c r="A192" s="39"/>
      <c r="C192" s="44"/>
      <c r="D192" s="15" t="str">
        <f>D95</f>
        <v>Administrative Expense</v>
      </c>
      <c r="E192" s="16"/>
      <c r="F192" s="21" t="str">
        <f>"Total "&amp;E94</f>
        <v>Total Administrative Expense</v>
      </c>
      <c r="G192" s="14"/>
      <c r="H192" s="22">
        <v>-1270232.8199999996</v>
      </c>
      <c r="I192" s="22">
        <v>0</v>
      </c>
      <c r="J192" s="22">
        <v>0</v>
      </c>
      <c r="K192" s="7"/>
      <c r="L192" s="7"/>
      <c r="M192" s="7"/>
    </row>
    <row r="193" spans="1:10" ht="15.75" x14ac:dyDescent="0.25">
      <c r="A193" s="39"/>
      <c r="C193" s="44"/>
      <c r="E193" s="17"/>
    </row>
    <row r="194" spans="1:10" ht="15.75" collapsed="1" x14ac:dyDescent="0.25">
      <c r="A194" s="39"/>
      <c r="C194" s="44">
        <v>36</v>
      </c>
      <c r="D194" s="15" t="str">
        <f>E194</f>
        <v>Salaries Expense</v>
      </c>
      <c r="E194" s="13" t="str">
        <f>"Salaries Expense"</f>
        <v>Salaries Expense</v>
      </c>
      <c r="F194" s="10"/>
      <c r="G194" s="11"/>
      <c r="H194" s="10"/>
      <c r="I194" s="10"/>
      <c r="J194" s="10"/>
    </row>
    <row r="195" spans="1:10" ht="15.75" hidden="1" outlineLevel="1" x14ac:dyDescent="0.25">
      <c r="A195" s="39"/>
      <c r="C195" s="44"/>
      <c r="D195" s="15" t="str">
        <f>D194</f>
        <v>Salaries Expense</v>
      </c>
      <c r="E195" s="16"/>
      <c r="F195" s="20" t="str">
        <f>"000-5100-00 - Salaries and Wages"</f>
        <v>000-5100-00 - Salaries and Wages</v>
      </c>
      <c r="G195" s="20"/>
      <c r="H195" s="23">
        <v>-171970.78000000003</v>
      </c>
      <c r="I195" s="23">
        <v>-59019.820000000007</v>
      </c>
      <c r="J195" s="23">
        <v>-59821.100000000006</v>
      </c>
    </row>
    <row r="196" spans="1:10" ht="15.75" hidden="1" outlineLevel="1" x14ac:dyDescent="0.25">
      <c r="A196" s="39" t="s">
        <v>1</v>
      </c>
      <c r="C196" s="44"/>
      <c r="D196" s="15" t="str">
        <f t="shared" ref="D196:D232" si="5">D195</f>
        <v>Salaries Expense</v>
      </c>
      <c r="E196" s="16"/>
      <c r="F196" s="20" t="str">
        <f>"100-5100-00 - Salaries and Wages - Administration"</f>
        <v>100-5100-00 - Salaries and Wages - Administration</v>
      </c>
      <c r="G196" s="20"/>
      <c r="H196" s="23">
        <v>0</v>
      </c>
      <c r="I196" s="23">
        <v>0</v>
      </c>
      <c r="J196" s="23">
        <v>0</v>
      </c>
    </row>
    <row r="197" spans="1:10" ht="15.75" hidden="1" outlineLevel="1" x14ac:dyDescent="0.25">
      <c r="A197" s="39" t="s">
        <v>1</v>
      </c>
      <c r="C197" s="44"/>
      <c r="D197" s="15" t="str">
        <f t="shared" si="5"/>
        <v>Salaries Expense</v>
      </c>
      <c r="E197" s="16"/>
      <c r="F197" s="20" t="str">
        <f>"100-5110-00 - Overtime Pay - Administration"</f>
        <v>100-5110-00 - Overtime Pay - Administration</v>
      </c>
      <c r="G197" s="20"/>
      <c r="H197" s="23">
        <v>0</v>
      </c>
      <c r="I197" s="23">
        <v>0</v>
      </c>
      <c r="J197" s="23">
        <v>0</v>
      </c>
    </row>
    <row r="198" spans="1:10" ht="15.75" hidden="1" outlineLevel="1" x14ac:dyDescent="0.25">
      <c r="A198" s="39" t="s">
        <v>1</v>
      </c>
      <c r="C198" s="44"/>
      <c r="D198" s="15" t="str">
        <f t="shared" si="5"/>
        <v>Salaries Expense</v>
      </c>
      <c r="E198" s="16"/>
      <c r="F198" s="20" t="str">
        <f>"100-5120-00 - Bonuses - Administration"</f>
        <v>100-5120-00 - Bonuses - Administration</v>
      </c>
      <c r="G198" s="20"/>
      <c r="H198" s="23">
        <v>0</v>
      </c>
      <c r="I198" s="23">
        <v>0</v>
      </c>
      <c r="J198" s="23">
        <v>0</v>
      </c>
    </row>
    <row r="199" spans="1:10" ht="15.75" hidden="1" outlineLevel="1" x14ac:dyDescent="0.25">
      <c r="A199" s="39" t="s">
        <v>1</v>
      </c>
      <c r="C199" s="44"/>
      <c r="D199" s="15" t="str">
        <f t="shared" si="5"/>
        <v>Salaries Expense</v>
      </c>
      <c r="E199" s="16"/>
      <c r="F199" s="20" t="str">
        <f>"100-5140-00 - Profit Sharing - Administration"</f>
        <v>100-5140-00 - Profit Sharing - Administration</v>
      </c>
      <c r="G199" s="20"/>
      <c r="H199" s="23">
        <v>0</v>
      </c>
      <c r="I199" s="23">
        <v>0</v>
      </c>
      <c r="J199" s="23">
        <v>0</v>
      </c>
    </row>
    <row r="200" spans="1:10" ht="15.75" hidden="1" outlineLevel="1" x14ac:dyDescent="0.25">
      <c r="A200" s="39" t="s">
        <v>1</v>
      </c>
      <c r="C200" s="44"/>
      <c r="D200" s="15" t="str">
        <f t="shared" si="5"/>
        <v>Salaries Expense</v>
      </c>
      <c r="E200" s="16"/>
      <c r="F200" s="20" t="str">
        <f>"200-5100-00 - Salaries and Wages - Accounting"</f>
        <v>200-5100-00 - Salaries and Wages - Accounting</v>
      </c>
      <c r="G200" s="20"/>
      <c r="H200" s="23">
        <v>0</v>
      </c>
      <c r="I200" s="23">
        <v>0</v>
      </c>
      <c r="J200" s="23">
        <v>0</v>
      </c>
    </row>
    <row r="201" spans="1:10" ht="15.75" hidden="1" outlineLevel="1" x14ac:dyDescent="0.25">
      <c r="A201" s="39" t="s">
        <v>1</v>
      </c>
      <c r="C201" s="44"/>
      <c r="D201" s="15" t="str">
        <f t="shared" si="5"/>
        <v>Salaries Expense</v>
      </c>
      <c r="E201" s="16"/>
      <c r="F201" s="20" t="str">
        <f>"200-5110-00 - Overtime Pay - Accounting"</f>
        <v>200-5110-00 - Overtime Pay - Accounting</v>
      </c>
      <c r="G201" s="20"/>
      <c r="H201" s="23">
        <v>0</v>
      </c>
      <c r="I201" s="23">
        <v>0</v>
      </c>
      <c r="J201" s="23">
        <v>0</v>
      </c>
    </row>
    <row r="202" spans="1:10" ht="15.75" hidden="1" outlineLevel="1" x14ac:dyDescent="0.25">
      <c r="A202" s="39" t="s">
        <v>1</v>
      </c>
      <c r="C202" s="44"/>
      <c r="D202" s="15" t="str">
        <f t="shared" si="5"/>
        <v>Salaries Expense</v>
      </c>
      <c r="E202" s="16"/>
      <c r="F202" s="20" t="str">
        <f>"200-5120-00 - Bonuses - Accounting"</f>
        <v>200-5120-00 - Bonuses - Accounting</v>
      </c>
      <c r="G202" s="20"/>
      <c r="H202" s="23">
        <v>0</v>
      </c>
      <c r="I202" s="23">
        <v>0</v>
      </c>
      <c r="J202" s="23">
        <v>0</v>
      </c>
    </row>
    <row r="203" spans="1:10" ht="15.75" hidden="1" outlineLevel="1" x14ac:dyDescent="0.25">
      <c r="A203" s="39" t="s">
        <v>1</v>
      </c>
      <c r="C203" s="44"/>
      <c r="D203" s="15" t="str">
        <f t="shared" si="5"/>
        <v>Salaries Expense</v>
      </c>
      <c r="E203" s="16"/>
      <c r="F203" s="20" t="str">
        <f>"200-5140-00 - Profit Sharing - Accounting"</f>
        <v>200-5140-00 - Profit Sharing - Accounting</v>
      </c>
      <c r="G203" s="20"/>
      <c r="H203" s="23">
        <v>0</v>
      </c>
      <c r="I203" s="23">
        <v>0</v>
      </c>
      <c r="J203" s="23">
        <v>0</v>
      </c>
    </row>
    <row r="204" spans="1:10" ht="15.75" hidden="1" outlineLevel="1" x14ac:dyDescent="0.25">
      <c r="A204" s="39" t="s">
        <v>1</v>
      </c>
      <c r="C204" s="44"/>
      <c r="D204" s="15" t="str">
        <f t="shared" si="5"/>
        <v>Salaries Expense</v>
      </c>
      <c r="E204" s="16"/>
      <c r="F204" s="20" t="str">
        <f>"300-5100-00 - Salaries and Wages - Sales"</f>
        <v>300-5100-00 - Salaries and Wages - Sales</v>
      </c>
      <c r="G204" s="20"/>
      <c r="H204" s="23">
        <v>0</v>
      </c>
      <c r="I204" s="23">
        <v>0</v>
      </c>
      <c r="J204" s="23">
        <v>0</v>
      </c>
    </row>
    <row r="205" spans="1:10" ht="15.75" hidden="1" outlineLevel="1" x14ac:dyDescent="0.25">
      <c r="A205" s="39" t="s">
        <v>1</v>
      </c>
      <c r="C205" s="44"/>
      <c r="D205" s="15" t="str">
        <f t="shared" si="5"/>
        <v>Salaries Expense</v>
      </c>
      <c r="E205" s="16"/>
      <c r="F205" s="20" t="str">
        <f>"300-5110-00 - Overtime Pay - Sales"</f>
        <v>300-5110-00 - Overtime Pay - Sales</v>
      </c>
      <c r="G205" s="20"/>
      <c r="H205" s="23">
        <v>0</v>
      </c>
      <c r="I205" s="23">
        <v>0</v>
      </c>
      <c r="J205" s="23">
        <v>0</v>
      </c>
    </row>
    <row r="206" spans="1:10" ht="15.75" hidden="1" outlineLevel="1" x14ac:dyDescent="0.25">
      <c r="A206" s="39" t="s">
        <v>1</v>
      </c>
      <c r="C206" s="44"/>
      <c r="D206" s="15" t="str">
        <f t="shared" si="5"/>
        <v>Salaries Expense</v>
      </c>
      <c r="E206" s="16"/>
      <c r="F206" s="20" t="str">
        <f>"300-5120-00 - Bonuses - Sales"</f>
        <v>300-5120-00 - Bonuses - Sales</v>
      </c>
      <c r="G206" s="20"/>
      <c r="H206" s="23">
        <v>0</v>
      </c>
      <c r="I206" s="23">
        <v>0</v>
      </c>
      <c r="J206" s="23">
        <v>0</v>
      </c>
    </row>
    <row r="207" spans="1:10" ht="15.75" hidden="1" outlineLevel="1" x14ac:dyDescent="0.25">
      <c r="A207" s="39" t="s">
        <v>1</v>
      </c>
      <c r="C207" s="44"/>
      <c r="D207" s="15" t="str">
        <f t="shared" si="5"/>
        <v>Salaries Expense</v>
      </c>
      <c r="E207" s="16"/>
      <c r="F207" s="20" t="str">
        <f>"300-5130-00 - Commissions - Sales"</f>
        <v>300-5130-00 - Commissions - Sales</v>
      </c>
      <c r="G207" s="20"/>
      <c r="H207" s="23">
        <v>-101674.62000000004</v>
      </c>
      <c r="I207" s="23">
        <v>-6.6</v>
      </c>
      <c r="J207" s="23">
        <v>0</v>
      </c>
    </row>
    <row r="208" spans="1:10" ht="15.75" hidden="1" outlineLevel="1" x14ac:dyDescent="0.25">
      <c r="A208" s="39" t="s">
        <v>1</v>
      </c>
      <c r="C208" s="44"/>
      <c r="D208" s="15" t="str">
        <f t="shared" si="5"/>
        <v>Salaries Expense</v>
      </c>
      <c r="E208" s="16"/>
      <c r="F208" s="20" t="str">
        <f>"300-5140-00 - Profit Sharing - Sales"</f>
        <v>300-5140-00 - Profit Sharing - Sales</v>
      </c>
      <c r="G208" s="20"/>
      <c r="H208" s="23">
        <v>0</v>
      </c>
      <c r="I208" s="23">
        <v>0</v>
      </c>
      <c r="J208" s="23">
        <v>0</v>
      </c>
    </row>
    <row r="209" spans="1:10" ht="15.75" hidden="1" outlineLevel="1" x14ac:dyDescent="0.25">
      <c r="A209" s="39" t="s">
        <v>1</v>
      </c>
      <c r="C209" s="44"/>
      <c r="D209" s="15" t="str">
        <f t="shared" si="5"/>
        <v>Salaries Expense</v>
      </c>
      <c r="E209" s="16"/>
      <c r="F209" s="20" t="str">
        <f>"400-5100-00 - Salaries and Wages - Service/Installation US"</f>
        <v>400-5100-00 - Salaries and Wages - Service/Installation US</v>
      </c>
      <c r="G209" s="20"/>
      <c r="H209" s="23">
        <v>0</v>
      </c>
      <c r="I209" s="23">
        <v>0</v>
      </c>
      <c r="J209" s="23">
        <v>0</v>
      </c>
    </row>
    <row r="210" spans="1:10" ht="15.75" hidden="1" outlineLevel="1" x14ac:dyDescent="0.25">
      <c r="A210" s="39" t="s">
        <v>1</v>
      </c>
      <c r="C210" s="44"/>
      <c r="D210" s="15" t="str">
        <f t="shared" si="5"/>
        <v>Salaries Expense</v>
      </c>
      <c r="E210" s="16"/>
      <c r="F210" s="20" t="str">
        <f>"400-5101-00 - Salaries and Wages - Service/Installation Canada"</f>
        <v>400-5101-00 - Salaries and Wages - Service/Installation Canada</v>
      </c>
      <c r="G210" s="20"/>
      <c r="H210" s="23">
        <v>0</v>
      </c>
      <c r="I210" s="23">
        <v>0</v>
      </c>
      <c r="J210" s="23">
        <v>0</v>
      </c>
    </row>
    <row r="211" spans="1:10" ht="15.75" hidden="1" outlineLevel="1" x14ac:dyDescent="0.25">
      <c r="A211" s="39" t="s">
        <v>1</v>
      </c>
      <c r="C211" s="44"/>
      <c r="D211" s="15" t="str">
        <f t="shared" si="5"/>
        <v>Salaries Expense</v>
      </c>
      <c r="E211" s="16"/>
      <c r="F211" s="20" t="str">
        <f>"400-5110-00 - Overtime Pay - Service/Installation US"</f>
        <v>400-5110-00 - Overtime Pay - Service/Installation US</v>
      </c>
      <c r="G211" s="20"/>
      <c r="H211" s="23">
        <v>0</v>
      </c>
      <c r="I211" s="23">
        <v>0</v>
      </c>
      <c r="J211" s="23">
        <v>0</v>
      </c>
    </row>
    <row r="212" spans="1:10" ht="15.75" hidden="1" outlineLevel="1" x14ac:dyDescent="0.25">
      <c r="A212" s="39" t="s">
        <v>1</v>
      </c>
      <c r="C212" s="44"/>
      <c r="D212" s="15" t="str">
        <f t="shared" si="5"/>
        <v>Salaries Expense</v>
      </c>
      <c r="E212" s="16"/>
      <c r="F212" s="20" t="str">
        <f>"400-5111-00 - Overtime Pay - Service/Installation Canada"</f>
        <v>400-5111-00 - Overtime Pay - Service/Installation Canada</v>
      </c>
      <c r="G212" s="20"/>
      <c r="H212" s="23">
        <v>0</v>
      </c>
      <c r="I212" s="23">
        <v>0</v>
      </c>
      <c r="J212" s="23">
        <v>0</v>
      </c>
    </row>
    <row r="213" spans="1:10" ht="15.75" hidden="1" outlineLevel="1" x14ac:dyDescent="0.25">
      <c r="A213" s="39" t="s">
        <v>1</v>
      </c>
      <c r="C213" s="44"/>
      <c r="D213" s="15" t="str">
        <f t="shared" si="5"/>
        <v>Salaries Expense</v>
      </c>
      <c r="E213" s="16"/>
      <c r="F213" s="20" t="str">
        <f>"400-5120-00 - Bonuses - Services/Installation US"</f>
        <v>400-5120-00 - Bonuses - Services/Installation US</v>
      </c>
      <c r="G213" s="20"/>
      <c r="H213" s="23">
        <v>0</v>
      </c>
      <c r="I213" s="23">
        <v>0</v>
      </c>
      <c r="J213" s="23">
        <v>0</v>
      </c>
    </row>
    <row r="214" spans="1:10" ht="15.75" hidden="1" outlineLevel="1" x14ac:dyDescent="0.25">
      <c r="A214" s="39" t="s">
        <v>1</v>
      </c>
      <c r="C214" s="44"/>
      <c r="D214" s="15" t="str">
        <f t="shared" si="5"/>
        <v>Salaries Expense</v>
      </c>
      <c r="E214" s="16"/>
      <c r="F214" s="20" t="str">
        <f>"400-5121-00 - Bonuses - Services/Installation Canada"</f>
        <v>400-5121-00 - Bonuses - Services/Installation Canada</v>
      </c>
      <c r="G214" s="20"/>
      <c r="H214" s="23">
        <v>0</v>
      </c>
      <c r="I214" s="23">
        <v>0</v>
      </c>
      <c r="J214" s="23">
        <v>0</v>
      </c>
    </row>
    <row r="215" spans="1:10" ht="15.75" hidden="1" outlineLevel="1" x14ac:dyDescent="0.25">
      <c r="A215" s="39" t="s">
        <v>1</v>
      </c>
      <c r="C215" s="44"/>
      <c r="D215" s="15" t="str">
        <f t="shared" si="5"/>
        <v>Salaries Expense</v>
      </c>
      <c r="E215" s="16"/>
      <c r="F215" s="20" t="str">
        <f>"400-5130-00 - Commissions - Service/Installation US"</f>
        <v>400-5130-00 - Commissions - Service/Installation US</v>
      </c>
      <c r="G215" s="20"/>
      <c r="H215" s="23">
        <v>0</v>
      </c>
      <c r="I215" s="23">
        <v>0</v>
      </c>
      <c r="J215" s="23">
        <v>0</v>
      </c>
    </row>
    <row r="216" spans="1:10" ht="15.75" hidden="1" outlineLevel="1" x14ac:dyDescent="0.25">
      <c r="A216" s="39" t="s">
        <v>1</v>
      </c>
      <c r="C216" s="44"/>
      <c r="D216" s="15" t="str">
        <f t="shared" si="5"/>
        <v>Salaries Expense</v>
      </c>
      <c r="E216" s="16"/>
      <c r="F216" s="20" t="str">
        <f>"400-5131-00 - Commissions - Service/Installation Canada"</f>
        <v>400-5131-00 - Commissions - Service/Installation Canada</v>
      </c>
      <c r="G216" s="20"/>
      <c r="H216" s="23">
        <v>0</v>
      </c>
      <c r="I216" s="23">
        <v>0</v>
      </c>
      <c r="J216" s="23">
        <v>0</v>
      </c>
    </row>
    <row r="217" spans="1:10" ht="15.75" hidden="1" outlineLevel="1" x14ac:dyDescent="0.25">
      <c r="A217" s="39" t="s">
        <v>1</v>
      </c>
      <c r="C217" s="44"/>
      <c r="D217" s="15" t="str">
        <f t="shared" si="5"/>
        <v>Salaries Expense</v>
      </c>
      <c r="E217" s="16"/>
      <c r="F217" s="20" t="str">
        <f>"400-5140-00 - Profit Sharing - Service/Installation US"</f>
        <v>400-5140-00 - Profit Sharing - Service/Installation US</v>
      </c>
      <c r="G217" s="20"/>
      <c r="H217" s="23">
        <v>0</v>
      </c>
      <c r="I217" s="23">
        <v>0</v>
      </c>
      <c r="J217" s="23">
        <v>0</v>
      </c>
    </row>
    <row r="218" spans="1:10" ht="15.75" hidden="1" outlineLevel="1" x14ac:dyDescent="0.25">
      <c r="A218" s="39" t="s">
        <v>1</v>
      </c>
      <c r="C218" s="44"/>
      <c r="D218" s="15" t="str">
        <f t="shared" si="5"/>
        <v>Salaries Expense</v>
      </c>
      <c r="E218" s="16"/>
      <c r="F218" s="20" t="str">
        <f>"400-5141-00 - Profit Sharing - Service/Installation Canada"</f>
        <v>400-5141-00 - Profit Sharing - Service/Installation Canada</v>
      </c>
      <c r="G218" s="20"/>
      <c r="H218" s="23">
        <v>0</v>
      </c>
      <c r="I218" s="23">
        <v>0</v>
      </c>
      <c r="J218" s="23">
        <v>0</v>
      </c>
    </row>
    <row r="219" spans="1:10" ht="15.75" hidden="1" outlineLevel="1" x14ac:dyDescent="0.25">
      <c r="A219" s="39" t="s">
        <v>1</v>
      </c>
      <c r="C219" s="44"/>
      <c r="D219" s="15" t="str">
        <f t="shared" si="5"/>
        <v>Salaries Expense</v>
      </c>
      <c r="E219" s="16"/>
      <c r="F219" s="20" t="str">
        <f>"500-5100-00 - Salaries and Wages - Consulting/Training US"</f>
        <v>500-5100-00 - Salaries and Wages - Consulting/Training US</v>
      </c>
      <c r="G219" s="20"/>
      <c r="H219" s="23">
        <v>0</v>
      </c>
      <c r="I219" s="23">
        <v>0</v>
      </c>
      <c r="J219" s="23">
        <v>0</v>
      </c>
    </row>
    <row r="220" spans="1:10" ht="15.75" hidden="1" outlineLevel="1" x14ac:dyDescent="0.25">
      <c r="A220" s="39" t="s">
        <v>1</v>
      </c>
      <c r="C220" s="44"/>
      <c r="D220" s="15" t="str">
        <f t="shared" si="5"/>
        <v>Salaries Expense</v>
      </c>
      <c r="E220" s="16"/>
      <c r="F220" s="20" t="str">
        <f>"500-5101-00 - Salaries and Wages - Consulting/Training Canada"</f>
        <v>500-5101-00 - Salaries and Wages - Consulting/Training Canada</v>
      </c>
      <c r="G220" s="20"/>
      <c r="H220" s="23">
        <v>0</v>
      </c>
      <c r="I220" s="23">
        <v>0</v>
      </c>
      <c r="J220" s="23">
        <v>0</v>
      </c>
    </row>
    <row r="221" spans="1:10" ht="15.75" hidden="1" outlineLevel="1" x14ac:dyDescent="0.25">
      <c r="A221" s="39" t="s">
        <v>1</v>
      </c>
      <c r="C221" s="44"/>
      <c r="D221" s="15" t="str">
        <f t="shared" si="5"/>
        <v>Salaries Expense</v>
      </c>
      <c r="E221" s="16"/>
      <c r="F221" s="20" t="str">
        <f>"500-5110-00 - Overtime Pay - Consulting/Training US"</f>
        <v>500-5110-00 - Overtime Pay - Consulting/Training US</v>
      </c>
      <c r="G221" s="20"/>
      <c r="H221" s="23">
        <v>-25019.74</v>
      </c>
      <c r="I221" s="23">
        <v>0</v>
      </c>
      <c r="J221" s="23">
        <v>0</v>
      </c>
    </row>
    <row r="222" spans="1:10" ht="15.75" hidden="1" outlineLevel="1" x14ac:dyDescent="0.25">
      <c r="A222" s="39" t="s">
        <v>1</v>
      </c>
      <c r="C222" s="44"/>
      <c r="D222" s="15" t="str">
        <f t="shared" si="5"/>
        <v>Salaries Expense</v>
      </c>
      <c r="E222" s="16"/>
      <c r="F222" s="20" t="str">
        <f>"500-5111-00 - Overtime Pay - Consulting/Training Canada"</f>
        <v>500-5111-00 - Overtime Pay - Consulting/Training Canada</v>
      </c>
      <c r="G222" s="20"/>
      <c r="H222" s="23">
        <v>0</v>
      </c>
      <c r="I222" s="23">
        <v>0</v>
      </c>
      <c r="J222" s="23">
        <v>0</v>
      </c>
    </row>
    <row r="223" spans="1:10" ht="15.75" hidden="1" outlineLevel="1" x14ac:dyDescent="0.25">
      <c r="A223" s="39" t="s">
        <v>1</v>
      </c>
      <c r="C223" s="44"/>
      <c r="D223" s="15" t="str">
        <f t="shared" si="5"/>
        <v>Salaries Expense</v>
      </c>
      <c r="E223" s="16"/>
      <c r="F223" s="20" t="str">
        <f>"500-5120-00 - Bonuses - Consulting/Training US"</f>
        <v>500-5120-00 - Bonuses - Consulting/Training US</v>
      </c>
      <c r="G223" s="20"/>
      <c r="H223" s="23">
        <v>0</v>
      </c>
      <c r="I223" s="23">
        <v>0</v>
      </c>
      <c r="J223" s="23">
        <v>0</v>
      </c>
    </row>
    <row r="224" spans="1:10" ht="15.75" hidden="1" outlineLevel="1" x14ac:dyDescent="0.25">
      <c r="A224" s="39" t="s">
        <v>1</v>
      </c>
      <c r="C224" s="44"/>
      <c r="D224" s="15" t="str">
        <f t="shared" si="5"/>
        <v>Salaries Expense</v>
      </c>
      <c r="E224" s="16"/>
      <c r="F224" s="20" t="str">
        <f>"500-5121-00 - Bonuses - Consulting/Training Canada"</f>
        <v>500-5121-00 - Bonuses - Consulting/Training Canada</v>
      </c>
      <c r="G224" s="20"/>
      <c r="H224" s="23">
        <v>0</v>
      </c>
      <c r="I224" s="23">
        <v>0</v>
      </c>
      <c r="J224" s="23">
        <v>0</v>
      </c>
    </row>
    <row r="225" spans="1:13" ht="15.75" hidden="1" outlineLevel="1" x14ac:dyDescent="0.25">
      <c r="A225" s="39" t="s">
        <v>1</v>
      </c>
      <c r="C225" s="44"/>
      <c r="D225" s="15" t="str">
        <f t="shared" si="5"/>
        <v>Salaries Expense</v>
      </c>
      <c r="E225" s="16"/>
      <c r="F225" s="20" t="str">
        <f>"500-5130-00 - Commissions - Consulting/Training US"</f>
        <v>500-5130-00 - Commissions - Consulting/Training US</v>
      </c>
      <c r="G225" s="20"/>
      <c r="H225" s="23">
        <v>0</v>
      </c>
      <c r="I225" s="23">
        <v>0</v>
      </c>
      <c r="J225" s="23">
        <v>0</v>
      </c>
    </row>
    <row r="226" spans="1:13" ht="15.75" hidden="1" outlineLevel="1" x14ac:dyDescent="0.25">
      <c r="A226" s="39" t="s">
        <v>1</v>
      </c>
      <c r="C226" s="44"/>
      <c r="D226" s="15" t="str">
        <f t="shared" si="5"/>
        <v>Salaries Expense</v>
      </c>
      <c r="E226" s="16"/>
      <c r="F226" s="20" t="str">
        <f>"500-5131-00 - Commissions - Consulting/Training Canada"</f>
        <v>500-5131-00 - Commissions - Consulting/Training Canada</v>
      </c>
      <c r="G226" s="20"/>
      <c r="H226" s="23">
        <v>0</v>
      </c>
      <c r="I226" s="23">
        <v>0</v>
      </c>
      <c r="J226" s="23">
        <v>0</v>
      </c>
    </row>
    <row r="227" spans="1:13" ht="15.75" hidden="1" outlineLevel="1" x14ac:dyDescent="0.25">
      <c r="A227" s="39" t="s">
        <v>1</v>
      </c>
      <c r="C227" s="44"/>
      <c r="D227" s="15" t="str">
        <f t="shared" si="5"/>
        <v>Salaries Expense</v>
      </c>
      <c r="E227" s="16"/>
      <c r="F227" s="20" t="str">
        <f>"500-5140-00 - Profit Sharing - Consulting/Training US"</f>
        <v>500-5140-00 - Profit Sharing - Consulting/Training US</v>
      </c>
      <c r="G227" s="20"/>
      <c r="H227" s="23">
        <v>0</v>
      </c>
      <c r="I227" s="23">
        <v>0</v>
      </c>
      <c r="J227" s="23">
        <v>0</v>
      </c>
    </row>
    <row r="228" spans="1:13" ht="15.75" hidden="1" outlineLevel="1" x14ac:dyDescent="0.25">
      <c r="A228" s="39" t="s">
        <v>1</v>
      </c>
      <c r="C228" s="44"/>
      <c r="D228" s="15" t="str">
        <f t="shared" si="5"/>
        <v>Salaries Expense</v>
      </c>
      <c r="E228" s="16"/>
      <c r="F228" s="20" t="str">
        <f>"500-5141-00 - Profit Sharing - Consulting/Training Canada"</f>
        <v>500-5141-00 - Profit Sharing - Consulting/Training Canada</v>
      </c>
      <c r="G228" s="20"/>
      <c r="H228" s="23">
        <v>0</v>
      </c>
      <c r="I228" s="23">
        <v>0</v>
      </c>
      <c r="J228" s="23">
        <v>0</v>
      </c>
    </row>
    <row r="229" spans="1:13" ht="15.75" hidden="1" outlineLevel="1" x14ac:dyDescent="0.25">
      <c r="A229" s="39" t="s">
        <v>1</v>
      </c>
      <c r="C229" s="44"/>
      <c r="D229" s="15" t="str">
        <f t="shared" si="5"/>
        <v>Salaries Expense</v>
      </c>
      <c r="E229" s="16"/>
      <c r="F229" s="20" t="str">
        <f>"600-5100-00 - Salaries and Wages - Purchasing/Receiving"</f>
        <v>600-5100-00 - Salaries and Wages - Purchasing/Receiving</v>
      </c>
      <c r="G229" s="20"/>
      <c r="H229" s="23">
        <v>0</v>
      </c>
      <c r="I229" s="23">
        <v>0</v>
      </c>
      <c r="J229" s="23">
        <v>0</v>
      </c>
    </row>
    <row r="230" spans="1:13" ht="15.75" hidden="1" outlineLevel="1" x14ac:dyDescent="0.25">
      <c r="A230" s="39" t="s">
        <v>1</v>
      </c>
      <c r="C230" s="44"/>
      <c r="D230" s="15" t="str">
        <f t="shared" si="5"/>
        <v>Salaries Expense</v>
      </c>
      <c r="E230" s="16"/>
      <c r="F230" s="20" t="str">
        <f>"600-5110-00 - Overtime Pay - Purchasing/Receiving"</f>
        <v>600-5110-00 - Overtime Pay - Purchasing/Receiving</v>
      </c>
      <c r="G230" s="20"/>
      <c r="H230" s="23">
        <v>0</v>
      </c>
      <c r="I230" s="23">
        <v>0</v>
      </c>
      <c r="J230" s="23">
        <v>0</v>
      </c>
    </row>
    <row r="231" spans="1:13" ht="15.75" hidden="1" outlineLevel="1" x14ac:dyDescent="0.25">
      <c r="A231" s="39" t="s">
        <v>1</v>
      </c>
      <c r="C231" s="44"/>
      <c r="D231" s="15" t="str">
        <f t="shared" si="5"/>
        <v>Salaries Expense</v>
      </c>
      <c r="E231" s="16"/>
      <c r="F231" s="20" t="str">
        <f>"600-5120-00 - Bonuses - Purchasing/Receiving"</f>
        <v>600-5120-00 - Bonuses - Purchasing/Receiving</v>
      </c>
      <c r="G231" s="20"/>
      <c r="H231" s="23">
        <v>0</v>
      </c>
      <c r="I231" s="23">
        <v>0</v>
      </c>
      <c r="J231" s="23">
        <v>0</v>
      </c>
    </row>
    <row r="232" spans="1:13" ht="15.75" hidden="1" outlineLevel="1" x14ac:dyDescent="0.25">
      <c r="A232" s="39" t="s">
        <v>1</v>
      </c>
      <c r="C232" s="44"/>
      <c r="D232" s="15" t="str">
        <f t="shared" si="5"/>
        <v>Salaries Expense</v>
      </c>
      <c r="E232" s="16"/>
      <c r="F232" s="20" t="str">
        <f>"600-5140-00 - Profit Sharing - Purchasing/Receiving"</f>
        <v>600-5140-00 - Profit Sharing - Purchasing/Receiving</v>
      </c>
      <c r="G232" s="20"/>
      <c r="H232" s="23">
        <v>0</v>
      </c>
      <c r="I232" s="23">
        <v>0</v>
      </c>
      <c r="J232" s="23">
        <v>0</v>
      </c>
    </row>
    <row r="233" spans="1:13" ht="15.75" x14ac:dyDescent="0.25">
      <c r="A233" s="39"/>
      <c r="C233" s="44"/>
      <c r="D233" s="15" t="str">
        <f>D195</f>
        <v>Salaries Expense</v>
      </c>
      <c r="E233" s="16"/>
      <c r="F233" s="21" t="str">
        <f>"Total "&amp;E194</f>
        <v>Total Salaries Expense</v>
      </c>
      <c r="G233" s="14"/>
      <c r="H233" s="22">
        <v>-298665.14</v>
      </c>
      <c r="I233" s="22">
        <v>-59026.420000000006</v>
      </c>
      <c r="J233" s="22">
        <v>-59821.100000000006</v>
      </c>
      <c r="K233" s="7"/>
      <c r="L233" s="7"/>
      <c r="M233" s="7"/>
    </row>
    <row r="234" spans="1:13" ht="15.75" x14ac:dyDescent="0.25">
      <c r="A234" s="39"/>
      <c r="C234" s="44"/>
      <c r="E234" s="17"/>
    </row>
    <row r="235" spans="1:13" ht="15.75" collapsed="1" x14ac:dyDescent="0.25">
      <c r="A235" s="39"/>
      <c r="C235" s="44">
        <v>37</v>
      </c>
      <c r="D235" s="15" t="str">
        <f>E235</f>
        <v>Other Employee Expenses</v>
      </c>
      <c r="E235" s="13" t="str">
        <f>"Other Employee Expenses"</f>
        <v>Other Employee Expenses</v>
      </c>
      <c r="F235" s="10"/>
      <c r="G235" s="11"/>
      <c r="H235" s="10"/>
      <c r="I235" s="10"/>
      <c r="J235" s="10"/>
    </row>
    <row r="236" spans="1:13" ht="15.75" hidden="1" outlineLevel="1" x14ac:dyDescent="0.25">
      <c r="A236" s="39"/>
      <c r="C236" s="44"/>
      <c r="D236" s="15" t="str">
        <f>D235</f>
        <v>Other Employee Expenses</v>
      </c>
      <c r="E236" s="16"/>
      <c r="F236" s="20" t="str">
        <f>"100-5150-00 - Employee Benefits - Administration"</f>
        <v>100-5150-00 - Employee Benefits - Administration</v>
      </c>
      <c r="G236" s="20"/>
      <c r="H236" s="23">
        <v>-6039.6999999999989</v>
      </c>
      <c r="I236" s="23">
        <v>-2838.64</v>
      </c>
      <c r="J236" s="23">
        <v>-2839.66</v>
      </c>
    </row>
    <row r="237" spans="1:13" ht="15.75" hidden="1" outlineLevel="1" x14ac:dyDescent="0.25">
      <c r="A237" s="39" t="s">
        <v>1</v>
      </c>
      <c r="C237" s="44"/>
      <c r="D237" s="15" t="str">
        <f t="shared" ref="D237:D253" si="6">D236</f>
        <v>Other Employee Expenses</v>
      </c>
      <c r="E237" s="16"/>
      <c r="F237" s="20" t="str">
        <f>"100-5160-00 - Health Insurance Expense - Administration"</f>
        <v>100-5160-00 - Health Insurance Expense - Administration</v>
      </c>
      <c r="G237" s="20"/>
      <c r="H237" s="23">
        <v>0</v>
      </c>
      <c r="I237" s="23">
        <v>0</v>
      </c>
      <c r="J237" s="23">
        <v>0</v>
      </c>
    </row>
    <row r="238" spans="1:13" ht="15.75" hidden="1" outlineLevel="1" x14ac:dyDescent="0.25">
      <c r="A238" s="39" t="s">
        <v>1</v>
      </c>
      <c r="C238" s="44"/>
      <c r="D238" s="15" t="str">
        <f t="shared" si="6"/>
        <v>Other Employee Expenses</v>
      </c>
      <c r="E238" s="16"/>
      <c r="F238" s="20" t="str">
        <f>"100-6100-00 - Training - Administration"</f>
        <v>100-6100-00 - Training - Administration</v>
      </c>
      <c r="G238" s="20"/>
      <c r="H238" s="23">
        <v>-3000</v>
      </c>
      <c r="I238" s="23">
        <v>0</v>
      </c>
      <c r="J238" s="23">
        <v>0</v>
      </c>
    </row>
    <row r="239" spans="1:13" ht="15.75" hidden="1" outlineLevel="1" x14ac:dyDescent="0.25">
      <c r="A239" s="39" t="s">
        <v>1</v>
      </c>
      <c r="C239" s="44"/>
      <c r="D239" s="15" t="str">
        <f t="shared" si="6"/>
        <v>Other Employee Expenses</v>
      </c>
      <c r="E239" s="16"/>
      <c r="F239" s="20" t="str">
        <f>"200-5150-00 - Employee Benefits - Accounting"</f>
        <v>200-5150-00 - Employee Benefits - Accounting</v>
      </c>
      <c r="G239" s="20"/>
      <c r="H239" s="23">
        <v>0</v>
      </c>
      <c r="I239" s="23">
        <v>0</v>
      </c>
      <c r="J239" s="23">
        <v>0</v>
      </c>
    </row>
    <row r="240" spans="1:13" ht="15.75" hidden="1" outlineLevel="1" x14ac:dyDescent="0.25">
      <c r="A240" s="39" t="s">
        <v>1</v>
      </c>
      <c r="C240" s="44"/>
      <c r="D240" s="15" t="str">
        <f t="shared" si="6"/>
        <v>Other Employee Expenses</v>
      </c>
      <c r="E240" s="16"/>
      <c r="F240" s="20" t="str">
        <f>"200-5160-00 - Health Insurance Expense - Accounting"</f>
        <v>200-5160-00 - Health Insurance Expense - Accounting</v>
      </c>
      <c r="G240" s="20"/>
      <c r="H240" s="23">
        <v>0</v>
      </c>
      <c r="I240" s="23">
        <v>0</v>
      </c>
      <c r="J240" s="23">
        <v>0</v>
      </c>
    </row>
    <row r="241" spans="1:13" ht="15.75" hidden="1" outlineLevel="1" x14ac:dyDescent="0.25">
      <c r="A241" s="39" t="s">
        <v>1</v>
      </c>
      <c r="C241" s="44"/>
      <c r="D241" s="15" t="str">
        <f t="shared" si="6"/>
        <v>Other Employee Expenses</v>
      </c>
      <c r="E241" s="16"/>
      <c r="F241" s="20" t="str">
        <f>"200-6100-00 - Training - Accounting"</f>
        <v>200-6100-00 - Training - Accounting</v>
      </c>
      <c r="G241" s="20"/>
      <c r="H241" s="23">
        <v>-1000</v>
      </c>
      <c r="I241" s="23">
        <v>0</v>
      </c>
      <c r="J241" s="23">
        <v>0</v>
      </c>
    </row>
    <row r="242" spans="1:13" ht="15.75" hidden="1" outlineLevel="1" x14ac:dyDescent="0.25">
      <c r="A242" s="39" t="s">
        <v>1</v>
      </c>
      <c r="C242" s="44"/>
      <c r="D242" s="15" t="str">
        <f t="shared" si="6"/>
        <v>Other Employee Expenses</v>
      </c>
      <c r="E242" s="16"/>
      <c r="F242" s="20" t="str">
        <f>"300-5150-00 - Employee Benefits - Sales"</f>
        <v>300-5150-00 - Employee Benefits - Sales</v>
      </c>
      <c r="G242" s="20"/>
      <c r="H242" s="23">
        <v>0</v>
      </c>
      <c r="I242" s="23">
        <v>0</v>
      </c>
      <c r="J242" s="23">
        <v>0</v>
      </c>
    </row>
    <row r="243" spans="1:13" ht="15.75" hidden="1" outlineLevel="1" x14ac:dyDescent="0.25">
      <c r="A243" s="39" t="s">
        <v>1</v>
      </c>
      <c r="C243" s="44"/>
      <c r="D243" s="15" t="str">
        <f t="shared" si="6"/>
        <v>Other Employee Expenses</v>
      </c>
      <c r="E243" s="16"/>
      <c r="F243" s="20" t="str">
        <f>"300-5160-00 - Health Insurance Expense - Sales"</f>
        <v>300-5160-00 - Health Insurance Expense - Sales</v>
      </c>
      <c r="G243" s="20"/>
      <c r="H243" s="23">
        <v>0</v>
      </c>
      <c r="I243" s="23">
        <v>0</v>
      </c>
      <c r="J243" s="23">
        <v>0</v>
      </c>
    </row>
    <row r="244" spans="1:13" ht="15.75" hidden="1" outlineLevel="1" x14ac:dyDescent="0.25">
      <c r="A244" s="39" t="s">
        <v>1</v>
      </c>
      <c r="C244" s="44"/>
      <c r="D244" s="15" t="str">
        <f t="shared" si="6"/>
        <v>Other Employee Expenses</v>
      </c>
      <c r="E244" s="16"/>
      <c r="F244" s="20" t="str">
        <f>"300-6100-00 - Training - Sales"</f>
        <v>300-6100-00 - Training - Sales</v>
      </c>
      <c r="G244" s="20"/>
      <c r="H244" s="23">
        <v>-3040</v>
      </c>
      <c r="I244" s="23">
        <v>0</v>
      </c>
      <c r="J244" s="23">
        <v>0</v>
      </c>
    </row>
    <row r="245" spans="1:13" ht="15.75" hidden="1" outlineLevel="1" x14ac:dyDescent="0.25">
      <c r="A245" s="39" t="s">
        <v>1</v>
      </c>
      <c r="C245" s="44"/>
      <c r="D245" s="15" t="str">
        <f t="shared" si="6"/>
        <v>Other Employee Expenses</v>
      </c>
      <c r="E245" s="16"/>
      <c r="F245" s="20" t="str">
        <f>"400-5150-00 - Employee Benefits - Service/Installation"</f>
        <v>400-5150-00 - Employee Benefits - Service/Installation</v>
      </c>
      <c r="G245" s="20"/>
      <c r="H245" s="23">
        <v>0</v>
      </c>
      <c r="I245" s="23">
        <v>0</v>
      </c>
      <c r="J245" s="23">
        <v>0</v>
      </c>
    </row>
    <row r="246" spans="1:13" ht="15.75" hidden="1" outlineLevel="1" x14ac:dyDescent="0.25">
      <c r="A246" s="39" t="s">
        <v>1</v>
      </c>
      <c r="C246" s="44"/>
      <c r="D246" s="15" t="str">
        <f t="shared" si="6"/>
        <v>Other Employee Expenses</v>
      </c>
      <c r="E246" s="16"/>
      <c r="F246" s="20" t="str">
        <f>"400-5160-00 - Health Insurance Expense - Service/Installation"</f>
        <v>400-5160-00 - Health Insurance Expense - Service/Installation</v>
      </c>
      <c r="G246" s="20"/>
      <c r="H246" s="23">
        <v>0</v>
      </c>
      <c r="I246" s="23">
        <v>0</v>
      </c>
      <c r="J246" s="23">
        <v>0</v>
      </c>
    </row>
    <row r="247" spans="1:13" ht="15.75" hidden="1" outlineLevel="1" x14ac:dyDescent="0.25">
      <c r="A247" s="39" t="s">
        <v>1</v>
      </c>
      <c r="C247" s="44"/>
      <c r="D247" s="15" t="str">
        <f t="shared" si="6"/>
        <v>Other Employee Expenses</v>
      </c>
      <c r="E247" s="16"/>
      <c r="F247" s="20" t="str">
        <f>"400-6100-00 - Training - Service/installation"</f>
        <v>400-6100-00 - Training - Service/installation</v>
      </c>
      <c r="G247" s="20"/>
      <c r="H247" s="23">
        <v>-7140</v>
      </c>
      <c r="I247" s="23">
        <v>0</v>
      </c>
      <c r="J247" s="23">
        <v>0</v>
      </c>
    </row>
    <row r="248" spans="1:13" ht="15.75" hidden="1" outlineLevel="1" x14ac:dyDescent="0.25">
      <c r="A248" s="39" t="s">
        <v>1</v>
      </c>
      <c r="C248" s="44"/>
      <c r="D248" s="15" t="str">
        <f t="shared" si="6"/>
        <v>Other Employee Expenses</v>
      </c>
      <c r="E248" s="16"/>
      <c r="F248" s="20" t="str">
        <f>"500-5150-00 - Employee Benefits - Consulting/Training"</f>
        <v>500-5150-00 - Employee Benefits - Consulting/Training</v>
      </c>
      <c r="G248" s="20"/>
      <c r="H248" s="23">
        <v>0</v>
      </c>
      <c r="I248" s="23">
        <v>0</v>
      </c>
      <c r="J248" s="23">
        <v>0</v>
      </c>
    </row>
    <row r="249" spans="1:13" ht="15.75" hidden="1" outlineLevel="1" x14ac:dyDescent="0.25">
      <c r="A249" s="39" t="s">
        <v>1</v>
      </c>
      <c r="C249" s="44"/>
      <c r="D249" s="15" t="str">
        <f t="shared" si="6"/>
        <v>Other Employee Expenses</v>
      </c>
      <c r="E249" s="16"/>
      <c r="F249" s="20" t="str">
        <f>"500-5160-00 - Health Insurance Expense - Consulting/Training"</f>
        <v>500-5160-00 - Health Insurance Expense - Consulting/Training</v>
      </c>
      <c r="G249" s="20"/>
      <c r="H249" s="23">
        <v>0</v>
      </c>
      <c r="I249" s="23">
        <v>0</v>
      </c>
      <c r="J249" s="23">
        <v>0</v>
      </c>
    </row>
    <row r="250" spans="1:13" ht="15.75" hidden="1" outlineLevel="1" x14ac:dyDescent="0.25">
      <c r="A250" s="39" t="s">
        <v>1</v>
      </c>
      <c r="C250" s="44"/>
      <c r="D250" s="15" t="str">
        <f t="shared" si="6"/>
        <v>Other Employee Expenses</v>
      </c>
      <c r="E250" s="16"/>
      <c r="F250" s="20" t="str">
        <f>"500-6100-00 - Training - Consulting/Training"</f>
        <v>500-6100-00 - Training - Consulting/Training</v>
      </c>
      <c r="G250" s="20"/>
      <c r="H250" s="23">
        <v>0</v>
      </c>
      <c r="I250" s="23">
        <v>0</v>
      </c>
      <c r="J250" s="23">
        <v>0</v>
      </c>
    </row>
    <row r="251" spans="1:13" ht="15.75" hidden="1" outlineLevel="1" x14ac:dyDescent="0.25">
      <c r="A251" s="39" t="s">
        <v>1</v>
      </c>
      <c r="C251" s="44"/>
      <c r="D251" s="15" t="str">
        <f t="shared" si="6"/>
        <v>Other Employee Expenses</v>
      </c>
      <c r="E251" s="16"/>
      <c r="F251" s="20" t="str">
        <f>"600-5150-00 - Employee Benefits - Purchasing/Receiving"</f>
        <v>600-5150-00 - Employee Benefits - Purchasing/Receiving</v>
      </c>
      <c r="G251" s="20"/>
      <c r="H251" s="23">
        <v>0</v>
      </c>
      <c r="I251" s="23">
        <v>0</v>
      </c>
      <c r="J251" s="23">
        <v>0</v>
      </c>
    </row>
    <row r="252" spans="1:13" ht="15.75" hidden="1" outlineLevel="1" x14ac:dyDescent="0.25">
      <c r="A252" s="39" t="s">
        <v>1</v>
      </c>
      <c r="C252" s="44"/>
      <c r="D252" s="15" t="str">
        <f t="shared" si="6"/>
        <v>Other Employee Expenses</v>
      </c>
      <c r="E252" s="16"/>
      <c r="F252" s="20" t="str">
        <f>"600-5160-00 - Health Insurance Expense - Purchasing/Receiving"</f>
        <v>600-5160-00 - Health Insurance Expense - Purchasing/Receiving</v>
      </c>
      <c r="G252" s="20"/>
      <c r="H252" s="23">
        <v>0</v>
      </c>
      <c r="I252" s="23">
        <v>0</v>
      </c>
      <c r="J252" s="23">
        <v>0</v>
      </c>
    </row>
    <row r="253" spans="1:13" ht="15.75" hidden="1" outlineLevel="1" x14ac:dyDescent="0.25">
      <c r="A253" s="39" t="s">
        <v>1</v>
      </c>
      <c r="C253" s="44"/>
      <c r="D253" s="15" t="str">
        <f t="shared" si="6"/>
        <v>Other Employee Expenses</v>
      </c>
      <c r="E253" s="16"/>
      <c r="F253" s="20" t="str">
        <f>"600-6100-00 - Training - Purchasing/Receiving"</f>
        <v>600-6100-00 - Training - Purchasing/Receiving</v>
      </c>
      <c r="G253" s="20"/>
      <c r="H253" s="23">
        <v>0</v>
      </c>
      <c r="I253" s="23">
        <v>0</v>
      </c>
      <c r="J253" s="23">
        <v>0</v>
      </c>
    </row>
    <row r="254" spans="1:13" ht="15.75" x14ac:dyDescent="0.25">
      <c r="A254" s="39"/>
      <c r="C254" s="44"/>
      <c r="D254" s="15" t="str">
        <f>D236</f>
        <v>Other Employee Expenses</v>
      </c>
      <c r="E254" s="16"/>
      <c r="F254" s="21" t="str">
        <f>"Total "&amp;E235</f>
        <v>Total Other Employee Expenses</v>
      </c>
      <c r="G254" s="14"/>
      <c r="H254" s="22">
        <v>-20219.7</v>
      </c>
      <c r="I254" s="22">
        <v>-2838.64</v>
      </c>
      <c r="J254" s="22">
        <v>-2839.66</v>
      </c>
      <c r="K254" s="7"/>
      <c r="L254" s="7"/>
      <c r="M254" s="7"/>
    </row>
    <row r="255" spans="1:13" ht="15.75" x14ac:dyDescent="0.25">
      <c r="A255" s="39"/>
      <c r="C255" s="44"/>
      <c r="E255" s="17"/>
    </row>
    <row r="256" spans="1:13" ht="15.75" x14ac:dyDescent="0.25">
      <c r="A256" s="39"/>
      <c r="C256" s="44"/>
      <c r="E256" s="24" t="s">
        <v>76</v>
      </c>
      <c r="F256" s="25"/>
      <c r="G256" s="25"/>
      <c r="H256" s="26">
        <f>H192+H233+H254</f>
        <v>-1589117.6599999995</v>
      </c>
      <c r="I256" s="26">
        <f>I192+I233+I254</f>
        <v>-61865.060000000005</v>
      </c>
      <c r="J256" s="26">
        <f>J192+J233+J254</f>
        <v>-62660.760000000009</v>
      </c>
    </row>
    <row r="257" spans="1:10" x14ac:dyDescent="0.25">
      <c r="A257" s="39"/>
      <c r="C257" s="44"/>
      <c r="E257" s="15"/>
      <c r="F257" s="15"/>
      <c r="G257" s="15"/>
      <c r="H257" s="15"/>
      <c r="I257" s="15"/>
      <c r="J257" s="15"/>
    </row>
    <row r="258" spans="1:10" ht="15.75" x14ac:dyDescent="0.25">
      <c r="A258" s="39"/>
      <c r="C258" s="44"/>
      <c r="E258" s="24" t="s">
        <v>161</v>
      </c>
      <c r="F258" s="25"/>
      <c r="G258" s="25"/>
      <c r="H258" s="26">
        <f>H92+H256</f>
        <v>608261.96000000252</v>
      </c>
      <c r="I258" s="26">
        <f>I92+I256</f>
        <v>-61745.66</v>
      </c>
      <c r="J258" s="26">
        <f>J92+J256</f>
        <v>125555.45999999999</v>
      </c>
    </row>
    <row r="259" spans="1:10" ht="15.75" x14ac:dyDescent="0.25">
      <c r="A259" s="39"/>
      <c r="C259" s="44"/>
      <c r="E259" s="17"/>
    </row>
    <row r="260" spans="1:10" ht="15.75" collapsed="1" x14ac:dyDescent="0.25">
      <c r="A260" s="39"/>
      <c r="C260" s="44">
        <v>39</v>
      </c>
      <c r="D260" s="15" t="str">
        <f>E260</f>
        <v>Tax Expense</v>
      </c>
      <c r="E260" s="13" t="str">
        <f>"Tax Expense"</f>
        <v>Tax Expense</v>
      </c>
      <c r="F260" s="10"/>
      <c r="G260" s="11"/>
      <c r="H260" s="10"/>
      <c r="I260" s="10"/>
      <c r="J260" s="10"/>
    </row>
    <row r="261" spans="1:10" ht="15.75" hidden="1" outlineLevel="1" x14ac:dyDescent="0.25">
      <c r="A261" s="39"/>
      <c r="C261" s="44"/>
      <c r="D261" s="15" t="str">
        <f>D260</f>
        <v>Tax Expense</v>
      </c>
      <c r="E261" s="16"/>
      <c r="F261" s="20" t="str">
        <f>"000-5200-00 - CPP Expense"</f>
        <v>000-5200-00 - CPP Expense</v>
      </c>
      <c r="G261" s="20"/>
      <c r="H261" s="23">
        <v>0</v>
      </c>
      <c r="I261" s="23">
        <v>0</v>
      </c>
      <c r="J261" s="23">
        <v>0</v>
      </c>
    </row>
    <row r="262" spans="1:10" ht="15.75" hidden="1" outlineLevel="1" x14ac:dyDescent="0.25">
      <c r="A262" s="39" t="s">
        <v>1</v>
      </c>
      <c r="C262" s="44"/>
      <c r="D262" s="15" t="str">
        <f t="shared" ref="D262:D282" si="7">D261</f>
        <v>Tax Expense</v>
      </c>
      <c r="E262" s="16"/>
      <c r="F262" s="20" t="str">
        <f>"000-5210-00 - QPP Expense"</f>
        <v>000-5210-00 - QPP Expense</v>
      </c>
      <c r="G262" s="20"/>
      <c r="H262" s="23">
        <v>0</v>
      </c>
      <c r="I262" s="23">
        <v>0</v>
      </c>
      <c r="J262" s="23">
        <v>0</v>
      </c>
    </row>
    <row r="263" spans="1:10" ht="15.75" hidden="1" outlineLevel="1" x14ac:dyDescent="0.25">
      <c r="A263" s="39" t="s">
        <v>1</v>
      </c>
      <c r="C263" s="44"/>
      <c r="D263" s="15" t="str">
        <f t="shared" si="7"/>
        <v>Tax Expense</v>
      </c>
      <c r="E263" s="16"/>
      <c r="F263" s="20" t="str">
        <f>"000-5220-00 - UIC Expense"</f>
        <v>000-5220-00 - UIC Expense</v>
      </c>
      <c r="G263" s="20"/>
      <c r="H263" s="23">
        <v>0</v>
      </c>
      <c r="I263" s="23">
        <v>0</v>
      </c>
      <c r="J263" s="23">
        <v>0</v>
      </c>
    </row>
    <row r="264" spans="1:10" ht="15.75" hidden="1" outlineLevel="1" x14ac:dyDescent="0.25">
      <c r="A264" s="39" t="s">
        <v>1</v>
      </c>
      <c r="C264" s="44"/>
      <c r="D264" s="15" t="str">
        <f t="shared" si="7"/>
        <v>Tax Expense</v>
      </c>
      <c r="E264" s="16"/>
      <c r="F264" s="20" t="str">
        <f>"000-5300-00 - SUTA Tax Expense"</f>
        <v>000-5300-00 - SUTA Tax Expense</v>
      </c>
      <c r="G264" s="20"/>
      <c r="H264" s="23">
        <v>0</v>
      </c>
      <c r="I264" s="23">
        <v>0</v>
      </c>
      <c r="J264" s="23">
        <v>0</v>
      </c>
    </row>
    <row r="265" spans="1:10" ht="15.75" hidden="1" outlineLevel="1" x14ac:dyDescent="0.25">
      <c r="A265" s="39" t="s">
        <v>1</v>
      </c>
      <c r="C265" s="44"/>
      <c r="D265" s="15" t="str">
        <f t="shared" si="7"/>
        <v>Tax Expense</v>
      </c>
      <c r="E265" s="16"/>
      <c r="F265" s="20" t="str">
        <f>"000-5400-00 - FUTA Tax Expense"</f>
        <v>000-5400-00 - FUTA Tax Expense</v>
      </c>
      <c r="G265" s="20"/>
      <c r="H265" s="23">
        <v>0</v>
      </c>
      <c r="I265" s="23">
        <v>0</v>
      </c>
      <c r="J265" s="23">
        <v>0</v>
      </c>
    </row>
    <row r="266" spans="1:10" ht="15.75" hidden="1" outlineLevel="1" x14ac:dyDescent="0.25">
      <c r="A266" s="39" t="s">
        <v>1</v>
      </c>
      <c r="C266" s="44"/>
      <c r="D266" s="15" t="str">
        <f t="shared" si="7"/>
        <v>Tax Expense</v>
      </c>
      <c r="E266" s="16"/>
      <c r="F266" s="20" t="str">
        <f>"000-5500-00 - Workers Compensation Tax Expense"</f>
        <v>000-5500-00 - Workers Compensation Tax Expense</v>
      </c>
      <c r="G266" s="20"/>
      <c r="H266" s="23">
        <v>0</v>
      </c>
      <c r="I266" s="23">
        <v>0</v>
      </c>
      <c r="J266" s="23">
        <v>0</v>
      </c>
    </row>
    <row r="267" spans="1:10" ht="15.75" hidden="1" outlineLevel="1" x14ac:dyDescent="0.25">
      <c r="A267" s="39" t="s">
        <v>1</v>
      </c>
      <c r="C267" s="44"/>
      <c r="D267" s="15" t="str">
        <f t="shared" si="7"/>
        <v>Tax Expense</v>
      </c>
      <c r="E267" s="16"/>
      <c r="F267" s="20" t="str">
        <f>"000-6630-00 - IL State Sales Tax Expense"</f>
        <v>000-6630-00 - IL State Sales Tax Expense</v>
      </c>
      <c r="G267" s="20"/>
      <c r="H267" s="23">
        <v>-21.300000000000004</v>
      </c>
      <c r="I267" s="23">
        <v>0</v>
      </c>
      <c r="J267" s="23">
        <v>0</v>
      </c>
    </row>
    <row r="268" spans="1:10" ht="15.75" hidden="1" outlineLevel="1" x14ac:dyDescent="0.25">
      <c r="A268" s="39" t="s">
        <v>1</v>
      </c>
      <c r="C268" s="44"/>
      <c r="D268" s="15" t="str">
        <f t="shared" si="7"/>
        <v>Tax Expense</v>
      </c>
      <c r="E268" s="16"/>
      <c r="F268" s="20" t="str">
        <f>"000-6635-00 - Import Tax Expense"</f>
        <v>000-6635-00 - Import Tax Expense</v>
      </c>
      <c r="G268" s="20"/>
      <c r="H268" s="23">
        <v>0</v>
      </c>
      <c r="I268" s="23">
        <v>0</v>
      </c>
      <c r="J268" s="23">
        <v>0</v>
      </c>
    </row>
    <row r="269" spans="1:10" ht="15.75" hidden="1" outlineLevel="1" x14ac:dyDescent="0.25">
      <c r="A269" s="39" t="s">
        <v>1</v>
      </c>
      <c r="C269" s="44"/>
      <c r="D269" s="15" t="str">
        <f t="shared" si="7"/>
        <v>Tax Expense</v>
      </c>
      <c r="E269" s="16"/>
      <c r="F269" s="20" t="str">
        <f>"000-6640-00 - Chicago City Sales Tax Expense"</f>
        <v>000-6640-00 - Chicago City Sales Tax Expense</v>
      </c>
      <c r="G269" s="20"/>
      <c r="H269" s="23">
        <v>-7.46</v>
      </c>
      <c r="I269" s="23">
        <v>0</v>
      </c>
      <c r="J269" s="23">
        <v>0</v>
      </c>
    </row>
    <row r="270" spans="1:10" ht="15.75" hidden="1" outlineLevel="1" x14ac:dyDescent="0.25">
      <c r="A270" s="39" t="s">
        <v>1</v>
      </c>
      <c r="C270" s="44"/>
      <c r="D270" s="15" t="str">
        <f t="shared" si="7"/>
        <v>Tax Expense</v>
      </c>
      <c r="E270" s="16"/>
      <c r="F270" s="20" t="str">
        <f>"000-6650-00 - Australia Sales Tax Expense"</f>
        <v>000-6650-00 - Australia Sales Tax Expense</v>
      </c>
      <c r="G270" s="20"/>
      <c r="H270" s="23">
        <v>-2593.8199999999997</v>
      </c>
      <c r="I270" s="23">
        <v>0</v>
      </c>
      <c r="J270" s="23">
        <v>0</v>
      </c>
    </row>
    <row r="271" spans="1:10" ht="15.75" hidden="1" outlineLevel="1" x14ac:dyDescent="0.25">
      <c r="A271" s="39" t="s">
        <v>1</v>
      </c>
      <c r="C271" s="44"/>
      <c r="D271" s="15" t="str">
        <f t="shared" si="7"/>
        <v>Tax Expense</v>
      </c>
      <c r="E271" s="16"/>
      <c r="F271" s="20" t="str">
        <f>"000-6651-00 - PST Expense"</f>
        <v>000-6651-00 - PST Expense</v>
      </c>
      <c r="G271" s="20"/>
      <c r="H271" s="23">
        <v>0</v>
      </c>
      <c r="I271" s="23">
        <v>0</v>
      </c>
      <c r="J271" s="23">
        <v>0</v>
      </c>
    </row>
    <row r="272" spans="1:10" ht="15.75" hidden="1" outlineLevel="1" x14ac:dyDescent="0.25">
      <c r="A272" s="39" t="s">
        <v>1</v>
      </c>
      <c r="C272" s="44"/>
      <c r="D272" s="15" t="str">
        <f t="shared" si="7"/>
        <v>Tax Expense</v>
      </c>
      <c r="E272" s="16"/>
      <c r="F272" s="20" t="str">
        <f>"000-6652-00 - PPS Expense"</f>
        <v>000-6652-00 - PPS Expense</v>
      </c>
      <c r="G272" s="20"/>
      <c r="H272" s="23">
        <v>0</v>
      </c>
      <c r="I272" s="23">
        <v>0</v>
      </c>
      <c r="J272" s="23">
        <v>0</v>
      </c>
    </row>
    <row r="273" spans="1:13" ht="15.75" hidden="1" outlineLevel="1" x14ac:dyDescent="0.25">
      <c r="A273" s="39" t="s">
        <v>1</v>
      </c>
      <c r="C273" s="44"/>
      <c r="D273" s="15" t="str">
        <f t="shared" si="7"/>
        <v>Tax Expense</v>
      </c>
      <c r="E273" s="16"/>
      <c r="F273" s="20" t="str">
        <f>"000-6660-00 - PST Expense"</f>
        <v>000-6660-00 - PST Expense</v>
      </c>
      <c r="G273" s="20"/>
      <c r="H273" s="23">
        <v>0</v>
      </c>
      <c r="I273" s="23">
        <v>0</v>
      </c>
      <c r="J273" s="23">
        <v>0</v>
      </c>
    </row>
    <row r="274" spans="1:13" ht="15.75" hidden="1" outlineLevel="1" x14ac:dyDescent="0.25">
      <c r="A274" s="39" t="s">
        <v>1</v>
      </c>
      <c r="C274" s="44"/>
      <c r="D274" s="15" t="str">
        <f t="shared" si="7"/>
        <v>Tax Expense</v>
      </c>
      <c r="E274" s="16"/>
      <c r="F274" s="20" t="str">
        <f>"000-6661-00 - QST Expense"</f>
        <v>000-6661-00 - QST Expense</v>
      </c>
      <c r="G274" s="20"/>
      <c r="H274" s="23">
        <v>0</v>
      </c>
      <c r="I274" s="23">
        <v>0</v>
      </c>
      <c r="J274" s="23">
        <v>0</v>
      </c>
    </row>
    <row r="275" spans="1:13" ht="15.75" hidden="1" outlineLevel="1" x14ac:dyDescent="0.25">
      <c r="A275" s="39" t="s">
        <v>1</v>
      </c>
      <c r="C275" s="44"/>
      <c r="D275" s="15" t="str">
        <f t="shared" si="7"/>
        <v>Tax Expense</v>
      </c>
      <c r="E275" s="16"/>
      <c r="F275" s="20" t="str">
        <f>"000-8100-00 - Federal Income Taxes"</f>
        <v>000-8100-00 - Federal Income Taxes</v>
      </c>
      <c r="G275" s="20"/>
      <c r="H275" s="23">
        <v>0</v>
      </c>
      <c r="I275" s="23">
        <v>0</v>
      </c>
      <c r="J275" s="23">
        <v>0</v>
      </c>
    </row>
    <row r="276" spans="1:13" ht="15.75" hidden="1" outlineLevel="1" x14ac:dyDescent="0.25">
      <c r="A276" s="39" t="s">
        <v>1</v>
      </c>
      <c r="C276" s="44"/>
      <c r="D276" s="15" t="str">
        <f t="shared" si="7"/>
        <v>Tax Expense</v>
      </c>
      <c r="E276" s="16"/>
      <c r="F276" s="20" t="str">
        <f>"000-8110-00 - State Income Taxes"</f>
        <v>000-8110-00 - State Income Taxes</v>
      </c>
      <c r="G276" s="20"/>
      <c r="H276" s="23">
        <v>0</v>
      </c>
      <c r="I276" s="23">
        <v>0</v>
      </c>
      <c r="J276" s="23">
        <v>0</v>
      </c>
    </row>
    <row r="277" spans="1:13" ht="15.75" hidden="1" outlineLevel="1" x14ac:dyDescent="0.25">
      <c r="A277" s="39" t="s">
        <v>1</v>
      </c>
      <c r="C277" s="44"/>
      <c r="D277" s="15" t="str">
        <f t="shared" si="7"/>
        <v>Tax Expense</v>
      </c>
      <c r="E277" s="16"/>
      <c r="F277" s="20" t="str">
        <f>"100-5170-00 - Payroll Taxes - Administration"</f>
        <v>100-5170-00 - Payroll Taxes - Administration</v>
      </c>
      <c r="G277" s="20"/>
      <c r="H277" s="23">
        <v>-2437.2200000000003</v>
      </c>
      <c r="I277" s="23">
        <v>-827.4</v>
      </c>
      <c r="J277" s="23">
        <v>-839.1</v>
      </c>
    </row>
    <row r="278" spans="1:13" ht="15.75" hidden="1" outlineLevel="1" x14ac:dyDescent="0.25">
      <c r="A278" s="39" t="s">
        <v>1</v>
      </c>
      <c r="C278" s="44"/>
      <c r="D278" s="15" t="str">
        <f t="shared" si="7"/>
        <v>Tax Expense</v>
      </c>
      <c r="E278" s="16"/>
      <c r="F278" s="20" t="str">
        <f>"200-5170-00 - Payroll Taxes - Accounting"</f>
        <v>200-5170-00 - Payroll Taxes - Accounting</v>
      </c>
      <c r="G278" s="20"/>
      <c r="H278" s="23">
        <v>-10421.020000000002</v>
      </c>
      <c r="I278" s="23">
        <v>-3538.0400000000004</v>
      </c>
      <c r="J278" s="23">
        <v>-3587.7399999999993</v>
      </c>
    </row>
    <row r="279" spans="1:13" ht="15.75" hidden="1" outlineLevel="1" x14ac:dyDescent="0.25">
      <c r="A279" s="39" t="s">
        <v>1</v>
      </c>
      <c r="C279" s="44"/>
      <c r="D279" s="15" t="str">
        <f t="shared" si="7"/>
        <v>Tax Expense</v>
      </c>
      <c r="E279" s="16"/>
      <c r="F279" s="20" t="str">
        <f>"300-5170-00 - Payroll Taxes - Sales"</f>
        <v>300-5170-00 - Payroll Taxes - Sales</v>
      </c>
      <c r="G279" s="20"/>
      <c r="H279" s="23">
        <v>0</v>
      </c>
      <c r="I279" s="23">
        <v>0</v>
      </c>
      <c r="J279" s="23">
        <v>0</v>
      </c>
    </row>
    <row r="280" spans="1:13" ht="15.75" hidden="1" outlineLevel="1" x14ac:dyDescent="0.25">
      <c r="A280" s="39" t="s">
        <v>1</v>
      </c>
      <c r="C280" s="44"/>
      <c r="D280" s="15" t="str">
        <f t="shared" si="7"/>
        <v>Tax Expense</v>
      </c>
      <c r="E280" s="16"/>
      <c r="F280" s="20" t="str">
        <f>"400-5170-00 - Payroll Taxes - Service/Installation"</f>
        <v>400-5170-00 - Payroll Taxes - Service/Installation</v>
      </c>
      <c r="G280" s="20"/>
      <c r="H280" s="23">
        <v>0</v>
      </c>
      <c r="I280" s="23">
        <v>0</v>
      </c>
      <c r="J280" s="23">
        <v>0</v>
      </c>
    </row>
    <row r="281" spans="1:13" ht="15.75" hidden="1" outlineLevel="1" x14ac:dyDescent="0.25">
      <c r="A281" s="39" t="s">
        <v>1</v>
      </c>
      <c r="C281" s="44"/>
      <c r="D281" s="15" t="str">
        <f t="shared" si="7"/>
        <v>Tax Expense</v>
      </c>
      <c r="E281" s="16"/>
      <c r="F281" s="20" t="str">
        <f>"500-5170-00 - Payroll Taxes - Consulting/Training"</f>
        <v>500-5170-00 - Payroll Taxes - Consulting/Training</v>
      </c>
      <c r="G281" s="20"/>
      <c r="H281" s="23">
        <v>0</v>
      </c>
      <c r="I281" s="23">
        <v>0</v>
      </c>
      <c r="J281" s="23">
        <v>0</v>
      </c>
    </row>
    <row r="282" spans="1:13" ht="15.75" hidden="1" outlineLevel="1" x14ac:dyDescent="0.25">
      <c r="A282" s="39" t="s">
        <v>1</v>
      </c>
      <c r="C282" s="44"/>
      <c r="D282" s="15" t="str">
        <f t="shared" si="7"/>
        <v>Tax Expense</v>
      </c>
      <c r="E282" s="16"/>
      <c r="F282" s="20" t="str">
        <f>"600-5170-00 - Payroll Taxes - Purchasing/Receiving"</f>
        <v>600-5170-00 - Payroll Taxes - Purchasing/Receiving</v>
      </c>
      <c r="G282" s="20"/>
      <c r="H282" s="23">
        <v>0</v>
      </c>
      <c r="I282" s="23">
        <v>0</v>
      </c>
      <c r="J282" s="23">
        <v>0</v>
      </c>
    </row>
    <row r="283" spans="1:13" ht="15.75" x14ac:dyDescent="0.25">
      <c r="A283" s="39"/>
      <c r="C283" s="44"/>
      <c r="D283" s="15" t="str">
        <f>D261</f>
        <v>Tax Expense</v>
      </c>
      <c r="E283" s="16"/>
      <c r="F283" s="21" t="str">
        <f>"Total "&amp;E260</f>
        <v>Total Tax Expense</v>
      </c>
      <c r="G283" s="14"/>
      <c r="H283" s="22">
        <v>-15480.820000000002</v>
      </c>
      <c r="I283" s="22">
        <v>-4365.4400000000005</v>
      </c>
      <c r="J283" s="22">
        <v>-4426.8400000000011</v>
      </c>
      <c r="K283" s="7"/>
      <c r="L283" s="7"/>
      <c r="M283" s="7"/>
    </row>
    <row r="284" spans="1:13" ht="15.75" x14ac:dyDescent="0.25">
      <c r="A284" s="39"/>
      <c r="C284" s="44"/>
      <c r="E284" s="17"/>
    </row>
    <row r="285" spans="1:13" ht="15.75" collapsed="1" x14ac:dyDescent="0.25">
      <c r="A285" s="39"/>
      <c r="C285" s="44">
        <v>40</v>
      </c>
      <c r="D285" s="15" t="str">
        <f>E285</f>
        <v>Depreciation Expense</v>
      </c>
      <c r="E285" s="13" t="str">
        <f>"Depreciation Expense"</f>
        <v>Depreciation Expense</v>
      </c>
      <c r="F285" s="10"/>
      <c r="G285" s="11"/>
      <c r="H285" s="10"/>
      <c r="I285" s="10"/>
      <c r="J285" s="10"/>
    </row>
    <row r="286" spans="1:13" ht="15.75" hidden="1" outlineLevel="1" x14ac:dyDescent="0.25">
      <c r="A286" s="39"/>
      <c r="C286" s="44"/>
      <c r="D286" s="15" t="str">
        <f>D285</f>
        <v>Depreciation Expense</v>
      </c>
      <c r="E286" s="16"/>
      <c r="F286" s="20" t="str">
        <f>"000-6200-00 - Depreciation Expense - Furniture &amp; Fixtures"</f>
        <v>000-6200-00 - Depreciation Expense - Furniture &amp; Fixtures</v>
      </c>
      <c r="G286" s="20"/>
      <c r="H286" s="23">
        <v>-7249.28</v>
      </c>
      <c r="I286" s="23">
        <v>0</v>
      </c>
      <c r="J286" s="23">
        <v>0</v>
      </c>
    </row>
    <row r="287" spans="1:13" ht="15.75" hidden="1" outlineLevel="1" x14ac:dyDescent="0.25">
      <c r="A287" s="39" t="s">
        <v>1</v>
      </c>
      <c r="C287" s="44"/>
      <c r="D287" s="15" t="str">
        <f t="shared" ref="D287:D289" si="8">D286</f>
        <v>Depreciation Expense</v>
      </c>
      <c r="E287" s="16"/>
      <c r="F287" s="20" t="str">
        <f>"000-6210-00 - Depreciation Expense - Computer Equipment"</f>
        <v>000-6210-00 - Depreciation Expense - Computer Equipment</v>
      </c>
      <c r="G287" s="20"/>
      <c r="H287" s="23">
        <v>-3776.86</v>
      </c>
      <c r="I287" s="23">
        <v>0</v>
      </c>
      <c r="J287" s="23">
        <v>0</v>
      </c>
    </row>
    <row r="288" spans="1:13" ht="15.75" hidden="1" outlineLevel="1" x14ac:dyDescent="0.25">
      <c r="A288" s="39" t="s">
        <v>1</v>
      </c>
      <c r="C288" s="44"/>
      <c r="D288" s="15" t="str">
        <f t="shared" si="8"/>
        <v>Depreciation Expense</v>
      </c>
      <c r="E288" s="16"/>
      <c r="F288" s="20" t="str">
        <f>"000-6220-00 - Depreciation Expense - Machinery &amp; Equipment"</f>
        <v>000-6220-00 - Depreciation Expense - Machinery &amp; Equipment</v>
      </c>
      <c r="G288" s="20"/>
      <c r="H288" s="23">
        <v>-28197.68</v>
      </c>
      <c r="I288" s="23">
        <v>0</v>
      </c>
      <c r="J288" s="23">
        <v>0</v>
      </c>
    </row>
    <row r="289" spans="1:13" ht="15.75" hidden="1" outlineLevel="1" x14ac:dyDescent="0.25">
      <c r="A289" s="39" t="s">
        <v>1</v>
      </c>
      <c r="C289" s="44"/>
      <c r="D289" s="15" t="str">
        <f t="shared" si="8"/>
        <v>Depreciation Expense</v>
      </c>
      <c r="E289" s="16"/>
      <c r="F289" s="20" t="str">
        <f>"000-6230-00 - Depreciation Expense - Fleet Vehicles"</f>
        <v>000-6230-00 - Depreciation Expense - Fleet Vehicles</v>
      </c>
      <c r="G289" s="20"/>
      <c r="H289" s="23">
        <v>-1666.66</v>
      </c>
      <c r="I289" s="23">
        <v>0</v>
      </c>
      <c r="J289" s="23">
        <v>0</v>
      </c>
    </row>
    <row r="290" spans="1:13" ht="15.75" x14ac:dyDescent="0.25">
      <c r="A290" s="39"/>
      <c r="C290" s="44"/>
      <c r="D290" s="15" t="str">
        <f>D286</f>
        <v>Depreciation Expense</v>
      </c>
      <c r="E290" s="16"/>
      <c r="F290" s="21" t="str">
        <f>"Total "&amp;E285</f>
        <v>Total Depreciation Expense</v>
      </c>
      <c r="G290" s="14"/>
      <c r="H290" s="22">
        <v>-40890.480000000003</v>
      </c>
      <c r="I290" s="22">
        <v>0</v>
      </c>
      <c r="J290" s="22">
        <v>0</v>
      </c>
      <c r="K290" s="7"/>
      <c r="L290" s="7"/>
      <c r="M290" s="7"/>
    </row>
    <row r="291" spans="1:13" ht="15.75" x14ac:dyDescent="0.25">
      <c r="A291" s="39"/>
      <c r="C291" s="44"/>
      <c r="E291" s="16"/>
      <c r="F291" s="11"/>
      <c r="G291" s="10"/>
      <c r="H291" s="8"/>
      <c r="I291" s="8"/>
      <c r="J291" s="8"/>
    </row>
    <row r="292" spans="1:13" ht="15.75" collapsed="1" x14ac:dyDescent="0.25">
      <c r="A292" s="39"/>
      <c r="C292" s="44">
        <v>42</v>
      </c>
      <c r="D292" s="15" t="str">
        <f>E292</f>
        <v>Other Expenses</v>
      </c>
      <c r="E292" s="13" t="str">
        <f>"Other Expenses"</f>
        <v>Other Expenses</v>
      </c>
      <c r="F292" s="10"/>
      <c r="G292" s="11"/>
      <c r="H292" s="10"/>
      <c r="I292" s="10"/>
      <c r="J292" s="10"/>
    </row>
    <row r="293" spans="1:13" ht="15.75" hidden="1" outlineLevel="1" x14ac:dyDescent="0.25">
      <c r="A293" s="39"/>
      <c r="C293" s="44"/>
      <c r="D293" s="15" t="str">
        <f>D292</f>
        <v>Other Expenses</v>
      </c>
      <c r="E293" s="16"/>
      <c r="F293" s="20" t="str">
        <f>"000-4731-00 - Withholding offset"</f>
        <v>000-4731-00 - Withholding offset</v>
      </c>
      <c r="G293" s="20"/>
      <c r="H293" s="23">
        <v>0</v>
      </c>
      <c r="I293" s="23">
        <v>0</v>
      </c>
      <c r="J293" s="23">
        <v>0</v>
      </c>
    </row>
    <row r="294" spans="1:13" ht="15.75" hidden="1" outlineLevel="1" x14ac:dyDescent="0.25">
      <c r="A294" s="39" t="s">
        <v>1</v>
      </c>
      <c r="C294" s="44"/>
      <c r="D294" s="15" t="str">
        <f t="shared" ref="D294:D311" si="9">D293</f>
        <v>Other Expenses</v>
      </c>
      <c r="E294" s="16"/>
      <c r="F294" s="20" t="str">
        <f>"000-4740-00 - Assembly Variance"</f>
        <v>000-4740-00 - Assembly Variance</v>
      </c>
      <c r="G294" s="20"/>
      <c r="H294" s="23">
        <v>0</v>
      </c>
      <c r="I294" s="23">
        <v>0</v>
      </c>
      <c r="J294" s="23">
        <v>0</v>
      </c>
    </row>
    <row r="295" spans="1:13" ht="15.75" hidden="1" outlineLevel="1" x14ac:dyDescent="0.25">
      <c r="A295" s="39" t="s">
        <v>1</v>
      </c>
      <c r="C295" s="44"/>
      <c r="D295" s="15" t="str">
        <f t="shared" si="9"/>
        <v>Other Expenses</v>
      </c>
      <c r="E295" s="16"/>
      <c r="F295" s="20" t="str">
        <f>"000-5615-00 - Floor Stock Expense"</f>
        <v>000-5615-00 - Floor Stock Expense</v>
      </c>
      <c r="G295" s="20"/>
      <c r="H295" s="23">
        <v>0</v>
      </c>
      <c r="I295" s="23">
        <v>0</v>
      </c>
      <c r="J295" s="23">
        <v>0</v>
      </c>
    </row>
    <row r="296" spans="1:13" ht="15.75" hidden="1" outlineLevel="1" x14ac:dyDescent="0.25">
      <c r="A296" s="39" t="s">
        <v>1</v>
      </c>
      <c r="C296" s="44"/>
      <c r="D296" s="15" t="str">
        <f t="shared" si="9"/>
        <v>Other Expenses</v>
      </c>
      <c r="E296" s="16"/>
      <c r="F296" s="20" t="str">
        <f>"000-5700-00 - Non-Inventoried Purchase Item"</f>
        <v>000-5700-00 - Non-Inventoried Purchase Item</v>
      </c>
      <c r="G296" s="20"/>
      <c r="H296" s="23">
        <v>0</v>
      </c>
      <c r="I296" s="23">
        <v>0</v>
      </c>
      <c r="J296" s="23">
        <v>0</v>
      </c>
    </row>
    <row r="297" spans="1:13" ht="15.75" hidden="1" outlineLevel="1" x14ac:dyDescent="0.25">
      <c r="A297" s="39" t="s">
        <v>1</v>
      </c>
      <c r="C297" s="44"/>
      <c r="D297" s="15" t="str">
        <f t="shared" si="9"/>
        <v>Other Expenses</v>
      </c>
      <c r="E297" s="16"/>
      <c r="F297" s="20" t="str">
        <f>"000-6780-00 - Miscellaneous Expense"</f>
        <v>000-6780-00 - Miscellaneous Expense</v>
      </c>
      <c r="G297" s="20"/>
      <c r="H297" s="23">
        <v>-322.39999999999998</v>
      </c>
      <c r="I297" s="23">
        <v>0</v>
      </c>
      <c r="J297" s="23">
        <v>0</v>
      </c>
    </row>
    <row r="298" spans="1:13" ht="15.75" hidden="1" outlineLevel="1" x14ac:dyDescent="0.25">
      <c r="A298" s="39" t="s">
        <v>1</v>
      </c>
      <c r="C298" s="44"/>
      <c r="D298" s="15" t="str">
        <f t="shared" si="9"/>
        <v>Other Expenses</v>
      </c>
      <c r="E298" s="16"/>
      <c r="F298" s="20" t="str">
        <f>"000-8010-00 - Finance Charge Expense"</f>
        <v>000-8010-00 - Finance Charge Expense</v>
      </c>
      <c r="G298" s="20"/>
      <c r="H298" s="23">
        <v>0</v>
      </c>
      <c r="I298" s="23">
        <v>0</v>
      </c>
      <c r="J298" s="23">
        <v>0</v>
      </c>
    </row>
    <row r="299" spans="1:13" ht="15.75" hidden="1" outlineLevel="1" x14ac:dyDescent="0.25">
      <c r="A299" s="39" t="s">
        <v>1</v>
      </c>
      <c r="C299" s="44"/>
      <c r="D299" s="15" t="str">
        <f t="shared" si="9"/>
        <v>Other Expenses</v>
      </c>
      <c r="E299" s="16"/>
      <c r="F299" s="20" t="str">
        <f>"000-8020-00 - Interest Expense"</f>
        <v>000-8020-00 - Interest Expense</v>
      </c>
      <c r="G299" s="20"/>
      <c r="H299" s="23">
        <v>-4069.1400000000003</v>
      </c>
      <c r="I299" s="23">
        <v>0</v>
      </c>
      <c r="J299" s="23">
        <v>0</v>
      </c>
    </row>
    <row r="300" spans="1:13" ht="15.75" hidden="1" outlineLevel="1" x14ac:dyDescent="0.25">
      <c r="A300" s="39" t="s">
        <v>1</v>
      </c>
      <c r="C300" s="44"/>
      <c r="D300" s="15" t="str">
        <f t="shared" si="9"/>
        <v>Other Expenses</v>
      </c>
      <c r="E300" s="16"/>
      <c r="F300" s="20" t="str">
        <f>"000-8200-00 - Realized Loss on MC Transactions"</f>
        <v>000-8200-00 - Realized Loss on MC Transactions</v>
      </c>
      <c r="G300" s="20"/>
      <c r="H300" s="23">
        <v>0</v>
      </c>
      <c r="I300" s="23">
        <v>0</v>
      </c>
      <c r="J300" s="23">
        <v>0</v>
      </c>
    </row>
    <row r="301" spans="1:13" ht="15.75" hidden="1" outlineLevel="1" x14ac:dyDescent="0.25">
      <c r="A301" s="39" t="s">
        <v>1</v>
      </c>
      <c r="C301" s="44"/>
      <c r="D301" s="15" t="str">
        <f t="shared" si="9"/>
        <v>Other Expenses</v>
      </c>
      <c r="E301" s="16"/>
      <c r="F301" s="20" t="str">
        <f>"000-8201-00 - Realized Loss on MC Transactions - Z - C$ - SELL"</f>
        <v>000-8201-00 - Realized Loss on MC Transactions - Z - C$ - SELL</v>
      </c>
      <c r="G301" s="20"/>
      <c r="H301" s="23">
        <v>0</v>
      </c>
      <c r="I301" s="23">
        <v>0</v>
      </c>
      <c r="J301" s="23">
        <v>0</v>
      </c>
    </row>
    <row r="302" spans="1:13" ht="15.75" hidden="1" outlineLevel="1" x14ac:dyDescent="0.25">
      <c r="A302" s="39" t="s">
        <v>1</v>
      </c>
      <c r="C302" s="44"/>
      <c r="D302" s="15" t="str">
        <f t="shared" si="9"/>
        <v>Other Expenses</v>
      </c>
      <c r="E302" s="16"/>
      <c r="F302" s="20" t="str">
        <f>"000-8202-00 - Realized Loss on MC Transactions - Z - C$ - BUY"</f>
        <v>000-8202-00 - Realized Loss on MC Transactions - Z - C$ - BUY</v>
      </c>
      <c r="G302" s="20"/>
      <c r="H302" s="23">
        <v>0</v>
      </c>
      <c r="I302" s="23">
        <v>0</v>
      </c>
      <c r="J302" s="23">
        <v>0</v>
      </c>
    </row>
    <row r="303" spans="1:13" ht="15.75" hidden="1" outlineLevel="1" x14ac:dyDescent="0.25">
      <c r="A303" s="39" t="s">
        <v>1</v>
      </c>
      <c r="C303" s="44"/>
      <c r="D303" s="15" t="str">
        <f t="shared" si="9"/>
        <v>Other Expenses</v>
      </c>
      <c r="E303" s="16"/>
      <c r="F303" s="20" t="str">
        <f>"000-8203-00 - Realized Loss on MC Transactions - Z - C$ - AVG"</f>
        <v>000-8203-00 - Realized Loss on MC Transactions - Z - C$ - AVG</v>
      </c>
      <c r="G303" s="20"/>
      <c r="H303" s="23">
        <v>0</v>
      </c>
      <c r="I303" s="23">
        <v>0</v>
      </c>
      <c r="J303" s="23">
        <v>0</v>
      </c>
    </row>
    <row r="304" spans="1:13" ht="15.75" hidden="1" outlineLevel="1" x14ac:dyDescent="0.25">
      <c r="A304" s="39" t="s">
        <v>1</v>
      </c>
      <c r="C304" s="44"/>
      <c r="D304" s="15" t="str">
        <f t="shared" si="9"/>
        <v>Other Expenses</v>
      </c>
      <c r="E304" s="16"/>
      <c r="F304" s="20" t="str">
        <f>"000-8300-00 - Unrealized Loss on MC Transactions"</f>
        <v>000-8300-00 - Unrealized Loss on MC Transactions</v>
      </c>
      <c r="G304" s="20"/>
      <c r="H304" s="23">
        <v>0</v>
      </c>
      <c r="I304" s="23">
        <v>0</v>
      </c>
      <c r="J304" s="23">
        <v>0</v>
      </c>
    </row>
    <row r="305" spans="1:10" ht="15.75" hidden="1" outlineLevel="1" x14ac:dyDescent="0.25">
      <c r="A305" s="39" t="s">
        <v>1</v>
      </c>
      <c r="C305" s="44"/>
      <c r="D305" s="15" t="str">
        <f t="shared" si="9"/>
        <v>Other Expenses</v>
      </c>
      <c r="E305" s="16"/>
      <c r="F305" s="20" t="str">
        <f>"000-8301-00 - Unrealized Loss on MC Transactions - Canada"</f>
        <v>000-8301-00 - Unrealized Loss on MC Transactions - Canada</v>
      </c>
      <c r="G305" s="20"/>
      <c r="H305" s="23">
        <v>0</v>
      </c>
      <c r="I305" s="23">
        <v>0</v>
      </c>
      <c r="J305" s="23">
        <v>0</v>
      </c>
    </row>
    <row r="306" spans="1:10" ht="15.75" hidden="1" outlineLevel="1" x14ac:dyDescent="0.25">
      <c r="A306" s="39" t="s">
        <v>1</v>
      </c>
      <c r="C306" s="44"/>
      <c r="D306" s="15" t="str">
        <f t="shared" si="9"/>
        <v>Other Expenses</v>
      </c>
      <c r="E306" s="16"/>
      <c r="F306" s="20" t="str">
        <f>"000-8302-00 - Unrealized Loss on MC Transactions - Australia"</f>
        <v>000-8302-00 - Unrealized Loss on MC Transactions - Australia</v>
      </c>
      <c r="G306" s="20"/>
      <c r="H306" s="23">
        <v>0</v>
      </c>
      <c r="I306" s="23">
        <v>0</v>
      </c>
      <c r="J306" s="23">
        <v>0</v>
      </c>
    </row>
    <row r="307" spans="1:10" ht="15.75" hidden="1" outlineLevel="1" x14ac:dyDescent="0.25">
      <c r="A307" s="39" t="s">
        <v>1</v>
      </c>
      <c r="C307" s="44"/>
      <c r="D307" s="15" t="str">
        <f t="shared" si="9"/>
        <v>Other Expenses</v>
      </c>
      <c r="E307" s="16"/>
      <c r="F307" s="20" t="str">
        <f>"000-8303-00 - Unrealized Loss on MC Transactions - New Zealand"</f>
        <v>000-8303-00 - Unrealized Loss on MC Transactions - New Zealand</v>
      </c>
      <c r="G307" s="20"/>
      <c r="H307" s="23">
        <v>0</v>
      </c>
      <c r="I307" s="23">
        <v>0</v>
      </c>
      <c r="J307" s="23">
        <v>0</v>
      </c>
    </row>
    <row r="308" spans="1:10" ht="15.75" hidden="1" outlineLevel="1" x14ac:dyDescent="0.25">
      <c r="A308" s="39" t="s">
        <v>1</v>
      </c>
      <c r="C308" s="44"/>
      <c r="D308" s="15" t="str">
        <f t="shared" si="9"/>
        <v>Other Expenses</v>
      </c>
      <c r="E308" s="16"/>
      <c r="F308" s="20" t="str">
        <f>"000-8304-00 - Unrealized Loss on MC Transactions - Germany"</f>
        <v>000-8304-00 - Unrealized Loss on MC Transactions - Germany</v>
      </c>
      <c r="G308" s="20"/>
      <c r="H308" s="23">
        <v>0</v>
      </c>
      <c r="I308" s="23">
        <v>0</v>
      </c>
      <c r="J308" s="23">
        <v>0</v>
      </c>
    </row>
    <row r="309" spans="1:10" ht="15.75" hidden="1" outlineLevel="1" x14ac:dyDescent="0.25">
      <c r="A309" s="39" t="s">
        <v>1</v>
      </c>
      <c r="C309" s="44"/>
      <c r="D309" s="15" t="str">
        <f t="shared" si="9"/>
        <v>Other Expenses</v>
      </c>
      <c r="E309" s="16"/>
      <c r="F309" s="20" t="str">
        <f>"000-8305-00 - Unrealized Loss on MC Transactions - United Kingdo"</f>
        <v>000-8305-00 - Unrealized Loss on MC Transactions - United Kingdo</v>
      </c>
      <c r="G309" s="20"/>
      <c r="H309" s="23">
        <v>0</v>
      </c>
      <c r="I309" s="23">
        <v>0</v>
      </c>
      <c r="J309" s="23">
        <v>0</v>
      </c>
    </row>
    <row r="310" spans="1:10" ht="15.75" hidden="1" outlineLevel="1" x14ac:dyDescent="0.25">
      <c r="A310" s="39" t="s">
        <v>1</v>
      </c>
      <c r="C310" s="44"/>
      <c r="D310" s="15" t="str">
        <f t="shared" si="9"/>
        <v>Other Expenses</v>
      </c>
      <c r="E310" s="16"/>
      <c r="F310" s="20" t="str">
        <f>"000-8306-00 - Unrealized Loss on MC Transactions - South Africa"</f>
        <v>000-8306-00 - Unrealized Loss on MC Transactions - South Africa</v>
      </c>
      <c r="G310" s="20"/>
      <c r="H310" s="23">
        <v>0</v>
      </c>
      <c r="I310" s="23">
        <v>0</v>
      </c>
      <c r="J310" s="23">
        <v>0</v>
      </c>
    </row>
    <row r="311" spans="1:10" ht="15.75" hidden="1" outlineLevel="1" x14ac:dyDescent="0.25">
      <c r="A311" s="39" t="s">
        <v>1</v>
      </c>
      <c r="C311" s="44"/>
      <c r="D311" s="15" t="str">
        <f t="shared" si="9"/>
        <v>Other Expenses</v>
      </c>
      <c r="E311" s="16"/>
      <c r="F311" s="20" t="str">
        <f>"000-8307-00 - Unrealized Loss on MC Transactions - Singapore"</f>
        <v>000-8307-00 - Unrealized Loss on MC Transactions - Singapore</v>
      </c>
      <c r="G311" s="20"/>
      <c r="H311" s="23">
        <v>0</v>
      </c>
      <c r="I311" s="23">
        <v>0</v>
      </c>
      <c r="J311" s="23">
        <v>0</v>
      </c>
    </row>
    <row r="312" spans="1:10" ht="15.75" x14ac:dyDescent="0.25">
      <c r="A312" s="39"/>
      <c r="C312" s="44"/>
      <c r="D312" s="15" t="str">
        <f>D293</f>
        <v>Other Expenses</v>
      </c>
      <c r="E312" s="16"/>
      <c r="F312" s="21" t="str">
        <f>"Total "&amp;E292</f>
        <v>Total Other Expenses</v>
      </c>
      <c r="G312" s="14"/>
      <c r="H312" s="22">
        <v>-4391.54</v>
      </c>
      <c r="I312" s="22">
        <v>0</v>
      </c>
      <c r="J312" s="22">
        <v>0</v>
      </c>
    </row>
    <row r="313" spans="1:10" ht="15.75" x14ac:dyDescent="0.25">
      <c r="A313" s="39"/>
      <c r="C313" s="44"/>
      <c r="E313" s="16"/>
      <c r="F313" s="11"/>
      <c r="G313" s="10"/>
      <c r="H313" s="8"/>
      <c r="I313" s="8"/>
      <c r="J313" s="8"/>
    </row>
    <row r="314" spans="1:10" ht="15.75" x14ac:dyDescent="0.25">
      <c r="A314" s="39"/>
      <c r="C314" s="44"/>
      <c r="E314" s="16"/>
      <c r="F314" s="11"/>
      <c r="G314" s="10"/>
      <c r="H314" s="8"/>
      <c r="I314" s="8"/>
      <c r="J314" s="8"/>
    </row>
    <row r="315" spans="1:10" ht="15.75" collapsed="1" x14ac:dyDescent="0.25">
      <c r="A315" s="39"/>
      <c r="C315" s="44">
        <v>43</v>
      </c>
      <c r="D315" s="15" t="str">
        <f>E315</f>
        <v>Other Income</v>
      </c>
      <c r="E315" s="13" t="str">
        <f>"Other Income"</f>
        <v>Other Income</v>
      </c>
      <c r="F315" s="10"/>
      <c r="G315" s="11"/>
      <c r="H315" s="10"/>
      <c r="I315" s="10"/>
      <c r="J315" s="10"/>
    </row>
    <row r="316" spans="1:10" ht="15.75" hidden="1" outlineLevel="1" x14ac:dyDescent="0.25">
      <c r="A316" s="39"/>
      <c r="C316" s="44"/>
      <c r="D316" s="15" t="str">
        <f>D315</f>
        <v>Other Income</v>
      </c>
      <c r="E316" s="16"/>
      <c r="F316" s="20" t="str">
        <f>"000-7010-00 - Finance Charge Income"</f>
        <v>000-7010-00 - Finance Charge Income</v>
      </c>
      <c r="G316" s="20"/>
      <c r="H316" s="23">
        <v>50</v>
      </c>
      <c r="I316" s="23">
        <v>0</v>
      </c>
      <c r="J316" s="23">
        <v>0</v>
      </c>
    </row>
    <row r="317" spans="1:10" ht="15.75" hidden="1" outlineLevel="1" x14ac:dyDescent="0.25">
      <c r="A317" s="39" t="s">
        <v>1</v>
      </c>
      <c r="C317" s="44"/>
      <c r="D317" s="15" t="str">
        <f t="shared" ref="D317:D349" si="10">D316</f>
        <v>Other Income</v>
      </c>
      <c r="E317" s="16"/>
      <c r="F317" s="20" t="str">
        <f>"000-7020-00 - Interest Income"</f>
        <v>000-7020-00 - Interest Income</v>
      </c>
      <c r="G317" s="20"/>
      <c r="H317" s="23">
        <v>1818.32</v>
      </c>
      <c r="I317" s="23">
        <v>0</v>
      </c>
      <c r="J317" s="23">
        <v>0</v>
      </c>
    </row>
    <row r="318" spans="1:10" ht="15.75" hidden="1" outlineLevel="1" x14ac:dyDescent="0.25">
      <c r="A318" s="39" t="s">
        <v>1</v>
      </c>
      <c r="C318" s="44"/>
      <c r="D318" s="15" t="str">
        <f t="shared" si="10"/>
        <v>Other Income</v>
      </c>
      <c r="E318" s="16"/>
      <c r="F318" s="20" t="str">
        <f>"000-7040-00 - Miscellaneous Income"</f>
        <v>000-7040-00 - Miscellaneous Income</v>
      </c>
      <c r="G318" s="20"/>
      <c r="H318" s="23">
        <v>1954.16</v>
      </c>
      <c r="I318" s="23">
        <v>0</v>
      </c>
      <c r="J318" s="23">
        <v>0</v>
      </c>
    </row>
    <row r="319" spans="1:10" ht="15.75" hidden="1" outlineLevel="1" x14ac:dyDescent="0.25">
      <c r="A319" s="39" t="s">
        <v>1</v>
      </c>
      <c r="C319" s="44"/>
      <c r="D319" s="15" t="str">
        <f t="shared" si="10"/>
        <v>Other Income</v>
      </c>
      <c r="E319" s="16"/>
      <c r="F319" s="20" t="str">
        <f>"000-7041-00 - Freight Income"</f>
        <v>000-7041-00 - Freight Income</v>
      </c>
      <c r="G319" s="20"/>
      <c r="H319" s="23">
        <v>0</v>
      </c>
      <c r="I319" s="23">
        <v>0</v>
      </c>
      <c r="J319" s="23">
        <v>0</v>
      </c>
    </row>
    <row r="320" spans="1:10" ht="15.75" hidden="1" outlineLevel="1" x14ac:dyDescent="0.25">
      <c r="A320" s="39" t="s">
        <v>1</v>
      </c>
      <c r="C320" s="44"/>
      <c r="D320" s="15" t="str">
        <f t="shared" si="10"/>
        <v>Other Income</v>
      </c>
      <c r="E320" s="16"/>
      <c r="F320" s="20" t="str">
        <f>"000-7100-00 - Realized Gain on MC Transactions"</f>
        <v>000-7100-00 - Realized Gain on MC Transactions</v>
      </c>
      <c r="G320" s="20"/>
      <c r="H320" s="23">
        <v>0</v>
      </c>
      <c r="I320" s="23">
        <v>0</v>
      </c>
      <c r="J320" s="23">
        <v>0</v>
      </c>
    </row>
    <row r="321" spans="1:10" ht="15.75" hidden="1" outlineLevel="1" x14ac:dyDescent="0.25">
      <c r="A321" s="39" t="s">
        <v>1</v>
      </c>
      <c r="C321" s="44"/>
      <c r="D321" s="15" t="str">
        <f t="shared" si="10"/>
        <v>Other Income</v>
      </c>
      <c r="E321" s="16"/>
      <c r="F321" s="20" t="str">
        <f>"000-7101-00 - Realized Gain on MC Transactions - Z - C$ - SELL"</f>
        <v>000-7101-00 - Realized Gain on MC Transactions - Z - C$ - SELL</v>
      </c>
      <c r="G321" s="20"/>
      <c r="H321" s="23">
        <v>0</v>
      </c>
      <c r="I321" s="23">
        <v>0</v>
      </c>
      <c r="J321" s="23">
        <v>0</v>
      </c>
    </row>
    <row r="322" spans="1:10" ht="15.75" hidden="1" outlineLevel="1" x14ac:dyDescent="0.25">
      <c r="A322" s="39" t="s">
        <v>1</v>
      </c>
      <c r="C322" s="44"/>
      <c r="D322" s="15" t="str">
        <f t="shared" si="10"/>
        <v>Other Income</v>
      </c>
      <c r="E322" s="16"/>
      <c r="F322" s="20" t="str">
        <f>"000-7102-00 - Realized Gain on MC Transactions - Z - C$ - BUY"</f>
        <v>000-7102-00 - Realized Gain on MC Transactions - Z - C$ - BUY</v>
      </c>
      <c r="G322" s="20"/>
      <c r="H322" s="23">
        <v>0</v>
      </c>
      <c r="I322" s="23">
        <v>0</v>
      </c>
      <c r="J322" s="23">
        <v>0</v>
      </c>
    </row>
    <row r="323" spans="1:10" ht="15.75" hidden="1" outlineLevel="1" x14ac:dyDescent="0.25">
      <c r="A323" s="39" t="s">
        <v>1</v>
      </c>
      <c r="C323" s="44"/>
      <c r="D323" s="15" t="str">
        <f t="shared" si="10"/>
        <v>Other Income</v>
      </c>
      <c r="E323" s="16"/>
      <c r="F323" s="20" t="str">
        <f>"000-7103-00 - Realized Gain on MC Transactions - Z - C$ - AVG"</f>
        <v>000-7103-00 - Realized Gain on MC Transactions - Z - C$ - AVG</v>
      </c>
      <c r="G323" s="20"/>
      <c r="H323" s="23">
        <v>0</v>
      </c>
      <c r="I323" s="23">
        <v>0</v>
      </c>
      <c r="J323" s="23">
        <v>0</v>
      </c>
    </row>
    <row r="324" spans="1:10" ht="15.75" hidden="1" outlineLevel="1" x14ac:dyDescent="0.25">
      <c r="A324" s="39" t="s">
        <v>1</v>
      </c>
      <c r="C324" s="44"/>
      <c r="D324" s="15" t="str">
        <f t="shared" si="10"/>
        <v>Other Income</v>
      </c>
      <c r="E324" s="16"/>
      <c r="F324" s="20" t="str">
        <f>"000-7200-00 - Unrealized Gain on MC Transactions"</f>
        <v>000-7200-00 - Unrealized Gain on MC Transactions</v>
      </c>
      <c r="G324" s="20"/>
      <c r="H324" s="23">
        <v>0</v>
      </c>
      <c r="I324" s="23">
        <v>0</v>
      </c>
      <c r="J324" s="23">
        <v>0</v>
      </c>
    </row>
    <row r="325" spans="1:10" ht="15.75" hidden="1" outlineLevel="1" x14ac:dyDescent="0.25">
      <c r="A325" s="39" t="s">
        <v>1</v>
      </c>
      <c r="C325" s="44"/>
      <c r="D325" s="15" t="str">
        <f t="shared" si="10"/>
        <v>Other Income</v>
      </c>
      <c r="E325" s="16"/>
      <c r="F325" s="20" t="str">
        <f>"000-7201-00 - Unrealized Gain on MC Transactions-Canada"</f>
        <v>000-7201-00 - Unrealized Gain on MC Transactions-Canada</v>
      </c>
      <c r="G325" s="20"/>
      <c r="H325" s="23">
        <v>0</v>
      </c>
      <c r="I325" s="23">
        <v>0</v>
      </c>
      <c r="J325" s="23">
        <v>0</v>
      </c>
    </row>
    <row r="326" spans="1:10" ht="15.75" hidden="1" outlineLevel="1" x14ac:dyDescent="0.25">
      <c r="A326" s="39" t="s">
        <v>1</v>
      </c>
      <c r="C326" s="44"/>
      <c r="D326" s="15" t="str">
        <f t="shared" si="10"/>
        <v>Other Income</v>
      </c>
      <c r="E326" s="16"/>
      <c r="F326" s="20" t="str">
        <f>"000-7202-00 - Unrealized Gain on MC Transactions - Australia"</f>
        <v>000-7202-00 - Unrealized Gain on MC Transactions - Australia</v>
      </c>
      <c r="G326" s="20"/>
      <c r="H326" s="23">
        <v>0</v>
      </c>
      <c r="I326" s="23">
        <v>0</v>
      </c>
      <c r="J326" s="23">
        <v>0</v>
      </c>
    </row>
    <row r="327" spans="1:10" ht="15.75" hidden="1" outlineLevel="1" x14ac:dyDescent="0.25">
      <c r="A327" s="39" t="s">
        <v>1</v>
      </c>
      <c r="C327" s="44"/>
      <c r="D327" s="15" t="str">
        <f t="shared" si="10"/>
        <v>Other Income</v>
      </c>
      <c r="E327" s="16"/>
      <c r="F327" s="20" t="str">
        <f>"000-7203-00 - Unrealized Gain on MC Transactions - New Zealand"</f>
        <v>000-7203-00 - Unrealized Gain on MC Transactions - New Zealand</v>
      </c>
      <c r="G327" s="20"/>
      <c r="H327" s="23">
        <v>0</v>
      </c>
      <c r="I327" s="23">
        <v>0</v>
      </c>
      <c r="J327" s="23">
        <v>0</v>
      </c>
    </row>
    <row r="328" spans="1:10" ht="15.75" hidden="1" outlineLevel="1" x14ac:dyDescent="0.25">
      <c r="A328" s="39" t="s">
        <v>1</v>
      </c>
      <c r="C328" s="44"/>
      <c r="D328" s="15" t="str">
        <f t="shared" si="10"/>
        <v>Other Income</v>
      </c>
      <c r="E328" s="16"/>
      <c r="F328" s="20" t="str">
        <f>"000-7204-00 - Unrealized Gain on MC Transactions - Germany"</f>
        <v>000-7204-00 - Unrealized Gain on MC Transactions - Germany</v>
      </c>
      <c r="G328" s="20"/>
      <c r="H328" s="23">
        <v>0</v>
      </c>
      <c r="I328" s="23">
        <v>0</v>
      </c>
      <c r="J328" s="23">
        <v>0</v>
      </c>
    </row>
    <row r="329" spans="1:10" ht="15.75" hidden="1" outlineLevel="1" x14ac:dyDescent="0.25">
      <c r="A329" s="39" t="s">
        <v>1</v>
      </c>
      <c r="C329" s="44"/>
      <c r="D329" s="15" t="str">
        <f t="shared" si="10"/>
        <v>Other Income</v>
      </c>
      <c r="E329" s="16"/>
      <c r="F329" s="20" t="str">
        <f>"000-7205-00 - Unrealized Gain on MC Transactions - United Kingdo"</f>
        <v>000-7205-00 - Unrealized Gain on MC Transactions - United Kingdo</v>
      </c>
      <c r="G329" s="20"/>
      <c r="H329" s="23">
        <v>0</v>
      </c>
      <c r="I329" s="23">
        <v>0</v>
      </c>
      <c r="J329" s="23">
        <v>0</v>
      </c>
    </row>
    <row r="330" spans="1:10" ht="15.75" hidden="1" outlineLevel="1" x14ac:dyDescent="0.25">
      <c r="A330" s="39" t="s">
        <v>1</v>
      </c>
      <c r="C330" s="44"/>
      <c r="D330" s="15" t="str">
        <f t="shared" si="10"/>
        <v>Other Income</v>
      </c>
      <c r="E330" s="16"/>
      <c r="F330" s="20" t="str">
        <f>"000-7206-00 - Unrealized Gain on MC Transactions - South Africa"</f>
        <v>000-7206-00 - Unrealized Gain on MC Transactions - South Africa</v>
      </c>
      <c r="G330" s="20"/>
      <c r="H330" s="23">
        <v>0</v>
      </c>
      <c r="I330" s="23">
        <v>0</v>
      </c>
      <c r="J330" s="23">
        <v>0</v>
      </c>
    </row>
    <row r="331" spans="1:10" ht="15.75" hidden="1" outlineLevel="1" x14ac:dyDescent="0.25">
      <c r="A331" s="39" t="s">
        <v>1</v>
      </c>
      <c r="C331" s="44"/>
      <c r="D331" s="15" t="str">
        <f t="shared" si="10"/>
        <v>Other Income</v>
      </c>
      <c r="E331" s="16"/>
      <c r="F331" s="20" t="str">
        <f>"000-7207-00 - Unrealized Gain on MC Transactions - Singapore"</f>
        <v>000-7207-00 - Unrealized Gain on MC Transactions - Singapore</v>
      </c>
      <c r="G331" s="20"/>
      <c r="H331" s="23">
        <v>0</v>
      </c>
      <c r="I331" s="23">
        <v>0</v>
      </c>
      <c r="J331" s="23">
        <v>0</v>
      </c>
    </row>
    <row r="332" spans="1:10" ht="15.75" hidden="1" outlineLevel="1" x14ac:dyDescent="0.25">
      <c r="A332" s="39" t="s">
        <v>1</v>
      </c>
      <c r="C332" s="44"/>
      <c r="D332" s="15" t="str">
        <f t="shared" si="10"/>
        <v>Other Income</v>
      </c>
      <c r="E332" s="16"/>
      <c r="F332" s="20" t="str">
        <f>"000-7300-00 - Rounding Writeoff due to MC Trx"</f>
        <v>000-7300-00 - Rounding Writeoff due to MC Trx</v>
      </c>
      <c r="G332" s="20"/>
      <c r="H332" s="23">
        <v>0</v>
      </c>
      <c r="I332" s="23">
        <v>0</v>
      </c>
      <c r="J332" s="23">
        <v>0</v>
      </c>
    </row>
    <row r="333" spans="1:10" ht="15.75" hidden="1" outlineLevel="1" x14ac:dyDescent="0.25">
      <c r="A333" s="39" t="s">
        <v>1</v>
      </c>
      <c r="C333" s="44"/>
      <c r="D333" s="15" t="str">
        <f t="shared" si="10"/>
        <v>Other Income</v>
      </c>
      <c r="E333" s="16"/>
      <c r="F333" s="20" t="str">
        <f>"000-7301-00 - Rounding Writeoff - Canada"</f>
        <v>000-7301-00 - Rounding Writeoff - Canada</v>
      </c>
      <c r="G333" s="20"/>
      <c r="H333" s="23">
        <v>0</v>
      </c>
      <c r="I333" s="23">
        <v>0</v>
      </c>
      <c r="J333" s="23">
        <v>0</v>
      </c>
    </row>
    <row r="334" spans="1:10" ht="15.75" hidden="1" outlineLevel="1" x14ac:dyDescent="0.25">
      <c r="A334" s="39" t="s">
        <v>1</v>
      </c>
      <c r="C334" s="44"/>
      <c r="D334" s="15" t="str">
        <f t="shared" si="10"/>
        <v>Other Income</v>
      </c>
      <c r="E334" s="16"/>
      <c r="F334" s="20" t="str">
        <f>"000-7302-00 - Rounding Writeoff - Australia"</f>
        <v>000-7302-00 - Rounding Writeoff - Australia</v>
      </c>
      <c r="G334" s="20"/>
      <c r="H334" s="23">
        <v>0</v>
      </c>
      <c r="I334" s="23">
        <v>0</v>
      </c>
      <c r="J334" s="23">
        <v>0</v>
      </c>
    </row>
    <row r="335" spans="1:10" ht="15.75" hidden="1" outlineLevel="1" x14ac:dyDescent="0.25">
      <c r="A335" s="39" t="s">
        <v>1</v>
      </c>
      <c r="C335" s="44"/>
      <c r="D335" s="15" t="str">
        <f t="shared" si="10"/>
        <v>Other Income</v>
      </c>
      <c r="E335" s="16"/>
      <c r="F335" s="20" t="str">
        <f>"000-7303-00 - Rounding Writeoff - New Zealand"</f>
        <v>000-7303-00 - Rounding Writeoff - New Zealand</v>
      </c>
      <c r="G335" s="20"/>
      <c r="H335" s="23">
        <v>0</v>
      </c>
      <c r="I335" s="23">
        <v>0</v>
      </c>
      <c r="J335" s="23">
        <v>0</v>
      </c>
    </row>
    <row r="336" spans="1:10" ht="15.75" hidden="1" outlineLevel="1" x14ac:dyDescent="0.25">
      <c r="A336" s="39" t="s">
        <v>1</v>
      </c>
      <c r="C336" s="44"/>
      <c r="D336" s="15" t="str">
        <f t="shared" si="10"/>
        <v>Other Income</v>
      </c>
      <c r="E336" s="16"/>
      <c r="F336" s="20" t="str">
        <f>"000-7304-00 - Rounding Writeoff - Germany"</f>
        <v>000-7304-00 - Rounding Writeoff - Germany</v>
      </c>
      <c r="G336" s="20"/>
      <c r="H336" s="23">
        <v>0</v>
      </c>
      <c r="I336" s="23">
        <v>0</v>
      </c>
      <c r="J336" s="23">
        <v>0</v>
      </c>
    </row>
    <row r="337" spans="1:10" ht="15.75" hidden="1" outlineLevel="1" x14ac:dyDescent="0.25">
      <c r="A337" s="39" t="s">
        <v>1</v>
      </c>
      <c r="C337" s="44"/>
      <c r="D337" s="15" t="str">
        <f t="shared" si="10"/>
        <v>Other Income</v>
      </c>
      <c r="E337" s="16"/>
      <c r="F337" s="20" t="str">
        <f>"000-7305-00 - Rounding Writeoff - United Kingdom"</f>
        <v>000-7305-00 - Rounding Writeoff - United Kingdom</v>
      </c>
      <c r="G337" s="20"/>
      <c r="H337" s="23">
        <v>0</v>
      </c>
      <c r="I337" s="23">
        <v>0</v>
      </c>
      <c r="J337" s="23">
        <v>0</v>
      </c>
    </row>
    <row r="338" spans="1:10" ht="15.75" hidden="1" outlineLevel="1" x14ac:dyDescent="0.25">
      <c r="A338" s="39" t="s">
        <v>1</v>
      </c>
      <c r="C338" s="44"/>
      <c r="D338" s="15" t="str">
        <f t="shared" si="10"/>
        <v>Other Income</v>
      </c>
      <c r="E338" s="16"/>
      <c r="F338" s="20" t="str">
        <f>"000-7306-00 - Rounding Writeoff - South Africa"</f>
        <v>000-7306-00 - Rounding Writeoff - South Africa</v>
      </c>
      <c r="G338" s="20"/>
      <c r="H338" s="23">
        <v>0</v>
      </c>
      <c r="I338" s="23">
        <v>0</v>
      </c>
      <c r="J338" s="23">
        <v>0</v>
      </c>
    </row>
    <row r="339" spans="1:10" ht="15.75" hidden="1" outlineLevel="1" x14ac:dyDescent="0.25">
      <c r="A339" s="39" t="s">
        <v>1</v>
      </c>
      <c r="C339" s="44"/>
      <c r="D339" s="15" t="str">
        <f t="shared" si="10"/>
        <v>Other Income</v>
      </c>
      <c r="E339" s="16"/>
      <c r="F339" s="20" t="str">
        <f>"000-7307-00 - Rounding Writeoff - Singapore"</f>
        <v>000-7307-00 - Rounding Writeoff - Singapore</v>
      </c>
      <c r="G339" s="20"/>
      <c r="H339" s="23">
        <v>0</v>
      </c>
      <c r="I339" s="23">
        <v>0</v>
      </c>
      <c r="J339" s="23">
        <v>0</v>
      </c>
    </row>
    <row r="340" spans="1:10" ht="15.75" hidden="1" outlineLevel="1" x14ac:dyDescent="0.25">
      <c r="A340" s="39" t="s">
        <v>1</v>
      </c>
      <c r="C340" s="44"/>
      <c r="D340" s="15" t="str">
        <f t="shared" si="10"/>
        <v>Other Income</v>
      </c>
      <c r="E340" s="16"/>
      <c r="F340" s="20" t="str">
        <f>"000-7400-00 - Rounding Difference due to MC Trx"</f>
        <v>000-7400-00 - Rounding Difference due to MC Trx</v>
      </c>
      <c r="G340" s="20"/>
      <c r="H340" s="23">
        <v>0</v>
      </c>
      <c r="I340" s="23">
        <v>0</v>
      </c>
      <c r="J340" s="23">
        <v>0</v>
      </c>
    </row>
    <row r="341" spans="1:10" ht="15.75" hidden="1" outlineLevel="1" x14ac:dyDescent="0.25">
      <c r="A341" s="39" t="s">
        <v>1</v>
      </c>
      <c r="C341" s="44"/>
      <c r="D341" s="15" t="str">
        <f t="shared" si="10"/>
        <v>Other Income</v>
      </c>
      <c r="E341" s="16"/>
      <c r="F341" s="20" t="str">
        <f>"000-7401-00 - Rounding Difference - Canada"</f>
        <v>000-7401-00 - Rounding Difference - Canada</v>
      </c>
      <c r="G341" s="20"/>
      <c r="H341" s="23">
        <v>0</v>
      </c>
      <c r="I341" s="23">
        <v>0</v>
      </c>
      <c r="J341" s="23">
        <v>0</v>
      </c>
    </row>
    <row r="342" spans="1:10" ht="15.75" hidden="1" outlineLevel="1" x14ac:dyDescent="0.25">
      <c r="A342" s="39" t="s">
        <v>1</v>
      </c>
      <c r="C342" s="44"/>
      <c r="D342" s="15" t="str">
        <f t="shared" si="10"/>
        <v>Other Income</v>
      </c>
      <c r="E342" s="16"/>
      <c r="F342" s="20" t="str">
        <f>"000-7402-00 - Rounding Difference - Australia"</f>
        <v>000-7402-00 - Rounding Difference - Australia</v>
      </c>
      <c r="G342" s="20"/>
      <c r="H342" s="23">
        <v>0</v>
      </c>
      <c r="I342" s="23">
        <v>0</v>
      </c>
      <c r="J342" s="23">
        <v>0</v>
      </c>
    </row>
    <row r="343" spans="1:10" ht="15.75" hidden="1" outlineLevel="1" x14ac:dyDescent="0.25">
      <c r="A343" s="39" t="s">
        <v>1</v>
      </c>
      <c r="C343" s="44"/>
      <c r="D343" s="15" t="str">
        <f t="shared" si="10"/>
        <v>Other Income</v>
      </c>
      <c r="E343" s="16"/>
      <c r="F343" s="20" t="str">
        <f>"000-7403-00 - Rounding Difference - New Zealand"</f>
        <v>000-7403-00 - Rounding Difference - New Zealand</v>
      </c>
      <c r="G343" s="20"/>
      <c r="H343" s="23">
        <v>0</v>
      </c>
      <c r="I343" s="23">
        <v>0</v>
      </c>
      <c r="J343" s="23">
        <v>0</v>
      </c>
    </row>
    <row r="344" spans="1:10" ht="15.75" hidden="1" outlineLevel="1" x14ac:dyDescent="0.25">
      <c r="A344" s="39" t="s">
        <v>1</v>
      </c>
      <c r="C344" s="44"/>
      <c r="D344" s="15" t="str">
        <f t="shared" si="10"/>
        <v>Other Income</v>
      </c>
      <c r="E344" s="16"/>
      <c r="F344" s="20" t="str">
        <f>"000-7404-00 - Rounding Difference - Germany"</f>
        <v>000-7404-00 - Rounding Difference - Germany</v>
      </c>
      <c r="G344" s="20"/>
      <c r="H344" s="23">
        <v>0</v>
      </c>
      <c r="I344" s="23">
        <v>0</v>
      </c>
      <c r="J344" s="23">
        <v>0</v>
      </c>
    </row>
    <row r="345" spans="1:10" ht="15.75" hidden="1" outlineLevel="1" x14ac:dyDescent="0.25">
      <c r="A345" s="39" t="s">
        <v>1</v>
      </c>
      <c r="C345" s="44"/>
      <c r="D345" s="15" t="str">
        <f t="shared" si="10"/>
        <v>Other Income</v>
      </c>
      <c r="E345" s="16"/>
      <c r="F345" s="20" t="str">
        <f>"000-7405-00 - Rounding Difference - United Kingdom"</f>
        <v>000-7405-00 - Rounding Difference - United Kingdom</v>
      </c>
      <c r="G345" s="20"/>
      <c r="H345" s="23">
        <v>0</v>
      </c>
      <c r="I345" s="23">
        <v>0</v>
      </c>
      <c r="J345" s="23">
        <v>0</v>
      </c>
    </row>
    <row r="346" spans="1:10" ht="15.75" hidden="1" outlineLevel="1" x14ac:dyDescent="0.25">
      <c r="A346" s="39" t="s">
        <v>1</v>
      </c>
      <c r="C346" s="44"/>
      <c r="D346" s="15" t="str">
        <f t="shared" si="10"/>
        <v>Other Income</v>
      </c>
      <c r="E346" s="16"/>
      <c r="F346" s="20" t="str">
        <f>"000-7406-00 - Rounding Difference - South Africa"</f>
        <v>000-7406-00 - Rounding Difference - South Africa</v>
      </c>
      <c r="G346" s="20"/>
      <c r="H346" s="23">
        <v>0</v>
      </c>
      <c r="I346" s="23">
        <v>0</v>
      </c>
      <c r="J346" s="23">
        <v>0</v>
      </c>
    </row>
    <row r="347" spans="1:10" ht="15.75" hidden="1" outlineLevel="1" x14ac:dyDescent="0.25">
      <c r="A347" s="39" t="s">
        <v>1</v>
      </c>
      <c r="C347" s="44"/>
      <c r="D347" s="15" t="str">
        <f t="shared" si="10"/>
        <v>Other Income</v>
      </c>
      <c r="E347" s="16"/>
      <c r="F347" s="20" t="str">
        <f>"000-7407-00 - Rounding Difference - Singapore"</f>
        <v>000-7407-00 - Rounding Difference - Singapore</v>
      </c>
      <c r="G347" s="20"/>
      <c r="H347" s="23">
        <v>0</v>
      </c>
      <c r="I347" s="23">
        <v>0</v>
      </c>
      <c r="J347" s="23">
        <v>0</v>
      </c>
    </row>
    <row r="348" spans="1:10" ht="15.75" hidden="1" outlineLevel="1" x14ac:dyDescent="0.25">
      <c r="A348" s="39" t="s">
        <v>1</v>
      </c>
      <c r="C348" s="44"/>
      <c r="D348" s="15" t="str">
        <f t="shared" si="10"/>
        <v>Other Income</v>
      </c>
      <c r="E348" s="16"/>
      <c r="F348" s="20" t="str">
        <f>"000-8030-00 - Gain or Loss on Sale of Assets"</f>
        <v>000-8030-00 - Gain or Loss on Sale of Assets</v>
      </c>
      <c r="G348" s="20"/>
      <c r="H348" s="23">
        <v>0</v>
      </c>
      <c r="I348" s="23">
        <v>0</v>
      </c>
      <c r="J348" s="23">
        <v>0</v>
      </c>
    </row>
    <row r="349" spans="1:10" ht="15.75" hidden="1" outlineLevel="1" x14ac:dyDescent="0.25">
      <c r="A349" s="39" t="s">
        <v>1</v>
      </c>
      <c r="C349" s="44"/>
      <c r="D349" s="15" t="str">
        <f t="shared" si="10"/>
        <v>Other Income</v>
      </c>
      <c r="E349" s="16"/>
      <c r="F349" s="20" t="str">
        <f>"000-8610-00 - Project Deferred Revenue"</f>
        <v>000-8610-00 - Project Deferred Revenue</v>
      </c>
      <c r="G349" s="20"/>
      <c r="H349" s="23">
        <v>0</v>
      </c>
      <c r="I349" s="23">
        <v>0</v>
      </c>
      <c r="J349" s="23">
        <v>0</v>
      </c>
    </row>
    <row r="350" spans="1:10" ht="15.75" x14ac:dyDescent="0.25">
      <c r="A350" s="39"/>
      <c r="C350" s="44"/>
      <c r="D350" s="15" t="str">
        <f>D316</f>
        <v>Other Income</v>
      </c>
      <c r="E350" s="16"/>
      <c r="F350" s="21" t="str">
        <f>"Total "&amp;E315</f>
        <v>Total Other Income</v>
      </c>
      <c r="G350" s="14"/>
      <c r="H350" s="22">
        <v>3822.48</v>
      </c>
      <c r="I350" s="22">
        <v>0</v>
      </c>
      <c r="J350" s="22">
        <v>0</v>
      </c>
    </row>
    <row r="351" spans="1:10" ht="15.75" x14ac:dyDescent="0.25">
      <c r="A351" s="39"/>
      <c r="C351" s="44"/>
      <c r="E351" s="16"/>
      <c r="F351" s="11"/>
      <c r="G351" s="10"/>
      <c r="H351" s="8"/>
      <c r="I351" s="8"/>
      <c r="J351" s="8"/>
    </row>
    <row r="352" spans="1:10" ht="15.75" x14ac:dyDescent="0.25">
      <c r="A352" s="39"/>
      <c r="C352" s="44"/>
      <c r="E352" s="16"/>
      <c r="F352" s="11"/>
      <c r="G352" s="10"/>
      <c r="H352" s="8"/>
      <c r="I352" s="8"/>
      <c r="J352" s="8"/>
    </row>
    <row r="353" spans="1:10" ht="15.75" collapsed="1" x14ac:dyDescent="0.25">
      <c r="A353" s="39"/>
      <c r="C353" s="44">
        <v>47</v>
      </c>
      <c r="D353" s="15" t="str">
        <f>E353</f>
        <v>Amortization of Intangible Assets</v>
      </c>
      <c r="E353" s="13" t="str">
        <f>"Amortization of Intangible Assets"</f>
        <v>Amortization of Intangible Assets</v>
      </c>
      <c r="F353" s="10"/>
      <c r="G353" s="11"/>
      <c r="H353" s="10"/>
      <c r="I353" s="10"/>
      <c r="J353" s="10"/>
    </row>
    <row r="354" spans="1:10" ht="15.75" hidden="1" outlineLevel="1" x14ac:dyDescent="0.25">
      <c r="A354" s="39"/>
      <c r="C354" s="44"/>
      <c r="D354" s="15" t="str">
        <f>D353</f>
        <v>Amortization of Intangible Assets</v>
      </c>
      <c r="E354" s="16"/>
      <c r="F354" s="20" t="str">
        <f>"000-6300-00 - Amortization - Software"</f>
        <v>000-6300-00 - Amortization - Software</v>
      </c>
      <c r="G354" s="20"/>
      <c r="H354" s="23">
        <v>-1965.84</v>
      </c>
      <c r="I354" s="23">
        <v>0</v>
      </c>
      <c r="J354" s="23">
        <v>0</v>
      </c>
    </row>
    <row r="355" spans="1:10" ht="15.75" x14ac:dyDescent="0.25">
      <c r="A355" s="39"/>
      <c r="C355" s="44"/>
      <c r="D355" s="15" t="str">
        <f>D354</f>
        <v>Amortization of Intangible Assets</v>
      </c>
      <c r="E355" s="16"/>
      <c r="F355" s="21" t="str">
        <f>"Total "&amp;E353</f>
        <v>Total Amortization of Intangible Assets</v>
      </c>
      <c r="G355" s="14"/>
      <c r="H355" s="22">
        <v>-1965.84</v>
      </c>
      <c r="I355" s="22">
        <v>0</v>
      </c>
      <c r="J355" s="22">
        <v>0</v>
      </c>
    </row>
    <row r="356" spans="1:10" ht="15.75" x14ac:dyDescent="0.25">
      <c r="A356" s="39"/>
      <c r="C356" s="44"/>
      <c r="E356" s="16"/>
      <c r="F356" s="11"/>
      <c r="G356" s="10"/>
      <c r="H356" s="8"/>
      <c r="I356" s="8"/>
      <c r="J356" s="8"/>
    </row>
    <row r="357" spans="1:10" ht="15.75" x14ac:dyDescent="0.25">
      <c r="A357" s="39"/>
      <c r="C357" s="44"/>
      <c r="E357" s="16"/>
      <c r="F357" s="11"/>
      <c r="G357" s="10"/>
      <c r="H357" s="8"/>
      <c r="I357" s="8"/>
      <c r="J357" s="8"/>
    </row>
    <row r="358" spans="1:10" ht="15.75" x14ac:dyDescent="0.25">
      <c r="A358" s="39"/>
      <c r="C358" s="44"/>
      <c r="E358" s="24" t="s">
        <v>77</v>
      </c>
      <c r="F358" s="25"/>
      <c r="G358" s="25"/>
      <c r="H358" s="26">
        <f>H283+H290+H312+H350+H355</f>
        <v>-58906.2</v>
      </c>
      <c r="I358" s="26">
        <f t="shared" ref="I358:J358" si="11">I283+I290+I312+I350+I355</f>
        <v>-4365.4400000000005</v>
      </c>
      <c r="J358" s="26">
        <f t="shared" si="11"/>
        <v>-4426.8400000000011</v>
      </c>
    </row>
    <row r="359" spans="1:10" ht="15.75" x14ac:dyDescent="0.25">
      <c r="A359" s="39"/>
      <c r="C359" s="44"/>
      <c r="E359" s="17"/>
    </row>
    <row r="360" spans="1:10" ht="15.75" x14ac:dyDescent="0.25">
      <c r="A360" s="39"/>
      <c r="C360" s="44"/>
      <c r="E360" s="17"/>
    </row>
    <row r="361" spans="1:10" ht="16.5" thickBot="1" x14ac:dyDescent="0.3">
      <c r="A361" s="39"/>
      <c r="C361" s="45"/>
      <c r="E361" s="27" t="s">
        <v>78</v>
      </c>
      <c r="F361" s="27"/>
      <c r="G361" s="27"/>
      <c r="H361" s="28">
        <f>H258+H358</f>
        <v>549355.76000000257</v>
      </c>
      <c r="I361" s="28">
        <f t="shared" ref="I361:J361" si="12">I258+I358</f>
        <v>-66111.100000000006</v>
      </c>
      <c r="J361" s="28">
        <f t="shared" si="12"/>
        <v>121128.62</v>
      </c>
    </row>
    <row r="362" spans="1:10" ht="16.5" thickTop="1" x14ac:dyDescent="0.25">
      <c r="A362" s="39"/>
      <c r="C362" s="45"/>
      <c r="E362" s="17"/>
    </row>
    <row r="363" spans="1:10" ht="15.75" x14ac:dyDescent="0.25">
      <c r="A363" s="39"/>
      <c r="C363" s="45"/>
      <c r="E363" s="17"/>
    </row>
    <row r="364" spans="1:10" ht="15.75" x14ac:dyDescent="0.25">
      <c r="A364" s="40"/>
      <c r="E364" s="17"/>
    </row>
    <row r="365" spans="1:10" ht="15.75" x14ac:dyDescent="0.25">
      <c r="A365" s="40"/>
      <c r="E365" s="17"/>
    </row>
    <row r="366" spans="1:10" ht="15.75" x14ac:dyDescent="0.25">
      <c r="A366" s="40"/>
      <c r="E366" s="17"/>
    </row>
    <row r="367" spans="1:10" x14ac:dyDescent="0.25">
      <c r="A367" s="40"/>
    </row>
    <row r="368" spans="1:10" x14ac:dyDescent="0.25">
      <c r="F368" s="20"/>
      <c r="G368" s="20"/>
      <c r="H368" s="23"/>
      <c r="I368" s="23"/>
      <c r="J368" s="23"/>
    </row>
  </sheetData>
  <pageMargins left="0.7" right="0.7" top="0.75" bottom="0.75" header="0.3" footer="0.3"/>
  <pageSetup orientation="portrait" horizontalDpi="300" verticalDpi="3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5" x14ac:dyDescent="0.25"/>
  <sheetData>
    <row r="1" spans="1:5" x14ac:dyDescent="0.25">
      <c r="A1" s="1" t="s">
        <v>1762</v>
      </c>
      <c r="B1" s="1" t="s">
        <v>3</v>
      </c>
      <c r="C1" s="1" t="s">
        <v>4</v>
      </c>
      <c r="D1" s="1" t="s">
        <v>5</v>
      </c>
    </row>
    <row r="3" spans="1:5" x14ac:dyDescent="0.25">
      <c r="C3" s="1" t="s">
        <v>6</v>
      </c>
    </row>
    <row r="4" spans="1:5" x14ac:dyDescent="0.25">
      <c r="A4" s="1" t="s">
        <v>7</v>
      </c>
      <c r="B4" s="1" t="s">
        <v>8</v>
      </c>
      <c r="C4" s="1" t="s">
        <v>162</v>
      </c>
      <c r="E4" s="1" t="s">
        <v>12</v>
      </c>
    </row>
    <row r="5" spans="1:5" x14ac:dyDescent="0.25">
      <c r="A5" s="1" t="s">
        <v>7</v>
      </c>
      <c r="B5" s="1" t="s">
        <v>9</v>
      </c>
      <c r="C5" s="1" t="s">
        <v>1761</v>
      </c>
    </row>
    <row r="6" spans="1:5" x14ac:dyDescent="0.25">
      <c r="A6" s="1" t="s">
        <v>7</v>
      </c>
      <c r="B6" s="1" t="s">
        <v>705</v>
      </c>
      <c r="C6" s="1" t="s">
        <v>1758</v>
      </c>
      <c r="D6" s="1" t="s">
        <v>706</v>
      </c>
    </row>
    <row r="7" spans="1:5" x14ac:dyDescent="0.25">
      <c r="A7" s="1" t="s">
        <v>7</v>
      </c>
      <c r="B7" s="1" t="s">
        <v>96</v>
      </c>
      <c r="C7" s="1" t="s">
        <v>97</v>
      </c>
      <c r="D7" s="1" t="s">
        <v>98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5" x14ac:dyDescent="0.25"/>
  <sheetData>
    <row r="1" spans="1:5" x14ac:dyDescent="0.25">
      <c r="A1" s="1" t="s">
        <v>1762</v>
      </c>
      <c r="B1" s="1" t="s">
        <v>3</v>
      </c>
      <c r="C1" s="1" t="s">
        <v>4</v>
      </c>
      <c r="D1" s="1" t="s">
        <v>5</v>
      </c>
    </row>
    <row r="3" spans="1:5" x14ac:dyDescent="0.25">
      <c r="C3" s="1" t="s">
        <v>6</v>
      </c>
    </row>
    <row r="4" spans="1:5" x14ac:dyDescent="0.25">
      <c r="A4" s="1" t="s">
        <v>7</v>
      </c>
      <c r="B4" s="1" t="s">
        <v>8</v>
      </c>
      <c r="C4" s="1" t="s">
        <v>162</v>
      </c>
      <c r="E4" s="1" t="s">
        <v>12</v>
      </c>
    </row>
    <row r="5" spans="1:5" x14ac:dyDescent="0.25">
      <c r="A5" s="1" t="s">
        <v>7</v>
      </c>
      <c r="B5" s="1" t="s">
        <v>9</v>
      </c>
      <c r="C5" s="1" t="s">
        <v>1761</v>
      </c>
    </row>
    <row r="6" spans="1:5" x14ac:dyDescent="0.25">
      <c r="A6" s="1" t="s">
        <v>7</v>
      </c>
      <c r="B6" s="1" t="s">
        <v>705</v>
      </c>
      <c r="C6" s="1" t="s">
        <v>1758</v>
      </c>
      <c r="D6" s="1" t="s">
        <v>706</v>
      </c>
    </row>
    <row r="7" spans="1:5" x14ac:dyDescent="0.25">
      <c r="A7" s="1" t="s">
        <v>7</v>
      </c>
      <c r="B7" s="1" t="s">
        <v>96</v>
      </c>
      <c r="C7" s="1" t="s">
        <v>97</v>
      </c>
      <c r="D7" s="1" t="s">
        <v>98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workbookViewId="0"/>
  </sheetViews>
  <sheetFormatPr defaultRowHeight="15" x14ac:dyDescent="0.25"/>
  <sheetData>
    <row r="1" spans="1:9" x14ac:dyDescent="0.25">
      <c r="A1" s="1" t="s">
        <v>1763</v>
      </c>
      <c r="C1" s="1" t="s">
        <v>13</v>
      </c>
      <c r="D1" s="1" t="s">
        <v>13</v>
      </c>
      <c r="I1" s="1" t="s">
        <v>10</v>
      </c>
    </row>
    <row r="3" spans="1:9" x14ac:dyDescent="0.25">
      <c r="E3" s="1" t="s">
        <v>11</v>
      </c>
    </row>
    <row r="5" spans="1:9" x14ac:dyDescent="0.25">
      <c r="A5" s="1" t="s">
        <v>10</v>
      </c>
      <c r="H5" s="1" t="s">
        <v>99</v>
      </c>
    </row>
    <row r="6" spans="1:9" x14ac:dyDescent="0.25">
      <c r="A6" s="1" t="s">
        <v>13</v>
      </c>
      <c r="H6" s="1" t="s">
        <v>100</v>
      </c>
    </row>
    <row r="7" spans="1:9" x14ac:dyDescent="0.25">
      <c r="C7" s="1" t="s">
        <v>718</v>
      </c>
      <c r="H7" s="1" t="s">
        <v>707</v>
      </c>
    </row>
    <row r="8" spans="1:9" x14ac:dyDescent="0.25">
      <c r="C8" s="1" t="s">
        <v>101</v>
      </c>
      <c r="D8" s="1" t="s">
        <v>102</v>
      </c>
      <c r="E8" s="1" t="s">
        <v>719</v>
      </c>
    </row>
    <row r="9" spans="1:9" x14ac:dyDescent="0.25">
      <c r="D9" s="1" t="s">
        <v>30</v>
      </c>
      <c r="F9" s="1" t="s">
        <v>720</v>
      </c>
      <c r="H9" s="1" t="s">
        <v>765</v>
      </c>
    </row>
    <row r="10" spans="1:9" x14ac:dyDescent="0.25">
      <c r="D10" s="1" t="s">
        <v>31</v>
      </c>
      <c r="F10" s="1" t="s">
        <v>103</v>
      </c>
      <c r="H10" s="1" t="s">
        <v>766</v>
      </c>
    </row>
    <row r="12" spans="1:9" x14ac:dyDescent="0.25">
      <c r="C12" s="1" t="s">
        <v>163</v>
      </c>
      <c r="D12" s="1" t="s">
        <v>104</v>
      </c>
      <c r="E12" s="1" t="s">
        <v>721</v>
      </c>
    </row>
    <row r="13" spans="1:9" x14ac:dyDescent="0.25">
      <c r="D13" s="1" t="s">
        <v>33</v>
      </c>
      <c r="F13" s="1" t="s">
        <v>722</v>
      </c>
      <c r="H13" s="1" t="s">
        <v>767</v>
      </c>
    </row>
    <row r="14" spans="1:9" x14ac:dyDescent="0.25">
      <c r="D14" s="1" t="s">
        <v>34</v>
      </c>
      <c r="F14" s="1" t="s">
        <v>105</v>
      </c>
      <c r="H14" s="1" t="s">
        <v>768</v>
      </c>
    </row>
    <row r="16" spans="1:9" x14ac:dyDescent="0.25">
      <c r="C16" s="1" t="s">
        <v>14</v>
      </c>
      <c r="D16" s="1" t="s">
        <v>164</v>
      </c>
      <c r="E16" s="1" t="s">
        <v>723</v>
      </c>
    </row>
    <row r="17" spans="3:8" x14ac:dyDescent="0.25">
      <c r="D17" s="1" t="s">
        <v>37</v>
      </c>
      <c r="F17" s="1" t="s">
        <v>724</v>
      </c>
      <c r="H17" s="1" t="s">
        <v>769</v>
      </c>
    </row>
    <row r="18" spans="3:8" x14ac:dyDescent="0.25">
      <c r="D18" s="1" t="s">
        <v>18</v>
      </c>
      <c r="F18" s="1" t="s">
        <v>165</v>
      </c>
      <c r="H18" s="1" t="s">
        <v>770</v>
      </c>
    </row>
    <row r="20" spans="3:8" x14ac:dyDescent="0.25">
      <c r="C20" s="1" t="s">
        <v>166</v>
      </c>
      <c r="D20" s="1" t="s">
        <v>167</v>
      </c>
      <c r="E20" s="1" t="s">
        <v>725</v>
      </c>
    </row>
    <row r="21" spans="3:8" x14ac:dyDescent="0.25">
      <c r="D21" s="1" t="s">
        <v>40</v>
      </c>
      <c r="F21" s="1" t="s">
        <v>726</v>
      </c>
      <c r="H21" s="1" t="s">
        <v>771</v>
      </c>
    </row>
    <row r="22" spans="3:8" x14ac:dyDescent="0.25">
      <c r="D22" s="1" t="s">
        <v>19</v>
      </c>
      <c r="F22" s="1" t="s">
        <v>168</v>
      </c>
      <c r="H22" s="1" t="s">
        <v>772</v>
      </c>
    </row>
    <row r="25" spans="3:8" x14ac:dyDescent="0.25">
      <c r="E25" s="1" t="s">
        <v>2</v>
      </c>
      <c r="H25" s="1" t="s">
        <v>685</v>
      </c>
    </row>
    <row r="27" spans="3:8" x14ac:dyDescent="0.25">
      <c r="C27" s="1" t="s">
        <v>15</v>
      </c>
      <c r="D27" s="1" t="s">
        <v>169</v>
      </c>
      <c r="E27" s="1" t="s">
        <v>727</v>
      </c>
    </row>
    <row r="28" spans="3:8" x14ac:dyDescent="0.25">
      <c r="D28" s="1" t="s">
        <v>43</v>
      </c>
      <c r="F28" s="1" t="s">
        <v>728</v>
      </c>
      <c r="H28" s="1" t="s">
        <v>773</v>
      </c>
    </row>
    <row r="29" spans="3:8" x14ac:dyDescent="0.25">
      <c r="D29" s="1" t="s">
        <v>44</v>
      </c>
      <c r="F29" s="1" t="s">
        <v>170</v>
      </c>
      <c r="H29" s="1" t="s">
        <v>774</v>
      </c>
    </row>
    <row r="31" spans="3:8" x14ac:dyDescent="0.25">
      <c r="C31" s="1" t="s">
        <v>171</v>
      </c>
      <c r="D31" s="1" t="s">
        <v>172</v>
      </c>
      <c r="E31" s="1" t="s">
        <v>729</v>
      </c>
    </row>
    <row r="32" spans="3:8" x14ac:dyDescent="0.25">
      <c r="D32" s="1" t="s">
        <v>46</v>
      </c>
      <c r="F32" s="1" t="s">
        <v>730</v>
      </c>
      <c r="H32" s="1" t="s">
        <v>775</v>
      </c>
    </row>
    <row r="33" spans="3:8" x14ac:dyDescent="0.25">
      <c r="D33" s="1" t="s">
        <v>47</v>
      </c>
      <c r="F33" s="1" t="s">
        <v>173</v>
      </c>
      <c r="H33" s="1" t="s">
        <v>776</v>
      </c>
    </row>
    <row r="35" spans="3:8" x14ac:dyDescent="0.25">
      <c r="C35" s="1" t="s">
        <v>17</v>
      </c>
      <c r="D35" s="1" t="s">
        <v>174</v>
      </c>
      <c r="E35" s="1" t="s">
        <v>731</v>
      </c>
    </row>
    <row r="36" spans="3:8" x14ac:dyDescent="0.25">
      <c r="D36" s="1" t="s">
        <v>49</v>
      </c>
      <c r="F36" s="1" t="s">
        <v>732</v>
      </c>
      <c r="H36" s="1" t="s">
        <v>777</v>
      </c>
    </row>
    <row r="37" spans="3:8" x14ac:dyDescent="0.25">
      <c r="D37" s="1" t="s">
        <v>50</v>
      </c>
      <c r="F37" s="1" t="s">
        <v>175</v>
      </c>
      <c r="H37" s="1" t="s">
        <v>778</v>
      </c>
    </row>
    <row r="39" spans="3:8" x14ac:dyDescent="0.25">
      <c r="E39" s="1" t="s">
        <v>76</v>
      </c>
      <c r="H39" s="1" t="s">
        <v>686</v>
      </c>
    </row>
    <row r="41" spans="3:8" x14ac:dyDescent="0.25">
      <c r="E41" s="1" t="s">
        <v>161</v>
      </c>
      <c r="H41" s="1" t="s">
        <v>687</v>
      </c>
    </row>
    <row r="43" spans="3:8" x14ac:dyDescent="0.25">
      <c r="C43" s="1" t="s">
        <v>20</v>
      </c>
      <c r="D43" s="1" t="s">
        <v>89</v>
      </c>
      <c r="E43" s="1" t="s">
        <v>733</v>
      </c>
    </row>
    <row r="44" spans="3:8" x14ac:dyDescent="0.25">
      <c r="D44" s="1" t="s">
        <v>81</v>
      </c>
      <c r="F44" s="1" t="s">
        <v>734</v>
      </c>
      <c r="H44" s="1" t="s">
        <v>779</v>
      </c>
    </row>
    <row r="45" spans="3:8" x14ac:dyDescent="0.25">
      <c r="D45" s="1" t="s">
        <v>80</v>
      </c>
      <c r="F45" s="1" t="s">
        <v>90</v>
      </c>
      <c r="H45" s="1" t="s">
        <v>780</v>
      </c>
    </row>
    <row r="47" spans="3:8" x14ac:dyDescent="0.25">
      <c r="C47" s="1" t="s">
        <v>22</v>
      </c>
      <c r="D47" s="1" t="s">
        <v>91</v>
      </c>
      <c r="E47" s="1" t="s">
        <v>735</v>
      </c>
    </row>
    <row r="48" spans="3:8" x14ac:dyDescent="0.25">
      <c r="D48" s="1" t="s">
        <v>92</v>
      </c>
      <c r="F48" s="1" t="s">
        <v>736</v>
      </c>
      <c r="H48" s="1" t="s">
        <v>781</v>
      </c>
    </row>
    <row r="49" spans="3:8" x14ac:dyDescent="0.25">
      <c r="D49" s="1" t="s">
        <v>55</v>
      </c>
      <c r="F49" s="1" t="s">
        <v>93</v>
      </c>
      <c r="H49" s="1" t="s">
        <v>782</v>
      </c>
    </row>
    <row r="51" spans="3:8" x14ac:dyDescent="0.25">
      <c r="C51" s="1" t="s">
        <v>24</v>
      </c>
      <c r="D51" s="1" t="s">
        <v>176</v>
      </c>
      <c r="E51" s="1" t="s">
        <v>737</v>
      </c>
    </row>
    <row r="52" spans="3:8" x14ac:dyDescent="0.25">
      <c r="D52" s="1" t="s">
        <v>155</v>
      </c>
      <c r="F52" s="1" t="s">
        <v>738</v>
      </c>
      <c r="H52" s="1" t="s">
        <v>783</v>
      </c>
    </row>
    <row r="53" spans="3:8" x14ac:dyDescent="0.25">
      <c r="D53" s="1" t="s">
        <v>177</v>
      </c>
      <c r="F53" s="1" t="s">
        <v>178</v>
      </c>
      <c r="H53" s="1" t="s">
        <v>784</v>
      </c>
    </row>
    <row r="56" spans="3:8" x14ac:dyDescent="0.25">
      <c r="C56" s="1" t="s">
        <v>179</v>
      </c>
      <c r="D56" s="1" t="s">
        <v>180</v>
      </c>
      <c r="E56" s="1" t="s">
        <v>739</v>
      </c>
    </row>
    <row r="57" spans="3:8" x14ac:dyDescent="0.25">
      <c r="D57" s="1" t="s">
        <v>58</v>
      </c>
      <c r="F57" s="1" t="s">
        <v>740</v>
      </c>
      <c r="H57" s="1" t="s">
        <v>785</v>
      </c>
    </row>
    <row r="58" spans="3:8" x14ac:dyDescent="0.25">
      <c r="D58" s="1" t="s">
        <v>181</v>
      </c>
      <c r="F58" s="1" t="s">
        <v>182</v>
      </c>
      <c r="H58" s="1" t="s">
        <v>786</v>
      </c>
    </row>
    <row r="61" spans="3:8" x14ac:dyDescent="0.25">
      <c r="C61" s="1" t="s">
        <v>27</v>
      </c>
      <c r="D61" s="1" t="s">
        <v>157</v>
      </c>
      <c r="E61" s="1" t="s">
        <v>741</v>
      </c>
    </row>
    <row r="62" spans="3:8" x14ac:dyDescent="0.25">
      <c r="D62" s="1" t="s">
        <v>60</v>
      </c>
      <c r="F62" s="1" t="s">
        <v>742</v>
      </c>
      <c r="H62" s="1" t="s">
        <v>787</v>
      </c>
    </row>
    <row r="63" spans="3:8" x14ac:dyDescent="0.25">
      <c r="D63" s="1" t="s">
        <v>158</v>
      </c>
      <c r="F63" s="1" t="s">
        <v>159</v>
      </c>
      <c r="H63" s="1" t="s">
        <v>788</v>
      </c>
    </row>
    <row r="66" spans="5:8" x14ac:dyDescent="0.25">
      <c r="E66" s="1" t="s">
        <v>77</v>
      </c>
      <c r="H66" s="1" t="s">
        <v>688</v>
      </c>
    </row>
    <row r="69" spans="5:8" x14ac:dyDescent="0.25">
      <c r="E69" s="1" t="s">
        <v>78</v>
      </c>
      <c r="H69" s="1" t="s">
        <v>689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workbookViewId="0"/>
  </sheetViews>
  <sheetFormatPr defaultRowHeight="15" x14ac:dyDescent="0.25"/>
  <sheetData>
    <row r="1" spans="1:9" x14ac:dyDescent="0.25">
      <c r="A1" s="1" t="s">
        <v>1763</v>
      </c>
      <c r="C1" s="1" t="s">
        <v>13</v>
      </c>
      <c r="D1" s="1" t="s">
        <v>13</v>
      </c>
      <c r="I1" s="1" t="s">
        <v>10</v>
      </c>
    </row>
    <row r="3" spans="1:9" x14ac:dyDescent="0.25">
      <c r="E3" s="1" t="s">
        <v>11</v>
      </c>
    </row>
    <row r="5" spans="1:9" x14ac:dyDescent="0.25">
      <c r="A5" s="1" t="s">
        <v>10</v>
      </c>
      <c r="H5" s="1" t="s">
        <v>99</v>
      </c>
    </row>
    <row r="6" spans="1:9" x14ac:dyDescent="0.25">
      <c r="A6" s="1" t="s">
        <v>13</v>
      </c>
      <c r="H6" s="1" t="s">
        <v>100</v>
      </c>
    </row>
    <row r="7" spans="1:9" x14ac:dyDescent="0.25">
      <c r="C7" s="1" t="s">
        <v>718</v>
      </c>
      <c r="H7" s="1" t="s">
        <v>707</v>
      </c>
    </row>
    <row r="8" spans="1:9" x14ac:dyDescent="0.25">
      <c r="C8" s="1" t="s">
        <v>101</v>
      </c>
      <c r="D8" s="1" t="s">
        <v>102</v>
      </c>
      <c r="E8" s="1" t="s">
        <v>1757</v>
      </c>
    </row>
    <row r="9" spans="1:9" x14ac:dyDescent="0.25">
      <c r="D9" s="1" t="s">
        <v>30</v>
      </c>
      <c r="F9" s="1" t="s">
        <v>720</v>
      </c>
      <c r="H9" s="1" t="s">
        <v>765</v>
      </c>
    </row>
    <row r="10" spans="1:9" x14ac:dyDescent="0.25">
      <c r="D10" s="1" t="s">
        <v>31</v>
      </c>
      <c r="F10" s="1" t="s">
        <v>103</v>
      </c>
      <c r="H10" s="1" t="s">
        <v>766</v>
      </c>
    </row>
    <row r="12" spans="1:9" x14ac:dyDescent="0.25">
      <c r="C12" s="1" t="s">
        <v>163</v>
      </c>
      <c r="D12" s="1" t="s">
        <v>104</v>
      </c>
      <c r="E12" s="1" t="s">
        <v>721</v>
      </c>
    </row>
    <row r="13" spans="1:9" x14ac:dyDescent="0.25">
      <c r="D13" s="1" t="s">
        <v>33</v>
      </c>
      <c r="F13" s="1" t="s">
        <v>722</v>
      </c>
      <c r="H13" s="1" t="s">
        <v>767</v>
      </c>
    </row>
    <row r="14" spans="1:9" x14ac:dyDescent="0.25">
      <c r="D14" s="1" t="s">
        <v>34</v>
      </c>
      <c r="F14" s="1" t="s">
        <v>105</v>
      </c>
      <c r="H14" s="1" t="s">
        <v>768</v>
      </c>
    </row>
    <row r="16" spans="1:9" x14ac:dyDescent="0.25">
      <c r="C16" s="1" t="s">
        <v>14</v>
      </c>
      <c r="D16" s="1" t="s">
        <v>164</v>
      </c>
      <c r="E16" s="1" t="s">
        <v>723</v>
      </c>
    </row>
    <row r="17" spans="3:8" x14ac:dyDescent="0.25">
      <c r="D17" s="1" t="s">
        <v>37</v>
      </c>
      <c r="F17" s="1" t="s">
        <v>724</v>
      </c>
      <c r="H17" s="1" t="s">
        <v>769</v>
      </c>
    </row>
    <row r="18" spans="3:8" x14ac:dyDescent="0.25">
      <c r="D18" s="1" t="s">
        <v>18</v>
      </c>
      <c r="F18" s="1" t="s">
        <v>165</v>
      </c>
      <c r="H18" s="1" t="s">
        <v>770</v>
      </c>
    </row>
    <row r="20" spans="3:8" x14ac:dyDescent="0.25">
      <c r="C20" s="1" t="s">
        <v>166</v>
      </c>
      <c r="D20" s="1" t="s">
        <v>167</v>
      </c>
      <c r="E20" s="1" t="s">
        <v>725</v>
      </c>
    </row>
    <row r="21" spans="3:8" x14ac:dyDescent="0.25">
      <c r="D21" s="1" t="s">
        <v>40</v>
      </c>
      <c r="F21" s="1" t="s">
        <v>726</v>
      </c>
      <c r="H21" s="1" t="s">
        <v>771</v>
      </c>
    </row>
    <row r="22" spans="3:8" x14ac:dyDescent="0.25">
      <c r="D22" s="1" t="s">
        <v>19</v>
      </c>
      <c r="F22" s="1" t="s">
        <v>168</v>
      </c>
      <c r="H22" s="1" t="s">
        <v>772</v>
      </c>
    </row>
    <row r="25" spans="3:8" x14ac:dyDescent="0.25">
      <c r="E25" s="1" t="s">
        <v>2</v>
      </c>
      <c r="H25" s="1" t="s">
        <v>685</v>
      </c>
    </row>
    <row r="27" spans="3:8" x14ac:dyDescent="0.25">
      <c r="C27" s="1" t="s">
        <v>15</v>
      </c>
      <c r="D27" s="1" t="s">
        <v>169</v>
      </c>
      <c r="E27" s="1" t="s">
        <v>727</v>
      </c>
    </row>
    <row r="28" spans="3:8" x14ac:dyDescent="0.25">
      <c r="D28" s="1" t="s">
        <v>43</v>
      </c>
      <c r="F28" s="1" t="s">
        <v>728</v>
      </c>
      <c r="H28" s="1" t="s">
        <v>773</v>
      </c>
    </row>
    <row r="29" spans="3:8" x14ac:dyDescent="0.25">
      <c r="D29" s="1" t="s">
        <v>44</v>
      </c>
      <c r="F29" s="1" t="s">
        <v>170</v>
      </c>
      <c r="H29" s="1" t="s">
        <v>774</v>
      </c>
    </row>
    <row r="31" spans="3:8" x14ac:dyDescent="0.25">
      <c r="C31" s="1" t="s">
        <v>171</v>
      </c>
      <c r="D31" s="1" t="s">
        <v>172</v>
      </c>
      <c r="E31" s="1" t="s">
        <v>729</v>
      </c>
    </row>
    <row r="32" spans="3:8" x14ac:dyDescent="0.25">
      <c r="D32" s="1" t="s">
        <v>46</v>
      </c>
      <c r="F32" s="1" t="s">
        <v>730</v>
      </c>
      <c r="H32" s="1" t="s">
        <v>775</v>
      </c>
    </row>
    <row r="33" spans="3:8" x14ac:dyDescent="0.25">
      <c r="D33" s="1" t="s">
        <v>47</v>
      </c>
      <c r="F33" s="1" t="s">
        <v>173</v>
      </c>
      <c r="H33" s="1" t="s">
        <v>776</v>
      </c>
    </row>
    <row r="35" spans="3:8" x14ac:dyDescent="0.25">
      <c r="C35" s="1" t="s">
        <v>17</v>
      </c>
      <c r="D35" s="1" t="s">
        <v>174</v>
      </c>
      <c r="E35" s="1" t="s">
        <v>731</v>
      </c>
    </row>
    <row r="36" spans="3:8" x14ac:dyDescent="0.25">
      <c r="D36" s="1" t="s">
        <v>49</v>
      </c>
      <c r="F36" s="1" t="s">
        <v>732</v>
      </c>
      <c r="H36" s="1" t="s">
        <v>777</v>
      </c>
    </row>
    <row r="37" spans="3:8" x14ac:dyDescent="0.25">
      <c r="D37" s="1" t="s">
        <v>50</v>
      </c>
      <c r="F37" s="1" t="s">
        <v>175</v>
      </c>
      <c r="H37" s="1" t="s">
        <v>778</v>
      </c>
    </row>
    <row r="39" spans="3:8" x14ac:dyDescent="0.25">
      <c r="E39" s="1" t="s">
        <v>76</v>
      </c>
      <c r="H39" s="1" t="s">
        <v>686</v>
      </c>
    </row>
    <row r="41" spans="3:8" x14ac:dyDescent="0.25">
      <c r="E41" s="1" t="s">
        <v>161</v>
      </c>
      <c r="H41" s="1" t="s">
        <v>687</v>
      </c>
    </row>
    <row r="43" spans="3:8" x14ac:dyDescent="0.25">
      <c r="C43" s="1" t="s">
        <v>20</v>
      </c>
      <c r="D43" s="1" t="s">
        <v>89</v>
      </c>
      <c r="E43" s="1" t="s">
        <v>733</v>
      </c>
    </row>
    <row r="44" spans="3:8" x14ac:dyDescent="0.25">
      <c r="D44" s="1" t="s">
        <v>81</v>
      </c>
      <c r="F44" s="1" t="s">
        <v>734</v>
      </c>
      <c r="H44" s="1" t="s">
        <v>779</v>
      </c>
    </row>
    <row r="45" spans="3:8" x14ac:dyDescent="0.25">
      <c r="D45" s="1" t="s">
        <v>80</v>
      </c>
      <c r="F45" s="1" t="s">
        <v>90</v>
      </c>
      <c r="H45" s="1" t="s">
        <v>780</v>
      </c>
    </row>
    <row r="47" spans="3:8" x14ac:dyDescent="0.25">
      <c r="C47" s="1" t="s">
        <v>22</v>
      </c>
      <c r="D47" s="1" t="s">
        <v>91</v>
      </c>
      <c r="E47" s="1" t="s">
        <v>735</v>
      </c>
    </row>
    <row r="48" spans="3:8" x14ac:dyDescent="0.25">
      <c r="D48" s="1" t="s">
        <v>92</v>
      </c>
      <c r="F48" s="1" t="s">
        <v>736</v>
      </c>
      <c r="H48" s="1" t="s">
        <v>781</v>
      </c>
    </row>
    <row r="49" spans="3:8" x14ac:dyDescent="0.25">
      <c r="D49" s="1" t="s">
        <v>55</v>
      </c>
      <c r="F49" s="1" t="s">
        <v>93</v>
      </c>
      <c r="H49" s="1" t="s">
        <v>782</v>
      </c>
    </row>
    <row r="51" spans="3:8" x14ac:dyDescent="0.25">
      <c r="C51" s="1" t="s">
        <v>24</v>
      </c>
      <c r="D51" s="1" t="s">
        <v>176</v>
      </c>
      <c r="E51" s="1" t="s">
        <v>737</v>
      </c>
    </row>
    <row r="52" spans="3:8" x14ac:dyDescent="0.25">
      <c r="D52" s="1" t="s">
        <v>155</v>
      </c>
      <c r="F52" s="1" t="s">
        <v>738</v>
      </c>
      <c r="H52" s="1" t="s">
        <v>783</v>
      </c>
    </row>
    <row r="53" spans="3:8" x14ac:dyDescent="0.25">
      <c r="D53" s="1" t="s">
        <v>177</v>
      </c>
      <c r="F53" s="1" t="s">
        <v>178</v>
      </c>
      <c r="H53" s="1" t="s">
        <v>784</v>
      </c>
    </row>
    <row r="56" spans="3:8" x14ac:dyDescent="0.25">
      <c r="C56" s="1" t="s">
        <v>179</v>
      </c>
      <c r="D56" s="1" t="s">
        <v>180</v>
      </c>
      <c r="E56" s="1" t="s">
        <v>739</v>
      </c>
    </row>
    <row r="57" spans="3:8" x14ac:dyDescent="0.25">
      <c r="D57" s="1" t="s">
        <v>58</v>
      </c>
      <c r="F57" s="1" t="s">
        <v>740</v>
      </c>
      <c r="H57" s="1" t="s">
        <v>785</v>
      </c>
    </row>
    <row r="58" spans="3:8" x14ac:dyDescent="0.25">
      <c r="D58" s="1" t="s">
        <v>181</v>
      </c>
      <c r="F58" s="1" t="s">
        <v>182</v>
      </c>
      <c r="H58" s="1" t="s">
        <v>786</v>
      </c>
    </row>
    <row r="61" spans="3:8" x14ac:dyDescent="0.25">
      <c r="C61" s="1" t="s">
        <v>27</v>
      </c>
      <c r="D61" s="1" t="s">
        <v>157</v>
      </c>
      <c r="E61" s="1" t="s">
        <v>741</v>
      </c>
    </row>
    <row r="62" spans="3:8" x14ac:dyDescent="0.25">
      <c r="D62" s="1" t="s">
        <v>60</v>
      </c>
      <c r="F62" s="1" t="s">
        <v>742</v>
      </c>
      <c r="H62" s="1" t="s">
        <v>787</v>
      </c>
    </row>
    <row r="63" spans="3:8" x14ac:dyDescent="0.25">
      <c r="D63" s="1" t="s">
        <v>158</v>
      </c>
      <c r="F63" s="1" t="s">
        <v>159</v>
      </c>
      <c r="H63" s="1" t="s">
        <v>788</v>
      </c>
    </row>
    <row r="66" spans="5:8" x14ac:dyDescent="0.25">
      <c r="E66" s="1" t="s">
        <v>77</v>
      </c>
      <c r="H66" s="1" t="s">
        <v>688</v>
      </c>
    </row>
    <row r="69" spans="5:8" x14ac:dyDescent="0.25">
      <c r="E69" s="1" t="s">
        <v>78</v>
      </c>
      <c r="H69" s="1" t="s">
        <v>689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5" x14ac:dyDescent="0.25"/>
  <sheetData>
    <row r="1" spans="1:5" x14ac:dyDescent="0.25">
      <c r="A1" s="1" t="s">
        <v>1765</v>
      </c>
      <c r="B1" s="1" t="s">
        <v>3</v>
      </c>
      <c r="C1" s="1" t="s">
        <v>4</v>
      </c>
      <c r="D1" s="1" t="s">
        <v>5</v>
      </c>
    </row>
    <row r="3" spans="1:5" x14ac:dyDescent="0.25">
      <c r="C3" s="1" t="s">
        <v>6</v>
      </c>
    </row>
    <row r="4" spans="1:5" x14ac:dyDescent="0.25">
      <c r="A4" s="1" t="s">
        <v>7</v>
      </c>
      <c r="B4" s="1" t="s">
        <v>8</v>
      </c>
      <c r="C4" s="1" t="s">
        <v>162</v>
      </c>
      <c r="E4" s="1" t="s">
        <v>12</v>
      </c>
    </row>
    <row r="5" spans="1:5" x14ac:dyDescent="0.25">
      <c r="A5" s="1" t="s">
        <v>7</v>
      </c>
      <c r="B5" s="1" t="s">
        <v>9</v>
      </c>
      <c r="C5" s="1" t="s">
        <v>1761</v>
      </c>
    </row>
    <row r="6" spans="1:5" x14ac:dyDescent="0.25">
      <c r="A6" s="1" t="s">
        <v>7</v>
      </c>
      <c r="B6" s="1" t="s">
        <v>705</v>
      </c>
      <c r="C6" s="1" t="s">
        <v>1758</v>
      </c>
      <c r="D6" s="1" t="s">
        <v>706</v>
      </c>
    </row>
    <row r="7" spans="1:5" x14ac:dyDescent="0.25">
      <c r="A7" s="1" t="s">
        <v>7</v>
      </c>
      <c r="B7" s="1" t="s">
        <v>96</v>
      </c>
      <c r="C7" s="1" t="s">
        <v>97</v>
      </c>
      <c r="D7" s="1" t="s">
        <v>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Before Running This Report</vt:lpstr>
      <vt:lpstr>Read Me</vt:lpstr>
      <vt:lpstr>Options</vt:lpstr>
      <vt:lpstr>Income Statement by month</vt:lpstr>
      <vt:lpstr>AccountType</vt:lpstr>
      <vt:lpstr>Datasource</vt:lpstr>
      <vt:lpstr>DateFilter</vt:lpstr>
      <vt:lpstr>EndDate</vt:lpstr>
      <vt:lpstr>PostingType</vt:lpstr>
      <vt:lpstr>StartDate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Income Statement</dc:title>
  <dc:subject>Jet Analytics</dc:subject>
  <dc:creator>Stephen J. Little</dc:creator>
  <dc:description>Monthly Income Statement provides information about income and expenses by month.</dc:description>
  <cp:lastModifiedBy>Kim R. Duey</cp:lastModifiedBy>
  <dcterms:created xsi:type="dcterms:W3CDTF">2012-02-23T18:32:15Z</dcterms:created>
  <dcterms:modified xsi:type="dcterms:W3CDTF">2018-10-03T20:46:35Z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