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arbon\jet\CORP\Product Management\Reports - Published\Master List of Reports\GP\Reports\"/>
    </mc:Choice>
  </mc:AlternateContent>
  <bookViews>
    <workbookView xWindow="0" yWindow="0" windowWidth="28800" windowHeight="12000"/>
  </bookViews>
  <sheets>
    <sheet name="Read Me" sheetId="64" r:id="rId1"/>
    <sheet name="Options" sheetId="2" state="hidden" r:id="rId2"/>
    <sheet name="Balance Sheet" sheetId="1" r:id="rId3"/>
    <sheet name="Sheet2" sheetId="65" state="veryHidden" r:id="rId4"/>
    <sheet name="Sheet3" sheetId="66" state="veryHidden" r:id="rId5"/>
    <sheet name="Sheet4" sheetId="67" state="veryHidden" r:id="rId6"/>
  </sheets>
  <definedNames>
    <definedName name="Category_Filter">Options!$D$5</definedName>
    <definedName name="CurrentYear">Options!$D$6</definedName>
  </definedNames>
  <calcPr calcId="162913"/>
</workbook>
</file>

<file path=xl/calcChain.xml><?xml version="1.0" encoding="utf-8"?>
<calcChain xmlns="http://schemas.openxmlformats.org/spreadsheetml/2006/main">
  <c r="D12" i="1" l="1"/>
  <c r="E13" i="1"/>
  <c r="F13" i="1"/>
  <c r="E14" i="1"/>
  <c r="F14" i="1"/>
  <c r="E15" i="1"/>
  <c r="F15" i="1"/>
  <c r="E16" i="1"/>
  <c r="F16" i="1"/>
  <c r="E17" i="1"/>
  <c r="F17" i="1"/>
  <c r="E18" i="1"/>
  <c r="F18" i="1"/>
  <c r="E19" i="1"/>
  <c r="F19" i="1"/>
  <c r="E20" i="1"/>
  <c r="F20" i="1"/>
  <c r="E21" i="1"/>
  <c r="F21" i="1"/>
  <c r="E22" i="1"/>
  <c r="F22" i="1"/>
  <c r="E23" i="1"/>
  <c r="F23" i="1"/>
  <c r="E24" i="1"/>
  <c r="F24" i="1"/>
  <c r="G26" i="1"/>
  <c r="H26" i="1"/>
  <c r="D27" i="1"/>
  <c r="E28" i="1"/>
  <c r="F28" i="1"/>
  <c r="G30" i="1"/>
  <c r="H30" i="1"/>
  <c r="D31" i="1"/>
  <c r="E32" i="1"/>
  <c r="F32" i="1"/>
  <c r="E33" i="1"/>
  <c r="F33" i="1"/>
  <c r="E34" i="1"/>
  <c r="F34" i="1"/>
  <c r="E35" i="1"/>
  <c r="F35" i="1"/>
  <c r="E36" i="1"/>
  <c r="F36" i="1"/>
  <c r="E37" i="1"/>
  <c r="F37" i="1"/>
  <c r="E38" i="1"/>
  <c r="F38" i="1"/>
  <c r="E39" i="1"/>
  <c r="F39" i="1"/>
  <c r="E40" i="1"/>
  <c r="F40" i="1"/>
  <c r="E41" i="1"/>
  <c r="F41" i="1"/>
  <c r="E42" i="1"/>
  <c r="F42" i="1"/>
  <c r="E43" i="1"/>
  <c r="F43" i="1"/>
  <c r="E44" i="1"/>
  <c r="F44" i="1"/>
  <c r="E45" i="1"/>
  <c r="F45" i="1"/>
  <c r="E46" i="1"/>
  <c r="F46" i="1"/>
  <c r="E47" i="1"/>
  <c r="F47" i="1"/>
  <c r="E48" i="1"/>
  <c r="F48" i="1"/>
  <c r="E49" i="1"/>
  <c r="F49" i="1"/>
  <c r="E50" i="1"/>
  <c r="F50" i="1"/>
  <c r="E51" i="1"/>
  <c r="F51" i="1"/>
  <c r="G53" i="1"/>
  <c r="H53" i="1"/>
  <c r="D54" i="1"/>
  <c r="E55" i="1"/>
  <c r="F55" i="1"/>
  <c r="G57" i="1"/>
  <c r="H57" i="1"/>
  <c r="D58" i="1"/>
  <c r="E59" i="1"/>
  <c r="F59" i="1"/>
  <c r="E60" i="1"/>
  <c r="F60" i="1"/>
  <c r="E61" i="1"/>
  <c r="F61" i="1"/>
  <c r="E62" i="1"/>
  <c r="F62" i="1"/>
  <c r="E63" i="1"/>
  <c r="F63" i="1"/>
  <c r="E64" i="1"/>
  <c r="F64" i="1"/>
  <c r="E65" i="1"/>
  <c r="F65" i="1"/>
  <c r="E66" i="1"/>
  <c r="F66" i="1"/>
  <c r="E67" i="1"/>
  <c r="F67" i="1"/>
  <c r="E68" i="1"/>
  <c r="F68" i="1"/>
  <c r="E69" i="1"/>
  <c r="F69" i="1"/>
  <c r="E70" i="1"/>
  <c r="F70" i="1"/>
  <c r="E71" i="1"/>
  <c r="F71" i="1"/>
  <c r="E72" i="1"/>
  <c r="F72" i="1"/>
  <c r="E73" i="1"/>
  <c r="F73" i="1"/>
  <c r="E74" i="1"/>
  <c r="F74" i="1"/>
  <c r="E75" i="1"/>
  <c r="F75" i="1"/>
  <c r="E76" i="1"/>
  <c r="F76" i="1"/>
  <c r="E77" i="1"/>
  <c r="F77" i="1"/>
  <c r="E78" i="1"/>
  <c r="F78" i="1"/>
  <c r="E79" i="1"/>
  <c r="F79" i="1"/>
  <c r="E80" i="1"/>
  <c r="F80" i="1"/>
  <c r="E81" i="1"/>
  <c r="F81" i="1"/>
  <c r="E82" i="1"/>
  <c r="F82" i="1"/>
  <c r="E83" i="1"/>
  <c r="F83" i="1"/>
  <c r="E84" i="1"/>
  <c r="F84" i="1"/>
  <c r="E85" i="1"/>
  <c r="F85" i="1"/>
  <c r="E86" i="1"/>
  <c r="F86" i="1"/>
  <c r="G88" i="1"/>
  <c r="H88" i="1"/>
  <c r="D89" i="1"/>
  <c r="E90" i="1"/>
  <c r="F90" i="1"/>
  <c r="E91" i="1"/>
  <c r="F91" i="1"/>
  <c r="E92" i="1"/>
  <c r="F92" i="1"/>
  <c r="E93" i="1"/>
  <c r="F93" i="1"/>
  <c r="E94" i="1"/>
  <c r="F94" i="1"/>
  <c r="E95" i="1"/>
  <c r="F95" i="1"/>
  <c r="E96" i="1"/>
  <c r="F96" i="1"/>
  <c r="E97" i="1"/>
  <c r="F97" i="1"/>
  <c r="E98" i="1"/>
  <c r="F98" i="1"/>
  <c r="E99" i="1"/>
  <c r="F99" i="1"/>
  <c r="E100" i="1"/>
  <c r="F100" i="1"/>
  <c r="E101" i="1"/>
  <c r="F101" i="1"/>
  <c r="E102" i="1"/>
  <c r="F102" i="1"/>
  <c r="E103" i="1"/>
  <c r="F103" i="1"/>
  <c r="E104" i="1"/>
  <c r="F104" i="1"/>
  <c r="E105" i="1"/>
  <c r="F105" i="1"/>
  <c r="E106" i="1"/>
  <c r="F106" i="1"/>
  <c r="E107" i="1"/>
  <c r="F107" i="1"/>
  <c r="G109" i="1"/>
  <c r="H109" i="1"/>
  <c r="D110" i="1"/>
  <c r="E111" i="1"/>
  <c r="F111" i="1"/>
  <c r="E112" i="1"/>
  <c r="F112" i="1"/>
  <c r="G114" i="1"/>
  <c r="H114" i="1"/>
  <c r="D115" i="1"/>
  <c r="E116" i="1"/>
  <c r="F116" i="1"/>
  <c r="E117" i="1"/>
  <c r="F117" i="1"/>
  <c r="E118" i="1"/>
  <c r="F118" i="1"/>
  <c r="E119" i="1"/>
  <c r="F119" i="1"/>
  <c r="E120" i="1"/>
  <c r="F120" i="1"/>
  <c r="E121" i="1"/>
  <c r="F121" i="1"/>
  <c r="E122" i="1"/>
  <c r="F122" i="1"/>
  <c r="G124" i="1"/>
  <c r="H124" i="1"/>
  <c r="D125" i="1"/>
  <c r="E126" i="1"/>
  <c r="F126" i="1"/>
  <c r="E127" i="1"/>
  <c r="F127" i="1"/>
  <c r="E128" i="1"/>
  <c r="F128" i="1"/>
  <c r="E129" i="1"/>
  <c r="F129" i="1"/>
  <c r="G131" i="1"/>
  <c r="H131" i="1"/>
  <c r="D132" i="1"/>
  <c r="E133" i="1"/>
  <c r="F133" i="1"/>
  <c r="E134" i="1"/>
  <c r="F134" i="1"/>
  <c r="G136" i="1"/>
  <c r="H136" i="1"/>
  <c r="D137" i="1"/>
  <c r="E138" i="1"/>
  <c r="F138" i="1"/>
  <c r="E139" i="1"/>
  <c r="F139" i="1"/>
  <c r="G141" i="1"/>
  <c r="H141" i="1"/>
  <c r="D142" i="1"/>
  <c r="E143" i="1"/>
  <c r="F143" i="1"/>
  <c r="E144" i="1"/>
  <c r="F144" i="1"/>
  <c r="E145" i="1"/>
  <c r="F145" i="1"/>
  <c r="E146" i="1"/>
  <c r="F146" i="1"/>
  <c r="E147" i="1"/>
  <c r="F147" i="1"/>
  <c r="E148" i="1"/>
  <c r="F148" i="1"/>
  <c r="E149" i="1"/>
  <c r="F149" i="1"/>
  <c r="E150" i="1"/>
  <c r="F150" i="1"/>
  <c r="E151" i="1"/>
  <c r="F151" i="1"/>
  <c r="E152" i="1"/>
  <c r="F152" i="1"/>
  <c r="E153" i="1"/>
  <c r="F153" i="1"/>
  <c r="E154" i="1"/>
  <c r="F154" i="1"/>
  <c r="E155" i="1"/>
  <c r="F155" i="1"/>
  <c r="E156" i="1"/>
  <c r="F156" i="1"/>
  <c r="E157" i="1"/>
  <c r="F157" i="1"/>
  <c r="E158" i="1"/>
  <c r="F158" i="1"/>
  <c r="E159" i="1"/>
  <c r="F159" i="1"/>
  <c r="E160" i="1"/>
  <c r="F160" i="1"/>
  <c r="E161" i="1"/>
  <c r="F161" i="1"/>
  <c r="E162" i="1"/>
  <c r="F162" i="1"/>
  <c r="E163" i="1"/>
  <c r="F163" i="1"/>
  <c r="E164" i="1"/>
  <c r="F164" i="1"/>
  <c r="E165" i="1"/>
  <c r="F165" i="1"/>
  <c r="E166" i="1"/>
  <c r="F166" i="1"/>
  <c r="E167" i="1"/>
  <c r="F167" i="1"/>
  <c r="E168" i="1"/>
  <c r="F168" i="1"/>
  <c r="E169" i="1"/>
  <c r="F169" i="1"/>
  <c r="E170" i="1"/>
  <c r="F170" i="1"/>
  <c r="E171" i="1"/>
  <c r="F171" i="1"/>
  <c r="E172" i="1"/>
  <c r="F172" i="1"/>
  <c r="E173" i="1"/>
  <c r="F173" i="1"/>
  <c r="E174" i="1"/>
  <c r="F174" i="1"/>
  <c r="E175" i="1"/>
  <c r="F175" i="1"/>
  <c r="E176" i="1"/>
  <c r="F176" i="1"/>
  <c r="E177" i="1"/>
  <c r="F177" i="1"/>
  <c r="G179" i="1"/>
  <c r="H179" i="1"/>
  <c r="D180" i="1"/>
  <c r="E181" i="1"/>
  <c r="F181" i="1"/>
  <c r="E182" i="1"/>
  <c r="F182" i="1"/>
  <c r="E183" i="1"/>
  <c r="F183" i="1"/>
  <c r="G185" i="1"/>
  <c r="H185" i="1"/>
  <c r="D186" i="1"/>
  <c r="E187" i="1"/>
  <c r="F187" i="1"/>
  <c r="E188" i="1"/>
  <c r="F188" i="1"/>
  <c r="E189" i="1"/>
  <c r="F189" i="1"/>
  <c r="E190" i="1"/>
  <c r="F190" i="1"/>
  <c r="E191" i="1"/>
  <c r="F191" i="1"/>
  <c r="E192" i="1"/>
  <c r="F192" i="1"/>
  <c r="E193" i="1"/>
  <c r="F193" i="1"/>
  <c r="E194" i="1"/>
  <c r="F194" i="1"/>
  <c r="E195" i="1"/>
  <c r="F195" i="1"/>
  <c r="E196" i="1"/>
  <c r="F196" i="1"/>
  <c r="E197" i="1"/>
  <c r="F197" i="1"/>
  <c r="E198" i="1"/>
  <c r="F198" i="1"/>
  <c r="E199" i="1"/>
  <c r="F199" i="1"/>
  <c r="E200" i="1"/>
  <c r="F200" i="1"/>
  <c r="E201" i="1"/>
  <c r="F201" i="1"/>
  <c r="E202" i="1"/>
  <c r="F202" i="1"/>
  <c r="E203" i="1"/>
  <c r="F203" i="1"/>
  <c r="E204" i="1"/>
  <c r="F204" i="1"/>
  <c r="E205" i="1"/>
  <c r="F205" i="1"/>
  <c r="E206" i="1"/>
  <c r="F206" i="1"/>
  <c r="E207" i="1"/>
  <c r="F207" i="1"/>
  <c r="E208" i="1"/>
  <c r="F208" i="1"/>
  <c r="E209" i="1"/>
  <c r="F209" i="1"/>
  <c r="E210" i="1"/>
  <c r="F210" i="1"/>
  <c r="E211" i="1"/>
  <c r="F211" i="1"/>
  <c r="E212" i="1"/>
  <c r="F212" i="1"/>
  <c r="E213" i="1"/>
  <c r="F213" i="1"/>
  <c r="E214" i="1"/>
  <c r="F214" i="1"/>
  <c r="E215" i="1"/>
  <c r="F215" i="1"/>
  <c r="E216" i="1"/>
  <c r="F216" i="1"/>
  <c r="E217" i="1"/>
  <c r="F217" i="1"/>
  <c r="E218" i="1"/>
  <c r="F218" i="1"/>
  <c r="E219" i="1"/>
  <c r="F219" i="1"/>
  <c r="E220" i="1"/>
  <c r="F220" i="1"/>
  <c r="E221" i="1"/>
  <c r="F221" i="1"/>
  <c r="E222" i="1"/>
  <c r="F222" i="1"/>
  <c r="E223" i="1"/>
  <c r="F223" i="1"/>
  <c r="E224" i="1"/>
  <c r="F224" i="1"/>
  <c r="E225" i="1"/>
  <c r="F225" i="1"/>
  <c r="E226" i="1"/>
  <c r="F226" i="1"/>
  <c r="E227" i="1"/>
  <c r="F227" i="1"/>
  <c r="E228" i="1"/>
  <c r="F228" i="1"/>
  <c r="E229" i="1"/>
  <c r="F229" i="1"/>
  <c r="G231" i="1"/>
  <c r="H231" i="1"/>
  <c r="D232" i="1"/>
  <c r="E233" i="1"/>
  <c r="F233" i="1"/>
  <c r="G235" i="1"/>
  <c r="H235" i="1"/>
  <c r="D236" i="1"/>
  <c r="E237" i="1"/>
  <c r="F237" i="1"/>
  <c r="G239" i="1"/>
  <c r="H239" i="1"/>
  <c r="D240" i="1"/>
  <c r="E241" i="1"/>
  <c r="F241" i="1"/>
  <c r="E242" i="1"/>
  <c r="F242" i="1"/>
  <c r="E243" i="1"/>
  <c r="F243" i="1"/>
  <c r="E244" i="1"/>
  <c r="F244" i="1"/>
  <c r="E245" i="1"/>
  <c r="F245" i="1"/>
  <c r="G247" i="1"/>
  <c r="H247" i="1"/>
  <c r="D248" i="1"/>
  <c r="E249" i="1"/>
  <c r="F249" i="1"/>
  <c r="E250" i="1"/>
  <c r="F250" i="1"/>
  <c r="E251" i="1"/>
  <c r="F251" i="1"/>
  <c r="E252" i="1"/>
  <c r="F252" i="1"/>
  <c r="J249" i="1"/>
  <c r="J250" i="1" s="1"/>
  <c r="J251" i="1" s="1"/>
  <c r="J252" i="1" s="1"/>
  <c r="J241" i="1"/>
  <c r="J242" i="1" s="1"/>
  <c r="J243" i="1" s="1"/>
  <c r="J244" i="1" s="1"/>
  <c r="J245" i="1" s="1"/>
  <c r="J237" i="1"/>
  <c r="J233" i="1"/>
  <c r="J187" i="1"/>
  <c r="J188" i="1" s="1"/>
  <c r="J189" i="1" s="1"/>
  <c r="J190" i="1" s="1"/>
  <c r="J191" i="1" s="1"/>
  <c r="J192" i="1" s="1"/>
  <c r="J193" i="1" s="1"/>
  <c r="J194" i="1" s="1"/>
  <c r="J195" i="1" s="1"/>
  <c r="J196" i="1" s="1"/>
  <c r="J197" i="1" s="1"/>
  <c r="J198" i="1" s="1"/>
  <c r="J199" i="1" s="1"/>
  <c r="J200" i="1" s="1"/>
  <c r="J201" i="1" s="1"/>
  <c r="J202" i="1" s="1"/>
  <c r="J203" i="1" s="1"/>
  <c r="J204" i="1" s="1"/>
  <c r="J205" i="1" s="1"/>
  <c r="J206" i="1" s="1"/>
  <c r="J207" i="1" s="1"/>
  <c r="J208" i="1" s="1"/>
  <c r="J209" i="1" s="1"/>
  <c r="J210" i="1" s="1"/>
  <c r="J211" i="1" s="1"/>
  <c r="J212" i="1" s="1"/>
  <c r="J213" i="1" s="1"/>
  <c r="J214" i="1" s="1"/>
  <c r="J215" i="1" s="1"/>
  <c r="J216" i="1" s="1"/>
  <c r="J217" i="1" s="1"/>
  <c r="J218" i="1" s="1"/>
  <c r="J219" i="1" s="1"/>
  <c r="J220" i="1" s="1"/>
  <c r="J221" i="1" s="1"/>
  <c r="J222" i="1" s="1"/>
  <c r="J223" i="1" s="1"/>
  <c r="J224" i="1" s="1"/>
  <c r="J225" i="1" s="1"/>
  <c r="J226" i="1" s="1"/>
  <c r="J227" i="1" s="1"/>
  <c r="J228" i="1" s="1"/>
  <c r="J229" i="1" s="1"/>
  <c r="J181" i="1"/>
  <c r="J182" i="1" s="1"/>
  <c r="J183" i="1" s="1"/>
  <c r="J143" i="1"/>
  <c r="J144" i="1" s="1"/>
  <c r="J145" i="1" s="1"/>
  <c r="J146" i="1" s="1"/>
  <c r="J147" i="1" s="1"/>
  <c r="J148" i="1" s="1"/>
  <c r="J149" i="1" s="1"/>
  <c r="J150" i="1" s="1"/>
  <c r="J151" i="1" s="1"/>
  <c r="J152" i="1" s="1"/>
  <c r="J153" i="1" s="1"/>
  <c r="J154" i="1" s="1"/>
  <c r="J155" i="1" s="1"/>
  <c r="J156" i="1" s="1"/>
  <c r="J157" i="1" s="1"/>
  <c r="J158" i="1" s="1"/>
  <c r="J159" i="1" s="1"/>
  <c r="J160" i="1" s="1"/>
  <c r="J161" i="1" s="1"/>
  <c r="J162" i="1" s="1"/>
  <c r="J163" i="1" s="1"/>
  <c r="J164" i="1" s="1"/>
  <c r="J165" i="1" s="1"/>
  <c r="J166" i="1" s="1"/>
  <c r="J167" i="1" s="1"/>
  <c r="J168" i="1" s="1"/>
  <c r="J169" i="1" s="1"/>
  <c r="J170" i="1" s="1"/>
  <c r="J171" i="1" s="1"/>
  <c r="J172" i="1" s="1"/>
  <c r="J173" i="1" s="1"/>
  <c r="J174" i="1" s="1"/>
  <c r="J175" i="1" s="1"/>
  <c r="J176" i="1" s="1"/>
  <c r="J177" i="1" s="1"/>
  <c r="J138" i="1"/>
  <c r="J139" i="1" s="1"/>
  <c r="J133" i="1"/>
  <c r="J134" i="1" s="1"/>
  <c r="J126" i="1"/>
  <c r="J127" i="1" s="1"/>
  <c r="J128" i="1" s="1"/>
  <c r="J129" i="1" s="1"/>
  <c r="J116" i="1"/>
  <c r="J117" i="1" s="1"/>
  <c r="J118" i="1" s="1"/>
  <c r="J119" i="1" s="1"/>
  <c r="J120" i="1" s="1"/>
  <c r="J121" i="1" s="1"/>
  <c r="J122" i="1" s="1"/>
  <c r="J111" i="1"/>
  <c r="J112" i="1" s="1"/>
  <c r="J90" i="1"/>
  <c r="J91" i="1" s="1"/>
  <c r="J92" i="1" s="1"/>
  <c r="J93" i="1" s="1"/>
  <c r="J94" i="1" s="1"/>
  <c r="J95" i="1" s="1"/>
  <c r="J96" i="1" s="1"/>
  <c r="J97" i="1" s="1"/>
  <c r="J98" i="1" s="1"/>
  <c r="J99" i="1" s="1"/>
  <c r="J100" i="1" s="1"/>
  <c r="J101" i="1" s="1"/>
  <c r="J102" i="1" s="1"/>
  <c r="J103" i="1" s="1"/>
  <c r="J104" i="1" s="1"/>
  <c r="J105" i="1" s="1"/>
  <c r="J106" i="1" s="1"/>
  <c r="J107" i="1" s="1"/>
  <c r="J59" i="1"/>
  <c r="J60" i="1" s="1"/>
  <c r="J61" i="1" s="1"/>
  <c r="J62" i="1" s="1"/>
  <c r="J63" i="1" s="1"/>
  <c r="J64" i="1" s="1"/>
  <c r="J65" i="1" s="1"/>
  <c r="J66" i="1" s="1"/>
  <c r="J67" i="1" s="1"/>
  <c r="J68" i="1" s="1"/>
  <c r="J69" i="1" s="1"/>
  <c r="J70" i="1" s="1"/>
  <c r="J71" i="1" s="1"/>
  <c r="J72" i="1" s="1"/>
  <c r="J73" i="1" s="1"/>
  <c r="J74" i="1" s="1"/>
  <c r="J75" i="1" s="1"/>
  <c r="J76" i="1" s="1"/>
  <c r="J77" i="1" s="1"/>
  <c r="J78" i="1" s="1"/>
  <c r="J79" i="1" s="1"/>
  <c r="J80" i="1" s="1"/>
  <c r="J81" i="1" s="1"/>
  <c r="J82" i="1" s="1"/>
  <c r="J83" i="1" s="1"/>
  <c r="J84" i="1" s="1"/>
  <c r="J85" i="1" s="1"/>
  <c r="J86" i="1" s="1"/>
  <c r="J55" i="1"/>
  <c r="J32" i="1"/>
  <c r="J33" i="1" s="1"/>
  <c r="J34" i="1" s="1"/>
  <c r="J35" i="1" s="1"/>
  <c r="J36" i="1" s="1"/>
  <c r="J37" i="1" s="1"/>
  <c r="J38" i="1" s="1"/>
  <c r="J39" i="1" s="1"/>
  <c r="J40" i="1" s="1"/>
  <c r="J41" i="1" s="1"/>
  <c r="J42" i="1" s="1"/>
  <c r="J43" i="1" s="1"/>
  <c r="J44" i="1" s="1"/>
  <c r="J45" i="1" s="1"/>
  <c r="J46" i="1" s="1"/>
  <c r="J47" i="1" s="1"/>
  <c r="J48" i="1" s="1"/>
  <c r="J49" i="1" s="1"/>
  <c r="J50" i="1" s="1"/>
  <c r="J51" i="1" s="1"/>
  <c r="J28" i="1"/>
  <c r="J13" i="1"/>
  <c r="J14" i="1" s="1"/>
  <c r="J15" i="1" s="1"/>
  <c r="J16" i="1" s="1"/>
  <c r="J17" i="1" s="1"/>
  <c r="J18" i="1" s="1"/>
  <c r="J19" i="1" s="1"/>
  <c r="J20" i="1" s="1"/>
  <c r="J21" i="1" s="1"/>
  <c r="J22" i="1" s="1"/>
  <c r="J23" i="1" s="1"/>
  <c r="J24" i="1" s="1"/>
  <c r="H9" i="1"/>
  <c r="D6" i="2"/>
  <c r="E8" i="1" s="1"/>
  <c r="H11" i="1" s="1"/>
  <c r="D5" i="2"/>
  <c r="E7" i="1" s="1"/>
  <c r="G11" i="1" l="1"/>
  <c r="G254" i="1" l="1"/>
  <c r="H254" i="1"/>
</calcChain>
</file>

<file path=xl/sharedStrings.xml><?xml version="1.0" encoding="utf-8"?>
<sst xmlns="http://schemas.openxmlformats.org/spreadsheetml/2006/main" count="1633" uniqueCount="1074">
  <si>
    <t>Sales</t>
  </si>
  <si>
    <t>Title</t>
  </si>
  <si>
    <t>Category Filter:</t>
  </si>
  <si>
    <t>Value</t>
  </si>
  <si>
    <t>Option</t>
  </si>
  <si>
    <t>Balance Sheet - Year Comparison</t>
  </si>
  <si>
    <t>Categories:</t>
  </si>
  <si>
    <t>Hide</t>
  </si>
  <si>
    <t>Category</t>
  </si>
  <si>
    <t>Run Date:</t>
  </si>
  <si>
    <t>Fit</t>
  </si>
  <si>
    <t>Current Year:</t>
  </si>
  <si>
    <t>Current Year</t>
  </si>
  <si>
    <t xml:space="preserve">Report Readme </t>
  </si>
  <si>
    <t>About the report</t>
  </si>
  <si>
    <t>Modifying your report</t>
  </si>
  <si>
    <t>Version of Jet</t>
  </si>
  <si>
    <t>Services</t>
  </si>
  <si>
    <t>Training</t>
  </si>
  <si>
    <t>DISCLAIMER</t>
  </si>
  <si>
    <t>Copyrights</t>
  </si>
  <si>
    <t>Report Options</t>
  </si>
  <si>
    <t>hide</t>
  </si>
  <si>
    <t>Min width -------</t>
  </si>
  <si>
    <t>Auto+Hide+Hidesheet+Values</t>
  </si>
  <si>
    <t>=Category_Filter</t>
  </si>
  <si>
    <t>=CurrentYear</t>
  </si>
  <si>
    <t>=TODAY()</t>
  </si>
  <si>
    <t>=H11-1</t>
  </si>
  <si>
    <t>=E8</t>
  </si>
  <si>
    <t>=GL("Rows=4","Categories","&lt;&gt;''",,,$E$7)</t>
  </si>
  <si>
    <t>=GL(,"CatName",,,,$B12)</t>
  </si>
  <si>
    <t>=GL("Rows","Accounts",,,,$B12)</t>
  </si>
  <si>
    <t>=GL(,"Name",$E13)</t>
  </si>
  <si>
    <t>=GL(,"Balance",$E13,,$G$11)</t>
  </si>
  <si>
    <t>=GL(,"Balance",$E13,,$H$11)</t>
  </si>
  <si>
    <t>=J12+1</t>
  </si>
  <si>
    <t>=SUBTOTAL(9,G13:G14)</t>
  </si>
  <si>
    <t>=SUBTOTAL(9,H13:H14)</t>
  </si>
  <si>
    <t>Auto</t>
  </si>
  <si>
    <t>Hide+Auto</t>
  </si>
  <si>
    <t>="000-1101-00"</t>
  </si>
  <si>
    <t>=J13+1</t>
  </si>
  <si>
    <t>="000-1102-00"</t>
  </si>
  <si>
    <t>=J14+1</t>
  </si>
  <si>
    <t>="000-1103-00"</t>
  </si>
  <si>
    <t>=J15+1</t>
  </si>
  <si>
    <t>="000-1104-00"</t>
  </si>
  <si>
    <t>=J16+1</t>
  </si>
  <si>
    <t>="000-1105-00"</t>
  </si>
  <si>
    <t>=J17+1</t>
  </si>
  <si>
    <t>="000-1106-00"</t>
  </si>
  <si>
    <t>=J18+1</t>
  </si>
  <si>
    <t>="000-1107-00"</t>
  </si>
  <si>
    <t>=J19+1</t>
  </si>
  <si>
    <t>="000-1110-00"</t>
  </si>
  <si>
    <t>=J20+1</t>
  </si>
  <si>
    <t>="000-1120-00"</t>
  </si>
  <si>
    <t>=J21+1</t>
  </si>
  <si>
    <t>="000-1130-00"</t>
  </si>
  <si>
    <t>=J22+1</t>
  </si>
  <si>
    <t>="000-1190-00"</t>
  </si>
  <si>
    <t>=J23+1</t>
  </si>
  <si>
    <t>=SUBTOTAL(9,G13:G25)</t>
  </si>
  <si>
    <t>=SUBTOTAL(9,H13:H25)</t>
  </si>
  <si>
    <t>2</t>
  </si>
  <si>
    <t>=GL(,"CatName",,,,$B27)</t>
  </si>
  <si>
    <t>=GL("Rows","Accounts",,,,$B27)</t>
  </si>
  <si>
    <t>=GL(,"Name",$E28)</t>
  </si>
  <si>
    <t>=GL(,"Balance",$E28,,$G$11)</t>
  </si>
  <si>
    <t>=GL(,"Balance",$E28,,$H$11)</t>
  </si>
  <si>
    <t>=J27+1</t>
  </si>
  <si>
    <t>=SUBTOTAL(9,G28:G29)</t>
  </si>
  <si>
    <t>=SUBTOTAL(9,H28:H29)</t>
  </si>
  <si>
    <t>3</t>
  </si>
  <si>
    <t>=GL(,"CatName",,,,$B31)</t>
  </si>
  <si>
    <t>=GL("Rows","Accounts",,,,$B31)</t>
  </si>
  <si>
    <t>=J31+1</t>
  </si>
  <si>
    <t>="000-1205-00"</t>
  </si>
  <si>
    <t>=J32+1</t>
  </si>
  <si>
    <t>="000-1210-00"</t>
  </si>
  <si>
    <t>=J33+1</t>
  </si>
  <si>
    <t>="000-1220-00"</t>
  </si>
  <si>
    <t>=J34+1</t>
  </si>
  <si>
    <t>="000-1220-01"</t>
  </si>
  <si>
    <t>=J35+1</t>
  </si>
  <si>
    <t>="000-1220-02"</t>
  </si>
  <si>
    <t>=J36+1</t>
  </si>
  <si>
    <t>="000-1220-03"</t>
  </si>
  <si>
    <t>=J37+1</t>
  </si>
  <si>
    <t>="000-1220-04"</t>
  </si>
  <si>
    <t>=J38+1</t>
  </si>
  <si>
    <t>="000-1230-00"</t>
  </si>
  <si>
    <t>=J39+1</t>
  </si>
  <si>
    <t>="000-1250-00"</t>
  </si>
  <si>
    <t>=J40+1</t>
  </si>
  <si>
    <t>="000-1260-00"</t>
  </si>
  <si>
    <t>=J41+1</t>
  </si>
  <si>
    <t>="000-1270-00"</t>
  </si>
  <si>
    <t>=J42+1</t>
  </si>
  <si>
    <t>="000-1271-00"</t>
  </si>
  <si>
    <t>=J43+1</t>
  </si>
  <si>
    <t>="000-1272-00"</t>
  </si>
  <si>
    <t>=J44+1</t>
  </si>
  <si>
    <t>="000-1273-00"</t>
  </si>
  <si>
    <t>=J45+1</t>
  </si>
  <si>
    <t>="000-1274-00"</t>
  </si>
  <si>
    <t>=J46+1</t>
  </si>
  <si>
    <t>="000-1275-00"</t>
  </si>
  <si>
    <t>=J47+1</t>
  </si>
  <si>
    <t>="000-1276-00"</t>
  </si>
  <si>
    <t>=J48+1</t>
  </si>
  <si>
    <t>="000-1277-00"</t>
  </si>
  <si>
    <t>=J49+1</t>
  </si>
  <si>
    <t>="000-1280-00"</t>
  </si>
  <si>
    <t>=J50+1</t>
  </si>
  <si>
    <t>=SUBTOTAL(9,G32:G52)</t>
  </si>
  <si>
    <t>=SUBTOTAL(9,H32:H52)</t>
  </si>
  <si>
    <t>4</t>
  </si>
  <si>
    <t>=GL(,"CatName",,,,$B54)</t>
  </si>
  <si>
    <t>=GL("Rows","Accounts",,,,$B54)</t>
  </si>
  <si>
    <t>=GL(,"Name",$E55)</t>
  </si>
  <si>
    <t>=GL(,"Balance",$E55,,$G$11)</t>
  </si>
  <si>
    <t>=GL(,"Balance",$E55,,$H$11)</t>
  </si>
  <si>
    <t>=J54+1</t>
  </si>
  <si>
    <t>=SUBTOTAL(9,G55:G56)</t>
  </si>
  <si>
    <t>=SUBTOTAL(9,H55:H56)</t>
  </si>
  <si>
    <t>5</t>
  </si>
  <si>
    <t>=GL(,"CatName",,,,$B58)</t>
  </si>
  <si>
    <t>=GL("Rows","Accounts",,,,$B58)</t>
  </si>
  <si>
    <t>=J58+1</t>
  </si>
  <si>
    <t>="000-1300-02"</t>
  </si>
  <si>
    <t>=J59+1</t>
  </si>
  <si>
    <t>="000-1310-01"</t>
  </si>
  <si>
    <t>=J60+1</t>
  </si>
  <si>
    <t>="000-1312-00"</t>
  </si>
  <si>
    <t>=J61+1</t>
  </si>
  <si>
    <t>="000-1320-01"</t>
  </si>
  <si>
    <t>=J62+1</t>
  </si>
  <si>
    <t>="000-1330-01"</t>
  </si>
  <si>
    <t>=J63+1</t>
  </si>
  <si>
    <t>="000-1330-02"</t>
  </si>
  <si>
    <t>=J64+1</t>
  </si>
  <si>
    <t>="000-1330-03"</t>
  </si>
  <si>
    <t>=J65+1</t>
  </si>
  <si>
    <t>="000-1350-02"</t>
  </si>
  <si>
    <t>=J66+1</t>
  </si>
  <si>
    <t>="000-1350-03"</t>
  </si>
  <si>
    <t>=J67+1</t>
  </si>
  <si>
    <t>="000-1350-04"</t>
  </si>
  <si>
    <t>=J68+1</t>
  </si>
  <si>
    <t>="000-1350-05"</t>
  </si>
  <si>
    <t>=J69+1</t>
  </si>
  <si>
    <t>="000-1350-06"</t>
  </si>
  <si>
    <t>=J70+1</t>
  </si>
  <si>
    <t>="000-1350-07"</t>
  </si>
  <si>
    <t>=J71+1</t>
  </si>
  <si>
    <t>="000-1350-08"</t>
  </si>
  <si>
    <t>=J72+1</t>
  </si>
  <si>
    <t>="000-1350-09"</t>
  </si>
  <si>
    <t>=J73+1</t>
  </si>
  <si>
    <t>="000-1390-00"</t>
  </si>
  <si>
    <t>=J74+1</t>
  </si>
  <si>
    <t>="000-2735-00"</t>
  </si>
  <si>
    <t>=J75+1</t>
  </si>
  <si>
    <t>="000-4750-01"</t>
  </si>
  <si>
    <t>=J76+1</t>
  </si>
  <si>
    <t>="000-4750-02"</t>
  </si>
  <si>
    <t>=J77+1</t>
  </si>
  <si>
    <t>="000-4750-03"</t>
  </si>
  <si>
    <t>=J78+1</t>
  </si>
  <si>
    <t>="000-4750-04"</t>
  </si>
  <si>
    <t>=J79+1</t>
  </si>
  <si>
    <t>="000-4750-05"</t>
  </si>
  <si>
    <t>=J80+1</t>
  </si>
  <si>
    <t>="000-4750-06"</t>
  </si>
  <si>
    <t>=J81+1</t>
  </si>
  <si>
    <t>="000-4750-07"</t>
  </si>
  <si>
    <t>=J82+1</t>
  </si>
  <si>
    <t>="000-4750-08"</t>
  </si>
  <si>
    <t>=J83+1</t>
  </si>
  <si>
    <t>="000-4750-09"</t>
  </si>
  <si>
    <t>=J84+1</t>
  </si>
  <si>
    <t>="000-7410-00"</t>
  </si>
  <si>
    <t>=J85+1</t>
  </si>
  <si>
    <t>=SUBTOTAL(9,G59:G87)</t>
  </si>
  <si>
    <t>=SUBTOTAL(9,H59:H87)</t>
  </si>
  <si>
    <t>6</t>
  </si>
  <si>
    <t>=GL(,"CatName",,,,$B89)</t>
  </si>
  <si>
    <t>=GL("Rows","Accounts",,,,$B89)</t>
  </si>
  <si>
    <t>=J89+1</t>
  </si>
  <si>
    <t>="000-1360-01"</t>
  </si>
  <si>
    <t>=J90+1</t>
  </si>
  <si>
    <t>="000-1360-02"</t>
  </si>
  <si>
    <t>=J91+1</t>
  </si>
  <si>
    <t>="000-1360-03"</t>
  </si>
  <si>
    <t>=J92+1</t>
  </si>
  <si>
    <t>="000-1360-04"</t>
  </si>
  <si>
    <t>=J93+1</t>
  </si>
  <si>
    <t>="000-1360-05"</t>
  </si>
  <si>
    <t>=J94+1</t>
  </si>
  <si>
    <t>="000-1360-06"</t>
  </si>
  <si>
    <t>=J95+1</t>
  </si>
  <si>
    <t>="000-1360-07"</t>
  </si>
  <si>
    <t>=J96+1</t>
  </si>
  <si>
    <t>="000-1360-08"</t>
  </si>
  <si>
    <t>=J97+1</t>
  </si>
  <si>
    <t>="000-1360-09"</t>
  </si>
  <si>
    <t>=J98+1</t>
  </si>
  <si>
    <t>="000-1370-01"</t>
  </si>
  <si>
    <t>=J99+1</t>
  </si>
  <si>
    <t>="000-1370-02"</t>
  </si>
  <si>
    <t>=J100+1</t>
  </si>
  <si>
    <t>="000-1380-04"</t>
  </si>
  <si>
    <t>=J101+1</t>
  </si>
  <si>
    <t>="000-1380-05"</t>
  </si>
  <si>
    <t>=J102+1</t>
  </si>
  <si>
    <t>="000-1380-06"</t>
  </si>
  <si>
    <t>=J103+1</t>
  </si>
  <si>
    <t>="000-1380-07"</t>
  </si>
  <si>
    <t>=J104+1</t>
  </si>
  <si>
    <t>="000-1380-08"</t>
  </si>
  <si>
    <t>=J105+1</t>
  </si>
  <si>
    <t>="000-1380-09"</t>
  </si>
  <si>
    <t>=J106+1</t>
  </si>
  <si>
    <t>=SUBTOTAL(9,G90:G108)</t>
  </si>
  <si>
    <t>=SUBTOTAL(9,H90:H108)</t>
  </si>
  <si>
    <t>7</t>
  </si>
  <si>
    <t>=GL(,"CatName",,,,$B110)</t>
  </si>
  <si>
    <t>=GL("Rows","Accounts",,,,$B110)</t>
  </si>
  <si>
    <t>=GL(,"Name",$E111)</t>
  </si>
  <si>
    <t>=GL(,"Balance",$E111,,$G$11)</t>
  </si>
  <si>
    <t>=GL(,"Balance",$E111,,$H$11)</t>
  </si>
  <si>
    <t>=J110+1</t>
  </si>
  <si>
    <t>="000-1410-00"</t>
  </si>
  <si>
    <t>=GL(,"Name",$E112)</t>
  </si>
  <si>
    <t>=GL(,"Balance",$E112,,$G$11)</t>
  </si>
  <si>
    <t>=GL(,"Balance",$E112,,$H$11)</t>
  </si>
  <si>
    <t>=J111+1</t>
  </si>
  <si>
    <t>=SUBTOTAL(9,G111:G113)</t>
  </si>
  <si>
    <t>=SUBTOTAL(9,H111:H113)</t>
  </si>
  <si>
    <t>9</t>
  </si>
  <si>
    <t>=GL(,"CatName",,,,$B115)</t>
  </si>
  <si>
    <t>=GL("Rows","Accounts",,,,$B115)</t>
  </si>
  <si>
    <t>=J115+1</t>
  </si>
  <si>
    <t>="000-1510-00"</t>
  </si>
  <si>
    <t>=J116+1</t>
  </si>
  <si>
    <t>="000-1520-00"</t>
  </si>
  <si>
    <t>=J117+1</t>
  </si>
  <si>
    <t>="000-1530-00"</t>
  </si>
  <si>
    <t>=J118+1</t>
  </si>
  <si>
    <t>="000-1590-00"</t>
  </si>
  <si>
    <t>=J119+1</t>
  </si>
  <si>
    <t>="000-1700-00"</t>
  </si>
  <si>
    <t>=J120+1</t>
  </si>
  <si>
    <t>="000-1710-00"</t>
  </si>
  <si>
    <t>=J121+1</t>
  </si>
  <si>
    <t>=SUBTOTAL(9,G116:G123)</t>
  </si>
  <si>
    <t>=SUBTOTAL(9,H116:H123)</t>
  </si>
  <si>
    <t>10</t>
  </si>
  <si>
    <t>=GL(,"CatName",,,,$B125)</t>
  </si>
  <si>
    <t>=GL("Rows","Accounts",,,,$B125)</t>
  </si>
  <si>
    <t>=GL(,"Name",$E126)</t>
  </si>
  <si>
    <t>=GL(,"Balance",$E126,,$G$11)</t>
  </si>
  <si>
    <t>=GL(,"Balance",$E126,,$H$11)</t>
  </si>
  <si>
    <t>=J125+1</t>
  </si>
  <si>
    <t>="000-1515-00"</t>
  </si>
  <si>
    <t>=GL(,"Name",$E127)</t>
  </si>
  <si>
    <t>=GL(,"Balance",$E127,,$G$11)</t>
  </si>
  <si>
    <t>=GL(,"Balance",$E127,,$H$11)</t>
  </si>
  <si>
    <t>=J126+1</t>
  </si>
  <si>
    <t>="000-1525-00"</t>
  </si>
  <si>
    <t>=GL(,"Name",$E128)</t>
  </si>
  <si>
    <t>=GL(,"Balance",$E128,,$G$11)</t>
  </si>
  <si>
    <t>=GL(,"Balance",$E128,,$H$11)</t>
  </si>
  <si>
    <t>=J127+1</t>
  </si>
  <si>
    <t>="000-1535-00"</t>
  </si>
  <si>
    <t>=GL(,"Name",$E129)</t>
  </si>
  <si>
    <t>=GL(,"Balance",$E129,,$G$11)</t>
  </si>
  <si>
    <t>=GL(,"Balance",$E129,,$H$11)</t>
  </si>
  <si>
    <t>=J128+1</t>
  </si>
  <si>
    <t>=SUBTOTAL(9,G126:G130)</t>
  </si>
  <si>
    <t>=SUBTOTAL(9,H126:H130)</t>
  </si>
  <si>
    <t>11</t>
  </si>
  <si>
    <t>=GL(,"CatName",,,,$B132)</t>
  </si>
  <si>
    <t>=GL("Rows","Accounts",,,,$B132)</t>
  </si>
  <si>
    <t>=GL(,"Name",$E133)</t>
  </si>
  <si>
    <t>=GL(,"Balance",$E133,,$G$11)</t>
  </si>
  <si>
    <t>=GL(,"Balance",$E133,,$H$11)</t>
  </si>
  <si>
    <t>=J132+1</t>
  </si>
  <si>
    <t>="000-1610-00"</t>
  </si>
  <si>
    <t>=GL(,"Name",$E134)</t>
  </si>
  <si>
    <t>=GL(,"Balance",$E134,,$G$11)</t>
  </si>
  <si>
    <t>=GL(,"Balance",$E134,,$H$11)</t>
  </si>
  <si>
    <t>=J133+1</t>
  </si>
  <si>
    <t>=SUBTOTAL(9,G133:G135)</t>
  </si>
  <si>
    <t>=SUBTOTAL(9,H133:H135)</t>
  </si>
  <si>
    <t>12</t>
  </si>
  <si>
    <t>=GL(,"CatName",,,,$B137)</t>
  </si>
  <si>
    <t>=GL("Rows","Accounts",,,,$B137)</t>
  </si>
  <si>
    <t>=GL(,"Name",$E138)</t>
  </si>
  <si>
    <t>=GL(,"Balance",$E138,,$G$11)</t>
  </si>
  <si>
    <t>=GL(,"Balance",$E138,,$H$11)</t>
  </si>
  <si>
    <t>=J137+1</t>
  </si>
  <si>
    <t>="000-8510-00"</t>
  </si>
  <si>
    <t>=GL(,"Name",$E139)</t>
  </si>
  <si>
    <t>=GL(,"Balance",$E139,,$G$11)</t>
  </si>
  <si>
    <t>=GL(,"Balance",$E139,,$H$11)</t>
  </si>
  <si>
    <t>=J138+1</t>
  </si>
  <si>
    <t>=SUBTOTAL(9,G138:G140)</t>
  </si>
  <si>
    <t>=SUBTOTAL(9,H138:H140)</t>
  </si>
  <si>
    <t>13</t>
  </si>
  <si>
    <t>=GL(,"CatName",,,,$B142)</t>
  </si>
  <si>
    <t>=GL("Rows","Accounts",,,,$B142)</t>
  </si>
  <si>
    <t>=J142+1</t>
  </si>
  <si>
    <t>="000-2101-00"</t>
  </si>
  <si>
    <t>=J143+1</t>
  </si>
  <si>
    <t>="000-2101-01"</t>
  </si>
  <si>
    <t>=J144+1</t>
  </si>
  <si>
    <t>="000-2101-02"</t>
  </si>
  <si>
    <t>=J145+1</t>
  </si>
  <si>
    <t>="000-2101-03"</t>
  </si>
  <si>
    <t>=J146+1</t>
  </si>
  <si>
    <t>="000-2101-04"</t>
  </si>
  <si>
    <t>=J147+1</t>
  </si>
  <si>
    <t>="000-2101-05"</t>
  </si>
  <si>
    <t>=J148+1</t>
  </si>
  <si>
    <t>="000-2101-06"</t>
  </si>
  <si>
    <t>=J149+1</t>
  </si>
  <si>
    <t>="000-2101-07"</t>
  </si>
  <si>
    <t>=J150+1</t>
  </si>
  <si>
    <t>="000-2105-00"</t>
  </si>
  <si>
    <t>=J151+1</t>
  </si>
  <si>
    <t>="000-2110-00"</t>
  </si>
  <si>
    <t>=J152+1</t>
  </si>
  <si>
    <t>="000-2111-00"</t>
  </si>
  <si>
    <t>=J153+1</t>
  </si>
  <si>
    <t>="000-2115-00"</t>
  </si>
  <si>
    <t>=J154+1</t>
  </si>
  <si>
    <t>="000-2120-00"</t>
  </si>
  <si>
    <t>=J155+1</t>
  </si>
  <si>
    <t>="000-2130-00"</t>
  </si>
  <si>
    <t>=J156+1</t>
  </si>
  <si>
    <t>="000-2140-00"</t>
  </si>
  <si>
    <t>=J157+1</t>
  </si>
  <si>
    <t>="000-2150-00"</t>
  </si>
  <si>
    <t>=J158+1</t>
  </si>
  <si>
    <t>="000-2200-00"</t>
  </si>
  <si>
    <t>=J159+1</t>
  </si>
  <si>
    <t>="000-2210-00"</t>
  </si>
  <si>
    <t>=J160+1</t>
  </si>
  <si>
    <t>="000-2220-00"</t>
  </si>
  <si>
    <t>=J161+1</t>
  </si>
  <si>
    <t>="000-2230-00"</t>
  </si>
  <si>
    <t>=J162+1</t>
  </si>
  <si>
    <t>="000-2240-00"</t>
  </si>
  <si>
    <t>=J163+1</t>
  </si>
  <si>
    <t>="000-2250-00"</t>
  </si>
  <si>
    <t>=J164+1</t>
  </si>
  <si>
    <t>="000-2260-00"</t>
  </si>
  <si>
    <t>=J165+1</t>
  </si>
  <si>
    <t>="000-2261-00"</t>
  </si>
  <si>
    <t>=J166+1</t>
  </si>
  <si>
    <t>="000-2410-00"</t>
  </si>
  <si>
    <t>=J167+1</t>
  </si>
  <si>
    <t>="000-2420-00"</t>
  </si>
  <si>
    <t>=J168+1</t>
  </si>
  <si>
    <t>="000-2430-00"</t>
  </si>
  <si>
    <t>=J169+1</t>
  </si>
  <si>
    <t>="000-2700-00"</t>
  </si>
  <si>
    <t>=J170+1</t>
  </si>
  <si>
    <t>="000-2710-00"</t>
  </si>
  <si>
    <t>=J171+1</t>
  </si>
  <si>
    <t>="000-2720-00"</t>
  </si>
  <si>
    <t>=J172+1</t>
  </si>
  <si>
    <t>="000-2730-00"</t>
  </si>
  <si>
    <t>=J173+1</t>
  </si>
  <si>
    <t>="000-2950-00"</t>
  </si>
  <si>
    <t>=J174+1</t>
  </si>
  <si>
    <t>="000-2950-01"</t>
  </si>
  <si>
    <t>=J175+1</t>
  </si>
  <si>
    <t>="000-4730-00"</t>
  </si>
  <si>
    <t>=J176+1</t>
  </si>
  <si>
    <t>=SUBTOTAL(9,G143:G178)</t>
  </si>
  <si>
    <t>=SUBTOTAL(9,H143:H178)</t>
  </si>
  <si>
    <t>14</t>
  </si>
  <si>
    <t>=GL(,"CatName",,,,$B180)</t>
  </si>
  <si>
    <t>=GL("Rows","Accounts",,,,$B180)</t>
  </si>
  <si>
    <t>=GL(,"Name",$E181)</t>
  </si>
  <si>
    <t>=GL(,"Balance",$E181,,$G$11)</t>
  </si>
  <si>
    <t>=GL(,"Balance",$E181,,$H$11)</t>
  </si>
  <si>
    <t>=J180+1</t>
  </si>
  <si>
    <t>="000-2810-00"</t>
  </si>
  <si>
    <t>=GL(,"Name",$E182)</t>
  </si>
  <si>
    <t>=GL(,"Balance",$E182,,$G$11)</t>
  </si>
  <si>
    <t>=GL(,"Balance",$E182,,$H$11)</t>
  </si>
  <si>
    <t>=J181+1</t>
  </si>
  <si>
    <t>="000-2820-00"</t>
  </si>
  <si>
    <t>=GL(,"Name",$E183)</t>
  </si>
  <si>
    <t>=GL(,"Balance",$E183,,$G$11)</t>
  </si>
  <si>
    <t>=GL(,"Balance",$E183,,$H$11)</t>
  </si>
  <si>
    <t>=J182+1</t>
  </si>
  <si>
    <t>=SUBTOTAL(9,G181:G184)</t>
  </si>
  <si>
    <t>=SUBTOTAL(9,H181:H184)</t>
  </si>
  <si>
    <t>16</t>
  </si>
  <si>
    <t>=GL(,"CatName",,,,$B186)</t>
  </si>
  <si>
    <t>=GL("Rows","Accounts",,,,$B186)</t>
  </si>
  <si>
    <t>=J186+1</t>
  </si>
  <si>
    <t>="000-2162-00"</t>
  </si>
  <si>
    <t>=J187+1</t>
  </si>
  <si>
    <t>="000-2163-00"</t>
  </si>
  <si>
    <t>=J188+1</t>
  </si>
  <si>
    <t>="000-2164-00"</t>
  </si>
  <si>
    <t>=J189+1</t>
  </si>
  <si>
    <t>="000-2165-00"</t>
  </si>
  <si>
    <t>=J190+1</t>
  </si>
  <si>
    <t>="000-2166-00"</t>
  </si>
  <si>
    <t>=J191+1</t>
  </si>
  <si>
    <t>="000-2170-00"</t>
  </si>
  <si>
    <t>=J192+1</t>
  </si>
  <si>
    <t>="000-2175-00"</t>
  </si>
  <si>
    <t>=J193+1</t>
  </si>
  <si>
    <t>="000-2180-00"</t>
  </si>
  <si>
    <t>=J194+1</t>
  </si>
  <si>
    <t>="000-2191-00"</t>
  </si>
  <si>
    <t>=J195+1</t>
  </si>
  <si>
    <t>="000-2192-00"</t>
  </si>
  <si>
    <t>=J196+1</t>
  </si>
  <si>
    <t>="000-2193-00"</t>
  </si>
  <si>
    <t>=J197+1</t>
  </si>
  <si>
    <t>="000-2194-00"</t>
  </si>
  <si>
    <t>=J198+1</t>
  </si>
  <si>
    <t>="000-2195-00"</t>
  </si>
  <si>
    <t>=J199+1</t>
  </si>
  <si>
    <t>="000-2270-00"</t>
  </si>
  <si>
    <t>=J200+1</t>
  </si>
  <si>
    <t>="000-2271-00"</t>
  </si>
  <si>
    <t>=J201+1</t>
  </si>
  <si>
    <t>="000-2272-00"</t>
  </si>
  <si>
    <t>=J202+1</t>
  </si>
  <si>
    <t>="000-2273-00"</t>
  </si>
  <si>
    <t>=J203+1</t>
  </si>
  <si>
    <t>="000-2274-00"</t>
  </si>
  <si>
    <t>=J204+1</t>
  </si>
  <si>
    <t>="000-2275-00"</t>
  </si>
  <si>
    <t>=J205+1</t>
  </si>
  <si>
    <t>="000-2276-00"</t>
  </si>
  <si>
    <t>=J206+1</t>
  </si>
  <si>
    <t>="000-2277-00"</t>
  </si>
  <si>
    <t>=J207+1</t>
  </si>
  <si>
    <t>="000-2280-00"</t>
  </si>
  <si>
    <t>=J208+1</t>
  </si>
  <si>
    <t>="000-2281-00"</t>
  </si>
  <si>
    <t>=J209+1</t>
  </si>
  <si>
    <t>="000-2282-00"</t>
  </si>
  <si>
    <t>=J210+1</t>
  </si>
  <si>
    <t>="000-2283-00"</t>
  </si>
  <si>
    <t>=J211+1</t>
  </si>
  <si>
    <t>="000-2284-00"</t>
  </si>
  <si>
    <t>=J212+1</t>
  </si>
  <si>
    <t>="000-2300-00"</t>
  </si>
  <si>
    <t>=J213+1</t>
  </si>
  <si>
    <t>="000-2310-00"</t>
  </si>
  <si>
    <t>=J214+1</t>
  </si>
  <si>
    <t>="000-2311-00"</t>
  </si>
  <si>
    <t>=J215+1</t>
  </si>
  <si>
    <t>="000-2315-00"</t>
  </si>
  <si>
    <t>=J216+1</t>
  </si>
  <si>
    <t>="000-2320-00"</t>
  </si>
  <si>
    <t>=J217+1</t>
  </si>
  <si>
    <t>="000-2321-00"</t>
  </si>
  <si>
    <t>=J218+1</t>
  </si>
  <si>
    <t>="000-2322-00"</t>
  </si>
  <si>
    <t>=J219+1</t>
  </si>
  <si>
    <t>="000-2323-00"</t>
  </si>
  <si>
    <t>=J220+1</t>
  </si>
  <si>
    <t>="000-2330-00"</t>
  </si>
  <si>
    <t>=J221+1</t>
  </si>
  <si>
    <t>="000-2340-00"</t>
  </si>
  <si>
    <t>=J222+1</t>
  </si>
  <si>
    <t>="000-2341-00"</t>
  </si>
  <si>
    <t>=J223+1</t>
  </si>
  <si>
    <t>="000-2350-00"</t>
  </si>
  <si>
    <t>=J224+1</t>
  </si>
  <si>
    <t>="000-2351-00"</t>
  </si>
  <si>
    <t>=J225+1</t>
  </si>
  <si>
    <t>="000-2600-00"</t>
  </si>
  <si>
    <t>=J226+1</t>
  </si>
  <si>
    <t>="000-2610-00"</t>
  </si>
  <si>
    <t>=J227+1</t>
  </si>
  <si>
    <t>="000-2940-00"</t>
  </si>
  <si>
    <t>=J228+1</t>
  </si>
  <si>
    <t>=SUBTOTAL(9,G187:G230)</t>
  </si>
  <si>
    <t>=SUBTOTAL(9,H187:H230)</t>
  </si>
  <si>
    <t>17</t>
  </si>
  <si>
    <t>=GL(,"CatName",,,,$B232)</t>
  </si>
  <si>
    <t>=GL("Rows","Accounts",,,,$B232)</t>
  </si>
  <si>
    <t>=GL(,"Name",$E233)</t>
  </si>
  <si>
    <t>=GL(,"Balance",$E233,,$G$11)</t>
  </si>
  <si>
    <t>=GL(,"Balance",$E233,,$H$11)</t>
  </si>
  <si>
    <t>=J232+1</t>
  </si>
  <si>
    <t>=SUBTOTAL(9,G233:G234)</t>
  </si>
  <si>
    <t>=SUBTOTAL(9,H233:H234)</t>
  </si>
  <si>
    <t>18</t>
  </si>
  <si>
    <t>=GL(,"CatName",,,,$B236)</t>
  </si>
  <si>
    <t>=GL("Rows","Accounts",,,,$B236)</t>
  </si>
  <si>
    <t>=GL(,"Name",$E237)</t>
  </si>
  <si>
    <t>=GL(,"Balance",$E237,,$G$11)</t>
  </si>
  <si>
    <t>=GL(,"Balance",$E237,,$H$11)</t>
  </si>
  <si>
    <t>=J236+1</t>
  </si>
  <si>
    <t>=SUBTOTAL(9,G237:G238)</t>
  </si>
  <si>
    <t>=SUBTOTAL(9,H237:H238)</t>
  </si>
  <si>
    <t>21</t>
  </si>
  <si>
    <t>=GL(,"CatName",,,,$B240)</t>
  </si>
  <si>
    <t>=GL("Rows","Accounts",,,,$B240)</t>
  </si>
  <si>
    <t>=J240+1</t>
  </si>
  <si>
    <t>="000-2740-00"</t>
  </si>
  <si>
    <t>=J241+1</t>
  </si>
  <si>
    <t>="000-4800-00"</t>
  </si>
  <si>
    <t>=J242+1</t>
  </si>
  <si>
    <t>="000-6900-00"</t>
  </si>
  <si>
    <t>=J243+1</t>
  </si>
  <si>
    <t>="000-8410-00"</t>
  </si>
  <si>
    <t>=J244+1</t>
  </si>
  <si>
    <t>=SUBTOTAL(9,G241:G246)</t>
  </si>
  <si>
    <t>=SUBTOTAL(9,H241:H246)</t>
  </si>
  <si>
    <t>22</t>
  </si>
  <si>
    <t>=GL(,"CatName",,,,$B248)</t>
  </si>
  <si>
    <t>=GL("Rows","Accounts",,,,$B248)</t>
  </si>
  <si>
    <t>=GL(,"Name",$E249)</t>
  </si>
  <si>
    <t>=GL(,"Balance",$E249,,$G$11)</t>
  </si>
  <si>
    <t>=GL(,"Balance",$E249,,$H$11)</t>
  </si>
  <si>
    <t>=J248+1</t>
  </si>
  <si>
    <t>="000-2910-00"</t>
  </si>
  <si>
    <t>=GL(,"Name",$E250)</t>
  </si>
  <si>
    <t>=GL(,"Balance",$E250,,$G$11)</t>
  </si>
  <si>
    <t>=GL(,"Balance",$E250,,$H$11)</t>
  </si>
  <si>
    <t>=J249+1</t>
  </si>
  <si>
    <t>="000-2920-00"</t>
  </si>
  <si>
    <t>=GL(,"Name",$E251)</t>
  </si>
  <si>
    <t>=GL(,"Balance",$E251,,$G$11)</t>
  </si>
  <si>
    <t>=GL(,"Balance",$E251,,$H$11)</t>
  </si>
  <si>
    <t>=J250+1</t>
  </si>
  <si>
    <t>="000-2930-00"</t>
  </si>
  <si>
    <t>=GL(,"Name",$E252)</t>
  </si>
  <si>
    <t>=GL(,"Balance",$E252,,$G$11)</t>
  </si>
  <si>
    <t>=GL(,"Balance",$E252,,$H$11)</t>
  </si>
  <si>
    <t>=J251+1</t>
  </si>
  <si>
    <t>=SUBTOTAL(9,G249:G253)</t>
  </si>
  <si>
    <t>=SUBTOTAL(9,H249:H253)</t>
  </si>
  <si>
    <t>=GL(,"Name",$E14)</t>
  </si>
  <si>
    <t>=GL(,"Name",$E15)</t>
  </si>
  <si>
    <t>=GL(,"Name",$E16)</t>
  </si>
  <si>
    <t>=GL(,"Name",$E17)</t>
  </si>
  <si>
    <t>=GL(,"Name",$E18)</t>
  </si>
  <si>
    <t>=GL(,"Name",$E19)</t>
  </si>
  <si>
    <t>=GL(,"Name",$E20)</t>
  </si>
  <si>
    <t>=GL(,"Name",$E21)</t>
  </si>
  <si>
    <t>=GL(,"Name",$E22)</t>
  </si>
  <si>
    <t>=GL(,"Name",$E23)</t>
  </si>
  <si>
    <t>=GL(,"Name",$E24)</t>
  </si>
  <si>
    <t>=GL(,"Balance",$E14,,$G$11)</t>
  </si>
  <si>
    <t>=GL(,"Balance",$E15,,$G$11)</t>
  </si>
  <si>
    <t>=GL(,"Balance",$E16,,$G$11)</t>
  </si>
  <si>
    <t>=GL(,"Balance",$E17,,$G$11)</t>
  </si>
  <si>
    <t>=GL(,"Balance",$E18,,$G$11)</t>
  </si>
  <si>
    <t>=GL(,"Balance",$E19,,$G$11)</t>
  </si>
  <si>
    <t>=GL(,"Balance",$E20,,$G$11)</t>
  </si>
  <si>
    <t>=GL(,"Balance",$E21,,$G$11)</t>
  </si>
  <si>
    <t>=GL(,"Balance",$E22,,$G$11)</t>
  </si>
  <si>
    <t>=GL(,"Balance",$E23,,$G$11)</t>
  </si>
  <si>
    <t>=GL(,"Balance",$E24,,$G$11)</t>
  </si>
  <si>
    <t>=GL(,"Balance",$E14,,$H$11)</t>
  </si>
  <si>
    <t>=GL(,"Balance",$E15,,$H$11)</t>
  </si>
  <si>
    <t>=GL(,"Balance",$E16,,$H$11)</t>
  </si>
  <si>
    <t>=GL(,"Balance",$E17,,$H$11)</t>
  </si>
  <si>
    <t>=GL(,"Balance",$E18,,$H$11)</t>
  </si>
  <si>
    <t>=GL(,"Balance",$E19,,$H$11)</t>
  </si>
  <si>
    <t>=GL(,"Balance",$E20,,$H$11)</t>
  </si>
  <si>
    <t>=GL(,"Balance",$E21,,$H$11)</t>
  </si>
  <si>
    <t>=GL(,"Balance",$E22,,$H$11)</t>
  </si>
  <si>
    <t>=GL(,"Balance",$E23,,$H$11)</t>
  </si>
  <si>
    <t>=GL(,"Balance",$E24,,$H$11)</t>
  </si>
  <si>
    <t>=GL(,"Name",$E241)</t>
  </si>
  <si>
    <t>=GL(,"Name",$E242)</t>
  </si>
  <si>
    <t>=GL(,"Name",$E243)</t>
  </si>
  <si>
    <t>=GL(,"Name",$E244)</t>
  </si>
  <si>
    <t>=GL(,"Name",$E245)</t>
  </si>
  <si>
    <t>=GL(,"Balance",$E241,,$G$11)</t>
  </si>
  <si>
    <t>=GL(,"Balance",$E242,,$G$11)</t>
  </si>
  <si>
    <t>=GL(,"Balance",$E243,,$G$11)</t>
  </si>
  <si>
    <t>=GL(,"Balance",$E244,,$G$11)</t>
  </si>
  <si>
    <t>=GL(,"Balance",$E245,,$G$11)</t>
  </si>
  <si>
    <t>=GL(,"Balance",$E241,,$H$11)</t>
  </si>
  <si>
    <t>=GL(,"Balance",$E242,,$H$11)</t>
  </si>
  <si>
    <t>=GL(,"Balance",$E243,,$H$11)</t>
  </si>
  <si>
    <t>=GL(,"Balance",$E244,,$H$11)</t>
  </si>
  <si>
    <t>=GL(,"Balance",$E245,,$H$11)</t>
  </si>
  <si>
    <t>=GL(,"Name",$E187)</t>
  </si>
  <si>
    <t>=GL(,"Name",$E188)</t>
  </si>
  <si>
    <t>=GL(,"Name",$E189)</t>
  </si>
  <si>
    <t>=GL(,"Name",$E190)</t>
  </si>
  <si>
    <t>=GL(,"Name",$E191)</t>
  </si>
  <si>
    <t>=GL(,"Name",$E192)</t>
  </si>
  <si>
    <t>=GL(,"Name",$E193)</t>
  </si>
  <si>
    <t>=GL(,"Name",$E194)</t>
  </si>
  <si>
    <t>=GL(,"Name",$E195)</t>
  </si>
  <si>
    <t>=GL(,"Name",$E196)</t>
  </si>
  <si>
    <t>=GL(,"Name",$E197)</t>
  </si>
  <si>
    <t>=GL(,"Name",$E198)</t>
  </si>
  <si>
    <t>=GL(,"Name",$E199)</t>
  </si>
  <si>
    <t>=GL(,"Name",$E200)</t>
  </si>
  <si>
    <t>=GL(,"Name",$E201)</t>
  </si>
  <si>
    <t>=GL(,"Name",$E202)</t>
  </si>
  <si>
    <t>=GL(,"Name",$E203)</t>
  </si>
  <si>
    <t>=GL(,"Name",$E204)</t>
  </si>
  <si>
    <t>=GL(,"Name",$E205)</t>
  </si>
  <si>
    <t>=GL(,"Name",$E206)</t>
  </si>
  <si>
    <t>=GL(,"Name",$E207)</t>
  </si>
  <si>
    <t>=GL(,"Name",$E208)</t>
  </si>
  <si>
    <t>=GL(,"Name",$E209)</t>
  </si>
  <si>
    <t>=GL(,"Name",$E210)</t>
  </si>
  <si>
    <t>=GL(,"Name",$E211)</t>
  </si>
  <si>
    <t>=GL(,"Name",$E212)</t>
  </si>
  <si>
    <t>=GL(,"Name",$E213)</t>
  </si>
  <si>
    <t>=GL(,"Name",$E214)</t>
  </si>
  <si>
    <t>=GL(,"Name",$E215)</t>
  </si>
  <si>
    <t>=GL(,"Name",$E216)</t>
  </si>
  <si>
    <t>=GL(,"Name",$E217)</t>
  </si>
  <si>
    <t>=GL(,"Name",$E218)</t>
  </si>
  <si>
    <t>=GL(,"Name",$E219)</t>
  </si>
  <si>
    <t>=GL(,"Name",$E220)</t>
  </si>
  <si>
    <t>=GL(,"Name",$E221)</t>
  </si>
  <si>
    <t>=GL(,"Name",$E222)</t>
  </si>
  <si>
    <t>=GL(,"Name",$E223)</t>
  </si>
  <si>
    <t>=GL(,"Name",$E224)</t>
  </si>
  <si>
    <t>=GL(,"Name",$E225)</t>
  </si>
  <si>
    <t>=GL(,"Name",$E226)</t>
  </si>
  <si>
    <t>=GL(,"Name",$E227)</t>
  </si>
  <si>
    <t>=GL(,"Name",$E228)</t>
  </si>
  <si>
    <t>=GL(,"Name",$E229)</t>
  </si>
  <si>
    <t>=GL(,"Balance",$E187,,$G$11)</t>
  </si>
  <si>
    <t>=GL(,"Balance",$E188,,$G$11)</t>
  </si>
  <si>
    <t>=GL(,"Balance",$E189,,$G$11)</t>
  </si>
  <si>
    <t>=GL(,"Balance",$E190,,$G$11)</t>
  </si>
  <si>
    <t>=GL(,"Balance",$E191,,$G$11)</t>
  </si>
  <si>
    <t>=GL(,"Balance",$E192,,$G$11)</t>
  </si>
  <si>
    <t>=GL(,"Balance",$E193,,$G$11)</t>
  </si>
  <si>
    <t>=GL(,"Balance",$E194,,$G$11)</t>
  </si>
  <si>
    <t>=GL(,"Balance",$E195,,$G$11)</t>
  </si>
  <si>
    <t>=GL(,"Balance",$E196,,$G$11)</t>
  </si>
  <si>
    <t>=GL(,"Balance",$E197,,$G$11)</t>
  </si>
  <si>
    <t>=GL(,"Balance",$E198,,$G$11)</t>
  </si>
  <si>
    <t>=GL(,"Balance",$E199,,$G$11)</t>
  </si>
  <si>
    <t>=GL(,"Balance",$E200,,$G$11)</t>
  </si>
  <si>
    <t>=GL(,"Balance",$E201,,$G$11)</t>
  </si>
  <si>
    <t>=GL(,"Balance",$E202,,$G$11)</t>
  </si>
  <si>
    <t>=GL(,"Balance",$E203,,$G$11)</t>
  </si>
  <si>
    <t>=GL(,"Balance",$E204,,$G$11)</t>
  </si>
  <si>
    <t>=GL(,"Balance",$E205,,$G$11)</t>
  </si>
  <si>
    <t>=GL(,"Balance",$E206,,$G$11)</t>
  </si>
  <si>
    <t>=GL(,"Balance",$E207,,$G$11)</t>
  </si>
  <si>
    <t>=GL(,"Balance",$E208,,$G$11)</t>
  </si>
  <si>
    <t>=GL(,"Balance",$E209,,$G$11)</t>
  </si>
  <si>
    <t>=GL(,"Balance",$E210,,$G$11)</t>
  </si>
  <si>
    <t>=GL(,"Balance",$E211,,$G$11)</t>
  </si>
  <si>
    <t>=GL(,"Balance",$E212,,$G$11)</t>
  </si>
  <si>
    <t>=GL(,"Balance",$E213,,$G$11)</t>
  </si>
  <si>
    <t>=GL(,"Balance",$E214,,$G$11)</t>
  </si>
  <si>
    <t>=GL(,"Balance",$E215,,$G$11)</t>
  </si>
  <si>
    <t>=GL(,"Balance",$E216,,$G$11)</t>
  </si>
  <si>
    <t>=GL(,"Balance",$E217,,$G$11)</t>
  </si>
  <si>
    <t>=GL(,"Balance",$E218,,$G$11)</t>
  </si>
  <si>
    <t>=GL(,"Balance",$E219,,$G$11)</t>
  </si>
  <si>
    <t>=GL(,"Balance",$E220,,$G$11)</t>
  </si>
  <si>
    <t>=GL(,"Balance",$E221,,$G$11)</t>
  </si>
  <si>
    <t>=GL(,"Balance",$E222,,$G$11)</t>
  </si>
  <si>
    <t>=GL(,"Balance",$E223,,$G$11)</t>
  </si>
  <si>
    <t>=GL(,"Balance",$E224,,$G$11)</t>
  </si>
  <si>
    <t>=GL(,"Balance",$E225,,$G$11)</t>
  </si>
  <si>
    <t>=GL(,"Balance",$E226,,$G$11)</t>
  </si>
  <si>
    <t>=GL(,"Balance",$E227,,$G$11)</t>
  </si>
  <si>
    <t>=GL(,"Balance",$E228,,$G$11)</t>
  </si>
  <si>
    <t>=GL(,"Balance",$E229,,$G$11)</t>
  </si>
  <si>
    <t>=GL(,"Balance",$E187,,$H$11)</t>
  </si>
  <si>
    <t>=GL(,"Balance",$E188,,$H$11)</t>
  </si>
  <si>
    <t>=GL(,"Balance",$E189,,$H$11)</t>
  </si>
  <si>
    <t>=GL(,"Balance",$E190,,$H$11)</t>
  </si>
  <si>
    <t>=GL(,"Balance",$E191,,$H$11)</t>
  </si>
  <si>
    <t>=GL(,"Balance",$E192,,$H$11)</t>
  </si>
  <si>
    <t>=GL(,"Balance",$E193,,$H$11)</t>
  </si>
  <si>
    <t>=GL(,"Balance",$E194,,$H$11)</t>
  </si>
  <si>
    <t>=GL(,"Balance",$E195,,$H$11)</t>
  </si>
  <si>
    <t>=GL(,"Balance",$E196,,$H$11)</t>
  </si>
  <si>
    <t>=GL(,"Balance",$E197,,$H$11)</t>
  </si>
  <si>
    <t>=GL(,"Balance",$E198,,$H$11)</t>
  </si>
  <si>
    <t>=GL(,"Balance",$E199,,$H$11)</t>
  </si>
  <si>
    <t>=GL(,"Balance",$E200,,$H$11)</t>
  </si>
  <si>
    <t>=GL(,"Balance",$E201,,$H$11)</t>
  </si>
  <si>
    <t>=GL(,"Balance",$E202,,$H$11)</t>
  </si>
  <si>
    <t>=GL(,"Balance",$E203,,$H$11)</t>
  </si>
  <si>
    <t>=GL(,"Balance",$E204,,$H$11)</t>
  </si>
  <si>
    <t>=GL(,"Balance",$E205,,$H$11)</t>
  </si>
  <si>
    <t>=GL(,"Balance",$E206,,$H$11)</t>
  </si>
  <si>
    <t>=GL(,"Balance",$E207,,$H$11)</t>
  </si>
  <si>
    <t>=GL(,"Balance",$E208,,$H$11)</t>
  </si>
  <si>
    <t>=GL(,"Balance",$E209,,$H$11)</t>
  </si>
  <si>
    <t>=GL(,"Balance",$E210,,$H$11)</t>
  </si>
  <si>
    <t>=GL(,"Balance",$E211,,$H$11)</t>
  </si>
  <si>
    <t>=GL(,"Balance",$E212,,$H$11)</t>
  </si>
  <si>
    <t>=GL(,"Balance",$E213,,$H$11)</t>
  </si>
  <si>
    <t>=GL(,"Balance",$E214,,$H$11)</t>
  </si>
  <si>
    <t>=GL(,"Balance",$E215,,$H$11)</t>
  </si>
  <si>
    <t>=GL(,"Balance",$E216,,$H$11)</t>
  </si>
  <si>
    <t>=GL(,"Balance",$E217,,$H$11)</t>
  </si>
  <si>
    <t>=GL(,"Balance",$E218,,$H$11)</t>
  </si>
  <si>
    <t>=GL(,"Balance",$E219,,$H$11)</t>
  </si>
  <si>
    <t>=GL(,"Balance",$E220,,$H$11)</t>
  </si>
  <si>
    <t>=GL(,"Balance",$E221,,$H$11)</t>
  </si>
  <si>
    <t>=GL(,"Balance",$E222,,$H$11)</t>
  </si>
  <si>
    <t>=GL(,"Balance",$E223,,$H$11)</t>
  </si>
  <si>
    <t>=GL(,"Balance",$E224,,$H$11)</t>
  </si>
  <si>
    <t>=GL(,"Balance",$E225,,$H$11)</t>
  </si>
  <si>
    <t>=GL(,"Balance",$E226,,$H$11)</t>
  </si>
  <si>
    <t>=GL(,"Balance",$E227,,$H$11)</t>
  </si>
  <si>
    <t>=GL(,"Balance",$E228,,$H$11)</t>
  </si>
  <si>
    <t>=GL(,"Balance",$E229,,$H$11)</t>
  </si>
  <si>
    <t>=GL(,"Name",$E143)</t>
  </si>
  <si>
    <t>=GL(,"Name",$E144)</t>
  </si>
  <si>
    <t>=GL(,"Name",$E145)</t>
  </si>
  <si>
    <t>=GL(,"Name",$E146)</t>
  </si>
  <si>
    <t>=GL(,"Name",$E147)</t>
  </si>
  <si>
    <t>=GL(,"Name",$E148)</t>
  </si>
  <si>
    <t>=GL(,"Name",$E149)</t>
  </si>
  <si>
    <t>=GL(,"Name",$E150)</t>
  </si>
  <si>
    <t>=GL(,"Name",$E151)</t>
  </si>
  <si>
    <t>=GL(,"Name",$E152)</t>
  </si>
  <si>
    <t>=GL(,"Name",$E153)</t>
  </si>
  <si>
    <t>=GL(,"Name",$E154)</t>
  </si>
  <si>
    <t>=GL(,"Name",$E155)</t>
  </si>
  <si>
    <t>=GL(,"Name",$E156)</t>
  </si>
  <si>
    <t>=GL(,"Name",$E157)</t>
  </si>
  <si>
    <t>=GL(,"Name",$E158)</t>
  </si>
  <si>
    <t>=GL(,"Name",$E159)</t>
  </si>
  <si>
    <t>=GL(,"Name",$E160)</t>
  </si>
  <si>
    <t>=GL(,"Name",$E161)</t>
  </si>
  <si>
    <t>=GL(,"Name",$E162)</t>
  </si>
  <si>
    <t>=GL(,"Name",$E163)</t>
  </si>
  <si>
    <t>=GL(,"Name",$E164)</t>
  </si>
  <si>
    <t>=GL(,"Name",$E165)</t>
  </si>
  <si>
    <t>=GL(,"Name",$E166)</t>
  </si>
  <si>
    <t>=GL(,"Name",$E167)</t>
  </si>
  <si>
    <t>=GL(,"Name",$E168)</t>
  </si>
  <si>
    <t>=GL(,"Name",$E169)</t>
  </si>
  <si>
    <t>=GL(,"Name",$E170)</t>
  </si>
  <si>
    <t>=GL(,"Name",$E171)</t>
  </si>
  <si>
    <t>=GL(,"Name",$E172)</t>
  </si>
  <si>
    <t>=GL(,"Name",$E173)</t>
  </si>
  <si>
    <t>=GL(,"Name",$E174)</t>
  </si>
  <si>
    <t>=GL(,"Name",$E175)</t>
  </si>
  <si>
    <t>=GL(,"Name",$E176)</t>
  </si>
  <si>
    <t>=GL(,"Name",$E177)</t>
  </si>
  <si>
    <t>=GL(,"Balance",$E143,,$G$11)</t>
  </si>
  <si>
    <t>=GL(,"Balance",$E144,,$G$11)</t>
  </si>
  <si>
    <t>=GL(,"Balance",$E145,,$G$11)</t>
  </si>
  <si>
    <t>=GL(,"Balance",$E146,,$G$11)</t>
  </si>
  <si>
    <t>=GL(,"Balance",$E147,,$G$11)</t>
  </si>
  <si>
    <t>=GL(,"Balance",$E148,,$G$11)</t>
  </si>
  <si>
    <t>=GL(,"Balance",$E149,,$G$11)</t>
  </si>
  <si>
    <t>=GL(,"Balance",$E150,,$G$11)</t>
  </si>
  <si>
    <t>=GL(,"Balance",$E151,,$G$11)</t>
  </si>
  <si>
    <t>=GL(,"Balance",$E152,,$G$11)</t>
  </si>
  <si>
    <t>=GL(,"Balance",$E153,,$G$11)</t>
  </si>
  <si>
    <t>=GL(,"Balance",$E154,,$G$11)</t>
  </si>
  <si>
    <t>=GL(,"Balance",$E155,,$G$11)</t>
  </si>
  <si>
    <t>=GL(,"Balance",$E156,,$G$11)</t>
  </si>
  <si>
    <t>=GL(,"Balance",$E157,,$G$11)</t>
  </si>
  <si>
    <t>=GL(,"Balance",$E158,,$G$11)</t>
  </si>
  <si>
    <t>=GL(,"Balance",$E159,,$G$11)</t>
  </si>
  <si>
    <t>=GL(,"Balance",$E160,,$G$11)</t>
  </si>
  <si>
    <t>=GL(,"Balance",$E161,,$G$11)</t>
  </si>
  <si>
    <t>=GL(,"Balance",$E162,,$G$11)</t>
  </si>
  <si>
    <t>=GL(,"Balance",$E163,,$G$11)</t>
  </si>
  <si>
    <t>=GL(,"Balance",$E164,,$G$11)</t>
  </si>
  <si>
    <t>=GL(,"Balance",$E165,,$G$11)</t>
  </si>
  <si>
    <t>=GL(,"Balance",$E166,,$G$11)</t>
  </si>
  <si>
    <t>=GL(,"Balance",$E167,,$G$11)</t>
  </si>
  <si>
    <t>=GL(,"Balance",$E168,,$G$11)</t>
  </si>
  <si>
    <t>=GL(,"Balance",$E169,,$G$11)</t>
  </si>
  <si>
    <t>=GL(,"Balance",$E170,,$G$11)</t>
  </si>
  <si>
    <t>=GL(,"Balance",$E171,,$G$11)</t>
  </si>
  <si>
    <t>=GL(,"Balance",$E172,,$G$11)</t>
  </si>
  <si>
    <t>=GL(,"Balance",$E173,,$G$11)</t>
  </si>
  <si>
    <t>=GL(,"Balance",$E174,,$G$11)</t>
  </si>
  <si>
    <t>=GL(,"Balance",$E175,,$G$11)</t>
  </si>
  <si>
    <t>=GL(,"Balance",$E176,,$G$11)</t>
  </si>
  <si>
    <t>=GL(,"Balance",$E177,,$G$11)</t>
  </si>
  <si>
    <t>=GL(,"Balance",$E143,,$H$11)</t>
  </si>
  <si>
    <t>=GL(,"Balance",$E144,,$H$11)</t>
  </si>
  <si>
    <t>=GL(,"Balance",$E145,,$H$11)</t>
  </si>
  <si>
    <t>=GL(,"Balance",$E146,,$H$11)</t>
  </si>
  <si>
    <t>=GL(,"Balance",$E147,,$H$11)</t>
  </si>
  <si>
    <t>=GL(,"Balance",$E148,,$H$11)</t>
  </si>
  <si>
    <t>=GL(,"Balance",$E149,,$H$11)</t>
  </si>
  <si>
    <t>=GL(,"Balance",$E150,,$H$11)</t>
  </si>
  <si>
    <t>=GL(,"Balance",$E151,,$H$11)</t>
  </si>
  <si>
    <t>=GL(,"Balance",$E152,,$H$11)</t>
  </si>
  <si>
    <t>=GL(,"Balance",$E153,,$H$11)</t>
  </si>
  <si>
    <t>=GL(,"Balance",$E154,,$H$11)</t>
  </si>
  <si>
    <t>=GL(,"Balance",$E155,,$H$11)</t>
  </si>
  <si>
    <t>=GL(,"Balance",$E156,,$H$11)</t>
  </si>
  <si>
    <t>=GL(,"Balance",$E157,,$H$11)</t>
  </si>
  <si>
    <t>=GL(,"Balance",$E158,,$H$11)</t>
  </si>
  <si>
    <t>=GL(,"Balance",$E159,,$H$11)</t>
  </si>
  <si>
    <t>=GL(,"Balance",$E160,,$H$11)</t>
  </si>
  <si>
    <t>=GL(,"Balance",$E161,,$H$11)</t>
  </si>
  <si>
    <t>=GL(,"Balance",$E162,,$H$11)</t>
  </si>
  <si>
    <t>=GL(,"Balance",$E163,,$H$11)</t>
  </si>
  <si>
    <t>=GL(,"Balance",$E164,,$H$11)</t>
  </si>
  <si>
    <t>=GL(,"Balance",$E165,,$H$11)</t>
  </si>
  <si>
    <t>=GL(,"Balance",$E166,,$H$11)</t>
  </si>
  <si>
    <t>=GL(,"Balance",$E167,,$H$11)</t>
  </si>
  <si>
    <t>=GL(,"Balance",$E168,,$H$11)</t>
  </si>
  <si>
    <t>=GL(,"Balance",$E169,,$H$11)</t>
  </si>
  <si>
    <t>=GL(,"Balance",$E170,,$H$11)</t>
  </si>
  <si>
    <t>=GL(,"Balance",$E171,,$H$11)</t>
  </si>
  <si>
    <t>=GL(,"Balance",$E172,,$H$11)</t>
  </si>
  <si>
    <t>=GL(,"Balance",$E173,,$H$11)</t>
  </si>
  <si>
    <t>=GL(,"Balance",$E174,,$H$11)</t>
  </si>
  <si>
    <t>=GL(,"Balance",$E175,,$H$11)</t>
  </si>
  <si>
    <t>=GL(,"Balance",$E176,,$H$11)</t>
  </si>
  <si>
    <t>=GL(,"Balance",$E177,,$H$11)</t>
  </si>
  <si>
    <t>=GL(,"Name",$E116)</t>
  </si>
  <si>
    <t>=GL(,"Name",$E117)</t>
  </si>
  <si>
    <t>=GL(,"Name",$E118)</t>
  </si>
  <si>
    <t>=GL(,"Name",$E119)</t>
  </si>
  <si>
    <t>=GL(,"Name",$E120)</t>
  </si>
  <si>
    <t>=GL(,"Name",$E121)</t>
  </si>
  <si>
    <t>=GL(,"Name",$E122)</t>
  </si>
  <si>
    <t>=GL(,"Balance",$E116,,$G$11)</t>
  </si>
  <si>
    <t>=GL(,"Balance",$E117,,$G$11)</t>
  </si>
  <si>
    <t>=GL(,"Balance",$E118,,$G$11)</t>
  </si>
  <si>
    <t>=GL(,"Balance",$E119,,$G$11)</t>
  </si>
  <si>
    <t>=GL(,"Balance",$E120,,$G$11)</t>
  </si>
  <si>
    <t>=GL(,"Balance",$E121,,$G$11)</t>
  </si>
  <si>
    <t>=GL(,"Balance",$E122,,$G$11)</t>
  </si>
  <si>
    <t>=GL(,"Balance",$E116,,$H$11)</t>
  </si>
  <si>
    <t>=GL(,"Balance",$E117,,$H$11)</t>
  </si>
  <si>
    <t>=GL(,"Balance",$E118,,$H$11)</t>
  </si>
  <si>
    <t>=GL(,"Balance",$E119,,$H$11)</t>
  </si>
  <si>
    <t>=GL(,"Balance",$E120,,$H$11)</t>
  </si>
  <si>
    <t>=GL(,"Balance",$E121,,$H$11)</t>
  </si>
  <si>
    <t>=GL(,"Balance",$E122,,$H$11)</t>
  </si>
  <si>
    <t>=GL(,"Name",$E90)</t>
  </si>
  <si>
    <t>=GL(,"Name",$E91)</t>
  </si>
  <si>
    <t>=GL(,"Name",$E92)</t>
  </si>
  <si>
    <t>=GL(,"Name",$E93)</t>
  </si>
  <si>
    <t>=GL(,"Name",$E94)</t>
  </si>
  <si>
    <t>=GL(,"Name",$E95)</t>
  </si>
  <si>
    <t>=GL(,"Name",$E96)</t>
  </si>
  <si>
    <t>=GL(,"Name",$E97)</t>
  </si>
  <si>
    <t>=GL(,"Name",$E98)</t>
  </si>
  <si>
    <t>=GL(,"Name",$E99)</t>
  </si>
  <si>
    <t>=GL(,"Name",$E100)</t>
  </si>
  <si>
    <t>=GL(,"Name",$E101)</t>
  </si>
  <si>
    <t>=GL(,"Name",$E102)</t>
  </si>
  <si>
    <t>=GL(,"Name",$E103)</t>
  </si>
  <si>
    <t>=GL(,"Name",$E104)</t>
  </si>
  <si>
    <t>=GL(,"Name",$E105)</t>
  </si>
  <si>
    <t>=GL(,"Name",$E106)</t>
  </si>
  <si>
    <t>=GL(,"Name",$E107)</t>
  </si>
  <si>
    <t>=GL(,"Balance",$E90,,$G$11)</t>
  </si>
  <si>
    <t>=GL(,"Balance",$E91,,$G$11)</t>
  </si>
  <si>
    <t>=GL(,"Balance",$E92,,$G$11)</t>
  </si>
  <si>
    <t>=GL(,"Balance",$E93,,$G$11)</t>
  </si>
  <si>
    <t>=GL(,"Balance",$E94,,$G$11)</t>
  </si>
  <si>
    <t>=GL(,"Balance",$E95,,$G$11)</t>
  </si>
  <si>
    <t>=GL(,"Balance",$E96,,$G$11)</t>
  </si>
  <si>
    <t>=GL(,"Balance",$E97,,$G$11)</t>
  </si>
  <si>
    <t>=GL(,"Balance",$E98,,$G$11)</t>
  </si>
  <si>
    <t>=GL(,"Balance",$E99,,$G$11)</t>
  </si>
  <si>
    <t>=GL(,"Balance",$E100,,$G$11)</t>
  </si>
  <si>
    <t>=GL(,"Balance",$E101,,$G$11)</t>
  </si>
  <si>
    <t>=GL(,"Balance",$E102,,$G$11)</t>
  </si>
  <si>
    <t>=GL(,"Balance",$E103,,$G$11)</t>
  </si>
  <si>
    <t>=GL(,"Balance",$E104,,$G$11)</t>
  </si>
  <si>
    <t>=GL(,"Balance",$E105,,$G$11)</t>
  </si>
  <si>
    <t>=GL(,"Balance",$E106,,$G$11)</t>
  </si>
  <si>
    <t>=GL(,"Balance",$E107,,$G$11)</t>
  </si>
  <si>
    <t>=GL(,"Balance",$E90,,$H$11)</t>
  </si>
  <si>
    <t>=GL(,"Balance",$E91,,$H$11)</t>
  </si>
  <si>
    <t>=GL(,"Balance",$E92,,$H$11)</t>
  </si>
  <si>
    <t>=GL(,"Balance",$E93,,$H$11)</t>
  </si>
  <si>
    <t>=GL(,"Balance",$E94,,$H$11)</t>
  </si>
  <si>
    <t>=GL(,"Balance",$E95,,$H$11)</t>
  </si>
  <si>
    <t>=GL(,"Balance",$E96,,$H$11)</t>
  </si>
  <si>
    <t>=GL(,"Balance",$E97,,$H$11)</t>
  </si>
  <si>
    <t>=GL(,"Balance",$E98,,$H$11)</t>
  </si>
  <si>
    <t>=GL(,"Balance",$E99,,$H$11)</t>
  </si>
  <si>
    <t>=GL(,"Balance",$E100,,$H$11)</t>
  </si>
  <si>
    <t>=GL(,"Balance",$E101,,$H$11)</t>
  </si>
  <si>
    <t>=GL(,"Balance",$E102,,$H$11)</t>
  </si>
  <si>
    <t>=GL(,"Balance",$E103,,$H$11)</t>
  </si>
  <si>
    <t>=GL(,"Balance",$E104,,$H$11)</t>
  </si>
  <si>
    <t>=GL(,"Balance",$E105,,$H$11)</t>
  </si>
  <si>
    <t>=GL(,"Balance",$E106,,$H$11)</t>
  </si>
  <si>
    <t>=GL(,"Balance",$E107,,$H$11)</t>
  </si>
  <si>
    <t>=GL(,"Name",$E59)</t>
  </si>
  <si>
    <t>=GL(,"Name",$E60)</t>
  </si>
  <si>
    <t>=GL(,"Name",$E61)</t>
  </si>
  <si>
    <t>=GL(,"Name",$E62)</t>
  </si>
  <si>
    <t>=GL(,"Name",$E63)</t>
  </si>
  <si>
    <t>=GL(,"Name",$E64)</t>
  </si>
  <si>
    <t>=GL(,"Name",$E65)</t>
  </si>
  <si>
    <t>=GL(,"Name",$E66)</t>
  </si>
  <si>
    <t>=GL(,"Name",$E67)</t>
  </si>
  <si>
    <t>=GL(,"Name",$E68)</t>
  </si>
  <si>
    <t>=GL(,"Name",$E69)</t>
  </si>
  <si>
    <t>=GL(,"Name",$E70)</t>
  </si>
  <si>
    <t>=GL(,"Name",$E71)</t>
  </si>
  <si>
    <t>=GL(,"Name",$E72)</t>
  </si>
  <si>
    <t>=GL(,"Name",$E73)</t>
  </si>
  <si>
    <t>=GL(,"Name",$E74)</t>
  </si>
  <si>
    <t>=GL(,"Name",$E75)</t>
  </si>
  <si>
    <t>=GL(,"Name",$E76)</t>
  </si>
  <si>
    <t>=GL(,"Name",$E77)</t>
  </si>
  <si>
    <t>=GL(,"Name",$E78)</t>
  </si>
  <si>
    <t>=GL(,"Name",$E79)</t>
  </si>
  <si>
    <t>=GL(,"Name",$E80)</t>
  </si>
  <si>
    <t>=GL(,"Name",$E81)</t>
  </si>
  <si>
    <t>=GL(,"Name",$E82)</t>
  </si>
  <si>
    <t>=GL(,"Name",$E83)</t>
  </si>
  <si>
    <t>=GL(,"Name",$E84)</t>
  </si>
  <si>
    <t>=GL(,"Name",$E85)</t>
  </si>
  <si>
    <t>=GL(,"Name",$E86)</t>
  </si>
  <si>
    <t>=GL(,"Balance",$E59,,$G$11)</t>
  </si>
  <si>
    <t>=GL(,"Balance",$E60,,$G$11)</t>
  </si>
  <si>
    <t>=GL(,"Balance",$E61,,$G$11)</t>
  </si>
  <si>
    <t>=GL(,"Balance",$E62,,$G$11)</t>
  </si>
  <si>
    <t>=GL(,"Balance",$E63,,$G$11)</t>
  </si>
  <si>
    <t>=GL(,"Balance",$E64,,$G$11)</t>
  </si>
  <si>
    <t>=GL(,"Balance",$E65,,$G$11)</t>
  </si>
  <si>
    <t>=GL(,"Balance",$E66,,$G$11)</t>
  </si>
  <si>
    <t>=GL(,"Balance",$E67,,$G$11)</t>
  </si>
  <si>
    <t>=GL(,"Balance",$E68,,$G$11)</t>
  </si>
  <si>
    <t>=GL(,"Balance",$E69,,$G$11)</t>
  </si>
  <si>
    <t>=GL(,"Balance",$E70,,$G$11)</t>
  </si>
  <si>
    <t>=GL(,"Balance",$E71,,$G$11)</t>
  </si>
  <si>
    <t>=GL(,"Balance",$E72,,$G$11)</t>
  </si>
  <si>
    <t>=GL(,"Balance",$E73,,$G$11)</t>
  </si>
  <si>
    <t>=GL(,"Balance",$E74,,$G$11)</t>
  </si>
  <si>
    <t>=GL(,"Balance",$E75,,$G$11)</t>
  </si>
  <si>
    <t>=GL(,"Balance",$E76,,$G$11)</t>
  </si>
  <si>
    <t>=GL(,"Balance",$E77,,$G$11)</t>
  </si>
  <si>
    <t>=GL(,"Balance",$E78,,$G$11)</t>
  </si>
  <si>
    <t>=GL(,"Balance",$E79,,$G$11)</t>
  </si>
  <si>
    <t>=GL(,"Balance",$E80,,$G$11)</t>
  </si>
  <si>
    <t>=GL(,"Balance",$E81,,$G$11)</t>
  </si>
  <si>
    <t>=GL(,"Balance",$E82,,$G$11)</t>
  </si>
  <si>
    <t>=GL(,"Balance",$E83,,$G$11)</t>
  </si>
  <si>
    <t>=GL(,"Balance",$E84,,$G$11)</t>
  </si>
  <si>
    <t>=GL(,"Balance",$E85,,$G$11)</t>
  </si>
  <si>
    <t>=GL(,"Balance",$E86,,$G$11)</t>
  </si>
  <si>
    <t>=GL(,"Balance",$E59,,$H$11)</t>
  </si>
  <si>
    <t>=GL(,"Balance",$E60,,$H$11)</t>
  </si>
  <si>
    <t>=GL(,"Balance",$E61,,$H$11)</t>
  </si>
  <si>
    <t>=GL(,"Balance",$E62,,$H$11)</t>
  </si>
  <si>
    <t>=GL(,"Balance",$E63,,$H$11)</t>
  </si>
  <si>
    <t>=GL(,"Balance",$E64,,$H$11)</t>
  </si>
  <si>
    <t>=GL(,"Balance",$E65,,$H$11)</t>
  </si>
  <si>
    <t>=GL(,"Balance",$E66,,$H$11)</t>
  </si>
  <si>
    <t>=GL(,"Balance",$E67,,$H$11)</t>
  </si>
  <si>
    <t>=GL(,"Balance",$E68,,$H$11)</t>
  </si>
  <si>
    <t>=GL(,"Balance",$E69,,$H$11)</t>
  </si>
  <si>
    <t>=GL(,"Balance",$E70,,$H$11)</t>
  </si>
  <si>
    <t>=GL(,"Balance",$E71,,$H$11)</t>
  </si>
  <si>
    <t>=GL(,"Balance",$E72,,$H$11)</t>
  </si>
  <si>
    <t>=GL(,"Balance",$E73,,$H$11)</t>
  </si>
  <si>
    <t>=GL(,"Balance",$E74,,$H$11)</t>
  </si>
  <si>
    <t>=GL(,"Balance",$E75,,$H$11)</t>
  </si>
  <si>
    <t>=GL(,"Balance",$E76,,$H$11)</t>
  </si>
  <si>
    <t>=GL(,"Balance",$E77,,$H$11)</t>
  </si>
  <si>
    <t>=GL(,"Balance",$E78,,$H$11)</t>
  </si>
  <si>
    <t>=GL(,"Balance",$E79,,$H$11)</t>
  </si>
  <si>
    <t>=GL(,"Balance",$E80,,$H$11)</t>
  </si>
  <si>
    <t>=GL(,"Balance",$E81,,$H$11)</t>
  </si>
  <si>
    <t>=GL(,"Balance",$E82,,$H$11)</t>
  </si>
  <si>
    <t>=GL(,"Balance",$E83,,$H$11)</t>
  </si>
  <si>
    <t>=GL(,"Balance",$E84,,$H$11)</t>
  </si>
  <si>
    <t>=GL(,"Balance",$E85,,$H$11)</t>
  </si>
  <si>
    <t>=GL(,"Balance",$E86,,$H$11)</t>
  </si>
  <si>
    <t>=GL(,"Name",$E32)</t>
  </si>
  <si>
    <t>=GL(,"Name",$E33)</t>
  </si>
  <si>
    <t>=GL(,"Name",$E34)</t>
  </si>
  <si>
    <t>=GL(,"Name",$E35)</t>
  </si>
  <si>
    <t>=GL(,"Name",$E36)</t>
  </si>
  <si>
    <t>=GL(,"Name",$E37)</t>
  </si>
  <si>
    <t>=GL(,"Name",$E38)</t>
  </si>
  <si>
    <t>=GL(,"Name",$E39)</t>
  </si>
  <si>
    <t>=GL(,"Name",$E40)</t>
  </si>
  <si>
    <t>=GL(,"Name",$E41)</t>
  </si>
  <si>
    <t>=GL(,"Name",$E42)</t>
  </si>
  <si>
    <t>=GL(,"Name",$E43)</t>
  </si>
  <si>
    <t>=GL(,"Name",$E44)</t>
  </si>
  <si>
    <t>=GL(,"Name",$E45)</t>
  </si>
  <si>
    <t>=GL(,"Name",$E46)</t>
  </si>
  <si>
    <t>=GL(,"Name",$E47)</t>
  </si>
  <si>
    <t>=GL(,"Name",$E48)</t>
  </si>
  <si>
    <t>=GL(,"Name",$E49)</t>
  </si>
  <si>
    <t>=GL(,"Name",$E50)</t>
  </si>
  <si>
    <t>=GL(,"Name",$E51)</t>
  </si>
  <si>
    <t>=GL(,"Balance",$E32,,$G$11)</t>
  </si>
  <si>
    <t>=GL(,"Balance",$E33,,$G$11)</t>
  </si>
  <si>
    <t>=GL(,"Balance",$E34,,$G$11)</t>
  </si>
  <si>
    <t>=GL(,"Balance",$E35,,$G$11)</t>
  </si>
  <si>
    <t>=GL(,"Balance",$E36,,$G$11)</t>
  </si>
  <si>
    <t>=GL(,"Balance",$E37,,$G$11)</t>
  </si>
  <si>
    <t>=GL(,"Balance",$E38,,$G$11)</t>
  </si>
  <si>
    <t>=GL(,"Balance",$E39,,$G$11)</t>
  </si>
  <si>
    <t>=GL(,"Balance",$E40,,$G$11)</t>
  </si>
  <si>
    <t>=GL(,"Balance",$E41,,$G$11)</t>
  </si>
  <si>
    <t>=GL(,"Balance",$E42,,$G$11)</t>
  </si>
  <si>
    <t>=GL(,"Balance",$E43,,$G$11)</t>
  </si>
  <si>
    <t>=GL(,"Balance",$E44,,$G$11)</t>
  </si>
  <si>
    <t>=GL(,"Balance",$E45,,$G$11)</t>
  </si>
  <si>
    <t>=GL(,"Balance",$E46,,$G$11)</t>
  </si>
  <si>
    <t>=GL(,"Balance",$E47,,$G$11)</t>
  </si>
  <si>
    <t>=GL(,"Balance",$E48,,$G$11)</t>
  </si>
  <si>
    <t>=GL(,"Balance",$E49,,$G$11)</t>
  </si>
  <si>
    <t>=GL(,"Balance",$E50,,$G$11)</t>
  </si>
  <si>
    <t>=GL(,"Balance",$E51,,$G$11)</t>
  </si>
  <si>
    <t>=GL(,"Balance",$E32,,$H$11)</t>
  </si>
  <si>
    <t>=GL(,"Balance",$E33,,$H$11)</t>
  </si>
  <si>
    <t>=GL(,"Balance",$E34,,$H$11)</t>
  </si>
  <si>
    <t>=GL(,"Balance",$E35,,$H$11)</t>
  </si>
  <si>
    <t>=GL(,"Balance",$E36,,$H$11)</t>
  </si>
  <si>
    <t>=GL(,"Balance",$E37,,$H$11)</t>
  </si>
  <si>
    <t>=GL(,"Balance",$E38,,$H$11)</t>
  </si>
  <si>
    <t>=GL(,"Balance",$E39,,$H$11)</t>
  </si>
  <si>
    <t>=GL(,"Balance",$E40,,$H$11)</t>
  </si>
  <si>
    <t>=GL(,"Balance",$E41,,$H$11)</t>
  </si>
  <si>
    <t>=GL(,"Balance",$E42,,$H$11)</t>
  </si>
  <si>
    <t>=GL(,"Balance",$E43,,$H$11)</t>
  </si>
  <si>
    <t>=GL(,"Balance",$E44,,$H$11)</t>
  </si>
  <si>
    <t>=GL(,"Balance",$E45,,$H$11)</t>
  </si>
  <si>
    <t>=GL(,"Balance",$E46,,$H$11)</t>
  </si>
  <si>
    <t>=GL(,"Balance",$E47,,$H$11)</t>
  </si>
  <si>
    <t>=GL(,"Balance",$E48,,$H$11)</t>
  </si>
  <si>
    <t>=GL(,"Balance",$E49,,$H$11)</t>
  </si>
  <si>
    <t>=GL(,"Balance",$E50,,$H$11)</t>
  </si>
  <si>
    <t>=GL(,"Balance",$E51,,$H$11)</t>
  </si>
  <si>
    <t>Click here for downloads</t>
  </si>
  <si>
    <t>Questions About This Report</t>
  </si>
  <si>
    <t>Click here to contact sample reports</t>
  </si>
  <si>
    <t>The chart of accounts structure of the demo data used to create this report contains 3 segments (Division-Account-Department).  Categories may also differ from this demo set to your structure.</t>
  </si>
  <si>
    <t>Auto+Hide</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</si>
  <si>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</si>
  <si>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</si>
  <si>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If you have questions about this or any other sample report, please email samplereports@jetglobal.com</t>
  </si>
  <si>
    <t>Getting Help</t>
  </si>
  <si>
    <t>The Jet Reports Help Center is the launch pad for all support destinations. Search our knowledgebase for product documentation and installation, troubleshooting, and how-to articles; post questions and join discussions with the Jet Reports community; or submit a request to our awesome support team who will get back to you swiftly.</t>
  </si>
  <si>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</si>
  <si>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</si>
  <si>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</si>
  <si>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</si>
  <si>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</si>
  <si>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</si>
  <si>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</si>
  <si>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</si>
  <si>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</si>
  <si>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t>This report is intended to match the Balance Sheet in Dynamics GP.</t>
  </si>
  <si>
    <t>Auto+Hide+Values+Formulas=Sheet2,Sheet3+FormulasOnly</t>
  </si>
  <si>
    <t>Auto+Hide+Values+Formulas=Sheet4,Sheet2,Sheet3</t>
  </si>
  <si>
    <t>Auto+Hide+Values+Formulas=Sheet4,Sheet2,Sheet3+FormulasOnly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</si>
</sst>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_(&quot;$&quot;* \(#,##0.00\);_(&quot;$&quot;* &quot;-&quot;??_);_(@_)"/>
    <numFmt numFmtId="43" formatCode="_(* #,##0.00_);_(* \(#,##0.00\);_(* &quot;-&quot;??_);_(@_)"/>
  </numFmts>
  <fonts count="3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u/>
      <sz val="10"/>
      <color indexed="12"/>
      <name val="Arial"/>
      <family val="2"/>
    </font>
    <font>
      <sz val="10"/>
      <name val="Arial"/>
      <family val="2"/>
    </font>
    <font>
      <sz val="9"/>
      <name val="Arial"/>
      <family val="2"/>
    </font>
    <font>
      <sz val="10"/>
      <name val="Arial"/>
      <family val="2"/>
    </font>
    <font>
      <sz val="10"/>
      <name val="Arial"/>
      <family val="2"/>
    </font>
    <font>
      <sz val="9"/>
      <name val="Segoe UI"/>
      <family val="2"/>
    </font>
    <font>
      <b/>
      <sz val="9"/>
      <name val="Segoe UI"/>
      <family val="2"/>
    </font>
    <font>
      <sz val="9"/>
      <color indexed="55"/>
      <name val="Segoe UI Semibold"/>
      <family val="2"/>
    </font>
    <font>
      <sz val="9"/>
      <name val="Segoe UI Semibold"/>
      <family val="2"/>
    </font>
    <font>
      <b/>
      <sz val="9"/>
      <color indexed="55"/>
      <name val="Segoe UI Semibold"/>
      <family val="2"/>
    </font>
    <font>
      <b/>
      <sz val="9"/>
      <name val="Segoe UI Semibold"/>
      <family val="2"/>
    </font>
    <font>
      <sz val="9"/>
      <color indexed="48"/>
      <name val="Segoe UI Semibold"/>
      <family val="2"/>
    </font>
    <font>
      <b/>
      <sz val="16"/>
      <color theme="6" tint="-0.249977111117893"/>
      <name val="Segoe UI"/>
      <family val="2"/>
    </font>
    <font>
      <b/>
      <sz val="10"/>
      <color theme="0"/>
      <name val="Segoe UI Semibold"/>
      <family val="2"/>
    </font>
    <font>
      <b/>
      <sz val="11"/>
      <color theme="1" tint="0.249977111117893"/>
      <name val="Segoe UI"/>
      <family val="2"/>
    </font>
    <font>
      <b/>
      <sz val="11"/>
      <name val="Calibri"/>
      <family val="2"/>
      <scheme val="minor"/>
    </font>
    <font>
      <sz val="9"/>
      <color theme="0" tint="-0.499984740745262"/>
      <name val="Arial"/>
      <family val="2"/>
    </font>
    <font>
      <b/>
      <sz val="10"/>
      <name val="Segoe UI Semibold"/>
      <family val="2"/>
    </font>
    <font>
      <sz val="11"/>
      <name val="Calibri"/>
      <family val="2"/>
    </font>
    <font>
      <b/>
      <sz val="11"/>
      <name val="Calibri"/>
      <family val="2"/>
    </font>
    <font>
      <sz val="10"/>
      <color theme="1"/>
      <name val="Segoe UI"/>
      <family val="2"/>
    </font>
    <font>
      <b/>
      <sz val="20"/>
      <color rgb="FFDA4848"/>
      <name val="Segoe UI"/>
      <family val="2"/>
    </font>
    <font>
      <sz val="10"/>
      <color rgb="FFDA4848"/>
      <name val="Segoe UI"/>
      <family val="2"/>
    </font>
    <font>
      <b/>
      <sz val="10"/>
      <color theme="1"/>
      <name val="Segoe UI"/>
      <family val="2"/>
    </font>
    <font>
      <sz val="10"/>
      <name val="Segoe UI"/>
      <family val="2"/>
    </font>
  </fonts>
  <fills count="8">
    <fill>
      <patternFill patternType="none"/>
    </fill>
    <fill>
      <patternFill patternType="gray125"/>
    </fill>
    <fill>
      <patternFill patternType="solid">
        <fgColor indexed="2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5" tint="0.79998168889431442"/>
        <bgColor indexed="64"/>
      </patternFill>
    </fill>
  </fills>
  <borders count="2">
    <border>
      <left/>
      <right/>
      <top/>
      <bottom/>
      <diagonal/>
    </border>
    <border>
      <left/>
      <right/>
      <top style="thin">
        <color indexed="64"/>
      </top>
      <bottom style="double">
        <color indexed="64"/>
      </bottom>
      <diagonal/>
    </border>
  </borders>
  <cellStyleXfs count="12">
    <xf numFmtId="0" fontId="0" fillId="0" borderId="0"/>
    <xf numFmtId="44" fontId="4" fillId="0" borderId="0" applyFont="0" applyFill="0" applyBorder="0" applyAlignment="0" applyProtection="0"/>
    <xf numFmtId="0" fontId="9" fillId="0" borderId="0"/>
    <xf numFmtId="0" fontId="7" fillId="0" borderId="0"/>
    <xf numFmtId="0" fontId="10" fillId="0" borderId="0"/>
    <xf numFmtId="0" fontId="4" fillId="0" borderId="0"/>
    <xf numFmtId="0" fontId="3" fillId="0" borderId="0"/>
    <xf numFmtId="0" fontId="2" fillId="0" borderId="0"/>
    <xf numFmtId="0" fontId="2" fillId="0" borderId="0"/>
    <xf numFmtId="0" fontId="1" fillId="0" borderId="0"/>
    <xf numFmtId="0" fontId="1" fillId="0" borderId="0"/>
    <xf numFmtId="0" fontId="6" fillId="0" borderId="0" applyNumberFormat="0" applyFill="0" applyBorder="0" applyAlignment="0" applyProtection="0">
      <alignment vertical="top"/>
      <protection locked="0"/>
    </xf>
  </cellStyleXfs>
  <cellXfs count="39">
    <xf numFmtId="0" fontId="0" fillId="0" borderId="0" xfId="0"/>
    <xf numFmtId="0" fontId="8" fillId="0" borderId="0" xfId="0" applyFont="1"/>
    <xf numFmtId="0" fontId="12" fillId="0" borderId="0" xfId="0" applyFont="1" applyAlignment="1">
      <alignment horizontal="right"/>
    </xf>
    <xf numFmtId="14" fontId="11" fillId="0" borderId="0" xfId="0" applyNumberFormat="1" applyFont="1"/>
    <xf numFmtId="0" fontId="13" fillId="0" borderId="0" xfId="0" applyFont="1"/>
    <xf numFmtId="0" fontId="14" fillId="0" borderId="0" xfId="0" applyFont="1"/>
    <xf numFmtId="0" fontId="15" fillId="0" borderId="0" xfId="0" applyFont="1" applyAlignment="1"/>
    <xf numFmtId="0" fontId="16" fillId="0" borderId="0" xfId="0" applyFont="1" applyAlignment="1"/>
    <xf numFmtId="0" fontId="14" fillId="0" borderId="0" xfId="0" applyFont="1" applyAlignment="1"/>
    <xf numFmtId="0" fontId="16" fillId="0" borderId="0" xfId="0" applyFont="1" applyAlignment="1">
      <alignment horizontal="left"/>
    </xf>
    <xf numFmtId="0" fontId="14" fillId="0" borderId="0" xfId="0" applyFont="1" applyAlignment="1">
      <alignment horizontal="left"/>
    </xf>
    <xf numFmtId="0" fontId="16" fillId="0" borderId="0" xfId="0" applyFont="1"/>
    <xf numFmtId="0" fontId="15" fillId="2" borderId="0" xfId="0" applyFont="1" applyFill="1"/>
    <xf numFmtId="0" fontId="17" fillId="0" borderId="0" xfId="0" applyFont="1" applyFill="1"/>
    <xf numFmtId="0" fontId="13" fillId="2" borderId="0" xfId="0" applyFont="1" applyFill="1"/>
    <xf numFmtId="43" fontId="14" fillId="0" borderId="0" xfId="1" applyNumberFormat="1" applyFont="1"/>
    <xf numFmtId="43" fontId="13" fillId="0" borderId="0" xfId="1" applyNumberFormat="1" applyFont="1"/>
    <xf numFmtId="44" fontId="16" fillId="0" borderId="0" xfId="0" applyNumberFormat="1" applyFont="1" applyFill="1" applyBorder="1"/>
    <xf numFmtId="0" fontId="18" fillId="0" borderId="0" xfId="0" applyFont="1" applyFill="1" applyAlignment="1"/>
    <xf numFmtId="0" fontId="19" fillId="3" borderId="0" xfId="0" applyFont="1" applyFill="1"/>
    <xf numFmtId="0" fontId="20" fillId="0" borderId="0" xfId="0" applyFont="1" applyFill="1"/>
    <xf numFmtId="0" fontId="21" fillId="4" borderId="0" xfId="0" applyFont="1" applyFill="1"/>
    <xf numFmtId="0" fontId="22" fillId="0" borderId="0" xfId="0" applyFont="1"/>
    <xf numFmtId="0" fontId="19" fillId="3" borderId="0" xfId="0" applyFont="1" applyFill="1" applyAlignment="1">
      <alignment horizontal="right"/>
    </xf>
    <xf numFmtId="0" fontId="13" fillId="5" borderId="0" xfId="0" applyFont="1" applyFill="1"/>
    <xf numFmtId="0" fontId="14" fillId="5" borderId="0" xfId="0" applyFont="1" applyFill="1"/>
    <xf numFmtId="43" fontId="23" fillId="6" borderId="1" xfId="0" applyNumberFormat="1" applyFont="1" applyFill="1" applyBorder="1"/>
    <xf numFmtId="0" fontId="0" fillId="0" borderId="0" xfId="0" quotePrefix="1"/>
    <xf numFmtId="0" fontId="24" fillId="0" borderId="0" xfId="5" applyFont="1"/>
    <xf numFmtId="0" fontId="25" fillId="0" borderId="0" xfId="5" applyFont="1" applyAlignment="1">
      <alignment vertical="top"/>
    </xf>
    <xf numFmtId="0" fontId="26" fillId="0" borderId="0" xfId="9" applyFont="1"/>
    <xf numFmtId="0" fontId="26" fillId="0" borderId="0" xfId="9" applyFont="1" applyAlignment="1">
      <alignment vertical="top"/>
    </xf>
    <xf numFmtId="0" fontId="26" fillId="0" borderId="0" xfId="9" applyFont="1" applyAlignment="1">
      <alignment vertical="top" wrapText="1"/>
    </xf>
    <xf numFmtId="0" fontId="27" fillId="0" borderId="0" xfId="9" applyFont="1" applyAlignment="1">
      <alignment vertical="top"/>
    </xf>
    <xf numFmtId="0" fontId="28" fillId="0" borderId="0" xfId="9" applyFont="1" applyAlignment="1">
      <alignment vertical="top"/>
    </xf>
    <xf numFmtId="0" fontId="29" fillId="0" borderId="0" xfId="9" applyFont="1" applyAlignment="1">
      <alignment vertical="top"/>
    </xf>
    <xf numFmtId="0" fontId="26" fillId="0" borderId="0" xfId="10" applyFont="1" applyAlignment="1">
      <alignment vertical="top" wrapText="1"/>
    </xf>
    <xf numFmtId="0" fontId="6" fillId="0" borderId="0" xfId="11" applyAlignment="1" applyProtection="1">
      <alignment vertical="top"/>
    </xf>
    <xf numFmtId="0" fontId="30" fillId="7" borderId="0" xfId="5" applyFont="1" applyFill="1" applyAlignment="1">
      <alignment vertical="top" wrapText="1"/>
    </xf>
  </cellXfs>
  <cellStyles count="12">
    <cellStyle name="Currency" xfId="1" builtinId="4"/>
    <cellStyle name="Hyperlink 3" xfId="11"/>
    <cellStyle name="Normal" xfId="0" builtinId="0"/>
    <cellStyle name="Normal 2" xfId="2"/>
    <cellStyle name="Normal 2 2" xfId="3"/>
    <cellStyle name="Normal 2 3" xfId="4"/>
    <cellStyle name="Normal 2 4" xfId="5"/>
    <cellStyle name="Normal 3" xfId="6"/>
    <cellStyle name="Normal 3 2" xfId="8"/>
    <cellStyle name="Normal 3 22" xfId="10"/>
    <cellStyle name="Normal 4" xfId="7"/>
    <cellStyle name="Normal 5" xfId="9"/>
  </cellStyles>
  <dxfs count="16">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E3EAF1"/>
      <rgbColor rgb="00CCFFFF"/>
      <rgbColor rgb="00CCFFCC"/>
      <rgbColor rgb="00E1E1D1"/>
      <rgbColor rgb="0099CCFF"/>
      <rgbColor rgb="00FF99CC"/>
      <rgbColor rgb="00CC99FF"/>
      <rgbColor rgb="00FFCC99"/>
      <rgbColor rgb="000074AB"/>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theme/theme1.xml><?xml version="1.0" encoding="utf-8"?>
<a:theme xmlns:a="http://schemas.openxmlformats.org/drawingml/2006/main" name="Office Theme">
  <a:themeElements>
    <a:clrScheme name="Blue Warm">
      <a:dk1>
        <a:sysClr val="windowText" lastClr="000000"/>
      </a:dk1>
      <a:lt1>
        <a:sysClr val="window" lastClr="FFFFFF"/>
      </a:lt1>
      <a:dk2>
        <a:srgbClr val="242852"/>
      </a:dk2>
      <a:lt2>
        <a:srgbClr val="ACCBF9"/>
      </a:lt2>
      <a:accent1>
        <a:srgbClr val="4A66AC"/>
      </a:accent1>
      <a:accent2>
        <a:srgbClr val="629DD1"/>
      </a:accent2>
      <a:accent3>
        <a:srgbClr val="297FD5"/>
      </a:accent3>
      <a:accent4>
        <a:srgbClr val="7F8FA9"/>
      </a:accent4>
      <a:accent5>
        <a:srgbClr val="5AA2AE"/>
      </a:accent5>
      <a:accent6>
        <a:srgbClr val="9D90A0"/>
      </a:accent6>
      <a:hlink>
        <a:srgbClr val="9454C3"/>
      </a:hlink>
      <a:folHlink>
        <a:srgbClr val="3EBBF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9"/>
  <sheetViews>
    <sheetView showGridLines="0" tabSelected="1" topLeftCell="B2" workbookViewId="0"/>
  </sheetViews>
  <sheetFormatPr defaultColWidth="9.140625" defaultRowHeight="14.25" x14ac:dyDescent="0.25"/>
  <cols>
    <col min="1" max="1" width="3.42578125" style="30" hidden="1" customWidth="1"/>
    <col min="2" max="2" width="10.28515625" style="30" customWidth="1"/>
    <col min="3" max="3" width="27.140625" style="31" customWidth="1"/>
    <col min="4" max="4" width="77.28515625" style="32" customWidth="1"/>
    <col min="5" max="5" width="36.42578125" style="30" customWidth="1"/>
    <col min="6" max="16384" width="9.140625" style="30"/>
  </cols>
  <sheetData>
    <row r="1" spans="1:5" hidden="1" x14ac:dyDescent="0.25">
      <c r="A1" s="30" t="s">
        <v>1055</v>
      </c>
    </row>
    <row r="7" spans="1:5" ht="30.75" x14ac:dyDescent="0.25">
      <c r="C7" s="33" t="s">
        <v>13</v>
      </c>
    </row>
    <row r="9" spans="1:5" x14ac:dyDescent="0.25">
      <c r="C9" s="34"/>
    </row>
    <row r="10" spans="1:5" x14ac:dyDescent="0.25">
      <c r="C10" s="35" t="s">
        <v>14</v>
      </c>
      <c r="D10" s="36" t="s">
        <v>1070</v>
      </c>
    </row>
    <row r="11" spans="1:5" x14ac:dyDescent="0.25">
      <c r="C11" s="35"/>
    </row>
    <row r="12" spans="1:5" x14ac:dyDescent="0.25">
      <c r="C12" s="35" t="s">
        <v>15</v>
      </c>
      <c r="D12" s="32" t="s">
        <v>1056</v>
      </c>
    </row>
    <row r="13" spans="1:5" s="28" customFormat="1" ht="42.75" x14ac:dyDescent="0.25">
      <c r="C13" s="29"/>
      <c r="D13" s="38" t="s">
        <v>1054</v>
      </c>
    </row>
    <row r="14" spans="1:5" x14ac:dyDescent="0.25">
      <c r="C14" s="35"/>
    </row>
    <row r="15" spans="1:5" ht="57" x14ac:dyDescent="0.25">
      <c r="C15" s="35" t="s">
        <v>16</v>
      </c>
      <c r="D15" s="32" t="s">
        <v>1057</v>
      </c>
      <c r="E15" s="37" t="s">
        <v>1051</v>
      </c>
    </row>
    <row r="16" spans="1:5" x14ac:dyDescent="0.25">
      <c r="C16" s="35"/>
      <c r="E16" s="31"/>
    </row>
    <row r="17" spans="3:5" ht="28.5" x14ac:dyDescent="0.25">
      <c r="C17" s="35" t="s">
        <v>1052</v>
      </c>
      <c r="D17" s="32" t="s">
        <v>1058</v>
      </c>
      <c r="E17" s="37" t="s">
        <v>1053</v>
      </c>
    </row>
    <row r="18" spans="3:5" x14ac:dyDescent="0.25">
      <c r="C18" s="35"/>
      <c r="E18" s="31"/>
    </row>
    <row r="19" spans="3:5" ht="57" x14ac:dyDescent="0.25">
      <c r="C19" s="35" t="s">
        <v>1059</v>
      </c>
      <c r="D19" s="32" t="s">
        <v>1060</v>
      </c>
      <c r="E19" s="37" t="s">
        <v>1061</v>
      </c>
    </row>
    <row r="20" spans="3:5" x14ac:dyDescent="0.25">
      <c r="C20" s="35"/>
      <c r="E20" s="31"/>
    </row>
    <row r="21" spans="3:5" ht="30.75" customHeight="1" x14ac:dyDescent="0.25">
      <c r="C21" s="35" t="s">
        <v>17</v>
      </c>
      <c r="D21" s="32" t="s">
        <v>1062</v>
      </c>
      <c r="E21" s="37" t="s">
        <v>1063</v>
      </c>
    </row>
    <row r="22" spans="3:5" x14ac:dyDescent="0.25">
      <c r="C22" s="35"/>
      <c r="E22" s="31"/>
    </row>
    <row r="23" spans="3:5" ht="14.25" customHeight="1" x14ac:dyDescent="0.25">
      <c r="C23" s="35" t="s">
        <v>18</v>
      </c>
      <c r="D23" s="32" t="s">
        <v>1064</v>
      </c>
      <c r="E23" s="37" t="s">
        <v>1065</v>
      </c>
    </row>
    <row r="24" spans="3:5" x14ac:dyDescent="0.25">
      <c r="C24" s="35"/>
      <c r="E24" s="31"/>
    </row>
    <row r="25" spans="3:5" ht="15" customHeight="1" x14ac:dyDescent="0.25">
      <c r="C25" s="35" t="s">
        <v>0</v>
      </c>
      <c r="D25" s="32" t="s">
        <v>1066</v>
      </c>
      <c r="E25" s="37" t="s">
        <v>1067</v>
      </c>
    </row>
    <row r="26" spans="3:5" x14ac:dyDescent="0.25">
      <c r="C26" s="35"/>
    </row>
    <row r="27" spans="3:5" ht="71.25" x14ac:dyDescent="0.25">
      <c r="C27" s="35" t="s">
        <v>19</v>
      </c>
      <c r="D27" s="32" t="s">
        <v>1068</v>
      </c>
    </row>
    <row r="28" spans="3:5" x14ac:dyDescent="0.25">
      <c r="C28" s="35"/>
    </row>
    <row r="29" spans="3:5" ht="17.25" customHeight="1" x14ac:dyDescent="0.25">
      <c r="C29" s="35" t="s">
        <v>20</v>
      </c>
      <c r="D29" s="32" t="s">
        <v>1069</v>
      </c>
    </row>
  </sheetData>
  <hyperlinks>
    <hyperlink ref="E21" r:id="rId1"/>
    <hyperlink ref="E17" r:id="rId2"/>
    <hyperlink ref="E15" r:id="rId3"/>
    <hyperlink ref="E25" r:id="rId4"/>
    <hyperlink ref="E19" r:id="rId5"/>
    <hyperlink ref="E23"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topLeftCell="B2" workbookViewId="0"/>
  </sheetViews>
  <sheetFormatPr defaultRowHeight="12" x14ac:dyDescent="0.2"/>
  <cols>
    <col min="1" max="1" width="9.140625" style="1" hidden="1" customWidth="1"/>
    <col min="2" max="2" width="5.28515625" style="1" customWidth="1"/>
    <col min="3" max="3" width="12.7109375" style="1" bestFit="1" customWidth="1"/>
    <col min="4" max="16384" width="9.140625" style="1"/>
  </cols>
  <sheetData>
    <row r="1" spans="1:4" hidden="1" x14ac:dyDescent="0.2">
      <c r="A1" s="22" t="s">
        <v>24</v>
      </c>
      <c r="B1" s="22"/>
      <c r="C1" s="22" t="s">
        <v>1</v>
      </c>
      <c r="D1" s="22" t="s">
        <v>3</v>
      </c>
    </row>
    <row r="2" spans="1:4" x14ac:dyDescent="0.2">
      <c r="A2" s="22"/>
    </row>
    <row r="3" spans="1:4" x14ac:dyDescent="0.2">
      <c r="A3" s="22"/>
    </row>
    <row r="4" spans="1:4" ht="15" x14ac:dyDescent="0.25">
      <c r="A4" s="22"/>
      <c r="C4" s="21" t="s">
        <v>21</v>
      </c>
      <c r="D4" s="21"/>
    </row>
    <row r="5" spans="1:4" x14ac:dyDescent="0.2">
      <c r="A5" s="22" t="s">
        <v>4</v>
      </c>
      <c r="C5" s="1" t="s">
        <v>2</v>
      </c>
      <c r="D5" s="1" t="str">
        <f>"1..22"</f>
        <v>1..22</v>
      </c>
    </row>
    <row r="6" spans="1:4" x14ac:dyDescent="0.2">
      <c r="A6" s="22" t="s">
        <v>4</v>
      </c>
      <c r="C6" s="1" t="s">
        <v>12</v>
      </c>
      <c r="D6" s="1" t="str">
        <f>"2016"</f>
        <v>2016</v>
      </c>
    </row>
    <row r="7" spans="1:4" x14ac:dyDescent="0.2">
      <c r="A7" s="22"/>
    </row>
  </sheetData>
  <phoneticPr fontId="5"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59"/>
  <sheetViews>
    <sheetView showGridLines="0" topLeftCell="C3" zoomScaleNormal="100" workbookViewId="0"/>
  </sheetViews>
  <sheetFormatPr defaultRowHeight="12" x14ac:dyDescent="0.2"/>
  <cols>
    <col min="1" max="1" width="9.140625" style="5" hidden="1" customWidth="1"/>
    <col min="2" max="2" width="10.85546875" style="4" hidden="1" customWidth="1"/>
    <col min="3" max="3" width="5.28515625" style="4" customWidth="1"/>
    <col min="4" max="4" width="48.7109375" style="5" bestFit="1" customWidth="1"/>
    <col min="5" max="5" width="11.42578125" style="5" bestFit="1" customWidth="1"/>
    <col min="6" max="6" width="41.42578125" style="5" bestFit="1" customWidth="1"/>
    <col min="7" max="8" width="14.28515625" style="5" bestFit="1" customWidth="1"/>
    <col min="9" max="9" width="9.140625" style="5"/>
    <col min="10" max="10" width="9.140625" style="4" hidden="1" customWidth="1"/>
    <col min="11" max="16384" width="9.140625" style="5"/>
  </cols>
  <sheetData>
    <row r="1" spans="1:10" hidden="1" x14ac:dyDescent="0.2">
      <c r="A1" s="24" t="s">
        <v>1072</v>
      </c>
      <c r="B1" s="24" t="s">
        <v>7</v>
      </c>
      <c r="C1" s="24"/>
      <c r="D1" s="24" t="s">
        <v>10</v>
      </c>
      <c r="E1" s="24" t="s">
        <v>10</v>
      </c>
      <c r="F1" s="24" t="s">
        <v>10</v>
      </c>
      <c r="G1" s="24" t="s">
        <v>10</v>
      </c>
      <c r="H1" s="24" t="s">
        <v>10</v>
      </c>
      <c r="I1" s="25"/>
      <c r="J1" s="24" t="s">
        <v>7</v>
      </c>
    </row>
    <row r="2" spans="1:10" hidden="1" x14ac:dyDescent="0.2">
      <c r="A2" s="24" t="s">
        <v>22</v>
      </c>
      <c r="B2" s="24"/>
      <c r="C2" s="24"/>
      <c r="D2" s="24"/>
      <c r="E2" s="24"/>
      <c r="F2" s="24"/>
      <c r="G2" s="24" t="s">
        <v>23</v>
      </c>
      <c r="H2" s="24" t="s">
        <v>23</v>
      </c>
      <c r="I2" s="25"/>
      <c r="J2" s="24"/>
    </row>
    <row r="3" spans="1:10" x14ac:dyDescent="0.2">
      <c r="A3" s="25"/>
      <c r="B3" s="6"/>
      <c r="C3" s="6"/>
      <c r="D3" s="7"/>
      <c r="E3" s="7"/>
      <c r="F3" s="7"/>
      <c r="G3" s="7"/>
      <c r="H3" s="7"/>
    </row>
    <row r="4" spans="1:10" ht="25.5" x14ac:dyDescent="0.5">
      <c r="A4" s="25"/>
      <c r="D4" s="18" t="s">
        <v>5</v>
      </c>
      <c r="E4" s="8"/>
      <c r="F4" s="8"/>
      <c r="G4" s="8"/>
      <c r="H4" s="8"/>
    </row>
    <row r="5" spans="1:10" x14ac:dyDescent="0.2">
      <c r="A5" s="25"/>
      <c r="D5" s="8"/>
      <c r="E5" s="8"/>
      <c r="F5" s="8"/>
      <c r="G5" s="8"/>
      <c r="H5" s="8"/>
    </row>
    <row r="6" spans="1:10" x14ac:dyDescent="0.2">
      <c r="A6" s="25"/>
      <c r="D6" s="8"/>
      <c r="E6" s="8"/>
      <c r="F6" s="8"/>
      <c r="G6" s="8"/>
      <c r="H6" s="8"/>
    </row>
    <row r="7" spans="1:10" x14ac:dyDescent="0.2">
      <c r="A7" s="25"/>
      <c r="D7" s="9" t="s">
        <v>6</v>
      </c>
      <c r="E7" s="5" t="str">
        <f>Category_Filter</f>
        <v>1..22</v>
      </c>
    </row>
    <row r="8" spans="1:10" x14ac:dyDescent="0.2">
      <c r="A8" s="25"/>
      <c r="D8" s="9" t="s">
        <v>11</v>
      </c>
      <c r="E8" s="10" t="str">
        <f>CurrentYear</f>
        <v>2016</v>
      </c>
    </row>
    <row r="9" spans="1:10" x14ac:dyDescent="0.2">
      <c r="A9" s="25"/>
      <c r="D9" s="11"/>
      <c r="G9" s="2" t="s">
        <v>9</v>
      </c>
      <c r="H9" s="3">
        <f ca="1">TODAY()</f>
        <v>43376</v>
      </c>
    </row>
    <row r="10" spans="1:10" x14ac:dyDescent="0.2">
      <c r="A10" s="25"/>
    </row>
    <row r="11" spans="1:10" ht="14.25" x14ac:dyDescent="0.25">
      <c r="A11" s="25"/>
      <c r="D11" s="19" t="s">
        <v>8</v>
      </c>
      <c r="E11" s="19"/>
      <c r="F11" s="19"/>
      <c r="G11" s="23">
        <f>H11-1</f>
        <v>2015</v>
      </c>
      <c r="H11" s="23" t="str">
        <f>E8</f>
        <v>2016</v>
      </c>
    </row>
    <row r="12" spans="1:10" ht="16.5" x14ac:dyDescent="0.3">
      <c r="A12" s="25"/>
      <c r="B12" s="12">
        <v>1</v>
      </c>
      <c r="D12" s="20" t="str">
        <f>"Cash"</f>
        <v>Cash</v>
      </c>
      <c r="E12" s="13"/>
      <c r="F12" s="13"/>
      <c r="G12" s="13"/>
      <c r="H12" s="13"/>
    </row>
    <row r="13" spans="1:10" x14ac:dyDescent="0.2">
      <c r="A13" s="25"/>
      <c r="B13" s="14"/>
      <c r="E13" s="5" t="str">
        <f>"000-1100-00"</f>
        <v>000-1100-00</v>
      </c>
      <c r="F13" s="5" t="str">
        <f>"Cash - Operating Account"</f>
        <v>Cash - Operating Account</v>
      </c>
      <c r="G13" s="15">
        <v>590226.76</v>
      </c>
      <c r="H13" s="15">
        <v>955241.58</v>
      </c>
      <c r="J13" s="4">
        <f>J12+1</f>
        <v>1</v>
      </c>
    </row>
    <row r="14" spans="1:10" x14ac:dyDescent="0.2">
      <c r="A14" s="25" t="s">
        <v>39</v>
      </c>
      <c r="B14" s="14"/>
      <c r="E14" s="5" t="str">
        <f>"000-1101-00"</f>
        <v>000-1101-00</v>
      </c>
      <c r="F14" s="5" t="str">
        <f>"Cash in Bank - Canada"</f>
        <v>Cash in Bank - Canada</v>
      </c>
      <c r="G14" s="15">
        <v>8957.84</v>
      </c>
      <c r="H14" s="15">
        <v>8957.84</v>
      </c>
      <c r="J14" s="4">
        <f t="shared" ref="J14:J24" si="0">J13+1</f>
        <v>2</v>
      </c>
    </row>
    <row r="15" spans="1:10" x14ac:dyDescent="0.2">
      <c r="A15" s="25" t="s">
        <v>39</v>
      </c>
      <c r="B15" s="14"/>
      <c r="E15" s="5" t="str">
        <f>"000-1102-00"</f>
        <v>000-1102-00</v>
      </c>
      <c r="F15" s="5" t="str">
        <f>"Cash in Bank - Australia"</f>
        <v>Cash in Bank - Australia</v>
      </c>
      <c r="G15" s="15">
        <v>18302.169999999998</v>
      </c>
      <c r="H15" s="15">
        <v>18302.169999999998</v>
      </c>
      <c r="J15" s="4">
        <f t="shared" si="0"/>
        <v>3</v>
      </c>
    </row>
    <row r="16" spans="1:10" x14ac:dyDescent="0.2">
      <c r="A16" s="25" t="s">
        <v>39</v>
      </c>
      <c r="B16" s="14"/>
      <c r="E16" s="5" t="str">
        <f>"000-1103-00"</f>
        <v>000-1103-00</v>
      </c>
      <c r="F16" s="5" t="str">
        <f>"Cash in Bank - New Zealand"</f>
        <v>Cash in Bank - New Zealand</v>
      </c>
      <c r="G16" s="15">
        <v>6007.94</v>
      </c>
      <c r="H16" s="15">
        <v>6007.94</v>
      </c>
      <c r="J16" s="4">
        <f t="shared" si="0"/>
        <v>4</v>
      </c>
    </row>
    <row r="17" spans="1:10" x14ac:dyDescent="0.2">
      <c r="A17" s="25" t="s">
        <v>39</v>
      </c>
      <c r="B17" s="14"/>
      <c r="E17" s="5" t="str">
        <f>"000-1104-00"</f>
        <v>000-1104-00</v>
      </c>
      <c r="F17" s="5" t="str">
        <f>"Cash in Bank - Germany"</f>
        <v>Cash in Bank - Germany</v>
      </c>
      <c r="G17" s="15">
        <v>0</v>
      </c>
      <c r="H17" s="15">
        <v>0</v>
      </c>
      <c r="J17" s="4">
        <f t="shared" si="0"/>
        <v>5</v>
      </c>
    </row>
    <row r="18" spans="1:10" x14ac:dyDescent="0.2">
      <c r="A18" s="25" t="s">
        <v>39</v>
      </c>
      <c r="B18" s="14"/>
      <c r="E18" s="5" t="str">
        <f>"000-1105-00"</f>
        <v>000-1105-00</v>
      </c>
      <c r="F18" s="5" t="str">
        <f>"Cash in Bank - United Kingdom"</f>
        <v>Cash in Bank - United Kingdom</v>
      </c>
      <c r="G18" s="15">
        <v>12697.77</v>
      </c>
      <c r="H18" s="15">
        <v>12697.77</v>
      </c>
      <c r="J18" s="4">
        <f t="shared" si="0"/>
        <v>6</v>
      </c>
    </row>
    <row r="19" spans="1:10" x14ac:dyDescent="0.2">
      <c r="A19" s="25" t="s">
        <v>39</v>
      </c>
      <c r="B19" s="14"/>
      <c r="E19" s="5" t="str">
        <f>"000-1106-00"</f>
        <v>000-1106-00</v>
      </c>
      <c r="F19" s="5" t="str">
        <f>"Cash in Bank - South Africa"</f>
        <v>Cash in Bank - South Africa</v>
      </c>
      <c r="G19" s="15">
        <v>7501.9</v>
      </c>
      <c r="H19" s="15">
        <v>7501.9</v>
      </c>
      <c r="J19" s="4">
        <f t="shared" si="0"/>
        <v>7</v>
      </c>
    </row>
    <row r="20" spans="1:10" x14ac:dyDescent="0.2">
      <c r="A20" s="25" t="s">
        <v>39</v>
      </c>
      <c r="B20" s="14"/>
      <c r="E20" s="5" t="str">
        <f>"000-1107-00"</f>
        <v>000-1107-00</v>
      </c>
      <c r="F20" s="5" t="str">
        <f>"Cash in Bank - Singapore"</f>
        <v>Cash in Bank - Singapore</v>
      </c>
      <c r="G20" s="15">
        <v>6963.24</v>
      </c>
      <c r="H20" s="15">
        <v>6963.24</v>
      </c>
      <c r="J20" s="4">
        <f t="shared" si="0"/>
        <v>8</v>
      </c>
    </row>
    <row r="21" spans="1:10" x14ac:dyDescent="0.2">
      <c r="A21" s="25" t="s">
        <v>39</v>
      </c>
      <c r="B21" s="14"/>
      <c r="E21" s="5" t="str">
        <f>"000-1110-00"</f>
        <v>000-1110-00</v>
      </c>
      <c r="F21" s="5" t="str">
        <f>"Cash - Payroll"</f>
        <v>Cash - Payroll</v>
      </c>
      <c r="G21" s="15">
        <v>-452921.98</v>
      </c>
      <c r="H21" s="15">
        <v>-746718.02</v>
      </c>
      <c r="J21" s="4">
        <f t="shared" si="0"/>
        <v>9</v>
      </c>
    </row>
    <row r="22" spans="1:10" x14ac:dyDescent="0.2">
      <c r="A22" s="25" t="s">
        <v>39</v>
      </c>
      <c r="B22" s="14"/>
      <c r="E22" s="5" t="str">
        <f>"000-1120-00"</f>
        <v>000-1120-00</v>
      </c>
      <c r="F22" s="5" t="str">
        <f>"Cash - Flex Benefits Program"</f>
        <v>Cash - Flex Benefits Program</v>
      </c>
      <c r="G22" s="15">
        <v>345.32</v>
      </c>
      <c r="H22" s="15">
        <v>345.32</v>
      </c>
      <c r="J22" s="4">
        <f t="shared" si="0"/>
        <v>10</v>
      </c>
    </row>
    <row r="23" spans="1:10" x14ac:dyDescent="0.2">
      <c r="A23" s="25" t="s">
        <v>39</v>
      </c>
      <c r="B23" s="14"/>
      <c r="E23" s="5" t="str">
        <f>"000-1130-00"</f>
        <v>000-1130-00</v>
      </c>
      <c r="F23" s="5" t="str">
        <f>"Petty Cash"</f>
        <v>Petty Cash</v>
      </c>
      <c r="G23" s="15">
        <v>319.54000000000002</v>
      </c>
      <c r="H23" s="15">
        <v>-100683.49</v>
      </c>
      <c r="J23" s="4">
        <f t="shared" si="0"/>
        <v>11</v>
      </c>
    </row>
    <row r="24" spans="1:10" x14ac:dyDescent="0.2">
      <c r="A24" s="25" t="s">
        <v>39</v>
      </c>
      <c r="B24" s="14"/>
      <c r="E24" s="5" t="str">
        <f>"000-1190-00"</f>
        <v>000-1190-00</v>
      </c>
      <c r="F24" s="5" t="str">
        <f>"Cash Suspense"</f>
        <v>Cash Suspense</v>
      </c>
      <c r="G24" s="15">
        <v>0</v>
      </c>
      <c r="H24" s="15">
        <v>0</v>
      </c>
      <c r="J24" s="4">
        <f t="shared" si="0"/>
        <v>12</v>
      </c>
    </row>
    <row r="25" spans="1:10" s="4" customFormat="1" hidden="1" x14ac:dyDescent="0.2">
      <c r="A25" s="24" t="s">
        <v>7</v>
      </c>
      <c r="B25" s="14"/>
      <c r="G25" s="16"/>
      <c r="H25" s="16"/>
    </row>
    <row r="26" spans="1:10" ht="15" thickBot="1" x14ac:dyDescent="0.3">
      <c r="A26" s="25"/>
      <c r="B26" s="14"/>
      <c r="G26" s="26">
        <f>SUBTOTAL(9,G13:G25)</f>
        <v>198400.50000000003</v>
      </c>
      <c r="H26" s="26">
        <f>SUBTOTAL(9,H13:H25)</f>
        <v>168616.24999999994</v>
      </c>
    </row>
    <row r="27" spans="1:10" ht="17.25" thickTop="1" x14ac:dyDescent="0.3">
      <c r="A27" s="25" t="s">
        <v>39</v>
      </c>
      <c r="B27" s="12">
        <v>2</v>
      </c>
      <c r="D27" s="20" t="str">
        <f>"Short-Term Investments"</f>
        <v>Short-Term Investments</v>
      </c>
      <c r="E27" s="13"/>
      <c r="F27" s="13"/>
      <c r="G27" s="13"/>
      <c r="H27" s="13"/>
    </row>
    <row r="28" spans="1:10" x14ac:dyDescent="0.2">
      <c r="A28" s="25" t="s">
        <v>39</v>
      </c>
      <c r="B28" s="14"/>
      <c r="E28" s="5" t="str">
        <f>"000-1140-00"</f>
        <v>000-1140-00</v>
      </c>
      <c r="F28" s="5" t="str">
        <f>"Savings"</f>
        <v>Savings</v>
      </c>
      <c r="G28" s="15">
        <v>16316.12</v>
      </c>
      <c r="H28" s="15">
        <v>16316.12</v>
      </c>
      <c r="J28" s="4">
        <f t="shared" ref="J28" si="1">J27+1</f>
        <v>1</v>
      </c>
    </row>
    <row r="29" spans="1:10" s="4" customFormat="1" hidden="1" x14ac:dyDescent="0.2">
      <c r="A29" s="24" t="s">
        <v>40</v>
      </c>
      <c r="B29" s="14"/>
      <c r="G29" s="16"/>
      <c r="H29" s="16"/>
    </row>
    <row r="30" spans="1:10" ht="15" thickBot="1" x14ac:dyDescent="0.3">
      <c r="A30" s="25" t="s">
        <v>39</v>
      </c>
      <c r="B30" s="14"/>
      <c r="G30" s="26">
        <f>SUBTOTAL(9,G28:G29)</f>
        <v>16316.12</v>
      </c>
      <c r="H30" s="26">
        <f>SUBTOTAL(9,H28:H29)</f>
        <v>16316.12</v>
      </c>
    </row>
    <row r="31" spans="1:10" ht="17.25" thickTop="1" x14ac:dyDescent="0.3">
      <c r="A31" s="25" t="s">
        <v>39</v>
      </c>
      <c r="B31" s="12">
        <v>3</v>
      </c>
      <c r="D31" s="20" t="str">
        <f>"Accounts Receivable"</f>
        <v>Accounts Receivable</v>
      </c>
      <c r="E31" s="13"/>
      <c r="F31" s="13"/>
      <c r="G31" s="13"/>
      <c r="H31" s="13"/>
    </row>
    <row r="32" spans="1:10" x14ac:dyDescent="0.2">
      <c r="A32" s="25" t="s">
        <v>39</v>
      </c>
      <c r="B32" s="14"/>
      <c r="E32" s="5" t="str">
        <f>"000-1200-00"</f>
        <v>000-1200-00</v>
      </c>
      <c r="F32" s="5" t="str">
        <f>"Accounts Receivable"</f>
        <v>Accounts Receivable</v>
      </c>
      <c r="G32" s="15">
        <v>1760991.74</v>
      </c>
      <c r="H32" s="15">
        <v>1762853.07</v>
      </c>
      <c r="J32" s="4">
        <f t="shared" ref="J32" si="2">J31+1</f>
        <v>1</v>
      </c>
    </row>
    <row r="33" spans="1:10" x14ac:dyDescent="0.2">
      <c r="A33" s="25" t="s">
        <v>39</v>
      </c>
      <c r="B33" s="14"/>
      <c r="E33" s="5" t="str">
        <f>"000-1205-00"</f>
        <v>000-1205-00</v>
      </c>
      <c r="F33" s="5" t="str">
        <f>"Sales Discounts Available"</f>
        <v>Sales Discounts Available</v>
      </c>
      <c r="G33" s="15">
        <v>3871.03</v>
      </c>
      <c r="H33" s="15">
        <v>3871.03</v>
      </c>
      <c r="J33" s="4">
        <f t="shared" ref="J33:J51" si="3">J32+1</f>
        <v>2</v>
      </c>
    </row>
    <row r="34" spans="1:10" x14ac:dyDescent="0.2">
      <c r="A34" s="25" t="s">
        <v>39</v>
      </c>
      <c r="B34" s="14"/>
      <c r="E34" s="5" t="str">
        <f>"000-1210-00"</f>
        <v>000-1210-00</v>
      </c>
      <c r="F34" s="5" t="str">
        <f>"Allowance for Doubtful Accounts"</f>
        <v>Allowance for Doubtful Accounts</v>
      </c>
      <c r="G34" s="15">
        <v>-45963.3</v>
      </c>
      <c r="H34" s="15">
        <v>-45963.3</v>
      </c>
      <c r="J34" s="4">
        <f t="shared" si="3"/>
        <v>3</v>
      </c>
    </row>
    <row r="35" spans="1:10" x14ac:dyDescent="0.2">
      <c r="A35" s="25" t="s">
        <v>39</v>
      </c>
      <c r="B35" s="14"/>
      <c r="E35" s="5" t="str">
        <f>"000-1220-00"</f>
        <v>000-1220-00</v>
      </c>
      <c r="F35" s="5" t="str">
        <f>"Credit Card Receivable"</f>
        <v>Credit Card Receivable</v>
      </c>
      <c r="G35" s="15">
        <v>0</v>
      </c>
      <c r="H35" s="15">
        <v>0</v>
      </c>
      <c r="J35" s="4">
        <f t="shared" si="3"/>
        <v>4</v>
      </c>
    </row>
    <row r="36" spans="1:10" x14ac:dyDescent="0.2">
      <c r="A36" s="25" t="s">
        <v>39</v>
      </c>
      <c r="B36" s="14"/>
      <c r="E36" s="5" t="str">
        <f>"000-1220-01"</f>
        <v>000-1220-01</v>
      </c>
      <c r="F36" s="5" t="str">
        <f>"Credit Card Receivable-AmericaCharge"</f>
        <v>Credit Card Receivable-AmericaCharge</v>
      </c>
      <c r="G36" s="15">
        <v>22500</v>
      </c>
      <c r="H36" s="15">
        <v>22500</v>
      </c>
      <c r="J36" s="4">
        <f t="shared" si="3"/>
        <v>5</v>
      </c>
    </row>
    <row r="37" spans="1:10" x14ac:dyDescent="0.2">
      <c r="A37" s="25" t="s">
        <v>39</v>
      </c>
      <c r="B37" s="14"/>
      <c r="E37" s="5" t="str">
        <f>"000-1220-02"</f>
        <v>000-1220-02</v>
      </c>
      <c r="F37" s="5" t="str">
        <f>"Credit Card Receivable-Retail"</f>
        <v>Credit Card Receivable-Retail</v>
      </c>
      <c r="G37" s="15">
        <v>0</v>
      </c>
      <c r="H37" s="15">
        <v>0</v>
      </c>
      <c r="J37" s="4">
        <f t="shared" si="3"/>
        <v>6</v>
      </c>
    </row>
    <row r="38" spans="1:10" x14ac:dyDescent="0.2">
      <c r="A38" s="25" t="s">
        <v>39</v>
      </c>
      <c r="B38" s="14"/>
      <c r="E38" s="5" t="str">
        <f>"000-1220-03"</f>
        <v>000-1220-03</v>
      </c>
      <c r="F38" s="5" t="str">
        <f>"Credit Card Receivable-Gold"</f>
        <v>Credit Card Receivable-Gold</v>
      </c>
      <c r="G38" s="15">
        <v>0</v>
      </c>
      <c r="H38" s="15">
        <v>0</v>
      </c>
      <c r="J38" s="4">
        <f t="shared" si="3"/>
        <v>7</v>
      </c>
    </row>
    <row r="39" spans="1:10" x14ac:dyDescent="0.2">
      <c r="A39" s="25" t="s">
        <v>39</v>
      </c>
      <c r="B39" s="14"/>
      <c r="E39" s="5" t="str">
        <f>"000-1220-04"</f>
        <v>000-1220-04</v>
      </c>
      <c r="F39" s="5" t="str">
        <f>"Credit Card Receivable-Platinum"</f>
        <v>Credit Card Receivable-Platinum</v>
      </c>
      <c r="G39" s="15">
        <v>0</v>
      </c>
      <c r="H39" s="15">
        <v>0</v>
      </c>
      <c r="J39" s="4">
        <f t="shared" si="3"/>
        <v>8</v>
      </c>
    </row>
    <row r="40" spans="1:10" x14ac:dyDescent="0.2">
      <c r="A40" s="25" t="s">
        <v>39</v>
      </c>
      <c r="B40" s="14"/>
      <c r="E40" s="5" t="str">
        <f>"000-1230-00"</f>
        <v>000-1230-00</v>
      </c>
      <c r="F40" s="5" t="str">
        <f>"Interest Receivable"</f>
        <v>Interest Receivable</v>
      </c>
      <c r="G40" s="15">
        <v>250</v>
      </c>
      <c r="H40" s="15">
        <v>250</v>
      </c>
      <c r="J40" s="4">
        <f t="shared" si="3"/>
        <v>9</v>
      </c>
    </row>
    <row r="41" spans="1:10" x14ac:dyDescent="0.2">
      <c r="A41" s="25" t="s">
        <v>39</v>
      </c>
      <c r="B41" s="14"/>
      <c r="E41" s="5" t="str">
        <f>"000-1250-00"</f>
        <v>000-1250-00</v>
      </c>
      <c r="F41" s="5" t="str">
        <f>"Other Receivables"</f>
        <v>Other Receivables</v>
      </c>
      <c r="G41" s="15">
        <v>0</v>
      </c>
      <c r="H41" s="15">
        <v>0</v>
      </c>
      <c r="J41" s="4">
        <f t="shared" si="3"/>
        <v>10</v>
      </c>
    </row>
    <row r="42" spans="1:10" x14ac:dyDescent="0.2">
      <c r="A42" s="25" t="s">
        <v>39</v>
      </c>
      <c r="B42" s="14"/>
      <c r="E42" s="5" t="str">
        <f>"000-1260-00"</f>
        <v>000-1260-00</v>
      </c>
      <c r="F42" s="5" t="str">
        <f>"Employee Advances"</f>
        <v>Employee Advances</v>
      </c>
      <c r="G42" s="15">
        <v>250</v>
      </c>
      <c r="H42" s="15">
        <v>250</v>
      </c>
      <c r="J42" s="4">
        <f t="shared" si="3"/>
        <v>11</v>
      </c>
    </row>
    <row r="43" spans="1:10" x14ac:dyDescent="0.2">
      <c r="A43" s="25" t="s">
        <v>39</v>
      </c>
      <c r="B43" s="14"/>
      <c r="E43" s="5" t="str">
        <f>"000-1270-00"</f>
        <v>000-1270-00</v>
      </c>
      <c r="F43" s="5" t="str">
        <f>"Accounts Receivable-MC Trx"</f>
        <v>Accounts Receivable-MC Trx</v>
      </c>
      <c r="G43" s="15">
        <v>0</v>
      </c>
      <c r="H43" s="15">
        <v>0</v>
      </c>
      <c r="J43" s="4">
        <f t="shared" si="3"/>
        <v>12</v>
      </c>
    </row>
    <row r="44" spans="1:10" x14ac:dyDescent="0.2">
      <c r="A44" s="25" t="s">
        <v>39</v>
      </c>
      <c r="B44" s="14"/>
      <c r="E44" s="5" t="str">
        <f>"000-1271-00"</f>
        <v>000-1271-00</v>
      </c>
      <c r="F44" s="5" t="str">
        <f>"Accounts Receivable - Canada"</f>
        <v>Accounts Receivable - Canada</v>
      </c>
      <c r="G44" s="15">
        <v>26757.58</v>
      </c>
      <c r="H44" s="15">
        <v>26757.58</v>
      </c>
      <c r="J44" s="4">
        <f t="shared" si="3"/>
        <v>13</v>
      </c>
    </row>
    <row r="45" spans="1:10" x14ac:dyDescent="0.2">
      <c r="A45" s="25" t="s">
        <v>39</v>
      </c>
      <c r="B45" s="14"/>
      <c r="E45" s="5" t="str">
        <f>"000-1272-00"</f>
        <v>000-1272-00</v>
      </c>
      <c r="F45" s="5" t="str">
        <f>"Accounts Receivables - Australia"</f>
        <v>Accounts Receivables - Australia</v>
      </c>
      <c r="G45" s="15">
        <v>11164.46</v>
      </c>
      <c r="H45" s="15">
        <v>11164.46</v>
      </c>
      <c r="J45" s="4">
        <f t="shared" si="3"/>
        <v>14</v>
      </c>
    </row>
    <row r="46" spans="1:10" x14ac:dyDescent="0.2">
      <c r="A46" s="25" t="s">
        <v>39</v>
      </c>
      <c r="B46" s="14"/>
      <c r="E46" s="5" t="str">
        <f>"000-1273-00"</f>
        <v>000-1273-00</v>
      </c>
      <c r="F46" s="5" t="str">
        <f>"Accounts Receivable - New Zealand"</f>
        <v>Accounts Receivable - New Zealand</v>
      </c>
      <c r="G46" s="15">
        <v>9381.7900000000009</v>
      </c>
      <c r="H46" s="15">
        <v>9381.7900000000009</v>
      </c>
      <c r="J46" s="4">
        <f t="shared" si="3"/>
        <v>15</v>
      </c>
    </row>
    <row r="47" spans="1:10" x14ac:dyDescent="0.2">
      <c r="A47" s="25" t="s">
        <v>39</v>
      </c>
      <c r="B47" s="14"/>
      <c r="E47" s="5" t="str">
        <f>"000-1274-00"</f>
        <v>000-1274-00</v>
      </c>
      <c r="F47" s="5" t="str">
        <f>"Accounts Receivable - Germany"</f>
        <v>Accounts Receivable - Germany</v>
      </c>
      <c r="G47" s="15">
        <v>0</v>
      </c>
      <c r="H47" s="15">
        <v>0</v>
      </c>
      <c r="J47" s="4">
        <f t="shared" si="3"/>
        <v>16</v>
      </c>
    </row>
    <row r="48" spans="1:10" x14ac:dyDescent="0.2">
      <c r="A48" s="25" t="s">
        <v>39</v>
      </c>
      <c r="B48" s="14"/>
      <c r="E48" s="5" t="str">
        <f>"000-1275-00"</f>
        <v>000-1275-00</v>
      </c>
      <c r="F48" s="5" t="str">
        <f>"Accounts Receivable - United Kingdom"</f>
        <v>Accounts Receivable - United Kingdom</v>
      </c>
      <c r="G48" s="15">
        <v>2003.24</v>
      </c>
      <c r="H48" s="15">
        <v>2003.24</v>
      </c>
      <c r="J48" s="4">
        <f t="shared" si="3"/>
        <v>17</v>
      </c>
    </row>
    <row r="49" spans="1:10" x14ac:dyDescent="0.2">
      <c r="A49" s="25" t="s">
        <v>39</v>
      </c>
      <c r="B49" s="14"/>
      <c r="E49" s="5" t="str">
        <f>"000-1276-00"</f>
        <v>000-1276-00</v>
      </c>
      <c r="F49" s="5" t="str">
        <f>"Accounts Receivable - South Africa"</f>
        <v>Accounts Receivable - South Africa</v>
      </c>
      <c r="G49" s="15">
        <v>6772.78</v>
      </c>
      <c r="H49" s="15">
        <v>6772.78</v>
      </c>
      <c r="J49" s="4">
        <f t="shared" si="3"/>
        <v>18</v>
      </c>
    </row>
    <row r="50" spans="1:10" x14ac:dyDescent="0.2">
      <c r="A50" s="25" t="s">
        <v>39</v>
      </c>
      <c r="B50" s="14"/>
      <c r="E50" s="5" t="str">
        <f>"000-1277-00"</f>
        <v>000-1277-00</v>
      </c>
      <c r="F50" s="5" t="str">
        <f>"Accounts Receivable - Singapore"</f>
        <v>Accounts Receivable - Singapore</v>
      </c>
      <c r="G50" s="15">
        <v>3221.71</v>
      </c>
      <c r="H50" s="15">
        <v>3221.71</v>
      </c>
      <c r="J50" s="4">
        <f t="shared" si="3"/>
        <v>19</v>
      </c>
    </row>
    <row r="51" spans="1:10" x14ac:dyDescent="0.2">
      <c r="A51" s="25" t="s">
        <v>39</v>
      </c>
      <c r="B51" s="14"/>
      <c r="E51" s="5" t="str">
        <f>"000-1280-00"</f>
        <v>000-1280-00</v>
      </c>
      <c r="F51" s="5" t="str">
        <f>"Unbilled Accounts Receivable"</f>
        <v>Unbilled Accounts Receivable</v>
      </c>
      <c r="G51" s="15">
        <v>0</v>
      </c>
      <c r="H51" s="15">
        <v>0</v>
      </c>
      <c r="J51" s="4">
        <f t="shared" si="3"/>
        <v>20</v>
      </c>
    </row>
    <row r="52" spans="1:10" s="4" customFormat="1" hidden="1" x14ac:dyDescent="0.2">
      <c r="A52" s="24" t="s">
        <v>40</v>
      </c>
      <c r="B52" s="14"/>
      <c r="G52" s="16"/>
      <c r="H52" s="16"/>
    </row>
    <row r="53" spans="1:10" ht="15" thickBot="1" x14ac:dyDescent="0.3">
      <c r="A53" s="25" t="s">
        <v>39</v>
      </c>
      <c r="B53" s="14"/>
      <c r="G53" s="26">
        <f>SUBTOTAL(9,G32:G52)</f>
        <v>1801201.03</v>
      </c>
      <c r="H53" s="26">
        <f>SUBTOTAL(9,H32:H52)</f>
        <v>1803062.36</v>
      </c>
    </row>
    <row r="54" spans="1:10" ht="17.25" thickTop="1" x14ac:dyDescent="0.3">
      <c r="A54" s="25" t="s">
        <v>39</v>
      </c>
      <c r="B54" s="12">
        <v>4</v>
      </c>
      <c r="D54" s="20" t="str">
        <f>"Notes Receivable"</f>
        <v>Notes Receivable</v>
      </c>
      <c r="E54" s="13"/>
      <c r="F54" s="13"/>
      <c r="G54" s="13"/>
      <c r="H54" s="13"/>
    </row>
    <row r="55" spans="1:10" x14ac:dyDescent="0.2">
      <c r="A55" s="25" t="s">
        <v>39</v>
      </c>
      <c r="B55" s="14"/>
      <c r="E55" s="5" t="str">
        <f>"000-1240-00"</f>
        <v>000-1240-00</v>
      </c>
      <c r="F55" s="5" t="str">
        <f>"Notes Receivable"</f>
        <v>Notes Receivable</v>
      </c>
      <c r="G55" s="15">
        <v>5000</v>
      </c>
      <c r="H55" s="15">
        <v>5000</v>
      </c>
      <c r="J55" s="4">
        <f t="shared" ref="J55" si="4">J54+1</f>
        <v>1</v>
      </c>
    </row>
    <row r="56" spans="1:10" s="4" customFormat="1" hidden="1" x14ac:dyDescent="0.2">
      <c r="A56" s="24" t="s">
        <v>40</v>
      </c>
      <c r="B56" s="14"/>
      <c r="G56" s="16"/>
      <c r="H56" s="16"/>
    </row>
    <row r="57" spans="1:10" ht="15" thickBot="1" x14ac:dyDescent="0.3">
      <c r="A57" s="25" t="s">
        <v>39</v>
      </c>
      <c r="B57" s="14"/>
      <c r="G57" s="26">
        <f>SUBTOTAL(9,G55:G56)</f>
        <v>5000</v>
      </c>
      <c r="H57" s="26">
        <f>SUBTOTAL(9,H55:H56)</f>
        <v>5000</v>
      </c>
    </row>
    <row r="58" spans="1:10" ht="17.25" thickTop="1" x14ac:dyDescent="0.3">
      <c r="A58" s="25" t="s">
        <v>39</v>
      </c>
      <c r="B58" s="12">
        <v>5</v>
      </c>
      <c r="D58" s="20" t="str">
        <f>"Inventory"</f>
        <v>Inventory</v>
      </c>
      <c r="E58" s="13"/>
      <c r="F58" s="13"/>
      <c r="G58" s="13"/>
      <c r="H58" s="13"/>
    </row>
    <row r="59" spans="1:10" x14ac:dyDescent="0.2">
      <c r="A59" s="25" t="s">
        <v>39</v>
      </c>
      <c r="B59" s="14"/>
      <c r="E59" s="5" t="str">
        <f>"000-1300-01"</f>
        <v>000-1300-01</v>
      </c>
      <c r="F59" s="5" t="str">
        <f>"Inventory - Retail/Parts"</f>
        <v>Inventory - Retail/Parts</v>
      </c>
      <c r="G59" s="15">
        <v>396300.16</v>
      </c>
      <c r="H59" s="15">
        <v>358486.73</v>
      </c>
      <c r="J59" s="4">
        <f t="shared" ref="J59" si="5">J58+1</f>
        <v>1</v>
      </c>
    </row>
    <row r="60" spans="1:10" x14ac:dyDescent="0.2">
      <c r="A60" s="25" t="s">
        <v>39</v>
      </c>
      <c r="B60" s="14"/>
      <c r="E60" s="5" t="str">
        <f>"000-1300-02"</f>
        <v>000-1300-02</v>
      </c>
      <c r="F60" s="5" t="str">
        <f>"Inventory - Finished Goods"</f>
        <v>Inventory - Finished Goods</v>
      </c>
      <c r="G60" s="15">
        <v>64760.11</v>
      </c>
      <c r="H60" s="15">
        <v>63657.21</v>
      </c>
      <c r="J60" s="4">
        <f t="shared" ref="J60:J86" si="6">J59+1</f>
        <v>2</v>
      </c>
    </row>
    <row r="61" spans="1:10" x14ac:dyDescent="0.2">
      <c r="A61" s="25" t="s">
        <v>39</v>
      </c>
      <c r="B61" s="14"/>
      <c r="E61" s="5" t="str">
        <f>"000-1310-01"</f>
        <v>000-1310-01</v>
      </c>
      <c r="F61" s="5" t="str">
        <f>"Inventory Warehouse - Retail/Parts"</f>
        <v>Inventory Warehouse - Retail/Parts</v>
      </c>
      <c r="G61" s="15">
        <v>62613.94</v>
      </c>
      <c r="H61" s="15">
        <v>62613.94</v>
      </c>
      <c r="J61" s="4">
        <f t="shared" si="6"/>
        <v>3</v>
      </c>
    </row>
    <row r="62" spans="1:10" x14ac:dyDescent="0.2">
      <c r="A62" s="25" t="s">
        <v>39</v>
      </c>
      <c r="B62" s="14"/>
      <c r="E62" s="5" t="str">
        <f>"000-1312-00"</f>
        <v>000-1312-00</v>
      </c>
      <c r="F62" s="5" t="str">
        <f>"Inventory Offset"</f>
        <v>Inventory Offset</v>
      </c>
      <c r="G62" s="15">
        <v>-722.7</v>
      </c>
      <c r="H62" s="15">
        <v>-1007.3</v>
      </c>
      <c r="J62" s="4">
        <f t="shared" si="6"/>
        <v>4</v>
      </c>
    </row>
    <row r="63" spans="1:10" x14ac:dyDescent="0.2">
      <c r="A63" s="25" t="s">
        <v>39</v>
      </c>
      <c r="B63" s="14"/>
      <c r="E63" s="5" t="str">
        <f>"000-1320-01"</f>
        <v>000-1320-01</v>
      </c>
      <c r="F63" s="5" t="str">
        <f>"Non-inventoried item"</f>
        <v>Non-inventoried item</v>
      </c>
      <c r="G63" s="15">
        <v>0</v>
      </c>
      <c r="H63" s="15">
        <v>0</v>
      </c>
      <c r="J63" s="4">
        <f t="shared" si="6"/>
        <v>5</v>
      </c>
    </row>
    <row r="64" spans="1:10" x14ac:dyDescent="0.2">
      <c r="A64" s="25" t="s">
        <v>39</v>
      </c>
      <c r="B64" s="14"/>
      <c r="E64" s="5" t="str">
        <f>"000-1330-01"</f>
        <v>000-1330-01</v>
      </c>
      <c r="F64" s="5" t="str">
        <f>"Inventory Returns - Retail/Parts"</f>
        <v>Inventory Returns - Retail/Parts</v>
      </c>
      <c r="G64" s="15">
        <v>0</v>
      </c>
      <c r="H64" s="15">
        <v>0</v>
      </c>
      <c r="J64" s="4">
        <f t="shared" si="6"/>
        <v>6</v>
      </c>
    </row>
    <row r="65" spans="1:10" x14ac:dyDescent="0.2">
      <c r="A65" s="25" t="s">
        <v>39</v>
      </c>
      <c r="B65" s="14"/>
      <c r="E65" s="5" t="str">
        <f>"000-1330-02"</f>
        <v>000-1330-02</v>
      </c>
      <c r="F65" s="5" t="str">
        <f>"Inventory Returns - Finished Goods"</f>
        <v>Inventory Returns - Finished Goods</v>
      </c>
      <c r="G65" s="15">
        <v>0</v>
      </c>
      <c r="H65" s="15">
        <v>0</v>
      </c>
      <c r="J65" s="4">
        <f t="shared" si="6"/>
        <v>7</v>
      </c>
    </row>
    <row r="66" spans="1:10" x14ac:dyDescent="0.2">
      <c r="A66" s="25" t="s">
        <v>39</v>
      </c>
      <c r="B66" s="14"/>
      <c r="E66" s="5" t="str">
        <f>"000-1330-03"</f>
        <v>000-1330-03</v>
      </c>
      <c r="F66" s="5" t="str">
        <f>"Inventory Returns - Warehouse"</f>
        <v>Inventory Returns - Warehouse</v>
      </c>
      <c r="G66" s="15">
        <v>0</v>
      </c>
      <c r="H66" s="15">
        <v>0</v>
      </c>
      <c r="J66" s="4">
        <f t="shared" si="6"/>
        <v>8</v>
      </c>
    </row>
    <row r="67" spans="1:10" x14ac:dyDescent="0.2">
      <c r="A67" s="25" t="s">
        <v>39</v>
      </c>
      <c r="B67" s="14"/>
      <c r="E67" s="5" t="str">
        <f>"000-1350-02"</f>
        <v>000-1350-02</v>
      </c>
      <c r="F67" s="5" t="str">
        <f>"Inventory - Mat. Fixed OH"</f>
        <v>Inventory - Mat. Fixed OH</v>
      </c>
      <c r="G67" s="15">
        <v>0</v>
      </c>
      <c r="H67" s="15">
        <v>0</v>
      </c>
      <c r="J67" s="4">
        <f t="shared" si="6"/>
        <v>9</v>
      </c>
    </row>
    <row r="68" spans="1:10" x14ac:dyDescent="0.2">
      <c r="A68" s="25" t="s">
        <v>39</v>
      </c>
      <c r="B68" s="14"/>
      <c r="E68" s="5" t="str">
        <f>"000-1350-03"</f>
        <v>000-1350-03</v>
      </c>
      <c r="F68" s="5" t="str">
        <f>"Inventory - Mat. Var. OH"</f>
        <v>Inventory - Mat. Var. OH</v>
      </c>
      <c r="G68" s="15">
        <v>0</v>
      </c>
      <c r="H68" s="15">
        <v>0</v>
      </c>
      <c r="J68" s="4">
        <f t="shared" si="6"/>
        <v>10</v>
      </c>
    </row>
    <row r="69" spans="1:10" x14ac:dyDescent="0.2">
      <c r="A69" s="25" t="s">
        <v>39</v>
      </c>
      <c r="B69" s="14"/>
      <c r="E69" s="5" t="str">
        <f>"000-1350-04"</f>
        <v>000-1350-04</v>
      </c>
      <c r="F69" s="5" t="str">
        <f>"Inventory - Labor"</f>
        <v>Inventory - Labor</v>
      </c>
      <c r="G69" s="15">
        <v>0</v>
      </c>
      <c r="H69" s="15">
        <v>0</v>
      </c>
      <c r="J69" s="4">
        <f t="shared" si="6"/>
        <v>11</v>
      </c>
    </row>
    <row r="70" spans="1:10" x14ac:dyDescent="0.2">
      <c r="A70" s="25" t="s">
        <v>39</v>
      </c>
      <c r="B70" s="14"/>
      <c r="E70" s="5" t="str">
        <f>"000-1350-05"</f>
        <v>000-1350-05</v>
      </c>
      <c r="F70" s="5" t="str">
        <f>"Inventory - Labor Fixed OH"</f>
        <v>Inventory - Labor Fixed OH</v>
      </c>
      <c r="G70" s="15">
        <v>0</v>
      </c>
      <c r="H70" s="15">
        <v>0</v>
      </c>
      <c r="J70" s="4">
        <f t="shared" si="6"/>
        <v>12</v>
      </c>
    </row>
    <row r="71" spans="1:10" x14ac:dyDescent="0.2">
      <c r="A71" s="25" t="s">
        <v>39</v>
      </c>
      <c r="B71" s="14"/>
      <c r="E71" s="5" t="str">
        <f>"000-1350-06"</f>
        <v>000-1350-06</v>
      </c>
      <c r="F71" s="5" t="str">
        <f>"Inventory - Labor Var. OH"</f>
        <v>Inventory - Labor Var. OH</v>
      </c>
      <c r="G71" s="15">
        <v>0</v>
      </c>
      <c r="H71" s="15">
        <v>0</v>
      </c>
      <c r="J71" s="4">
        <f t="shared" si="6"/>
        <v>13</v>
      </c>
    </row>
    <row r="72" spans="1:10" x14ac:dyDescent="0.2">
      <c r="A72" s="25" t="s">
        <v>39</v>
      </c>
      <c r="B72" s="14"/>
      <c r="E72" s="5" t="str">
        <f>"000-1350-07"</f>
        <v>000-1350-07</v>
      </c>
      <c r="F72" s="5" t="str">
        <f>"Inventory - Machine"</f>
        <v>Inventory - Machine</v>
      </c>
      <c r="G72" s="15">
        <v>0</v>
      </c>
      <c r="H72" s="15">
        <v>0</v>
      </c>
      <c r="J72" s="4">
        <f t="shared" si="6"/>
        <v>14</v>
      </c>
    </row>
    <row r="73" spans="1:10" x14ac:dyDescent="0.2">
      <c r="A73" s="25" t="s">
        <v>39</v>
      </c>
      <c r="B73" s="14"/>
      <c r="E73" s="5" t="str">
        <f>"000-1350-08"</f>
        <v>000-1350-08</v>
      </c>
      <c r="F73" s="5" t="str">
        <f>"Inventory - Mach. Fixed OH"</f>
        <v>Inventory - Mach. Fixed OH</v>
      </c>
      <c r="G73" s="15">
        <v>0</v>
      </c>
      <c r="H73" s="15">
        <v>0</v>
      </c>
      <c r="J73" s="4">
        <f t="shared" si="6"/>
        <v>15</v>
      </c>
    </row>
    <row r="74" spans="1:10" x14ac:dyDescent="0.2">
      <c r="A74" s="25" t="s">
        <v>39</v>
      </c>
      <c r="B74" s="14"/>
      <c r="E74" s="5" t="str">
        <f>"000-1350-09"</f>
        <v>000-1350-09</v>
      </c>
      <c r="F74" s="5" t="str">
        <f>"Inventory - Mach. Var. OH"</f>
        <v>Inventory - Mach. Var. OH</v>
      </c>
      <c r="G74" s="15">
        <v>0</v>
      </c>
      <c r="H74" s="15">
        <v>0</v>
      </c>
      <c r="J74" s="4">
        <f t="shared" si="6"/>
        <v>16</v>
      </c>
    </row>
    <row r="75" spans="1:10" x14ac:dyDescent="0.2">
      <c r="A75" s="25" t="s">
        <v>39</v>
      </c>
      <c r="B75" s="14"/>
      <c r="E75" s="5" t="str">
        <f>"000-1390-00"</f>
        <v>000-1390-00</v>
      </c>
      <c r="F75" s="5" t="str">
        <f>"Standard Cost Revaluation"</f>
        <v>Standard Cost Revaluation</v>
      </c>
      <c r="G75" s="15">
        <v>0</v>
      </c>
      <c r="H75" s="15">
        <v>0</v>
      </c>
      <c r="J75" s="4">
        <f t="shared" si="6"/>
        <v>17</v>
      </c>
    </row>
    <row r="76" spans="1:10" x14ac:dyDescent="0.2">
      <c r="A76" s="25" t="s">
        <v>39</v>
      </c>
      <c r="B76" s="14"/>
      <c r="E76" s="5" t="str">
        <f>"000-2735-00"</f>
        <v>000-2735-00</v>
      </c>
      <c r="F76" s="5" t="str">
        <f>"Purchases Clearing Acct for Inventory"</f>
        <v>Purchases Clearing Acct for Inventory</v>
      </c>
      <c r="G76" s="15">
        <v>-44618.55</v>
      </c>
      <c r="H76" s="15">
        <v>-44618.55</v>
      </c>
      <c r="J76" s="4">
        <f t="shared" si="6"/>
        <v>18</v>
      </c>
    </row>
    <row r="77" spans="1:10" x14ac:dyDescent="0.2">
      <c r="A77" s="25" t="s">
        <v>39</v>
      </c>
      <c r="B77" s="14"/>
      <c r="E77" s="5" t="str">
        <f>"000-4750-01"</f>
        <v>000-4750-01</v>
      </c>
      <c r="F77" s="5" t="str">
        <f>"Variance - Material"</f>
        <v>Variance - Material</v>
      </c>
      <c r="G77" s="15">
        <v>0</v>
      </c>
      <c r="H77" s="15">
        <v>0</v>
      </c>
      <c r="J77" s="4">
        <f t="shared" si="6"/>
        <v>19</v>
      </c>
    </row>
    <row r="78" spans="1:10" x14ac:dyDescent="0.2">
      <c r="A78" s="25" t="s">
        <v>39</v>
      </c>
      <c r="B78" s="14"/>
      <c r="E78" s="5" t="str">
        <f>"000-4750-02"</f>
        <v>000-4750-02</v>
      </c>
      <c r="F78" s="5" t="str">
        <f>"Variance - Mat. Fixed OH"</f>
        <v>Variance - Mat. Fixed OH</v>
      </c>
      <c r="G78" s="15">
        <v>0</v>
      </c>
      <c r="H78" s="15">
        <v>0</v>
      </c>
      <c r="J78" s="4">
        <f t="shared" si="6"/>
        <v>20</v>
      </c>
    </row>
    <row r="79" spans="1:10" x14ac:dyDescent="0.2">
      <c r="A79" s="25" t="s">
        <v>39</v>
      </c>
      <c r="B79" s="14"/>
      <c r="E79" s="5" t="str">
        <f>"000-4750-03"</f>
        <v>000-4750-03</v>
      </c>
      <c r="F79" s="5" t="str">
        <f>"Variance - Mat. Var. OH"</f>
        <v>Variance - Mat. Var. OH</v>
      </c>
      <c r="G79" s="15">
        <v>0</v>
      </c>
      <c r="H79" s="15">
        <v>0</v>
      </c>
      <c r="J79" s="4">
        <f t="shared" si="6"/>
        <v>21</v>
      </c>
    </row>
    <row r="80" spans="1:10" x14ac:dyDescent="0.2">
      <c r="A80" s="25" t="s">
        <v>39</v>
      </c>
      <c r="B80" s="14"/>
      <c r="E80" s="5" t="str">
        <f>"000-4750-04"</f>
        <v>000-4750-04</v>
      </c>
      <c r="F80" s="5" t="str">
        <f>"Variance - Labor"</f>
        <v>Variance - Labor</v>
      </c>
      <c r="G80" s="15">
        <v>0</v>
      </c>
      <c r="H80" s="15">
        <v>0</v>
      </c>
      <c r="J80" s="4">
        <f t="shared" si="6"/>
        <v>22</v>
      </c>
    </row>
    <row r="81" spans="1:10" x14ac:dyDescent="0.2">
      <c r="A81" s="25" t="s">
        <v>39</v>
      </c>
      <c r="B81" s="14"/>
      <c r="E81" s="5" t="str">
        <f>"000-4750-05"</f>
        <v>000-4750-05</v>
      </c>
      <c r="F81" s="5" t="str">
        <f>"Variance - Labor Fixed OH"</f>
        <v>Variance - Labor Fixed OH</v>
      </c>
      <c r="G81" s="15">
        <v>0</v>
      </c>
      <c r="H81" s="15">
        <v>0</v>
      </c>
      <c r="J81" s="4">
        <f t="shared" si="6"/>
        <v>23</v>
      </c>
    </row>
    <row r="82" spans="1:10" x14ac:dyDescent="0.2">
      <c r="A82" s="25" t="s">
        <v>39</v>
      </c>
      <c r="B82" s="14"/>
      <c r="E82" s="5" t="str">
        <f>"000-4750-06"</f>
        <v>000-4750-06</v>
      </c>
      <c r="F82" s="5" t="str">
        <f>"Variance - Labor Var. OH"</f>
        <v>Variance - Labor Var. OH</v>
      </c>
      <c r="G82" s="15">
        <v>0</v>
      </c>
      <c r="H82" s="15">
        <v>0</v>
      </c>
      <c r="J82" s="4">
        <f t="shared" si="6"/>
        <v>24</v>
      </c>
    </row>
    <row r="83" spans="1:10" x14ac:dyDescent="0.2">
      <c r="A83" s="25" t="s">
        <v>39</v>
      </c>
      <c r="B83" s="14"/>
      <c r="E83" s="5" t="str">
        <f>"000-4750-07"</f>
        <v>000-4750-07</v>
      </c>
      <c r="F83" s="5" t="str">
        <f>"Variance - Machine"</f>
        <v>Variance - Machine</v>
      </c>
      <c r="G83" s="15">
        <v>0</v>
      </c>
      <c r="H83" s="15">
        <v>0</v>
      </c>
      <c r="J83" s="4">
        <f t="shared" si="6"/>
        <v>25</v>
      </c>
    </row>
    <row r="84" spans="1:10" x14ac:dyDescent="0.2">
      <c r="A84" s="25" t="s">
        <v>39</v>
      </c>
      <c r="B84" s="14"/>
      <c r="E84" s="5" t="str">
        <f>"000-4750-08"</f>
        <v>000-4750-08</v>
      </c>
      <c r="F84" s="5" t="str">
        <f>"Variance - Mach. Fixed OH"</f>
        <v>Variance - Mach. Fixed OH</v>
      </c>
      <c r="G84" s="15">
        <v>0</v>
      </c>
      <c r="H84" s="15">
        <v>0</v>
      </c>
      <c r="J84" s="4">
        <f t="shared" si="6"/>
        <v>26</v>
      </c>
    </row>
    <row r="85" spans="1:10" x14ac:dyDescent="0.2">
      <c r="A85" s="25" t="s">
        <v>39</v>
      </c>
      <c r="B85" s="14"/>
      <c r="E85" s="5" t="str">
        <f>"000-4750-09"</f>
        <v>000-4750-09</v>
      </c>
      <c r="F85" s="5" t="str">
        <f>"Variance - Mach. Var OH"</f>
        <v>Variance - Mach. Var OH</v>
      </c>
      <c r="G85" s="15">
        <v>0</v>
      </c>
      <c r="H85" s="15">
        <v>0</v>
      </c>
      <c r="J85" s="4">
        <f t="shared" si="6"/>
        <v>27</v>
      </c>
    </row>
    <row r="86" spans="1:10" x14ac:dyDescent="0.2">
      <c r="A86" s="25" t="s">
        <v>39</v>
      </c>
      <c r="B86" s="14"/>
      <c r="E86" s="5" t="str">
        <f>"000-7410-00"</f>
        <v>000-7410-00</v>
      </c>
      <c r="F86" s="5" t="str">
        <f>"MFG Rounding"</f>
        <v>MFG Rounding</v>
      </c>
      <c r="G86" s="15">
        <v>0</v>
      </c>
      <c r="H86" s="15">
        <v>0</v>
      </c>
      <c r="J86" s="4">
        <f t="shared" si="6"/>
        <v>28</v>
      </c>
    </row>
    <row r="87" spans="1:10" s="4" customFormat="1" hidden="1" x14ac:dyDescent="0.2">
      <c r="A87" s="24" t="s">
        <v>40</v>
      </c>
      <c r="B87" s="14"/>
      <c r="G87" s="16"/>
      <c r="H87" s="16"/>
    </row>
    <row r="88" spans="1:10" ht="15" thickBot="1" x14ac:dyDescent="0.3">
      <c r="A88" s="25" t="s">
        <v>39</v>
      </c>
      <c r="B88" s="14"/>
      <c r="G88" s="26">
        <f>SUBTOTAL(9,G59:G87)</f>
        <v>478332.95999999996</v>
      </c>
      <c r="H88" s="26">
        <f>SUBTOTAL(9,H59:H87)</f>
        <v>439132.03</v>
      </c>
    </row>
    <row r="89" spans="1:10" ht="17.25" thickTop="1" x14ac:dyDescent="0.3">
      <c r="A89" s="25" t="s">
        <v>39</v>
      </c>
      <c r="B89" s="12">
        <v>6</v>
      </c>
      <c r="D89" s="20" t="str">
        <f>"Work in Process"</f>
        <v>Work in Process</v>
      </c>
      <c r="E89" s="13"/>
      <c r="F89" s="13"/>
      <c r="G89" s="13"/>
      <c r="H89" s="13"/>
    </row>
    <row r="90" spans="1:10" x14ac:dyDescent="0.2">
      <c r="A90" s="25" t="s">
        <v>39</v>
      </c>
      <c r="B90" s="14"/>
      <c r="E90" s="5" t="str">
        <f>"000-1340-01"</f>
        <v>000-1340-01</v>
      </c>
      <c r="F90" s="5" t="str">
        <f>"Work in Progress"</f>
        <v>Work in Progress</v>
      </c>
      <c r="G90" s="15">
        <v>0</v>
      </c>
      <c r="H90" s="15">
        <v>0</v>
      </c>
      <c r="J90" s="4">
        <f t="shared" ref="J90" si="7">J89+1</f>
        <v>1</v>
      </c>
    </row>
    <row r="91" spans="1:10" x14ac:dyDescent="0.2">
      <c r="A91" s="25" t="s">
        <v>39</v>
      </c>
      <c r="B91" s="14"/>
      <c r="E91" s="5" t="str">
        <f>"000-1360-01"</f>
        <v>000-1360-01</v>
      </c>
      <c r="F91" s="5" t="str">
        <f>"WIP - Material"</f>
        <v>WIP - Material</v>
      </c>
      <c r="G91" s="15">
        <v>0</v>
      </c>
      <c r="H91" s="15">
        <v>0</v>
      </c>
      <c r="J91" s="4">
        <f t="shared" ref="J91:J107" si="8">J90+1</f>
        <v>2</v>
      </c>
    </row>
    <row r="92" spans="1:10" x14ac:dyDescent="0.2">
      <c r="A92" s="25" t="s">
        <v>39</v>
      </c>
      <c r="B92" s="14"/>
      <c r="E92" s="5" t="str">
        <f>"000-1360-02"</f>
        <v>000-1360-02</v>
      </c>
      <c r="F92" s="5" t="str">
        <f>"WIP - Material Fixed OH"</f>
        <v>WIP - Material Fixed OH</v>
      </c>
      <c r="G92" s="15">
        <v>0</v>
      </c>
      <c r="H92" s="15">
        <v>0</v>
      </c>
      <c r="J92" s="4">
        <f t="shared" si="8"/>
        <v>3</v>
      </c>
    </row>
    <row r="93" spans="1:10" x14ac:dyDescent="0.2">
      <c r="A93" s="25" t="s">
        <v>39</v>
      </c>
      <c r="B93" s="14"/>
      <c r="E93" s="5" t="str">
        <f>"000-1360-03"</f>
        <v>000-1360-03</v>
      </c>
      <c r="F93" s="5" t="str">
        <f>"WIP - Material Var. OH"</f>
        <v>WIP - Material Var. OH</v>
      </c>
      <c r="G93" s="15">
        <v>0</v>
      </c>
      <c r="H93" s="15">
        <v>0</v>
      </c>
      <c r="J93" s="4">
        <f t="shared" si="8"/>
        <v>4</v>
      </c>
    </row>
    <row r="94" spans="1:10" x14ac:dyDescent="0.2">
      <c r="A94" s="25" t="s">
        <v>39</v>
      </c>
      <c r="B94" s="14"/>
      <c r="E94" s="5" t="str">
        <f>"000-1360-04"</f>
        <v>000-1360-04</v>
      </c>
      <c r="F94" s="5" t="str">
        <f>"WIP - Labor"</f>
        <v>WIP - Labor</v>
      </c>
      <c r="G94" s="15">
        <v>0</v>
      </c>
      <c r="H94" s="15">
        <v>0</v>
      </c>
      <c r="J94" s="4">
        <f t="shared" si="8"/>
        <v>5</v>
      </c>
    </row>
    <row r="95" spans="1:10" x14ac:dyDescent="0.2">
      <c r="A95" s="25" t="s">
        <v>39</v>
      </c>
      <c r="B95" s="14"/>
      <c r="E95" s="5" t="str">
        <f>"000-1360-05"</f>
        <v>000-1360-05</v>
      </c>
      <c r="F95" s="5" t="str">
        <f>"WIP - Labor Fixed OH"</f>
        <v>WIP - Labor Fixed OH</v>
      </c>
      <c r="G95" s="15">
        <v>0</v>
      </c>
      <c r="H95" s="15">
        <v>0</v>
      </c>
      <c r="J95" s="4">
        <f t="shared" si="8"/>
        <v>6</v>
      </c>
    </row>
    <row r="96" spans="1:10" x14ac:dyDescent="0.2">
      <c r="A96" s="25" t="s">
        <v>39</v>
      </c>
      <c r="B96" s="14"/>
      <c r="E96" s="5" t="str">
        <f>"000-1360-06"</f>
        <v>000-1360-06</v>
      </c>
      <c r="F96" s="5" t="str">
        <f>"WIP - Labor Var. OH"</f>
        <v>WIP - Labor Var. OH</v>
      </c>
      <c r="G96" s="15">
        <v>0</v>
      </c>
      <c r="H96" s="15">
        <v>0</v>
      </c>
      <c r="J96" s="4">
        <f t="shared" si="8"/>
        <v>7</v>
      </c>
    </row>
    <row r="97" spans="1:10" x14ac:dyDescent="0.2">
      <c r="A97" s="25" t="s">
        <v>39</v>
      </c>
      <c r="B97" s="14"/>
      <c r="E97" s="5" t="str">
        <f>"000-1360-07"</f>
        <v>000-1360-07</v>
      </c>
      <c r="F97" s="5" t="str">
        <f>"WIP - Machine"</f>
        <v>WIP - Machine</v>
      </c>
      <c r="G97" s="15">
        <v>0</v>
      </c>
      <c r="H97" s="15">
        <v>0</v>
      </c>
      <c r="J97" s="4">
        <f t="shared" si="8"/>
        <v>8</v>
      </c>
    </row>
    <row r="98" spans="1:10" x14ac:dyDescent="0.2">
      <c r="A98" s="25" t="s">
        <v>39</v>
      </c>
      <c r="B98" s="14"/>
      <c r="E98" s="5" t="str">
        <f>"000-1360-08"</f>
        <v>000-1360-08</v>
      </c>
      <c r="F98" s="5" t="str">
        <f>"WIP - Machine Fixed OH"</f>
        <v>WIP - Machine Fixed OH</v>
      </c>
      <c r="G98" s="15">
        <v>0</v>
      </c>
      <c r="H98" s="15">
        <v>0</v>
      </c>
      <c r="J98" s="4">
        <f t="shared" si="8"/>
        <v>9</v>
      </c>
    </row>
    <row r="99" spans="1:10" x14ac:dyDescent="0.2">
      <c r="A99" s="25" t="s">
        <v>39</v>
      </c>
      <c r="B99" s="14"/>
      <c r="E99" s="5" t="str">
        <f>"000-1360-09"</f>
        <v>000-1360-09</v>
      </c>
      <c r="F99" s="5" t="str">
        <f>"WIP - Machine Var. OH"</f>
        <v>WIP - Machine Var. OH</v>
      </c>
      <c r="G99" s="15">
        <v>0</v>
      </c>
      <c r="H99" s="15">
        <v>0</v>
      </c>
      <c r="J99" s="4">
        <f t="shared" si="8"/>
        <v>10</v>
      </c>
    </row>
    <row r="100" spans="1:10" x14ac:dyDescent="0.2">
      <c r="A100" s="25" t="s">
        <v>39</v>
      </c>
      <c r="B100" s="14"/>
      <c r="E100" s="5" t="str">
        <f>"000-1370-01"</f>
        <v>000-1370-01</v>
      </c>
      <c r="F100" s="5" t="str">
        <f>"Applied - Material Fixed OH"</f>
        <v>Applied - Material Fixed OH</v>
      </c>
      <c r="G100" s="15">
        <v>0</v>
      </c>
      <c r="H100" s="15">
        <v>0</v>
      </c>
      <c r="J100" s="4">
        <f t="shared" si="8"/>
        <v>11</v>
      </c>
    </row>
    <row r="101" spans="1:10" x14ac:dyDescent="0.2">
      <c r="A101" s="25" t="s">
        <v>39</v>
      </c>
      <c r="B101" s="14"/>
      <c r="E101" s="5" t="str">
        <f>"000-1370-02"</f>
        <v>000-1370-02</v>
      </c>
      <c r="F101" s="5" t="str">
        <f>"Applied - Material Var. OH"</f>
        <v>Applied - Material Var. OH</v>
      </c>
      <c r="G101" s="15">
        <v>0</v>
      </c>
      <c r="H101" s="15">
        <v>0</v>
      </c>
      <c r="J101" s="4">
        <f t="shared" si="8"/>
        <v>12</v>
      </c>
    </row>
    <row r="102" spans="1:10" x14ac:dyDescent="0.2">
      <c r="A102" s="25" t="s">
        <v>39</v>
      </c>
      <c r="B102" s="14"/>
      <c r="E102" s="5" t="str">
        <f>"000-1380-04"</f>
        <v>000-1380-04</v>
      </c>
      <c r="F102" s="5" t="str">
        <f>"Labor Applied"</f>
        <v>Labor Applied</v>
      </c>
      <c r="G102" s="15">
        <v>0</v>
      </c>
      <c r="H102" s="15">
        <v>0</v>
      </c>
      <c r="J102" s="4">
        <f t="shared" si="8"/>
        <v>13</v>
      </c>
    </row>
    <row r="103" spans="1:10" x14ac:dyDescent="0.2">
      <c r="A103" s="25" t="s">
        <v>39</v>
      </c>
      <c r="B103" s="14"/>
      <c r="E103" s="5" t="str">
        <f>"000-1380-05"</f>
        <v>000-1380-05</v>
      </c>
      <c r="F103" s="5" t="str">
        <f>"Applied - Labor Fixed OH"</f>
        <v>Applied - Labor Fixed OH</v>
      </c>
      <c r="G103" s="15">
        <v>0</v>
      </c>
      <c r="H103" s="15">
        <v>0</v>
      </c>
      <c r="J103" s="4">
        <f t="shared" si="8"/>
        <v>14</v>
      </c>
    </row>
    <row r="104" spans="1:10" x14ac:dyDescent="0.2">
      <c r="A104" s="25" t="s">
        <v>39</v>
      </c>
      <c r="B104" s="14"/>
      <c r="E104" s="5" t="str">
        <f>"000-1380-06"</f>
        <v>000-1380-06</v>
      </c>
      <c r="F104" s="5" t="str">
        <f>"Applied - Labor Var. OH"</f>
        <v>Applied - Labor Var. OH</v>
      </c>
      <c r="G104" s="15">
        <v>0</v>
      </c>
      <c r="H104" s="15">
        <v>0</v>
      </c>
      <c r="J104" s="4">
        <f t="shared" si="8"/>
        <v>15</v>
      </c>
    </row>
    <row r="105" spans="1:10" x14ac:dyDescent="0.2">
      <c r="A105" s="25" t="s">
        <v>39</v>
      </c>
      <c r="B105" s="14"/>
      <c r="E105" s="5" t="str">
        <f>"000-1380-07"</f>
        <v>000-1380-07</v>
      </c>
      <c r="F105" s="5" t="str">
        <f>"Machine - Applied"</f>
        <v>Machine - Applied</v>
      </c>
      <c r="G105" s="15">
        <v>0</v>
      </c>
      <c r="H105" s="15">
        <v>0</v>
      </c>
      <c r="J105" s="4">
        <f t="shared" si="8"/>
        <v>16</v>
      </c>
    </row>
    <row r="106" spans="1:10" x14ac:dyDescent="0.2">
      <c r="A106" s="25" t="s">
        <v>39</v>
      </c>
      <c r="B106" s="14"/>
      <c r="E106" s="5" t="str">
        <f>"000-1380-08"</f>
        <v>000-1380-08</v>
      </c>
      <c r="F106" s="5" t="str">
        <f>"Applied - Mach. Fixed OH"</f>
        <v>Applied - Mach. Fixed OH</v>
      </c>
      <c r="G106" s="15">
        <v>0</v>
      </c>
      <c r="H106" s="15">
        <v>0</v>
      </c>
      <c r="J106" s="4">
        <f t="shared" si="8"/>
        <v>17</v>
      </c>
    </row>
    <row r="107" spans="1:10" x14ac:dyDescent="0.2">
      <c r="A107" s="25" t="s">
        <v>39</v>
      </c>
      <c r="B107" s="14"/>
      <c r="E107" s="5" t="str">
        <f>"000-1380-09"</f>
        <v>000-1380-09</v>
      </c>
      <c r="F107" s="5" t="str">
        <f>"Applied - Mach. Var. OH"</f>
        <v>Applied - Mach. Var. OH</v>
      </c>
      <c r="G107" s="15">
        <v>0</v>
      </c>
      <c r="H107" s="15">
        <v>0</v>
      </c>
      <c r="J107" s="4">
        <f t="shared" si="8"/>
        <v>18</v>
      </c>
    </row>
    <row r="108" spans="1:10" s="4" customFormat="1" hidden="1" x14ac:dyDescent="0.2">
      <c r="A108" s="24" t="s">
        <v>40</v>
      </c>
      <c r="B108" s="14"/>
      <c r="G108" s="16"/>
      <c r="H108" s="16"/>
    </row>
    <row r="109" spans="1:10" ht="15" thickBot="1" x14ac:dyDescent="0.3">
      <c r="A109" s="25" t="s">
        <v>39</v>
      </c>
      <c r="B109" s="14"/>
      <c r="G109" s="26">
        <f>SUBTOTAL(9,G90:G108)</f>
        <v>0</v>
      </c>
      <c r="H109" s="26">
        <f>SUBTOTAL(9,H90:H108)</f>
        <v>0</v>
      </c>
    </row>
    <row r="110" spans="1:10" ht="17.25" thickTop="1" x14ac:dyDescent="0.3">
      <c r="A110" s="25" t="s">
        <v>39</v>
      </c>
      <c r="B110" s="12">
        <v>7</v>
      </c>
      <c r="D110" s="20" t="str">
        <f>"Prepaid Expenses"</f>
        <v>Prepaid Expenses</v>
      </c>
      <c r="E110" s="13"/>
      <c r="F110" s="13"/>
      <c r="G110" s="13"/>
      <c r="H110" s="13"/>
    </row>
    <row r="111" spans="1:10" x14ac:dyDescent="0.2">
      <c r="A111" s="25" t="s">
        <v>39</v>
      </c>
      <c r="B111" s="14"/>
      <c r="E111" s="5" t="str">
        <f>"000-1400-00"</f>
        <v>000-1400-00</v>
      </c>
      <c r="F111" s="5" t="str">
        <f>"Prepaid Expenses"</f>
        <v>Prepaid Expenses</v>
      </c>
      <c r="G111" s="15">
        <v>0</v>
      </c>
      <c r="H111" s="15">
        <v>0</v>
      </c>
      <c r="J111" s="4">
        <f t="shared" ref="J111" si="9">J110+1</f>
        <v>1</v>
      </c>
    </row>
    <row r="112" spans="1:10" x14ac:dyDescent="0.2">
      <c r="A112" s="25" t="s">
        <v>39</v>
      </c>
      <c r="B112" s="14"/>
      <c r="E112" s="5" t="str">
        <f>"000-1410-00"</f>
        <v>000-1410-00</v>
      </c>
      <c r="F112" s="5" t="str">
        <f>"Prepaid Insurance"</f>
        <v>Prepaid Insurance</v>
      </c>
      <c r="G112" s="15">
        <v>31486.59</v>
      </c>
      <c r="H112" s="15">
        <v>31486.59</v>
      </c>
      <c r="J112" s="4">
        <f t="shared" ref="J112" si="10">J111+1</f>
        <v>2</v>
      </c>
    </row>
    <row r="113" spans="1:10" s="4" customFormat="1" hidden="1" x14ac:dyDescent="0.2">
      <c r="A113" s="24" t="s">
        <v>40</v>
      </c>
      <c r="B113" s="14"/>
      <c r="G113" s="16"/>
      <c r="H113" s="16"/>
    </row>
    <row r="114" spans="1:10" ht="15" thickBot="1" x14ac:dyDescent="0.3">
      <c r="A114" s="25" t="s">
        <v>39</v>
      </c>
      <c r="B114" s="14"/>
      <c r="G114" s="26">
        <f>SUBTOTAL(9,G111:G113)</f>
        <v>31486.59</v>
      </c>
      <c r="H114" s="26">
        <f>SUBTOTAL(9,H111:H113)</f>
        <v>31486.59</v>
      </c>
    </row>
    <row r="115" spans="1:10" ht="17.25" thickTop="1" x14ac:dyDescent="0.3">
      <c r="A115" s="25" t="s">
        <v>39</v>
      </c>
      <c r="B115" s="12">
        <v>9</v>
      </c>
      <c r="D115" s="20" t="str">
        <f>"Property, Plant and Equipment"</f>
        <v>Property, Plant and Equipment</v>
      </c>
      <c r="E115" s="13"/>
      <c r="F115" s="13"/>
      <c r="G115" s="13"/>
      <c r="H115" s="13"/>
    </row>
    <row r="116" spans="1:10" x14ac:dyDescent="0.2">
      <c r="A116" s="25" t="s">
        <v>39</v>
      </c>
      <c r="B116" s="14"/>
      <c r="E116" s="5" t="str">
        <f>"000-1500-00"</f>
        <v>000-1500-00</v>
      </c>
      <c r="F116" s="5" t="str">
        <f>"Furniture &amp; Fixtures"</f>
        <v>Furniture &amp; Fixtures</v>
      </c>
      <c r="G116" s="15">
        <v>543695.97</v>
      </c>
      <c r="H116" s="15">
        <v>543695.97</v>
      </c>
      <c r="J116" s="4">
        <f t="shared" ref="J116" si="11">J115+1</f>
        <v>1</v>
      </c>
    </row>
    <row r="117" spans="1:10" x14ac:dyDescent="0.2">
      <c r="A117" s="25" t="s">
        <v>39</v>
      </c>
      <c r="B117" s="14"/>
      <c r="E117" s="5" t="str">
        <f>"000-1510-00"</f>
        <v>000-1510-00</v>
      </c>
      <c r="F117" s="5" t="str">
        <f>"Computer Equipment"</f>
        <v>Computer Equipment</v>
      </c>
      <c r="G117" s="15">
        <v>125895.23</v>
      </c>
      <c r="H117" s="15">
        <v>125895.23</v>
      </c>
      <c r="J117" s="4">
        <f t="shared" ref="J117:J122" si="12">J116+1</f>
        <v>2</v>
      </c>
    </row>
    <row r="118" spans="1:10" x14ac:dyDescent="0.2">
      <c r="A118" s="25" t="s">
        <v>39</v>
      </c>
      <c r="B118" s="14"/>
      <c r="E118" s="5" t="str">
        <f>"000-1520-00"</f>
        <v>000-1520-00</v>
      </c>
      <c r="F118" s="5" t="str">
        <f>"Machinery &amp; Equipment"</f>
        <v>Machinery &amp; Equipment</v>
      </c>
      <c r="G118" s="15">
        <v>1409884.3</v>
      </c>
      <c r="H118" s="15">
        <v>1409884.3</v>
      </c>
      <c r="J118" s="4">
        <f t="shared" si="12"/>
        <v>3</v>
      </c>
    </row>
    <row r="119" spans="1:10" x14ac:dyDescent="0.2">
      <c r="A119" s="25" t="s">
        <v>39</v>
      </c>
      <c r="B119" s="14"/>
      <c r="E119" s="5" t="str">
        <f>"000-1530-00"</f>
        <v>000-1530-00</v>
      </c>
      <c r="F119" s="5" t="str">
        <f>"Fleet Vehicles"</f>
        <v>Fleet Vehicles</v>
      </c>
      <c r="G119" s="15">
        <v>62500</v>
      </c>
      <c r="H119" s="15">
        <v>62500</v>
      </c>
      <c r="J119" s="4">
        <f t="shared" si="12"/>
        <v>4</v>
      </c>
    </row>
    <row r="120" spans="1:10" x14ac:dyDescent="0.2">
      <c r="A120" s="25" t="s">
        <v>39</v>
      </c>
      <c r="B120" s="14"/>
      <c r="E120" s="5" t="str">
        <f>"000-1590-00"</f>
        <v>000-1590-00</v>
      </c>
      <c r="F120" s="5" t="str">
        <f>"FA Clearing"</f>
        <v>FA Clearing</v>
      </c>
      <c r="G120" s="15">
        <v>0</v>
      </c>
      <c r="H120" s="15">
        <v>0</v>
      </c>
      <c r="J120" s="4">
        <f t="shared" si="12"/>
        <v>5</v>
      </c>
    </row>
    <row r="121" spans="1:10" x14ac:dyDescent="0.2">
      <c r="A121" s="25" t="s">
        <v>39</v>
      </c>
      <c r="B121" s="14"/>
      <c r="E121" s="5" t="str">
        <f>"000-1700-00"</f>
        <v>000-1700-00</v>
      </c>
      <c r="F121" s="5" t="str">
        <f>"Leasehold Improvement Costs"</f>
        <v>Leasehold Improvement Costs</v>
      </c>
      <c r="G121" s="15">
        <v>0</v>
      </c>
      <c r="H121" s="15">
        <v>0</v>
      </c>
      <c r="J121" s="4">
        <f t="shared" si="12"/>
        <v>6</v>
      </c>
    </row>
    <row r="122" spans="1:10" x14ac:dyDescent="0.2">
      <c r="A122" s="25" t="s">
        <v>39</v>
      </c>
      <c r="B122" s="14"/>
      <c r="E122" s="5" t="str">
        <f>"000-1710-00"</f>
        <v>000-1710-00</v>
      </c>
      <c r="F122" s="5" t="str">
        <f>"Amortized Leasehold Improvements"</f>
        <v>Amortized Leasehold Improvements</v>
      </c>
      <c r="G122" s="15">
        <v>0</v>
      </c>
      <c r="H122" s="15">
        <v>0</v>
      </c>
      <c r="J122" s="4">
        <f t="shared" si="12"/>
        <v>7</v>
      </c>
    </row>
    <row r="123" spans="1:10" s="4" customFormat="1" hidden="1" x14ac:dyDescent="0.2">
      <c r="A123" s="24" t="s">
        <v>40</v>
      </c>
      <c r="B123" s="14"/>
      <c r="G123" s="16"/>
      <c r="H123" s="16"/>
    </row>
    <row r="124" spans="1:10" ht="15" thickBot="1" x14ac:dyDescent="0.3">
      <c r="A124" s="25" t="s">
        <v>39</v>
      </c>
      <c r="B124" s="14"/>
      <c r="G124" s="26">
        <f>SUBTOTAL(9,G116:G123)</f>
        <v>2141975.5</v>
      </c>
      <c r="H124" s="26">
        <f>SUBTOTAL(9,H116:H123)</f>
        <v>2141975.5</v>
      </c>
    </row>
    <row r="125" spans="1:10" ht="17.25" thickTop="1" x14ac:dyDescent="0.3">
      <c r="A125" s="25" t="s">
        <v>39</v>
      </c>
      <c r="B125" s="12">
        <v>10</v>
      </c>
      <c r="D125" s="20" t="str">
        <f>"Accumulated Depreciation"</f>
        <v>Accumulated Depreciation</v>
      </c>
      <c r="E125" s="13"/>
      <c r="F125" s="13"/>
      <c r="G125" s="13"/>
      <c r="H125" s="13"/>
    </row>
    <row r="126" spans="1:10" x14ac:dyDescent="0.2">
      <c r="A126" s="25" t="s">
        <v>39</v>
      </c>
      <c r="B126" s="14"/>
      <c r="E126" s="5" t="str">
        <f>"000-1505-00"</f>
        <v>000-1505-00</v>
      </c>
      <c r="F126" s="5" t="str">
        <f>"Accumulated Depreciation-Furniture &amp; Fixtures"</f>
        <v>Accumulated Depreciation-Furniture &amp; Fixtures</v>
      </c>
      <c r="G126" s="15">
        <v>-204639.25</v>
      </c>
      <c r="H126" s="15">
        <v>-204639.25</v>
      </c>
      <c r="J126" s="4">
        <f t="shared" ref="J126" si="13">J125+1</f>
        <v>1</v>
      </c>
    </row>
    <row r="127" spans="1:10" x14ac:dyDescent="0.2">
      <c r="A127" s="25" t="s">
        <v>39</v>
      </c>
      <c r="B127" s="14"/>
      <c r="E127" s="5" t="str">
        <f>"000-1515-00"</f>
        <v>000-1515-00</v>
      </c>
      <c r="F127" s="5" t="str">
        <f>"Accumulated Depreciation-Computer Equipment"</f>
        <v>Accumulated Depreciation-Computer Equipment</v>
      </c>
      <c r="G127" s="15">
        <v>-48788.79</v>
      </c>
      <c r="H127" s="15">
        <v>-48788.79</v>
      </c>
      <c r="J127" s="4">
        <f t="shared" ref="J127:J129" si="14">J126+1</f>
        <v>2</v>
      </c>
    </row>
    <row r="128" spans="1:10" x14ac:dyDescent="0.2">
      <c r="A128" s="25" t="s">
        <v>39</v>
      </c>
      <c r="B128" s="14"/>
      <c r="E128" s="5" t="str">
        <f>"000-1525-00"</f>
        <v>000-1525-00</v>
      </c>
      <c r="F128" s="5" t="str">
        <f>"Accumulated Depreciation-Machinery &amp; Equipment"</f>
        <v>Accumulated Depreciation-Machinery &amp; Equipment</v>
      </c>
      <c r="G128" s="15">
        <v>-654177.22</v>
      </c>
      <c r="H128" s="15">
        <v>-654177.22</v>
      </c>
      <c r="J128" s="4">
        <f t="shared" si="14"/>
        <v>3</v>
      </c>
    </row>
    <row r="129" spans="1:10" x14ac:dyDescent="0.2">
      <c r="A129" s="25" t="s">
        <v>39</v>
      </c>
      <c r="B129" s="14"/>
      <c r="E129" s="5" t="str">
        <f>"000-1535-00"</f>
        <v>000-1535-00</v>
      </c>
      <c r="F129" s="5" t="str">
        <f>"Accumulated Depreciation-Fleet Vehicles"</f>
        <v>Accumulated Depreciation-Fleet Vehicles</v>
      </c>
      <c r="G129" s="15">
        <v>-19901.63</v>
      </c>
      <c r="H129" s="15">
        <v>-19901.63</v>
      </c>
      <c r="J129" s="4">
        <f t="shared" si="14"/>
        <v>4</v>
      </c>
    </row>
    <row r="130" spans="1:10" s="4" customFormat="1" hidden="1" x14ac:dyDescent="0.2">
      <c r="A130" s="24" t="s">
        <v>40</v>
      </c>
      <c r="B130" s="14"/>
      <c r="G130" s="16"/>
      <c r="H130" s="16"/>
    </row>
    <row r="131" spans="1:10" ht="15" thickBot="1" x14ac:dyDescent="0.3">
      <c r="A131" s="25" t="s">
        <v>39</v>
      </c>
      <c r="B131" s="14"/>
      <c r="G131" s="26">
        <f>SUBTOTAL(9,G126:G130)</f>
        <v>-927506.89</v>
      </c>
      <c r="H131" s="26">
        <f>SUBTOTAL(9,H126:H130)</f>
        <v>-927506.89</v>
      </c>
    </row>
    <row r="132" spans="1:10" ht="17.25" thickTop="1" x14ac:dyDescent="0.3">
      <c r="A132" s="25" t="s">
        <v>39</v>
      </c>
      <c r="B132" s="12">
        <v>11</v>
      </c>
      <c r="D132" s="20" t="str">
        <f>"Intangible Assets"</f>
        <v>Intangible Assets</v>
      </c>
      <c r="E132" s="13"/>
      <c r="F132" s="13"/>
      <c r="G132" s="13"/>
      <c r="H132" s="13"/>
    </row>
    <row r="133" spans="1:10" x14ac:dyDescent="0.2">
      <c r="A133" s="25" t="s">
        <v>39</v>
      </c>
      <c r="B133" s="14"/>
      <c r="E133" s="5" t="str">
        <f>"000-1600-00"</f>
        <v>000-1600-00</v>
      </c>
      <c r="F133" s="5" t="str">
        <f>"Computer Software"</f>
        <v>Computer Software</v>
      </c>
      <c r="G133" s="15">
        <v>58975.48</v>
      </c>
      <c r="H133" s="15">
        <v>58975.48</v>
      </c>
      <c r="J133" s="4">
        <f t="shared" ref="J133" si="15">J132+1</f>
        <v>1</v>
      </c>
    </row>
    <row r="134" spans="1:10" x14ac:dyDescent="0.2">
      <c r="A134" s="25" t="s">
        <v>39</v>
      </c>
      <c r="B134" s="14"/>
      <c r="E134" s="5" t="str">
        <f>"000-1610-00"</f>
        <v>000-1610-00</v>
      </c>
      <c r="F134" s="5" t="str">
        <f>"Amortized Software Costs"</f>
        <v>Amortized Software Costs</v>
      </c>
      <c r="G134" s="15">
        <v>-27876.93</v>
      </c>
      <c r="H134" s="15">
        <v>-27876.93</v>
      </c>
      <c r="J134" s="4">
        <f t="shared" ref="J134" si="16">J133+1</f>
        <v>2</v>
      </c>
    </row>
    <row r="135" spans="1:10" s="4" customFormat="1" hidden="1" x14ac:dyDescent="0.2">
      <c r="A135" s="24" t="s">
        <v>40</v>
      </c>
      <c r="B135" s="14"/>
      <c r="G135" s="16"/>
      <c r="H135" s="16"/>
    </row>
    <row r="136" spans="1:10" ht="15" thickBot="1" x14ac:dyDescent="0.3">
      <c r="A136" s="25" t="s">
        <v>39</v>
      </c>
      <c r="B136" s="14"/>
      <c r="G136" s="26">
        <f>SUBTOTAL(9,G133:G135)</f>
        <v>31098.550000000003</v>
      </c>
      <c r="H136" s="26">
        <f>SUBTOTAL(9,H133:H135)</f>
        <v>31098.550000000003</v>
      </c>
    </row>
    <row r="137" spans="1:10" ht="17.25" thickTop="1" x14ac:dyDescent="0.3">
      <c r="A137" s="25" t="s">
        <v>39</v>
      </c>
      <c r="B137" s="12">
        <v>12</v>
      </c>
      <c r="D137" s="20" t="str">
        <f>"Other Assets"</f>
        <v>Other Assets</v>
      </c>
      <c r="E137" s="13"/>
      <c r="F137" s="13"/>
      <c r="G137" s="13"/>
      <c r="H137" s="13"/>
    </row>
    <row r="138" spans="1:10" x14ac:dyDescent="0.2">
      <c r="A138" s="25" t="s">
        <v>39</v>
      </c>
      <c r="B138" s="14"/>
      <c r="E138" s="5" t="str">
        <f>"000-1800-00"</f>
        <v>000-1800-00</v>
      </c>
      <c r="F138" s="5" t="str">
        <f>"Revaluation Offset for Fin. Revaluation"</f>
        <v>Revaluation Offset for Fin. Revaluation</v>
      </c>
      <c r="G138" s="15">
        <v>0</v>
      </c>
      <c r="H138" s="15">
        <v>0</v>
      </c>
      <c r="J138" s="4">
        <f t="shared" ref="J138" si="17">J137+1</f>
        <v>1</v>
      </c>
    </row>
    <row r="139" spans="1:10" x14ac:dyDescent="0.2">
      <c r="A139" s="25" t="s">
        <v>39</v>
      </c>
      <c r="B139" s="14"/>
      <c r="E139" s="5" t="str">
        <f>"000-8510-00"</f>
        <v>000-8510-00</v>
      </c>
      <c r="F139" s="5" t="str">
        <f>"Earnings in Excess of Billings"</f>
        <v>Earnings in Excess of Billings</v>
      </c>
      <c r="G139" s="15">
        <v>0</v>
      </c>
      <c r="H139" s="15">
        <v>0</v>
      </c>
      <c r="J139" s="4">
        <f t="shared" ref="J139" si="18">J138+1</f>
        <v>2</v>
      </c>
    </row>
    <row r="140" spans="1:10" s="4" customFormat="1" hidden="1" x14ac:dyDescent="0.2">
      <c r="A140" s="24" t="s">
        <v>40</v>
      </c>
      <c r="B140" s="14"/>
      <c r="G140" s="16"/>
      <c r="H140" s="16"/>
    </row>
    <row r="141" spans="1:10" ht="15" thickBot="1" x14ac:dyDescent="0.3">
      <c r="A141" s="25" t="s">
        <v>39</v>
      </c>
      <c r="B141" s="14"/>
      <c r="G141" s="26">
        <f>SUBTOTAL(9,G138:G140)</f>
        <v>0</v>
      </c>
      <c r="H141" s="26">
        <f>SUBTOTAL(9,H138:H140)</f>
        <v>0</v>
      </c>
    </row>
    <row r="142" spans="1:10" ht="17.25" thickTop="1" x14ac:dyDescent="0.3">
      <c r="A142" s="25" t="s">
        <v>39</v>
      </c>
      <c r="B142" s="12">
        <v>13</v>
      </c>
      <c r="D142" s="20" t="str">
        <f>"Accounts Payable"</f>
        <v>Accounts Payable</v>
      </c>
      <c r="E142" s="13"/>
      <c r="F142" s="13"/>
      <c r="G142" s="13"/>
      <c r="H142" s="13"/>
    </row>
    <row r="143" spans="1:10" x14ac:dyDescent="0.2">
      <c r="A143" s="25" t="s">
        <v>39</v>
      </c>
      <c r="B143" s="14"/>
      <c r="E143" s="5" t="str">
        <f>"000-2100-00"</f>
        <v>000-2100-00</v>
      </c>
      <c r="F143" s="5" t="str">
        <f>"Accounts Payable"</f>
        <v>Accounts Payable</v>
      </c>
      <c r="G143" s="15">
        <v>-1683097.41</v>
      </c>
      <c r="H143" s="15">
        <v>-1683289.96</v>
      </c>
      <c r="J143" s="4">
        <f t="shared" ref="J143" si="19">J142+1</f>
        <v>1</v>
      </c>
    </row>
    <row r="144" spans="1:10" x14ac:dyDescent="0.2">
      <c r="A144" s="25" t="s">
        <v>39</v>
      </c>
      <c r="B144" s="14"/>
      <c r="E144" s="5" t="str">
        <f>"000-2101-00"</f>
        <v>000-2101-00</v>
      </c>
      <c r="F144" s="5" t="str">
        <f>"Accounts Payable-MC Trx"</f>
        <v>Accounts Payable-MC Trx</v>
      </c>
      <c r="G144" s="15">
        <v>0</v>
      </c>
      <c r="H144" s="15">
        <v>0</v>
      </c>
      <c r="J144" s="4">
        <f t="shared" ref="J144:J177" si="20">J143+1</f>
        <v>2</v>
      </c>
    </row>
    <row r="145" spans="1:10" x14ac:dyDescent="0.2">
      <c r="A145" s="25" t="s">
        <v>39</v>
      </c>
      <c r="B145" s="14"/>
      <c r="E145" s="5" t="str">
        <f>"000-2101-01"</f>
        <v>000-2101-01</v>
      </c>
      <c r="F145" s="5" t="str">
        <f>"Accounts Payable - Canada"</f>
        <v>Accounts Payable - Canada</v>
      </c>
      <c r="G145" s="15">
        <v>-1124.67</v>
      </c>
      <c r="H145" s="15">
        <v>-1124.67</v>
      </c>
      <c r="J145" s="4">
        <f t="shared" si="20"/>
        <v>3</v>
      </c>
    </row>
    <row r="146" spans="1:10" x14ac:dyDescent="0.2">
      <c r="A146" s="25" t="s">
        <v>39</v>
      </c>
      <c r="B146" s="14"/>
      <c r="E146" s="5" t="str">
        <f>"000-2101-02"</f>
        <v>000-2101-02</v>
      </c>
      <c r="F146" s="5" t="str">
        <f>"Accounts Payable - Australia"</f>
        <v>Accounts Payable - Australia</v>
      </c>
      <c r="G146" s="15">
        <v>270.01</v>
      </c>
      <c r="H146" s="15">
        <v>270.01</v>
      </c>
      <c r="J146" s="4">
        <f t="shared" si="20"/>
        <v>4</v>
      </c>
    </row>
    <row r="147" spans="1:10" x14ac:dyDescent="0.2">
      <c r="A147" s="25" t="s">
        <v>39</v>
      </c>
      <c r="B147" s="14"/>
      <c r="E147" s="5" t="str">
        <f>"000-2101-03"</f>
        <v>000-2101-03</v>
      </c>
      <c r="F147" s="5" t="str">
        <f>"Accounts Payable - New Zealand"</f>
        <v>Accounts Payable - New Zealand</v>
      </c>
      <c r="G147" s="15">
        <v>-4583.18</v>
      </c>
      <c r="H147" s="15">
        <v>-4583.18</v>
      </c>
      <c r="J147" s="4">
        <f t="shared" si="20"/>
        <v>5</v>
      </c>
    </row>
    <row r="148" spans="1:10" x14ac:dyDescent="0.2">
      <c r="A148" s="25" t="s">
        <v>39</v>
      </c>
      <c r="B148" s="14"/>
      <c r="E148" s="5" t="str">
        <f>"000-2101-04"</f>
        <v>000-2101-04</v>
      </c>
      <c r="F148" s="5" t="str">
        <f>"Accounts Payable - Germany"</f>
        <v>Accounts Payable - Germany</v>
      </c>
      <c r="G148" s="15">
        <v>0</v>
      </c>
      <c r="H148" s="15">
        <v>0</v>
      </c>
      <c r="J148" s="4">
        <f t="shared" si="20"/>
        <v>6</v>
      </c>
    </row>
    <row r="149" spans="1:10" x14ac:dyDescent="0.2">
      <c r="A149" s="25" t="s">
        <v>39</v>
      </c>
      <c r="B149" s="14"/>
      <c r="E149" s="5" t="str">
        <f>"000-2101-05"</f>
        <v>000-2101-05</v>
      </c>
      <c r="F149" s="5" t="str">
        <f>"Accounts Payable - United Kingdom"</f>
        <v>Accounts Payable - United Kingdom</v>
      </c>
      <c r="G149" s="15">
        <v>1476.18</v>
      </c>
      <c r="H149" s="15">
        <v>1476.18</v>
      </c>
      <c r="J149" s="4">
        <f t="shared" si="20"/>
        <v>7</v>
      </c>
    </row>
    <row r="150" spans="1:10" x14ac:dyDescent="0.2">
      <c r="A150" s="25" t="s">
        <v>39</v>
      </c>
      <c r="B150" s="14"/>
      <c r="E150" s="5" t="str">
        <f>"000-2101-06"</f>
        <v>000-2101-06</v>
      </c>
      <c r="F150" s="5" t="str">
        <f>"Accounts Payable - South Africa"</f>
        <v>Accounts Payable - South Africa</v>
      </c>
      <c r="G150" s="15">
        <v>-2741.87</v>
      </c>
      <c r="H150" s="15">
        <v>-2741.87</v>
      </c>
      <c r="J150" s="4">
        <f t="shared" si="20"/>
        <v>8</v>
      </c>
    </row>
    <row r="151" spans="1:10" x14ac:dyDescent="0.2">
      <c r="A151" s="25" t="s">
        <v>39</v>
      </c>
      <c r="B151" s="14"/>
      <c r="E151" s="5" t="str">
        <f>"000-2101-07"</f>
        <v>000-2101-07</v>
      </c>
      <c r="F151" s="5" t="str">
        <f>"Accounts Payable - Singapore"</f>
        <v>Accounts Payable - Singapore</v>
      </c>
      <c r="G151" s="15">
        <v>-3119.01</v>
      </c>
      <c r="H151" s="15">
        <v>-3119.01</v>
      </c>
      <c r="J151" s="4">
        <f t="shared" si="20"/>
        <v>9</v>
      </c>
    </row>
    <row r="152" spans="1:10" x14ac:dyDescent="0.2">
      <c r="A152" s="25" t="s">
        <v>39</v>
      </c>
      <c r="B152" s="14"/>
      <c r="E152" s="5" t="str">
        <f>"000-2105-00"</f>
        <v>000-2105-00</v>
      </c>
      <c r="F152" s="5" t="str">
        <f>"Purchases Discounts Available"</f>
        <v>Purchases Discounts Available</v>
      </c>
      <c r="G152" s="15">
        <v>-5386.47</v>
      </c>
      <c r="H152" s="15">
        <v>-5386.47</v>
      </c>
      <c r="J152" s="4">
        <f t="shared" si="20"/>
        <v>10</v>
      </c>
    </row>
    <row r="153" spans="1:10" x14ac:dyDescent="0.2">
      <c r="A153" s="25" t="s">
        <v>39</v>
      </c>
      <c r="B153" s="14"/>
      <c r="E153" s="5" t="str">
        <f>"000-2110-00"</f>
        <v>000-2110-00</v>
      </c>
      <c r="F153" s="5" t="str">
        <f>"Accrued Expenses"</f>
        <v>Accrued Expenses</v>
      </c>
      <c r="G153" s="15">
        <v>-24500</v>
      </c>
      <c r="H153" s="15">
        <v>-24500</v>
      </c>
      <c r="J153" s="4">
        <f t="shared" si="20"/>
        <v>11</v>
      </c>
    </row>
    <row r="154" spans="1:10" x14ac:dyDescent="0.2">
      <c r="A154" s="25" t="s">
        <v>39</v>
      </c>
      <c r="B154" s="14"/>
      <c r="E154" s="5" t="str">
        <f>"000-2111-00"</f>
        <v>000-2111-00</v>
      </c>
      <c r="F154" s="5" t="str">
        <f>"Accrued Purchases"</f>
        <v>Accrued Purchases</v>
      </c>
      <c r="G154" s="15">
        <v>-71215.75</v>
      </c>
      <c r="H154" s="15">
        <v>-71215.75</v>
      </c>
      <c r="J154" s="4">
        <f t="shared" si="20"/>
        <v>12</v>
      </c>
    </row>
    <row r="155" spans="1:10" x14ac:dyDescent="0.2">
      <c r="A155" s="25" t="s">
        <v>39</v>
      </c>
      <c r="B155" s="14"/>
      <c r="E155" s="5" t="str">
        <f>"000-2115-00"</f>
        <v>000-2115-00</v>
      </c>
      <c r="F155" s="5" t="str">
        <f>"Unearned Income"</f>
        <v>Unearned Income</v>
      </c>
      <c r="G155" s="15">
        <v>0</v>
      </c>
      <c r="H155" s="15">
        <v>0</v>
      </c>
      <c r="J155" s="4">
        <f t="shared" si="20"/>
        <v>13</v>
      </c>
    </row>
    <row r="156" spans="1:10" x14ac:dyDescent="0.2">
      <c r="A156" s="25" t="s">
        <v>39</v>
      </c>
      <c r="B156" s="14"/>
      <c r="E156" s="5" t="str">
        <f>"000-2120-00"</f>
        <v>000-2120-00</v>
      </c>
      <c r="F156" s="5" t="str">
        <f>"Commissions Payable"</f>
        <v>Commissions Payable</v>
      </c>
      <c r="G156" s="15">
        <v>-97815.13</v>
      </c>
      <c r="H156" s="15">
        <v>-108727.24</v>
      </c>
      <c r="J156" s="4">
        <f t="shared" si="20"/>
        <v>14</v>
      </c>
    </row>
    <row r="157" spans="1:10" x14ac:dyDescent="0.2">
      <c r="A157" s="25" t="s">
        <v>39</v>
      </c>
      <c r="B157" s="14"/>
      <c r="E157" s="5" t="str">
        <f>"000-2130-00"</f>
        <v>000-2130-00</v>
      </c>
      <c r="F157" s="5" t="str">
        <f>"Bonuses Payable"</f>
        <v>Bonuses Payable</v>
      </c>
      <c r="G157" s="15">
        <v>0</v>
      </c>
      <c r="H157" s="15">
        <v>0</v>
      </c>
      <c r="J157" s="4">
        <f t="shared" si="20"/>
        <v>15</v>
      </c>
    </row>
    <row r="158" spans="1:10" x14ac:dyDescent="0.2">
      <c r="A158" s="25" t="s">
        <v>39</v>
      </c>
      <c r="B158" s="14"/>
      <c r="E158" s="5" t="str">
        <f>"000-2140-00"</f>
        <v>000-2140-00</v>
      </c>
      <c r="F158" s="5" t="str">
        <f>"Accrued Vacation Payable"</f>
        <v>Accrued Vacation Payable</v>
      </c>
      <c r="G158" s="15">
        <v>-18806.7</v>
      </c>
      <c r="H158" s="15">
        <v>-18806.7</v>
      </c>
      <c r="J158" s="4">
        <f t="shared" si="20"/>
        <v>16</v>
      </c>
    </row>
    <row r="159" spans="1:10" x14ac:dyDescent="0.2">
      <c r="A159" s="25" t="s">
        <v>39</v>
      </c>
      <c r="B159" s="14"/>
      <c r="E159" s="5" t="str">
        <f>"000-2150-00"</f>
        <v>000-2150-00</v>
      </c>
      <c r="F159" s="5" t="str">
        <f>"Taxable Benefits Payable"</f>
        <v>Taxable Benefits Payable</v>
      </c>
      <c r="G159" s="15">
        <v>-36799.72</v>
      </c>
      <c r="H159" s="15">
        <v>-54011.18</v>
      </c>
      <c r="J159" s="4">
        <f t="shared" si="20"/>
        <v>17</v>
      </c>
    </row>
    <row r="160" spans="1:10" x14ac:dyDescent="0.2">
      <c r="A160" s="25" t="s">
        <v>39</v>
      </c>
      <c r="B160" s="14"/>
      <c r="E160" s="5" t="str">
        <f>"000-2200-00"</f>
        <v>000-2200-00</v>
      </c>
      <c r="F160" s="5" t="str">
        <f>"Payroll Deductions Payable"</f>
        <v>Payroll Deductions Payable</v>
      </c>
      <c r="G160" s="15">
        <v>-47400.39</v>
      </c>
      <c r="H160" s="15">
        <v>-71656.460000000006</v>
      </c>
      <c r="J160" s="4">
        <f t="shared" si="20"/>
        <v>18</v>
      </c>
    </row>
    <row r="161" spans="1:10" x14ac:dyDescent="0.2">
      <c r="A161" s="25" t="s">
        <v>39</v>
      </c>
      <c r="B161" s="14"/>
      <c r="E161" s="5" t="str">
        <f>"000-2210-00"</f>
        <v>000-2210-00</v>
      </c>
      <c r="F161" s="5" t="str">
        <f>"401(k) Payable"</f>
        <v>401(k) Payable</v>
      </c>
      <c r="G161" s="15">
        <v>0</v>
      </c>
      <c r="H161" s="15">
        <v>0</v>
      </c>
      <c r="J161" s="4">
        <f t="shared" si="20"/>
        <v>19</v>
      </c>
    </row>
    <row r="162" spans="1:10" x14ac:dyDescent="0.2">
      <c r="A162" s="25" t="s">
        <v>39</v>
      </c>
      <c r="B162" s="14"/>
      <c r="E162" s="5" t="str">
        <f>"000-2220-00"</f>
        <v>000-2220-00</v>
      </c>
      <c r="F162" s="5" t="str">
        <f>"Insurance Premiums Payable"</f>
        <v>Insurance Premiums Payable</v>
      </c>
      <c r="G162" s="15">
        <v>0</v>
      </c>
      <c r="H162" s="15">
        <v>0</v>
      </c>
      <c r="J162" s="4">
        <f t="shared" si="20"/>
        <v>20</v>
      </c>
    </row>
    <row r="163" spans="1:10" x14ac:dyDescent="0.2">
      <c r="A163" s="25" t="s">
        <v>39</v>
      </c>
      <c r="B163" s="14"/>
      <c r="E163" s="5" t="str">
        <f>"000-2230-00"</f>
        <v>000-2230-00</v>
      </c>
      <c r="F163" s="5" t="str">
        <f>"Medical Reimbursement Payable"</f>
        <v>Medical Reimbursement Payable</v>
      </c>
      <c r="G163" s="15">
        <v>364.62</v>
      </c>
      <c r="H163" s="15">
        <v>364.62</v>
      </c>
      <c r="J163" s="4">
        <f t="shared" si="20"/>
        <v>21</v>
      </c>
    </row>
    <row r="164" spans="1:10" x14ac:dyDescent="0.2">
      <c r="A164" s="25" t="s">
        <v>39</v>
      </c>
      <c r="B164" s="14"/>
      <c r="E164" s="5" t="str">
        <f>"000-2240-00"</f>
        <v>000-2240-00</v>
      </c>
      <c r="F164" s="5" t="str">
        <f>"Dependent Care Payable"</f>
        <v>Dependent Care Payable</v>
      </c>
      <c r="G164" s="15">
        <v>1085</v>
      </c>
      <c r="H164" s="15">
        <v>1085</v>
      </c>
      <c r="J164" s="4">
        <f t="shared" si="20"/>
        <v>22</v>
      </c>
    </row>
    <row r="165" spans="1:10" x14ac:dyDescent="0.2">
      <c r="A165" s="25" t="s">
        <v>39</v>
      </c>
      <c r="B165" s="14"/>
      <c r="E165" s="5" t="str">
        <f>"000-2250-00"</f>
        <v>000-2250-00</v>
      </c>
      <c r="F165" s="5" t="str">
        <f>"Employee Benefits Payable"</f>
        <v>Employee Benefits Payable</v>
      </c>
      <c r="G165" s="15">
        <v>0</v>
      </c>
      <c r="H165" s="15">
        <v>0</v>
      </c>
      <c r="J165" s="4">
        <f t="shared" si="20"/>
        <v>23</v>
      </c>
    </row>
    <row r="166" spans="1:10" x14ac:dyDescent="0.2">
      <c r="A166" s="25" t="s">
        <v>39</v>
      </c>
      <c r="B166" s="14"/>
      <c r="E166" s="5" t="str">
        <f>"000-2260-00"</f>
        <v>000-2260-00</v>
      </c>
      <c r="F166" s="5" t="str">
        <f>"Union Dues Payable - 1"</f>
        <v>Union Dues Payable - 1</v>
      </c>
      <c r="G166" s="15">
        <v>0</v>
      </c>
      <c r="H166" s="15">
        <v>0</v>
      </c>
      <c r="J166" s="4">
        <f t="shared" si="20"/>
        <v>24</v>
      </c>
    </row>
    <row r="167" spans="1:10" x14ac:dyDescent="0.2">
      <c r="A167" s="25" t="s">
        <v>39</v>
      </c>
      <c r="B167" s="14"/>
      <c r="E167" s="5" t="str">
        <f>"000-2261-00"</f>
        <v>000-2261-00</v>
      </c>
      <c r="F167" s="5" t="str">
        <f>"Union Dues Payable - 2"</f>
        <v>Union Dues Payable - 2</v>
      </c>
      <c r="G167" s="15">
        <v>0</v>
      </c>
      <c r="H167" s="15">
        <v>0</v>
      </c>
      <c r="J167" s="4">
        <f t="shared" si="20"/>
        <v>25</v>
      </c>
    </row>
    <row r="168" spans="1:10" x14ac:dyDescent="0.2">
      <c r="A168" s="25" t="s">
        <v>39</v>
      </c>
      <c r="B168" s="14"/>
      <c r="E168" s="5" t="str">
        <f>"000-2410-00"</f>
        <v>000-2410-00</v>
      </c>
      <c r="F168" s="5" t="str">
        <f>"Freight Payable"</f>
        <v>Freight Payable</v>
      </c>
      <c r="G168" s="15">
        <v>0</v>
      </c>
      <c r="H168" s="15">
        <v>0</v>
      </c>
      <c r="J168" s="4">
        <f t="shared" si="20"/>
        <v>26</v>
      </c>
    </row>
    <row r="169" spans="1:10" x14ac:dyDescent="0.2">
      <c r="A169" s="25" t="s">
        <v>39</v>
      </c>
      <c r="B169" s="14"/>
      <c r="E169" s="5" t="str">
        <f>"000-2420-00"</f>
        <v>000-2420-00</v>
      </c>
      <c r="F169" s="5" t="str">
        <f>"Brokerage Fees Payable"</f>
        <v>Brokerage Fees Payable</v>
      </c>
      <c r="G169" s="15">
        <v>0</v>
      </c>
      <c r="H169" s="15">
        <v>0</v>
      </c>
      <c r="J169" s="4">
        <f t="shared" si="20"/>
        <v>27</v>
      </c>
    </row>
    <row r="170" spans="1:10" x14ac:dyDescent="0.2">
      <c r="A170" s="25" t="s">
        <v>39</v>
      </c>
      <c r="B170" s="14"/>
      <c r="E170" s="5" t="str">
        <f>"000-2430-00"</f>
        <v>000-2430-00</v>
      </c>
      <c r="F170" s="5" t="str">
        <f>"Miscellaneous Payable"</f>
        <v>Miscellaneous Payable</v>
      </c>
      <c r="G170" s="15">
        <v>0</v>
      </c>
      <c r="H170" s="15">
        <v>0</v>
      </c>
      <c r="J170" s="4">
        <f t="shared" si="20"/>
        <v>28</v>
      </c>
    </row>
    <row r="171" spans="1:10" x14ac:dyDescent="0.2">
      <c r="A171" s="25" t="s">
        <v>39</v>
      </c>
      <c r="B171" s="14"/>
      <c r="E171" s="5" t="str">
        <f>"000-2700-00"</f>
        <v>000-2700-00</v>
      </c>
      <c r="F171" s="5" t="str">
        <f>"Line of Credit-Accounts Recievable"</f>
        <v>Line of Credit-Accounts Recievable</v>
      </c>
      <c r="G171" s="15">
        <v>0</v>
      </c>
      <c r="H171" s="15">
        <v>0</v>
      </c>
      <c r="J171" s="4">
        <f t="shared" si="20"/>
        <v>29</v>
      </c>
    </row>
    <row r="172" spans="1:10" x14ac:dyDescent="0.2">
      <c r="A172" s="25" t="s">
        <v>39</v>
      </c>
      <c r="B172" s="14"/>
      <c r="E172" s="5" t="str">
        <f>"000-2710-00"</f>
        <v>000-2710-00</v>
      </c>
      <c r="F172" s="5" t="str">
        <f>"Operating Line of Credit"</f>
        <v>Operating Line of Credit</v>
      </c>
      <c r="G172" s="15">
        <v>-15000</v>
      </c>
      <c r="H172" s="15">
        <v>-15000</v>
      </c>
      <c r="J172" s="4">
        <f t="shared" si="20"/>
        <v>30</v>
      </c>
    </row>
    <row r="173" spans="1:10" x14ac:dyDescent="0.2">
      <c r="A173" s="25" t="s">
        <v>39</v>
      </c>
      <c r="B173" s="14"/>
      <c r="E173" s="5" t="str">
        <f>"000-2720-00"</f>
        <v>000-2720-00</v>
      </c>
      <c r="F173" s="5" t="str">
        <f>"Client Deposits"</f>
        <v>Client Deposits</v>
      </c>
      <c r="G173" s="15">
        <v>-30000</v>
      </c>
      <c r="H173" s="15">
        <v>-30000</v>
      </c>
      <c r="J173" s="4">
        <f t="shared" si="20"/>
        <v>31</v>
      </c>
    </row>
    <row r="174" spans="1:10" x14ac:dyDescent="0.2">
      <c r="A174" s="25" t="s">
        <v>39</v>
      </c>
      <c r="B174" s="14"/>
      <c r="E174" s="5" t="str">
        <f>"000-2730-00"</f>
        <v>000-2730-00</v>
      </c>
      <c r="F174" s="5" t="str">
        <f>"Purchases Clearing Account"</f>
        <v>Purchases Clearing Account</v>
      </c>
      <c r="G174" s="15">
        <v>-395.1</v>
      </c>
      <c r="H174" s="15">
        <v>-395.1</v>
      </c>
      <c r="J174" s="4">
        <f t="shared" si="20"/>
        <v>32</v>
      </c>
    </row>
    <row r="175" spans="1:10" x14ac:dyDescent="0.2">
      <c r="A175" s="25" t="s">
        <v>39</v>
      </c>
      <c r="B175" s="14"/>
      <c r="E175" s="5" t="str">
        <f>"000-2950-00"</f>
        <v>000-2950-00</v>
      </c>
      <c r="F175" s="5" t="str">
        <f>"PPV - Realized"</f>
        <v>PPV - Realized</v>
      </c>
      <c r="G175" s="15">
        <v>0</v>
      </c>
      <c r="H175" s="15">
        <v>0</v>
      </c>
      <c r="J175" s="4">
        <f t="shared" si="20"/>
        <v>33</v>
      </c>
    </row>
    <row r="176" spans="1:10" x14ac:dyDescent="0.2">
      <c r="A176" s="25" t="s">
        <v>39</v>
      </c>
      <c r="B176" s="14"/>
      <c r="E176" s="5" t="str">
        <f>"000-2950-01"</f>
        <v>000-2950-01</v>
      </c>
      <c r="F176" s="5" t="str">
        <f>"PPV - Unrealized"</f>
        <v>PPV - Unrealized</v>
      </c>
      <c r="G176" s="15">
        <v>0</v>
      </c>
      <c r="H176" s="15">
        <v>0</v>
      </c>
      <c r="J176" s="4">
        <f t="shared" si="20"/>
        <v>34</v>
      </c>
    </row>
    <row r="177" spans="1:10" x14ac:dyDescent="0.2">
      <c r="A177" s="25" t="s">
        <v>39</v>
      </c>
      <c r="B177" s="14"/>
      <c r="E177" s="5" t="str">
        <f>"000-4730-00"</f>
        <v>000-4730-00</v>
      </c>
      <c r="F177" s="5" t="str">
        <f>"Purchase Price Variance - Unrealized"</f>
        <v>Purchase Price Variance - Unrealized</v>
      </c>
      <c r="G177" s="15">
        <v>0</v>
      </c>
      <c r="H177" s="15">
        <v>-1631.63</v>
      </c>
      <c r="J177" s="4">
        <f t="shared" si="20"/>
        <v>35</v>
      </c>
    </row>
    <row r="178" spans="1:10" s="4" customFormat="1" hidden="1" x14ac:dyDescent="0.2">
      <c r="A178" s="24" t="s">
        <v>40</v>
      </c>
      <c r="B178" s="14"/>
      <c r="G178" s="16"/>
      <c r="H178" s="16"/>
    </row>
    <row r="179" spans="1:10" ht="15" thickBot="1" x14ac:dyDescent="0.3">
      <c r="A179" s="25" t="s">
        <v>39</v>
      </c>
      <c r="B179" s="14"/>
      <c r="G179" s="26">
        <f>SUBTOTAL(9,G143:G178)</f>
        <v>-2038789.5899999996</v>
      </c>
      <c r="H179" s="26">
        <f>SUBTOTAL(9,H143:H178)</f>
        <v>-2092993.4099999997</v>
      </c>
    </row>
    <row r="180" spans="1:10" ht="17.25" thickTop="1" x14ac:dyDescent="0.3">
      <c r="A180" s="25" t="s">
        <v>39</v>
      </c>
      <c r="B180" s="12">
        <v>14</v>
      </c>
      <c r="D180" s="20" t="str">
        <f>"Notes Payable"</f>
        <v>Notes Payable</v>
      </c>
      <c r="E180" s="13"/>
      <c r="F180" s="13"/>
      <c r="G180" s="13"/>
      <c r="H180" s="13"/>
    </row>
    <row r="181" spans="1:10" x14ac:dyDescent="0.2">
      <c r="A181" s="25" t="s">
        <v>39</v>
      </c>
      <c r="B181" s="14"/>
      <c r="E181" s="5" t="str">
        <f>"000-2800-00"</f>
        <v>000-2800-00</v>
      </c>
      <c r="F181" s="5" t="str">
        <f>"Current N/P on Vehicles"</f>
        <v>Current N/P on Vehicles</v>
      </c>
      <c r="G181" s="15">
        <v>-1041.6600000000001</v>
      </c>
      <c r="H181" s="15">
        <v>-1041.6600000000001</v>
      </c>
      <c r="J181" s="4">
        <f t="shared" ref="J181" si="21">J180+1</f>
        <v>1</v>
      </c>
    </row>
    <row r="182" spans="1:10" x14ac:dyDescent="0.2">
      <c r="A182" s="25" t="s">
        <v>39</v>
      </c>
      <c r="B182" s="14"/>
      <c r="E182" s="5" t="str">
        <f>"000-2810-00"</f>
        <v>000-2810-00</v>
      </c>
      <c r="F182" s="5" t="str">
        <f>"Current N/P to Banks"</f>
        <v>Current N/P to Banks</v>
      </c>
      <c r="G182" s="15">
        <v>0</v>
      </c>
      <c r="H182" s="15">
        <v>0</v>
      </c>
      <c r="J182" s="4">
        <f t="shared" ref="J182:J183" si="22">J181+1</f>
        <v>2</v>
      </c>
    </row>
    <row r="183" spans="1:10" x14ac:dyDescent="0.2">
      <c r="A183" s="25" t="s">
        <v>39</v>
      </c>
      <c r="B183" s="14"/>
      <c r="E183" s="5" t="str">
        <f>"000-2820-00"</f>
        <v>000-2820-00</v>
      </c>
      <c r="F183" s="5" t="str">
        <f>"Current N/P to Stockholders"</f>
        <v>Current N/P to Stockholders</v>
      </c>
      <c r="G183" s="15">
        <v>-10416.44</v>
      </c>
      <c r="H183" s="15">
        <v>-10416.44</v>
      </c>
      <c r="J183" s="4">
        <f t="shared" si="22"/>
        <v>3</v>
      </c>
    </row>
    <row r="184" spans="1:10" s="4" customFormat="1" hidden="1" x14ac:dyDescent="0.2">
      <c r="A184" s="24" t="s">
        <v>40</v>
      </c>
      <c r="B184" s="14"/>
      <c r="G184" s="16"/>
      <c r="H184" s="16"/>
    </row>
    <row r="185" spans="1:10" ht="15" thickBot="1" x14ac:dyDescent="0.3">
      <c r="A185" s="25" t="s">
        <v>39</v>
      </c>
      <c r="B185" s="14"/>
      <c r="G185" s="26">
        <f>SUBTOTAL(9,G181:G184)</f>
        <v>-11458.1</v>
      </c>
      <c r="H185" s="26">
        <f>SUBTOTAL(9,H181:H184)</f>
        <v>-11458.1</v>
      </c>
    </row>
    <row r="186" spans="1:10" ht="17.25" thickTop="1" x14ac:dyDescent="0.3">
      <c r="A186" s="25" t="s">
        <v>39</v>
      </c>
      <c r="B186" s="12">
        <v>16</v>
      </c>
      <c r="D186" s="20" t="str">
        <f>"Taxes Payable"</f>
        <v>Taxes Payable</v>
      </c>
      <c r="E186" s="13"/>
      <c r="F186" s="13"/>
      <c r="G186" s="13"/>
      <c r="H186" s="13"/>
    </row>
    <row r="187" spans="1:10" x14ac:dyDescent="0.2">
      <c r="A187" s="25" t="s">
        <v>39</v>
      </c>
      <c r="B187" s="14"/>
      <c r="E187" s="5" t="str">
        <f>"000-2161-00"</f>
        <v>000-2161-00</v>
      </c>
      <c r="F187" s="5" t="str">
        <f>"IL State Withholding Payable"</f>
        <v>IL State Withholding Payable</v>
      </c>
      <c r="G187" s="15">
        <v>-25082.54</v>
      </c>
      <c r="H187" s="15">
        <v>-36544.379999999997</v>
      </c>
      <c r="J187" s="4">
        <f t="shared" ref="J187" si="23">J186+1</f>
        <v>1</v>
      </c>
    </row>
    <row r="188" spans="1:10" x14ac:dyDescent="0.2">
      <c r="A188" s="25" t="s">
        <v>39</v>
      </c>
      <c r="B188" s="14"/>
      <c r="E188" s="5" t="str">
        <f>"000-2162-00"</f>
        <v>000-2162-00</v>
      </c>
      <c r="F188" s="5" t="str">
        <f>"NE State Witholding Payable"</f>
        <v>NE State Witholding Payable</v>
      </c>
      <c r="G188" s="15">
        <v>0</v>
      </c>
      <c r="H188" s="15">
        <v>0</v>
      </c>
      <c r="J188" s="4">
        <f t="shared" ref="J188:J229" si="24">J187+1</f>
        <v>2</v>
      </c>
    </row>
    <row r="189" spans="1:10" x14ac:dyDescent="0.2">
      <c r="A189" s="25" t="s">
        <v>39</v>
      </c>
      <c r="B189" s="14"/>
      <c r="E189" s="5" t="str">
        <f>"000-2163-00"</f>
        <v>000-2163-00</v>
      </c>
      <c r="F189" s="5" t="str">
        <f>"IN State Witholding Payable"</f>
        <v>IN State Witholding Payable</v>
      </c>
      <c r="G189" s="15">
        <v>0</v>
      </c>
      <c r="H189" s="15">
        <v>0</v>
      </c>
      <c r="J189" s="4">
        <f t="shared" si="24"/>
        <v>3</v>
      </c>
    </row>
    <row r="190" spans="1:10" x14ac:dyDescent="0.2">
      <c r="A190" s="25" t="s">
        <v>39</v>
      </c>
      <c r="B190" s="14"/>
      <c r="E190" s="5" t="str">
        <f>"000-2164-00"</f>
        <v>000-2164-00</v>
      </c>
      <c r="F190" s="5" t="str">
        <f>"MN State Withholding Payable"</f>
        <v>MN State Withholding Payable</v>
      </c>
      <c r="G190" s="15">
        <v>-102.63</v>
      </c>
      <c r="H190" s="15">
        <v>-102.63</v>
      </c>
      <c r="J190" s="4">
        <f t="shared" si="24"/>
        <v>4</v>
      </c>
    </row>
    <row r="191" spans="1:10" x14ac:dyDescent="0.2">
      <c r="A191" s="25" t="s">
        <v>39</v>
      </c>
      <c r="B191" s="14"/>
      <c r="E191" s="5" t="str">
        <f>"000-2165-00"</f>
        <v>000-2165-00</v>
      </c>
      <c r="F191" s="5" t="str">
        <f>"MO State Withholding Payable"</f>
        <v>MO State Withholding Payable</v>
      </c>
      <c r="G191" s="15">
        <v>0</v>
      </c>
      <c r="H191" s="15">
        <v>0</v>
      </c>
      <c r="J191" s="4">
        <f t="shared" si="24"/>
        <v>5</v>
      </c>
    </row>
    <row r="192" spans="1:10" x14ac:dyDescent="0.2">
      <c r="A192" s="25" t="s">
        <v>39</v>
      </c>
      <c r="B192" s="14"/>
      <c r="E192" s="5" t="str">
        <f>"000-2166-00"</f>
        <v>000-2166-00</v>
      </c>
      <c r="F192" s="5" t="str">
        <f>"Bloomington City Withholding Tax Payable"</f>
        <v>Bloomington City Withholding Tax Payable</v>
      </c>
      <c r="G192" s="15">
        <v>0</v>
      </c>
      <c r="H192" s="15">
        <v>0</v>
      </c>
      <c r="J192" s="4">
        <f t="shared" si="24"/>
        <v>6</v>
      </c>
    </row>
    <row r="193" spans="1:10" x14ac:dyDescent="0.2">
      <c r="A193" s="25" t="s">
        <v>39</v>
      </c>
      <c r="B193" s="14"/>
      <c r="E193" s="5" t="str">
        <f>"000-2170-00"</f>
        <v>000-2170-00</v>
      </c>
      <c r="F193" s="5" t="str">
        <f>"Federal Withholding Payable"</f>
        <v>Federal Withholding Payable</v>
      </c>
      <c r="G193" s="15">
        <v>-216646.18</v>
      </c>
      <c r="H193" s="15">
        <v>-316276.8</v>
      </c>
      <c r="J193" s="4">
        <f t="shared" si="24"/>
        <v>7</v>
      </c>
    </row>
    <row r="194" spans="1:10" x14ac:dyDescent="0.2">
      <c r="A194" s="25" t="s">
        <v>39</v>
      </c>
      <c r="B194" s="14"/>
      <c r="E194" s="5" t="str">
        <f>"000-2175-00"</f>
        <v>000-2175-00</v>
      </c>
      <c r="F194" s="5" t="str">
        <f>"FICA Payable"</f>
        <v>FICA Payable</v>
      </c>
      <c r="G194" s="15">
        <v>0</v>
      </c>
      <c r="H194" s="15">
        <v>0</v>
      </c>
      <c r="J194" s="4">
        <f t="shared" si="24"/>
        <v>8</v>
      </c>
    </row>
    <row r="195" spans="1:10" x14ac:dyDescent="0.2">
      <c r="A195" s="25" t="s">
        <v>39</v>
      </c>
      <c r="B195" s="14"/>
      <c r="E195" s="5" t="str">
        <f>"000-2180-00"</f>
        <v>000-2180-00</v>
      </c>
      <c r="F195" s="5" t="str">
        <f>"FUTA Payable"</f>
        <v>FUTA Payable</v>
      </c>
      <c r="G195" s="15">
        <v>0</v>
      </c>
      <c r="H195" s="15">
        <v>0</v>
      </c>
      <c r="J195" s="4">
        <f t="shared" si="24"/>
        <v>9</v>
      </c>
    </row>
    <row r="196" spans="1:10" x14ac:dyDescent="0.2">
      <c r="A196" s="25" t="s">
        <v>39</v>
      </c>
      <c r="B196" s="14"/>
      <c r="E196" s="5" t="str">
        <f>"000-2191-00"</f>
        <v>000-2191-00</v>
      </c>
      <c r="F196" s="5" t="str">
        <f>"IL State SUTA Payable"</f>
        <v>IL State SUTA Payable</v>
      </c>
      <c r="G196" s="15">
        <v>0</v>
      </c>
      <c r="H196" s="15">
        <v>0</v>
      </c>
      <c r="J196" s="4">
        <f t="shared" si="24"/>
        <v>10</v>
      </c>
    </row>
    <row r="197" spans="1:10" x14ac:dyDescent="0.2">
      <c r="A197" s="25" t="s">
        <v>39</v>
      </c>
      <c r="B197" s="14"/>
      <c r="E197" s="5" t="str">
        <f>"000-2192-00"</f>
        <v>000-2192-00</v>
      </c>
      <c r="F197" s="5" t="str">
        <f>"NE State SUTA Payable"</f>
        <v>NE State SUTA Payable</v>
      </c>
      <c r="G197" s="15">
        <v>0</v>
      </c>
      <c r="H197" s="15">
        <v>0</v>
      </c>
      <c r="J197" s="4">
        <f t="shared" si="24"/>
        <v>11</v>
      </c>
    </row>
    <row r="198" spans="1:10" x14ac:dyDescent="0.2">
      <c r="A198" s="25" t="s">
        <v>39</v>
      </c>
      <c r="B198" s="14"/>
      <c r="E198" s="5" t="str">
        <f>"000-2193-00"</f>
        <v>000-2193-00</v>
      </c>
      <c r="F198" s="5" t="str">
        <f>"IN State SUTA Payable"</f>
        <v>IN State SUTA Payable</v>
      </c>
      <c r="G198" s="15">
        <v>0</v>
      </c>
      <c r="H198" s="15">
        <v>0</v>
      </c>
      <c r="J198" s="4">
        <f t="shared" si="24"/>
        <v>12</v>
      </c>
    </row>
    <row r="199" spans="1:10" x14ac:dyDescent="0.2">
      <c r="A199" s="25" t="s">
        <v>39</v>
      </c>
      <c r="B199" s="14"/>
      <c r="E199" s="5" t="str">
        <f>"000-2194-00"</f>
        <v>000-2194-00</v>
      </c>
      <c r="F199" s="5" t="str">
        <f>"MN State SUTA Payable"</f>
        <v>MN State SUTA Payable</v>
      </c>
      <c r="G199" s="15">
        <v>0</v>
      </c>
      <c r="H199" s="15">
        <v>0</v>
      </c>
      <c r="J199" s="4">
        <f t="shared" si="24"/>
        <v>13</v>
      </c>
    </row>
    <row r="200" spans="1:10" x14ac:dyDescent="0.2">
      <c r="A200" s="25" t="s">
        <v>39</v>
      </c>
      <c r="B200" s="14"/>
      <c r="E200" s="5" t="str">
        <f>"000-2195-00"</f>
        <v>000-2195-00</v>
      </c>
      <c r="F200" s="5" t="str">
        <f>"MO State SUTA Payable"</f>
        <v>MO State SUTA Payable</v>
      </c>
      <c r="G200" s="15">
        <v>0</v>
      </c>
      <c r="H200" s="15">
        <v>0</v>
      </c>
      <c r="J200" s="4">
        <f t="shared" si="24"/>
        <v>14</v>
      </c>
    </row>
    <row r="201" spans="1:10" x14ac:dyDescent="0.2">
      <c r="A201" s="25" t="s">
        <v>39</v>
      </c>
      <c r="B201" s="14"/>
      <c r="E201" s="5" t="str">
        <f>"000-2270-00"</f>
        <v>000-2270-00</v>
      </c>
      <c r="F201" s="5" t="str">
        <f>"IL Workers Compensation Payable"</f>
        <v>IL Workers Compensation Payable</v>
      </c>
      <c r="G201" s="15">
        <v>0</v>
      </c>
      <c r="H201" s="15">
        <v>0</v>
      </c>
      <c r="J201" s="4">
        <f t="shared" si="24"/>
        <v>15</v>
      </c>
    </row>
    <row r="202" spans="1:10" x14ac:dyDescent="0.2">
      <c r="A202" s="25" t="s">
        <v>39</v>
      </c>
      <c r="B202" s="14"/>
      <c r="E202" s="5" t="str">
        <f>"000-2271-00"</f>
        <v>000-2271-00</v>
      </c>
      <c r="F202" s="5" t="str">
        <f>"NE Workers Compensation Payable"</f>
        <v>NE Workers Compensation Payable</v>
      </c>
      <c r="G202" s="15">
        <v>0</v>
      </c>
      <c r="H202" s="15">
        <v>0</v>
      </c>
      <c r="J202" s="4">
        <f t="shared" si="24"/>
        <v>16</v>
      </c>
    </row>
    <row r="203" spans="1:10" x14ac:dyDescent="0.2">
      <c r="A203" s="25" t="s">
        <v>39</v>
      </c>
      <c r="B203" s="14"/>
      <c r="E203" s="5" t="str">
        <f>"000-2272-00"</f>
        <v>000-2272-00</v>
      </c>
      <c r="F203" s="5" t="str">
        <f>"IN Workers Compensation Payable"</f>
        <v>IN Workers Compensation Payable</v>
      </c>
      <c r="G203" s="15">
        <v>0</v>
      </c>
      <c r="H203" s="15">
        <v>0</v>
      </c>
      <c r="J203" s="4">
        <f t="shared" si="24"/>
        <v>17</v>
      </c>
    </row>
    <row r="204" spans="1:10" x14ac:dyDescent="0.2">
      <c r="A204" s="25" t="s">
        <v>39</v>
      </c>
      <c r="B204" s="14"/>
      <c r="E204" s="5" t="str">
        <f>"000-2273-00"</f>
        <v>000-2273-00</v>
      </c>
      <c r="F204" s="5" t="str">
        <f>"MN Workers Compensation Payable"</f>
        <v>MN Workers Compensation Payable</v>
      </c>
      <c r="G204" s="15">
        <v>0</v>
      </c>
      <c r="H204" s="15">
        <v>0</v>
      </c>
      <c r="J204" s="4">
        <f t="shared" si="24"/>
        <v>18</v>
      </c>
    </row>
    <row r="205" spans="1:10" x14ac:dyDescent="0.2">
      <c r="A205" s="25" t="s">
        <v>39</v>
      </c>
      <c r="B205" s="14"/>
      <c r="E205" s="5" t="str">
        <f>"000-2274-00"</f>
        <v>000-2274-00</v>
      </c>
      <c r="F205" s="5" t="str">
        <f>"MO Workers compensation Payable"</f>
        <v>MO Workers compensation Payable</v>
      </c>
      <c r="G205" s="15">
        <v>0</v>
      </c>
      <c r="H205" s="15">
        <v>0</v>
      </c>
      <c r="J205" s="4">
        <f t="shared" si="24"/>
        <v>19</v>
      </c>
    </row>
    <row r="206" spans="1:10" x14ac:dyDescent="0.2">
      <c r="A206" s="25" t="s">
        <v>39</v>
      </c>
      <c r="B206" s="14"/>
      <c r="E206" s="5" t="str">
        <f>"000-2275-00"</f>
        <v>000-2275-00</v>
      </c>
      <c r="F206" s="5" t="str">
        <f>"Ontario Workers Compensation Payable"</f>
        <v>Ontario Workers Compensation Payable</v>
      </c>
      <c r="G206" s="15">
        <v>0</v>
      </c>
      <c r="H206" s="15">
        <v>0</v>
      </c>
      <c r="J206" s="4">
        <f t="shared" si="24"/>
        <v>20</v>
      </c>
    </row>
    <row r="207" spans="1:10" x14ac:dyDescent="0.2">
      <c r="A207" s="25" t="s">
        <v>39</v>
      </c>
      <c r="B207" s="14"/>
      <c r="E207" s="5" t="str">
        <f>"000-2276-00"</f>
        <v>000-2276-00</v>
      </c>
      <c r="F207" s="5" t="str">
        <f>"Alberta Workers Compensation Payable"</f>
        <v>Alberta Workers Compensation Payable</v>
      </c>
      <c r="G207" s="15">
        <v>0</v>
      </c>
      <c r="H207" s="15">
        <v>0</v>
      </c>
      <c r="J207" s="4">
        <f t="shared" si="24"/>
        <v>21</v>
      </c>
    </row>
    <row r="208" spans="1:10" x14ac:dyDescent="0.2">
      <c r="A208" s="25" t="s">
        <v>39</v>
      </c>
      <c r="B208" s="14"/>
      <c r="E208" s="5" t="str">
        <f>"000-2277-00"</f>
        <v>000-2277-00</v>
      </c>
      <c r="F208" s="5" t="str">
        <f>"Quebec Workers Compensation Payable"</f>
        <v>Quebec Workers Compensation Payable</v>
      </c>
      <c r="G208" s="15">
        <v>0</v>
      </c>
      <c r="H208" s="15">
        <v>0</v>
      </c>
      <c r="J208" s="4">
        <f t="shared" si="24"/>
        <v>22</v>
      </c>
    </row>
    <row r="209" spans="1:10" x14ac:dyDescent="0.2">
      <c r="A209" s="25" t="s">
        <v>39</v>
      </c>
      <c r="B209" s="14"/>
      <c r="E209" s="5" t="str">
        <f>"000-2280-00"</f>
        <v>000-2280-00</v>
      </c>
      <c r="F209" s="5" t="str">
        <f>"RRSP Payable"</f>
        <v>RRSP Payable</v>
      </c>
      <c r="G209" s="15">
        <v>-1078.8900000000001</v>
      </c>
      <c r="H209" s="15">
        <v>-1078.8900000000001</v>
      </c>
      <c r="J209" s="4">
        <f t="shared" si="24"/>
        <v>23</v>
      </c>
    </row>
    <row r="210" spans="1:10" x14ac:dyDescent="0.2">
      <c r="A210" s="25" t="s">
        <v>39</v>
      </c>
      <c r="B210" s="14"/>
      <c r="E210" s="5" t="str">
        <f>"000-2281-00"</f>
        <v>000-2281-00</v>
      </c>
      <c r="F210" s="5" t="str">
        <f>"CPP Payable"</f>
        <v>CPP Payable</v>
      </c>
      <c r="G210" s="15">
        <v>0</v>
      </c>
      <c r="H210" s="15">
        <v>0</v>
      </c>
      <c r="J210" s="4">
        <f t="shared" si="24"/>
        <v>24</v>
      </c>
    </row>
    <row r="211" spans="1:10" x14ac:dyDescent="0.2">
      <c r="A211" s="25" t="s">
        <v>39</v>
      </c>
      <c r="B211" s="14"/>
      <c r="E211" s="5" t="str">
        <f>"000-2282-00"</f>
        <v>000-2282-00</v>
      </c>
      <c r="F211" s="5" t="str">
        <f>"QPP Payable"</f>
        <v>QPP Payable</v>
      </c>
      <c r="G211" s="15">
        <v>0</v>
      </c>
      <c r="H211" s="15">
        <v>0</v>
      </c>
      <c r="J211" s="4">
        <f t="shared" si="24"/>
        <v>25</v>
      </c>
    </row>
    <row r="212" spans="1:10" x14ac:dyDescent="0.2">
      <c r="A212" s="25" t="s">
        <v>39</v>
      </c>
      <c r="B212" s="14"/>
      <c r="E212" s="5" t="str">
        <f>"000-2283-00"</f>
        <v>000-2283-00</v>
      </c>
      <c r="F212" s="5" t="str">
        <f>"UIC Payable"</f>
        <v>UIC Payable</v>
      </c>
      <c r="G212" s="15">
        <v>0</v>
      </c>
      <c r="H212" s="15">
        <v>0</v>
      </c>
      <c r="J212" s="4">
        <f t="shared" si="24"/>
        <v>26</v>
      </c>
    </row>
    <row r="213" spans="1:10" x14ac:dyDescent="0.2">
      <c r="A213" s="25" t="s">
        <v>39</v>
      </c>
      <c r="B213" s="14"/>
      <c r="E213" s="5" t="str">
        <f>"000-2284-00"</f>
        <v>000-2284-00</v>
      </c>
      <c r="F213" s="5" t="str">
        <f>"Quebec Withholding Payable"</f>
        <v>Quebec Withholding Payable</v>
      </c>
      <c r="G213" s="15">
        <v>0</v>
      </c>
      <c r="H213" s="15">
        <v>0</v>
      </c>
      <c r="J213" s="4">
        <f t="shared" si="24"/>
        <v>27</v>
      </c>
    </row>
    <row r="214" spans="1:10" x14ac:dyDescent="0.2">
      <c r="A214" s="25" t="s">
        <v>39</v>
      </c>
      <c r="B214" s="14"/>
      <c r="E214" s="5" t="str">
        <f>"000-2300-00"</f>
        <v>000-2300-00</v>
      </c>
      <c r="F214" s="5" t="str">
        <f>"IL State Sales Tax Payable"</f>
        <v>IL State Sales Tax Payable</v>
      </c>
      <c r="G214" s="15">
        <v>-56250.86</v>
      </c>
      <c r="H214" s="15">
        <v>-61508.12</v>
      </c>
      <c r="J214" s="4">
        <f t="shared" si="24"/>
        <v>28</v>
      </c>
    </row>
    <row r="215" spans="1:10" x14ac:dyDescent="0.2">
      <c r="A215" s="25" t="s">
        <v>39</v>
      </c>
      <c r="B215" s="14"/>
      <c r="E215" s="5" t="str">
        <f>"000-2310-00"</f>
        <v>000-2310-00</v>
      </c>
      <c r="F215" s="5" t="str">
        <f>"Chicago City Sales Tax Payable"</f>
        <v>Chicago City Sales Tax Payable</v>
      </c>
      <c r="G215" s="15">
        <v>-9342.4</v>
      </c>
      <c r="H215" s="15">
        <v>-10218.66</v>
      </c>
      <c r="J215" s="4">
        <f t="shared" si="24"/>
        <v>29</v>
      </c>
    </row>
    <row r="216" spans="1:10" x14ac:dyDescent="0.2">
      <c r="A216" s="25" t="s">
        <v>39</v>
      </c>
      <c r="B216" s="14"/>
      <c r="E216" s="5" t="str">
        <f>"000-2311-00"</f>
        <v>000-2311-00</v>
      </c>
      <c r="F216" s="5" t="str">
        <f>"Springfield City Tax Payable"</f>
        <v>Springfield City Tax Payable</v>
      </c>
      <c r="G216" s="15">
        <v>0</v>
      </c>
      <c r="H216" s="15">
        <v>0</v>
      </c>
      <c r="J216" s="4">
        <f t="shared" si="24"/>
        <v>30</v>
      </c>
    </row>
    <row r="217" spans="1:10" x14ac:dyDescent="0.2">
      <c r="A217" s="25" t="s">
        <v>39</v>
      </c>
      <c r="B217" s="14"/>
      <c r="E217" s="5" t="str">
        <f>"000-2315-00"</f>
        <v>000-2315-00</v>
      </c>
      <c r="F217" s="5" t="str">
        <f>"Export/Duty Tax Payable"</f>
        <v>Export/Duty Tax Payable</v>
      </c>
      <c r="G217" s="15">
        <v>0</v>
      </c>
      <c r="H217" s="15">
        <v>0</v>
      </c>
      <c r="J217" s="4">
        <f t="shared" si="24"/>
        <v>31</v>
      </c>
    </row>
    <row r="218" spans="1:10" x14ac:dyDescent="0.2">
      <c r="A218" s="25" t="s">
        <v>39</v>
      </c>
      <c r="B218" s="14"/>
      <c r="E218" s="5" t="str">
        <f>"000-2320-00"</f>
        <v>000-2320-00</v>
      </c>
      <c r="F218" s="5" t="str">
        <f>"GST Collected-Canada"</f>
        <v>GST Collected-Canada</v>
      </c>
      <c r="G218" s="15">
        <v>-21169.69</v>
      </c>
      <c r="H218" s="15">
        <v>-23849.89</v>
      </c>
      <c r="J218" s="4">
        <f t="shared" si="24"/>
        <v>32</v>
      </c>
    </row>
    <row r="219" spans="1:10" x14ac:dyDescent="0.2">
      <c r="A219" s="25" t="s">
        <v>39</v>
      </c>
      <c r="B219" s="14"/>
      <c r="E219" s="5" t="str">
        <f>"000-2321-00"</f>
        <v>000-2321-00</v>
      </c>
      <c r="F219" s="5" t="str">
        <f>"GST Input Tax Credit-Canada"</f>
        <v>GST Input Tax Credit-Canada</v>
      </c>
      <c r="G219" s="15">
        <v>21227.040000000001</v>
      </c>
      <c r="H219" s="15">
        <v>21227.040000000001</v>
      </c>
      <c r="J219" s="4">
        <f t="shared" si="24"/>
        <v>33</v>
      </c>
    </row>
    <row r="220" spans="1:10" x14ac:dyDescent="0.2">
      <c r="A220" s="25" t="s">
        <v>39</v>
      </c>
      <c r="B220" s="14"/>
      <c r="E220" s="5" t="str">
        <f>"000-2322-00"</f>
        <v>000-2322-00</v>
      </c>
      <c r="F220" s="5" t="str">
        <f>"PST Payable"</f>
        <v>PST Payable</v>
      </c>
      <c r="G220" s="15">
        <v>0</v>
      </c>
      <c r="H220" s="15">
        <v>0</v>
      </c>
      <c r="J220" s="4">
        <f t="shared" si="24"/>
        <v>34</v>
      </c>
    </row>
    <row r="221" spans="1:10" x14ac:dyDescent="0.2">
      <c r="A221" s="25" t="s">
        <v>39</v>
      </c>
      <c r="B221" s="14"/>
      <c r="E221" s="5" t="str">
        <f>"000-2323-00"</f>
        <v>000-2323-00</v>
      </c>
      <c r="F221" s="5" t="str">
        <f>"QST Payable"</f>
        <v>QST Payable</v>
      </c>
      <c r="G221" s="15">
        <v>0</v>
      </c>
      <c r="H221" s="15">
        <v>0</v>
      </c>
      <c r="J221" s="4">
        <f t="shared" si="24"/>
        <v>35</v>
      </c>
    </row>
    <row r="222" spans="1:10" x14ac:dyDescent="0.2">
      <c r="A222" s="25" t="s">
        <v>39</v>
      </c>
      <c r="B222" s="14"/>
      <c r="E222" s="5" t="str">
        <f>"000-2330-00"</f>
        <v>000-2330-00</v>
      </c>
      <c r="F222" s="5" t="str">
        <f>"Australia Sales Tax Payable"</f>
        <v>Australia Sales Tax Payable</v>
      </c>
      <c r="G222" s="15">
        <v>-10618.1</v>
      </c>
      <c r="H222" s="15">
        <v>-10618.1</v>
      </c>
      <c r="J222" s="4">
        <f t="shared" si="24"/>
        <v>36</v>
      </c>
    </row>
    <row r="223" spans="1:10" x14ac:dyDescent="0.2">
      <c r="A223" s="25" t="s">
        <v>39</v>
      </c>
      <c r="B223" s="14"/>
      <c r="E223" s="5" t="str">
        <f>"000-2340-00"</f>
        <v>000-2340-00</v>
      </c>
      <c r="F223" s="5" t="str">
        <f>"GST Collected -New Zealand"</f>
        <v>GST Collected -New Zealand</v>
      </c>
      <c r="G223" s="15">
        <v>-2953.19</v>
      </c>
      <c r="H223" s="15">
        <v>-2953.19</v>
      </c>
      <c r="J223" s="4">
        <f t="shared" si="24"/>
        <v>37</v>
      </c>
    </row>
    <row r="224" spans="1:10" x14ac:dyDescent="0.2">
      <c r="A224" s="25" t="s">
        <v>39</v>
      </c>
      <c r="B224" s="14"/>
      <c r="E224" s="5" t="str">
        <f>"000-2341-00"</f>
        <v>000-2341-00</v>
      </c>
      <c r="F224" s="5" t="str">
        <f>"GST Input Tax Credit-New Zealand"</f>
        <v>GST Input Tax Credit-New Zealand</v>
      </c>
      <c r="G224" s="15">
        <v>1250</v>
      </c>
      <c r="H224" s="15">
        <v>1250</v>
      </c>
      <c r="J224" s="4">
        <f t="shared" si="24"/>
        <v>38</v>
      </c>
    </row>
    <row r="225" spans="1:10" x14ac:dyDescent="0.2">
      <c r="A225" s="25" t="s">
        <v>39</v>
      </c>
      <c r="B225" s="14"/>
      <c r="E225" s="5" t="str">
        <f>"000-2350-00"</f>
        <v>000-2350-00</v>
      </c>
      <c r="F225" s="5" t="str">
        <f>"VAT Collected-UK"</f>
        <v>VAT Collected-UK</v>
      </c>
      <c r="G225" s="15">
        <v>0</v>
      </c>
      <c r="H225" s="15">
        <v>0</v>
      </c>
      <c r="J225" s="4">
        <f t="shared" si="24"/>
        <v>39</v>
      </c>
    </row>
    <row r="226" spans="1:10" x14ac:dyDescent="0.2">
      <c r="A226" s="25" t="s">
        <v>39</v>
      </c>
      <c r="B226" s="14"/>
      <c r="E226" s="5" t="str">
        <f>"000-2351-00"</f>
        <v>000-2351-00</v>
      </c>
      <c r="F226" s="5" t="str">
        <f>"VAT Paid-UK"</f>
        <v>VAT Paid-UK</v>
      </c>
      <c r="G226" s="15">
        <v>0</v>
      </c>
      <c r="H226" s="15">
        <v>0</v>
      </c>
      <c r="J226" s="4">
        <f t="shared" si="24"/>
        <v>40</v>
      </c>
    </row>
    <row r="227" spans="1:10" x14ac:dyDescent="0.2">
      <c r="A227" s="25" t="s">
        <v>39</v>
      </c>
      <c r="B227" s="14"/>
      <c r="E227" s="5" t="str">
        <f>"000-2600-00"</f>
        <v>000-2600-00</v>
      </c>
      <c r="F227" s="5" t="str">
        <f>"Federal Income Tax Payable"</f>
        <v>Federal Income Tax Payable</v>
      </c>
      <c r="G227" s="15">
        <v>-107870.2</v>
      </c>
      <c r="H227" s="15">
        <v>-107870.2</v>
      </c>
      <c r="J227" s="4">
        <f t="shared" si="24"/>
        <v>41</v>
      </c>
    </row>
    <row r="228" spans="1:10" x14ac:dyDescent="0.2">
      <c r="A228" s="25" t="s">
        <v>39</v>
      </c>
      <c r="B228" s="14"/>
      <c r="E228" s="5" t="str">
        <f>"000-2610-00"</f>
        <v>000-2610-00</v>
      </c>
      <c r="F228" s="5" t="str">
        <f>"IL Income Tax Payable"</f>
        <v>IL Income Tax Payable</v>
      </c>
      <c r="G228" s="15">
        <v>0</v>
      </c>
      <c r="H228" s="15">
        <v>0</v>
      </c>
      <c r="J228" s="4">
        <f t="shared" si="24"/>
        <v>42</v>
      </c>
    </row>
    <row r="229" spans="1:10" x14ac:dyDescent="0.2">
      <c r="A229" s="25" t="s">
        <v>39</v>
      </c>
      <c r="B229" s="14"/>
      <c r="E229" s="5" t="str">
        <f>"000-2940-00"</f>
        <v>000-2940-00</v>
      </c>
      <c r="F229" s="5" t="str">
        <f>"Deferred Income Taxes"</f>
        <v>Deferred Income Taxes</v>
      </c>
      <c r="G229" s="15">
        <v>0</v>
      </c>
      <c r="H229" s="15">
        <v>0</v>
      </c>
      <c r="J229" s="4">
        <f t="shared" si="24"/>
        <v>43</v>
      </c>
    </row>
    <row r="230" spans="1:10" s="4" customFormat="1" hidden="1" x14ac:dyDescent="0.2">
      <c r="A230" s="24" t="s">
        <v>40</v>
      </c>
      <c r="B230" s="14"/>
      <c r="G230" s="16"/>
      <c r="H230" s="16"/>
    </row>
    <row r="231" spans="1:10" ht="15" thickBot="1" x14ac:dyDescent="0.3">
      <c r="A231" s="25" t="s">
        <v>39</v>
      </c>
      <c r="B231" s="14"/>
      <c r="G231" s="26">
        <f>SUBTOTAL(9,G187:G230)</f>
        <v>-428637.64000000007</v>
      </c>
      <c r="H231" s="26">
        <f>SUBTOTAL(9,H187:H230)</f>
        <v>-548543.81999999995</v>
      </c>
    </row>
    <row r="232" spans="1:10" ht="17.25" thickTop="1" x14ac:dyDescent="0.3">
      <c r="A232" s="25" t="s">
        <v>39</v>
      </c>
      <c r="B232" s="12">
        <v>17</v>
      </c>
      <c r="D232" s="20" t="str">
        <f>"Interest Payable"</f>
        <v>Interest Payable</v>
      </c>
      <c r="E232" s="13"/>
      <c r="F232" s="13"/>
      <c r="G232" s="13"/>
      <c r="H232" s="13"/>
    </row>
    <row r="233" spans="1:10" x14ac:dyDescent="0.2">
      <c r="A233" s="25" t="s">
        <v>39</v>
      </c>
      <c r="B233" s="14"/>
      <c r="E233" s="5" t="str">
        <f>"000-2500-00"</f>
        <v>000-2500-00</v>
      </c>
      <c r="F233" s="5" t="str">
        <f>"Interest Payable"</f>
        <v>Interest Payable</v>
      </c>
      <c r="G233" s="15">
        <v>738.97</v>
      </c>
      <c r="H233" s="15">
        <v>738.97</v>
      </c>
      <c r="J233" s="4">
        <f t="shared" ref="J233" si="25">J232+1</f>
        <v>1</v>
      </c>
    </row>
    <row r="234" spans="1:10" s="4" customFormat="1" hidden="1" x14ac:dyDescent="0.2">
      <c r="A234" s="24" t="s">
        <v>40</v>
      </c>
      <c r="B234" s="14"/>
      <c r="G234" s="16"/>
      <c r="H234" s="16"/>
    </row>
    <row r="235" spans="1:10" ht="15" thickBot="1" x14ac:dyDescent="0.3">
      <c r="A235" s="25" t="s">
        <v>39</v>
      </c>
      <c r="B235" s="14"/>
      <c r="G235" s="26">
        <f>SUBTOTAL(9,G233:G234)</f>
        <v>738.97</v>
      </c>
      <c r="H235" s="26">
        <f>SUBTOTAL(9,H233:H234)</f>
        <v>738.97</v>
      </c>
    </row>
    <row r="236" spans="1:10" ht="17.25" thickTop="1" x14ac:dyDescent="0.3">
      <c r="A236" s="25" t="s">
        <v>39</v>
      </c>
      <c r="B236" s="12">
        <v>18</v>
      </c>
      <c r="D236" s="20" t="str">
        <f>"Dividends Payable"</f>
        <v>Dividends Payable</v>
      </c>
      <c r="E236" s="13"/>
      <c r="F236" s="13"/>
      <c r="G236" s="13"/>
      <c r="H236" s="13"/>
    </row>
    <row r="237" spans="1:10" x14ac:dyDescent="0.2">
      <c r="A237" s="25" t="s">
        <v>39</v>
      </c>
      <c r="B237" s="14"/>
      <c r="E237" s="5" t="str">
        <f>"000-2400-00"</f>
        <v>000-2400-00</v>
      </c>
      <c r="F237" s="5" t="str">
        <f>"Dividends Payable"</f>
        <v>Dividends Payable</v>
      </c>
      <c r="G237" s="15">
        <v>0</v>
      </c>
      <c r="H237" s="15">
        <v>0</v>
      </c>
      <c r="J237" s="4">
        <f t="shared" ref="J237" si="26">J236+1</f>
        <v>1</v>
      </c>
    </row>
    <row r="238" spans="1:10" s="4" customFormat="1" hidden="1" x14ac:dyDescent="0.2">
      <c r="A238" s="24" t="s">
        <v>40</v>
      </c>
      <c r="B238" s="14"/>
      <c r="G238" s="16"/>
      <c r="H238" s="16"/>
    </row>
    <row r="239" spans="1:10" ht="15" thickBot="1" x14ac:dyDescent="0.3">
      <c r="A239" s="25" t="s">
        <v>39</v>
      </c>
      <c r="B239" s="14"/>
      <c r="G239" s="26">
        <f>SUBTOTAL(9,G237:G238)</f>
        <v>0</v>
      </c>
      <c r="H239" s="26">
        <f>SUBTOTAL(9,H237:H238)</f>
        <v>0</v>
      </c>
    </row>
    <row r="240" spans="1:10" ht="17.25" thickTop="1" x14ac:dyDescent="0.3">
      <c r="A240" s="25" t="s">
        <v>39</v>
      </c>
      <c r="B240" s="12">
        <v>21</v>
      </c>
      <c r="D240" s="20" t="str">
        <f>"Other Current Liabilities"</f>
        <v>Other Current Liabilities</v>
      </c>
      <c r="E240" s="13"/>
      <c r="F240" s="13"/>
      <c r="G240" s="13"/>
      <c r="H240" s="13"/>
    </row>
    <row r="241" spans="1:10" x14ac:dyDescent="0.2">
      <c r="A241" s="25" t="s">
        <v>39</v>
      </c>
      <c r="B241" s="14"/>
      <c r="E241" s="5" t="str">
        <f>"000-2014-01"</f>
        <v>000-2014-01</v>
      </c>
      <c r="F241" s="5" t="str">
        <f>"Contra Accounts for Costs"</f>
        <v>Contra Accounts for Costs</v>
      </c>
      <c r="G241" s="15">
        <v>0</v>
      </c>
      <c r="H241" s="15">
        <v>0</v>
      </c>
      <c r="J241" s="4">
        <f t="shared" ref="J241" si="27">J240+1</f>
        <v>1</v>
      </c>
    </row>
    <row r="242" spans="1:10" x14ac:dyDescent="0.2">
      <c r="A242" s="25" t="s">
        <v>39</v>
      </c>
      <c r="B242" s="14"/>
      <c r="E242" s="5" t="str">
        <f>"000-2740-00"</f>
        <v>000-2740-00</v>
      </c>
      <c r="F242" s="5" t="str">
        <f>"Advances from Customers"</f>
        <v>Advances from Customers</v>
      </c>
      <c r="G242" s="15">
        <v>-27500</v>
      </c>
      <c r="H242" s="15">
        <v>-27500</v>
      </c>
      <c r="J242" s="4">
        <f t="shared" ref="J242:J245" si="28">J241+1</f>
        <v>2</v>
      </c>
    </row>
    <row r="243" spans="1:10" x14ac:dyDescent="0.2">
      <c r="A243" s="25" t="s">
        <v>39</v>
      </c>
      <c r="B243" s="14"/>
      <c r="E243" s="5" t="str">
        <f>"000-4800-00"</f>
        <v>000-4800-00</v>
      </c>
      <c r="F243" s="5" t="str">
        <f>"Overhead"</f>
        <v>Overhead</v>
      </c>
      <c r="G243" s="15">
        <v>0</v>
      </c>
      <c r="H243" s="15">
        <v>0</v>
      </c>
      <c r="J243" s="4">
        <f t="shared" si="28"/>
        <v>3</v>
      </c>
    </row>
    <row r="244" spans="1:10" x14ac:dyDescent="0.2">
      <c r="A244" s="25" t="s">
        <v>39</v>
      </c>
      <c r="B244" s="14"/>
      <c r="E244" s="5" t="str">
        <f>"000-6900-00"</f>
        <v>000-6900-00</v>
      </c>
      <c r="F244" s="5" t="str">
        <f>"Project Losses"</f>
        <v>Project Losses</v>
      </c>
      <c r="G244" s="15">
        <v>0</v>
      </c>
      <c r="H244" s="15">
        <v>0</v>
      </c>
      <c r="J244" s="4">
        <f t="shared" si="28"/>
        <v>4</v>
      </c>
    </row>
    <row r="245" spans="1:10" x14ac:dyDescent="0.2">
      <c r="A245" s="25" t="s">
        <v>39</v>
      </c>
      <c r="B245" s="14"/>
      <c r="E245" s="5" t="str">
        <f>"000-8410-00"</f>
        <v>000-8410-00</v>
      </c>
      <c r="F245" s="5" t="str">
        <f>"Billings in Excess of Earnings"</f>
        <v>Billings in Excess of Earnings</v>
      </c>
      <c r="G245" s="15">
        <v>0</v>
      </c>
      <c r="H245" s="15">
        <v>0</v>
      </c>
      <c r="J245" s="4">
        <f t="shared" si="28"/>
        <v>5</v>
      </c>
    </row>
    <row r="246" spans="1:10" s="4" customFormat="1" hidden="1" x14ac:dyDescent="0.2">
      <c r="A246" s="24" t="s">
        <v>40</v>
      </c>
      <c r="B246" s="14"/>
      <c r="G246" s="16"/>
      <c r="H246" s="16"/>
    </row>
    <row r="247" spans="1:10" ht="15" thickBot="1" x14ac:dyDescent="0.3">
      <c r="A247" s="25" t="s">
        <v>39</v>
      </c>
      <c r="B247" s="14"/>
      <c r="G247" s="26">
        <f>SUBTOTAL(9,G241:G246)</f>
        <v>-27500</v>
      </c>
      <c r="H247" s="26">
        <f>SUBTOTAL(9,H241:H246)</f>
        <v>-27500</v>
      </c>
    </row>
    <row r="248" spans="1:10" ht="17.25" thickTop="1" x14ac:dyDescent="0.3">
      <c r="A248" s="25" t="s">
        <v>39</v>
      </c>
      <c r="B248" s="12">
        <v>22</v>
      </c>
      <c r="D248" s="20" t="str">
        <f>"Long-Term Debt"</f>
        <v>Long-Term Debt</v>
      </c>
      <c r="E248" s="13"/>
      <c r="F248" s="13"/>
      <c r="G248" s="13"/>
      <c r="H248" s="13"/>
    </row>
    <row r="249" spans="1:10" x14ac:dyDescent="0.2">
      <c r="A249" s="25" t="s">
        <v>39</v>
      </c>
      <c r="B249" s="14"/>
      <c r="E249" s="5" t="str">
        <f>"000-2900-00"</f>
        <v>000-2900-00</v>
      </c>
      <c r="F249" s="5" t="str">
        <f>"Notes Payable on Vehicles"</f>
        <v>Notes Payable on Vehicles</v>
      </c>
      <c r="G249" s="15">
        <v>-32292.76</v>
      </c>
      <c r="H249" s="15">
        <v>-32292.76</v>
      </c>
      <c r="J249" s="4">
        <f t="shared" ref="J249" si="29">J248+1</f>
        <v>1</v>
      </c>
    </row>
    <row r="250" spans="1:10" x14ac:dyDescent="0.2">
      <c r="A250" s="25" t="s">
        <v>39</v>
      </c>
      <c r="B250" s="14"/>
      <c r="E250" s="5" t="str">
        <f>"000-2910-00"</f>
        <v>000-2910-00</v>
      </c>
      <c r="F250" s="5" t="str">
        <f>"Notes Payable to Banks"</f>
        <v>Notes Payable to Banks</v>
      </c>
      <c r="G250" s="15">
        <v>0</v>
      </c>
      <c r="H250" s="15">
        <v>0</v>
      </c>
      <c r="J250" s="4">
        <f t="shared" ref="J250:J252" si="30">J249+1</f>
        <v>2</v>
      </c>
    </row>
    <row r="251" spans="1:10" x14ac:dyDescent="0.2">
      <c r="A251" s="25" t="s">
        <v>39</v>
      </c>
      <c r="B251" s="14"/>
      <c r="E251" s="5" t="str">
        <f>"000-2920-00"</f>
        <v>000-2920-00</v>
      </c>
      <c r="F251" s="5" t="str">
        <f>"Notes Payable to Stockholders"</f>
        <v>Notes Payable to Stockholders</v>
      </c>
      <c r="G251" s="15">
        <v>-20835.16</v>
      </c>
      <c r="H251" s="15">
        <v>-20835.16</v>
      </c>
      <c r="J251" s="4">
        <f t="shared" si="30"/>
        <v>3</v>
      </c>
    </row>
    <row r="252" spans="1:10" x14ac:dyDescent="0.2">
      <c r="A252" s="25" t="s">
        <v>39</v>
      </c>
      <c r="B252" s="14"/>
      <c r="E252" s="5" t="str">
        <f>"000-2930-00"</f>
        <v>000-2930-00</v>
      </c>
      <c r="F252" s="5" t="str">
        <f>"Capital Leases Payable"</f>
        <v>Capital Leases Payable</v>
      </c>
      <c r="G252" s="15">
        <v>-273763.03000000003</v>
      </c>
      <c r="H252" s="15">
        <v>-273763.03000000003</v>
      </c>
      <c r="J252" s="4">
        <f t="shared" si="30"/>
        <v>4</v>
      </c>
    </row>
    <row r="253" spans="1:10" s="4" customFormat="1" hidden="1" x14ac:dyDescent="0.2">
      <c r="A253" s="24" t="s">
        <v>40</v>
      </c>
      <c r="B253" s="14"/>
      <c r="G253" s="16"/>
      <c r="H253" s="16"/>
    </row>
    <row r="254" spans="1:10" ht="15" thickBot="1" x14ac:dyDescent="0.3">
      <c r="A254" s="25" t="s">
        <v>39</v>
      </c>
      <c r="B254" s="14"/>
      <c r="G254" s="26">
        <f t="shared" ref="G254:H254" si="31">SUBTOTAL(9,G249:G253)</f>
        <v>-326890.95</v>
      </c>
      <c r="H254" s="26">
        <f t="shared" si="31"/>
        <v>-326890.95</v>
      </c>
    </row>
    <row r="255" spans="1:10" ht="12.75" thickTop="1" x14ac:dyDescent="0.2">
      <c r="A255" s="25"/>
    </row>
    <row r="256" spans="1:10" x14ac:dyDescent="0.2">
      <c r="A256" s="25"/>
      <c r="G256" s="17"/>
      <c r="H256" s="17"/>
    </row>
    <row r="257" spans="1:1" x14ac:dyDescent="0.2">
      <c r="A257" s="25"/>
    </row>
    <row r="258" spans="1:1" x14ac:dyDescent="0.2">
      <c r="A258" s="25"/>
    </row>
    <row r="259" spans="1:1" x14ac:dyDescent="0.2">
      <c r="A259" s="25"/>
    </row>
  </sheetData>
  <phoneticPr fontId="5" type="noConversion"/>
  <conditionalFormatting sqref="E13:H13">
    <cfRule type="expression" dxfId="15" priority="264" stopIfTrue="1">
      <formula>MOD($J13,2)=0</formula>
    </cfRule>
  </conditionalFormatting>
  <conditionalFormatting sqref="E28:H28 E32:H32 E55:H55 E59:H59 E90:H90 E111:H111 E116:H116 E126:H126 E133:H133 E138:H138 E143:H143 E181:H181 E187:H187 E233:H233 E237:H237 E241:H241 E249:H249">
    <cfRule type="expression" dxfId="14" priority="15" stopIfTrue="1">
      <formula>MOD($J28,2)=0</formula>
    </cfRule>
  </conditionalFormatting>
  <conditionalFormatting sqref="E14:H24">
    <cfRule type="expression" dxfId="13" priority="14" stopIfTrue="1">
      <formula>MOD($J14,2)=0</formula>
    </cfRule>
  </conditionalFormatting>
  <conditionalFormatting sqref="E250:H252">
    <cfRule type="expression" dxfId="12" priority="13" stopIfTrue="1">
      <formula>MOD($J250,2)=0</formula>
    </cfRule>
  </conditionalFormatting>
  <conditionalFormatting sqref="E242:H245">
    <cfRule type="expression" dxfId="11" priority="12" stopIfTrue="1">
      <formula>MOD($J242,2)=0</formula>
    </cfRule>
  </conditionalFormatting>
  <conditionalFormatting sqref="E188:H229">
    <cfRule type="expression" dxfId="10" priority="11" stopIfTrue="1">
      <formula>MOD($J188,2)=0</formula>
    </cfRule>
  </conditionalFormatting>
  <conditionalFormatting sqref="E182:H183">
    <cfRule type="expression" dxfId="9" priority="10" stopIfTrue="1">
      <formula>MOD($J182,2)=0</formula>
    </cfRule>
  </conditionalFormatting>
  <conditionalFormatting sqref="E144:H177">
    <cfRule type="expression" dxfId="8" priority="9" stopIfTrue="1">
      <formula>MOD($J144,2)=0</formula>
    </cfRule>
  </conditionalFormatting>
  <conditionalFormatting sqref="E139:H139">
    <cfRule type="expression" dxfId="7" priority="8" stopIfTrue="1">
      <formula>MOD($J139,2)=0</formula>
    </cfRule>
  </conditionalFormatting>
  <conditionalFormatting sqref="E134:H134">
    <cfRule type="expression" dxfId="6" priority="7" stopIfTrue="1">
      <formula>MOD($J134,2)=0</formula>
    </cfRule>
  </conditionalFormatting>
  <conditionalFormatting sqref="E127:H129">
    <cfRule type="expression" dxfId="5" priority="6" stopIfTrue="1">
      <formula>MOD($J127,2)=0</formula>
    </cfRule>
  </conditionalFormatting>
  <conditionalFormatting sqref="E117:H122">
    <cfRule type="expression" dxfId="4" priority="5" stopIfTrue="1">
      <formula>MOD($J117,2)=0</formula>
    </cfRule>
  </conditionalFormatting>
  <conditionalFormatting sqref="E112:H112">
    <cfRule type="expression" dxfId="3" priority="4" stopIfTrue="1">
      <formula>MOD($J112,2)=0</formula>
    </cfRule>
  </conditionalFormatting>
  <conditionalFormatting sqref="E91:H107">
    <cfRule type="expression" dxfId="2" priority="3" stopIfTrue="1">
      <formula>MOD($J91,2)=0</formula>
    </cfRule>
  </conditionalFormatting>
  <conditionalFormatting sqref="E60:H86">
    <cfRule type="expression" dxfId="1" priority="2" stopIfTrue="1">
      <formula>MOD($J60,2)=0</formula>
    </cfRule>
  </conditionalFormatting>
  <conditionalFormatting sqref="E33:H51">
    <cfRule type="expression" dxfId="0" priority="1" stopIfTrue="1">
      <formula>MOD($J33,2)=0</formula>
    </cfRule>
  </conditionalFormatting>
  <pageMargins left="0.75" right="0.75" top="1" bottom="1" header="0.5" footer="0.5"/>
  <pageSetup scale="61"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workbookViewId="0"/>
  </sheetViews>
  <sheetFormatPr defaultRowHeight="12.75" x14ac:dyDescent="0.2"/>
  <sheetData>
    <row r="1" spans="1:10" x14ac:dyDescent="0.2">
      <c r="A1" s="27" t="s">
        <v>1071</v>
      </c>
      <c r="B1" s="27" t="s">
        <v>7</v>
      </c>
      <c r="D1" s="27" t="s">
        <v>10</v>
      </c>
      <c r="E1" s="27" t="s">
        <v>10</v>
      </c>
      <c r="F1" s="27" t="s">
        <v>10</v>
      </c>
      <c r="G1" s="27" t="s">
        <v>10</v>
      </c>
      <c r="H1" s="27" t="s">
        <v>10</v>
      </c>
      <c r="J1" s="27" t="s">
        <v>7</v>
      </c>
    </row>
    <row r="2" spans="1:10" x14ac:dyDescent="0.2">
      <c r="A2" s="27" t="s">
        <v>22</v>
      </c>
      <c r="G2" s="27" t="s">
        <v>23</v>
      </c>
      <c r="H2" s="27" t="s">
        <v>23</v>
      </c>
    </row>
    <row r="4" spans="1:10" x14ac:dyDescent="0.2">
      <c r="D4" s="27" t="s">
        <v>5</v>
      </c>
    </row>
    <row r="7" spans="1:10" x14ac:dyDescent="0.2">
      <c r="D7" s="27" t="s">
        <v>6</v>
      </c>
      <c r="E7" s="27" t="s">
        <v>25</v>
      </c>
    </row>
    <row r="8" spans="1:10" x14ac:dyDescent="0.2">
      <c r="D8" s="27" t="s">
        <v>11</v>
      </c>
      <c r="E8" s="27" t="s">
        <v>26</v>
      </c>
    </row>
    <row r="9" spans="1:10" x14ac:dyDescent="0.2">
      <c r="G9" s="27" t="s">
        <v>9</v>
      </c>
      <c r="H9" s="27" t="s">
        <v>27</v>
      </c>
    </row>
    <row r="11" spans="1:10" x14ac:dyDescent="0.2">
      <c r="D11" s="27" t="s">
        <v>8</v>
      </c>
      <c r="G11" s="27" t="s">
        <v>28</v>
      </c>
      <c r="H11" s="27" t="s">
        <v>29</v>
      </c>
    </row>
    <row r="12" spans="1:10" x14ac:dyDescent="0.2">
      <c r="B12" s="27" t="s">
        <v>30</v>
      </c>
      <c r="D12" s="27" t="s">
        <v>31</v>
      </c>
    </row>
    <row r="13" spans="1:10" x14ac:dyDescent="0.2">
      <c r="E13" s="27" t="s">
        <v>32</v>
      </c>
      <c r="F13" s="27" t="s">
        <v>33</v>
      </c>
      <c r="G13" s="27" t="s">
        <v>34</v>
      </c>
      <c r="H13" s="27" t="s">
        <v>35</v>
      </c>
      <c r="J13" s="27" t="s">
        <v>36</v>
      </c>
    </row>
    <row r="14" spans="1:10" x14ac:dyDescent="0.2">
      <c r="A14" s="27" t="s">
        <v>7</v>
      </c>
    </row>
    <row r="15" spans="1:10" x14ac:dyDescent="0.2">
      <c r="G15" s="27" t="s">
        <v>37</v>
      </c>
      <c r="H15" s="27" t="s">
        <v>38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workbookViewId="0"/>
  </sheetViews>
  <sheetFormatPr defaultRowHeight="12.75" x14ac:dyDescent="0.2"/>
  <sheetData>
    <row r="1" spans="1:10" x14ac:dyDescent="0.2">
      <c r="A1" s="27" t="s">
        <v>1071</v>
      </c>
      <c r="B1" s="27" t="s">
        <v>7</v>
      </c>
      <c r="D1" s="27" t="s">
        <v>10</v>
      </c>
      <c r="E1" s="27" t="s">
        <v>10</v>
      </c>
      <c r="F1" s="27" t="s">
        <v>10</v>
      </c>
      <c r="G1" s="27" t="s">
        <v>10</v>
      </c>
      <c r="H1" s="27" t="s">
        <v>10</v>
      </c>
      <c r="J1" s="27" t="s">
        <v>7</v>
      </c>
    </row>
    <row r="2" spans="1:10" x14ac:dyDescent="0.2">
      <c r="A2" s="27" t="s">
        <v>22</v>
      </c>
      <c r="G2" s="27" t="s">
        <v>23</v>
      </c>
      <c r="H2" s="27" t="s">
        <v>23</v>
      </c>
    </row>
    <row r="4" spans="1:10" x14ac:dyDescent="0.2">
      <c r="D4" s="27" t="s">
        <v>5</v>
      </c>
    </row>
    <row r="7" spans="1:10" x14ac:dyDescent="0.2">
      <c r="D7" s="27" t="s">
        <v>6</v>
      </c>
      <c r="E7" s="27" t="s">
        <v>25</v>
      </c>
    </row>
    <row r="8" spans="1:10" x14ac:dyDescent="0.2">
      <c r="D8" s="27" t="s">
        <v>11</v>
      </c>
      <c r="E8" s="27" t="s">
        <v>26</v>
      </c>
    </row>
    <row r="9" spans="1:10" x14ac:dyDescent="0.2">
      <c r="G9" s="27" t="s">
        <v>9</v>
      </c>
      <c r="H9" s="27" t="s">
        <v>27</v>
      </c>
    </row>
    <row r="11" spans="1:10" x14ac:dyDescent="0.2">
      <c r="D11" s="27" t="s">
        <v>8</v>
      </c>
      <c r="G11" s="27" t="s">
        <v>28</v>
      </c>
      <c r="H11" s="27" t="s">
        <v>29</v>
      </c>
    </row>
    <row r="12" spans="1:10" x14ac:dyDescent="0.2">
      <c r="B12" s="27" t="s">
        <v>30</v>
      </c>
      <c r="D12" s="27" t="s">
        <v>31</v>
      </c>
    </row>
    <row r="13" spans="1:10" x14ac:dyDescent="0.2">
      <c r="E13" s="27" t="s">
        <v>32</v>
      </c>
      <c r="F13" s="27" t="s">
        <v>33</v>
      </c>
      <c r="G13" s="27" t="s">
        <v>34</v>
      </c>
      <c r="H13" s="27" t="s">
        <v>35</v>
      </c>
      <c r="J13" s="27" t="s">
        <v>36</v>
      </c>
    </row>
    <row r="14" spans="1:10" x14ac:dyDescent="0.2">
      <c r="A14" s="27" t="s">
        <v>7</v>
      </c>
    </row>
    <row r="15" spans="1:10" x14ac:dyDescent="0.2">
      <c r="G15" s="27" t="s">
        <v>37</v>
      </c>
      <c r="H15" s="27" t="s">
        <v>38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4"/>
  <sheetViews>
    <sheetView workbookViewId="0"/>
  </sheetViews>
  <sheetFormatPr defaultRowHeight="12.75" x14ac:dyDescent="0.2"/>
  <sheetData>
    <row r="1" spans="1:10" x14ac:dyDescent="0.2">
      <c r="A1" s="27" t="s">
        <v>1073</v>
      </c>
      <c r="B1" s="27" t="s">
        <v>7</v>
      </c>
      <c r="D1" s="27" t="s">
        <v>10</v>
      </c>
      <c r="E1" s="27" t="s">
        <v>10</v>
      </c>
      <c r="F1" s="27" t="s">
        <v>10</v>
      </c>
      <c r="G1" s="27" t="s">
        <v>10</v>
      </c>
      <c r="H1" s="27" t="s">
        <v>10</v>
      </c>
      <c r="J1" s="27" t="s">
        <v>7</v>
      </c>
    </row>
    <row r="2" spans="1:10" x14ac:dyDescent="0.2">
      <c r="A2" s="27" t="s">
        <v>22</v>
      </c>
      <c r="G2" s="27" t="s">
        <v>23</v>
      </c>
      <c r="H2" s="27" t="s">
        <v>23</v>
      </c>
    </row>
    <row r="4" spans="1:10" x14ac:dyDescent="0.2">
      <c r="D4" s="27" t="s">
        <v>5</v>
      </c>
    </row>
    <row r="7" spans="1:10" x14ac:dyDescent="0.2">
      <c r="D7" s="27" t="s">
        <v>6</v>
      </c>
      <c r="E7" s="27" t="s">
        <v>25</v>
      </c>
    </row>
    <row r="8" spans="1:10" x14ac:dyDescent="0.2">
      <c r="D8" s="27" t="s">
        <v>11</v>
      </c>
      <c r="E8" s="27" t="s">
        <v>26</v>
      </c>
    </row>
    <row r="9" spans="1:10" x14ac:dyDescent="0.2">
      <c r="G9" s="27" t="s">
        <v>9</v>
      </c>
      <c r="H9" s="27" t="s">
        <v>27</v>
      </c>
    </row>
    <row r="11" spans="1:10" x14ac:dyDescent="0.2">
      <c r="D11" s="27" t="s">
        <v>8</v>
      </c>
      <c r="G11" s="27" t="s">
        <v>28</v>
      </c>
      <c r="H11" s="27" t="s">
        <v>29</v>
      </c>
    </row>
    <row r="12" spans="1:10" x14ac:dyDescent="0.2">
      <c r="B12" s="27" t="s">
        <v>30</v>
      </c>
      <c r="D12" s="27" t="s">
        <v>31</v>
      </c>
    </row>
    <row r="13" spans="1:10" x14ac:dyDescent="0.2">
      <c r="E13" s="27" t="s">
        <v>32</v>
      </c>
      <c r="F13" s="27" t="s">
        <v>33</v>
      </c>
      <c r="G13" s="27" t="s">
        <v>34</v>
      </c>
      <c r="H13" s="27" t="s">
        <v>35</v>
      </c>
      <c r="J13" s="27" t="s">
        <v>36</v>
      </c>
    </row>
    <row r="14" spans="1:10" x14ac:dyDescent="0.2">
      <c r="A14" s="27" t="s">
        <v>39</v>
      </c>
      <c r="E14" s="27" t="s">
        <v>41</v>
      </c>
      <c r="F14" s="27" t="s">
        <v>550</v>
      </c>
      <c r="G14" s="27" t="s">
        <v>561</v>
      </c>
      <c r="H14" s="27" t="s">
        <v>572</v>
      </c>
      <c r="J14" s="27" t="s">
        <v>42</v>
      </c>
    </row>
    <row r="15" spans="1:10" x14ac:dyDescent="0.2">
      <c r="A15" s="27" t="s">
        <v>39</v>
      </c>
      <c r="E15" s="27" t="s">
        <v>43</v>
      </c>
      <c r="F15" s="27" t="s">
        <v>551</v>
      </c>
      <c r="G15" s="27" t="s">
        <v>562</v>
      </c>
      <c r="H15" s="27" t="s">
        <v>573</v>
      </c>
      <c r="J15" s="27" t="s">
        <v>44</v>
      </c>
    </row>
    <row r="16" spans="1:10" x14ac:dyDescent="0.2">
      <c r="A16" s="27" t="s">
        <v>39</v>
      </c>
      <c r="E16" s="27" t="s">
        <v>45</v>
      </c>
      <c r="F16" s="27" t="s">
        <v>552</v>
      </c>
      <c r="G16" s="27" t="s">
        <v>563</v>
      </c>
      <c r="H16" s="27" t="s">
        <v>574</v>
      </c>
      <c r="J16" s="27" t="s">
        <v>46</v>
      </c>
    </row>
    <row r="17" spans="1:10" x14ac:dyDescent="0.2">
      <c r="A17" s="27" t="s">
        <v>39</v>
      </c>
      <c r="E17" s="27" t="s">
        <v>47</v>
      </c>
      <c r="F17" s="27" t="s">
        <v>553</v>
      </c>
      <c r="G17" s="27" t="s">
        <v>564</v>
      </c>
      <c r="H17" s="27" t="s">
        <v>575</v>
      </c>
      <c r="J17" s="27" t="s">
        <v>48</v>
      </c>
    </row>
    <row r="18" spans="1:10" x14ac:dyDescent="0.2">
      <c r="A18" s="27" t="s">
        <v>39</v>
      </c>
      <c r="E18" s="27" t="s">
        <v>49</v>
      </c>
      <c r="F18" s="27" t="s">
        <v>554</v>
      </c>
      <c r="G18" s="27" t="s">
        <v>565</v>
      </c>
      <c r="H18" s="27" t="s">
        <v>576</v>
      </c>
      <c r="J18" s="27" t="s">
        <v>50</v>
      </c>
    </row>
    <row r="19" spans="1:10" x14ac:dyDescent="0.2">
      <c r="A19" s="27" t="s">
        <v>39</v>
      </c>
      <c r="E19" s="27" t="s">
        <v>51</v>
      </c>
      <c r="F19" s="27" t="s">
        <v>555</v>
      </c>
      <c r="G19" s="27" t="s">
        <v>566</v>
      </c>
      <c r="H19" s="27" t="s">
        <v>577</v>
      </c>
      <c r="J19" s="27" t="s">
        <v>52</v>
      </c>
    </row>
    <row r="20" spans="1:10" x14ac:dyDescent="0.2">
      <c r="A20" s="27" t="s">
        <v>39</v>
      </c>
      <c r="E20" s="27" t="s">
        <v>53</v>
      </c>
      <c r="F20" s="27" t="s">
        <v>556</v>
      </c>
      <c r="G20" s="27" t="s">
        <v>567</v>
      </c>
      <c r="H20" s="27" t="s">
        <v>578</v>
      </c>
      <c r="J20" s="27" t="s">
        <v>54</v>
      </c>
    </row>
    <row r="21" spans="1:10" x14ac:dyDescent="0.2">
      <c r="A21" s="27" t="s">
        <v>39</v>
      </c>
      <c r="E21" s="27" t="s">
        <v>55</v>
      </c>
      <c r="F21" s="27" t="s">
        <v>557</v>
      </c>
      <c r="G21" s="27" t="s">
        <v>568</v>
      </c>
      <c r="H21" s="27" t="s">
        <v>579</v>
      </c>
      <c r="J21" s="27" t="s">
        <v>56</v>
      </c>
    </row>
    <row r="22" spans="1:10" x14ac:dyDescent="0.2">
      <c r="A22" s="27" t="s">
        <v>39</v>
      </c>
      <c r="E22" s="27" t="s">
        <v>57</v>
      </c>
      <c r="F22" s="27" t="s">
        <v>558</v>
      </c>
      <c r="G22" s="27" t="s">
        <v>569</v>
      </c>
      <c r="H22" s="27" t="s">
        <v>580</v>
      </c>
      <c r="J22" s="27" t="s">
        <v>58</v>
      </c>
    </row>
    <row r="23" spans="1:10" x14ac:dyDescent="0.2">
      <c r="A23" s="27" t="s">
        <v>39</v>
      </c>
      <c r="E23" s="27" t="s">
        <v>59</v>
      </c>
      <c r="F23" s="27" t="s">
        <v>559</v>
      </c>
      <c r="G23" s="27" t="s">
        <v>570</v>
      </c>
      <c r="H23" s="27" t="s">
        <v>581</v>
      </c>
      <c r="J23" s="27" t="s">
        <v>60</v>
      </c>
    </row>
    <row r="24" spans="1:10" x14ac:dyDescent="0.2">
      <c r="A24" s="27" t="s">
        <v>39</v>
      </c>
      <c r="E24" s="27" t="s">
        <v>61</v>
      </c>
      <c r="F24" s="27" t="s">
        <v>560</v>
      </c>
      <c r="G24" s="27" t="s">
        <v>571</v>
      </c>
      <c r="H24" s="27" t="s">
        <v>582</v>
      </c>
      <c r="J24" s="27" t="s">
        <v>62</v>
      </c>
    </row>
    <row r="25" spans="1:10" x14ac:dyDescent="0.2">
      <c r="A25" s="27" t="s">
        <v>7</v>
      </c>
    </row>
    <row r="26" spans="1:10" x14ac:dyDescent="0.2">
      <c r="G26" s="27" t="s">
        <v>63</v>
      </c>
      <c r="H26" s="27" t="s">
        <v>64</v>
      </c>
    </row>
    <row r="27" spans="1:10" x14ac:dyDescent="0.2">
      <c r="A27" s="27" t="s">
        <v>39</v>
      </c>
      <c r="B27" s="27" t="s">
        <v>65</v>
      </c>
      <c r="D27" s="27" t="s">
        <v>66</v>
      </c>
    </row>
    <row r="28" spans="1:10" x14ac:dyDescent="0.2">
      <c r="A28" s="27" t="s">
        <v>39</v>
      </c>
      <c r="E28" s="27" t="s">
        <v>67</v>
      </c>
      <c r="F28" s="27" t="s">
        <v>68</v>
      </c>
      <c r="G28" s="27" t="s">
        <v>69</v>
      </c>
      <c r="H28" s="27" t="s">
        <v>70</v>
      </c>
      <c r="J28" s="27" t="s">
        <v>71</v>
      </c>
    </row>
    <row r="29" spans="1:10" x14ac:dyDescent="0.2">
      <c r="A29" s="27" t="s">
        <v>40</v>
      </c>
    </row>
    <row r="30" spans="1:10" x14ac:dyDescent="0.2">
      <c r="A30" s="27" t="s">
        <v>39</v>
      </c>
      <c r="G30" s="27" t="s">
        <v>72</v>
      </c>
      <c r="H30" s="27" t="s">
        <v>73</v>
      </c>
    </row>
    <row r="31" spans="1:10" x14ac:dyDescent="0.2">
      <c r="A31" s="27" t="s">
        <v>39</v>
      </c>
      <c r="B31" s="27" t="s">
        <v>74</v>
      </c>
      <c r="D31" s="27" t="s">
        <v>75</v>
      </c>
    </row>
    <row r="32" spans="1:10" x14ac:dyDescent="0.2">
      <c r="A32" s="27" t="s">
        <v>39</v>
      </c>
      <c r="E32" s="27" t="s">
        <v>76</v>
      </c>
      <c r="F32" s="27" t="s">
        <v>991</v>
      </c>
      <c r="G32" s="27" t="s">
        <v>1011</v>
      </c>
      <c r="H32" s="27" t="s">
        <v>1031</v>
      </c>
      <c r="J32" s="27" t="s">
        <v>77</v>
      </c>
    </row>
    <row r="33" spans="1:10" x14ac:dyDescent="0.2">
      <c r="A33" s="27" t="s">
        <v>39</v>
      </c>
      <c r="E33" s="27" t="s">
        <v>78</v>
      </c>
      <c r="F33" s="27" t="s">
        <v>992</v>
      </c>
      <c r="G33" s="27" t="s">
        <v>1012</v>
      </c>
      <c r="H33" s="27" t="s">
        <v>1032</v>
      </c>
      <c r="J33" s="27" t="s">
        <v>79</v>
      </c>
    </row>
    <row r="34" spans="1:10" x14ac:dyDescent="0.2">
      <c r="A34" s="27" t="s">
        <v>39</v>
      </c>
      <c r="E34" s="27" t="s">
        <v>80</v>
      </c>
      <c r="F34" s="27" t="s">
        <v>993</v>
      </c>
      <c r="G34" s="27" t="s">
        <v>1013</v>
      </c>
      <c r="H34" s="27" t="s">
        <v>1033</v>
      </c>
      <c r="J34" s="27" t="s">
        <v>81</v>
      </c>
    </row>
    <row r="35" spans="1:10" x14ac:dyDescent="0.2">
      <c r="A35" s="27" t="s">
        <v>39</v>
      </c>
      <c r="E35" s="27" t="s">
        <v>82</v>
      </c>
      <c r="F35" s="27" t="s">
        <v>994</v>
      </c>
      <c r="G35" s="27" t="s">
        <v>1014</v>
      </c>
      <c r="H35" s="27" t="s">
        <v>1034</v>
      </c>
      <c r="J35" s="27" t="s">
        <v>83</v>
      </c>
    </row>
    <row r="36" spans="1:10" x14ac:dyDescent="0.2">
      <c r="A36" s="27" t="s">
        <v>39</v>
      </c>
      <c r="E36" s="27" t="s">
        <v>84</v>
      </c>
      <c r="F36" s="27" t="s">
        <v>995</v>
      </c>
      <c r="G36" s="27" t="s">
        <v>1015</v>
      </c>
      <c r="H36" s="27" t="s">
        <v>1035</v>
      </c>
      <c r="J36" s="27" t="s">
        <v>85</v>
      </c>
    </row>
    <row r="37" spans="1:10" x14ac:dyDescent="0.2">
      <c r="A37" s="27" t="s">
        <v>39</v>
      </c>
      <c r="E37" s="27" t="s">
        <v>86</v>
      </c>
      <c r="F37" s="27" t="s">
        <v>996</v>
      </c>
      <c r="G37" s="27" t="s">
        <v>1016</v>
      </c>
      <c r="H37" s="27" t="s">
        <v>1036</v>
      </c>
      <c r="J37" s="27" t="s">
        <v>87</v>
      </c>
    </row>
    <row r="38" spans="1:10" x14ac:dyDescent="0.2">
      <c r="A38" s="27" t="s">
        <v>39</v>
      </c>
      <c r="E38" s="27" t="s">
        <v>88</v>
      </c>
      <c r="F38" s="27" t="s">
        <v>997</v>
      </c>
      <c r="G38" s="27" t="s">
        <v>1017</v>
      </c>
      <c r="H38" s="27" t="s">
        <v>1037</v>
      </c>
      <c r="J38" s="27" t="s">
        <v>89</v>
      </c>
    </row>
    <row r="39" spans="1:10" x14ac:dyDescent="0.2">
      <c r="A39" s="27" t="s">
        <v>39</v>
      </c>
      <c r="E39" s="27" t="s">
        <v>90</v>
      </c>
      <c r="F39" s="27" t="s">
        <v>998</v>
      </c>
      <c r="G39" s="27" t="s">
        <v>1018</v>
      </c>
      <c r="H39" s="27" t="s">
        <v>1038</v>
      </c>
      <c r="J39" s="27" t="s">
        <v>91</v>
      </c>
    </row>
    <row r="40" spans="1:10" x14ac:dyDescent="0.2">
      <c r="A40" s="27" t="s">
        <v>39</v>
      </c>
      <c r="E40" s="27" t="s">
        <v>92</v>
      </c>
      <c r="F40" s="27" t="s">
        <v>999</v>
      </c>
      <c r="G40" s="27" t="s">
        <v>1019</v>
      </c>
      <c r="H40" s="27" t="s">
        <v>1039</v>
      </c>
      <c r="J40" s="27" t="s">
        <v>93</v>
      </c>
    </row>
    <row r="41" spans="1:10" x14ac:dyDescent="0.2">
      <c r="A41" s="27" t="s">
        <v>39</v>
      </c>
      <c r="E41" s="27" t="s">
        <v>94</v>
      </c>
      <c r="F41" s="27" t="s">
        <v>1000</v>
      </c>
      <c r="G41" s="27" t="s">
        <v>1020</v>
      </c>
      <c r="H41" s="27" t="s">
        <v>1040</v>
      </c>
      <c r="J41" s="27" t="s">
        <v>95</v>
      </c>
    </row>
    <row r="42" spans="1:10" x14ac:dyDescent="0.2">
      <c r="A42" s="27" t="s">
        <v>39</v>
      </c>
      <c r="E42" s="27" t="s">
        <v>96</v>
      </c>
      <c r="F42" s="27" t="s">
        <v>1001</v>
      </c>
      <c r="G42" s="27" t="s">
        <v>1021</v>
      </c>
      <c r="H42" s="27" t="s">
        <v>1041</v>
      </c>
      <c r="J42" s="27" t="s">
        <v>97</v>
      </c>
    </row>
    <row r="43" spans="1:10" x14ac:dyDescent="0.2">
      <c r="A43" s="27" t="s">
        <v>39</v>
      </c>
      <c r="E43" s="27" t="s">
        <v>98</v>
      </c>
      <c r="F43" s="27" t="s">
        <v>1002</v>
      </c>
      <c r="G43" s="27" t="s">
        <v>1022</v>
      </c>
      <c r="H43" s="27" t="s">
        <v>1042</v>
      </c>
      <c r="J43" s="27" t="s">
        <v>99</v>
      </c>
    </row>
    <row r="44" spans="1:10" x14ac:dyDescent="0.2">
      <c r="A44" s="27" t="s">
        <v>39</v>
      </c>
      <c r="E44" s="27" t="s">
        <v>100</v>
      </c>
      <c r="F44" s="27" t="s">
        <v>1003</v>
      </c>
      <c r="G44" s="27" t="s">
        <v>1023</v>
      </c>
      <c r="H44" s="27" t="s">
        <v>1043</v>
      </c>
      <c r="J44" s="27" t="s">
        <v>101</v>
      </c>
    </row>
    <row r="45" spans="1:10" x14ac:dyDescent="0.2">
      <c r="A45" s="27" t="s">
        <v>39</v>
      </c>
      <c r="E45" s="27" t="s">
        <v>102</v>
      </c>
      <c r="F45" s="27" t="s">
        <v>1004</v>
      </c>
      <c r="G45" s="27" t="s">
        <v>1024</v>
      </c>
      <c r="H45" s="27" t="s">
        <v>1044</v>
      </c>
      <c r="J45" s="27" t="s">
        <v>103</v>
      </c>
    </row>
    <row r="46" spans="1:10" x14ac:dyDescent="0.2">
      <c r="A46" s="27" t="s">
        <v>39</v>
      </c>
      <c r="E46" s="27" t="s">
        <v>104</v>
      </c>
      <c r="F46" s="27" t="s">
        <v>1005</v>
      </c>
      <c r="G46" s="27" t="s">
        <v>1025</v>
      </c>
      <c r="H46" s="27" t="s">
        <v>1045</v>
      </c>
      <c r="J46" s="27" t="s">
        <v>105</v>
      </c>
    </row>
    <row r="47" spans="1:10" x14ac:dyDescent="0.2">
      <c r="A47" s="27" t="s">
        <v>39</v>
      </c>
      <c r="E47" s="27" t="s">
        <v>106</v>
      </c>
      <c r="F47" s="27" t="s">
        <v>1006</v>
      </c>
      <c r="G47" s="27" t="s">
        <v>1026</v>
      </c>
      <c r="H47" s="27" t="s">
        <v>1046</v>
      </c>
      <c r="J47" s="27" t="s">
        <v>107</v>
      </c>
    </row>
    <row r="48" spans="1:10" x14ac:dyDescent="0.2">
      <c r="A48" s="27" t="s">
        <v>39</v>
      </c>
      <c r="E48" s="27" t="s">
        <v>108</v>
      </c>
      <c r="F48" s="27" t="s">
        <v>1007</v>
      </c>
      <c r="G48" s="27" t="s">
        <v>1027</v>
      </c>
      <c r="H48" s="27" t="s">
        <v>1047</v>
      </c>
      <c r="J48" s="27" t="s">
        <v>109</v>
      </c>
    </row>
    <row r="49" spans="1:10" x14ac:dyDescent="0.2">
      <c r="A49" s="27" t="s">
        <v>39</v>
      </c>
      <c r="E49" s="27" t="s">
        <v>110</v>
      </c>
      <c r="F49" s="27" t="s">
        <v>1008</v>
      </c>
      <c r="G49" s="27" t="s">
        <v>1028</v>
      </c>
      <c r="H49" s="27" t="s">
        <v>1048</v>
      </c>
      <c r="J49" s="27" t="s">
        <v>111</v>
      </c>
    </row>
    <row r="50" spans="1:10" x14ac:dyDescent="0.2">
      <c r="A50" s="27" t="s">
        <v>39</v>
      </c>
      <c r="E50" s="27" t="s">
        <v>112</v>
      </c>
      <c r="F50" s="27" t="s">
        <v>1009</v>
      </c>
      <c r="G50" s="27" t="s">
        <v>1029</v>
      </c>
      <c r="H50" s="27" t="s">
        <v>1049</v>
      </c>
      <c r="J50" s="27" t="s">
        <v>113</v>
      </c>
    </row>
    <row r="51" spans="1:10" x14ac:dyDescent="0.2">
      <c r="A51" s="27" t="s">
        <v>39</v>
      </c>
      <c r="E51" s="27" t="s">
        <v>114</v>
      </c>
      <c r="F51" s="27" t="s">
        <v>1010</v>
      </c>
      <c r="G51" s="27" t="s">
        <v>1030</v>
      </c>
      <c r="H51" s="27" t="s">
        <v>1050</v>
      </c>
      <c r="J51" s="27" t="s">
        <v>115</v>
      </c>
    </row>
    <row r="52" spans="1:10" x14ac:dyDescent="0.2">
      <c r="A52" s="27" t="s">
        <v>40</v>
      </c>
    </row>
    <row r="53" spans="1:10" x14ac:dyDescent="0.2">
      <c r="A53" s="27" t="s">
        <v>39</v>
      </c>
      <c r="G53" s="27" t="s">
        <v>116</v>
      </c>
      <c r="H53" s="27" t="s">
        <v>117</v>
      </c>
    </row>
    <row r="54" spans="1:10" x14ac:dyDescent="0.2">
      <c r="A54" s="27" t="s">
        <v>39</v>
      </c>
      <c r="B54" s="27" t="s">
        <v>118</v>
      </c>
      <c r="D54" s="27" t="s">
        <v>119</v>
      </c>
    </row>
    <row r="55" spans="1:10" x14ac:dyDescent="0.2">
      <c r="A55" s="27" t="s">
        <v>39</v>
      </c>
      <c r="E55" s="27" t="s">
        <v>120</v>
      </c>
      <c r="F55" s="27" t="s">
        <v>121</v>
      </c>
      <c r="G55" s="27" t="s">
        <v>122</v>
      </c>
      <c r="H55" s="27" t="s">
        <v>123</v>
      </c>
      <c r="J55" s="27" t="s">
        <v>124</v>
      </c>
    </row>
    <row r="56" spans="1:10" x14ac:dyDescent="0.2">
      <c r="A56" s="27" t="s">
        <v>40</v>
      </c>
    </row>
    <row r="57" spans="1:10" x14ac:dyDescent="0.2">
      <c r="A57" s="27" t="s">
        <v>39</v>
      </c>
      <c r="G57" s="27" t="s">
        <v>125</v>
      </c>
      <c r="H57" s="27" t="s">
        <v>126</v>
      </c>
    </row>
    <row r="58" spans="1:10" x14ac:dyDescent="0.2">
      <c r="A58" s="27" t="s">
        <v>39</v>
      </c>
      <c r="B58" s="27" t="s">
        <v>127</v>
      </c>
      <c r="D58" s="27" t="s">
        <v>128</v>
      </c>
    </row>
    <row r="59" spans="1:10" x14ac:dyDescent="0.2">
      <c r="A59" s="27" t="s">
        <v>39</v>
      </c>
      <c r="E59" s="27" t="s">
        <v>129</v>
      </c>
      <c r="F59" s="27" t="s">
        <v>907</v>
      </c>
      <c r="G59" s="27" t="s">
        <v>935</v>
      </c>
      <c r="H59" s="27" t="s">
        <v>963</v>
      </c>
      <c r="J59" s="27" t="s">
        <v>130</v>
      </c>
    </row>
    <row r="60" spans="1:10" x14ac:dyDescent="0.2">
      <c r="A60" s="27" t="s">
        <v>39</v>
      </c>
      <c r="E60" s="27" t="s">
        <v>131</v>
      </c>
      <c r="F60" s="27" t="s">
        <v>908</v>
      </c>
      <c r="G60" s="27" t="s">
        <v>936</v>
      </c>
      <c r="H60" s="27" t="s">
        <v>964</v>
      </c>
      <c r="J60" s="27" t="s">
        <v>132</v>
      </c>
    </row>
    <row r="61" spans="1:10" x14ac:dyDescent="0.2">
      <c r="A61" s="27" t="s">
        <v>39</v>
      </c>
      <c r="E61" s="27" t="s">
        <v>133</v>
      </c>
      <c r="F61" s="27" t="s">
        <v>909</v>
      </c>
      <c r="G61" s="27" t="s">
        <v>937</v>
      </c>
      <c r="H61" s="27" t="s">
        <v>965</v>
      </c>
      <c r="J61" s="27" t="s">
        <v>134</v>
      </c>
    </row>
    <row r="62" spans="1:10" x14ac:dyDescent="0.2">
      <c r="A62" s="27" t="s">
        <v>39</v>
      </c>
      <c r="E62" s="27" t="s">
        <v>135</v>
      </c>
      <c r="F62" s="27" t="s">
        <v>910</v>
      </c>
      <c r="G62" s="27" t="s">
        <v>938</v>
      </c>
      <c r="H62" s="27" t="s">
        <v>966</v>
      </c>
      <c r="J62" s="27" t="s">
        <v>136</v>
      </c>
    </row>
    <row r="63" spans="1:10" x14ac:dyDescent="0.2">
      <c r="A63" s="27" t="s">
        <v>39</v>
      </c>
      <c r="E63" s="27" t="s">
        <v>137</v>
      </c>
      <c r="F63" s="27" t="s">
        <v>911</v>
      </c>
      <c r="G63" s="27" t="s">
        <v>939</v>
      </c>
      <c r="H63" s="27" t="s">
        <v>967</v>
      </c>
      <c r="J63" s="27" t="s">
        <v>138</v>
      </c>
    </row>
    <row r="64" spans="1:10" x14ac:dyDescent="0.2">
      <c r="A64" s="27" t="s">
        <v>39</v>
      </c>
      <c r="E64" s="27" t="s">
        <v>139</v>
      </c>
      <c r="F64" s="27" t="s">
        <v>912</v>
      </c>
      <c r="G64" s="27" t="s">
        <v>940</v>
      </c>
      <c r="H64" s="27" t="s">
        <v>968</v>
      </c>
      <c r="J64" s="27" t="s">
        <v>140</v>
      </c>
    </row>
    <row r="65" spans="1:10" x14ac:dyDescent="0.2">
      <c r="A65" s="27" t="s">
        <v>39</v>
      </c>
      <c r="E65" s="27" t="s">
        <v>141</v>
      </c>
      <c r="F65" s="27" t="s">
        <v>913</v>
      </c>
      <c r="G65" s="27" t="s">
        <v>941</v>
      </c>
      <c r="H65" s="27" t="s">
        <v>969</v>
      </c>
      <c r="J65" s="27" t="s">
        <v>142</v>
      </c>
    </row>
    <row r="66" spans="1:10" x14ac:dyDescent="0.2">
      <c r="A66" s="27" t="s">
        <v>39</v>
      </c>
      <c r="E66" s="27" t="s">
        <v>143</v>
      </c>
      <c r="F66" s="27" t="s">
        <v>914</v>
      </c>
      <c r="G66" s="27" t="s">
        <v>942</v>
      </c>
      <c r="H66" s="27" t="s">
        <v>970</v>
      </c>
      <c r="J66" s="27" t="s">
        <v>144</v>
      </c>
    </row>
    <row r="67" spans="1:10" x14ac:dyDescent="0.2">
      <c r="A67" s="27" t="s">
        <v>39</v>
      </c>
      <c r="E67" s="27" t="s">
        <v>145</v>
      </c>
      <c r="F67" s="27" t="s">
        <v>915</v>
      </c>
      <c r="G67" s="27" t="s">
        <v>943</v>
      </c>
      <c r="H67" s="27" t="s">
        <v>971</v>
      </c>
      <c r="J67" s="27" t="s">
        <v>146</v>
      </c>
    </row>
    <row r="68" spans="1:10" x14ac:dyDescent="0.2">
      <c r="A68" s="27" t="s">
        <v>39</v>
      </c>
      <c r="E68" s="27" t="s">
        <v>147</v>
      </c>
      <c r="F68" s="27" t="s">
        <v>916</v>
      </c>
      <c r="G68" s="27" t="s">
        <v>944</v>
      </c>
      <c r="H68" s="27" t="s">
        <v>972</v>
      </c>
      <c r="J68" s="27" t="s">
        <v>148</v>
      </c>
    </row>
    <row r="69" spans="1:10" x14ac:dyDescent="0.2">
      <c r="A69" s="27" t="s">
        <v>39</v>
      </c>
      <c r="E69" s="27" t="s">
        <v>149</v>
      </c>
      <c r="F69" s="27" t="s">
        <v>917</v>
      </c>
      <c r="G69" s="27" t="s">
        <v>945</v>
      </c>
      <c r="H69" s="27" t="s">
        <v>973</v>
      </c>
      <c r="J69" s="27" t="s">
        <v>150</v>
      </c>
    </row>
    <row r="70" spans="1:10" x14ac:dyDescent="0.2">
      <c r="A70" s="27" t="s">
        <v>39</v>
      </c>
      <c r="E70" s="27" t="s">
        <v>151</v>
      </c>
      <c r="F70" s="27" t="s">
        <v>918</v>
      </c>
      <c r="G70" s="27" t="s">
        <v>946</v>
      </c>
      <c r="H70" s="27" t="s">
        <v>974</v>
      </c>
      <c r="J70" s="27" t="s">
        <v>152</v>
      </c>
    </row>
    <row r="71" spans="1:10" x14ac:dyDescent="0.2">
      <c r="A71" s="27" t="s">
        <v>39</v>
      </c>
      <c r="E71" s="27" t="s">
        <v>153</v>
      </c>
      <c r="F71" s="27" t="s">
        <v>919</v>
      </c>
      <c r="G71" s="27" t="s">
        <v>947</v>
      </c>
      <c r="H71" s="27" t="s">
        <v>975</v>
      </c>
      <c r="J71" s="27" t="s">
        <v>154</v>
      </c>
    </row>
    <row r="72" spans="1:10" x14ac:dyDescent="0.2">
      <c r="A72" s="27" t="s">
        <v>39</v>
      </c>
      <c r="E72" s="27" t="s">
        <v>155</v>
      </c>
      <c r="F72" s="27" t="s">
        <v>920</v>
      </c>
      <c r="G72" s="27" t="s">
        <v>948</v>
      </c>
      <c r="H72" s="27" t="s">
        <v>976</v>
      </c>
      <c r="J72" s="27" t="s">
        <v>156</v>
      </c>
    </row>
    <row r="73" spans="1:10" x14ac:dyDescent="0.2">
      <c r="A73" s="27" t="s">
        <v>39</v>
      </c>
      <c r="E73" s="27" t="s">
        <v>157</v>
      </c>
      <c r="F73" s="27" t="s">
        <v>921</v>
      </c>
      <c r="G73" s="27" t="s">
        <v>949</v>
      </c>
      <c r="H73" s="27" t="s">
        <v>977</v>
      </c>
      <c r="J73" s="27" t="s">
        <v>158</v>
      </c>
    </row>
    <row r="74" spans="1:10" x14ac:dyDescent="0.2">
      <c r="A74" s="27" t="s">
        <v>39</v>
      </c>
      <c r="E74" s="27" t="s">
        <v>159</v>
      </c>
      <c r="F74" s="27" t="s">
        <v>922</v>
      </c>
      <c r="G74" s="27" t="s">
        <v>950</v>
      </c>
      <c r="H74" s="27" t="s">
        <v>978</v>
      </c>
      <c r="J74" s="27" t="s">
        <v>160</v>
      </c>
    </row>
    <row r="75" spans="1:10" x14ac:dyDescent="0.2">
      <c r="A75" s="27" t="s">
        <v>39</v>
      </c>
      <c r="E75" s="27" t="s">
        <v>161</v>
      </c>
      <c r="F75" s="27" t="s">
        <v>923</v>
      </c>
      <c r="G75" s="27" t="s">
        <v>951</v>
      </c>
      <c r="H75" s="27" t="s">
        <v>979</v>
      </c>
      <c r="J75" s="27" t="s">
        <v>162</v>
      </c>
    </row>
    <row r="76" spans="1:10" x14ac:dyDescent="0.2">
      <c r="A76" s="27" t="s">
        <v>39</v>
      </c>
      <c r="E76" s="27" t="s">
        <v>163</v>
      </c>
      <c r="F76" s="27" t="s">
        <v>924</v>
      </c>
      <c r="G76" s="27" t="s">
        <v>952</v>
      </c>
      <c r="H76" s="27" t="s">
        <v>980</v>
      </c>
      <c r="J76" s="27" t="s">
        <v>164</v>
      </c>
    </row>
    <row r="77" spans="1:10" x14ac:dyDescent="0.2">
      <c r="A77" s="27" t="s">
        <v>39</v>
      </c>
      <c r="E77" s="27" t="s">
        <v>165</v>
      </c>
      <c r="F77" s="27" t="s">
        <v>925</v>
      </c>
      <c r="G77" s="27" t="s">
        <v>953</v>
      </c>
      <c r="H77" s="27" t="s">
        <v>981</v>
      </c>
      <c r="J77" s="27" t="s">
        <v>166</v>
      </c>
    </row>
    <row r="78" spans="1:10" x14ac:dyDescent="0.2">
      <c r="A78" s="27" t="s">
        <v>39</v>
      </c>
      <c r="E78" s="27" t="s">
        <v>167</v>
      </c>
      <c r="F78" s="27" t="s">
        <v>926</v>
      </c>
      <c r="G78" s="27" t="s">
        <v>954</v>
      </c>
      <c r="H78" s="27" t="s">
        <v>982</v>
      </c>
      <c r="J78" s="27" t="s">
        <v>168</v>
      </c>
    </row>
    <row r="79" spans="1:10" x14ac:dyDescent="0.2">
      <c r="A79" s="27" t="s">
        <v>39</v>
      </c>
      <c r="E79" s="27" t="s">
        <v>169</v>
      </c>
      <c r="F79" s="27" t="s">
        <v>927</v>
      </c>
      <c r="G79" s="27" t="s">
        <v>955</v>
      </c>
      <c r="H79" s="27" t="s">
        <v>983</v>
      </c>
      <c r="J79" s="27" t="s">
        <v>170</v>
      </c>
    </row>
    <row r="80" spans="1:10" x14ac:dyDescent="0.2">
      <c r="A80" s="27" t="s">
        <v>39</v>
      </c>
      <c r="E80" s="27" t="s">
        <v>171</v>
      </c>
      <c r="F80" s="27" t="s">
        <v>928</v>
      </c>
      <c r="G80" s="27" t="s">
        <v>956</v>
      </c>
      <c r="H80" s="27" t="s">
        <v>984</v>
      </c>
      <c r="J80" s="27" t="s">
        <v>172</v>
      </c>
    </row>
    <row r="81" spans="1:10" x14ac:dyDescent="0.2">
      <c r="A81" s="27" t="s">
        <v>39</v>
      </c>
      <c r="E81" s="27" t="s">
        <v>173</v>
      </c>
      <c r="F81" s="27" t="s">
        <v>929</v>
      </c>
      <c r="G81" s="27" t="s">
        <v>957</v>
      </c>
      <c r="H81" s="27" t="s">
        <v>985</v>
      </c>
      <c r="J81" s="27" t="s">
        <v>174</v>
      </c>
    </row>
    <row r="82" spans="1:10" x14ac:dyDescent="0.2">
      <c r="A82" s="27" t="s">
        <v>39</v>
      </c>
      <c r="E82" s="27" t="s">
        <v>175</v>
      </c>
      <c r="F82" s="27" t="s">
        <v>930</v>
      </c>
      <c r="G82" s="27" t="s">
        <v>958</v>
      </c>
      <c r="H82" s="27" t="s">
        <v>986</v>
      </c>
      <c r="J82" s="27" t="s">
        <v>176</v>
      </c>
    </row>
    <row r="83" spans="1:10" x14ac:dyDescent="0.2">
      <c r="A83" s="27" t="s">
        <v>39</v>
      </c>
      <c r="E83" s="27" t="s">
        <v>177</v>
      </c>
      <c r="F83" s="27" t="s">
        <v>931</v>
      </c>
      <c r="G83" s="27" t="s">
        <v>959</v>
      </c>
      <c r="H83" s="27" t="s">
        <v>987</v>
      </c>
      <c r="J83" s="27" t="s">
        <v>178</v>
      </c>
    </row>
    <row r="84" spans="1:10" x14ac:dyDescent="0.2">
      <c r="A84" s="27" t="s">
        <v>39</v>
      </c>
      <c r="E84" s="27" t="s">
        <v>179</v>
      </c>
      <c r="F84" s="27" t="s">
        <v>932</v>
      </c>
      <c r="G84" s="27" t="s">
        <v>960</v>
      </c>
      <c r="H84" s="27" t="s">
        <v>988</v>
      </c>
      <c r="J84" s="27" t="s">
        <v>180</v>
      </c>
    </row>
    <row r="85" spans="1:10" x14ac:dyDescent="0.2">
      <c r="A85" s="27" t="s">
        <v>39</v>
      </c>
      <c r="E85" s="27" t="s">
        <v>181</v>
      </c>
      <c r="F85" s="27" t="s">
        <v>933</v>
      </c>
      <c r="G85" s="27" t="s">
        <v>961</v>
      </c>
      <c r="H85" s="27" t="s">
        <v>989</v>
      </c>
      <c r="J85" s="27" t="s">
        <v>182</v>
      </c>
    </row>
    <row r="86" spans="1:10" x14ac:dyDescent="0.2">
      <c r="A86" s="27" t="s">
        <v>39</v>
      </c>
      <c r="E86" s="27" t="s">
        <v>183</v>
      </c>
      <c r="F86" s="27" t="s">
        <v>934</v>
      </c>
      <c r="G86" s="27" t="s">
        <v>962</v>
      </c>
      <c r="H86" s="27" t="s">
        <v>990</v>
      </c>
      <c r="J86" s="27" t="s">
        <v>184</v>
      </c>
    </row>
    <row r="87" spans="1:10" x14ac:dyDescent="0.2">
      <c r="A87" s="27" t="s">
        <v>40</v>
      </c>
    </row>
    <row r="88" spans="1:10" x14ac:dyDescent="0.2">
      <c r="A88" s="27" t="s">
        <v>39</v>
      </c>
      <c r="G88" s="27" t="s">
        <v>185</v>
      </c>
      <c r="H88" s="27" t="s">
        <v>186</v>
      </c>
    </row>
    <row r="89" spans="1:10" x14ac:dyDescent="0.2">
      <c r="A89" s="27" t="s">
        <v>39</v>
      </c>
      <c r="B89" s="27" t="s">
        <v>187</v>
      </c>
      <c r="D89" s="27" t="s">
        <v>188</v>
      </c>
    </row>
    <row r="90" spans="1:10" x14ac:dyDescent="0.2">
      <c r="A90" s="27" t="s">
        <v>39</v>
      </c>
      <c r="E90" s="27" t="s">
        <v>189</v>
      </c>
      <c r="F90" s="27" t="s">
        <v>853</v>
      </c>
      <c r="G90" s="27" t="s">
        <v>871</v>
      </c>
      <c r="H90" s="27" t="s">
        <v>889</v>
      </c>
      <c r="J90" s="27" t="s">
        <v>190</v>
      </c>
    </row>
    <row r="91" spans="1:10" x14ac:dyDescent="0.2">
      <c r="A91" s="27" t="s">
        <v>39</v>
      </c>
      <c r="E91" s="27" t="s">
        <v>191</v>
      </c>
      <c r="F91" s="27" t="s">
        <v>854</v>
      </c>
      <c r="G91" s="27" t="s">
        <v>872</v>
      </c>
      <c r="H91" s="27" t="s">
        <v>890</v>
      </c>
      <c r="J91" s="27" t="s">
        <v>192</v>
      </c>
    </row>
    <row r="92" spans="1:10" x14ac:dyDescent="0.2">
      <c r="A92" s="27" t="s">
        <v>39</v>
      </c>
      <c r="E92" s="27" t="s">
        <v>193</v>
      </c>
      <c r="F92" s="27" t="s">
        <v>855</v>
      </c>
      <c r="G92" s="27" t="s">
        <v>873</v>
      </c>
      <c r="H92" s="27" t="s">
        <v>891</v>
      </c>
      <c r="J92" s="27" t="s">
        <v>194</v>
      </c>
    </row>
    <row r="93" spans="1:10" x14ac:dyDescent="0.2">
      <c r="A93" s="27" t="s">
        <v>39</v>
      </c>
      <c r="E93" s="27" t="s">
        <v>195</v>
      </c>
      <c r="F93" s="27" t="s">
        <v>856</v>
      </c>
      <c r="G93" s="27" t="s">
        <v>874</v>
      </c>
      <c r="H93" s="27" t="s">
        <v>892</v>
      </c>
      <c r="J93" s="27" t="s">
        <v>196</v>
      </c>
    </row>
    <row r="94" spans="1:10" x14ac:dyDescent="0.2">
      <c r="A94" s="27" t="s">
        <v>39</v>
      </c>
      <c r="E94" s="27" t="s">
        <v>197</v>
      </c>
      <c r="F94" s="27" t="s">
        <v>857</v>
      </c>
      <c r="G94" s="27" t="s">
        <v>875</v>
      </c>
      <c r="H94" s="27" t="s">
        <v>893</v>
      </c>
      <c r="J94" s="27" t="s">
        <v>198</v>
      </c>
    </row>
    <row r="95" spans="1:10" x14ac:dyDescent="0.2">
      <c r="A95" s="27" t="s">
        <v>39</v>
      </c>
      <c r="E95" s="27" t="s">
        <v>199</v>
      </c>
      <c r="F95" s="27" t="s">
        <v>858</v>
      </c>
      <c r="G95" s="27" t="s">
        <v>876</v>
      </c>
      <c r="H95" s="27" t="s">
        <v>894</v>
      </c>
      <c r="J95" s="27" t="s">
        <v>200</v>
      </c>
    </row>
    <row r="96" spans="1:10" x14ac:dyDescent="0.2">
      <c r="A96" s="27" t="s">
        <v>39</v>
      </c>
      <c r="E96" s="27" t="s">
        <v>201</v>
      </c>
      <c r="F96" s="27" t="s">
        <v>859</v>
      </c>
      <c r="G96" s="27" t="s">
        <v>877</v>
      </c>
      <c r="H96" s="27" t="s">
        <v>895</v>
      </c>
      <c r="J96" s="27" t="s">
        <v>202</v>
      </c>
    </row>
    <row r="97" spans="1:10" x14ac:dyDescent="0.2">
      <c r="A97" s="27" t="s">
        <v>39</v>
      </c>
      <c r="E97" s="27" t="s">
        <v>203</v>
      </c>
      <c r="F97" s="27" t="s">
        <v>860</v>
      </c>
      <c r="G97" s="27" t="s">
        <v>878</v>
      </c>
      <c r="H97" s="27" t="s">
        <v>896</v>
      </c>
      <c r="J97" s="27" t="s">
        <v>204</v>
      </c>
    </row>
    <row r="98" spans="1:10" x14ac:dyDescent="0.2">
      <c r="A98" s="27" t="s">
        <v>39</v>
      </c>
      <c r="E98" s="27" t="s">
        <v>205</v>
      </c>
      <c r="F98" s="27" t="s">
        <v>861</v>
      </c>
      <c r="G98" s="27" t="s">
        <v>879</v>
      </c>
      <c r="H98" s="27" t="s">
        <v>897</v>
      </c>
      <c r="J98" s="27" t="s">
        <v>206</v>
      </c>
    </row>
    <row r="99" spans="1:10" x14ac:dyDescent="0.2">
      <c r="A99" s="27" t="s">
        <v>39</v>
      </c>
      <c r="E99" s="27" t="s">
        <v>207</v>
      </c>
      <c r="F99" s="27" t="s">
        <v>862</v>
      </c>
      <c r="G99" s="27" t="s">
        <v>880</v>
      </c>
      <c r="H99" s="27" t="s">
        <v>898</v>
      </c>
      <c r="J99" s="27" t="s">
        <v>208</v>
      </c>
    </row>
    <row r="100" spans="1:10" x14ac:dyDescent="0.2">
      <c r="A100" s="27" t="s">
        <v>39</v>
      </c>
      <c r="E100" s="27" t="s">
        <v>209</v>
      </c>
      <c r="F100" s="27" t="s">
        <v>863</v>
      </c>
      <c r="G100" s="27" t="s">
        <v>881</v>
      </c>
      <c r="H100" s="27" t="s">
        <v>899</v>
      </c>
      <c r="J100" s="27" t="s">
        <v>210</v>
      </c>
    </row>
    <row r="101" spans="1:10" x14ac:dyDescent="0.2">
      <c r="A101" s="27" t="s">
        <v>39</v>
      </c>
      <c r="E101" s="27" t="s">
        <v>211</v>
      </c>
      <c r="F101" s="27" t="s">
        <v>864</v>
      </c>
      <c r="G101" s="27" t="s">
        <v>882</v>
      </c>
      <c r="H101" s="27" t="s">
        <v>900</v>
      </c>
      <c r="J101" s="27" t="s">
        <v>212</v>
      </c>
    </row>
    <row r="102" spans="1:10" x14ac:dyDescent="0.2">
      <c r="A102" s="27" t="s">
        <v>39</v>
      </c>
      <c r="E102" s="27" t="s">
        <v>213</v>
      </c>
      <c r="F102" s="27" t="s">
        <v>865</v>
      </c>
      <c r="G102" s="27" t="s">
        <v>883</v>
      </c>
      <c r="H102" s="27" t="s">
        <v>901</v>
      </c>
      <c r="J102" s="27" t="s">
        <v>214</v>
      </c>
    </row>
    <row r="103" spans="1:10" x14ac:dyDescent="0.2">
      <c r="A103" s="27" t="s">
        <v>39</v>
      </c>
      <c r="E103" s="27" t="s">
        <v>215</v>
      </c>
      <c r="F103" s="27" t="s">
        <v>866</v>
      </c>
      <c r="G103" s="27" t="s">
        <v>884</v>
      </c>
      <c r="H103" s="27" t="s">
        <v>902</v>
      </c>
      <c r="J103" s="27" t="s">
        <v>216</v>
      </c>
    </row>
    <row r="104" spans="1:10" x14ac:dyDescent="0.2">
      <c r="A104" s="27" t="s">
        <v>39</v>
      </c>
      <c r="E104" s="27" t="s">
        <v>217</v>
      </c>
      <c r="F104" s="27" t="s">
        <v>867</v>
      </c>
      <c r="G104" s="27" t="s">
        <v>885</v>
      </c>
      <c r="H104" s="27" t="s">
        <v>903</v>
      </c>
      <c r="J104" s="27" t="s">
        <v>218</v>
      </c>
    </row>
    <row r="105" spans="1:10" x14ac:dyDescent="0.2">
      <c r="A105" s="27" t="s">
        <v>39</v>
      </c>
      <c r="E105" s="27" t="s">
        <v>219</v>
      </c>
      <c r="F105" s="27" t="s">
        <v>868</v>
      </c>
      <c r="G105" s="27" t="s">
        <v>886</v>
      </c>
      <c r="H105" s="27" t="s">
        <v>904</v>
      </c>
      <c r="J105" s="27" t="s">
        <v>220</v>
      </c>
    </row>
    <row r="106" spans="1:10" x14ac:dyDescent="0.2">
      <c r="A106" s="27" t="s">
        <v>39</v>
      </c>
      <c r="E106" s="27" t="s">
        <v>221</v>
      </c>
      <c r="F106" s="27" t="s">
        <v>869</v>
      </c>
      <c r="G106" s="27" t="s">
        <v>887</v>
      </c>
      <c r="H106" s="27" t="s">
        <v>905</v>
      </c>
      <c r="J106" s="27" t="s">
        <v>222</v>
      </c>
    </row>
    <row r="107" spans="1:10" x14ac:dyDescent="0.2">
      <c r="A107" s="27" t="s">
        <v>39</v>
      </c>
      <c r="E107" s="27" t="s">
        <v>223</v>
      </c>
      <c r="F107" s="27" t="s">
        <v>870</v>
      </c>
      <c r="G107" s="27" t="s">
        <v>888</v>
      </c>
      <c r="H107" s="27" t="s">
        <v>906</v>
      </c>
      <c r="J107" s="27" t="s">
        <v>224</v>
      </c>
    </row>
    <row r="108" spans="1:10" x14ac:dyDescent="0.2">
      <c r="A108" s="27" t="s">
        <v>40</v>
      </c>
    </row>
    <row r="109" spans="1:10" x14ac:dyDescent="0.2">
      <c r="A109" s="27" t="s">
        <v>39</v>
      </c>
      <c r="G109" s="27" t="s">
        <v>225</v>
      </c>
      <c r="H109" s="27" t="s">
        <v>226</v>
      </c>
    </row>
    <row r="110" spans="1:10" x14ac:dyDescent="0.2">
      <c r="A110" s="27" t="s">
        <v>39</v>
      </c>
      <c r="B110" s="27" t="s">
        <v>227</v>
      </c>
      <c r="D110" s="27" t="s">
        <v>228</v>
      </c>
    </row>
    <row r="111" spans="1:10" x14ac:dyDescent="0.2">
      <c r="A111" s="27" t="s">
        <v>39</v>
      </c>
      <c r="E111" s="27" t="s">
        <v>229</v>
      </c>
      <c r="F111" s="27" t="s">
        <v>230</v>
      </c>
      <c r="G111" s="27" t="s">
        <v>231</v>
      </c>
      <c r="H111" s="27" t="s">
        <v>232</v>
      </c>
      <c r="J111" s="27" t="s">
        <v>233</v>
      </c>
    </row>
    <row r="112" spans="1:10" x14ac:dyDescent="0.2">
      <c r="A112" s="27" t="s">
        <v>39</v>
      </c>
      <c r="E112" s="27" t="s">
        <v>234</v>
      </c>
      <c r="F112" s="27" t="s">
        <v>235</v>
      </c>
      <c r="G112" s="27" t="s">
        <v>236</v>
      </c>
      <c r="H112" s="27" t="s">
        <v>237</v>
      </c>
      <c r="J112" s="27" t="s">
        <v>238</v>
      </c>
    </row>
    <row r="113" spans="1:10" x14ac:dyDescent="0.2">
      <c r="A113" s="27" t="s">
        <v>40</v>
      </c>
    </row>
    <row r="114" spans="1:10" x14ac:dyDescent="0.2">
      <c r="A114" s="27" t="s">
        <v>39</v>
      </c>
      <c r="G114" s="27" t="s">
        <v>239</v>
      </c>
      <c r="H114" s="27" t="s">
        <v>240</v>
      </c>
    </row>
    <row r="115" spans="1:10" x14ac:dyDescent="0.2">
      <c r="A115" s="27" t="s">
        <v>39</v>
      </c>
      <c r="B115" s="27" t="s">
        <v>241</v>
      </c>
      <c r="D115" s="27" t="s">
        <v>242</v>
      </c>
    </row>
    <row r="116" spans="1:10" x14ac:dyDescent="0.2">
      <c r="A116" s="27" t="s">
        <v>39</v>
      </c>
      <c r="E116" s="27" t="s">
        <v>243</v>
      </c>
      <c r="F116" s="27" t="s">
        <v>832</v>
      </c>
      <c r="G116" s="27" t="s">
        <v>839</v>
      </c>
      <c r="H116" s="27" t="s">
        <v>846</v>
      </c>
      <c r="J116" s="27" t="s">
        <v>244</v>
      </c>
    </row>
    <row r="117" spans="1:10" x14ac:dyDescent="0.2">
      <c r="A117" s="27" t="s">
        <v>39</v>
      </c>
      <c r="E117" s="27" t="s">
        <v>245</v>
      </c>
      <c r="F117" s="27" t="s">
        <v>833</v>
      </c>
      <c r="G117" s="27" t="s">
        <v>840</v>
      </c>
      <c r="H117" s="27" t="s">
        <v>847</v>
      </c>
      <c r="J117" s="27" t="s">
        <v>246</v>
      </c>
    </row>
    <row r="118" spans="1:10" x14ac:dyDescent="0.2">
      <c r="A118" s="27" t="s">
        <v>39</v>
      </c>
      <c r="E118" s="27" t="s">
        <v>247</v>
      </c>
      <c r="F118" s="27" t="s">
        <v>834</v>
      </c>
      <c r="G118" s="27" t="s">
        <v>841</v>
      </c>
      <c r="H118" s="27" t="s">
        <v>848</v>
      </c>
      <c r="J118" s="27" t="s">
        <v>248</v>
      </c>
    </row>
    <row r="119" spans="1:10" x14ac:dyDescent="0.2">
      <c r="A119" s="27" t="s">
        <v>39</v>
      </c>
      <c r="E119" s="27" t="s">
        <v>249</v>
      </c>
      <c r="F119" s="27" t="s">
        <v>835</v>
      </c>
      <c r="G119" s="27" t="s">
        <v>842</v>
      </c>
      <c r="H119" s="27" t="s">
        <v>849</v>
      </c>
      <c r="J119" s="27" t="s">
        <v>250</v>
      </c>
    </row>
    <row r="120" spans="1:10" x14ac:dyDescent="0.2">
      <c r="A120" s="27" t="s">
        <v>39</v>
      </c>
      <c r="E120" s="27" t="s">
        <v>251</v>
      </c>
      <c r="F120" s="27" t="s">
        <v>836</v>
      </c>
      <c r="G120" s="27" t="s">
        <v>843</v>
      </c>
      <c r="H120" s="27" t="s">
        <v>850</v>
      </c>
      <c r="J120" s="27" t="s">
        <v>252</v>
      </c>
    </row>
    <row r="121" spans="1:10" x14ac:dyDescent="0.2">
      <c r="A121" s="27" t="s">
        <v>39</v>
      </c>
      <c r="E121" s="27" t="s">
        <v>253</v>
      </c>
      <c r="F121" s="27" t="s">
        <v>837</v>
      </c>
      <c r="G121" s="27" t="s">
        <v>844</v>
      </c>
      <c r="H121" s="27" t="s">
        <v>851</v>
      </c>
      <c r="J121" s="27" t="s">
        <v>254</v>
      </c>
    </row>
    <row r="122" spans="1:10" x14ac:dyDescent="0.2">
      <c r="A122" s="27" t="s">
        <v>39</v>
      </c>
      <c r="E122" s="27" t="s">
        <v>255</v>
      </c>
      <c r="F122" s="27" t="s">
        <v>838</v>
      </c>
      <c r="G122" s="27" t="s">
        <v>845</v>
      </c>
      <c r="H122" s="27" t="s">
        <v>852</v>
      </c>
      <c r="J122" s="27" t="s">
        <v>256</v>
      </c>
    </row>
    <row r="123" spans="1:10" x14ac:dyDescent="0.2">
      <c r="A123" s="27" t="s">
        <v>40</v>
      </c>
    </row>
    <row r="124" spans="1:10" x14ac:dyDescent="0.2">
      <c r="A124" s="27" t="s">
        <v>39</v>
      </c>
      <c r="G124" s="27" t="s">
        <v>257</v>
      </c>
      <c r="H124" s="27" t="s">
        <v>258</v>
      </c>
    </row>
    <row r="125" spans="1:10" x14ac:dyDescent="0.2">
      <c r="A125" s="27" t="s">
        <v>39</v>
      </c>
      <c r="B125" s="27" t="s">
        <v>259</v>
      </c>
      <c r="D125" s="27" t="s">
        <v>260</v>
      </c>
    </row>
    <row r="126" spans="1:10" x14ac:dyDescent="0.2">
      <c r="A126" s="27" t="s">
        <v>39</v>
      </c>
      <c r="E126" s="27" t="s">
        <v>261</v>
      </c>
      <c r="F126" s="27" t="s">
        <v>262</v>
      </c>
      <c r="G126" s="27" t="s">
        <v>263</v>
      </c>
      <c r="H126" s="27" t="s">
        <v>264</v>
      </c>
      <c r="J126" s="27" t="s">
        <v>265</v>
      </c>
    </row>
    <row r="127" spans="1:10" x14ac:dyDescent="0.2">
      <c r="A127" s="27" t="s">
        <v>39</v>
      </c>
      <c r="E127" s="27" t="s">
        <v>266</v>
      </c>
      <c r="F127" s="27" t="s">
        <v>267</v>
      </c>
      <c r="G127" s="27" t="s">
        <v>268</v>
      </c>
      <c r="H127" s="27" t="s">
        <v>269</v>
      </c>
      <c r="J127" s="27" t="s">
        <v>270</v>
      </c>
    </row>
    <row r="128" spans="1:10" x14ac:dyDescent="0.2">
      <c r="A128" s="27" t="s">
        <v>39</v>
      </c>
      <c r="E128" s="27" t="s">
        <v>271</v>
      </c>
      <c r="F128" s="27" t="s">
        <v>272</v>
      </c>
      <c r="G128" s="27" t="s">
        <v>273</v>
      </c>
      <c r="H128" s="27" t="s">
        <v>274</v>
      </c>
      <c r="J128" s="27" t="s">
        <v>275</v>
      </c>
    </row>
    <row r="129" spans="1:10" x14ac:dyDescent="0.2">
      <c r="A129" s="27" t="s">
        <v>39</v>
      </c>
      <c r="E129" s="27" t="s">
        <v>276</v>
      </c>
      <c r="F129" s="27" t="s">
        <v>277</v>
      </c>
      <c r="G129" s="27" t="s">
        <v>278</v>
      </c>
      <c r="H129" s="27" t="s">
        <v>279</v>
      </c>
      <c r="J129" s="27" t="s">
        <v>280</v>
      </c>
    </row>
    <row r="130" spans="1:10" x14ac:dyDescent="0.2">
      <c r="A130" s="27" t="s">
        <v>40</v>
      </c>
    </row>
    <row r="131" spans="1:10" x14ac:dyDescent="0.2">
      <c r="A131" s="27" t="s">
        <v>39</v>
      </c>
      <c r="G131" s="27" t="s">
        <v>281</v>
      </c>
      <c r="H131" s="27" t="s">
        <v>282</v>
      </c>
    </row>
    <row r="132" spans="1:10" x14ac:dyDescent="0.2">
      <c r="A132" s="27" t="s">
        <v>39</v>
      </c>
      <c r="B132" s="27" t="s">
        <v>283</v>
      </c>
      <c r="D132" s="27" t="s">
        <v>284</v>
      </c>
    </row>
    <row r="133" spans="1:10" x14ac:dyDescent="0.2">
      <c r="A133" s="27" t="s">
        <v>39</v>
      </c>
      <c r="E133" s="27" t="s">
        <v>285</v>
      </c>
      <c r="F133" s="27" t="s">
        <v>286</v>
      </c>
      <c r="G133" s="27" t="s">
        <v>287</v>
      </c>
      <c r="H133" s="27" t="s">
        <v>288</v>
      </c>
      <c r="J133" s="27" t="s">
        <v>289</v>
      </c>
    </row>
    <row r="134" spans="1:10" x14ac:dyDescent="0.2">
      <c r="A134" s="27" t="s">
        <v>39</v>
      </c>
      <c r="E134" s="27" t="s">
        <v>290</v>
      </c>
      <c r="F134" s="27" t="s">
        <v>291</v>
      </c>
      <c r="G134" s="27" t="s">
        <v>292</v>
      </c>
      <c r="H134" s="27" t="s">
        <v>293</v>
      </c>
      <c r="J134" s="27" t="s">
        <v>294</v>
      </c>
    </row>
    <row r="135" spans="1:10" x14ac:dyDescent="0.2">
      <c r="A135" s="27" t="s">
        <v>40</v>
      </c>
    </row>
    <row r="136" spans="1:10" x14ac:dyDescent="0.2">
      <c r="A136" s="27" t="s">
        <v>39</v>
      </c>
      <c r="G136" s="27" t="s">
        <v>295</v>
      </c>
      <c r="H136" s="27" t="s">
        <v>296</v>
      </c>
    </row>
    <row r="137" spans="1:10" x14ac:dyDescent="0.2">
      <c r="A137" s="27" t="s">
        <v>39</v>
      </c>
      <c r="B137" s="27" t="s">
        <v>297</v>
      </c>
      <c r="D137" s="27" t="s">
        <v>298</v>
      </c>
    </row>
    <row r="138" spans="1:10" x14ac:dyDescent="0.2">
      <c r="A138" s="27" t="s">
        <v>39</v>
      </c>
      <c r="E138" s="27" t="s">
        <v>299</v>
      </c>
      <c r="F138" s="27" t="s">
        <v>300</v>
      </c>
      <c r="G138" s="27" t="s">
        <v>301</v>
      </c>
      <c r="H138" s="27" t="s">
        <v>302</v>
      </c>
      <c r="J138" s="27" t="s">
        <v>303</v>
      </c>
    </row>
    <row r="139" spans="1:10" x14ac:dyDescent="0.2">
      <c r="A139" s="27" t="s">
        <v>39</v>
      </c>
      <c r="E139" s="27" t="s">
        <v>304</v>
      </c>
      <c r="F139" s="27" t="s">
        <v>305</v>
      </c>
      <c r="G139" s="27" t="s">
        <v>306</v>
      </c>
      <c r="H139" s="27" t="s">
        <v>307</v>
      </c>
      <c r="J139" s="27" t="s">
        <v>308</v>
      </c>
    </row>
    <row r="140" spans="1:10" x14ac:dyDescent="0.2">
      <c r="A140" s="27" t="s">
        <v>40</v>
      </c>
    </row>
    <row r="141" spans="1:10" x14ac:dyDescent="0.2">
      <c r="A141" s="27" t="s">
        <v>39</v>
      </c>
      <c r="G141" s="27" t="s">
        <v>309</v>
      </c>
      <c r="H141" s="27" t="s">
        <v>310</v>
      </c>
    </row>
    <row r="142" spans="1:10" x14ac:dyDescent="0.2">
      <c r="A142" s="27" t="s">
        <v>39</v>
      </c>
      <c r="B142" s="27" t="s">
        <v>311</v>
      </c>
      <c r="D142" s="27" t="s">
        <v>312</v>
      </c>
    </row>
    <row r="143" spans="1:10" x14ac:dyDescent="0.2">
      <c r="A143" s="27" t="s">
        <v>39</v>
      </c>
      <c r="E143" s="27" t="s">
        <v>313</v>
      </c>
      <c r="F143" s="27" t="s">
        <v>727</v>
      </c>
      <c r="G143" s="27" t="s">
        <v>762</v>
      </c>
      <c r="H143" s="27" t="s">
        <v>797</v>
      </c>
      <c r="J143" s="27" t="s">
        <v>314</v>
      </c>
    </row>
    <row r="144" spans="1:10" x14ac:dyDescent="0.2">
      <c r="A144" s="27" t="s">
        <v>39</v>
      </c>
      <c r="E144" s="27" t="s">
        <v>315</v>
      </c>
      <c r="F144" s="27" t="s">
        <v>728</v>
      </c>
      <c r="G144" s="27" t="s">
        <v>763</v>
      </c>
      <c r="H144" s="27" t="s">
        <v>798</v>
      </c>
      <c r="J144" s="27" t="s">
        <v>316</v>
      </c>
    </row>
    <row r="145" spans="1:10" x14ac:dyDescent="0.2">
      <c r="A145" s="27" t="s">
        <v>39</v>
      </c>
      <c r="E145" s="27" t="s">
        <v>317</v>
      </c>
      <c r="F145" s="27" t="s">
        <v>729</v>
      </c>
      <c r="G145" s="27" t="s">
        <v>764</v>
      </c>
      <c r="H145" s="27" t="s">
        <v>799</v>
      </c>
      <c r="J145" s="27" t="s">
        <v>318</v>
      </c>
    </row>
    <row r="146" spans="1:10" x14ac:dyDescent="0.2">
      <c r="A146" s="27" t="s">
        <v>39</v>
      </c>
      <c r="E146" s="27" t="s">
        <v>319</v>
      </c>
      <c r="F146" s="27" t="s">
        <v>730</v>
      </c>
      <c r="G146" s="27" t="s">
        <v>765</v>
      </c>
      <c r="H146" s="27" t="s">
        <v>800</v>
      </c>
      <c r="J146" s="27" t="s">
        <v>320</v>
      </c>
    </row>
    <row r="147" spans="1:10" x14ac:dyDescent="0.2">
      <c r="A147" s="27" t="s">
        <v>39</v>
      </c>
      <c r="E147" s="27" t="s">
        <v>321</v>
      </c>
      <c r="F147" s="27" t="s">
        <v>731</v>
      </c>
      <c r="G147" s="27" t="s">
        <v>766</v>
      </c>
      <c r="H147" s="27" t="s">
        <v>801</v>
      </c>
      <c r="J147" s="27" t="s">
        <v>322</v>
      </c>
    </row>
    <row r="148" spans="1:10" x14ac:dyDescent="0.2">
      <c r="A148" s="27" t="s">
        <v>39</v>
      </c>
      <c r="E148" s="27" t="s">
        <v>323</v>
      </c>
      <c r="F148" s="27" t="s">
        <v>732</v>
      </c>
      <c r="G148" s="27" t="s">
        <v>767</v>
      </c>
      <c r="H148" s="27" t="s">
        <v>802</v>
      </c>
      <c r="J148" s="27" t="s">
        <v>324</v>
      </c>
    </row>
    <row r="149" spans="1:10" x14ac:dyDescent="0.2">
      <c r="A149" s="27" t="s">
        <v>39</v>
      </c>
      <c r="E149" s="27" t="s">
        <v>325</v>
      </c>
      <c r="F149" s="27" t="s">
        <v>733</v>
      </c>
      <c r="G149" s="27" t="s">
        <v>768</v>
      </c>
      <c r="H149" s="27" t="s">
        <v>803</v>
      </c>
      <c r="J149" s="27" t="s">
        <v>326</v>
      </c>
    </row>
    <row r="150" spans="1:10" x14ac:dyDescent="0.2">
      <c r="A150" s="27" t="s">
        <v>39</v>
      </c>
      <c r="E150" s="27" t="s">
        <v>327</v>
      </c>
      <c r="F150" s="27" t="s">
        <v>734</v>
      </c>
      <c r="G150" s="27" t="s">
        <v>769</v>
      </c>
      <c r="H150" s="27" t="s">
        <v>804</v>
      </c>
      <c r="J150" s="27" t="s">
        <v>328</v>
      </c>
    </row>
    <row r="151" spans="1:10" x14ac:dyDescent="0.2">
      <c r="A151" s="27" t="s">
        <v>39</v>
      </c>
      <c r="E151" s="27" t="s">
        <v>329</v>
      </c>
      <c r="F151" s="27" t="s">
        <v>735</v>
      </c>
      <c r="G151" s="27" t="s">
        <v>770</v>
      </c>
      <c r="H151" s="27" t="s">
        <v>805</v>
      </c>
      <c r="J151" s="27" t="s">
        <v>330</v>
      </c>
    </row>
    <row r="152" spans="1:10" x14ac:dyDescent="0.2">
      <c r="A152" s="27" t="s">
        <v>39</v>
      </c>
      <c r="E152" s="27" t="s">
        <v>331</v>
      </c>
      <c r="F152" s="27" t="s">
        <v>736</v>
      </c>
      <c r="G152" s="27" t="s">
        <v>771</v>
      </c>
      <c r="H152" s="27" t="s">
        <v>806</v>
      </c>
      <c r="J152" s="27" t="s">
        <v>332</v>
      </c>
    </row>
    <row r="153" spans="1:10" x14ac:dyDescent="0.2">
      <c r="A153" s="27" t="s">
        <v>39</v>
      </c>
      <c r="E153" s="27" t="s">
        <v>333</v>
      </c>
      <c r="F153" s="27" t="s">
        <v>737</v>
      </c>
      <c r="G153" s="27" t="s">
        <v>772</v>
      </c>
      <c r="H153" s="27" t="s">
        <v>807</v>
      </c>
      <c r="J153" s="27" t="s">
        <v>334</v>
      </c>
    </row>
    <row r="154" spans="1:10" x14ac:dyDescent="0.2">
      <c r="A154" s="27" t="s">
        <v>39</v>
      </c>
      <c r="E154" s="27" t="s">
        <v>335</v>
      </c>
      <c r="F154" s="27" t="s">
        <v>738</v>
      </c>
      <c r="G154" s="27" t="s">
        <v>773</v>
      </c>
      <c r="H154" s="27" t="s">
        <v>808</v>
      </c>
      <c r="J154" s="27" t="s">
        <v>336</v>
      </c>
    </row>
    <row r="155" spans="1:10" x14ac:dyDescent="0.2">
      <c r="A155" s="27" t="s">
        <v>39</v>
      </c>
      <c r="E155" s="27" t="s">
        <v>337</v>
      </c>
      <c r="F155" s="27" t="s">
        <v>739</v>
      </c>
      <c r="G155" s="27" t="s">
        <v>774</v>
      </c>
      <c r="H155" s="27" t="s">
        <v>809</v>
      </c>
      <c r="J155" s="27" t="s">
        <v>338</v>
      </c>
    </row>
    <row r="156" spans="1:10" x14ac:dyDescent="0.2">
      <c r="A156" s="27" t="s">
        <v>39</v>
      </c>
      <c r="E156" s="27" t="s">
        <v>339</v>
      </c>
      <c r="F156" s="27" t="s">
        <v>740</v>
      </c>
      <c r="G156" s="27" t="s">
        <v>775</v>
      </c>
      <c r="H156" s="27" t="s">
        <v>810</v>
      </c>
      <c r="J156" s="27" t="s">
        <v>340</v>
      </c>
    </row>
    <row r="157" spans="1:10" x14ac:dyDescent="0.2">
      <c r="A157" s="27" t="s">
        <v>39</v>
      </c>
      <c r="E157" s="27" t="s">
        <v>341</v>
      </c>
      <c r="F157" s="27" t="s">
        <v>741</v>
      </c>
      <c r="G157" s="27" t="s">
        <v>776</v>
      </c>
      <c r="H157" s="27" t="s">
        <v>811</v>
      </c>
      <c r="J157" s="27" t="s">
        <v>342</v>
      </c>
    </row>
    <row r="158" spans="1:10" x14ac:dyDescent="0.2">
      <c r="A158" s="27" t="s">
        <v>39</v>
      </c>
      <c r="E158" s="27" t="s">
        <v>343</v>
      </c>
      <c r="F158" s="27" t="s">
        <v>742</v>
      </c>
      <c r="G158" s="27" t="s">
        <v>777</v>
      </c>
      <c r="H158" s="27" t="s">
        <v>812</v>
      </c>
      <c r="J158" s="27" t="s">
        <v>344</v>
      </c>
    </row>
    <row r="159" spans="1:10" x14ac:dyDescent="0.2">
      <c r="A159" s="27" t="s">
        <v>39</v>
      </c>
      <c r="E159" s="27" t="s">
        <v>345</v>
      </c>
      <c r="F159" s="27" t="s">
        <v>743</v>
      </c>
      <c r="G159" s="27" t="s">
        <v>778</v>
      </c>
      <c r="H159" s="27" t="s">
        <v>813</v>
      </c>
      <c r="J159" s="27" t="s">
        <v>346</v>
      </c>
    </row>
    <row r="160" spans="1:10" x14ac:dyDescent="0.2">
      <c r="A160" s="27" t="s">
        <v>39</v>
      </c>
      <c r="E160" s="27" t="s">
        <v>347</v>
      </c>
      <c r="F160" s="27" t="s">
        <v>744</v>
      </c>
      <c r="G160" s="27" t="s">
        <v>779</v>
      </c>
      <c r="H160" s="27" t="s">
        <v>814</v>
      </c>
      <c r="J160" s="27" t="s">
        <v>348</v>
      </c>
    </row>
    <row r="161" spans="1:10" x14ac:dyDescent="0.2">
      <c r="A161" s="27" t="s">
        <v>39</v>
      </c>
      <c r="E161" s="27" t="s">
        <v>349</v>
      </c>
      <c r="F161" s="27" t="s">
        <v>745</v>
      </c>
      <c r="G161" s="27" t="s">
        <v>780</v>
      </c>
      <c r="H161" s="27" t="s">
        <v>815</v>
      </c>
      <c r="J161" s="27" t="s">
        <v>350</v>
      </c>
    </row>
    <row r="162" spans="1:10" x14ac:dyDescent="0.2">
      <c r="A162" s="27" t="s">
        <v>39</v>
      </c>
      <c r="E162" s="27" t="s">
        <v>351</v>
      </c>
      <c r="F162" s="27" t="s">
        <v>746</v>
      </c>
      <c r="G162" s="27" t="s">
        <v>781</v>
      </c>
      <c r="H162" s="27" t="s">
        <v>816</v>
      </c>
      <c r="J162" s="27" t="s">
        <v>352</v>
      </c>
    </row>
    <row r="163" spans="1:10" x14ac:dyDescent="0.2">
      <c r="A163" s="27" t="s">
        <v>39</v>
      </c>
      <c r="E163" s="27" t="s">
        <v>353</v>
      </c>
      <c r="F163" s="27" t="s">
        <v>747</v>
      </c>
      <c r="G163" s="27" t="s">
        <v>782</v>
      </c>
      <c r="H163" s="27" t="s">
        <v>817</v>
      </c>
      <c r="J163" s="27" t="s">
        <v>354</v>
      </c>
    </row>
    <row r="164" spans="1:10" x14ac:dyDescent="0.2">
      <c r="A164" s="27" t="s">
        <v>39</v>
      </c>
      <c r="E164" s="27" t="s">
        <v>355</v>
      </c>
      <c r="F164" s="27" t="s">
        <v>748</v>
      </c>
      <c r="G164" s="27" t="s">
        <v>783</v>
      </c>
      <c r="H164" s="27" t="s">
        <v>818</v>
      </c>
      <c r="J164" s="27" t="s">
        <v>356</v>
      </c>
    </row>
    <row r="165" spans="1:10" x14ac:dyDescent="0.2">
      <c r="A165" s="27" t="s">
        <v>39</v>
      </c>
      <c r="E165" s="27" t="s">
        <v>357</v>
      </c>
      <c r="F165" s="27" t="s">
        <v>749</v>
      </c>
      <c r="G165" s="27" t="s">
        <v>784</v>
      </c>
      <c r="H165" s="27" t="s">
        <v>819</v>
      </c>
      <c r="J165" s="27" t="s">
        <v>358</v>
      </c>
    </row>
    <row r="166" spans="1:10" x14ac:dyDescent="0.2">
      <c r="A166" s="27" t="s">
        <v>39</v>
      </c>
      <c r="E166" s="27" t="s">
        <v>359</v>
      </c>
      <c r="F166" s="27" t="s">
        <v>750</v>
      </c>
      <c r="G166" s="27" t="s">
        <v>785</v>
      </c>
      <c r="H166" s="27" t="s">
        <v>820</v>
      </c>
      <c r="J166" s="27" t="s">
        <v>360</v>
      </c>
    </row>
    <row r="167" spans="1:10" x14ac:dyDescent="0.2">
      <c r="A167" s="27" t="s">
        <v>39</v>
      </c>
      <c r="E167" s="27" t="s">
        <v>361</v>
      </c>
      <c r="F167" s="27" t="s">
        <v>751</v>
      </c>
      <c r="G167" s="27" t="s">
        <v>786</v>
      </c>
      <c r="H167" s="27" t="s">
        <v>821</v>
      </c>
      <c r="J167" s="27" t="s">
        <v>362</v>
      </c>
    </row>
    <row r="168" spans="1:10" x14ac:dyDescent="0.2">
      <c r="A168" s="27" t="s">
        <v>39</v>
      </c>
      <c r="E168" s="27" t="s">
        <v>363</v>
      </c>
      <c r="F168" s="27" t="s">
        <v>752</v>
      </c>
      <c r="G168" s="27" t="s">
        <v>787</v>
      </c>
      <c r="H168" s="27" t="s">
        <v>822</v>
      </c>
      <c r="J168" s="27" t="s">
        <v>364</v>
      </c>
    </row>
    <row r="169" spans="1:10" x14ac:dyDescent="0.2">
      <c r="A169" s="27" t="s">
        <v>39</v>
      </c>
      <c r="E169" s="27" t="s">
        <v>365</v>
      </c>
      <c r="F169" s="27" t="s">
        <v>753</v>
      </c>
      <c r="G169" s="27" t="s">
        <v>788</v>
      </c>
      <c r="H169" s="27" t="s">
        <v>823</v>
      </c>
      <c r="J169" s="27" t="s">
        <v>366</v>
      </c>
    </row>
    <row r="170" spans="1:10" x14ac:dyDescent="0.2">
      <c r="A170" s="27" t="s">
        <v>39</v>
      </c>
      <c r="E170" s="27" t="s">
        <v>367</v>
      </c>
      <c r="F170" s="27" t="s">
        <v>754</v>
      </c>
      <c r="G170" s="27" t="s">
        <v>789</v>
      </c>
      <c r="H170" s="27" t="s">
        <v>824</v>
      </c>
      <c r="J170" s="27" t="s">
        <v>368</v>
      </c>
    </row>
    <row r="171" spans="1:10" x14ac:dyDescent="0.2">
      <c r="A171" s="27" t="s">
        <v>39</v>
      </c>
      <c r="E171" s="27" t="s">
        <v>369</v>
      </c>
      <c r="F171" s="27" t="s">
        <v>755</v>
      </c>
      <c r="G171" s="27" t="s">
        <v>790</v>
      </c>
      <c r="H171" s="27" t="s">
        <v>825</v>
      </c>
      <c r="J171" s="27" t="s">
        <v>370</v>
      </c>
    </row>
    <row r="172" spans="1:10" x14ac:dyDescent="0.2">
      <c r="A172" s="27" t="s">
        <v>39</v>
      </c>
      <c r="E172" s="27" t="s">
        <v>371</v>
      </c>
      <c r="F172" s="27" t="s">
        <v>756</v>
      </c>
      <c r="G172" s="27" t="s">
        <v>791</v>
      </c>
      <c r="H172" s="27" t="s">
        <v>826</v>
      </c>
      <c r="J172" s="27" t="s">
        <v>372</v>
      </c>
    </row>
    <row r="173" spans="1:10" x14ac:dyDescent="0.2">
      <c r="A173" s="27" t="s">
        <v>39</v>
      </c>
      <c r="E173" s="27" t="s">
        <v>373</v>
      </c>
      <c r="F173" s="27" t="s">
        <v>757</v>
      </c>
      <c r="G173" s="27" t="s">
        <v>792</v>
      </c>
      <c r="H173" s="27" t="s">
        <v>827</v>
      </c>
      <c r="J173" s="27" t="s">
        <v>374</v>
      </c>
    </row>
    <row r="174" spans="1:10" x14ac:dyDescent="0.2">
      <c r="A174" s="27" t="s">
        <v>39</v>
      </c>
      <c r="E174" s="27" t="s">
        <v>375</v>
      </c>
      <c r="F174" s="27" t="s">
        <v>758</v>
      </c>
      <c r="G174" s="27" t="s">
        <v>793</v>
      </c>
      <c r="H174" s="27" t="s">
        <v>828</v>
      </c>
      <c r="J174" s="27" t="s">
        <v>376</v>
      </c>
    </row>
    <row r="175" spans="1:10" x14ac:dyDescent="0.2">
      <c r="A175" s="27" t="s">
        <v>39</v>
      </c>
      <c r="E175" s="27" t="s">
        <v>377</v>
      </c>
      <c r="F175" s="27" t="s">
        <v>759</v>
      </c>
      <c r="G175" s="27" t="s">
        <v>794</v>
      </c>
      <c r="H175" s="27" t="s">
        <v>829</v>
      </c>
      <c r="J175" s="27" t="s">
        <v>378</v>
      </c>
    </row>
    <row r="176" spans="1:10" x14ac:dyDescent="0.2">
      <c r="A176" s="27" t="s">
        <v>39</v>
      </c>
      <c r="E176" s="27" t="s">
        <v>379</v>
      </c>
      <c r="F176" s="27" t="s">
        <v>760</v>
      </c>
      <c r="G176" s="27" t="s">
        <v>795</v>
      </c>
      <c r="H176" s="27" t="s">
        <v>830</v>
      </c>
      <c r="J176" s="27" t="s">
        <v>380</v>
      </c>
    </row>
    <row r="177" spans="1:10" x14ac:dyDescent="0.2">
      <c r="A177" s="27" t="s">
        <v>39</v>
      </c>
      <c r="E177" s="27" t="s">
        <v>381</v>
      </c>
      <c r="F177" s="27" t="s">
        <v>761</v>
      </c>
      <c r="G177" s="27" t="s">
        <v>796</v>
      </c>
      <c r="H177" s="27" t="s">
        <v>831</v>
      </c>
      <c r="J177" s="27" t="s">
        <v>382</v>
      </c>
    </row>
    <row r="178" spans="1:10" x14ac:dyDescent="0.2">
      <c r="A178" s="27" t="s">
        <v>40</v>
      </c>
    </row>
    <row r="179" spans="1:10" x14ac:dyDescent="0.2">
      <c r="A179" s="27" t="s">
        <v>39</v>
      </c>
      <c r="G179" s="27" t="s">
        <v>383</v>
      </c>
      <c r="H179" s="27" t="s">
        <v>384</v>
      </c>
    </row>
    <row r="180" spans="1:10" x14ac:dyDescent="0.2">
      <c r="A180" s="27" t="s">
        <v>39</v>
      </c>
      <c r="B180" s="27" t="s">
        <v>385</v>
      </c>
      <c r="D180" s="27" t="s">
        <v>386</v>
      </c>
    </row>
    <row r="181" spans="1:10" x14ac:dyDescent="0.2">
      <c r="A181" s="27" t="s">
        <v>39</v>
      </c>
      <c r="E181" s="27" t="s">
        <v>387</v>
      </c>
      <c r="F181" s="27" t="s">
        <v>388</v>
      </c>
      <c r="G181" s="27" t="s">
        <v>389</v>
      </c>
      <c r="H181" s="27" t="s">
        <v>390</v>
      </c>
      <c r="J181" s="27" t="s">
        <v>391</v>
      </c>
    </row>
    <row r="182" spans="1:10" x14ac:dyDescent="0.2">
      <c r="A182" s="27" t="s">
        <v>39</v>
      </c>
      <c r="E182" s="27" t="s">
        <v>392</v>
      </c>
      <c r="F182" s="27" t="s">
        <v>393</v>
      </c>
      <c r="G182" s="27" t="s">
        <v>394</v>
      </c>
      <c r="H182" s="27" t="s">
        <v>395</v>
      </c>
      <c r="J182" s="27" t="s">
        <v>396</v>
      </c>
    </row>
    <row r="183" spans="1:10" x14ac:dyDescent="0.2">
      <c r="A183" s="27" t="s">
        <v>39</v>
      </c>
      <c r="E183" s="27" t="s">
        <v>397</v>
      </c>
      <c r="F183" s="27" t="s">
        <v>398</v>
      </c>
      <c r="G183" s="27" t="s">
        <v>399</v>
      </c>
      <c r="H183" s="27" t="s">
        <v>400</v>
      </c>
      <c r="J183" s="27" t="s">
        <v>401</v>
      </c>
    </row>
    <row r="184" spans="1:10" x14ac:dyDescent="0.2">
      <c r="A184" s="27" t="s">
        <v>40</v>
      </c>
    </row>
    <row r="185" spans="1:10" x14ac:dyDescent="0.2">
      <c r="A185" s="27" t="s">
        <v>39</v>
      </c>
      <c r="G185" s="27" t="s">
        <v>402</v>
      </c>
      <c r="H185" s="27" t="s">
        <v>403</v>
      </c>
    </row>
    <row r="186" spans="1:10" x14ac:dyDescent="0.2">
      <c r="A186" s="27" t="s">
        <v>39</v>
      </c>
      <c r="B186" s="27" t="s">
        <v>404</v>
      </c>
      <c r="D186" s="27" t="s">
        <v>405</v>
      </c>
    </row>
    <row r="187" spans="1:10" x14ac:dyDescent="0.2">
      <c r="A187" s="27" t="s">
        <v>39</v>
      </c>
      <c r="E187" s="27" t="s">
        <v>406</v>
      </c>
      <c r="F187" s="27" t="s">
        <v>598</v>
      </c>
      <c r="G187" s="27" t="s">
        <v>641</v>
      </c>
      <c r="H187" s="27" t="s">
        <v>684</v>
      </c>
      <c r="J187" s="27" t="s">
        <v>407</v>
      </c>
    </row>
    <row r="188" spans="1:10" x14ac:dyDescent="0.2">
      <c r="A188" s="27" t="s">
        <v>39</v>
      </c>
      <c r="E188" s="27" t="s">
        <v>408</v>
      </c>
      <c r="F188" s="27" t="s">
        <v>599</v>
      </c>
      <c r="G188" s="27" t="s">
        <v>642</v>
      </c>
      <c r="H188" s="27" t="s">
        <v>685</v>
      </c>
      <c r="J188" s="27" t="s">
        <v>409</v>
      </c>
    </row>
    <row r="189" spans="1:10" x14ac:dyDescent="0.2">
      <c r="A189" s="27" t="s">
        <v>39</v>
      </c>
      <c r="E189" s="27" t="s">
        <v>410</v>
      </c>
      <c r="F189" s="27" t="s">
        <v>600</v>
      </c>
      <c r="G189" s="27" t="s">
        <v>643</v>
      </c>
      <c r="H189" s="27" t="s">
        <v>686</v>
      </c>
      <c r="J189" s="27" t="s">
        <v>411</v>
      </c>
    </row>
    <row r="190" spans="1:10" x14ac:dyDescent="0.2">
      <c r="A190" s="27" t="s">
        <v>39</v>
      </c>
      <c r="E190" s="27" t="s">
        <v>412</v>
      </c>
      <c r="F190" s="27" t="s">
        <v>601</v>
      </c>
      <c r="G190" s="27" t="s">
        <v>644</v>
      </c>
      <c r="H190" s="27" t="s">
        <v>687</v>
      </c>
      <c r="J190" s="27" t="s">
        <v>413</v>
      </c>
    </row>
    <row r="191" spans="1:10" x14ac:dyDescent="0.2">
      <c r="A191" s="27" t="s">
        <v>39</v>
      </c>
      <c r="E191" s="27" t="s">
        <v>414</v>
      </c>
      <c r="F191" s="27" t="s">
        <v>602</v>
      </c>
      <c r="G191" s="27" t="s">
        <v>645</v>
      </c>
      <c r="H191" s="27" t="s">
        <v>688</v>
      </c>
      <c r="J191" s="27" t="s">
        <v>415</v>
      </c>
    </row>
    <row r="192" spans="1:10" x14ac:dyDescent="0.2">
      <c r="A192" s="27" t="s">
        <v>39</v>
      </c>
      <c r="E192" s="27" t="s">
        <v>416</v>
      </c>
      <c r="F192" s="27" t="s">
        <v>603</v>
      </c>
      <c r="G192" s="27" t="s">
        <v>646</v>
      </c>
      <c r="H192" s="27" t="s">
        <v>689</v>
      </c>
      <c r="J192" s="27" t="s">
        <v>417</v>
      </c>
    </row>
    <row r="193" spans="1:10" x14ac:dyDescent="0.2">
      <c r="A193" s="27" t="s">
        <v>39</v>
      </c>
      <c r="E193" s="27" t="s">
        <v>418</v>
      </c>
      <c r="F193" s="27" t="s">
        <v>604</v>
      </c>
      <c r="G193" s="27" t="s">
        <v>647</v>
      </c>
      <c r="H193" s="27" t="s">
        <v>690</v>
      </c>
      <c r="J193" s="27" t="s">
        <v>419</v>
      </c>
    </row>
    <row r="194" spans="1:10" x14ac:dyDescent="0.2">
      <c r="A194" s="27" t="s">
        <v>39</v>
      </c>
      <c r="E194" s="27" t="s">
        <v>420</v>
      </c>
      <c r="F194" s="27" t="s">
        <v>605</v>
      </c>
      <c r="G194" s="27" t="s">
        <v>648</v>
      </c>
      <c r="H194" s="27" t="s">
        <v>691</v>
      </c>
      <c r="J194" s="27" t="s">
        <v>421</v>
      </c>
    </row>
    <row r="195" spans="1:10" x14ac:dyDescent="0.2">
      <c r="A195" s="27" t="s">
        <v>39</v>
      </c>
      <c r="E195" s="27" t="s">
        <v>422</v>
      </c>
      <c r="F195" s="27" t="s">
        <v>606</v>
      </c>
      <c r="G195" s="27" t="s">
        <v>649</v>
      </c>
      <c r="H195" s="27" t="s">
        <v>692</v>
      </c>
      <c r="J195" s="27" t="s">
        <v>423</v>
      </c>
    </row>
    <row r="196" spans="1:10" x14ac:dyDescent="0.2">
      <c r="A196" s="27" t="s">
        <v>39</v>
      </c>
      <c r="E196" s="27" t="s">
        <v>424</v>
      </c>
      <c r="F196" s="27" t="s">
        <v>607</v>
      </c>
      <c r="G196" s="27" t="s">
        <v>650</v>
      </c>
      <c r="H196" s="27" t="s">
        <v>693</v>
      </c>
      <c r="J196" s="27" t="s">
        <v>425</v>
      </c>
    </row>
    <row r="197" spans="1:10" x14ac:dyDescent="0.2">
      <c r="A197" s="27" t="s">
        <v>39</v>
      </c>
      <c r="E197" s="27" t="s">
        <v>426</v>
      </c>
      <c r="F197" s="27" t="s">
        <v>608</v>
      </c>
      <c r="G197" s="27" t="s">
        <v>651</v>
      </c>
      <c r="H197" s="27" t="s">
        <v>694</v>
      </c>
      <c r="J197" s="27" t="s">
        <v>427</v>
      </c>
    </row>
    <row r="198" spans="1:10" x14ac:dyDescent="0.2">
      <c r="A198" s="27" t="s">
        <v>39</v>
      </c>
      <c r="E198" s="27" t="s">
        <v>428</v>
      </c>
      <c r="F198" s="27" t="s">
        <v>609</v>
      </c>
      <c r="G198" s="27" t="s">
        <v>652</v>
      </c>
      <c r="H198" s="27" t="s">
        <v>695</v>
      </c>
      <c r="J198" s="27" t="s">
        <v>429</v>
      </c>
    </row>
    <row r="199" spans="1:10" x14ac:dyDescent="0.2">
      <c r="A199" s="27" t="s">
        <v>39</v>
      </c>
      <c r="E199" s="27" t="s">
        <v>430</v>
      </c>
      <c r="F199" s="27" t="s">
        <v>610</v>
      </c>
      <c r="G199" s="27" t="s">
        <v>653</v>
      </c>
      <c r="H199" s="27" t="s">
        <v>696</v>
      </c>
      <c r="J199" s="27" t="s">
        <v>431</v>
      </c>
    </row>
    <row r="200" spans="1:10" x14ac:dyDescent="0.2">
      <c r="A200" s="27" t="s">
        <v>39</v>
      </c>
      <c r="E200" s="27" t="s">
        <v>432</v>
      </c>
      <c r="F200" s="27" t="s">
        <v>611</v>
      </c>
      <c r="G200" s="27" t="s">
        <v>654</v>
      </c>
      <c r="H200" s="27" t="s">
        <v>697</v>
      </c>
      <c r="J200" s="27" t="s">
        <v>433</v>
      </c>
    </row>
    <row r="201" spans="1:10" x14ac:dyDescent="0.2">
      <c r="A201" s="27" t="s">
        <v>39</v>
      </c>
      <c r="E201" s="27" t="s">
        <v>434</v>
      </c>
      <c r="F201" s="27" t="s">
        <v>612</v>
      </c>
      <c r="G201" s="27" t="s">
        <v>655</v>
      </c>
      <c r="H201" s="27" t="s">
        <v>698</v>
      </c>
      <c r="J201" s="27" t="s">
        <v>435</v>
      </c>
    </row>
    <row r="202" spans="1:10" x14ac:dyDescent="0.2">
      <c r="A202" s="27" t="s">
        <v>39</v>
      </c>
      <c r="E202" s="27" t="s">
        <v>436</v>
      </c>
      <c r="F202" s="27" t="s">
        <v>613</v>
      </c>
      <c r="G202" s="27" t="s">
        <v>656</v>
      </c>
      <c r="H202" s="27" t="s">
        <v>699</v>
      </c>
      <c r="J202" s="27" t="s">
        <v>437</v>
      </c>
    </row>
    <row r="203" spans="1:10" x14ac:dyDescent="0.2">
      <c r="A203" s="27" t="s">
        <v>39</v>
      </c>
      <c r="E203" s="27" t="s">
        <v>438</v>
      </c>
      <c r="F203" s="27" t="s">
        <v>614</v>
      </c>
      <c r="G203" s="27" t="s">
        <v>657</v>
      </c>
      <c r="H203" s="27" t="s">
        <v>700</v>
      </c>
      <c r="J203" s="27" t="s">
        <v>439</v>
      </c>
    </row>
    <row r="204" spans="1:10" x14ac:dyDescent="0.2">
      <c r="A204" s="27" t="s">
        <v>39</v>
      </c>
      <c r="E204" s="27" t="s">
        <v>440</v>
      </c>
      <c r="F204" s="27" t="s">
        <v>615</v>
      </c>
      <c r="G204" s="27" t="s">
        <v>658</v>
      </c>
      <c r="H204" s="27" t="s">
        <v>701</v>
      </c>
      <c r="J204" s="27" t="s">
        <v>441</v>
      </c>
    </row>
    <row r="205" spans="1:10" x14ac:dyDescent="0.2">
      <c r="A205" s="27" t="s">
        <v>39</v>
      </c>
      <c r="E205" s="27" t="s">
        <v>442</v>
      </c>
      <c r="F205" s="27" t="s">
        <v>616</v>
      </c>
      <c r="G205" s="27" t="s">
        <v>659</v>
      </c>
      <c r="H205" s="27" t="s">
        <v>702</v>
      </c>
      <c r="J205" s="27" t="s">
        <v>443</v>
      </c>
    </row>
    <row r="206" spans="1:10" x14ac:dyDescent="0.2">
      <c r="A206" s="27" t="s">
        <v>39</v>
      </c>
      <c r="E206" s="27" t="s">
        <v>444</v>
      </c>
      <c r="F206" s="27" t="s">
        <v>617</v>
      </c>
      <c r="G206" s="27" t="s">
        <v>660</v>
      </c>
      <c r="H206" s="27" t="s">
        <v>703</v>
      </c>
      <c r="J206" s="27" t="s">
        <v>445</v>
      </c>
    </row>
    <row r="207" spans="1:10" x14ac:dyDescent="0.2">
      <c r="A207" s="27" t="s">
        <v>39</v>
      </c>
      <c r="E207" s="27" t="s">
        <v>446</v>
      </c>
      <c r="F207" s="27" t="s">
        <v>618</v>
      </c>
      <c r="G207" s="27" t="s">
        <v>661</v>
      </c>
      <c r="H207" s="27" t="s">
        <v>704</v>
      </c>
      <c r="J207" s="27" t="s">
        <v>447</v>
      </c>
    </row>
    <row r="208" spans="1:10" x14ac:dyDescent="0.2">
      <c r="A208" s="27" t="s">
        <v>39</v>
      </c>
      <c r="E208" s="27" t="s">
        <v>448</v>
      </c>
      <c r="F208" s="27" t="s">
        <v>619</v>
      </c>
      <c r="G208" s="27" t="s">
        <v>662</v>
      </c>
      <c r="H208" s="27" t="s">
        <v>705</v>
      </c>
      <c r="J208" s="27" t="s">
        <v>449</v>
      </c>
    </row>
    <row r="209" spans="1:10" x14ac:dyDescent="0.2">
      <c r="A209" s="27" t="s">
        <v>39</v>
      </c>
      <c r="E209" s="27" t="s">
        <v>450</v>
      </c>
      <c r="F209" s="27" t="s">
        <v>620</v>
      </c>
      <c r="G209" s="27" t="s">
        <v>663</v>
      </c>
      <c r="H209" s="27" t="s">
        <v>706</v>
      </c>
      <c r="J209" s="27" t="s">
        <v>451</v>
      </c>
    </row>
    <row r="210" spans="1:10" x14ac:dyDescent="0.2">
      <c r="A210" s="27" t="s">
        <v>39</v>
      </c>
      <c r="E210" s="27" t="s">
        <v>452</v>
      </c>
      <c r="F210" s="27" t="s">
        <v>621</v>
      </c>
      <c r="G210" s="27" t="s">
        <v>664</v>
      </c>
      <c r="H210" s="27" t="s">
        <v>707</v>
      </c>
      <c r="J210" s="27" t="s">
        <v>453</v>
      </c>
    </row>
    <row r="211" spans="1:10" x14ac:dyDescent="0.2">
      <c r="A211" s="27" t="s">
        <v>39</v>
      </c>
      <c r="E211" s="27" t="s">
        <v>454</v>
      </c>
      <c r="F211" s="27" t="s">
        <v>622</v>
      </c>
      <c r="G211" s="27" t="s">
        <v>665</v>
      </c>
      <c r="H211" s="27" t="s">
        <v>708</v>
      </c>
      <c r="J211" s="27" t="s">
        <v>455</v>
      </c>
    </row>
    <row r="212" spans="1:10" x14ac:dyDescent="0.2">
      <c r="A212" s="27" t="s">
        <v>39</v>
      </c>
      <c r="E212" s="27" t="s">
        <v>456</v>
      </c>
      <c r="F212" s="27" t="s">
        <v>623</v>
      </c>
      <c r="G212" s="27" t="s">
        <v>666</v>
      </c>
      <c r="H212" s="27" t="s">
        <v>709</v>
      </c>
      <c r="J212" s="27" t="s">
        <v>457</v>
      </c>
    </row>
    <row r="213" spans="1:10" x14ac:dyDescent="0.2">
      <c r="A213" s="27" t="s">
        <v>39</v>
      </c>
      <c r="E213" s="27" t="s">
        <v>458</v>
      </c>
      <c r="F213" s="27" t="s">
        <v>624</v>
      </c>
      <c r="G213" s="27" t="s">
        <v>667</v>
      </c>
      <c r="H213" s="27" t="s">
        <v>710</v>
      </c>
      <c r="J213" s="27" t="s">
        <v>459</v>
      </c>
    </row>
    <row r="214" spans="1:10" x14ac:dyDescent="0.2">
      <c r="A214" s="27" t="s">
        <v>39</v>
      </c>
      <c r="E214" s="27" t="s">
        <v>460</v>
      </c>
      <c r="F214" s="27" t="s">
        <v>625</v>
      </c>
      <c r="G214" s="27" t="s">
        <v>668</v>
      </c>
      <c r="H214" s="27" t="s">
        <v>711</v>
      </c>
      <c r="J214" s="27" t="s">
        <v>461</v>
      </c>
    </row>
    <row r="215" spans="1:10" x14ac:dyDescent="0.2">
      <c r="A215" s="27" t="s">
        <v>39</v>
      </c>
      <c r="E215" s="27" t="s">
        <v>462</v>
      </c>
      <c r="F215" s="27" t="s">
        <v>626</v>
      </c>
      <c r="G215" s="27" t="s">
        <v>669</v>
      </c>
      <c r="H215" s="27" t="s">
        <v>712</v>
      </c>
      <c r="J215" s="27" t="s">
        <v>463</v>
      </c>
    </row>
    <row r="216" spans="1:10" x14ac:dyDescent="0.2">
      <c r="A216" s="27" t="s">
        <v>39</v>
      </c>
      <c r="E216" s="27" t="s">
        <v>464</v>
      </c>
      <c r="F216" s="27" t="s">
        <v>627</v>
      </c>
      <c r="G216" s="27" t="s">
        <v>670</v>
      </c>
      <c r="H216" s="27" t="s">
        <v>713</v>
      </c>
      <c r="J216" s="27" t="s">
        <v>465</v>
      </c>
    </row>
    <row r="217" spans="1:10" x14ac:dyDescent="0.2">
      <c r="A217" s="27" t="s">
        <v>39</v>
      </c>
      <c r="E217" s="27" t="s">
        <v>466</v>
      </c>
      <c r="F217" s="27" t="s">
        <v>628</v>
      </c>
      <c r="G217" s="27" t="s">
        <v>671</v>
      </c>
      <c r="H217" s="27" t="s">
        <v>714</v>
      </c>
      <c r="J217" s="27" t="s">
        <v>467</v>
      </c>
    </row>
    <row r="218" spans="1:10" x14ac:dyDescent="0.2">
      <c r="A218" s="27" t="s">
        <v>39</v>
      </c>
      <c r="E218" s="27" t="s">
        <v>468</v>
      </c>
      <c r="F218" s="27" t="s">
        <v>629</v>
      </c>
      <c r="G218" s="27" t="s">
        <v>672</v>
      </c>
      <c r="H218" s="27" t="s">
        <v>715</v>
      </c>
      <c r="J218" s="27" t="s">
        <v>469</v>
      </c>
    </row>
    <row r="219" spans="1:10" x14ac:dyDescent="0.2">
      <c r="A219" s="27" t="s">
        <v>39</v>
      </c>
      <c r="E219" s="27" t="s">
        <v>470</v>
      </c>
      <c r="F219" s="27" t="s">
        <v>630</v>
      </c>
      <c r="G219" s="27" t="s">
        <v>673</v>
      </c>
      <c r="H219" s="27" t="s">
        <v>716</v>
      </c>
      <c r="J219" s="27" t="s">
        <v>471</v>
      </c>
    </row>
    <row r="220" spans="1:10" x14ac:dyDescent="0.2">
      <c r="A220" s="27" t="s">
        <v>39</v>
      </c>
      <c r="E220" s="27" t="s">
        <v>472</v>
      </c>
      <c r="F220" s="27" t="s">
        <v>631</v>
      </c>
      <c r="G220" s="27" t="s">
        <v>674</v>
      </c>
      <c r="H220" s="27" t="s">
        <v>717</v>
      </c>
      <c r="J220" s="27" t="s">
        <v>473</v>
      </c>
    </row>
    <row r="221" spans="1:10" x14ac:dyDescent="0.2">
      <c r="A221" s="27" t="s">
        <v>39</v>
      </c>
      <c r="E221" s="27" t="s">
        <v>474</v>
      </c>
      <c r="F221" s="27" t="s">
        <v>632</v>
      </c>
      <c r="G221" s="27" t="s">
        <v>675</v>
      </c>
      <c r="H221" s="27" t="s">
        <v>718</v>
      </c>
      <c r="J221" s="27" t="s">
        <v>475</v>
      </c>
    </row>
    <row r="222" spans="1:10" x14ac:dyDescent="0.2">
      <c r="A222" s="27" t="s">
        <v>39</v>
      </c>
      <c r="E222" s="27" t="s">
        <v>476</v>
      </c>
      <c r="F222" s="27" t="s">
        <v>633</v>
      </c>
      <c r="G222" s="27" t="s">
        <v>676</v>
      </c>
      <c r="H222" s="27" t="s">
        <v>719</v>
      </c>
      <c r="J222" s="27" t="s">
        <v>477</v>
      </c>
    </row>
    <row r="223" spans="1:10" x14ac:dyDescent="0.2">
      <c r="A223" s="27" t="s">
        <v>39</v>
      </c>
      <c r="E223" s="27" t="s">
        <v>478</v>
      </c>
      <c r="F223" s="27" t="s">
        <v>634</v>
      </c>
      <c r="G223" s="27" t="s">
        <v>677</v>
      </c>
      <c r="H223" s="27" t="s">
        <v>720</v>
      </c>
      <c r="J223" s="27" t="s">
        <v>479</v>
      </c>
    </row>
    <row r="224" spans="1:10" x14ac:dyDescent="0.2">
      <c r="A224" s="27" t="s">
        <v>39</v>
      </c>
      <c r="E224" s="27" t="s">
        <v>480</v>
      </c>
      <c r="F224" s="27" t="s">
        <v>635</v>
      </c>
      <c r="G224" s="27" t="s">
        <v>678</v>
      </c>
      <c r="H224" s="27" t="s">
        <v>721</v>
      </c>
      <c r="J224" s="27" t="s">
        <v>481</v>
      </c>
    </row>
    <row r="225" spans="1:10" x14ac:dyDescent="0.2">
      <c r="A225" s="27" t="s">
        <v>39</v>
      </c>
      <c r="E225" s="27" t="s">
        <v>482</v>
      </c>
      <c r="F225" s="27" t="s">
        <v>636</v>
      </c>
      <c r="G225" s="27" t="s">
        <v>679</v>
      </c>
      <c r="H225" s="27" t="s">
        <v>722</v>
      </c>
      <c r="J225" s="27" t="s">
        <v>483</v>
      </c>
    </row>
    <row r="226" spans="1:10" x14ac:dyDescent="0.2">
      <c r="A226" s="27" t="s">
        <v>39</v>
      </c>
      <c r="E226" s="27" t="s">
        <v>484</v>
      </c>
      <c r="F226" s="27" t="s">
        <v>637</v>
      </c>
      <c r="G226" s="27" t="s">
        <v>680</v>
      </c>
      <c r="H226" s="27" t="s">
        <v>723</v>
      </c>
      <c r="J226" s="27" t="s">
        <v>485</v>
      </c>
    </row>
    <row r="227" spans="1:10" x14ac:dyDescent="0.2">
      <c r="A227" s="27" t="s">
        <v>39</v>
      </c>
      <c r="E227" s="27" t="s">
        <v>486</v>
      </c>
      <c r="F227" s="27" t="s">
        <v>638</v>
      </c>
      <c r="G227" s="27" t="s">
        <v>681</v>
      </c>
      <c r="H227" s="27" t="s">
        <v>724</v>
      </c>
      <c r="J227" s="27" t="s">
        <v>487</v>
      </c>
    </row>
    <row r="228" spans="1:10" x14ac:dyDescent="0.2">
      <c r="A228" s="27" t="s">
        <v>39</v>
      </c>
      <c r="E228" s="27" t="s">
        <v>488</v>
      </c>
      <c r="F228" s="27" t="s">
        <v>639</v>
      </c>
      <c r="G228" s="27" t="s">
        <v>682</v>
      </c>
      <c r="H228" s="27" t="s">
        <v>725</v>
      </c>
      <c r="J228" s="27" t="s">
        <v>489</v>
      </c>
    </row>
    <row r="229" spans="1:10" x14ac:dyDescent="0.2">
      <c r="A229" s="27" t="s">
        <v>39</v>
      </c>
      <c r="E229" s="27" t="s">
        <v>490</v>
      </c>
      <c r="F229" s="27" t="s">
        <v>640</v>
      </c>
      <c r="G229" s="27" t="s">
        <v>683</v>
      </c>
      <c r="H229" s="27" t="s">
        <v>726</v>
      </c>
      <c r="J229" s="27" t="s">
        <v>491</v>
      </c>
    </row>
    <row r="230" spans="1:10" x14ac:dyDescent="0.2">
      <c r="A230" s="27" t="s">
        <v>40</v>
      </c>
    </row>
    <row r="231" spans="1:10" x14ac:dyDescent="0.2">
      <c r="A231" s="27" t="s">
        <v>39</v>
      </c>
      <c r="G231" s="27" t="s">
        <v>492</v>
      </c>
      <c r="H231" s="27" t="s">
        <v>493</v>
      </c>
    </row>
    <row r="232" spans="1:10" x14ac:dyDescent="0.2">
      <c r="A232" s="27" t="s">
        <v>39</v>
      </c>
      <c r="B232" s="27" t="s">
        <v>494</v>
      </c>
      <c r="D232" s="27" t="s">
        <v>495</v>
      </c>
    </row>
    <row r="233" spans="1:10" x14ac:dyDescent="0.2">
      <c r="A233" s="27" t="s">
        <v>39</v>
      </c>
      <c r="E233" s="27" t="s">
        <v>496</v>
      </c>
      <c r="F233" s="27" t="s">
        <v>497</v>
      </c>
      <c r="G233" s="27" t="s">
        <v>498</v>
      </c>
      <c r="H233" s="27" t="s">
        <v>499</v>
      </c>
      <c r="J233" s="27" t="s">
        <v>500</v>
      </c>
    </row>
    <row r="234" spans="1:10" x14ac:dyDescent="0.2">
      <c r="A234" s="27" t="s">
        <v>40</v>
      </c>
    </row>
    <row r="235" spans="1:10" x14ac:dyDescent="0.2">
      <c r="A235" s="27" t="s">
        <v>39</v>
      </c>
      <c r="G235" s="27" t="s">
        <v>501</v>
      </c>
      <c r="H235" s="27" t="s">
        <v>502</v>
      </c>
    </row>
    <row r="236" spans="1:10" x14ac:dyDescent="0.2">
      <c r="A236" s="27" t="s">
        <v>39</v>
      </c>
      <c r="B236" s="27" t="s">
        <v>503</v>
      </c>
      <c r="D236" s="27" t="s">
        <v>504</v>
      </c>
    </row>
    <row r="237" spans="1:10" x14ac:dyDescent="0.2">
      <c r="A237" s="27" t="s">
        <v>39</v>
      </c>
      <c r="E237" s="27" t="s">
        <v>505</v>
      </c>
      <c r="F237" s="27" t="s">
        <v>506</v>
      </c>
      <c r="G237" s="27" t="s">
        <v>507</v>
      </c>
      <c r="H237" s="27" t="s">
        <v>508</v>
      </c>
      <c r="J237" s="27" t="s">
        <v>509</v>
      </c>
    </row>
    <row r="238" spans="1:10" x14ac:dyDescent="0.2">
      <c r="A238" s="27" t="s">
        <v>40</v>
      </c>
    </row>
    <row r="239" spans="1:10" x14ac:dyDescent="0.2">
      <c r="A239" s="27" t="s">
        <v>39</v>
      </c>
      <c r="G239" s="27" t="s">
        <v>510</v>
      </c>
      <c r="H239" s="27" t="s">
        <v>511</v>
      </c>
    </row>
    <row r="240" spans="1:10" x14ac:dyDescent="0.2">
      <c r="A240" s="27" t="s">
        <v>39</v>
      </c>
      <c r="B240" s="27" t="s">
        <v>512</v>
      </c>
      <c r="D240" s="27" t="s">
        <v>513</v>
      </c>
    </row>
    <row r="241" spans="1:10" x14ac:dyDescent="0.2">
      <c r="A241" s="27" t="s">
        <v>39</v>
      </c>
      <c r="E241" s="27" t="s">
        <v>514</v>
      </c>
      <c r="F241" s="27" t="s">
        <v>583</v>
      </c>
      <c r="G241" s="27" t="s">
        <v>588</v>
      </c>
      <c r="H241" s="27" t="s">
        <v>593</v>
      </c>
      <c r="J241" s="27" t="s">
        <v>515</v>
      </c>
    </row>
    <row r="242" spans="1:10" x14ac:dyDescent="0.2">
      <c r="A242" s="27" t="s">
        <v>39</v>
      </c>
      <c r="E242" s="27" t="s">
        <v>516</v>
      </c>
      <c r="F242" s="27" t="s">
        <v>584</v>
      </c>
      <c r="G242" s="27" t="s">
        <v>589</v>
      </c>
      <c r="H242" s="27" t="s">
        <v>594</v>
      </c>
      <c r="J242" s="27" t="s">
        <v>517</v>
      </c>
    </row>
    <row r="243" spans="1:10" x14ac:dyDescent="0.2">
      <c r="A243" s="27" t="s">
        <v>39</v>
      </c>
      <c r="E243" s="27" t="s">
        <v>518</v>
      </c>
      <c r="F243" s="27" t="s">
        <v>585</v>
      </c>
      <c r="G243" s="27" t="s">
        <v>590</v>
      </c>
      <c r="H243" s="27" t="s">
        <v>595</v>
      </c>
      <c r="J243" s="27" t="s">
        <v>519</v>
      </c>
    </row>
    <row r="244" spans="1:10" x14ac:dyDescent="0.2">
      <c r="A244" s="27" t="s">
        <v>39</v>
      </c>
      <c r="E244" s="27" t="s">
        <v>520</v>
      </c>
      <c r="F244" s="27" t="s">
        <v>586</v>
      </c>
      <c r="G244" s="27" t="s">
        <v>591</v>
      </c>
      <c r="H244" s="27" t="s">
        <v>596</v>
      </c>
      <c r="J244" s="27" t="s">
        <v>521</v>
      </c>
    </row>
    <row r="245" spans="1:10" x14ac:dyDescent="0.2">
      <c r="A245" s="27" t="s">
        <v>39</v>
      </c>
      <c r="E245" s="27" t="s">
        <v>522</v>
      </c>
      <c r="F245" s="27" t="s">
        <v>587</v>
      </c>
      <c r="G245" s="27" t="s">
        <v>592</v>
      </c>
      <c r="H245" s="27" t="s">
        <v>597</v>
      </c>
      <c r="J245" s="27" t="s">
        <v>523</v>
      </c>
    </row>
    <row r="246" spans="1:10" x14ac:dyDescent="0.2">
      <c r="A246" s="27" t="s">
        <v>40</v>
      </c>
    </row>
    <row r="247" spans="1:10" x14ac:dyDescent="0.2">
      <c r="A247" s="27" t="s">
        <v>39</v>
      </c>
      <c r="G247" s="27" t="s">
        <v>524</v>
      </c>
      <c r="H247" s="27" t="s">
        <v>525</v>
      </c>
    </row>
    <row r="248" spans="1:10" x14ac:dyDescent="0.2">
      <c r="A248" s="27" t="s">
        <v>39</v>
      </c>
      <c r="B248" s="27" t="s">
        <v>526</v>
      </c>
      <c r="D248" s="27" t="s">
        <v>527</v>
      </c>
    </row>
    <row r="249" spans="1:10" x14ac:dyDescent="0.2">
      <c r="A249" s="27" t="s">
        <v>39</v>
      </c>
      <c r="E249" s="27" t="s">
        <v>528</v>
      </c>
      <c r="F249" s="27" t="s">
        <v>529</v>
      </c>
      <c r="G249" s="27" t="s">
        <v>530</v>
      </c>
      <c r="H249" s="27" t="s">
        <v>531</v>
      </c>
      <c r="J249" s="27" t="s">
        <v>532</v>
      </c>
    </row>
    <row r="250" spans="1:10" x14ac:dyDescent="0.2">
      <c r="A250" s="27" t="s">
        <v>39</v>
      </c>
      <c r="E250" s="27" t="s">
        <v>533</v>
      </c>
      <c r="F250" s="27" t="s">
        <v>534</v>
      </c>
      <c r="G250" s="27" t="s">
        <v>535</v>
      </c>
      <c r="H250" s="27" t="s">
        <v>536</v>
      </c>
      <c r="J250" s="27" t="s">
        <v>537</v>
      </c>
    </row>
    <row r="251" spans="1:10" x14ac:dyDescent="0.2">
      <c r="A251" s="27" t="s">
        <v>39</v>
      </c>
      <c r="E251" s="27" t="s">
        <v>538</v>
      </c>
      <c r="F251" s="27" t="s">
        <v>539</v>
      </c>
      <c r="G251" s="27" t="s">
        <v>540</v>
      </c>
      <c r="H251" s="27" t="s">
        <v>541</v>
      </c>
      <c r="J251" s="27" t="s">
        <v>542</v>
      </c>
    </row>
    <row r="252" spans="1:10" x14ac:dyDescent="0.2">
      <c r="A252" s="27" t="s">
        <v>39</v>
      </c>
      <c r="E252" s="27" t="s">
        <v>543</v>
      </c>
      <c r="F252" s="27" t="s">
        <v>544</v>
      </c>
      <c r="G252" s="27" t="s">
        <v>545</v>
      </c>
      <c r="H252" s="27" t="s">
        <v>546</v>
      </c>
      <c r="J252" s="27" t="s">
        <v>547</v>
      </c>
    </row>
    <row r="253" spans="1:10" x14ac:dyDescent="0.2">
      <c r="A253" s="27" t="s">
        <v>40</v>
      </c>
    </row>
    <row r="254" spans="1:10" x14ac:dyDescent="0.2">
      <c r="A254" s="27" t="s">
        <v>39</v>
      </c>
      <c r="G254" s="27" t="s">
        <v>548</v>
      </c>
      <c r="H254" s="27" t="s">
        <v>549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Read Me</vt:lpstr>
      <vt:lpstr>Options</vt:lpstr>
      <vt:lpstr>Balance Sheet</vt:lpstr>
      <vt:lpstr>Category_Filter</vt:lpstr>
      <vt:lpstr>CurrentYear</vt:lpstr>
    </vt:vector>
  </TitlesOfParts>
  <Company>Jet Reports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GL Balance Sheet</dc:title>
  <dc:subject>Jet Basics</dc:subject>
  <dc:creator>Tara May</dc:creator>
  <dc:description>Intended to match the Balance Sheet in Dynamics GP 2010.</dc:description>
  <cp:lastModifiedBy>Kim R. Duey</cp:lastModifiedBy>
  <cp:lastPrinted>2012-12-07T23:37:51Z</cp:lastPrinted>
  <dcterms:created xsi:type="dcterms:W3CDTF">2006-08-15T21:20:54Z</dcterms:created>
  <dcterms:modified xsi:type="dcterms:W3CDTF">2018-10-03T17:04:18Z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eedsREVERT">
    <vt:lpwstr>FALSE</vt:lpwstr>
  </property>
  <property fmtid="{D5CDD505-2E9C-101B-9397-08002B2CF9AE}" pid="3" name="Jet Reports Drill Button Active">
    <vt:bool>true</vt:bool>
  </property>
  <property fmtid="{D5CDD505-2E9C-101B-9397-08002B2CF9AE}" pid="4" name="OriginalName">
    <vt:lpwstr>GL Balance Sheet - Year Comparison.xls</vt:lpwstr>
  </property>
  <property fmtid="{D5CDD505-2E9C-101B-9397-08002B2CF9AE}" pid="5" name="Jet Reports Last Version Refresh">
    <vt:lpwstr>Version 7.0.1  Released 3/12/2007 3:30:53 PM</vt:lpwstr>
  </property>
  <property fmtid="{D5CDD505-2E9C-101B-9397-08002B2CF9AE}" pid="6" name="Jet Reports Design Mode Active">
    <vt:bool>false</vt:bool>
  </property>
  <property fmtid="{D5CDD505-2E9C-101B-9397-08002B2CF9AE}" pid="7" name="Jet Reports Function Literals">
    <vt:lpwstr>,	;	,	{	}	[@[{0}]]	1033</vt:lpwstr>
  </property>
</Properties>
</file>