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60" windowWidth="28800" windowHeight="11940"/>
  </bookViews>
  <sheets>
    <sheet name="Read Me" sheetId="143" r:id="rId1"/>
    <sheet name="Options" sheetId="2" state="hidden" r:id="rId2"/>
    <sheet name="Vendor Detail by State" sheetId="1" r:id="rId3"/>
    <sheet name="Sheet8" sheetId="150" state="veryHidden" r:id="rId4"/>
    <sheet name="Sheet9" sheetId="151" state="veryHidden" r:id="rId5"/>
    <sheet name="Sheet10" sheetId="152" state="veryHidden" r:id="rId6"/>
    <sheet name="Sheet11" sheetId="153" state="veryHidden" r:id="rId7"/>
    <sheet name="Sheet12" sheetId="154" state="veryHidden" r:id="rId8"/>
    <sheet name="Sheet13" sheetId="155" state="veryHidden" r:id="rId9"/>
  </sheets>
  <definedNames>
    <definedName name="PeriodFilter">Options!$E$5</definedName>
    <definedName name="_xlnm.Print_Area" localSheetId="1">Options!$A$1</definedName>
    <definedName name="StateFilter">Options!$E$4</definedName>
    <definedName name="VendorFilter">Options!$E$7</definedName>
    <definedName name="YearFilter">Options!$E$6</definedName>
  </definedNames>
  <calcPr calcId="162913"/>
</workbook>
</file>

<file path=xl/calcChain.xml><?xml version="1.0" encoding="utf-8"?>
<calcChain xmlns="http://schemas.openxmlformats.org/spreadsheetml/2006/main">
  <c r="F4" i="2" l="1"/>
  <c r="F5" i="2"/>
  <c r="F6" i="2"/>
  <c r="F7" i="2"/>
  <c r="E15" i="1"/>
  <c r="F15" i="1"/>
  <c r="E16" i="1"/>
  <c r="F16" i="1"/>
  <c r="E17" i="1"/>
  <c r="F17" i="1"/>
  <c r="G19" i="1"/>
  <c r="H19" i="1"/>
  <c r="I19" i="1"/>
  <c r="D21" i="1"/>
  <c r="E22" i="1"/>
  <c r="F22" i="1"/>
  <c r="E23" i="1"/>
  <c r="F23" i="1"/>
  <c r="E24" i="1"/>
  <c r="F24" i="1"/>
  <c r="E25" i="1"/>
  <c r="F25" i="1"/>
  <c r="E26" i="1"/>
  <c r="F26" i="1"/>
  <c r="G28" i="1"/>
  <c r="H28" i="1"/>
  <c r="I28" i="1"/>
  <c r="D30" i="1"/>
  <c r="E31" i="1"/>
  <c r="F31" i="1"/>
  <c r="E32" i="1"/>
  <c r="F32" i="1"/>
  <c r="E33" i="1"/>
  <c r="F33" i="1"/>
  <c r="E34" i="1"/>
  <c r="F34" i="1"/>
  <c r="G36" i="1"/>
  <c r="H36" i="1"/>
  <c r="I36" i="1"/>
  <c r="D38" i="1"/>
  <c r="E39" i="1"/>
  <c r="F39" i="1"/>
  <c r="E40" i="1"/>
  <c r="F40" i="1"/>
  <c r="E41" i="1"/>
  <c r="F41" i="1"/>
  <c r="G43" i="1"/>
  <c r="H43" i="1"/>
  <c r="I43" i="1"/>
  <c r="D45" i="1"/>
  <c r="E46" i="1"/>
  <c r="F46" i="1"/>
  <c r="G48" i="1"/>
  <c r="H48" i="1"/>
  <c r="I48" i="1"/>
  <c r="D50" i="1"/>
  <c r="E51" i="1"/>
  <c r="F51" i="1"/>
  <c r="E52" i="1"/>
  <c r="F52" i="1"/>
  <c r="G54" i="1"/>
  <c r="H54" i="1"/>
  <c r="I54" i="1"/>
  <c r="D56" i="1"/>
  <c r="E57" i="1"/>
  <c r="F57" i="1"/>
  <c r="E58" i="1"/>
  <c r="F58" i="1"/>
  <c r="G60" i="1"/>
  <c r="H60" i="1"/>
  <c r="I60" i="1"/>
  <c r="D62" i="1"/>
  <c r="E63" i="1"/>
  <c r="F63" i="1"/>
  <c r="E64" i="1"/>
  <c r="F64" i="1"/>
  <c r="G66" i="1"/>
  <c r="H66" i="1"/>
  <c r="I66" i="1"/>
  <c r="D68" i="1"/>
  <c r="E69" i="1"/>
  <c r="F69" i="1"/>
  <c r="E70" i="1"/>
  <c r="F70" i="1"/>
  <c r="E71" i="1"/>
  <c r="F71" i="1"/>
  <c r="E72" i="1"/>
  <c r="F72" i="1"/>
  <c r="E73" i="1"/>
  <c r="F73" i="1"/>
  <c r="E74" i="1"/>
  <c r="F74" i="1"/>
  <c r="E75" i="1"/>
  <c r="F75" i="1"/>
  <c r="E76" i="1"/>
  <c r="F76" i="1"/>
  <c r="E77" i="1"/>
  <c r="F77" i="1"/>
  <c r="E78" i="1"/>
  <c r="F78" i="1"/>
  <c r="E79" i="1"/>
  <c r="F79" i="1"/>
  <c r="E80" i="1"/>
  <c r="F80" i="1"/>
  <c r="E81" i="1"/>
  <c r="F81" i="1"/>
  <c r="E82" i="1"/>
  <c r="F82" i="1"/>
  <c r="E83" i="1"/>
  <c r="F83" i="1"/>
  <c r="E84" i="1"/>
  <c r="F84" i="1"/>
  <c r="E85" i="1"/>
  <c r="F85" i="1"/>
  <c r="E86" i="1"/>
  <c r="F86" i="1"/>
  <c r="E87" i="1"/>
  <c r="F87" i="1"/>
  <c r="E88" i="1"/>
  <c r="F88" i="1"/>
  <c r="E89" i="1"/>
  <c r="F89" i="1"/>
  <c r="E90" i="1"/>
  <c r="F90" i="1"/>
  <c r="E91" i="1"/>
  <c r="F91" i="1"/>
  <c r="E92" i="1"/>
  <c r="F92" i="1"/>
  <c r="E93" i="1"/>
  <c r="F93" i="1"/>
  <c r="E94" i="1"/>
  <c r="F94" i="1"/>
  <c r="E95" i="1"/>
  <c r="F95" i="1"/>
  <c r="E97" i="1"/>
  <c r="G97" i="1"/>
  <c r="H97" i="1"/>
  <c r="I97" i="1"/>
  <c r="D99" i="1"/>
  <c r="E100" i="1"/>
  <c r="F100" i="1"/>
  <c r="E101" i="1"/>
  <c r="F101" i="1"/>
  <c r="G103" i="1"/>
  <c r="H103" i="1"/>
  <c r="I103" i="1"/>
  <c r="D105" i="1"/>
  <c r="E106" i="1"/>
  <c r="F106" i="1"/>
  <c r="E107" i="1"/>
  <c r="F107" i="1"/>
  <c r="G109" i="1"/>
  <c r="H109" i="1"/>
  <c r="I109" i="1"/>
  <c r="D111" i="1"/>
  <c r="E112" i="1"/>
  <c r="F112" i="1"/>
  <c r="G114" i="1"/>
  <c r="H114" i="1"/>
  <c r="I114" i="1"/>
  <c r="D116" i="1"/>
  <c r="E117" i="1"/>
  <c r="F117" i="1"/>
  <c r="E119" i="1"/>
  <c r="G119" i="1"/>
  <c r="H119" i="1"/>
  <c r="I119" i="1"/>
  <c r="D121" i="1"/>
  <c r="E122" i="1"/>
  <c r="F122" i="1"/>
  <c r="E123" i="1"/>
  <c r="F123" i="1"/>
  <c r="E124" i="1"/>
  <c r="F124" i="1"/>
  <c r="G126" i="1"/>
  <c r="H126" i="1"/>
  <c r="I126" i="1"/>
  <c r="D128" i="1"/>
  <c r="E129" i="1"/>
  <c r="F129" i="1"/>
  <c r="E130" i="1"/>
  <c r="F130" i="1"/>
  <c r="G132" i="1"/>
  <c r="H132" i="1"/>
  <c r="I132" i="1"/>
  <c r="D134" i="1"/>
  <c r="E135" i="1"/>
  <c r="F135" i="1"/>
  <c r="E136" i="1"/>
  <c r="F136" i="1"/>
  <c r="E137" i="1"/>
  <c r="F137" i="1"/>
  <c r="G139" i="1"/>
  <c r="H139" i="1"/>
  <c r="I139" i="1"/>
  <c r="D141" i="1"/>
  <c r="C141" i="1" s="1"/>
  <c r="C142" i="1" s="1"/>
  <c r="C143" i="1" s="1"/>
  <c r="C144" i="1" s="1"/>
  <c r="E144" i="1" s="1"/>
  <c r="E142" i="1"/>
  <c r="F142" i="1"/>
  <c r="G144" i="1"/>
  <c r="H144" i="1"/>
  <c r="I144" i="1"/>
  <c r="D146" i="1"/>
  <c r="C146" i="1" s="1"/>
  <c r="C147" i="1" s="1"/>
  <c r="C149" i="1" s="1"/>
  <c r="C150" i="1" s="1"/>
  <c r="E150" i="1" s="1"/>
  <c r="E147" i="1"/>
  <c r="F147" i="1"/>
  <c r="E148" i="1"/>
  <c r="F148" i="1"/>
  <c r="G150" i="1"/>
  <c r="H150" i="1"/>
  <c r="I150" i="1"/>
  <c r="D152" i="1"/>
  <c r="E153" i="1"/>
  <c r="F153" i="1"/>
  <c r="G155" i="1"/>
  <c r="H155" i="1"/>
  <c r="I155" i="1"/>
  <c r="D157" i="1"/>
  <c r="E158" i="1"/>
  <c r="F158" i="1"/>
  <c r="G160" i="1"/>
  <c r="H160" i="1"/>
  <c r="I160" i="1"/>
  <c r="D162" i="1"/>
  <c r="E163" i="1"/>
  <c r="F163" i="1"/>
  <c r="G165" i="1"/>
  <c r="H165" i="1"/>
  <c r="I165" i="1"/>
  <c r="D167" i="1"/>
  <c r="E168" i="1"/>
  <c r="F168" i="1"/>
  <c r="E169" i="1"/>
  <c r="F169" i="1"/>
  <c r="E170" i="1"/>
  <c r="F170" i="1"/>
  <c r="G172" i="1"/>
  <c r="H172" i="1"/>
  <c r="I172" i="1"/>
  <c r="D174" i="1"/>
  <c r="C174" i="1" s="1"/>
  <c r="C175" i="1" s="1"/>
  <c r="E175" i="1"/>
  <c r="F175" i="1"/>
  <c r="E176" i="1"/>
  <c r="F176" i="1"/>
  <c r="G178" i="1"/>
  <c r="H178" i="1"/>
  <c r="I178" i="1"/>
  <c r="D180" i="1"/>
  <c r="E181" i="1"/>
  <c r="F181" i="1"/>
  <c r="G183" i="1"/>
  <c r="H183" i="1"/>
  <c r="I183" i="1"/>
  <c r="D185" i="1"/>
  <c r="E186" i="1"/>
  <c r="F186" i="1"/>
  <c r="E187" i="1"/>
  <c r="F187" i="1"/>
  <c r="E188" i="1"/>
  <c r="F188" i="1"/>
  <c r="E189" i="1"/>
  <c r="F189" i="1"/>
  <c r="E190" i="1"/>
  <c r="F190" i="1"/>
  <c r="G192" i="1"/>
  <c r="H192" i="1"/>
  <c r="I192" i="1"/>
  <c r="D194" i="1"/>
  <c r="E195" i="1"/>
  <c r="F195" i="1"/>
  <c r="E196" i="1"/>
  <c r="F196" i="1"/>
  <c r="E197" i="1"/>
  <c r="F197" i="1"/>
  <c r="E198" i="1"/>
  <c r="F198" i="1"/>
  <c r="G200" i="1"/>
  <c r="H200" i="1"/>
  <c r="I200" i="1"/>
  <c r="D202" i="1"/>
  <c r="E203" i="1"/>
  <c r="F203" i="1"/>
  <c r="E204" i="1"/>
  <c r="F204" i="1"/>
  <c r="G206" i="1"/>
  <c r="H206" i="1"/>
  <c r="I206" i="1"/>
  <c r="D208" i="1"/>
  <c r="E209" i="1"/>
  <c r="F209" i="1"/>
  <c r="G211" i="1"/>
  <c r="H211" i="1"/>
  <c r="I211" i="1"/>
  <c r="D213" i="1"/>
  <c r="E214" i="1"/>
  <c r="F214" i="1"/>
  <c r="C70" i="1"/>
  <c r="C71" i="1" s="1"/>
  <c r="C72" i="1" s="1"/>
  <c r="C73" i="1" s="1"/>
  <c r="C74" i="1" s="1"/>
  <c r="C75" i="1" s="1"/>
  <c r="C76" i="1" s="1"/>
  <c r="C77" i="1" s="1"/>
  <c r="C78" i="1" s="1"/>
  <c r="C79" i="1" s="1"/>
  <c r="C80" i="1" s="1"/>
  <c r="C81" i="1" s="1"/>
  <c r="C82" i="1" s="1"/>
  <c r="C83" i="1" s="1"/>
  <c r="C84" i="1" s="1"/>
  <c r="C85" i="1" s="1"/>
  <c r="C86" i="1" s="1"/>
  <c r="C87" i="1" s="1"/>
  <c r="C88" i="1" s="1"/>
  <c r="C89" i="1" s="1"/>
  <c r="C90" i="1" s="1"/>
  <c r="C91" i="1" s="1"/>
  <c r="C92" i="1" s="1"/>
  <c r="C93" i="1" s="1"/>
  <c r="C94" i="1" s="1"/>
  <c r="C95" i="1" s="1"/>
  <c r="C213" i="1"/>
  <c r="C214" i="1" s="1"/>
  <c r="C215" i="1" s="1"/>
  <c r="C216" i="1" s="1"/>
  <c r="C202" i="1"/>
  <c r="C203" i="1" s="1"/>
  <c r="C205" i="1" s="1"/>
  <c r="C206" i="1" s="1"/>
  <c r="E206" i="1" s="1"/>
  <c r="C194" i="1"/>
  <c r="C195" i="1" s="1"/>
  <c r="C199" i="1" s="1"/>
  <c r="C200" i="1" s="1"/>
  <c r="E200" i="1" s="1"/>
  <c r="C185" i="1"/>
  <c r="C186" i="1" s="1"/>
  <c r="C191" i="1" s="1"/>
  <c r="C192" i="1" s="1"/>
  <c r="E192" i="1" s="1"/>
  <c r="C180" i="1"/>
  <c r="C181" i="1" s="1"/>
  <c r="C182" i="1" s="1"/>
  <c r="C183" i="1" s="1"/>
  <c r="E183" i="1" s="1"/>
  <c r="C167" i="1"/>
  <c r="C168" i="1" s="1"/>
  <c r="C171" i="1" s="1"/>
  <c r="C172" i="1" s="1"/>
  <c r="E172" i="1" s="1"/>
  <c r="C162" i="1"/>
  <c r="C163" i="1" s="1"/>
  <c r="C164" i="1" s="1"/>
  <c r="C165" i="1" s="1"/>
  <c r="E165" i="1" s="1"/>
  <c r="C157" i="1"/>
  <c r="C158" i="1" s="1"/>
  <c r="C159" i="1" s="1"/>
  <c r="C160" i="1" s="1"/>
  <c r="E160" i="1" s="1"/>
  <c r="C152" i="1"/>
  <c r="C153" i="1" s="1"/>
  <c r="C154" i="1" s="1"/>
  <c r="C155" i="1" s="1"/>
  <c r="E155" i="1" s="1"/>
  <c r="C134" i="1"/>
  <c r="C135" i="1" s="1"/>
  <c r="C138" i="1" s="1"/>
  <c r="C139" i="1" s="1"/>
  <c r="E139" i="1" s="1"/>
  <c r="C128" i="1"/>
  <c r="C129" i="1" s="1"/>
  <c r="C131" i="1" s="1"/>
  <c r="C132" i="1" s="1"/>
  <c r="E132" i="1" s="1"/>
  <c r="C121" i="1"/>
  <c r="C122" i="1" s="1"/>
  <c r="C125" i="1" s="1"/>
  <c r="C126" i="1" s="1"/>
  <c r="E126" i="1" s="1"/>
  <c r="C116" i="1"/>
  <c r="C117" i="1" s="1"/>
  <c r="C118" i="1" s="1"/>
  <c r="C119" i="1" s="1"/>
  <c r="C111" i="1"/>
  <c r="C112" i="1" s="1"/>
  <c r="C113" i="1" s="1"/>
  <c r="C114" i="1" s="1"/>
  <c r="E114" i="1" s="1"/>
  <c r="C105" i="1"/>
  <c r="C106" i="1" s="1"/>
  <c r="C108" i="1" s="1"/>
  <c r="C109" i="1" s="1"/>
  <c r="E109" i="1" s="1"/>
  <c r="C99" i="1"/>
  <c r="C100" i="1" s="1"/>
  <c r="C102" i="1" s="1"/>
  <c r="C103" i="1" s="1"/>
  <c r="E103" i="1" s="1"/>
  <c r="C68" i="1"/>
  <c r="C69" i="1" s="1"/>
  <c r="C96" i="1" s="1"/>
  <c r="C97" i="1" s="1"/>
  <c r="C62" i="1"/>
  <c r="C63" i="1" s="1"/>
  <c r="C65" i="1" s="1"/>
  <c r="C66" i="1" s="1"/>
  <c r="E66" i="1" s="1"/>
  <c r="C56" i="1"/>
  <c r="C57" i="1" s="1"/>
  <c r="C59" i="1" s="1"/>
  <c r="C60" i="1" s="1"/>
  <c r="E60" i="1" s="1"/>
  <c r="C50" i="1"/>
  <c r="C51" i="1" s="1"/>
  <c r="C53" i="1" s="1"/>
  <c r="C54" i="1" s="1"/>
  <c r="E54" i="1" s="1"/>
  <c r="C45" i="1"/>
  <c r="C46" i="1" s="1"/>
  <c r="C47" i="1" s="1"/>
  <c r="C48" i="1" s="1"/>
  <c r="E48" i="1" s="1"/>
  <c r="C38" i="1"/>
  <c r="C39" i="1" s="1"/>
  <c r="C42" i="1" s="1"/>
  <c r="C43" i="1" s="1"/>
  <c r="E43" i="1" s="1"/>
  <c r="C30" i="1"/>
  <c r="C31" i="1" s="1"/>
  <c r="C35" i="1" s="1"/>
  <c r="C36" i="1" s="1"/>
  <c r="E36" i="1" s="1"/>
  <c r="C21" i="1"/>
  <c r="C22" i="1" s="1"/>
  <c r="C27" i="1" s="1"/>
  <c r="C28" i="1" s="1"/>
  <c r="E28" i="1" s="1"/>
  <c r="C177" i="1" l="1"/>
  <c r="C178" i="1" s="1"/>
  <c r="E178" i="1" s="1"/>
  <c r="C176" i="1"/>
  <c r="C204" i="1"/>
  <c r="C187" i="1"/>
  <c r="C188" i="1" s="1"/>
  <c r="C189" i="1" s="1"/>
  <c r="C190" i="1" s="1"/>
  <c r="C107" i="1"/>
  <c r="C123" i="1"/>
  <c r="C124" i="1" s="1"/>
  <c r="C101" i="1"/>
  <c r="C32" i="1"/>
  <c r="C33" i="1" s="1"/>
  <c r="C34" i="1" s="1"/>
  <c r="C169" i="1"/>
  <c r="C170" i="1" s="1"/>
  <c r="C130" i="1"/>
  <c r="C40" i="1"/>
  <c r="C41" i="1" s="1"/>
  <c r="C136" i="1"/>
  <c r="C137" i="1" s="1"/>
  <c r="C52" i="1"/>
  <c r="C196" i="1"/>
  <c r="C197" i="1" s="1"/>
  <c r="C198" i="1" s="1"/>
  <c r="C58" i="1"/>
  <c r="C23" i="1"/>
  <c r="C24" i="1" s="1"/>
  <c r="C25" i="1" s="1"/>
  <c r="C26" i="1" s="1"/>
  <c r="C148" i="1"/>
  <c r="C64" i="1"/>
  <c r="C161" i="1"/>
  <c r="C37" i="1"/>
  <c r="C110" i="1"/>
  <c r="C156" i="1"/>
  <c r="C193" i="1"/>
  <c r="C44" i="1"/>
  <c r="C49" i="1"/>
  <c r="C166" i="1"/>
  <c r="C201" i="1"/>
  <c r="C120" i="1"/>
  <c r="C55" i="1"/>
  <c r="C127" i="1"/>
  <c r="C207" i="1"/>
  <c r="C115" i="1"/>
  <c r="C61" i="1"/>
  <c r="C133" i="1"/>
  <c r="C173" i="1"/>
  <c r="E216" i="1"/>
  <c r="C217" i="1"/>
  <c r="C67" i="1"/>
  <c r="C179" i="1"/>
  <c r="C98" i="1"/>
  <c r="C145" i="1"/>
  <c r="C140" i="1"/>
  <c r="C29" i="1"/>
  <c r="C104" i="1"/>
  <c r="C151" i="1"/>
  <c r="C184" i="1"/>
  <c r="C208" i="1"/>
  <c r="C209" i="1" s="1"/>
  <c r="C210" i="1" s="1"/>
  <c r="C211" i="1" s="1"/>
  <c r="E211" i="1" s="1"/>
  <c r="E7" i="2"/>
  <c r="E9" i="1" s="1"/>
  <c r="E6" i="2"/>
  <c r="E8" i="1" s="1"/>
  <c r="E5" i="2"/>
  <c r="E7" i="1" s="1"/>
  <c r="G13" i="1" s="1"/>
  <c r="E4" i="2"/>
  <c r="E6" i="1" s="1"/>
  <c r="C212" i="1" l="1"/>
  <c r="C14" i="1" l="1"/>
  <c r="C15" i="1" s="1"/>
  <c r="I216" i="1"/>
  <c r="H216" i="1"/>
  <c r="G216" i="1"/>
  <c r="C18" i="1" l="1"/>
  <c r="C19" i="1" s="1"/>
  <c r="E19" i="1" s="1"/>
  <c r="C16" i="1"/>
  <c r="C17" i="1" s="1"/>
  <c r="G219" i="1" l="1"/>
  <c r="H219" i="1"/>
  <c r="I219" i="1"/>
  <c r="C20" i="1"/>
  <c r="C218" i="1" s="1"/>
  <c r="C219" i="1" s="1"/>
</calcChain>
</file>

<file path=xl/sharedStrings.xml><?xml version="1.0" encoding="utf-8"?>
<sst xmlns="http://schemas.openxmlformats.org/spreadsheetml/2006/main" count="1438" uniqueCount="857">
  <si>
    <t>Vendor</t>
  </si>
  <si>
    <t>Vendor:</t>
  </si>
  <si>
    <t xml:space="preserve">Report Readme </t>
  </si>
  <si>
    <t>About the report</t>
  </si>
  <si>
    <t>Modifying your report</t>
  </si>
  <si>
    <t>Version of Jet</t>
  </si>
  <si>
    <t>Services</t>
  </si>
  <si>
    <t>Training</t>
  </si>
  <si>
    <t>Sales</t>
  </si>
  <si>
    <t>DISCLAIMER</t>
  </si>
  <si>
    <t>Copyrights</t>
  </si>
  <si>
    <t>Vendor ID</t>
  </si>
  <si>
    <t>Name</t>
  </si>
  <si>
    <t>State</t>
  </si>
  <si>
    <t>Vendor Detail by State</t>
  </si>
  <si>
    <t>YTD</t>
  </si>
  <si>
    <t>Amount Paid</t>
  </si>
  <si>
    <t>Balance</t>
  </si>
  <si>
    <t>hide</t>
  </si>
  <si>
    <t>Hide</t>
  </si>
  <si>
    <t>State:</t>
  </si>
  <si>
    <t>Grand Total</t>
  </si>
  <si>
    <t>Run Date:</t>
  </si>
  <si>
    <t>Option</t>
  </si>
  <si>
    <t>Title</t>
  </si>
  <si>
    <t>Value</t>
  </si>
  <si>
    <t>Lookup</t>
  </si>
  <si>
    <t>Period</t>
  </si>
  <si>
    <t>Year</t>
  </si>
  <si>
    <t>Period:</t>
  </si>
  <si>
    <t>Year:</t>
  </si>
  <si>
    <t>=NL("Lookup","Jet Vendor Period Balance","Period ID")</t>
  </si>
  <si>
    <t>=NL("Lookup","Jet Vendor Period Balance","Year Filter")</t>
  </si>
  <si>
    <t>=NP("Eval","=Today()")</t>
  </si>
  <si>
    <t>="Period "&amp;E7</t>
  </si>
  <si>
    <t>=D14</t>
  </si>
  <si>
    <t>=C14</t>
  </si>
  <si>
    <t>=N(NL(,"Jet Vendor Period Balance","Period Balance","Vendor Number","@@"&amp;$E15,"Period ID",$E$7,"Year Filter",$E$8))-N(NL(,"Jet Vendor Period Balance","Period Balance","Vendor Number","@@"&amp;$E15,"Period ID",$E$7-1,"Year Filter",$E$8))</t>
  </si>
  <si>
    <t>=N(NL(,"Jet Vendor Period Balance","Period Balance","Vendor Number","@@"&amp;$E15,"Period ID",$E$7,"Year Filter",$E$8))-N(NL(,"Jet Vendor Period Balance","Period Balance","Vendor Number","@@"&amp;$E15,"Period ID",0,"Year Filter",$E$8))</t>
  </si>
  <si>
    <t>=N(NL(,"Jet Vendor Period Balance","Period Balance","Vendor Number","@@"&amp;$E15,"Period ID",$E$7,"Year Filter",$E$8))</t>
  </si>
  <si>
    <t>=C15</t>
  </si>
  <si>
    <t>=C16</t>
  </si>
  <si>
    <t>="Total for "&amp;C17</t>
  </si>
  <si>
    <t>=SUBTOTAL(9,G15:G16)</t>
  </si>
  <si>
    <t>=SUBTOTAL(9,H15:H16)</t>
  </si>
  <si>
    <t>=SUBTOTAL(9,I15:I16)</t>
  </si>
  <si>
    <t>=C17</t>
  </si>
  <si>
    <t>=C18</t>
  </si>
  <si>
    <t>=C19</t>
  </si>
  <si>
    <t>=SUBTOTAL(9,G15:G19)</t>
  </si>
  <si>
    <t>=SUBTOTAL(9,H15:H19)</t>
  </si>
  <si>
    <t>=SUBTOTAL(9,I15:I19)</t>
  </si>
  <si>
    <t>Auto</t>
  </si>
  <si>
    <t>=N(NL(,"Jet Vendor Period Balance","Period Balance","Vendor Number","@@"&amp;$E16,"Period ID",$E$7,"Year Filter",$E$8))-N(NL(,"Jet Vendor Period Balance","Period Balance","Vendor Number","@@"&amp;$E16,"Period ID",$E$7-1,"Year Filter",$E$8))</t>
  </si>
  <si>
    <t>=N(NL(,"Jet Vendor Period Balance","Period Balance","Vendor Number","@@"&amp;$E16,"Period ID",$E$7,"Year Filter",$E$8))-N(NL(,"Jet Vendor Period Balance","Period Balance","Vendor Number","@@"&amp;$E16,"Period ID",0,"Year Filter",$E$8))</t>
  </si>
  <si>
    <t>=N(NL(,"Jet Vendor Period Balance","Period Balance","Vendor Number","@@"&amp;$E16,"Period ID",$E$7,"Year Filter",$E$8))</t>
  </si>
  <si>
    <t>=N(NL(,"Jet Vendor Period Balance","Period Balance","Vendor Number","@@"&amp;$E17,"Period ID",$E$7,"Year Filter",$E$8))-N(NL(,"Jet Vendor Period Balance","Period Balance","Vendor Number","@@"&amp;$E17,"Period ID",$E$7-1,"Year Filter",$E$8))</t>
  </si>
  <si>
    <t>=N(NL(,"Jet Vendor Period Balance","Period Balance","Vendor Number","@@"&amp;$E17,"Period ID",$E$7,"Year Filter",$E$8))-N(NL(,"Jet Vendor Period Balance","Period Balance","Vendor Number","@@"&amp;$E17,"Period ID",0,"Year Filter",$E$8))</t>
  </si>
  <si>
    <t>=N(NL(,"Jet Vendor Period Balance","Period Balance","Vendor Number","@@"&amp;$E17,"Period ID",$E$7,"Year Filter",$E$8))</t>
  </si>
  <si>
    <t>=C20</t>
  </si>
  <si>
    <t>=C21</t>
  </si>
  <si>
    <t>=C23</t>
  </si>
  <si>
    <t>=N(NL(,"Jet Vendor Period Balance","Period Balance","Vendor Number","@@"&amp;$E24,"Period ID",$E$7,"Year Filter",$E$8))-N(NL(,"Jet Vendor Period Balance","Period Balance","Vendor Number","@@"&amp;$E24,"Period ID",$E$7-1,"Year Filter",$E$8))</t>
  </si>
  <si>
    <t>=N(NL(,"Jet Vendor Period Balance","Period Balance","Vendor Number","@@"&amp;$E24,"Period ID",$E$7,"Year Filter",$E$8))-N(NL(,"Jet Vendor Period Balance","Period Balance","Vendor Number","@@"&amp;$E24,"Period ID",0,"Year Filter",$E$8))</t>
  </si>
  <si>
    <t>=N(NL(,"Jet Vendor Period Balance","Period Balance","Vendor Number","@@"&amp;$E24,"Period ID",$E$7,"Year Filter",$E$8))</t>
  </si>
  <si>
    <t>=C24</t>
  </si>
  <si>
    <t>=N(NL(,"Jet Vendor Period Balance","Period Balance","Vendor Number","@@"&amp;$E25,"Period ID",$E$7,"Year Filter",$E$8))-N(NL(,"Jet Vendor Period Balance","Period Balance","Vendor Number","@@"&amp;$E25,"Period ID",$E$7-1,"Year Filter",$E$8))</t>
  </si>
  <si>
    <t>=N(NL(,"Jet Vendor Period Balance","Period Balance","Vendor Number","@@"&amp;$E25,"Period ID",$E$7,"Year Filter",$E$8))-N(NL(,"Jet Vendor Period Balance","Period Balance","Vendor Number","@@"&amp;$E25,"Period ID",0,"Year Filter",$E$8))</t>
  </si>
  <si>
    <t>=N(NL(,"Jet Vendor Period Balance","Period Balance","Vendor Number","@@"&amp;$E25,"Period ID",$E$7,"Year Filter",$E$8))</t>
  </si>
  <si>
    <t>=C25</t>
  </si>
  <si>
    <t>=N(NL(,"Jet Vendor Period Balance","Period Balance","Vendor Number","@@"&amp;$E26,"Period ID",$E$7,"Year Filter",$E$8))-N(NL(,"Jet Vendor Period Balance","Period Balance","Vendor Number","@@"&amp;$E26,"Period ID",$E$7-1,"Year Filter",$E$8))</t>
  </si>
  <si>
    <t>=N(NL(,"Jet Vendor Period Balance","Period Balance","Vendor Number","@@"&amp;$E26,"Period ID",$E$7,"Year Filter",$E$8))-N(NL(,"Jet Vendor Period Balance","Period Balance","Vendor Number","@@"&amp;$E26,"Period ID",0,"Year Filter",$E$8))</t>
  </si>
  <si>
    <t>=N(NL(,"Jet Vendor Period Balance","Period Balance","Vendor Number","@@"&amp;$E26,"Period ID",$E$7,"Year Filter",$E$8))</t>
  </si>
  <si>
    <t>=C28</t>
  </si>
  <si>
    <t>=C31</t>
  </si>
  <si>
    <t>=N(NL(,"Jet Vendor Period Balance","Period Balance","Vendor Number","@@"&amp;$E32,"Period ID",$E$7,"Year Filter",$E$8))-N(NL(,"Jet Vendor Period Balance","Period Balance","Vendor Number","@@"&amp;$E32,"Period ID",$E$7-1,"Year Filter",$E$8))</t>
  </si>
  <si>
    <t>=N(NL(,"Jet Vendor Period Balance","Period Balance","Vendor Number","@@"&amp;$E32,"Period ID",$E$7,"Year Filter",$E$8))-N(NL(,"Jet Vendor Period Balance","Period Balance","Vendor Number","@@"&amp;$E32,"Period ID",0,"Year Filter",$E$8))</t>
  </si>
  <si>
    <t>=N(NL(,"Jet Vendor Period Balance","Period Balance","Vendor Number","@@"&amp;$E32,"Period ID",$E$7,"Year Filter",$E$8))</t>
  </si>
  <si>
    <t>=C32</t>
  </si>
  <si>
    <t>=N(NL(,"Jet Vendor Period Balance","Period Balance","Vendor Number","@@"&amp;$E33,"Period ID",$E$7,"Year Filter",$E$8))-N(NL(,"Jet Vendor Period Balance","Period Balance","Vendor Number","@@"&amp;$E33,"Period ID",$E$7-1,"Year Filter",$E$8))</t>
  </si>
  <si>
    <t>=N(NL(,"Jet Vendor Period Balance","Period Balance","Vendor Number","@@"&amp;$E33,"Period ID",$E$7,"Year Filter",$E$8))-N(NL(,"Jet Vendor Period Balance","Period Balance","Vendor Number","@@"&amp;$E33,"Period ID",0,"Year Filter",$E$8))</t>
  </si>
  <si>
    <t>=N(NL(,"Jet Vendor Period Balance","Period Balance","Vendor Number","@@"&amp;$E33,"Period ID",$E$7,"Year Filter",$E$8))</t>
  </si>
  <si>
    <t>=C33</t>
  </si>
  <si>
    <t>=N(NL(,"Jet Vendor Period Balance","Period Balance","Vendor Number","@@"&amp;$E34,"Period ID",$E$7,"Year Filter",$E$8))-N(NL(,"Jet Vendor Period Balance","Period Balance","Vendor Number","@@"&amp;$E34,"Period ID",$E$7-1,"Year Filter",$E$8))</t>
  </si>
  <si>
    <t>=N(NL(,"Jet Vendor Period Balance","Period Balance","Vendor Number","@@"&amp;$E34,"Period ID",$E$7,"Year Filter",$E$8))-N(NL(,"Jet Vendor Period Balance","Period Balance","Vendor Number","@@"&amp;$E34,"Period ID",0,"Year Filter",$E$8))</t>
  </si>
  <si>
    <t>=N(NL(,"Jet Vendor Period Balance","Period Balance","Vendor Number","@@"&amp;$E34,"Period ID",$E$7,"Year Filter",$E$8))</t>
  </si>
  <si>
    <t>=C35</t>
  </si>
  <si>
    <t>="Total for "&amp;C36</t>
  </si>
  <si>
    <t>=C36</t>
  </si>
  <si>
    <t>=D38</t>
  </si>
  <si>
    <t>=C38</t>
  </si>
  <si>
    <t>=N(NL(,"Jet Vendor Period Balance","Period Balance","Vendor Number","@@"&amp;$E39,"Period ID",$E$7,"Year Filter",$E$8))-N(NL(,"Jet Vendor Period Balance","Period Balance","Vendor Number","@@"&amp;$E39,"Period ID",$E$7-1,"Year Filter",$E$8))</t>
  </si>
  <si>
    <t>=N(NL(,"Jet Vendor Period Balance","Period Balance","Vendor Number","@@"&amp;$E39,"Period ID",$E$7,"Year Filter",$E$8))-N(NL(,"Jet Vendor Period Balance","Period Balance","Vendor Number","@@"&amp;$E39,"Period ID",0,"Year Filter",$E$8))</t>
  </si>
  <si>
    <t>=N(NL(,"Jet Vendor Period Balance","Period Balance","Vendor Number","@@"&amp;$E39,"Period ID",$E$7,"Year Filter",$E$8))</t>
  </si>
  <si>
    <t>=C39</t>
  </si>
  <si>
    <t>=C40</t>
  </si>
  <si>
    <t>=C43</t>
  </si>
  <si>
    <t>=C46</t>
  </si>
  <si>
    <t>=C47</t>
  </si>
  <si>
    <t>=C50</t>
  </si>
  <si>
    <t>=N(NL(,"Jet Vendor Period Balance","Period Balance","Vendor Number","@@"&amp;$E51,"Period ID",$E$7,"Year Filter",$E$8))-N(NL(,"Jet Vendor Period Balance","Period Balance","Vendor Number","@@"&amp;$E51,"Period ID",$E$7-1,"Year Filter",$E$8))</t>
  </si>
  <si>
    <t>=N(NL(,"Jet Vendor Period Balance","Period Balance","Vendor Number","@@"&amp;$E51,"Period ID",$E$7,"Year Filter",$E$8))-N(NL(,"Jet Vendor Period Balance","Period Balance","Vendor Number","@@"&amp;$E51,"Period ID",0,"Year Filter",$E$8))</t>
  </si>
  <si>
    <t>=N(NL(,"Jet Vendor Period Balance","Period Balance","Vendor Number","@@"&amp;$E51,"Period ID",$E$7,"Year Filter",$E$8))</t>
  </si>
  <si>
    <t>=C53</t>
  </si>
  <si>
    <t>=C56</t>
  </si>
  <si>
    <t>=N(NL(,"Jet Vendor Period Balance","Period Balance","Vendor Number","@@"&amp;$E57,"Period ID",$E$7,"Year Filter",$E$8))-N(NL(,"Jet Vendor Period Balance","Period Balance","Vendor Number","@@"&amp;$E57,"Period ID",$E$7-1,"Year Filter",$E$8))</t>
  </si>
  <si>
    <t>=N(NL(,"Jet Vendor Period Balance","Period Balance","Vendor Number","@@"&amp;$E57,"Period ID",$E$7,"Year Filter",$E$8))-N(NL(,"Jet Vendor Period Balance","Period Balance","Vendor Number","@@"&amp;$E57,"Period ID",0,"Year Filter",$E$8))</t>
  </si>
  <si>
    <t>=N(NL(,"Jet Vendor Period Balance","Period Balance","Vendor Number","@@"&amp;$E57,"Period ID",$E$7,"Year Filter",$E$8))</t>
  </si>
  <si>
    <t>=C59</t>
  </si>
  <si>
    <t>=C62</t>
  </si>
  <si>
    <t>=N(NL(,"Jet Vendor Period Balance","Period Balance","Vendor Number","@@"&amp;$E63,"Period ID",$E$7,"Year Filter",$E$8))-N(NL(,"Jet Vendor Period Balance","Period Balance","Vendor Number","@@"&amp;$E63,"Period ID",$E$7-1,"Year Filter",$E$8))</t>
  </si>
  <si>
    <t>=N(NL(,"Jet Vendor Period Balance","Period Balance","Vendor Number","@@"&amp;$E63,"Period ID",$E$7,"Year Filter",$E$8))-N(NL(,"Jet Vendor Period Balance","Period Balance","Vendor Number","@@"&amp;$E63,"Period ID",0,"Year Filter",$E$8))</t>
  </si>
  <si>
    <t>=N(NL(,"Jet Vendor Period Balance","Period Balance","Vendor Number","@@"&amp;$E63,"Period ID",$E$7,"Year Filter",$E$8))</t>
  </si>
  <si>
    <t>=C63</t>
  </si>
  <si>
    <t>=N(NL(,"Jet Vendor Period Balance","Period Balance","Vendor Number","@@"&amp;$E64,"Period ID",$E$7,"Year Filter",$E$8))-N(NL(,"Jet Vendor Period Balance","Period Balance","Vendor Number","@@"&amp;$E64,"Period ID",$E$7-1,"Year Filter",$E$8))</t>
  </si>
  <si>
    <t>=N(NL(,"Jet Vendor Period Balance","Period Balance","Vendor Number","@@"&amp;$E64,"Period ID",$E$7,"Year Filter",$E$8))-N(NL(,"Jet Vendor Period Balance","Period Balance","Vendor Number","@@"&amp;$E64,"Period ID",0,"Year Filter",$E$8))</t>
  </si>
  <si>
    <t>=N(NL(,"Jet Vendor Period Balance","Period Balance","Vendor Number","@@"&amp;$E64,"Period ID",$E$7,"Year Filter",$E$8))</t>
  </si>
  <si>
    <t>=C65</t>
  </si>
  <si>
    <t>=C66</t>
  </si>
  <si>
    <t>=C68</t>
  </si>
  <si>
    <t>=N(NL(,"Jet Vendor Period Balance","Period Balance","Vendor Number","@@"&amp;$E69,"Period ID",$E$7,"Year Filter",$E$8))-N(NL(,"Jet Vendor Period Balance","Period Balance","Vendor Number","@@"&amp;$E69,"Period ID",$E$7-1,"Year Filter",$E$8))</t>
  </si>
  <si>
    <t>=N(NL(,"Jet Vendor Period Balance","Period Balance","Vendor Number","@@"&amp;$E69,"Period ID",$E$7,"Year Filter",$E$8))-N(NL(,"Jet Vendor Period Balance","Period Balance","Vendor Number","@@"&amp;$E69,"Period ID",0,"Year Filter",$E$8))</t>
  </si>
  <si>
    <t>=N(NL(,"Jet Vendor Period Balance","Period Balance","Vendor Number","@@"&amp;$E69,"Period ID",$E$7,"Year Filter",$E$8))</t>
  </si>
  <si>
    <t>=C69</t>
  </si>
  <si>
    <t>=N(NL(,"Jet Vendor Period Balance","Period Balance","Vendor Number","@@"&amp;$E70,"Period ID",$E$7,"Year Filter",$E$8))-N(NL(,"Jet Vendor Period Balance","Period Balance","Vendor Number","@@"&amp;$E70,"Period ID",$E$7-1,"Year Filter",$E$8))</t>
  </si>
  <si>
    <t>=N(NL(,"Jet Vendor Period Balance","Period Balance","Vendor Number","@@"&amp;$E70,"Period ID",$E$7,"Year Filter",$E$8))-N(NL(,"Jet Vendor Period Balance","Period Balance","Vendor Number","@@"&amp;$E70,"Period ID",0,"Year Filter",$E$8))</t>
  </si>
  <si>
    <t>=N(NL(,"Jet Vendor Period Balance","Period Balance","Vendor Number","@@"&amp;$E70,"Period ID",$E$7,"Year Filter",$E$8))</t>
  </si>
  <si>
    <t>=C70</t>
  </si>
  <si>
    <t>=N(NL(,"Jet Vendor Period Balance","Period Balance","Vendor Number","@@"&amp;$E71,"Period ID",$E$7,"Year Filter",$E$8))-N(NL(,"Jet Vendor Period Balance","Period Balance","Vendor Number","@@"&amp;$E71,"Period ID",$E$7-1,"Year Filter",$E$8))</t>
  </si>
  <si>
    <t>=N(NL(,"Jet Vendor Period Balance","Period Balance","Vendor Number","@@"&amp;$E71,"Period ID",$E$7,"Year Filter",$E$8))-N(NL(,"Jet Vendor Period Balance","Period Balance","Vendor Number","@@"&amp;$E71,"Period ID",0,"Year Filter",$E$8))</t>
  </si>
  <si>
    <t>=N(NL(,"Jet Vendor Period Balance","Period Balance","Vendor Number","@@"&amp;$E71,"Period ID",$E$7,"Year Filter",$E$8))</t>
  </si>
  <si>
    <t>=C71</t>
  </si>
  <si>
    <t>=N(NL(,"Jet Vendor Period Balance","Period Balance","Vendor Number","@@"&amp;$E72,"Period ID",$E$7,"Year Filter",$E$8))-N(NL(,"Jet Vendor Period Balance","Period Balance","Vendor Number","@@"&amp;$E72,"Period ID",$E$7-1,"Year Filter",$E$8))</t>
  </si>
  <si>
    <t>=N(NL(,"Jet Vendor Period Balance","Period Balance","Vendor Number","@@"&amp;$E72,"Period ID",$E$7,"Year Filter",$E$8))-N(NL(,"Jet Vendor Period Balance","Period Balance","Vendor Number","@@"&amp;$E72,"Period ID",0,"Year Filter",$E$8))</t>
  </si>
  <si>
    <t>=N(NL(,"Jet Vendor Period Balance","Period Balance","Vendor Number","@@"&amp;$E72,"Period ID",$E$7,"Year Filter",$E$8))</t>
  </si>
  <si>
    <t>=C72</t>
  </si>
  <si>
    <t>=N(NL(,"Jet Vendor Period Balance","Period Balance","Vendor Number","@@"&amp;$E73,"Period ID",$E$7,"Year Filter",$E$8))-N(NL(,"Jet Vendor Period Balance","Period Balance","Vendor Number","@@"&amp;$E73,"Period ID",$E$7-1,"Year Filter",$E$8))</t>
  </si>
  <si>
    <t>=N(NL(,"Jet Vendor Period Balance","Period Balance","Vendor Number","@@"&amp;$E73,"Period ID",$E$7,"Year Filter",$E$8))-N(NL(,"Jet Vendor Period Balance","Period Balance","Vendor Number","@@"&amp;$E73,"Period ID",0,"Year Filter",$E$8))</t>
  </si>
  <si>
    <t>=N(NL(,"Jet Vendor Period Balance","Period Balance","Vendor Number","@@"&amp;$E73,"Period ID",$E$7,"Year Filter",$E$8))</t>
  </si>
  <si>
    <t>=C73</t>
  </si>
  <si>
    <t>=N(NL(,"Jet Vendor Period Balance","Period Balance","Vendor Number","@@"&amp;$E74,"Period ID",$E$7,"Year Filter",$E$8))-N(NL(,"Jet Vendor Period Balance","Period Balance","Vendor Number","@@"&amp;$E74,"Period ID",$E$7-1,"Year Filter",$E$8))</t>
  </si>
  <si>
    <t>=N(NL(,"Jet Vendor Period Balance","Period Balance","Vendor Number","@@"&amp;$E74,"Period ID",$E$7,"Year Filter",$E$8))-N(NL(,"Jet Vendor Period Balance","Period Balance","Vendor Number","@@"&amp;$E74,"Period ID",0,"Year Filter",$E$8))</t>
  </si>
  <si>
    <t>=N(NL(,"Jet Vendor Period Balance","Period Balance","Vendor Number","@@"&amp;$E74,"Period ID",$E$7,"Year Filter",$E$8))</t>
  </si>
  <si>
    <t>=C74</t>
  </si>
  <si>
    <t>=N(NL(,"Jet Vendor Period Balance","Period Balance","Vendor Number","@@"&amp;$E75,"Period ID",$E$7,"Year Filter",$E$8))-N(NL(,"Jet Vendor Period Balance","Period Balance","Vendor Number","@@"&amp;$E75,"Period ID",$E$7-1,"Year Filter",$E$8))</t>
  </si>
  <si>
    <t>=N(NL(,"Jet Vendor Period Balance","Period Balance","Vendor Number","@@"&amp;$E75,"Period ID",$E$7,"Year Filter",$E$8))-N(NL(,"Jet Vendor Period Balance","Period Balance","Vendor Number","@@"&amp;$E75,"Period ID",0,"Year Filter",$E$8))</t>
  </si>
  <si>
    <t>=N(NL(,"Jet Vendor Period Balance","Period Balance","Vendor Number","@@"&amp;$E75,"Period ID",$E$7,"Year Filter",$E$8))</t>
  </si>
  <si>
    <t>=C75</t>
  </si>
  <si>
    <t>=N(NL(,"Jet Vendor Period Balance","Period Balance","Vendor Number","@@"&amp;$E76,"Period ID",$E$7,"Year Filter",$E$8))-N(NL(,"Jet Vendor Period Balance","Period Balance","Vendor Number","@@"&amp;$E76,"Period ID",$E$7-1,"Year Filter",$E$8))</t>
  </si>
  <si>
    <t>=N(NL(,"Jet Vendor Period Balance","Period Balance","Vendor Number","@@"&amp;$E76,"Period ID",$E$7,"Year Filter",$E$8))-N(NL(,"Jet Vendor Period Balance","Period Balance","Vendor Number","@@"&amp;$E76,"Period ID",0,"Year Filter",$E$8))</t>
  </si>
  <si>
    <t>=N(NL(,"Jet Vendor Period Balance","Period Balance","Vendor Number","@@"&amp;$E76,"Period ID",$E$7,"Year Filter",$E$8))</t>
  </si>
  <si>
    <t>=C76</t>
  </si>
  <si>
    <t>=N(NL(,"Jet Vendor Period Balance","Period Balance","Vendor Number","@@"&amp;$E77,"Period ID",$E$7,"Year Filter",$E$8))-N(NL(,"Jet Vendor Period Balance","Period Balance","Vendor Number","@@"&amp;$E77,"Period ID",$E$7-1,"Year Filter",$E$8))</t>
  </si>
  <si>
    <t>=N(NL(,"Jet Vendor Period Balance","Period Balance","Vendor Number","@@"&amp;$E77,"Period ID",$E$7,"Year Filter",$E$8))-N(NL(,"Jet Vendor Period Balance","Period Balance","Vendor Number","@@"&amp;$E77,"Period ID",0,"Year Filter",$E$8))</t>
  </si>
  <si>
    <t>=N(NL(,"Jet Vendor Period Balance","Period Balance","Vendor Number","@@"&amp;$E77,"Period ID",$E$7,"Year Filter",$E$8))</t>
  </si>
  <si>
    <t>=C77</t>
  </si>
  <si>
    <t>=N(NL(,"Jet Vendor Period Balance","Period Balance","Vendor Number","@@"&amp;$E78,"Period ID",$E$7,"Year Filter",$E$8))-N(NL(,"Jet Vendor Period Balance","Period Balance","Vendor Number","@@"&amp;$E78,"Period ID",$E$7-1,"Year Filter",$E$8))</t>
  </si>
  <si>
    <t>=N(NL(,"Jet Vendor Period Balance","Period Balance","Vendor Number","@@"&amp;$E78,"Period ID",$E$7,"Year Filter",$E$8))-N(NL(,"Jet Vendor Period Balance","Period Balance","Vendor Number","@@"&amp;$E78,"Period ID",0,"Year Filter",$E$8))</t>
  </si>
  <si>
    <t>=N(NL(,"Jet Vendor Period Balance","Period Balance","Vendor Number","@@"&amp;$E78,"Period ID",$E$7,"Year Filter",$E$8))</t>
  </si>
  <si>
    <t>=C78</t>
  </si>
  <si>
    <t>=N(NL(,"Jet Vendor Period Balance","Period Balance","Vendor Number","@@"&amp;$E79,"Period ID",$E$7,"Year Filter",$E$8))-N(NL(,"Jet Vendor Period Balance","Period Balance","Vendor Number","@@"&amp;$E79,"Period ID",$E$7-1,"Year Filter",$E$8))</t>
  </si>
  <si>
    <t>=N(NL(,"Jet Vendor Period Balance","Period Balance","Vendor Number","@@"&amp;$E79,"Period ID",$E$7,"Year Filter",$E$8))-N(NL(,"Jet Vendor Period Balance","Period Balance","Vendor Number","@@"&amp;$E79,"Period ID",0,"Year Filter",$E$8))</t>
  </si>
  <si>
    <t>=N(NL(,"Jet Vendor Period Balance","Period Balance","Vendor Number","@@"&amp;$E79,"Period ID",$E$7,"Year Filter",$E$8))</t>
  </si>
  <si>
    <t>=C79</t>
  </si>
  <si>
    <t>=N(NL(,"Jet Vendor Period Balance","Period Balance","Vendor Number","@@"&amp;$E80,"Period ID",$E$7,"Year Filter",$E$8))-N(NL(,"Jet Vendor Period Balance","Period Balance","Vendor Number","@@"&amp;$E80,"Period ID",$E$7-1,"Year Filter",$E$8))</t>
  </si>
  <si>
    <t>=N(NL(,"Jet Vendor Period Balance","Period Balance","Vendor Number","@@"&amp;$E80,"Period ID",$E$7,"Year Filter",$E$8))-N(NL(,"Jet Vendor Period Balance","Period Balance","Vendor Number","@@"&amp;$E80,"Period ID",0,"Year Filter",$E$8))</t>
  </si>
  <si>
    <t>=N(NL(,"Jet Vendor Period Balance","Period Balance","Vendor Number","@@"&amp;$E80,"Period ID",$E$7,"Year Filter",$E$8))</t>
  </si>
  <si>
    <t>=C80</t>
  </si>
  <si>
    <t>=N(NL(,"Jet Vendor Period Balance","Period Balance","Vendor Number","@@"&amp;$E81,"Period ID",$E$7,"Year Filter",$E$8))-N(NL(,"Jet Vendor Period Balance","Period Balance","Vendor Number","@@"&amp;$E81,"Period ID",$E$7-1,"Year Filter",$E$8))</t>
  </si>
  <si>
    <t>=N(NL(,"Jet Vendor Period Balance","Period Balance","Vendor Number","@@"&amp;$E81,"Period ID",$E$7,"Year Filter",$E$8))-N(NL(,"Jet Vendor Period Balance","Period Balance","Vendor Number","@@"&amp;$E81,"Period ID",0,"Year Filter",$E$8))</t>
  </si>
  <si>
    <t>=N(NL(,"Jet Vendor Period Balance","Period Balance","Vendor Number","@@"&amp;$E81,"Period ID",$E$7,"Year Filter",$E$8))</t>
  </si>
  <si>
    <t>=C81</t>
  </si>
  <si>
    <t>=N(NL(,"Jet Vendor Period Balance","Period Balance","Vendor Number","@@"&amp;$E82,"Period ID",$E$7,"Year Filter",$E$8))-N(NL(,"Jet Vendor Period Balance","Period Balance","Vendor Number","@@"&amp;$E82,"Period ID",$E$7-1,"Year Filter",$E$8))</t>
  </si>
  <si>
    <t>=N(NL(,"Jet Vendor Period Balance","Period Balance","Vendor Number","@@"&amp;$E82,"Period ID",$E$7,"Year Filter",$E$8))-N(NL(,"Jet Vendor Period Balance","Period Balance","Vendor Number","@@"&amp;$E82,"Period ID",0,"Year Filter",$E$8))</t>
  </si>
  <si>
    <t>=N(NL(,"Jet Vendor Period Balance","Period Balance","Vendor Number","@@"&amp;$E82,"Period ID",$E$7,"Year Filter",$E$8))</t>
  </si>
  <si>
    <t>=C82</t>
  </si>
  <si>
    <t>=N(NL(,"Jet Vendor Period Balance","Period Balance","Vendor Number","@@"&amp;$E83,"Period ID",$E$7,"Year Filter",$E$8))-N(NL(,"Jet Vendor Period Balance","Period Balance","Vendor Number","@@"&amp;$E83,"Period ID",$E$7-1,"Year Filter",$E$8))</t>
  </si>
  <si>
    <t>=N(NL(,"Jet Vendor Period Balance","Period Balance","Vendor Number","@@"&amp;$E83,"Period ID",$E$7,"Year Filter",$E$8))-N(NL(,"Jet Vendor Period Balance","Period Balance","Vendor Number","@@"&amp;$E83,"Period ID",0,"Year Filter",$E$8))</t>
  </si>
  <si>
    <t>=N(NL(,"Jet Vendor Period Balance","Period Balance","Vendor Number","@@"&amp;$E83,"Period ID",$E$7,"Year Filter",$E$8))</t>
  </si>
  <si>
    <t>=C83</t>
  </si>
  <si>
    <t>=N(NL(,"Jet Vendor Period Balance","Period Balance","Vendor Number","@@"&amp;$E84,"Period ID",$E$7,"Year Filter",$E$8))-N(NL(,"Jet Vendor Period Balance","Period Balance","Vendor Number","@@"&amp;$E84,"Period ID",$E$7-1,"Year Filter",$E$8))</t>
  </si>
  <si>
    <t>=N(NL(,"Jet Vendor Period Balance","Period Balance","Vendor Number","@@"&amp;$E84,"Period ID",$E$7,"Year Filter",$E$8))-N(NL(,"Jet Vendor Period Balance","Period Balance","Vendor Number","@@"&amp;$E84,"Period ID",0,"Year Filter",$E$8))</t>
  </si>
  <si>
    <t>=N(NL(,"Jet Vendor Period Balance","Period Balance","Vendor Number","@@"&amp;$E84,"Period ID",$E$7,"Year Filter",$E$8))</t>
  </si>
  <si>
    <t>=C84</t>
  </si>
  <si>
    <t>=N(NL(,"Jet Vendor Period Balance","Period Balance","Vendor Number","@@"&amp;$E85,"Period ID",$E$7,"Year Filter",$E$8))-N(NL(,"Jet Vendor Period Balance","Period Balance","Vendor Number","@@"&amp;$E85,"Period ID",$E$7-1,"Year Filter",$E$8))</t>
  </si>
  <si>
    <t>=N(NL(,"Jet Vendor Period Balance","Period Balance","Vendor Number","@@"&amp;$E85,"Period ID",$E$7,"Year Filter",$E$8))-N(NL(,"Jet Vendor Period Balance","Period Balance","Vendor Number","@@"&amp;$E85,"Period ID",0,"Year Filter",$E$8))</t>
  </si>
  <si>
    <t>=N(NL(,"Jet Vendor Period Balance","Period Balance","Vendor Number","@@"&amp;$E85,"Period ID",$E$7,"Year Filter",$E$8))</t>
  </si>
  <si>
    <t>=C85</t>
  </si>
  <si>
    <t>=N(NL(,"Jet Vendor Period Balance","Period Balance","Vendor Number","@@"&amp;$E86,"Period ID",$E$7,"Year Filter",$E$8))-N(NL(,"Jet Vendor Period Balance","Period Balance","Vendor Number","@@"&amp;$E86,"Period ID",$E$7-1,"Year Filter",$E$8))</t>
  </si>
  <si>
    <t>=N(NL(,"Jet Vendor Period Balance","Period Balance","Vendor Number","@@"&amp;$E86,"Period ID",$E$7,"Year Filter",$E$8))-N(NL(,"Jet Vendor Period Balance","Period Balance","Vendor Number","@@"&amp;$E86,"Period ID",0,"Year Filter",$E$8))</t>
  </si>
  <si>
    <t>=N(NL(,"Jet Vendor Period Balance","Period Balance","Vendor Number","@@"&amp;$E86,"Period ID",$E$7,"Year Filter",$E$8))</t>
  </si>
  <si>
    <t>=C86</t>
  </si>
  <si>
    <t>=N(NL(,"Jet Vendor Period Balance","Period Balance","Vendor Number","@@"&amp;$E87,"Period ID",$E$7,"Year Filter",$E$8))-N(NL(,"Jet Vendor Period Balance","Period Balance","Vendor Number","@@"&amp;$E87,"Period ID",$E$7-1,"Year Filter",$E$8))</t>
  </si>
  <si>
    <t>=N(NL(,"Jet Vendor Period Balance","Period Balance","Vendor Number","@@"&amp;$E87,"Period ID",$E$7,"Year Filter",$E$8))-N(NL(,"Jet Vendor Period Balance","Period Balance","Vendor Number","@@"&amp;$E87,"Period ID",0,"Year Filter",$E$8))</t>
  </si>
  <si>
    <t>=N(NL(,"Jet Vendor Period Balance","Period Balance","Vendor Number","@@"&amp;$E87,"Period ID",$E$7,"Year Filter",$E$8))</t>
  </si>
  <si>
    <t>=C87</t>
  </si>
  <si>
    <t>=N(NL(,"Jet Vendor Period Balance","Period Balance","Vendor Number","@@"&amp;$E88,"Period ID",$E$7,"Year Filter",$E$8))-N(NL(,"Jet Vendor Period Balance","Period Balance","Vendor Number","@@"&amp;$E88,"Period ID",$E$7-1,"Year Filter",$E$8))</t>
  </si>
  <si>
    <t>=N(NL(,"Jet Vendor Period Balance","Period Balance","Vendor Number","@@"&amp;$E88,"Period ID",$E$7,"Year Filter",$E$8))-N(NL(,"Jet Vendor Period Balance","Period Balance","Vendor Number","@@"&amp;$E88,"Period ID",0,"Year Filter",$E$8))</t>
  </si>
  <si>
    <t>=N(NL(,"Jet Vendor Period Balance","Period Balance","Vendor Number","@@"&amp;$E88,"Period ID",$E$7,"Year Filter",$E$8))</t>
  </si>
  <si>
    <t>=C89</t>
  </si>
  <si>
    <t>=C90</t>
  </si>
  <si>
    <t>=C92</t>
  </si>
  <si>
    <t>=N(NL(,"Jet Vendor Period Balance","Period Balance","Vendor Number","@@"&amp;$E93,"Period ID",$E$7,"Year Filter",$E$8))-N(NL(,"Jet Vendor Period Balance","Period Balance","Vendor Number","@@"&amp;$E93,"Period ID",$E$7-1,"Year Filter",$E$8))</t>
  </si>
  <si>
    <t>=N(NL(,"Jet Vendor Period Balance","Period Balance","Vendor Number","@@"&amp;$E93,"Period ID",$E$7,"Year Filter",$E$8))-N(NL(,"Jet Vendor Period Balance","Period Balance","Vendor Number","@@"&amp;$E93,"Period ID",0,"Year Filter",$E$8))</t>
  </si>
  <si>
    <t>=N(NL(,"Jet Vendor Period Balance","Period Balance","Vendor Number","@@"&amp;$E93,"Period ID",$E$7,"Year Filter",$E$8))</t>
  </si>
  <si>
    <t>=C93</t>
  </si>
  <si>
    <t>=N(NL(,"Jet Vendor Period Balance","Period Balance","Vendor Number","@@"&amp;$E94,"Period ID",$E$7,"Year Filter",$E$8))-N(NL(,"Jet Vendor Period Balance","Period Balance","Vendor Number","@@"&amp;$E94,"Period ID",$E$7-1,"Year Filter",$E$8))</t>
  </si>
  <si>
    <t>=N(NL(,"Jet Vendor Period Balance","Period Balance","Vendor Number","@@"&amp;$E94,"Period ID",$E$7,"Year Filter",$E$8))-N(NL(,"Jet Vendor Period Balance","Period Balance","Vendor Number","@@"&amp;$E94,"Period ID",0,"Year Filter",$E$8))</t>
  </si>
  <si>
    <t>=N(NL(,"Jet Vendor Period Balance","Period Balance","Vendor Number","@@"&amp;$E94,"Period ID",$E$7,"Year Filter",$E$8))</t>
  </si>
  <si>
    <t>=C96</t>
  </si>
  <si>
    <t>=C99</t>
  </si>
  <si>
    <t>=N(NL(,"Jet Vendor Period Balance","Period Balance","Vendor Number","@@"&amp;$E100,"Period ID",$E$7,"Year Filter",$E$8))-N(NL(,"Jet Vendor Period Balance","Period Balance","Vendor Number","@@"&amp;$E100,"Period ID",$E$7-1,"Year Filter",$E$8))</t>
  </si>
  <si>
    <t>=N(NL(,"Jet Vendor Period Balance","Period Balance","Vendor Number","@@"&amp;$E100,"Period ID",$E$7,"Year Filter",$E$8))-N(NL(,"Jet Vendor Period Balance","Period Balance","Vendor Number","@@"&amp;$E100,"Period ID",0,"Year Filter",$E$8))</t>
  </si>
  <si>
    <t>=N(NL(,"Jet Vendor Period Balance","Period Balance","Vendor Number","@@"&amp;$E100,"Period ID",$E$7,"Year Filter",$E$8))</t>
  </si>
  <si>
    <t>=C102</t>
  </si>
  <si>
    <t>=C105</t>
  </si>
  <si>
    <t>=C106</t>
  </si>
  <si>
    <t>=C109</t>
  </si>
  <si>
    <t>=C111</t>
  </si>
  <si>
    <t>=C112</t>
  </si>
  <si>
    <t>=C114</t>
  </si>
  <si>
    <t>=C116</t>
  </si>
  <si>
    <t>=N(NL(,"Jet Vendor Period Balance","Period Balance","Vendor Number","@@"&amp;$E117,"Period ID",$E$7,"Year Filter",$E$8))-N(NL(,"Jet Vendor Period Balance","Period Balance","Vendor Number","@@"&amp;$E117,"Period ID",$E$7-1,"Year Filter",$E$8))</t>
  </si>
  <si>
    <t>=N(NL(,"Jet Vendor Period Balance","Period Balance","Vendor Number","@@"&amp;$E117,"Period ID",$E$7,"Year Filter",$E$8))-N(NL(,"Jet Vendor Period Balance","Period Balance","Vendor Number","@@"&amp;$E117,"Period ID",0,"Year Filter",$E$8))</t>
  </si>
  <si>
    <t>=N(NL(,"Jet Vendor Period Balance","Period Balance","Vendor Number","@@"&amp;$E117,"Period ID",$E$7,"Year Filter",$E$8))</t>
  </si>
  <si>
    <t>=C118</t>
  </si>
  <si>
    <t>="Total for "&amp;C119</t>
  </si>
  <si>
    <t>=C119</t>
  </si>
  <si>
    <t>=D121</t>
  </si>
  <si>
    <t>=C121</t>
  </si>
  <si>
    <t>=N(NL(,"Jet Vendor Period Balance","Period Balance","Vendor Number","@@"&amp;$E122,"Period ID",$E$7,"Year Filter",$E$8))-N(NL(,"Jet Vendor Period Balance","Period Balance","Vendor Number","@@"&amp;$E122,"Period ID",$E$7-1,"Year Filter",$E$8))</t>
  </si>
  <si>
    <t>=N(NL(,"Jet Vendor Period Balance","Period Balance","Vendor Number","@@"&amp;$E122,"Period ID",$E$7,"Year Filter",$E$8))-N(NL(,"Jet Vendor Period Balance","Period Balance","Vendor Number","@@"&amp;$E122,"Period ID",0,"Year Filter",$E$8))</t>
  </si>
  <si>
    <t>=N(NL(,"Jet Vendor Period Balance","Period Balance","Vendor Number","@@"&amp;$E122,"Period ID",$E$7,"Year Filter",$E$8))</t>
  </si>
  <si>
    <t>=C122</t>
  </si>
  <si>
    <t>=N(NL(,"Jet Vendor Period Balance","Period Balance","Vendor Number","@@"&amp;$E123,"Period ID",$E$7,"Year Filter",$E$8))-N(NL(,"Jet Vendor Period Balance","Period Balance","Vendor Number","@@"&amp;$E123,"Period ID",$E$7-1,"Year Filter",$E$8))</t>
  </si>
  <si>
    <t>=N(NL(,"Jet Vendor Period Balance","Period Balance","Vendor Number","@@"&amp;$E123,"Period ID",$E$7,"Year Filter",$E$8))-N(NL(,"Jet Vendor Period Balance","Period Balance","Vendor Number","@@"&amp;$E123,"Period ID",0,"Year Filter",$E$8))</t>
  </si>
  <si>
    <t>=N(NL(,"Jet Vendor Period Balance","Period Balance","Vendor Number","@@"&amp;$E123,"Period ID",$E$7,"Year Filter",$E$8))</t>
  </si>
  <si>
    <t>=C125</t>
  </si>
  <si>
    <t>=C128</t>
  </si>
  <si>
    <t>=N(NL(,"Jet Vendor Period Balance","Period Balance","Vendor Number","@@"&amp;$E129,"Period ID",$E$7,"Year Filter",$E$8))-N(NL(,"Jet Vendor Period Balance","Period Balance","Vendor Number","@@"&amp;$E129,"Period ID",$E$7-1,"Year Filter",$E$8))</t>
  </si>
  <si>
    <t>=N(NL(,"Jet Vendor Period Balance","Period Balance","Vendor Number","@@"&amp;$E129,"Period ID",$E$7,"Year Filter",$E$8))-N(NL(,"Jet Vendor Period Balance","Period Balance","Vendor Number","@@"&amp;$E129,"Period ID",0,"Year Filter",$E$8))</t>
  </si>
  <si>
    <t>=N(NL(,"Jet Vendor Period Balance","Period Balance","Vendor Number","@@"&amp;$E129,"Period ID",$E$7,"Year Filter",$E$8))</t>
  </si>
  <si>
    <t>=C129</t>
  </si>
  <si>
    <t>=N(NL(,"Jet Vendor Period Balance","Period Balance","Vendor Number","@@"&amp;$E130,"Period ID",$E$7,"Year Filter",$E$8))-N(NL(,"Jet Vendor Period Balance","Period Balance","Vendor Number","@@"&amp;$E130,"Period ID",$E$7-1,"Year Filter",$E$8))</t>
  </si>
  <si>
    <t>=N(NL(,"Jet Vendor Period Balance","Period Balance","Vendor Number","@@"&amp;$E130,"Period ID",$E$7,"Year Filter",$E$8))-N(NL(,"Jet Vendor Period Balance","Period Balance","Vendor Number","@@"&amp;$E130,"Period ID",0,"Year Filter",$E$8))</t>
  </si>
  <si>
    <t>=N(NL(,"Jet Vendor Period Balance","Period Balance","Vendor Number","@@"&amp;$E130,"Period ID",$E$7,"Year Filter",$E$8))</t>
  </si>
  <si>
    <t>=C131</t>
  </si>
  <si>
    <t>="Total for "&amp;C132</t>
  </si>
  <si>
    <t>=C132</t>
  </si>
  <si>
    <t>=D134</t>
  </si>
  <si>
    <t>=C134</t>
  </si>
  <si>
    <t>=N(NL(,"Jet Vendor Period Balance","Period Balance","Vendor Number","@@"&amp;$E135,"Period ID",$E$7,"Year Filter",$E$8))-N(NL(,"Jet Vendor Period Balance","Period Balance","Vendor Number","@@"&amp;$E135,"Period ID",$E$7-1,"Year Filter",$E$8))</t>
  </si>
  <si>
    <t>=N(NL(,"Jet Vendor Period Balance","Period Balance","Vendor Number","@@"&amp;$E135,"Period ID",$E$7,"Year Filter",$E$8))-N(NL(,"Jet Vendor Period Balance","Period Balance","Vendor Number","@@"&amp;$E135,"Period ID",0,"Year Filter",$E$8))</t>
  </si>
  <si>
    <t>=N(NL(,"Jet Vendor Period Balance","Period Balance","Vendor Number","@@"&amp;$E135,"Period ID",$E$7,"Year Filter",$E$8))</t>
  </si>
  <si>
    <t>=C135</t>
  </si>
  <si>
    <t>=C136</t>
  </si>
  <si>
    <t>=C139</t>
  </si>
  <si>
    <t>=C142</t>
  </si>
  <si>
    <t>=C143</t>
  </si>
  <si>
    <t>=C146</t>
  </si>
  <si>
    <t>=C147</t>
  </si>
  <si>
    <t>=C150</t>
  </si>
  <si>
    <t>=C152</t>
  </si>
  <si>
    <t>=C153</t>
  </si>
  <si>
    <t>=C155</t>
  </si>
  <si>
    <t>=C157</t>
  </si>
  <si>
    <t>=C158</t>
  </si>
  <si>
    <t>=C160</t>
  </si>
  <si>
    <t>=C162</t>
  </si>
  <si>
    <t>=N(NL(,"Jet Vendor Period Balance","Period Balance","Vendor Number","@@"&amp;$E163,"Period ID",$E$7,"Year Filter",$E$8))-N(NL(,"Jet Vendor Period Balance","Period Balance","Vendor Number","@@"&amp;$E163,"Period ID",$E$7-1,"Year Filter",$E$8))</t>
  </si>
  <si>
    <t>=N(NL(,"Jet Vendor Period Balance","Period Balance","Vendor Number","@@"&amp;$E163,"Period ID",$E$7,"Year Filter",$E$8))-N(NL(,"Jet Vendor Period Balance","Period Balance","Vendor Number","@@"&amp;$E163,"Period ID",0,"Year Filter",$E$8))</t>
  </si>
  <si>
    <t>=N(NL(,"Jet Vendor Period Balance","Period Balance","Vendor Number","@@"&amp;$E163,"Period ID",$E$7,"Year Filter",$E$8))</t>
  </si>
  <si>
    <t>=C164</t>
  </si>
  <si>
    <t>="Total for "&amp;C165</t>
  </si>
  <si>
    <t>=C165</t>
  </si>
  <si>
    <t>=D167</t>
  </si>
  <si>
    <t>=C167</t>
  </si>
  <si>
    <t>=N(NL(,"Jet Vendor Period Balance","Period Balance","Vendor Number","@@"&amp;$E168,"Period ID",$E$7,"Year Filter",$E$8))-N(NL(,"Jet Vendor Period Balance","Period Balance","Vendor Number","@@"&amp;$E168,"Period ID",$E$7-1,"Year Filter",$E$8))</t>
  </si>
  <si>
    <t>=N(NL(,"Jet Vendor Period Balance","Period Balance","Vendor Number","@@"&amp;$E168,"Period ID",$E$7,"Year Filter",$E$8))-N(NL(,"Jet Vendor Period Balance","Period Balance","Vendor Number","@@"&amp;$E168,"Period ID",0,"Year Filter",$E$8))</t>
  </si>
  <si>
    <t>=N(NL(,"Jet Vendor Period Balance","Period Balance","Vendor Number","@@"&amp;$E168,"Period ID",$E$7,"Year Filter",$E$8))</t>
  </si>
  <si>
    <t>=C168</t>
  </si>
  <si>
    <t>=N(NL(,"Jet Vendor Period Balance","Period Balance","Vendor Number","@@"&amp;$E169,"Period ID",$E$7,"Year Filter",$E$8))-N(NL(,"Jet Vendor Period Balance","Period Balance","Vendor Number","@@"&amp;$E169,"Period ID",$E$7-1,"Year Filter",$E$8))</t>
  </si>
  <si>
    <t>=N(NL(,"Jet Vendor Period Balance","Period Balance","Vendor Number","@@"&amp;$E169,"Period ID",$E$7,"Year Filter",$E$8))-N(NL(,"Jet Vendor Period Balance","Period Balance","Vendor Number","@@"&amp;$E169,"Period ID",0,"Year Filter",$E$8))</t>
  </si>
  <si>
    <t>=N(NL(,"Jet Vendor Period Balance","Period Balance","Vendor Number","@@"&amp;$E169,"Period ID",$E$7,"Year Filter",$E$8))</t>
  </si>
  <si>
    <t>=C171</t>
  </si>
  <si>
    <t>=C174</t>
  </si>
  <si>
    <t>=C175</t>
  </si>
  <si>
    <t>=C178</t>
  </si>
  <si>
    <t>=C180</t>
  </si>
  <si>
    <t>=N(NL(,"Jet Vendor Period Balance","Period Balance","Vendor Number","@@"&amp;$E181,"Period ID",$E$7,"Year Filter",$E$8))-N(NL(,"Jet Vendor Period Balance","Period Balance","Vendor Number","@@"&amp;$E181,"Period ID",$E$7-1,"Year Filter",$E$8))</t>
  </si>
  <si>
    <t>=N(NL(,"Jet Vendor Period Balance","Period Balance","Vendor Number","@@"&amp;$E181,"Period ID",$E$7,"Year Filter",$E$8))-N(NL(,"Jet Vendor Period Balance","Period Balance","Vendor Number","@@"&amp;$E181,"Period ID",0,"Year Filter",$E$8))</t>
  </si>
  <si>
    <t>=N(NL(,"Jet Vendor Period Balance","Period Balance","Vendor Number","@@"&amp;$E181,"Period ID",$E$7,"Year Filter",$E$8))</t>
  </si>
  <si>
    <t>=C181</t>
  </si>
  <si>
    <t>=C182</t>
  </si>
  <si>
    <t>=C185</t>
  </si>
  <si>
    <t>=C187</t>
  </si>
  <si>
    <t>=N(NL(,"Jet Vendor Period Balance","Period Balance","Vendor Number","@@"&amp;$E188,"Period ID",$E$7,"Year Filter",$E$8))-N(NL(,"Jet Vendor Period Balance","Period Balance","Vendor Number","@@"&amp;$E188,"Period ID",$E$7-1,"Year Filter",$E$8))</t>
  </si>
  <si>
    <t>=N(NL(,"Jet Vendor Period Balance","Period Balance","Vendor Number","@@"&amp;$E188,"Period ID",$E$7,"Year Filter",$E$8))-N(NL(,"Jet Vendor Period Balance","Period Balance","Vendor Number","@@"&amp;$E188,"Period ID",0,"Year Filter",$E$8))</t>
  </si>
  <si>
    <t>=N(NL(,"Jet Vendor Period Balance","Period Balance","Vendor Number","@@"&amp;$E188,"Period ID",$E$7,"Year Filter",$E$8))</t>
  </si>
  <si>
    <t>=C188</t>
  </si>
  <si>
    <t>=N(NL(,"Jet Vendor Period Balance","Period Balance","Vendor Number","@@"&amp;$E189,"Period ID",$E$7,"Year Filter",$E$8))-N(NL(,"Jet Vendor Period Balance","Period Balance","Vendor Number","@@"&amp;$E189,"Period ID",$E$7-1,"Year Filter",$E$8))</t>
  </si>
  <si>
    <t>=N(NL(,"Jet Vendor Period Balance","Period Balance","Vendor Number","@@"&amp;$E189,"Period ID",$E$7,"Year Filter",$E$8))-N(NL(,"Jet Vendor Period Balance","Period Balance","Vendor Number","@@"&amp;$E189,"Period ID",0,"Year Filter",$E$8))</t>
  </si>
  <si>
    <t>=N(NL(,"Jet Vendor Period Balance","Period Balance","Vendor Number","@@"&amp;$E189,"Period ID",$E$7,"Year Filter",$E$8))</t>
  </si>
  <si>
    <t>=C189</t>
  </si>
  <si>
    <t>=N(NL(,"Jet Vendor Period Balance","Period Balance","Vendor Number","@@"&amp;$E190,"Period ID",$E$7,"Year Filter",$E$8))-N(NL(,"Jet Vendor Period Balance","Period Balance","Vendor Number","@@"&amp;$E190,"Period ID",$E$7-1,"Year Filter",$E$8))</t>
  </si>
  <si>
    <t>=N(NL(,"Jet Vendor Period Balance","Period Balance","Vendor Number","@@"&amp;$E190,"Period ID",$E$7,"Year Filter",$E$8))-N(NL(,"Jet Vendor Period Balance","Period Balance","Vendor Number","@@"&amp;$E190,"Period ID",0,"Year Filter",$E$8))</t>
  </si>
  <si>
    <t>=N(NL(,"Jet Vendor Period Balance","Period Balance","Vendor Number","@@"&amp;$E190,"Period ID",$E$7,"Year Filter",$E$8))</t>
  </si>
  <si>
    <t>=C192</t>
  </si>
  <si>
    <t>=C195</t>
  </si>
  <si>
    <t>=N(NL(,"Jet Vendor Period Balance","Period Balance","Vendor Number","@@"&amp;$E196,"Period ID",$E$7,"Year Filter",$E$8))-N(NL(,"Jet Vendor Period Balance","Period Balance","Vendor Number","@@"&amp;$E196,"Period ID",$E$7-1,"Year Filter",$E$8))</t>
  </si>
  <si>
    <t>=N(NL(,"Jet Vendor Period Balance","Period Balance","Vendor Number","@@"&amp;$E196,"Period ID",$E$7,"Year Filter",$E$8))-N(NL(,"Jet Vendor Period Balance","Period Balance","Vendor Number","@@"&amp;$E196,"Period ID",0,"Year Filter",$E$8))</t>
  </si>
  <si>
    <t>=N(NL(,"Jet Vendor Period Balance","Period Balance","Vendor Number","@@"&amp;$E196,"Period ID",$E$7,"Year Filter",$E$8))</t>
  </si>
  <si>
    <t>=C196</t>
  </si>
  <si>
    <t>=N(NL(,"Jet Vendor Period Balance","Period Balance","Vendor Number","@@"&amp;$E197,"Period ID",$E$7,"Year Filter",$E$8))-N(NL(,"Jet Vendor Period Balance","Period Balance","Vendor Number","@@"&amp;$E197,"Period ID",$E$7-1,"Year Filter",$E$8))</t>
  </si>
  <si>
    <t>=N(NL(,"Jet Vendor Period Balance","Period Balance","Vendor Number","@@"&amp;$E197,"Period ID",$E$7,"Year Filter",$E$8))-N(NL(,"Jet Vendor Period Balance","Period Balance","Vendor Number","@@"&amp;$E197,"Period ID",0,"Year Filter",$E$8))</t>
  </si>
  <si>
    <t>=N(NL(,"Jet Vendor Period Balance","Period Balance","Vendor Number","@@"&amp;$E197,"Period ID",$E$7,"Year Filter",$E$8))</t>
  </si>
  <si>
    <t>=C199</t>
  </si>
  <si>
    <t>=C202</t>
  </si>
  <si>
    <t>=C203</t>
  </si>
  <si>
    <t>=C206</t>
  </si>
  <si>
    <t>=C208</t>
  </si>
  <si>
    <t>=C209</t>
  </si>
  <si>
    <t>=C22</t>
  </si>
  <si>
    <t>=C211</t>
  </si>
  <si>
    <t>="Total for "&amp;C19</t>
  </si>
  <si>
    <t>=SUBTOTAL(9,G15:G18)</t>
  </si>
  <si>
    <t>=SUBTOTAL(9,H15:H18)</t>
  </si>
  <si>
    <t>=SUBTOTAL(9,I15:I18)</t>
  </si>
  <si>
    <t>=D21</t>
  </si>
  <si>
    <t>=N(NL(,"Jet Vendor Period Balance","Period Balance","Vendor Number","@@"&amp;$E22,"Period ID",$E$7,"Year Filter",$E$8))-N(NL(,"Jet Vendor Period Balance","Period Balance","Vendor Number","@@"&amp;$E22,"Period ID",$E$7-1,"Year Filter",$E$8))</t>
  </si>
  <si>
    <t>=N(NL(,"Jet Vendor Period Balance","Period Balance","Vendor Number","@@"&amp;$E22,"Period ID",$E$7,"Year Filter",$E$8))-N(NL(,"Jet Vendor Period Balance","Period Balance","Vendor Number","@@"&amp;$E22,"Period ID",0,"Year Filter",$E$8))</t>
  </si>
  <si>
    <t>=N(NL(,"Jet Vendor Period Balance","Period Balance","Vendor Number","@@"&amp;$E22,"Period ID",$E$7,"Year Filter",$E$8))</t>
  </si>
  <si>
    <t>=N(NL(,"Jet Vendor Period Balance","Period Balance","Vendor Number","@@"&amp;$E23,"Period ID",$E$7,"Year Filter",$E$8))-N(NL(,"Jet Vendor Period Balance","Period Balance","Vendor Number","@@"&amp;$E23,"Period ID",$E$7-1,"Year Filter",$E$8))</t>
  </si>
  <si>
    <t>=N(NL(,"Jet Vendor Period Balance","Period Balance","Vendor Number","@@"&amp;$E23,"Period ID",$E$7,"Year Filter",$E$8))-N(NL(,"Jet Vendor Period Balance","Period Balance","Vendor Number","@@"&amp;$E23,"Period ID",0,"Year Filter",$E$8))</t>
  </si>
  <si>
    <t>=N(NL(,"Jet Vendor Period Balance","Period Balance","Vendor Number","@@"&amp;$E23,"Period ID",$E$7,"Year Filter",$E$8))</t>
  </si>
  <si>
    <t>=C27</t>
  </si>
  <si>
    <t>="Total for "&amp;C28</t>
  </si>
  <si>
    <t>=SUBTOTAL(9,G22:G27)</t>
  </si>
  <si>
    <t>=SUBTOTAL(9,H22:H27)</t>
  </si>
  <si>
    <t>=SUBTOTAL(9,I22:I27)</t>
  </si>
  <si>
    <t>=D30</t>
  </si>
  <si>
    <t>=C30</t>
  </si>
  <si>
    <t>=N(NL(,"Jet Vendor Period Balance","Period Balance","Vendor Number","@@"&amp;$E31,"Period ID",$E$7,"Year Filter",$E$8))-N(NL(,"Jet Vendor Period Balance","Period Balance","Vendor Number","@@"&amp;$E31,"Period ID",$E$7-1,"Year Filter",$E$8))</t>
  </si>
  <si>
    <t>=N(NL(,"Jet Vendor Period Balance","Period Balance","Vendor Number","@@"&amp;$E31,"Period ID",$E$7,"Year Filter",$E$8))-N(NL(,"Jet Vendor Period Balance","Period Balance","Vendor Number","@@"&amp;$E31,"Period ID",0,"Year Filter",$E$8))</t>
  </si>
  <si>
    <t>=N(NL(,"Jet Vendor Period Balance","Period Balance","Vendor Number","@@"&amp;$E31,"Period ID",$E$7,"Year Filter",$E$8))</t>
  </si>
  <si>
    <t>=SUBTOTAL(9,G31:G35)</t>
  </si>
  <si>
    <t>=SUBTOTAL(9,H31:H35)</t>
  </si>
  <si>
    <t>=SUBTOTAL(9,I31:I35)</t>
  </si>
  <si>
    <t>=N(NL(,"Jet Vendor Period Balance","Period Balance","Vendor Number","@@"&amp;$E40,"Period ID",$E$7,"Year Filter",$E$8))-N(NL(,"Jet Vendor Period Balance","Period Balance","Vendor Number","@@"&amp;$E40,"Period ID",$E$7-1,"Year Filter",$E$8))</t>
  </si>
  <si>
    <t>=N(NL(,"Jet Vendor Period Balance","Period Balance","Vendor Number","@@"&amp;$E40,"Period ID",$E$7,"Year Filter",$E$8))-N(NL(,"Jet Vendor Period Balance","Period Balance","Vendor Number","@@"&amp;$E40,"Period ID",0,"Year Filter",$E$8))</t>
  </si>
  <si>
    <t>=N(NL(,"Jet Vendor Period Balance","Period Balance","Vendor Number","@@"&amp;$E40,"Period ID",$E$7,"Year Filter",$E$8))</t>
  </si>
  <si>
    <t>=N(NL(,"Jet Vendor Period Balance","Period Balance","Vendor Number","@@"&amp;$E41,"Period ID",$E$7,"Year Filter",$E$8))-N(NL(,"Jet Vendor Period Balance","Period Balance","Vendor Number","@@"&amp;$E41,"Period ID",$E$7-1,"Year Filter",$E$8))</t>
  </si>
  <si>
    <t>=N(NL(,"Jet Vendor Period Balance","Period Balance","Vendor Number","@@"&amp;$E41,"Period ID",$E$7,"Year Filter",$E$8))-N(NL(,"Jet Vendor Period Balance","Period Balance","Vendor Number","@@"&amp;$E41,"Period ID",0,"Year Filter",$E$8))</t>
  </si>
  <si>
    <t>=N(NL(,"Jet Vendor Period Balance","Period Balance","Vendor Number","@@"&amp;$E41,"Period ID",$E$7,"Year Filter",$E$8))</t>
  </si>
  <si>
    <t>=C42</t>
  </si>
  <si>
    <t>="Total for "&amp;C43</t>
  </si>
  <si>
    <t>=SUBTOTAL(9,G39:G42)</t>
  </si>
  <si>
    <t>=SUBTOTAL(9,H39:H42)</t>
  </si>
  <si>
    <t>=SUBTOTAL(9,I39:I42)</t>
  </si>
  <si>
    <t>=D45</t>
  </si>
  <si>
    <t>=C45</t>
  </si>
  <si>
    <t>=N(NL(,"Jet Vendor Period Balance","Period Balance","Vendor Number","@@"&amp;$E46,"Period ID",$E$7,"Year Filter",$E$8))-N(NL(,"Jet Vendor Period Balance","Period Balance","Vendor Number","@@"&amp;$E46,"Period ID",$E$7-1,"Year Filter",$E$8))</t>
  </si>
  <si>
    <t>=N(NL(,"Jet Vendor Period Balance","Period Balance","Vendor Number","@@"&amp;$E46,"Period ID",$E$7,"Year Filter",$E$8))-N(NL(,"Jet Vendor Period Balance","Period Balance","Vendor Number","@@"&amp;$E46,"Period ID",0,"Year Filter",$E$8))</t>
  </si>
  <si>
    <t>=N(NL(,"Jet Vendor Period Balance","Period Balance","Vendor Number","@@"&amp;$E46,"Period ID",$E$7,"Year Filter",$E$8))</t>
  </si>
  <si>
    <t>="Total for "&amp;C48</t>
  </si>
  <si>
    <t>=SUBTOTAL(9,G46:G47)</t>
  </si>
  <si>
    <t>=SUBTOTAL(9,H46:H47)</t>
  </si>
  <si>
    <t>=SUBTOTAL(9,I46:I47)</t>
  </si>
  <si>
    <t>=C48</t>
  </si>
  <si>
    <t>=D50</t>
  </si>
  <si>
    <t>=C51</t>
  </si>
  <si>
    <t>=N(NL(,"Jet Vendor Period Balance","Period Balance","Vendor Number","@@"&amp;$E52,"Period ID",$E$7,"Year Filter",$E$8))-N(NL(,"Jet Vendor Period Balance","Period Balance","Vendor Number","@@"&amp;$E52,"Period ID",$E$7-1,"Year Filter",$E$8))</t>
  </si>
  <si>
    <t>=N(NL(,"Jet Vendor Period Balance","Period Balance","Vendor Number","@@"&amp;$E52,"Period ID",$E$7,"Year Filter",$E$8))-N(NL(,"Jet Vendor Period Balance","Period Balance","Vendor Number","@@"&amp;$E52,"Period ID",0,"Year Filter",$E$8))</t>
  </si>
  <si>
    <t>=N(NL(,"Jet Vendor Period Balance","Period Balance","Vendor Number","@@"&amp;$E52,"Period ID",$E$7,"Year Filter",$E$8))</t>
  </si>
  <si>
    <t>="Total for "&amp;C54</t>
  </si>
  <si>
    <t>=SUBTOTAL(9,G51:G53)</t>
  </si>
  <si>
    <t>=SUBTOTAL(9,H51:H53)</t>
  </si>
  <si>
    <t>=SUBTOTAL(9,I51:I53)</t>
  </si>
  <si>
    <t>=C54</t>
  </si>
  <si>
    <t>=D56</t>
  </si>
  <si>
    <t>=C57</t>
  </si>
  <si>
    <t>=N(NL(,"Jet Vendor Period Balance","Period Balance","Vendor Number","@@"&amp;$E58,"Period ID",$E$7,"Year Filter",$E$8))-N(NL(,"Jet Vendor Period Balance","Period Balance","Vendor Number","@@"&amp;$E58,"Period ID",$E$7-1,"Year Filter",$E$8))</t>
  </si>
  <si>
    <t>=N(NL(,"Jet Vendor Period Balance","Period Balance","Vendor Number","@@"&amp;$E58,"Period ID",$E$7,"Year Filter",$E$8))-N(NL(,"Jet Vendor Period Balance","Period Balance","Vendor Number","@@"&amp;$E58,"Period ID",0,"Year Filter",$E$8))</t>
  </si>
  <si>
    <t>=N(NL(,"Jet Vendor Period Balance","Period Balance","Vendor Number","@@"&amp;$E58,"Period ID",$E$7,"Year Filter",$E$8))</t>
  </si>
  <si>
    <t>="Total for "&amp;C60</t>
  </si>
  <si>
    <t>=SUBTOTAL(9,G57:G59)</t>
  </si>
  <si>
    <t>=SUBTOTAL(9,H57:H59)</t>
  </si>
  <si>
    <t>=SUBTOTAL(9,I57:I59)</t>
  </si>
  <si>
    <t>=C60</t>
  </si>
  <si>
    <t>=D62</t>
  </si>
  <si>
    <t>="Total for "&amp;C66</t>
  </si>
  <si>
    <t>=SUBTOTAL(9,G63:G65)</t>
  </si>
  <si>
    <t>=SUBTOTAL(9,H63:H65)</t>
  </si>
  <si>
    <t>=SUBTOTAL(9,I63:I65)</t>
  </si>
  <si>
    <t>=D68</t>
  </si>
  <si>
    <t>=C88</t>
  </si>
  <si>
    <t>=N(NL(,"Jet Vendor Period Balance","Period Balance","Vendor Number","@@"&amp;$E89,"Period ID",$E$7,"Year Filter",$E$8))-N(NL(,"Jet Vendor Period Balance","Period Balance","Vendor Number","@@"&amp;$E89,"Period ID",$E$7-1,"Year Filter",$E$8))</t>
  </si>
  <si>
    <t>=N(NL(,"Jet Vendor Period Balance","Period Balance","Vendor Number","@@"&amp;$E89,"Period ID",$E$7,"Year Filter",$E$8))-N(NL(,"Jet Vendor Period Balance","Period Balance","Vendor Number","@@"&amp;$E89,"Period ID",0,"Year Filter",$E$8))</t>
  </si>
  <si>
    <t>=N(NL(,"Jet Vendor Period Balance","Period Balance","Vendor Number","@@"&amp;$E89,"Period ID",$E$7,"Year Filter",$E$8))</t>
  </si>
  <si>
    <t>=N(NL(,"Jet Vendor Period Balance","Period Balance","Vendor Number","@@"&amp;$E90,"Period ID",$E$7,"Year Filter",$E$8))-N(NL(,"Jet Vendor Period Balance","Period Balance","Vendor Number","@@"&amp;$E90,"Period ID",$E$7-1,"Year Filter",$E$8))</t>
  </si>
  <si>
    <t>=N(NL(,"Jet Vendor Period Balance","Period Balance","Vendor Number","@@"&amp;$E90,"Period ID",$E$7,"Year Filter",$E$8))-N(NL(,"Jet Vendor Period Balance","Period Balance","Vendor Number","@@"&amp;$E90,"Period ID",0,"Year Filter",$E$8))</t>
  </si>
  <si>
    <t>=N(NL(,"Jet Vendor Period Balance","Period Balance","Vendor Number","@@"&amp;$E90,"Period ID",$E$7,"Year Filter",$E$8))</t>
  </si>
  <si>
    <t>=N(NL(,"Jet Vendor Period Balance","Period Balance","Vendor Number","@@"&amp;$E91,"Period ID",$E$7,"Year Filter",$E$8))-N(NL(,"Jet Vendor Period Balance","Period Balance","Vendor Number","@@"&amp;$E91,"Period ID",$E$7-1,"Year Filter",$E$8))</t>
  </si>
  <si>
    <t>=N(NL(,"Jet Vendor Period Balance","Period Balance","Vendor Number","@@"&amp;$E91,"Period ID",$E$7,"Year Filter",$E$8))-N(NL(,"Jet Vendor Period Balance","Period Balance","Vendor Number","@@"&amp;$E91,"Period ID",0,"Year Filter",$E$8))</t>
  </si>
  <si>
    <t>=N(NL(,"Jet Vendor Period Balance","Period Balance","Vendor Number","@@"&amp;$E91,"Period ID",$E$7,"Year Filter",$E$8))</t>
  </si>
  <si>
    <t>=C91</t>
  </si>
  <si>
    <t>=N(NL(,"Jet Vendor Period Balance","Period Balance","Vendor Number","@@"&amp;$E92,"Period ID",$E$7,"Year Filter",$E$8))-N(NL(,"Jet Vendor Period Balance","Period Balance","Vendor Number","@@"&amp;$E92,"Period ID",$E$7-1,"Year Filter",$E$8))</t>
  </si>
  <si>
    <t>=N(NL(,"Jet Vendor Period Balance","Period Balance","Vendor Number","@@"&amp;$E92,"Period ID",$E$7,"Year Filter",$E$8))-N(NL(,"Jet Vendor Period Balance","Period Balance","Vendor Number","@@"&amp;$E92,"Period ID",0,"Year Filter",$E$8))</t>
  </si>
  <si>
    <t>=N(NL(,"Jet Vendor Period Balance","Period Balance","Vendor Number","@@"&amp;$E92,"Period ID",$E$7,"Year Filter",$E$8))</t>
  </si>
  <si>
    <t>=C94</t>
  </si>
  <si>
    <t>=N(NL(,"Jet Vendor Period Balance","Period Balance","Vendor Number","@@"&amp;$E95,"Period ID",$E$7,"Year Filter",$E$8))-N(NL(,"Jet Vendor Period Balance","Period Balance","Vendor Number","@@"&amp;$E95,"Period ID",$E$7-1,"Year Filter",$E$8))</t>
  </si>
  <si>
    <t>=N(NL(,"Jet Vendor Period Balance","Period Balance","Vendor Number","@@"&amp;$E95,"Period ID",$E$7,"Year Filter",$E$8))-N(NL(,"Jet Vendor Period Balance","Period Balance","Vendor Number","@@"&amp;$E95,"Period ID",0,"Year Filter",$E$8))</t>
  </si>
  <si>
    <t>=N(NL(,"Jet Vendor Period Balance","Period Balance","Vendor Number","@@"&amp;$E95,"Period ID",$E$7,"Year Filter",$E$8))</t>
  </si>
  <si>
    <t>="Total for "&amp;C97</t>
  </si>
  <si>
    <t>=SUBTOTAL(9,G69:G96)</t>
  </si>
  <si>
    <t>=SUBTOTAL(9,H69:H96)</t>
  </si>
  <si>
    <t>=SUBTOTAL(9,I69:I96)</t>
  </si>
  <si>
    <t>=C97</t>
  </si>
  <si>
    <t>=D99</t>
  </si>
  <si>
    <t>=C100</t>
  </si>
  <si>
    <t>=N(NL(,"Jet Vendor Period Balance","Period Balance","Vendor Number","@@"&amp;$E101,"Period ID",$E$7,"Year Filter",$E$8))-N(NL(,"Jet Vendor Period Balance","Period Balance","Vendor Number","@@"&amp;$E101,"Period ID",$E$7-1,"Year Filter",$E$8))</t>
  </si>
  <si>
    <t>=N(NL(,"Jet Vendor Period Balance","Period Balance","Vendor Number","@@"&amp;$E101,"Period ID",$E$7,"Year Filter",$E$8))-N(NL(,"Jet Vendor Period Balance","Period Balance","Vendor Number","@@"&amp;$E101,"Period ID",0,"Year Filter",$E$8))</t>
  </si>
  <si>
    <t>=N(NL(,"Jet Vendor Period Balance","Period Balance","Vendor Number","@@"&amp;$E101,"Period ID",$E$7,"Year Filter",$E$8))</t>
  </si>
  <si>
    <t>="Total for "&amp;C103</t>
  </si>
  <si>
    <t>=SUBTOTAL(9,G100:G102)</t>
  </si>
  <si>
    <t>=SUBTOTAL(9,H100:H102)</t>
  </si>
  <si>
    <t>=SUBTOTAL(9,I100:I102)</t>
  </si>
  <si>
    <t>=C103</t>
  </si>
  <si>
    <t>=D105</t>
  </si>
  <si>
    <t>=N(NL(,"Jet Vendor Period Balance","Period Balance","Vendor Number","@@"&amp;$E106,"Period ID",$E$7,"Year Filter",$E$8))-N(NL(,"Jet Vendor Period Balance","Period Balance","Vendor Number","@@"&amp;$E106,"Period ID",$E$7-1,"Year Filter",$E$8))</t>
  </si>
  <si>
    <t>=N(NL(,"Jet Vendor Period Balance","Period Balance","Vendor Number","@@"&amp;$E106,"Period ID",$E$7,"Year Filter",$E$8))-N(NL(,"Jet Vendor Period Balance","Period Balance","Vendor Number","@@"&amp;$E106,"Period ID",0,"Year Filter",$E$8))</t>
  </si>
  <si>
    <t>=N(NL(,"Jet Vendor Period Balance","Period Balance","Vendor Number","@@"&amp;$E106,"Period ID",$E$7,"Year Filter",$E$8))</t>
  </si>
  <si>
    <t>=N(NL(,"Jet Vendor Period Balance","Period Balance","Vendor Number","@@"&amp;$E107,"Period ID",$E$7,"Year Filter",$E$8))-N(NL(,"Jet Vendor Period Balance","Period Balance","Vendor Number","@@"&amp;$E107,"Period ID",$E$7-1,"Year Filter",$E$8))</t>
  </si>
  <si>
    <t>=N(NL(,"Jet Vendor Period Balance","Period Balance","Vendor Number","@@"&amp;$E107,"Period ID",$E$7,"Year Filter",$E$8))-N(NL(,"Jet Vendor Period Balance","Period Balance","Vendor Number","@@"&amp;$E107,"Period ID",0,"Year Filter",$E$8))</t>
  </si>
  <si>
    <t>=N(NL(,"Jet Vendor Period Balance","Period Balance","Vendor Number","@@"&amp;$E107,"Period ID",$E$7,"Year Filter",$E$8))</t>
  </si>
  <si>
    <t>=C108</t>
  </si>
  <si>
    <t>="Total for "&amp;C109</t>
  </si>
  <si>
    <t>=SUBTOTAL(9,G106:G108)</t>
  </si>
  <si>
    <t>=SUBTOTAL(9,H106:H108)</t>
  </si>
  <si>
    <t>=SUBTOTAL(9,I106:I108)</t>
  </si>
  <si>
    <t>=D111</t>
  </si>
  <si>
    <t>=N(NL(,"Jet Vendor Period Balance","Period Balance","Vendor Number","@@"&amp;$E112,"Period ID",$E$7,"Year Filter",$E$8))-N(NL(,"Jet Vendor Period Balance","Period Balance","Vendor Number","@@"&amp;$E112,"Period ID",$E$7-1,"Year Filter",$E$8))</t>
  </si>
  <si>
    <t>=N(NL(,"Jet Vendor Period Balance","Period Balance","Vendor Number","@@"&amp;$E112,"Period ID",$E$7,"Year Filter",$E$8))-N(NL(,"Jet Vendor Period Balance","Period Balance","Vendor Number","@@"&amp;$E112,"Period ID",0,"Year Filter",$E$8))</t>
  </si>
  <si>
    <t>=N(NL(,"Jet Vendor Period Balance","Period Balance","Vendor Number","@@"&amp;$E112,"Period ID",$E$7,"Year Filter",$E$8))</t>
  </si>
  <si>
    <t>=C113</t>
  </si>
  <si>
    <t>="Total for "&amp;C114</t>
  </si>
  <si>
    <t>=SUBTOTAL(9,G112:G113)</t>
  </si>
  <si>
    <t>=SUBTOTAL(9,H112:H113)</t>
  </si>
  <si>
    <t>=SUBTOTAL(9,I112:I113)</t>
  </si>
  <si>
    <t>=D116</t>
  </si>
  <si>
    <t>=C117</t>
  </si>
  <si>
    <t>=SUBTOTAL(9,G117:G118)</t>
  </si>
  <si>
    <t>=SUBTOTAL(9,H117:H118)</t>
  </si>
  <si>
    <t>=SUBTOTAL(9,I117:I118)</t>
  </si>
  <si>
    <t>=C123</t>
  </si>
  <si>
    <t>=N(NL(,"Jet Vendor Period Balance","Period Balance","Vendor Number","@@"&amp;$E124,"Period ID",$E$7,"Year Filter",$E$8))-N(NL(,"Jet Vendor Period Balance","Period Balance","Vendor Number","@@"&amp;$E124,"Period ID",$E$7-1,"Year Filter",$E$8))</t>
  </si>
  <si>
    <t>=N(NL(,"Jet Vendor Period Balance","Period Balance","Vendor Number","@@"&amp;$E124,"Period ID",$E$7,"Year Filter",$E$8))-N(NL(,"Jet Vendor Period Balance","Period Balance","Vendor Number","@@"&amp;$E124,"Period ID",0,"Year Filter",$E$8))</t>
  </si>
  <si>
    <t>=N(NL(,"Jet Vendor Period Balance","Period Balance","Vendor Number","@@"&amp;$E124,"Period ID",$E$7,"Year Filter",$E$8))</t>
  </si>
  <si>
    <t>="Total for "&amp;C126</t>
  </si>
  <si>
    <t>=SUBTOTAL(9,G122:G125)</t>
  </si>
  <si>
    <t>=SUBTOTAL(9,H122:H125)</t>
  </si>
  <si>
    <t>=SUBTOTAL(9,I122:I125)</t>
  </si>
  <si>
    <t>=C126</t>
  </si>
  <si>
    <t>=D128</t>
  </si>
  <si>
    <t>=SUBTOTAL(9,G129:G131)</t>
  </si>
  <si>
    <t>=SUBTOTAL(9,H129:H131)</t>
  </si>
  <si>
    <t>=SUBTOTAL(9,I129:I131)</t>
  </si>
  <si>
    <t>=N(NL(,"Jet Vendor Period Balance","Period Balance","Vendor Number","@@"&amp;$E136,"Period ID",$E$7,"Year Filter",$E$8))-N(NL(,"Jet Vendor Period Balance","Period Balance","Vendor Number","@@"&amp;$E136,"Period ID",$E$7-1,"Year Filter",$E$8))</t>
  </si>
  <si>
    <t>=N(NL(,"Jet Vendor Period Balance","Period Balance","Vendor Number","@@"&amp;$E136,"Period ID",$E$7,"Year Filter",$E$8))-N(NL(,"Jet Vendor Period Balance","Period Balance","Vendor Number","@@"&amp;$E136,"Period ID",0,"Year Filter",$E$8))</t>
  </si>
  <si>
    <t>=N(NL(,"Jet Vendor Period Balance","Period Balance","Vendor Number","@@"&amp;$E136,"Period ID",$E$7,"Year Filter",$E$8))</t>
  </si>
  <si>
    <t>=N(NL(,"Jet Vendor Period Balance","Period Balance","Vendor Number","@@"&amp;$E137,"Period ID",$E$7,"Year Filter",$E$8))-N(NL(,"Jet Vendor Period Balance","Period Balance","Vendor Number","@@"&amp;$E137,"Period ID",$E$7-1,"Year Filter",$E$8))</t>
  </si>
  <si>
    <t>=N(NL(,"Jet Vendor Period Balance","Period Balance","Vendor Number","@@"&amp;$E137,"Period ID",$E$7,"Year Filter",$E$8))-N(NL(,"Jet Vendor Period Balance","Period Balance","Vendor Number","@@"&amp;$E137,"Period ID",0,"Year Filter",$E$8))</t>
  </si>
  <si>
    <t>=N(NL(,"Jet Vendor Period Balance","Period Balance","Vendor Number","@@"&amp;$E137,"Period ID",$E$7,"Year Filter",$E$8))</t>
  </si>
  <si>
    <t>=C138</t>
  </si>
  <si>
    <t>="Total for "&amp;C139</t>
  </si>
  <si>
    <t>=SUBTOTAL(9,G135:G138)</t>
  </si>
  <si>
    <t>=SUBTOTAL(9,H135:H138)</t>
  </si>
  <si>
    <t>=SUBTOTAL(9,I135:I138)</t>
  </si>
  <si>
    <t>=D141</t>
  </si>
  <si>
    <t>=C141</t>
  </si>
  <si>
    <t>=N(NL(,"Jet Vendor Period Balance","Period Balance","Vendor Number","@@"&amp;$E142,"Period ID",$E$7,"Year Filter",$E$8))-N(NL(,"Jet Vendor Period Balance","Period Balance","Vendor Number","@@"&amp;$E142,"Period ID",$E$7-1,"Year Filter",$E$8))</t>
  </si>
  <si>
    <t>=N(NL(,"Jet Vendor Period Balance","Period Balance","Vendor Number","@@"&amp;$E142,"Period ID",$E$7,"Year Filter",$E$8))-N(NL(,"Jet Vendor Period Balance","Period Balance","Vendor Number","@@"&amp;$E142,"Period ID",0,"Year Filter",$E$8))</t>
  </si>
  <si>
    <t>=N(NL(,"Jet Vendor Period Balance","Period Balance","Vendor Number","@@"&amp;$E142,"Period ID",$E$7,"Year Filter",$E$8))</t>
  </si>
  <si>
    <t>="Total for "&amp;C144</t>
  </si>
  <si>
    <t>=SUBTOTAL(9,G142:G143)</t>
  </si>
  <si>
    <t>=SUBTOTAL(9,H142:H143)</t>
  </si>
  <si>
    <t>=SUBTOTAL(9,I142:I143)</t>
  </si>
  <si>
    <t>=C144</t>
  </si>
  <si>
    <t>=D146</t>
  </si>
  <si>
    <t>=N(NL(,"Jet Vendor Period Balance","Period Balance","Vendor Number","@@"&amp;$E147,"Period ID",$E$7,"Year Filter",$E$8))-N(NL(,"Jet Vendor Period Balance","Period Balance","Vendor Number","@@"&amp;$E147,"Period ID",$E$7-1,"Year Filter",$E$8))</t>
  </si>
  <si>
    <t>=N(NL(,"Jet Vendor Period Balance","Period Balance","Vendor Number","@@"&amp;$E147,"Period ID",$E$7,"Year Filter",$E$8))-N(NL(,"Jet Vendor Period Balance","Period Balance","Vendor Number","@@"&amp;$E147,"Period ID",0,"Year Filter",$E$8))</t>
  </si>
  <si>
    <t>=N(NL(,"Jet Vendor Period Balance","Period Balance","Vendor Number","@@"&amp;$E147,"Period ID",$E$7,"Year Filter",$E$8))</t>
  </si>
  <si>
    <t>=N(NL(,"Jet Vendor Period Balance","Period Balance","Vendor Number","@@"&amp;$E148,"Period ID",$E$7,"Year Filter",$E$8))-N(NL(,"Jet Vendor Period Balance","Period Balance","Vendor Number","@@"&amp;$E148,"Period ID",$E$7-1,"Year Filter",$E$8))</t>
  </si>
  <si>
    <t>=N(NL(,"Jet Vendor Period Balance","Period Balance","Vendor Number","@@"&amp;$E148,"Period ID",$E$7,"Year Filter",$E$8))-N(NL(,"Jet Vendor Period Balance","Period Balance","Vendor Number","@@"&amp;$E148,"Period ID",0,"Year Filter",$E$8))</t>
  </si>
  <si>
    <t>=N(NL(,"Jet Vendor Period Balance","Period Balance","Vendor Number","@@"&amp;$E148,"Period ID",$E$7,"Year Filter",$E$8))</t>
  </si>
  <si>
    <t>=C149</t>
  </si>
  <si>
    <t>="Total for "&amp;C150</t>
  </si>
  <si>
    <t>=SUBTOTAL(9,G147:G149)</t>
  </si>
  <si>
    <t>=SUBTOTAL(9,H147:H149)</t>
  </si>
  <si>
    <t>=SUBTOTAL(9,I147:I149)</t>
  </si>
  <si>
    <t>=D152</t>
  </si>
  <si>
    <t>=N(NL(,"Jet Vendor Period Balance","Period Balance","Vendor Number","@@"&amp;$E153,"Period ID",$E$7,"Year Filter",$E$8))-N(NL(,"Jet Vendor Period Balance","Period Balance","Vendor Number","@@"&amp;$E153,"Period ID",$E$7-1,"Year Filter",$E$8))</t>
  </si>
  <si>
    <t>=N(NL(,"Jet Vendor Period Balance","Period Balance","Vendor Number","@@"&amp;$E153,"Period ID",$E$7,"Year Filter",$E$8))-N(NL(,"Jet Vendor Period Balance","Period Balance","Vendor Number","@@"&amp;$E153,"Period ID",0,"Year Filter",$E$8))</t>
  </si>
  <si>
    <t>=N(NL(,"Jet Vendor Period Balance","Period Balance","Vendor Number","@@"&amp;$E153,"Period ID",$E$7,"Year Filter",$E$8))</t>
  </si>
  <si>
    <t>=C154</t>
  </si>
  <si>
    <t>="Total for "&amp;C155</t>
  </si>
  <si>
    <t>=SUBTOTAL(9,G153:G154)</t>
  </si>
  <si>
    <t>=SUBTOTAL(9,H153:H154)</t>
  </si>
  <si>
    <t>=SUBTOTAL(9,I153:I154)</t>
  </si>
  <si>
    <t>=D157</t>
  </si>
  <si>
    <t>=N(NL(,"Jet Vendor Period Balance","Period Balance","Vendor Number","@@"&amp;$E158,"Period ID",$E$7,"Year Filter",$E$8))-N(NL(,"Jet Vendor Period Balance","Period Balance","Vendor Number","@@"&amp;$E158,"Period ID",$E$7-1,"Year Filter",$E$8))</t>
  </si>
  <si>
    <t>=N(NL(,"Jet Vendor Period Balance","Period Balance","Vendor Number","@@"&amp;$E158,"Period ID",$E$7,"Year Filter",$E$8))-N(NL(,"Jet Vendor Period Balance","Period Balance","Vendor Number","@@"&amp;$E158,"Period ID",0,"Year Filter",$E$8))</t>
  </si>
  <si>
    <t>=N(NL(,"Jet Vendor Period Balance","Period Balance","Vendor Number","@@"&amp;$E158,"Period ID",$E$7,"Year Filter",$E$8))</t>
  </si>
  <si>
    <t>=C159</t>
  </si>
  <si>
    <t>="Total for "&amp;C160</t>
  </si>
  <si>
    <t>=SUBTOTAL(9,G158:G159)</t>
  </si>
  <si>
    <t>=SUBTOTAL(9,H158:H159)</t>
  </si>
  <si>
    <t>=SUBTOTAL(9,I158:I159)</t>
  </si>
  <si>
    <t>=D162</t>
  </si>
  <si>
    <t>=C163</t>
  </si>
  <si>
    <t>=SUBTOTAL(9,G163:G164)</t>
  </si>
  <si>
    <t>=SUBTOTAL(9,H163:H164)</t>
  </si>
  <si>
    <t>=SUBTOTAL(9,I163:I164)</t>
  </si>
  <si>
    <t>=C169</t>
  </si>
  <si>
    <t>=N(NL(,"Jet Vendor Period Balance","Period Balance","Vendor Number","@@"&amp;$E170,"Period ID",$E$7,"Year Filter",$E$8))-N(NL(,"Jet Vendor Period Balance","Period Balance","Vendor Number","@@"&amp;$E170,"Period ID",$E$7-1,"Year Filter",$E$8))</t>
  </si>
  <si>
    <t>=N(NL(,"Jet Vendor Period Balance","Period Balance","Vendor Number","@@"&amp;$E170,"Period ID",$E$7,"Year Filter",$E$8))-N(NL(,"Jet Vendor Period Balance","Period Balance","Vendor Number","@@"&amp;$E170,"Period ID",0,"Year Filter",$E$8))</t>
  </si>
  <si>
    <t>=N(NL(,"Jet Vendor Period Balance","Period Balance","Vendor Number","@@"&amp;$E170,"Period ID",$E$7,"Year Filter",$E$8))</t>
  </si>
  <si>
    <t>="Total for "&amp;C172</t>
  </si>
  <si>
    <t>=SUBTOTAL(9,G168:G171)</t>
  </si>
  <si>
    <t>=SUBTOTAL(9,H168:H171)</t>
  </si>
  <si>
    <t>=SUBTOTAL(9,I168:I171)</t>
  </si>
  <si>
    <t>=C172</t>
  </si>
  <si>
    <t>=D174</t>
  </si>
  <si>
    <t>=N(NL(,"Jet Vendor Period Balance","Period Balance","Vendor Number","@@"&amp;$E175,"Period ID",$E$7,"Year Filter",$E$8))-N(NL(,"Jet Vendor Period Balance","Period Balance","Vendor Number","@@"&amp;$E175,"Period ID",$E$7-1,"Year Filter",$E$8))</t>
  </si>
  <si>
    <t>=N(NL(,"Jet Vendor Period Balance","Period Balance","Vendor Number","@@"&amp;$E175,"Period ID",$E$7,"Year Filter",$E$8))-N(NL(,"Jet Vendor Period Balance","Period Balance","Vendor Number","@@"&amp;$E175,"Period ID",0,"Year Filter",$E$8))</t>
  </si>
  <si>
    <t>=N(NL(,"Jet Vendor Period Balance","Period Balance","Vendor Number","@@"&amp;$E175,"Period ID",$E$7,"Year Filter",$E$8))</t>
  </si>
  <si>
    <t>=N(NL(,"Jet Vendor Period Balance","Period Balance","Vendor Number","@@"&amp;$E176,"Period ID",$E$7,"Year Filter",$E$8))-N(NL(,"Jet Vendor Period Balance","Period Balance","Vendor Number","@@"&amp;$E176,"Period ID",$E$7-1,"Year Filter",$E$8))</t>
  </si>
  <si>
    <t>=N(NL(,"Jet Vendor Period Balance","Period Balance","Vendor Number","@@"&amp;$E176,"Period ID",$E$7,"Year Filter",$E$8))-N(NL(,"Jet Vendor Period Balance","Period Balance","Vendor Number","@@"&amp;$E176,"Period ID",0,"Year Filter",$E$8))</t>
  </si>
  <si>
    <t>=N(NL(,"Jet Vendor Period Balance","Period Balance","Vendor Number","@@"&amp;$E176,"Period ID",$E$7,"Year Filter",$E$8))</t>
  </si>
  <si>
    <t>=C177</t>
  </si>
  <si>
    <t>="Total for "&amp;C178</t>
  </si>
  <si>
    <t>=SUBTOTAL(9,G175:G177)</t>
  </si>
  <si>
    <t>=SUBTOTAL(9,H175:H177)</t>
  </si>
  <si>
    <t>=SUBTOTAL(9,I175:I177)</t>
  </si>
  <si>
    <t>=D180</t>
  </si>
  <si>
    <t>="Total for "&amp;C183</t>
  </si>
  <si>
    <t>=SUBTOTAL(9,G181:G182)</t>
  </si>
  <si>
    <t>=SUBTOTAL(9,H181:H182)</t>
  </si>
  <si>
    <t>=SUBTOTAL(9,I181:I182)</t>
  </si>
  <si>
    <t>=C183</t>
  </si>
  <si>
    <t>=D185</t>
  </si>
  <si>
    <t>=N(NL(,"Jet Vendor Period Balance","Period Balance","Vendor Number","@@"&amp;$E186,"Period ID",$E$7,"Year Filter",$E$8))-N(NL(,"Jet Vendor Period Balance","Period Balance","Vendor Number","@@"&amp;$E186,"Period ID",$E$7-1,"Year Filter",$E$8))</t>
  </si>
  <si>
    <t>=N(NL(,"Jet Vendor Period Balance","Period Balance","Vendor Number","@@"&amp;$E186,"Period ID",$E$7,"Year Filter",$E$8))-N(NL(,"Jet Vendor Period Balance","Period Balance","Vendor Number","@@"&amp;$E186,"Period ID",0,"Year Filter",$E$8))</t>
  </si>
  <si>
    <t>=N(NL(,"Jet Vendor Period Balance","Period Balance","Vendor Number","@@"&amp;$E186,"Period ID",$E$7,"Year Filter",$E$8))</t>
  </si>
  <si>
    <t>=C186</t>
  </si>
  <si>
    <t>=N(NL(,"Jet Vendor Period Balance","Period Balance","Vendor Number","@@"&amp;$E187,"Period ID",$E$7,"Year Filter",$E$8))-N(NL(,"Jet Vendor Period Balance","Period Balance","Vendor Number","@@"&amp;$E187,"Period ID",$E$7-1,"Year Filter",$E$8))</t>
  </si>
  <si>
    <t>=N(NL(,"Jet Vendor Period Balance","Period Balance","Vendor Number","@@"&amp;$E187,"Period ID",$E$7,"Year Filter",$E$8))-N(NL(,"Jet Vendor Period Balance","Period Balance","Vendor Number","@@"&amp;$E187,"Period ID",0,"Year Filter",$E$8))</t>
  </si>
  <si>
    <t>=N(NL(,"Jet Vendor Period Balance","Period Balance","Vendor Number","@@"&amp;$E187,"Period ID",$E$7,"Year Filter",$E$8))</t>
  </si>
  <si>
    <t>=C191</t>
  </si>
  <si>
    <t>="Total for "&amp;C192</t>
  </si>
  <si>
    <t>=SUBTOTAL(9,G186:G191)</t>
  </si>
  <si>
    <t>=SUBTOTAL(9,H186:H191)</t>
  </si>
  <si>
    <t>=SUBTOTAL(9,I186:I191)</t>
  </si>
  <si>
    <t>=D194</t>
  </si>
  <si>
    <t>=C194</t>
  </si>
  <si>
    <t>=N(NL(,"Jet Vendor Period Balance","Period Balance","Vendor Number","@@"&amp;$E195,"Period ID",$E$7,"Year Filter",$E$8))-N(NL(,"Jet Vendor Period Balance","Period Balance","Vendor Number","@@"&amp;$E195,"Period ID",$E$7-1,"Year Filter",$E$8))</t>
  </si>
  <si>
    <t>=N(NL(,"Jet Vendor Period Balance","Period Balance","Vendor Number","@@"&amp;$E195,"Period ID",$E$7,"Year Filter",$E$8))-N(NL(,"Jet Vendor Period Balance","Period Balance","Vendor Number","@@"&amp;$E195,"Period ID",0,"Year Filter",$E$8))</t>
  </si>
  <si>
    <t>=N(NL(,"Jet Vendor Period Balance","Period Balance","Vendor Number","@@"&amp;$E195,"Period ID",$E$7,"Year Filter",$E$8))</t>
  </si>
  <si>
    <t>=C197</t>
  </si>
  <si>
    <t>=N(NL(,"Jet Vendor Period Balance","Period Balance","Vendor Number","@@"&amp;$E198,"Period ID",$E$7,"Year Filter",$E$8))-N(NL(,"Jet Vendor Period Balance","Period Balance","Vendor Number","@@"&amp;$E198,"Period ID",$E$7-1,"Year Filter",$E$8))</t>
  </si>
  <si>
    <t>=N(NL(,"Jet Vendor Period Balance","Period Balance","Vendor Number","@@"&amp;$E198,"Period ID",$E$7,"Year Filter",$E$8))-N(NL(,"Jet Vendor Period Balance","Period Balance","Vendor Number","@@"&amp;$E198,"Period ID",0,"Year Filter",$E$8))</t>
  </si>
  <si>
    <t>=N(NL(,"Jet Vendor Period Balance","Period Balance","Vendor Number","@@"&amp;$E198,"Period ID",$E$7,"Year Filter",$E$8))</t>
  </si>
  <si>
    <t>="Total for "&amp;C200</t>
  </si>
  <si>
    <t>=SUBTOTAL(9,G195:G199)</t>
  </si>
  <si>
    <t>=SUBTOTAL(9,H195:H199)</t>
  </si>
  <si>
    <t>=SUBTOTAL(9,I195:I199)</t>
  </si>
  <si>
    <t>=C200</t>
  </si>
  <si>
    <t>=D202</t>
  </si>
  <si>
    <t>=N(NL(,"Jet Vendor Period Balance","Period Balance","Vendor Number","@@"&amp;$E203,"Period ID",$E$7,"Year Filter",$E$8))-N(NL(,"Jet Vendor Period Balance","Period Balance","Vendor Number","@@"&amp;$E203,"Period ID",$E$7-1,"Year Filter",$E$8))</t>
  </si>
  <si>
    <t>=N(NL(,"Jet Vendor Period Balance","Period Balance","Vendor Number","@@"&amp;$E203,"Period ID",$E$7,"Year Filter",$E$8))-N(NL(,"Jet Vendor Period Balance","Period Balance","Vendor Number","@@"&amp;$E203,"Period ID",0,"Year Filter",$E$8))</t>
  </si>
  <si>
    <t>=N(NL(,"Jet Vendor Period Balance","Period Balance","Vendor Number","@@"&amp;$E203,"Period ID",$E$7,"Year Filter",$E$8))</t>
  </si>
  <si>
    <t>=N(NL(,"Jet Vendor Period Balance","Period Balance","Vendor Number","@@"&amp;$E204,"Period ID",$E$7,"Year Filter",$E$8))-N(NL(,"Jet Vendor Period Balance","Period Balance","Vendor Number","@@"&amp;$E204,"Period ID",$E$7-1,"Year Filter",$E$8))</t>
  </si>
  <si>
    <t>=N(NL(,"Jet Vendor Period Balance","Period Balance","Vendor Number","@@"&amp;$E204,"Period ID",$E$7,"Year Filter",$E$8))-N(NL(,"Jet Vendor Period Balance","Period Balance","Vendor Number","@@"&amp;$E204,"Period ID",0,"Year Filter",$E$8))</t>
  </si>
  <si>
    <t>=N(NL(,"Jet Vendor Period Balance","Period Balance","Vendor Number","@@"&amp;$E204,"Period ID",$E$7,"Year Filter",$E$8))</t>
  </si>
  <si>
    <t>=C205</t>
  </si>
  <si>
    <t>="Total for "&amp;C206</t>
  </si>
  <si>
    <t>=SUBTOTAL(9,G203:G205)</t>
  </si>
  <si>
    <t>=SUBTOTAL(9,H203:H205)</t>
  </si>
  <si>
    <t>=SUBTOTAL(9,I203:I205)</t>
  </si>
  <si>
    <t>=D208</t>
  </si>
  <si>
    <t>=N(NL(,"Jet Vendor Period Balance","Period Balance","Vendor Number","@@"&amp;$E209,"Period ID",$E$7,"Year Filter",$E$8))-N(NL(,"Jet Vendor Period Balance","Period Balance","Vendor Number","@@"&amp;$E209,"Period ID",$E$7-1,"Year Filter",$E$8))</t>
  </si>
  <si>
    <t>=N(NL(,"Jet Vendor Period Balance","Period Balance","Vendor Number","@@"&amp;$E209,"Period ID",$E$7,"Year Filter",$E$8))-N(NL(,"Jet Vendor Period Balance","Period Balance","Vendor Number","@@"&amp;$E209,"Period ID",0,"Year Filter",$E$8))</t>
  </si>
  <si>
    <t>=N(NL(,"Jet Vendor Period Balance","Period Balance","Vendor Number","@@"&amp;$E209,"Period ID",$E$7,"Year Filter",$E$8))</t>
  </si>
  <si>
    <t>=C210</t>
  </si>
  <si>
    <t>="Total for "&amp;C211</t>
  </si>
  <si>
    <t>=SUBTOTAL(9,G209:G210)</t>
  </si>
  <si>
    <t>=SUBTOTAL(9,H209:H210)</t>
  </si>
  <si>
    <t>=SUBTOTAL(9,I209:I210)</t>
  </si>
  <si>
    <t>=D213</t>
  </si>
  <si>
    <t>=C213</t>
  </si>
  <si>
    <t>=N(NL(,"Jet Vendor Period Balance","Period Balance","Vendor Number","@@"&amp;$E214,"Period ID",$E$7,"Year Filter",$E$8))-N(NL(,"Jet Vendor Period Balance","Period Balance","Vendor Number","@@"&amp;$E214,"Period ID",$E$7-1,"Year Filter",$E$8))</t>
  </si>
  <si>
    <t>=N(NL(,"Jet Vendor Period Balance","Period Balance","Vendor Number","@@"&amp;$E214,"Period ID",$E$7,"Year Filter",$E$8))-N(NL(,"Jet Vendor Period Balance","Period Balance","Vendor Number","@@"&amp;$E214,"Period ID",0,"Year Filter",$E$8))</t>
  </si>
  <si>
    <t>=N(NL(,"Jet Vendor Period Balance","Period Balance","Vendor Number","@@"&amp;$E214,"Period ID",$E$7,"Year Filter",$E$8))</t>
  </si>
  <si>
    <t>=C214</t>
  </si>
  <si>
    <t>=C215</t>
  </si>
  <si>
    <t>="Total for "&amp;C216</t>
  </si>
  <si>
    <t>=SUBTOTAL(9,G214:G215)</t>
  </si>
  <si>
    <t>=SUBTOTAL(9,H214:H215)</t>
  </si>
  <si>
    <t>=SUBTOTAL(9,I214:I215)</t>
  </si>
  <si>
    <t>=C216</t>
  </si>
  <si>
    <t>=C218</t>
  </si>
  <si>
    <t>=SUBTOTAL(9,G15:G218)</t>
  </si>
  <si>
    <t>=SUBTOTAL(9,H15:H218)</t>
  </si>
  <si>
    <t>=SUBTOTAL(9,I15:I218)</t>
  </si>
  <si>
    <t>=NL("Lookup","Jet Vendor Master","State","State","&lt;&gt;''")</t>
  </si>
  <si>
    <t>=NL("Rows=5","Jet Vendor Master","State","State",$E$6,"Vendor Number",$E$9)</t>
  </si>
  <si>
    <t>=NL("Rows","Jet Vendor Master","Vendor Number","State","@@"&amp;$D14,"Vendor Number",$E$9)</t>
  </si>
  <si>
    <t>=NL(,"Jet Vendor Master","Vendor Name","Vendor Number","@@"&amp;$E15)</t>
  </si>
  <si>
    <t>=NL(,"Jet Vendor Master","Vendor Name","Vendor Number","@@"&amp;$E16)</t>
  </si>
  <si>
    <t>=NL(,"Jet Vendor Master","Vendor Name","Vendor Number","@@"&amp;$E17)</t>
  </si>
  <si>
    <t>=NL("Rows","Jet Vendor Master","Vendor Number","State","@@"&amp;$D21,"Vendor Number",$E$9)</t>
  </si>
  <si>
    <t>=NL(,"Jet Vendor Master","Vendor Name","Vendor Number","@@"&amp;$E22)</t>
  </si>
  <si>
    <t>=NL(,"Jet Vendor Master","Vendor Name","Vendor Number","@@"&amp;$E23)</t>
  </si>
  <si>
    <t>=NL(,"Jet Vendor Master","Vendor Name","Vendor Number","@@"&amp;$E24)</t>
  </si>
  <si>
    <t>=NL(,"Jet Vendor Master","Vendor Name","Vendor Number","@@"&amp;$E25)</t>
  </si>
  <si>
    <t>=NL(,"Jet Vendor Master","Vendor Name","Vendor Number","@@"&amp;$E26)</t>
  </si>
  <si>
    <t>=NL("Rows","Jet Vendor Master","Vendor Number","State","@@"&amp;$D30,"Vendor Number",$E$9)</t>
  </si>
  <si>
    <t>=NL(,"Jet Vendor Master","Vendor Name","Vendor Number","@@"&amp;$E31)</t>
  </si>
  <si>
    <t>=NL(,"Jet Vendor Master","Vendor Name","Vendor Number","@@"&amp;$E32)</t>
  </si>
  <si>
    <t>=NL(,"Jet Vendor Master","Vendor Name","Vendor Number","@@"&amp;$E33)</t>
  </si>
  <si>
    <t>=NL(,"Jet Vendor Master","Vendor Name","Vendor Number","@@"&amp;$E34)</t>
  </si>
  <si>
    <t>=NL("Rows","Jet Vendor Master","Vendor Number","State","@@"&amp;$D38,"Vendor Number",$E$9)</t>
  </si>
  <si>
    <t>=NL(,"Jet Vendor Master","Vendor Name","Vendor Number","@@"&amp;$E39)</t>
  </si>
  <si>
    <t>=NL(,"Jet Vendor Master","Vendor Name","Vendor Number","@@"&amp;$E40)</t>
  </si>
  <si>
    <t>=NL(,"Jet Vendor Master","Vendor Name","Vendor Number","@@"&amp;$E41)</t>
  </si>
  <si>
    <t>=NL("Rows","Jet Vendor Master","Vendor Number","State","@@"&amp;$D45,"Vendor Number",$E$9)</t>
  </si>
  <si>
    <t>=NL(,"Jet Vendor Master","Vendor Name","Vendor Number","@@"&amp;$E46)</t>
  </si>
  <si>
    <t>=NL("Rows","Jet Vendor Master","Vendor Number","State","@@"&amp;$D50,"Vendor Number",$E$9)</t>
  </si>
  <si>
    <t>=NL(,"Jet Vendor Master","Vendor Name","Vendor Number","@@"&amp;$E51)</t>
  </si>
  <si>
    <t>=NL(,"Jet Vendor Master","Vendor Name","Vendor Number","@@"&amp;$E52)</t>
  </si>
  <si>
    <t>=NL("Rows","Jet Vendor Master","Vendor Number","State","@@"&amp;$D56,"Vendor Number",$E$9)</t>
  </si>
  <si>
    <t>=NL(,"Jet Vendor Master","Vendor Name","Vendor Number","@@"&amp;$E57)</t>
  </si>
  <si>
    <t>=NL(,"Jet Vendor Master","Vendor Name","Vendor Number","@@"&amp;$E58)</t>
  </si>
  <si>
    <t>=NL("Rows","Jet Vendor Master","Vendor Number","State","@@"&amp;$D62,"Vendor Number",$E$9)</t>
  </si>
  <si>
    <t>=NL(,"Jet Vendor Master","Vendor Name","Vendor Number","@@"&amp;$E63)</t>
  </si>
  <si>
    <t>=NL(,"Jet Vendor Master","Vendor Name","Vendor Number","@@"&amp;$E64)</t>
  </si>
  <si>
    <t>=NL("Rows","Jet Vendor Master","Vendor Number","State","@@"&amp;$D68,"Vendor Number",$E$9)</t>
  </si>
  <si>
    <t>=NL(,"Jet Vendor Master","Vendor Name","Vendor Number","@@"&amp;$E69)</t>
  </si>
  <si>
    <t>=NL(,"Jet Vendor Master","Vendor Name","Vendor Number","@@"&amp;$E70)</t>
  </si>
  <si>
    <t>=NL(,"Jet Vendor Master","Vendor Name","Vendor Number","@@"&amp;$E71)</t>
  </si>
  <si>
    <t>=NL(,"Jet Vendor Master","Vendor Name","Vendor Number","@@"&amp;$E72)</t>
  </si>
  <si>
    <t>=NL(,"Jet Vendor Master","Vendor Name","Vendor Number","@@"&amp;$E73)</t>
  </si>
  <si>
    <t>=NL(,"Jet Vendor Master","Vendor Name","Vendor Number","@@"&amp;$E74)</t>
  </si>
  <si>
    <t>=NL(,"Jet Vendor Master","Vendor Name","Vendor Number","@@"&amp;$E75)</t>
  </si>
  <si>
    <t>=NL(,"Jet Vendor Master","Vendor Name","Vendor Number","@@"&amp;$E76)</t>
  </si>
  <si>
    <t>=NL(,"Jet Vendor Master","Vendor Name","Vendor Number","@@"&amp;$E77)</t>
  </si>
  <si>
    <t>=NL(,"Jet Vendor Master","Vendor Name","Vendor Number","@@"&amp;$E78)</t>
  </si>
  <si>
    <t>=NL(,"Jet Vendor Master","Vendor Name","Vendor Number","@@"&amp;$E79)</t>
  </si>
  <si>
    <t>=NL(,"Jet Vendor Master","Vendor Name","Vendor Number","@@"&amp;$E80)</t>
  </si>
  <si>
    <t>=NL(,"Jet Vendor Master","Vendor Name","Vendor Number","@@"&amp;$E81)</t>
  </si>
  <si>
    <t>=NL(,"Jet Vendor Master","Vendor Name","Vendor Number","@@"&amp;$E82)</t>
  </si>
  <si>
    <t>=NL(,"Jet Vendor Master","Vendor Name","Vendor Number","@@"&amp;$E83)</t>
  </si>
  <si>
    <t>=NL(,"Jet Vendor Master","Vendor Name","Vendor Number","@@"&amp;$E84)</t>
  </si>
  <si>
    <t>=NL(,"Jet Vendor Master","Vendor Name","Vendor Number","@@"&amp;$E85)</t>
  </si>
  <si>
    <t>=NL(,"Jet Vendor Master","Vendor Name","Vendor Number","@@"&amp;$E86)</t>
  </si>
  <si>
    <t>=NL(,"Jet Vendor Master","Vendor Name","Vendor Number","@@"&amp;$E87)</t>
  </si>
  <si>
    <t>=NL(,"Jet Vendor Master","Vendor Name","Vendor Number","@@"&amp;$E88)</t>
  </si>
  <si>
    <t>=NL(,"Jet Vendor Master","Vendor Name","Vendor Number","@@"&amp;$E89)</t>
  </si>
  <si>
    <t>=NL(,"Jet Vendor Master","Vendor Name","Vendor Number","@@"&amp;$E90)</t>
  </si>
  <si>
    <t>=NL(,"Jet Vendor Master","Vendor Name","Vendor Number","@@"&amp;$E91)</t>
  </si>
  <si>
    <t>=NL(,"Jet Vendor Master","Vendor Name","Vendor Number","@@"&amp;$E92)</t>
  </si>
  <si>
    <t>=NL(,"Jet Vendor Master","Vendor Name","Vendor Number","@@"&amp;$E93)</t>
  </si>
  <si>
    <t>=NL(,"Jet Vendor Master","Vendor Name","Vendor Number","@@"&amp;$E94)</t>
  </si>
  <si>
    <t>=NL(,"Jet Vendor Master","Vendor Name","Vendor Number","@@"&amp;$E95)</t>
  </si>
  <si>
    <t>=NL("Rows","Jet Vendor Master","Vendor Number","State","@@"&amp;$D99,"Vendor Number",$E$9)</t>
  </si>
  <si>
    <t>=NL(,"Jet Vendor Master","Vendor Name","Vendor Number","@@"&amp;$E100)</t>
  </si>
  <si>
    <t>=NL(,"Jet Vendor Master","Vendor Name","Vendor Number","@@"&amp;$E101)</t>
  </si>
  <si>
    <t>=NL("Rows","Jet Vendor Master","Vendor Number","State","@@"&amp;$D105,"Vendor Number",$E$9)</t>
  </si>
  <si>
    <t>=NL(,"Jet Vendor Master","Vendor Name","Vendor Number","@@"&amp;$E106)</t>
  </si>
  <si>
    <t>=NL(,"Jet Vendor Master","Vendor Name","Vendor Number","@@"&amp;$E107)</t>
  </si>
  <si>
    <t>=NL("Rows","Jet Vendor Master","Vendor Number","State","@@"&amp;$D111,"Vendor Number",$E$9)</t>
  </si>
  <si>
    <t>=NL(,"Jet Vendor Master","Vendor Name","Vendor Number","@@"&amp;$E112)</t>
  </si>
  <si>
    <t>=NL("Rows","Jet Vendor Master","Vendor Number","State","@@"&amp;$D116,"Vendor Number",$E$9)</t>
  </si>
  <si>
    <t>=NL(,"Jet Vendor Master","Vendor Name","Vendor Number","@@"&amp;$E117)</t>
  </si>
  <si>
    <t>=NL("Rows","Jet Vendor Master","Vendor Number","State","@@"&amp;$D121,"Vendor Number",$E$9)</t>
  </si>
  <si>
    <t>=NL(,"Jet Vendor Master","Vendor Name","Vendor Number","@@"&amp;$E122)</t>
  </si>
  <si>
    <t>=NL(,"Jet Vendor Master","Vendor Name","Vendor Number","@@"&amp;$E123)</t>
  </si>
  <si>
    <t>=NL(,"Jet Vendor Master","Vendor Name","Vendor Number","@@"&amp;$E124)</t>
  </si>
  <si>
    <t>=NL("Rows","Jet Vendor Master","Vendor Number","State","@@"&amp;$D128,"Vendor Number",$E$9)</t>
  </si>
  <si>
    <t>=NL(,"Jet Vendor Master","Vendor Name","Vendor Number","@@"&amp;$E129)</t>
  </si>
  <si>
    <t>=NL(,"Jet Vendor Master","Vendor Name","Vendor Number","@@"&amp;$E130)</t>
  </si>
  <si>
    <t>=NL("Rows","Jet Vendor Master","Vendor Number","State","@@"&amp;$D134,"Vendor Number",$E$9)</t>
  </si>
  <si>
    <t>=NL(,"Jet Vendor Master","Vendor Name","Vendor Number","@@"&amp;$E135)</t>
  </si>
  <si>
    <t>=NL(,"Jet Vendor Master","Vendor Name","Vendor Number","@@"&amp;$E136)</t>
  </si>
  <si>
    <t>=NL(,"Jet Vendor Master","Vendor Name","Vendor Number","@@"&amp;$E137)</t>
  </si>
  <si>
    <t>=NL("Rows","Jet Vendor Master","Vendor Number","State","@@"&amp;$D141,"Vendor Number",$E$9)</t>
  </si>
  <si>
    <t>=NL(,"Jet Vendor Master","Vendor Name","Vendor Number","@@"&amp;$E142)</t>
  </si>
  <si>
    <t>=NL("Rows","Jet Vendor Master","Vendor Number","State","@@"&amp;$D146,"Vendor Number",$E$9)</t>
  </si>
  <si>
    <t>=NL(,"Jet Vendor Master","Vendor Name","Vendor Number","@@"&amp;$E147)</t>
  </si>
  <si>
    <t>=NL(,"Jet Vendor Master","Vendor Name","Vendor Number","@@"&amp;$E148)</t>
  </si>
  <si>
    <t>=NL("Rows","Jet Vendor Master","Vendor Number","State","@@"&amp;$D152,"Vendor Number",$E$9)</t>
  </si>
  <si>
    <t>=NL(,"Jet Vendor Master","Vendor Name","Vendor Number","@@"&amp;$E153)</t>
  </si>
  <si>
    <t>=NL("Rows","Jet Vendor Master","Vendor Number","State","@@"&amp;$D157,"Vendor Number",$E$9)</t>
  </si>
  <si>
    <t>=NL(,"Jet Vendor Master","Vendor Name","Vendor Number","@@"&amp;$E158)</t>
  </si>
  <si>
    <t>=NL("Rows","Jet Vendor Master","Vendor Number","State","@@"&amp;$D162,"Vendor Number",$E$9)</t>
  </si>
  <si>
    <t>=NL(,"Jet Vendor Master","Vendor Name","Vendor Number","@@"&amp;$E163)</t>
  </si>
  <si>
    <t>=NL("Rows","Jet Vendor Master","Vendor Number","State","@@"&amp;$D167,"Vendor Number",$E$9)</t>
  </si>
  <si>
    <t>=NL(,"Jet Vendor Master","Vendor Name","Vendor Number","@@"&amp;$E168)</t>
  </si>
  <si>
    <t>=NL(,"Jet Vendor Master","Vendor Name","Vendor Number","@@"&amp;$E169)</t>
  </si>
  <si>
    <t>=NL(,"Jet Vendor Master","Vendor Name","Vendor Number","@@"&amp;$E170)</t>
  </si>
  <si>
    <t>=NL("Rows","Jet Vendor Master","Vendor Number","State","@@"&amp;$D174,"Vendor Number",$E$9)</t>
  </si>
  <si>
    <t>=NL(,"Jet Vendor Master","Vendor Name","Vendor Number","@@"&amp;$E175)</t>
  </si>
  <si>
    <t>=NL(,"Jet Vendor Master","Vendor Name","Vendor Number","@@"&amp;$E176)</t>
  </si>
  <si>
    <t>=NL("Rows","Jet Vendor Master","Vendor Number","State","@@"&amp;$D180,"Vendor Number",$E$9)</t>
  </si>
  <si>
    <t>=NL(,"Jet Vendor Master","Vendor Name","Vendor Number","@@"&amp;$E181)</t>
  </si>
  <si>
    <t>=NL("Rows","Jet Vendor Master","Vendor Number","State","@@"&amp;$D185,"Vendor Number",$E$9)</t>
  </si>
  <si>
    <t>=NL(,"Jet Vendor Master","Vendor Name","Vendor Number","@@"&amp;$E186)</t>
  </si>
  <si>
    <t>=NL(,"Jet Vendor Master","Vendor Name","Vendor Number","@@"&amp;$E187)</t>
  </si>
  <si>
    <t>=NL(,"Jet Vendor Master","Vendor Name","Vendor Number","@@"&amp;$E188)</t>
  </si>
  <si>
    <t>=NL(,"Jet Vendor Master","Vendor Name","Vendor Number","@@"&amp;$E189)</t>
  </si>
  <si>
    <t>=NL(,"Jet Vendor Master","Vendor Name","Vendor Number","@@"&amp;$E190)</t>
  </si>
  <si>
    <t>=NL("Rows","Jet Vendor Master","Vendor Number","State","@@"&amp;$D194,"Vendor Number",$E$9)</t>
  </si>
  <si>
    <t>=NL(,"Jet Vendor Master","Vendor Name","Vendor Number","@@"&amp;$E195)</t>
  </si>
  <si>
    <t>=NL(,"Jet Vendor Master","Vendor Name","Vendor Number","@@"&amp;$E196)</t>
  </si>
  <si>
    <t>=NL(,"Jet Vendor Master","Vendor Name","Vendor Number","@@"&amp;$E197)</t>
  </si>
  <si>
    <t>=NL(,"Jet Vendor Master","Vendor Name","Vendor Number","@@"&amp;$E198)</t>
  </si>
  <si>
    <t>=NL("Rows","Jet Vendor Master","Vendor Number","State","@@"&amp;$D202,"Vendor Number",$E$9)</t>
  </si>
  <si>
    <t>=NL(,"Jet Vendor Master","Vendor Name","Vendor Number","@@"&amp;$E203)</t>
  </si>
  <si>
    <t>=NL(,"Jet Vendor Master","Vendor Name","Vendor Number","@@"&amp;$E204)</t>
  </si>
  <si>
    <t>=NL("Rows","Jet Vendor Master","Vendor Number","State","@@"&amp;$D208,"Vendor Number",$E$9)</t>
  </si>
  <si>
    <t>=NL(,"Jet Vendor Master","Vendor Name","Vendor Number","@@"&amp;$E209)</t>
  </si>
  <si>
    <t>=NL("Rows","Jet Vendor Master","Vendor Number","State","@@"&amp;$D213,"Vendor Number",$E$9)</t>
  </si>
  <si>
    <t>=NL(,"Jet Vendor Master","Vendor Name","Vendor Number","@@"&amp;$E214)</t>
  </si>
  <si>
    <t>="INLANDRE0001"</t>
  </si>
  <si>
    <t>="STRATEGI0001"</t>
  </si>
  <si>
    <t>="AB"</t>
  </si>
  <si>
    <t>="INTEGRAT0001"</t>
  </si>
  <si>
    <t>="JENSENSY0001"</t>
  </si>
  <si>
    <t>="NORTHERN0001"</t>
  </si>
  <si>
    <t>="OFFICEDE0001"</t>
  </si>
  <si>
    <t>="BC"</t>
  </si>
  <si>
    <t>="INTERNAT0001"</t>
  </si>
  <si>
    <t>="LINDELLB0001"</t>
  </si>
  <si>
    <t>="SUPERIOR0001"</t>
  </si>
  <si>
    <t>="CA"</t>
  </si>
  <si>
    <t>="SIGNATUR0002"</t>
  </si>
  <si>
    <t>="SOFTEL000001"</t>
  </si>
  <si>
    <t>="DC"</t>
  </si>
  <si>
    <t>="DE"</t>
  </si>
  <si>
    <t>="WOODGROV0001"</t>
  </si>
  <si>
    <t>="FL"</t>
  </si>
  <si>
    <t>="PAGEMAST0001"</t>
  </si>
  <si>
    <t>="IA"</t>
  </si>
  <si>
    <t>="RELIANCE0001"</t>
  </si>
  <si>
    <t>="IL"</t>
  </si>
  <si>
    <t>="ALLENSON0001"</t>
  </si>
  <si>
    <t>="AMERICAN0001"</t>
  </si>
  <si>
    <t>="ATTRACTI00001"</t>
  </si>
  <si>
    <t>="BEAUMONT0001"</t>
  </si>
  <si>
    <t>="BLOOMING0001"</t>
  </si>
  <si>
    <t>="CARLSONS0001"</t>
  </si>
  <si>
    <t>="CHICAGOC0001"</t>
  </si>
  <si>
    <t>="CHICAGOR0001"</t>
  </si>
  <si>
    <t>="DOLECKIC0001"</t>
  </si>
  <si>
    <t>="GKCLEANI0001"</t>
  </si>
  <si>
    <t>="HARVEYEL0001"</t>
  </si>
  <si>
    <t>="ILSTATE0001"</t>
  </si>
  <si>
    <t>="INNERCIT0001"</t>
  </si>
  <si>
    <t>="KNOPFLER0001"</t>
  </si>
  <si>
    <t>="METROBUS0001"</t>
  </si>
  <si>
    <t>="MIDWESTA0001"</t>
  </si>
  <si>
    <t>="MIDWESTT0001"</t>
  </si>
  <si>
    <t>="NATLASSO0001"</t>
  </si>
  <si>
    <t>="OFFICESP0001"</t>
  </si>
  <si>
    <t>="PROFESSI0001"</t>
  </si>
  <si>
    <t>="SHIPPING0001"</t>
  </si>
  <si>
    <t>="TIMELYSH0001"</t>
  </si>
  <si>
    <t>="TREYRESE0001"</t>
  </si>
  <si>
    <t>="UPTOWNTR0001"</t>
  </si>
  <si>
    <t>="WESTAMER0001"</t>
  </si>
  <si>
    <t>="WESTJUNC0001"</t>
  </si>
  <si>
    <t>="IN"</t>
  </si>
  <si>
    <t>="SKYLABS0001"</t>
  </si>
  <si>
    <t>="MB"</t>
  </si>
  <si>
    <t>="ELECTRON0001"</t>
  </si>
  <si>
    <t>="MD"</t>
  </si>
  <si>
    <t>="ME"</t>
  </si>
  <si>
    <t>="MI"</t>
  </si>
  <si>
    <t>="MULTINAT0001"</t>
  </si>
  <si>
    <t>="SIGNATUR0001"</t>
  </si>
  <si>
    <t>="MN"</t>
  </si>
  <si>
    <t>="TELECONN0001"</t>
  </si>
  <si>
    <t>="MO"</t>
  </si>
  <si>
    <t>="COMVEXIN0001"</t>
  </si>
  <si>
    <t>="MOSTATET0001"</t>
  </si>
  <si>
    <t>="NB"</t>
  </si>
  <si>
    <t>="NE"</t>
  </si>
  <si>
    <t>="NESTATE0001"</t>
  </si>
  <si>
    <t>="NF"</t>
  </si>
  <si>
    <t>="NJ"</t>
  </si>
  <si>
    <t>="NS"</t>
  </si>
  <si>
    <t>="NSW"</t>
  </si>
  <si>
    <t>="INTERNAT0002"</t>
  </si>
  <si>
    <t>="READYREN0001"</t>
  </si>
  <si>
    <t>="NY"</t>
  </si>
  <si>
    <t>="INTERNAT0003"</t>
  </si>
  <si>
    <t>="OH"</t>
  </si>
  <si>
    <t>="ON"</t>
  </si>
  <si>
    <t>="REVENUEC0001"</t>
  </si>
  <si>
    <t>="REVENUEC0002"</t>
  </si>
  <si>
    <t>="VISTATRA0001"</t>
  </si>
  <si>
    <t>="WOODCONS0001"</t>
  </si>
  <si>
    <t>="PQ"</t>
  </si>
  <si>
    <t>="DISTANTI0001"</t>
  </si>
  <si>
    <t>="TRAINING0001"</t>
  </si>
  <si>
    <t>="VISIONAD0001"</t>
  </si>
  <si>
    <t>="TX"</t>
  </si>
  <si>
    <t>="FABRIKAM0001"</t>
  </si>
  <si>
    <t>="WA"</t>
  </si>
  <si>
    <t>="WI"</t>
  </si>
  <si>
    <t>Report Options</t>
  </si>
  <si>
    <t>=NL("Lookup","Jet Vendor Master","Vendor Number","State",$E$4)</t>
  </si>
  <si>
    <t>="4"</t>
  </si>
  <si>
    <t>="2017"</t>
  </si>
  <si>
    <t>hide+Auto</t>
  </si>
  <si>
    <t>Notice that the value from cell D14 has been copied to column C and down five rows to fill the region of the state</t>
  </si>
  <si>
    <t>replicator.  This value can now be used for reference from anywhere within the region (see cell E17).</t>
  </si>
  <si>
    <t>="*"</t>
  </si>
  <si>
    <t>=StateFilter</t>
  </si>
  <si>
    <t>=PeriodFilter</t>
  </si>
  <si>
    <t>=YearFilter</t>
  </si>
  <si>
    <t>=VendorFilter</t>
  </si>
  <si>
    <t>Auto+Hide</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</si>
  <si>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</si>
  <si>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</si>
  <si>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</si>
  <si>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</si>
  <si>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</si>
  <si>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</si>
  <si>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</si>
  <si>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r>
      <t xml:space="preserve">The Jet Reports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</si>
  <si>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</si>
  <si>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</si>
  <si>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</si>
  <si>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</si>
  <si>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</si>
  <si>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</si>
  <si>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</si>
  <si>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</si>
  <si>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</si>
  <si>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r>
      <t xml:space="preserve">This report is intended to show vendors and vendor financials grouped by state.  It uses database views created by Jet Global, specifically the </t>
    </r>
    <r>
      <rPr>
        <b/>
        <sz val="10"/>
        <color theme="1"/>
        <rFont val="Segoe UI"/>
        <family val="2"/>
      </rPr>
      <t>Jet Vendor Period Balance View</t>
    </r>
    <r>
      <rPr>
        <sz val="10"/>
        <color theme="1"/>
        <rFont val="Segoe UI"/>
        <family val="2"/>
      </rPr>
      <t xml:space="preserve"> and the </t>
    </r>
    <r>
      <rPr>
        <b/>
        <sz val="10"/>
        <color theme="1"/>
        <rFont val="Segoe UI"/>
        <family val="2"/>
      </rPr>
      <t>Jet Vendor View</t>
    </r>
    <r>
      <rPr>
        <sz val="10"/>
        <color theme="1"/>
        <rFont val="Segoe UI"/>
        <family val="2"/>
      </rPr>
      <t>.  You will need to install these views prior to running this report.
For more information on installing Jet views for GP go to the Jet Help Center and search for "GP Update Utility."</t>
    </r>
  </si>
  <si>
    <t>Auto+Hide+HideSheet+Values+Formulas=Sheet8,Sheet9+FormulasOnly</t>
  </si>
  <si>
    <t>Auto+Hide+Values+Formulas=Sheet10,Sheet11+FormulasOnly</t>
  </si>
  <si>
    <t>Auto+Hide+HideSheet+Values+Formulas=Sheet12,Sheet8,Sheet9</t>
  </si>
  <si>
    <t>Auto+Hide+HideSheet+Values+Formulas=Sheet12,Sheet8,Sheet9+FormulasOnly</t>
  </si>
  <si>
    <t>Auto+Hide+Values+Formulas=Sheet13,Sheet10,Sheet11</t>
  </si>
  <si>
    <t>Auto+Hide+Values+Formulas=Sheet13,Sheet10,Sheet11+FormulasOnly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</si>
</sst>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43" formatCode="_(* #,##0.00_);_(* \(#,##0.00\);_(* &quot;-&quot;??_);_(@_)"/>
  </numFmts>
  <fonts count="25" x14ac:knownFonts="1">
    <font>
      <sz val="10"/>
      <name val="Arial"/>
    </font>
    <font>
      <sz val="11"/>
      <color theme="1"/>
      <name val="Calibri"/>
      <family val="2"/>
      <scheme val="minor"/>
    </font>
    <font>
      <sz val="10"/>
      <name val="Arial"/>
      <family val="2"/>
    </font>
    <font>
      <sz val="8"/>
      <name val="Arial"/>
      <family val="2"/>
    </font>
    <font>
      <sz val="10"/>
      <name val="Arial"/>
      <family val="2"/>
    </font>
    <font>
      <u/>
      <sz val="10"/>
      <color indexed="12"/>
      <name val="Arial"/>
      <family val="2"/>
    </font>
    <font>
      <sz val="10"/>
      <name val="Arial"/>
      <family val="2"/>
    </font>
    <font>
      <sz val="9"/>
      <color indexed="55"/>
      <name val="Segoe UI"/>
      <family val="2"/>
    </font>
    <font>
      <sz val="9"/>
      <name val="Segoe UI"/>
      <family val="2"/>
    </font>
    <font>
      <sz val="9"/>
      <color indexed="22"/>
      <name val="Segoe UI"/>
      <family val="2"/>
    </font>
    <font>
      <b/>
      <sz val="9"/>
      <name val="Segoe UI"/>
      <family val="2"/>
    </font>
    <font>
      <sz val="9"/>
      <color indexed="9"/>
      <name val="Segoe UI"/>
      <family val="2"/>
    </font>
    <font>
      <b/>
      <sz val="9"/>
      <color indexed="48"/>
      <name val="Segoe UI"/>
      <family val="2"/>
    </font>
    <font>
      <b/>
      <sz val="10"/>
      <color indexed="9"/>
      <name val="Segoe UI"/>
      <family val="2"/>
    </font>
    <font>
      <sz val="10"/>
      <name val="Calibri"/>
      <family val="2"/>
      <scheme val="minor"/>
    </font>
    <font>
      <b/>
      <sz val="12"/>
      <name val="Calibri"/>
      <family val="2"/>
      <scheme val="minor"/>
    </font>
    <font>
      <b/>
      <i/>
      <sz val="10"/>
      <color indexed="9"/>
      <name val="Segoe UI"/>
      <family val="2"/>
    </font>
    <font>
      <b/>
      <sz val="14"/>
      <color theme="8" tint="-0.499984740745262"/>
      <name val="Segoe UI"/>
      <family val="2"/>
    </font>
    <font>
      <sz val="10"/>
      <color theme="0" tint="-0.499984740745262"/>
      <name val="Calibri"/>
      <family val="2"/>
      <scheme val="minor"/>
    </font>
    <font>
      <sz val="9"/>
      <color theme="0" tint="-0.499984740745262"/>
      <name val="Segoe UI"/>
      <family val="2"/>
    </font>
    <font>
      <b/>
      <sz val="9"/>
      <color theme="0" tint="-0.499984740745262"/>
      <name val="Segoe UI"/>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6">
    <fill>
      <patternFill patternType="none"/>
    </fill>
    <fill>
      <patternFill patternType="gray125"/>
    </fill>
    <fill>
      <patternFill patternType="solid">
        <fgColor indexed="22"/>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4.9989318521683403E-2"/>
        <bgColor indexed="64"/>
      </patternFill>
    </fill>
  </fills>
  <borders count="2">
    <border>
      <left/>
      <right/>
      <top/>
      <bottom/>
      <diagonal/>
    </border>
    <border>
      <left/>
      <right/>
      <top style="thin">
        <color indexed="64"/>
      </top>
      <bottom style="double">
        <color indexed="64"/>
      </bottom>
      <diagonal/>
    </border>
  </borders>
  <cellStyleXfs count="7">
    <xf numFmtId="0" fontId="0" fillId="0" borderId="0"/>
    <xf numFmtId="44" fontId="2" fillId="0" borderId="0" applyFont="0" applyFill="0" applyBorder="0" applyAlignment="0" applyProtection="0"/>
    <xf numFmtId="0" fontId="4" fillId="0" borderId="0"/>
    <xf numFmtId="0" fontId="6" fillId="0" borderId="0"/>
    <xf numFmtId="0" fontId="2" fillId="0" borderId="0"/>
    <xf numFmtId="0" fontId="1" fillId="0" borderId="0"/>
    <xf numFmtId="0" fontId="5" fillId="0" borderId="0" applyNumberFormat="0" applyFill="0" applyBorder="0" applyAlignment="0" applyProtection="0">
      <alignment vertical="top"/>
      <protection locked="0"/>
    </xf>
  </cellStyleXfs>
  <cellXfs count="40">
    <xf numFmtId="0" fontId="0" fillId="0" borderId="0" xfId="0"/>
    <xf numFmtId="0" fontId="0" fillId="0" borderId="0" xfId="0" quotePrefix="1"/>
    <xf numFmtId="0" fontId="7" fillId="0" borderId="0" xfId="0" applyFont="1"/>
    <xf numFmtId="0" fontId="8" fillId="0" borderId="0" xfId="0" applyFont="1"/>
    <xf numFmtId="0" fontId="9" fillId="0" borderId="0" xfId="0" applyFont="1"/>
    <xf numFmtId="0" fontId="10" fillId="0" borderId="0" xfId="0" applyFont="1"/>
    <xf numFmtId="0" fontId="8" fillId="0" borderId="0" xfId="0" applyFont="1" applyAlignment="1">
      <alignment horizontal="right"/>
    </xf>
    <xf numFmtId="0" fontId="10" fillId="0" borderId="0" xfId="0" applyFont="1" applyAlignment="1">
      <alignment horizontal="left"/>
    </xf>
    <xf numFmtId="14" fontId="8" fillId="0" borderId="0" xfId="0" applyNumberFormat="1" applyFont="1" applyAlignment="1">
      <alignment horizontal="right"/>
    </xf>
    <xf numFmtId="0" fontId="11" fillId="3" borderId="0" xfId="0" applyFont="1" applyFill="1" applyBorder="1"/>
    <xf numFmtId="0" fontId="7" fillId="2" borderId="0" xfId="0" applyFont="1" applyFill="1"/>
    <xf numFmtId="0" fontId="12" fillId="0" borderId="0" xfId="0" applyFont="1" applyFill="1" applyBorder="1"/>
    <xf numFmtId="0" fontId="8" fillId="0" borderId="0" xfId="0" applyFont="1" applyFill="1" applyBorder="1"/>
    <xf numFmtId="43" fontId="8" fillId="0" borderId="0" xfId="1" applyNumberFormat="1" applyFont="1"/>
    <xf numFmtId="43" fontId="8" fillId="0" borderId="0" xfId="0" applyNumberFormat="1" applyFont="1"/>
    <xf numFmtId="0" fontId="10" fillId="0" borderId="1" xfId="0" applyFont="1" applyBorder="1"/>
    <xf numFmtId="0" fontId="8" fillId="0" borderId="1" xfId="0" applyFont="1" applyBorder="1"/>
    <xf numFmtId="43" fontId="10" fillId="0" borderId="1" xfId="1" applyNumberFormat="1" applyFont="1" applyBorder="1"/>
    <xf numFmtId="0" fontId="13" fillId="3" borderId="0" xfId="0" applyFont="1" applyFill="1" applyBorder="1"/>
    <xf numFmtId="0" fontId="13" fillId="3" borderId="0" xfId="0" applyFont="1" applyFill="1" applyBorder="1" applyAlignment="1">
      <alignment horizontal="center"/>
    </xf>
    <xf numFmtId="0" fontId="14" fillId="0" borderId="0" xfId="0" applyFont="1"/>
    <xf numFmtId="0" fontId="14" fillId="0" borderId="0" xfId="0" applyFont="1" applyAlignment="1">
      <alignment horizontal="left"/>
    </xf>
    <xf numFmtId="0" fontId="15" fillId="4" borderId="0" xfId="0" applyFont="1" applyFill="1"/>
    <xf numFmtId="0" fontId="18" fillId="0" borderId="0" xfId="0" applyFont="1" applyFill="1"/>
    <xf numFmtId="0" fontId="18" fillId="0" borderId="0" xfId="0" applyFont="1"/>
    <xf numFmtId="0" fontId="8" fillId="5" borderId="0" xfId="0" applyFont="1" applyFill="1"/>
    <xf numFmtId="0" fontId="12" fillId="5" borderId="0" xfId="0" applyFont="1" applyFill="1" applyBorder="1"/>
    <xf numFmtId="0" fontId="10" fillId="5" borderId="0" xfId="0" applyFont="1" applyFill="1"/>
    <xf numFmtId="43" fontId="10" fillId="5" borderId="0" xfId="1" applyNumberFormat="1" applyFont="1" applyFill="1"/>
    <xf numFmtId="0" fontId="19" fillId="5" borderId="0" xfId="0" applyFont="1" applyFill="1"/>
    <xf numFmtId="0" fontId="20" fillId="5" borderId="0" xfId="0" applyFont="1" applyFill="1"/>
    <xf numFmtId="0" fontId="21" fillId="0" borderId="0" xfId="5" applyFont="1"/>
    <xf numFmtId="0" fontId="21" fillId="0" borderId="0" xfId="5" applyFont="1" applyAlignment="1">
      <alignment vertical="top"/>
    </xf>
    <xf numFmtId="0" fontId="21" fillId="0" borderId="0" xfId="5" applyFont="1" applyAlignment="1">
      <alignment vertical="top" wrapText="1"/>
    </xf>
    <xf numFmtId="0" fontId="22" fillId="0" borderId="0" xfId="5" applyFont="1" applyAlignment="1">
      <alignment vertical="top"/>
    </xf>
    <xf numFmtId="0" fontId="23" fillId="0" borderId="0" xfId="5" applyFont="1" applyAlignment="1">
      <alignment vertical="top"/>
    </xf>
    <xf numFmtId="0" fontId="24" fillId="0" borderId="0" xfId="5" applyFont="1" applyAlignment="1">
      <alignment vertical="top"/>
    </xf>
    <xf numFmtId="0" fontId="5" fillId="0" borderId="0" xfId="6" applyAlignment="1" applyProtection="1">
      <alignment vertical="top"/>
    </xf>
    <xf numFmtId="0" fontId="16" fillId="3" borderId="0" xfId="0" applyFont="1" applyFill="1" applyBorder="1" applyAlignment="1">
      <alignment horizontal="center"/>
    </xf>
    <xf numFmtId="0" fontId="17" fillId="4" borderId="0" xfId="0" applyFont="1" applyFill="1" applyAlignment="1"/>
  </cellXfs>
  <cellStyles count="7">
    <cellStyle name="Currency" xfId="1" builtinId="4"/>
    <cellStyle name="Hyperlink 3" xfId="6"/>
    <cellStyle name="Normal" xfId="0" builtinId="0"/>
    <cellStyle name="Normal 2" xfId="2"/>
    <cellStyle name="Normal 2 2" xfId="3"/>
    <cellStyle name="Normal 2 4" xfId="4"/>
    <cellStyle name="Normal 3" xf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E3EAF1"/>
      <rgbColor rgb="00CCFFFF"/>
      <rgbColor rgb="00CCFFCC"/>
      <rgbColor rgb="00E1E1D1"/>
      <rgbColor rgb="0099CCFF"/>
      <rgbColor rgb="00FF99CC"/>
      <rgbColor rgb="00CC99FF"/>
      <rgbColor rgb="00FFCC99"/>
      <rgbColor rgb="000074AB"/>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E28"/>
  <sheetViews>
    <sheetView showGridLines="0" tabSelected="1" topLeftCell="B2" workbookViewId="0"/>
  </sheetViews>
  <sheetFormatPr defaultColWidth="9.140625" defaultRowHeight="14.25" x14ac:dyDescent="0.25"/>
  <cols>
    <col min="1" max="1" width="3.42578125" style="31" hidden="1" customWidth="1"/>
    <col min="2" max="2" width="10.28515625" style="31" customWidth="1"/>
    <col min="3" max="3" width="27.140625" style="32" customWidth="1"/>
    <col min="4" max="4" width="77.28515625" style="33" customWidth="1"/>
    <col min="5" max="5" width="36.42578125" style="31" customWidth="1"/>
    <col min="6" max="16384" width="9.140625" style="31"/>
  </cols>
  <sheetData>
    <row r="1" spans="1:5" hidden="1" x14ac:dyDescent="0.25">
      <c r="A1" s="31" t="s">
        <v>832</v>
      </c>
    </row>
    <row r="7" spans="1:5" ht="30.75" x14ac:dyDescent="0.25">
      <c r="C7" s="34" t="s">
        <v>2</v>
      </c>
    </row>
    <row r="9" spans="1:5" x14ac:dyDescent="0.25">
      <c r="C9" s="35"/>
    </row>
    <row r="10" spans="1:5" ht="88.5" customHeight="1" x14ac:dyDescent="0.25">
      <c r="C10" s="36" t="s">
        <v>3</v>
      </c>
      <c r="D10" s="33" t="s">
        <v>850</v>
      </c>
    </row>
    <row r="11" spans="1:5" x14ac:dyDescent="0.25">
      <c r="C11" s="36"/>
    </row>
    <row r="12" spans="1:5" x14ac:dyDescent="0.25">
      <c r="C12" s="36" t="s">
        <v>4</v>
      </c>
      <c r="D12" s="33" t="s">
        <v>833</v>
      </c>
    </row>
    <row r="13" spans="1:5" x14ac:dyDescent="0.25">
      <c r="C13" s="36"/>
    </row>
    <row r="14" spans="1:5" ht="57" x14ac:dyDescent="0.25">
      <c r="C14" s="36" t="s">
        <v>5</v>
      </c>
      <c r="D14" s="33" t="s">
        <v>834</v>
      </c>
      <c r="E14" s="37" t="s">
        <v>835</v>
      </c>
    </row>
    <row r="15" spans="1:5" x14ac:dyDescent="0.25">
      <c r="C15" s="36"/>
      <c r="E15" s="32"/>
    </row>
    <row r="16" spans="1:5" ht="28.5" x14ac:dyDescent="0.25">
      <c r="C16" s="36" t="s">
        <v>836</v>
      </c>
      <c r="D16" s="33" t="s">
        <v>837</v>
      </c>
      <c r="E16" s="37" t="s">
        <v>838</v>
      </c>
    </row>
    <row r="17" spans="3:5" x14ac:dyDescent="0.25">
      <c r="C17" s="36"/>
      <c r="E17" s="32"/>
    </row>
    <row r="18" spans="3:5" ht="57" x14ac:dyDescent="0.25">
      <c r="C18" s="36" t="s">
        <v>839</v>
      </c>
      <c r="D18" s="33" t="s">
        <v>840</v>
      </c>
      <c r="E18" s="37" t="s">
        <v>841</v>
      </c>
    </row>
    <row r="19" spans="3:5" x14ac:dyDescent="0.25">
      <c r="C19" s="36"/>
      <c r="E19" s="32"/>
    </row>
    <row r="20" spans="3:5" ht="30.75" customHeight="1" x14ac:dyDescent="0.25">
      <c r="C20" s="36" t="s">
        <v>6</v>
      </c>
      <c r="D20" s="33" t="s">
        <v>842</v>
      </c>
      <c r="E20" s="37" t="s">
        <v>843</v>
      </c>
    </row>
    <row r="21" spans="3:5" x14ac:dyDescent="0.25">
      <c r="C21" s="36"/>
      <c r="E21" s="32"/>
    </row>
    <row r="22" spans="3:5" ht="14.25" customHeight="1" x14ac:dyDescent="0.25">
      <c r="C22" s="36" t="s">
        <v>7</v>
      </c>
      <c r="D22" s="33" t="s">
        <v>844</v>
      </c>
      <c r="E22" s="37" t="s">
        <v>845</v>
      </c>
    </row>
    <row r="23" spans="3:5" x14ac:dyDescent="0.25">
      <c r="C23" s="36"/>
      <c r="E23" s="32"/>
    </row>
    <row r="24" spans="3:5" ht="15" customHeight="1" x14ac:dyDescent="0.25">
      <c r="C24" s="36" t="s">
        <v>8</v>
      </c>
      <c r="D24" s="33" t="s">
        <v>846</v>
      </c>
      <c r="E24" s="37" t="s">
        <v>847</v>
      </c>
    </row>
    <row r="25" spans="3:5" x14ac:dyDescent="0.25">
      <c r="C25" s="36"/>
    </row>
    <row r="26" spans="3:5" ht="71.25" x14ac:dyDescent="0.25">
      <c r="C26" s="36" t="s">
        <v>9</v>
      </c>
      <c r="D26" s="33" t="s">
        <v>848</v>
      </c>
    </row>
    <row r="27" spans="3:5" x14ac:dyDescent="0.25">
      <c r="C27" s="36"/>
    </row>
    <row r="28" spans="3:5" ht="17.25" customHeight="1" x14ac:dyDescent="0.25">
      <c r="C28" s="36" t="s">
        <v>10</v>
      </c>
      <c r="D28" s="33" t="s">
        <v>849</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topLeftCell="B2" workbookViewId="0"/>
  </sheetViews>
  <sheetFormatPr defaultColWidth="9.140625" defaultRowHeight="12.75" x14ac:dyDescent="0.2"/>
  <cols>
    <col min="1" max="1" width="9.140625" style="20" hidden="1" customWidth="1"/>
    <col min="2" max="3" width="9.140625" style="20"/>
    <col min="4" max="4" width="14" style="20" bestFit="1" customWidth="1"/>
    <col min="5" max="5" width="15" style="20" customWidth="1"/>
    <col min="6" max="16384" width="9.140625" style="20"/>
  </cols>
  <sheetData>
    <row r="1" spans="1:6" hidden="1" x14ac:dyDescent="0.2">
      <c r="A1" s="23" t="s">
        <v>853</v>
      </c>
      <c r="B1" s="24"/>
      <c r="C1" s="24"/>
      <c r="D1" s="24" t="s">
        <v>24</v>
      </c>
      <c r="E1" s="24" t="s">
        <v>25</v>
      </c>
      <c r="F1" s="24" t="s">
        <v>26</v>
      </c>
    </row>
    <row r="2" spans="1:6" x14ac:dyDescent="0.2">
      <c r="A2" s="23"/>
    </row>
    <row r="3" spans="1:6" ht="15.75" x14ac:dyDescent="0.25">
      <c r="A3" s="23"/>
      <c r="D3" s="22" t="s">
        <v>820</v>
      </c>
      <c r="E3" s="22"/>
      <c r="F3" s="22"/>
    </row>
    <row r="4" spans="1:6" x14ac:dyDescent="0.2">
      <c r="A4" s="23" t="s">
        <v>23</v>
      </c>
      <c r="D4" s="20" t="s">
        <v>13</v>
      </c>
      <c r="E4" s="21" t="str">
        <f>"*"</f>
        <v>*</v>
      </c>
      <c r="F4" s="21" t="str">
        <f>"Lookup"</f>
        <v>Lookup</v>
      </c>
    </row>
    <row r="5" spans="1:6" x14ac:dyDescent="0.2">
      <c r="A5" s="23" t="s">
        <v>23</v>
      </c>
      <c r="D5" s="20" t="s">
        <v>27</v>
      </c>
      <c r="E5" s="21" t="str">
        <f>"4"</f>
        <v>4</v>
      </c>
      <c r="F5" s="21" t="str">
        <f>"Lookup"</f>
        <v>Lookup</v>
      </c>
    </row>
    <row r="6" spans="1:6" x14ac:dyDescent="0.2">
      <c r="A6" s="23" t="s">
        <v>23</v>
      </c>
      <c r="D6" s="20" t="s">
        <v>28</v>
      </c>
      <c r="E6" s="21" t="str">
        <f>"2017"</f>
        <v>2017</v>
      </c>
      <c r="F6" s="21" t="str">
        <f>"Lookup"</f>
        <v>Lookup</v>
      </c>
    </row>
    <row r="7" spans="1:6" x14ac:dyDescent="0.2">
      <c r="A7" s="23" t="s">
        <v>23</v>
      </c>
      <c r="D7" s="20" t="s">
        <v>0</v>
      </c>
      <c r="E7" s="20" t="str">
        <f>"*"</f>
        <v>*</v>
      </c>
      <c r="F7" s="21" t="str">
        <f>"Lookup"</f>
        <v>Lookup</v>
      </c>
    </row>
  </sheetData>
  <phoneticPr fontId="3" type="noConversion"/>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6"/>
  <sheetViews>
    <sheetView showGridLines="0" zoomScaleNormal="100" workbookViewId="0">
      <pane ySplit="13" topLeftCell="A14" activePane="bottomLeft" state="frozen"/>
      <selection pane="bottomLeft"/>
    </sheetView>
  </sheetViews>
  <sheetFormatPr defaultColWidth="9.140625" defaultRowHeight="12" x14ac:dyDescent="0.2"/>
  <cols>
    <col min="1" max="1" width="9.140625" style="3" hidden="1" customWidth="1"/>
    <col min="2" max="2" width="9.140625" style="3"/>
    <col min="3" max="3" width="9.140625" style="3" hidden="1" customWidth="1"/>
    <col min="4" max="4" width="9.140625" style="3"/>
    <col min="5" max="5" width="21.42578125" style="3" customWidth="1"/>
    <col min="6" max="6" width="31.42578125" style="3" customWidth="1"/>
    <col min="7" max="7" width="14.28515625" style="3" customWidth="1"/>
    <col min="8" max="8" width="14.7109375" style="3" customWidth="1"/>
    <col min="9" max="9" width="14.85546875" style="3" customWidth="1"/>
    <col min="10" max="10" width="9.140625" style="3" hidden="1" customWidth="1"/>
    <col min="11" max="16384" width="9.140625" style="3"/>
  </cols>
  <sheetData>
    <row r="1" spans="1:19" hidden="1" x14ac:dyDescent="0.2">
      <c r="A1" s="29" t="s">
        <v>855</v>
      </c>
      <c r="B1" s="29"/>
      <c r="C1" s="29" t="s">
        <v>19</v>
      </c>
      <c r="D1" s="29"/>
      <c r="E1" s="29"/>
      <c r="F1" s="29"/>
      <c r="G1" s="29"/>
      <c r="H1" s="29"/>
      <c r="I1" s="29"/>
      <c r="J1" s="29" t="s">
        <v>19</v>
      </c>
      <c r="K1" s="29"/>
      <c r="L1" s="29"/>
      <c r="M1" s="29"/>
      <c r="N1" s="29"/>
      <c r="O1" s="29"/>
      <c r="P1" s="29"/>
      <c r="Q1" s="29"/>
      <c r="R1" s="29"/>
      <c r="S1" s="29"/>
    </row>
    <row r="2" spans="1:19" x14ac:dyDescent="0.2">
      <c r="A2" s="29"/>
    </row>
    <row r="3" spans="1:19" x14ac:dyDescent="0.2">
      <c r="A3" s="29"/>
    </row>
    <row r="4" spans="1:19" s="5" customFormat="1" ht="20.25" x14ac:dyDescent="0.35">
      <c r="A4" s="30"/>
      <c r="D4" s="39" t="s">
        <v>14</v>
      </c>
      <c r="E4" s="39"/>
    </row>
    <row r="5" spans="1:19" x14ac:dyDescent="0.2">
      <c r="A5" s="29"/>
    </row>
    <row r="6" spans="1:19" x14ac:dyDescent="0.2">
      <c r="A6" s="29"/>
      <c r="D6" s="5" t="s">
        <v>20</v>
      </c>
      <c r="E6" s="6" t="str">
        <f>StateFilter</f>
        <v>*</v>
      </c>
    </row>
    <row r="7" spans="1:19" x14ac:dyDescent="0.2">
      <c r="A7" s="29"/>
      <c r="D7" s="5" t="s">
        <v>29</v>
      </c>
      <c r="E7" s="6" t="str">
        <f>PeriodFilter</f>
        <v>4</v>
      </c>
    </row>
    <row r="8" spans="1:19" x14ac:dyDescent="0.2">
      <c r="A8" s="29"/>
      <c r="D8" s="5" t="s">
        <v>30</v>
      </c>
      <c r="E8" s="6" t="str">
        <f>YearFilter</f>
        <v>2017</v>
      </c>
    </row>
    <row r="9" spans="1:19" x14ac:dyDescent="0.2">
      <c r="A9" s="29"/>
      <c r="D9" s="5" t="s">
        <v>1</v>
      </c>
      <c r="E9" s="6" t="str">
        <f>VendorFilter</f>
        <v>*</v>
      </c>
    </row>
    <row r="10" spans="1:19" x14ac:dyDescent="0.2">
      <c r="A10" s="29"/>
      <c r="D10" s="7" t="s">
        <v>22</v>
      </c>
      <c r="E10" s="8">
        <v>43368</v>
      </c>
    </row>
    <row r="11" spans="1:19" x14ac:dyDescent="0.2">
      <c r="A11" s="29"/>
    </row>
    <row r="12" spans="1:19" ht="14.25" x14ac:dyDescent="0.25">
      <c r="A12" s="29"/>
      <c r="D12" s="9"/>
      <c r="E12" s="9"/>
      <c r="F12" s="9"/>
      <c r="G12" s="38" t="s">
        <v>16</v>
      </c>
      <c r="H12" s="38"/>
      <c r="I12" s="9"/>
    </row>
    <row r="13" spans="1:19" ht="14.25" x14ac:dyDescent="0.25">
      <c r="A13" s="29"/>
      <c r="D13" s="18" t="s">
        <v>13</v>
      </c>
      <c r="E13" s="18" t="s">
        <v>11</v>
      </c>
      <c r="F13" s="18" t="s">
        <v>12</v>
      </c>
      <c r="G13" s="19" t="str">
        <f>"Period "&amp;E7</f>
        <v>Period 4</v>
      </c>
      <c r="H13" s="19" t="s">
        <v>15</v>
      </c>
      <c r="I13" s="19" t="s">
        <v>17</v>
      </c>
    </row>
    <row r="14" spans="1:19" x14ac:dyDescent="0.2">
      <c r="A14" s="29"/>
      <c r="C14" s="10">
        <f>D14</f>
        <v>0</v>
      </c>
      <c r="D14" s="11"/>
      <c r="E14" s="12"/>
      <c r="F14" s="12"/>
      <c r="G14" s="12"/>
      <c r="H14" s="12"/>
      <c r="I14" s="12"/>
    </row>
    <row r="15" spans="1:19" x14ac:dyDescent="0.2">
      <c r="A15" s="29"/>
      <c r="C15" s="10">
        <f>C14</f>
        <v>0</v>
      </c>
      <c r="E15" s="3" t="str">
        <f>"BURNETTT0001"</f>
        <v>BURNETTT0001</v>
      </c>
      <c r="F15" s="3" t="str">
        <f>"Burnett Travel Associates"</f>
        <v>Burnett Travel Associates</v>
      </c>
      <c r="G15" s="13">
        <v>0</v>
      </c>
      <c r="H15" s="13">
        <v>0</v>
      </c>
      <c r="I15" s="13">
        <v>10697.38</v>
      </c>
      <c r="J15" s="2"/>
    </row>
    <row r="16" spans="1:19" x14ac:dyDescent="0.2">
      <c r="A16" s="29" t="s">
        <v>52</v>
      </c>
      <c r="C16" s="10">
        <f t="shared" ref="C16:C17" si="0">C15</f>
        <v>0</v>
      </c>
      <c r="E16" s="3" t="str">
        <f>"INLANDRE0001"</f>
        <v>INLANDRE0001</v>
      </c>
      <c r="F16" s="3" t="str">
        <f>"Inland Revenue Department"</f>
        <v>Inland Revenue Department</v>
      </c>
      <c r="G16" s="13">
        <v>0</v>
      </c>
      <c r="H16" s="13">
        <v>0</v>
      </c>
      <c r="I16" s="13">
        <v>0</v>
      </c>
      <c r="J16" s="2"/>
    </row>
    <row r="17" spans="1:10" x14ac:dyDescent="0.2">
      <c r="A17" s="29" t="s">
        <v>52</v>
      </c>
      <c r="C17" s="10">
        <f t="shared" si="0"/>
        <v>0</v>
      </c>
      <c r="E17" s="3" t="str">
        <f>"STRATEGI0001"</f>
        <v>STRATEGI0001</v>
      </c>
      <c r="F17" s="3" t="str">
        <f>"Strategic Communications"</f>
        <v>Strategic Communications</v>
      </c>
      <c r="G17" s="13">
        <v>0</v>
      </c>
      <c r="H17" s="13">
        <v>0</v>
      </c>
      <c r="I17" s="13">
        <v>28019.55</v>
      </c>
      <c r="J17" s="2"/>
    </row>
    <row r="18" spans="1:10" hidden="1" x14ac:dyDescent="0.2">
      <c r="A18" s="29" t="s">
        <v>18</v>
      </c>
      <c r="C18" s="10">
        <f>C15</f>
        <v>0</v>
      </c>
    </row>
    <row r="19" spans="1:10" x14ac:dyDescent="0.2">
      <c r="A19" s="29"/>
      <c r="C19" s="10">
        <f>C18</f>
        <v>0</v>
      </c>
      <c r="D19" s="25"/>
      <c r="E19" s="26" t="str">
        <f>"Total for "&amp;C19</f>
        <v>Total for 0</v>
      </c>
      <c r="F19" s="27"/>
      <c r="G19" s="28">
        <f>SUBTOTAL(9,G15:G18)</f>
        <v>0</v>
      </c>
      <c r="H19" s="28">
        <f>SUBTOTAL(9,H15:H18)</f>
        <v>0</v>
      </c>
      <c r="I19" s="28">
        <f>SUBTOTAL(9,I15:I18)</f>
        <v>38716.93</v>
      </c>
    </row>
    <row r="20" spans="1:10" x14ac:dyDescent="0.2">
      <c r="A20" s="29"/>
      <c r="C20" s="10">
        <f>C19</f>
        <v>0</v>
      </c>
      <c r="G20" s="14"/>
      <c r="H20" s="14"/>
      <c r="I20" s="14"/>
    </row>
    <row r="21" spans="1:10" x14ac:dyDescent="0.2">
      <c r="A21" s="29" t="s">
        <v>52</v>
      </c>
      <c r="C21" s="10" t="str">
        <f t="shared" ref="C21" si="1">D21</f>
        <v>AB</v>
      </c>
      <c r="D21" s="11" t="str">
        <f>"AB"</f>
        <v>AB</v>
      </c>
      <c r="E21" s="12"/>
      <c r="F21" s="12"/>
      <c r="G21" s="12"/>
      <c r="H21" s="12"/>
      <c r="I21" s="12"/>
    </row>
    <row r="22" spans="1:10" x14ac:dyDescent="0.2">
      <c r="A22" s="29" t="s">
        <v>52</v>
      </c>
      <c r="C22" s="10" t="str">
        <f t="shared" ref="C22:C29" si="2">C21</f>
        <v>AB</v>
      </c>
      <c r="E22" s="3" t="str">
        <f>"CONTINEN0001"</f>
        <v>CONTINEN0001</v>
      </c>
      <c r="F22" s="3" t="str">
        <f>"Continental Connectors"</f>
        <v>Continental Connectors</v>
      </c>
      <c r="G22" s="13">
        <v>0</v>
      </c>
      <c r="H22" s="13">
        <v>0</v>
      </c>
      <c r="I22" s="13">
        <v>0</v>
      </c>
      <c r="J22" s="2"/>
    </row>
    <row r="23" spans="1:10" x14ac:dyDescent="0.2">
      <c r="A23" s="29" t="s">
        <v>52</v>
      </c>
      <c r="C23" s="10" t="str">
        <f t="shared" ref="C23:C26" si="3">C22</f>
        <v>AB</v>
      </c>
      <c r="E23" s="3" t="str">
        <f>"INTEGRAT0001"</f>
        <v>INTEGRAT0001</v>
      </c>
      <c r="F23" s="3" t="str">
        <f>"Integrated Systems"</f>
        <v>Integrated Systems</v>
      </c>
      <c r="G23" s="13">
        <v>0</v>
      </c>
      <c r="H23" s="13">
        <v>0</v>
      </c>
      <c r="I23" s="13">
        <v>66809.850000000006</v>
      </c>
      <c r="J23" s="2"/>
    </row>
    <row r="24" spans="1:10" x14ac:dyDescent="0.2">
      <c r="A24" s="29" t="s">
        <v>52</v>
      </c>
      <c r="C24" s="10" t="str">
        <f t="shared" si="3"/>
        <v>AB</v>
      </c>
      <c r="E24" s="3" t="str">
        <f>"JENSENSY0001"</f>
        <v>JENSENSY0001</v>
      </c>
      <c r="F24" s="3" t="str">
        <f>"Jensen Systems"</f>
        <v>Jensen Systems</v>
      </c>
      <c r="G24" s="13">
        <v>0</v>
      </c>
      <c r="H24" s="13">
        <v>0</v>
      </c>
      <c r="I24" s="13">
        <v>0</v>
      </c>
      <c r="J24" s="2"/>
    </row>
    <row r="25" spans="1:10" x14ac:dyDescent="0.2">
      <c r="A25" s="29" t="s">
        <v>52</v>
      </c>
      <c r="C25" s="10" t="str">
        <f t="shared" si="3"/>
        <v>AB</v>
      </c>
      <c r="E25" s="3" t="str">
        <f>"NORTHERN0001"</f>
        <v>NORTHERN0001</v>
      </c>
      <c r="F25" s="3" t="str">
        <f>"Northern Travel"</f>
        <v>Northern Travel</v>
      </c>
      <c r="G25" s="13">
        <v>0</v>
      </c>
      <c r="H25" s="13">
        <v>0</v>
      </c>
      <c r="I25" s="13">
        <v>19237.740000000002</v>
      </c>
      <c r="J25" s="2"/>
    </row>
    <row r="26" spans="1:10" x14ac:dyDescent="0.2">
      <c r="A26" s="29" t="s">
        <v>52</v>
      </c>
      <c r="C26" s="10" t="str">
        <f t="shared" si="3"/>
        <v>AB</v>
      </c>
      <c r="E26" s="3" t="str">
        <f>"OFFICEDE0001"</f>
        <v>OFFICEDE0001</v>
      </c>
      <c r="F26" s="3" t="str">
        <f>"Office Design Systems, Ltd"</f>
        <v>Office Design Systems, Ltd</v>
      </c>
      <c r="G26" s="13">
        <v>0</v>
      </c>
      <c r="H26" s="13">
        <v>0</v>
      </c>
      <c r="I26" s="13">
        <v>12141.53</v>
      </c>
      <c r="J26" s="2"/>
    </row>
    <row r="27" spans="1:10" hidden="1" x14ac:dyDescent="0.2">
      <c r="A27" s="29" t="s">
        <v>824</v>
      </c>
      <c r="C27" s="10" t="str">
        <f>C22</f>
        <v>AB</v>
      </c>
    </row>
    <row r="28" spans="1:10" x14ac:dyDescent="0.2">
      <c r="A28" s="29" t="s">
        <v>52</v>
      </c>
      <c r="C28" s="10" t="str">
        <f t="shared" si="2"/>
        <v>AB</v>
      </c>
      <c r="D28" s="25"/>
      <c r="E28" s="26" t="str">
        <f>"Total for "&amp;C28</f>
        <v>Total for AB</v>
      </c>
      <c r="F28" s="27"/>
      <c r="G28" s="28">
        <f>SUBTOTAL(9,G22:G27)</f>
        <v>0</v>
      </c>
      <c r="H28" s="28">
        <f>SUBTOTAL(9,H22:H27)</f>
        <v>0</v>
      </c>
      <c r="I28" s="28">
        <f>SUBTOTAL(9,I22:I27)</f>
        <v>98189.12000000001</v>
      </c>
    </row>
    <row r="29" spans="1:10" x14ac:dyDescent="0.2">
      <c r="A29" s="29" t="s">
        <v>52</v>
      </c>
      <c r="C29" s="10" t="str">
        <f t="shared" si="2"/>
        <v>AB</v>
      </c>
      <c r="G29" s="14"/>
      <c r="H29" s="14"/>
      <c r="I29" s="14"/>
    </row>
    <row r="30" spans="1:10" x14ac:dyDescent="0.2">
      <c r="A30" s="29" t="s">
        <v>52</v>
      </c>
      <c r="C30" s="10" t="str">
        <f t="shared" ref="C30" si="4">D30</f>
        <v>BC</v>
      </c>
      <c r="D30" s="11" t="str">
        <f>"BC"</f>
        <v>BC</v>
      </c>
      <c r="E30" s="12"/>
      <c r="F30" s="12"/>
      <c r="G30" s="12"/>
      <c r="H30" s="12"/>
      <c r="I30" s="12"/>
    </row>
    <row r="31" spans="1:10" x14ac:dyDescent="0.2">
      <c r="A31" s="29" t="s">
        <v>52</v>
      </c>
      <c r="C31" s="10" t="str">
        <f t="shared" ref="C31:C37" si="5">C30</f>
        <v>BC</v>
      </c>
      <c r="E31" s="3" t="str">
        <f>"CAPITALP0001"</f>
        <v>CAPITALP0001</v>
      </c>
      <c r="F31" s="3" t="str">
        <f>"Capital Printed Circuits"</f>
        <v>Capital Printed Circuits</v>
      </c>
      <c r="G31" s="13">
        <v>0</v>
      </c>
      <c r="H31" s="13">
        <v>0</v>
      </c>
      <c r="I31" s="13">
        <v>46826.77</v>
      </c>
      <c r="J31" s="2"/>
    </row>
    <row r="32" spans="1:10" x14ac:dyDescent="0.2">
      <c r="A32" s="29" t="s">
        <v>52</v>
      </c>
      <c r="C32" s="10" t="str">
        <f t="shared" ref="C32:C34" si="6">C31</f>
        <v>BC</v>
      </c>
      <c r="E32" s="3" t="str">
        <f>"INTERNAT0001"</f>
        <v>INTERNAT0001</v>
      </c>
      <c r="F32" s="3" t="str">
        <f>"International TeleCom Assoc."</f>
        <v>International TeleCom Assoc.</v>
      </c>
      <c r="G32" s="13">
        <v>0</v>
      </c>
      <c r="H32" s="13">
        <v>0</v>
      </c>
      <c r="I32" s="13">
        <v>105507.71</v>
      </c>
      <c r="J32" s="2"/>
    </row>
    <row r="33" spans="1:10" x14ac:dyDescent="0.2">
      <c r="A33" s="29" t="s">
        <v>52</v>
      </c>
      <c r="C33" s="10" t="str">
        <f t="shared" si="6"/>
        <v>BC</v>
      </c>
      <c r="E33" s="3" t="str">
        <f>"LINDELLB0001"</f>
        <v>LINDELLB0001</v>
      </c>
      <c r="F33" s="3" t="str">
        <f>"Lindell Brokerage"</f>
        <v>Lindell Brokerage</v>
      </c>
      <c r="G33" s="13">
        <v>0</v>
      </c>
      <c r="H33" s="13">
        <v>0</v>
      </c>
      <c r="I33" s="13">
        <v>4385.9799999999996</v>
      </c>
      <c r="J33" s="2"/>
    </row>
    <row r="34" spans="1:10" x14ac:dyDescent="0.2">
      <c r="A34" s="29" t="s">
        <v>52</v>
      </c>
      <c r="C34" s="10" t="str">
        <f t="shared" si="6"/>
        <v>BC</v>
      </c>
      <c r="E34" s="3" t="str">
        <f>"SUPERIOR0001"</f>
        <v>SUPERIOR0001</v>
      </c>
      <c r="F34" s="3" t="str">
        <f>"Superior Telephone Systems"</f>
        <v>Superior Telephone Systems</v>
      </c>
      <c r="G34" s="13">
        <v>0</v>
      </c>
      <c r="H34" s="13">
        <v>0</v>
      </c>
      <c r="I34" s="13">
        <v>44994.93</v>
      </c>
      <c r="J34" s="2"/>
    </row>
    <row r="35" spans="1:10" hidden="1" x14ac:dyDescent="0.2">
      <c r="A35" s="29" t="s">
        <v>824</v>
      </c>
      <c r="C35" s="10" t="str">
        <f>C31</f>
        <v>BC</v>
      </c>
    </row>
    <row r="36" spans="1:10" x14ac:dyDescent="0.2">
      <c r="A36" s="29" t="s">
        <v>52</v>
      </c>
      <c r="C36" s="10" t="str">
        <f t="shared" si="5"/>
        <v>BC</v>
      </c>
      <c r="D36" s="25"/>
      <c r="E36" s="26" t="str">
        <f>"Total for "&amp;C36</f>
        <v>Total for BC</v>
      </c>
      <c r="F36" s="27"/>
      <c r="G36" s="28">
        <f>SUBTOTAL(9,G31:G35)</f>
        <v>0</v>
      </c>
      <c r="H36" s="28">
        <f>SUBTOTAL(9,H31:H35)</f>
        <v>0</v>
      </c>
      <c r="I36" s="28">
        <f>SUBTOTAL(9,I31:I35)</f>
        <v>201715.39</v>
      </c>
    </row>
    <row r="37" spans="1:10" x14ac:dyDescent="0.2">
      <c r="A37" s="29" t="s">
        <v>52</v>
      </c>
      <c r="C37" s="10" t="str">
        <f t="shared" si="5"/>
        <v>BC</v>
      </c>
      <c r="G37" s="14"/>
      <c r="H37" s="14"/>
      <c r="I37" s="14"/>
    </row>
    <row r="38" spans="1:10" x14ac:dyDescent="0.2">
      <c r="A38" s="29" t="s">
        <v>52</v>
      </c>
      <c r="C38" s="10" t="str">
        <f t="shared" ref="C38" si="7">D38</f>
        <v>CA</v>
      </c>
      <c r="D38" s="11" t="str">
        <f>"CA"</f>
        <v>CA</v>
      </c>
      <c r="E38" s="12"/>
      <c r="F38" s="12"/>
      <c r="G38" s="12"/>
      <c r="H38" s="12"/>
      <c r="I38" s="12"/>
    </row>
    <row r="39" spans="1:10" x14ac:dyDescent="0.2">
      <c r="A39" s="29" t="s">
        <v>52</v>
      </c>
      <c r="C39" s="10" t="str">
        <f t="shared" ref="C39:C44" si="8">C38</f>
        <v>CA</v>
      </c>
      <c r="E39" s="3" t="str">
        <f>"COMNETEN0001"</f>
        <v>COMNETEN0001</v>
      </c>
      <c r="F39" s="3" t="str">
        <f>"Comnet Enterprises, Inc"</f>
        <v>Comnet Enterprises, Inc</v>
      </c>
      <c r="G39" s="13">
        <v>0</v>
      </c>
      <c r="H39" s="13">
        <v>0</v>
      </c>
      <c r="I39" s="13">
        <v>0</v>
      </c>
      <c r="J39" s="2"/>
    </row>
    <row r="40" spans="1:10" x14ac:dyDescent="0.2">
      <c r="A40" s="29" t="s">
        <v>52</v>
      </c>
      <c r="C40" s="10" t="str">
        <f t="shared" ref="C40:C41" si="9">C39</f>
        <v>CA</v>
      </c>
      <c r="E40" s="3" t="str">
        <f>"SIGNATUR0002"</f>
        <v>SIGNATUR0002</v>
      </c>
      <c r="F40" s="3" t="str">
        <f>"Signature Services"</f>
        <v>Signature Services</v>
      </c>
      <c r="G40" s="13">
        <v>0</v>
      </c>
      <c r="H40" s="13">
        <v>0</v>
      </c>
      <c r="I40" s="13">
        <v>24361.81</v>
      </c>
      <c r="J40" s="2"/>
    </row>
    <row r="41" spans="1:10" x14ac:dyDescent="0.2">
      <c r="A41" s="29" t="s">
        <v>52</v>
      </c>
      <c r="C41" s="10" t="str">
        <f t="shared" si="9"/>
        <v>CA</v>
      </c>
      <c r="E41" s="3" t="str">
        <f>"SOFTEL000001"</f>
        <v>SOFTEL000001</v>
      </c>
      <c r="F41" s="3" t="str">
        <f>"SofTel, Inc."</f>
        <v>SofTel, Inc.</v>
      </c>
      <c r="G41" s="13">
        <v>0</v>
      </c>
      <c r="H41" s="13">
        <v>0</v>
      </c>
      <c r="I41" s="13">
        <v>32261.7</v>
      </c>
      <c r="J41" s="2"/>
    </row>
    <row r="42" spans="1:10" hidden="1" x14ac:dyDescent="0.2">
      <c r="A42" s="29" t="s">
        <v>824</v>
      </c>
      <c r="C42" s="10" t="str">
        <f>C39</f>
        <v>CA</v>
      </c>
    </row>
    <row r="43" spans="1:10" x14ac:dyDescent="0.2">
      <c r="A43" s="29" t="s">
        <v>52</v>
      </c>
      <c r="C43" s="10" t="str">
        <f t="shared" si="8"/>
        <v>CA</v>
      </c>
      <c r="D43" s="25"/>
      <c r="E43" s="26" t="str">
        <f>"Total for "&amp;C43</f>
        <v>Total for CA</v>
      </c>
      <c r="F43" s="27"/>
      <c r="G43" s="28">
        <f>SUBTOTAL(9,G39:G42)</f>
        <v>0</v>
      </c>
      <c r="H43" s="28">
        <f>SUBTOTAL(9,H39:H42)</f>
        <v>0</v>
      </c>
      <c r="I43" s="28">
        <f>SUBTOTAL(9,I39:I42)</f>
        <v>56623.51</v>
      </c>
    </row>
    <row r="44" spans="1:10" x14ac:dyDescent="0.2">
      <c r="A44" s="29" t="s">
        <v>52</v>
      </c>
      <c r="C44" s="10" t="str">
        <f t="shared" si="8"/>
        <v>CA</v>
      </c>
      <c r="G44" s="14"/>
      <c r="H44" s="14"/>
      <c r="I44" s="14"/>
    </row>
    <row r="45" spans="1:10" x14ac:dyDescent="0.2">
      <c r="A45" s="29" t="s">
        <v>52</v>
      </c>
      <c r="C45" s="10" t="str">
        <f t="shared" ref="C45" si="10">D45</f>
        <v>DC</v>
      </c>
      <c r="D45" s="11" t="str">
        <f>"DC"</f>
        <v>DC</v>
      </c>
      <c r="E45" s="12"/>
      <c r="F45" s="12"/>
      <c r="G45" s="12"/>
      <c r="H45" s="12"/>
      <c r="I45" s="12"/>
    </row>
    <row r="46" spans="1:10" x14ac:dyDescent="0.2">
      <c r="A46" s="29" t="s">
        <v>52</v>
      </c>
      <c r="C46" s="10" t="str">
        <f t="shared" ref="C46:C49" si="11">C45</f>
        <v>DC</v>
      </c>
      <c r="E46" s="3" t="str">
        <f>"INTERNAL0001"</f>
        <v>INTERNAL0001</v>
      </c>
      <c r="F46" s="3" t="str">
        <f>"Internal Revenue Service"</f>
        <v>Internal Revenue Service</v>
      </c>
      <c r="G46" s="13">
        <v>0</v>
      </c>
      <c r="H46" s="13">
        <v>0</v>
      </c>
      <c r="I46" s="13">
        <v>0</v>
      </c>
      <c r="J46" s="2"/>
    </row>
    <row r="47" spans="1:10" hidden="1" x14ac:dyDescent="0.2">
      <c r="A47" s="29" t="s">
        <v>824</v>
      </c>
      <c r="C47" s="10" t="str">
        <f t="shared" si="11"/>
        <v>DC</v>
      </c>
    </row>
    <row r="48" spans="1:10" x14ac:dyDescent="0.2">
      <c r="A48" s="29" t="s">
        <v>52</v>
      </c>
      <c r="C48" s="10" t="str">
        <f t="shared" si="11"/>
        <v>DC</v>
      </c>
      <c r="D48" s="25"/>
      <c r="E48" s="26" t="str">
        <f>"Total for "&amp;C48</f>
        <v>Total for DC</v>
      </c>
      <c r="F48" s="27"/>
      <c r="G48" s="28">
        <f>SUBTOTAL(9,G46:G47)</f>
        <v>0</v>
      </c>
      <c r="H48" s="28">
        <f>SUBTOTAL(9,H46:H47)</f>
        <v>0</v>
      </c>
      <c r="I48" s="28">
        <f>SUBTOTAL(9,I46:I47)</f>
        <v>0</v>
      </c>
    </row>
    <row r="49" spans="1:10" x14ac:dyDescent="0.2">
      <c r="A49" s="29" t="s">
        <v>52</v>
      </c>
      <c r="C49" s="10" t="str">
        <f t="shared" si="11"/>
        <v>DC</v>
      </c>
      <c r="G49" s="14"/>
      <c r="H49" s="14"/>
      <c r="I49" s="14"/>
    </row>
    <row r="50" spans="1:10" x14ac:dyDescent="0.2">
      <c r="A50" s="29" t="s">
        <v>52</v>
      </c>
      <c r="C50" s="10" t="str">
        <f t="shared" ref="C50" si="12">D50</f>
        <v>DE</v>
      </c>
      <c r="D50" s="11" t="str">
        <f>"DE"</f>
        <v>DE</v>
      </c>
      <c r="E50" s="12"/>
      <c r="F50" s="12"/>
      <c r="G50" s="12"/>
      <c r="H50" s="12"/>
      <c r="I50" s="12"/>
    </row>
    <row r="51" spans="1:10" x14ac:dyDescent="0.2">
      <c r="A51" s="29" t="s">
        <v>52</v>
      </c>
      <c r="C51" s="10" t="str">
        <f t="shared" ref="C51:C55" si="13">C50</f>
        <v>DE</v>
      </c>
      <c r="E51" s="3" t="str">
        <f>"GREENWOO0001"</f>
        <v>GREENWOO0001</v>
      </c>
      <c r="F51" s="3" t="str">
        <f>"Greenwood Trust Company"</f>
        <v>Greenwood Trust Company</v>
      </c>
      <c r="G51" s="13">
        <v>0</v>
      </c>
      <c r="H51" s="13">
        <v>0</v>
      </c>
      <c r="I51" s="13">
        <v>0</v>
      </c>
      <c r="J51" s="2"/>
    </row>
    <row r="52" spans="1:10" x14ac:dyDescent="0.2">
      <c r="A52" s="29" t="s">
        <v>52</v>
      </c>
      <c r="C52" s="10" t="str">
        <f t="shared" ref="C52" si="14">C51</f>
        <v>DE</v>
      </c>
      <c r="E52" s="3" t="str">
        <f>"WOODGROV0001"</f>
        <v>WOODGROV0001</v>
      </c>
      <c r="F52" s="3" t="str">
        <f>"Woodgrove Bank"</f>
        <v>Woodgrove Bank</v>
      </c>
      <c r="G52" s="13">
        <v>0</v>
      </c>
      <c r="H52" s="13">
        <v>0</v>
      </c>
      <c r="I52" s="13">
        <v>0</v>
      </c>
      <c r="J52" s="2"/>
    </row>
    <row r="53" spans="1:10" hidden="1" x14ac:dyDescent="0.2">
      <c r="A53" s="29" t="s">
        <v>824</v>
      </c>
      <c r="C53" s="10" t="str">
        <f>C51</f>
        <v>DE</v>
      </c>
    </row>
    <row r="54" spans="1:10" x14ac:dyDescent="0.2">
      <c r="A54" s="29" t="s">
        <v>52</v>
      </c>
      <c r="C54" s="10" t="str">
        <f t="shared" si="13"/>
        <v>DE</v>
      </c>
      <c r="D54" s="25"/>
      <c r="E54" s="26" t="str">
        <f>"Total for "&amp;C54</f>
        <v>Total for DE</v>
      </c>
      <c r="F54" s="27"/>
      <c r="G54" s="28">
        <f>SUBTOTAL(9,G51:G53)</f>
        <v>0</v>
      </c>
      <c r="H54" s="28">
        <f>SUBTOTAL(9,H51:H53)</f>
        <v>0</v>
      </c>
      <c r="I54" s="28">
        <f>SUBTOTAL(9,I51:I53)</f>
        <v>0</v>
      </c>
    </row>
    <row r="55" spans="1:10" x14ac:dyDescent="0.2">
      <c r="A55" s="29" t="s">
        <v>52</v>
      </c>
      <c r="C55" s="10" t="str">
        <f t="shared" si="13"/>
        <v>DE</v>
      </c>
      <c r="G55" s="14"/>
      <c r="H55" s="14"/>
      <c r="I55" s="14"/>
    </row>
    <row r="56" spans="1:10" x14ac:dyDescent="0.2">
      <c r="A56" s="29" t="s">
        <v>52</v>
      </c>
      <c r="C56" s="10" t="str">
        <f t="shared" ref="C56" si="15">D56</f>
        <v>FL</v>
      </c>
      <c r="D56" s="11" t="str">
        <f>"FL"</f>
        <v>FL</v>
      </c>
      <c r="E56" s="12"/>
      <c r="F56" s="12"/>
      <c r="G56" s="12"/>
      <c r="H56" s="12"/>
      <c r="I56" s="12"/>
    </row>
    <row r="57" spans="1:10" x14ac:dyDescent="0.2">
      <c r="A57" s="29" t="s">
        <v>52</v>
      </c>
      <c r="C57" s="10" t="str">
        <f t="shared" ref="C57:C61" si="16">C56</f>
        <v>FL</v>
      </c>
      <c r="E57" s="3" t="str">
        <f>"GARDNERS0001"</f>
        <v>GARDNERS0001</v>
      </c>
      <c r="F57" s="3" t="str">
        <f>"Gardner Services"</f>
        <v>Gardner Services</v>
      </c>
      <c r="G57" s="13">
        <v>0</v>
      </c>
      <c r="H57" s="13">
        <v>0</v>
      </c>
      <c r="I57" s="13">
        <v>0</v>
      </c>
      <c r="J57" s="2"/>
    </row>
    <row r="58" spans="1:10" x14ac:dyDescent="0.2">
      <c r="A58" s="29" t="s">
        <v>52</v>
      </c>
      <c r="C58" s="10" t="str">
        <f t="shared" ref="C58" si="17">C57</f>
        <v>FL</v>
      </c>
      <c r="E58" s="3" t="str">
        <f>"PAGEMAST0001"</f>
        <v>PAGEMAST0001</v>
      </c>
      <c r="F58" s="3" t="str">
        <f>"PageMaster"</f>
        <v>PageMaster</v>
      </c>
      <c r="G58" s="13">
        <v>0</v>
      </c>
      <c r="H58" s="13">
        <v>0</v>
      </c>
      <c r="I58" s="13">
        <v>46256.75</v>
      </c>
      <c r="J58" s="2"/>
    </row>
    <row r="59" spans="1:10" hidden="1" x14ac:dyDescent="0.2">
      <c r="A59" s="29" t="s">
        <v>824</v>
      </c>
      <c r="C59" s="10" t="str">
        <f>C57</f>
        <v>FL</v>
      </c>
    </row>
    <row r="60" spans="1:10" x14ac:dyDescent="0.2">
      <c r="A60" s="29" t="s">
        <v>52</v>
      </c>
      <c r="C60" s="10" t="str">
        <f t="shared" si="16"/>
        <v>FL</v>
      </c>
      <c r="D60" s="25"/>
      <c r="E60" s="26" t="str">
        <f>"Total for "&amp;C60</f>
        <v>Total for FL</v>
      </c>
      <c r="F60" s="27"/>
      <c r="G60" s="28">
        <f>SUBTOTAL(9,G57:G59)</f>
        <v>0</v>
      </c>
      <c r="H60" s="28">
        <f>SUBTOTAL(9,H57:H59)</f>
        <v>0</v>
      </c>
      <c r="I60" s="28">
        <f>SUBTOTAL(9,I57:I59)</f>
        <v>46256.75</v>
      </c>
    </row>
    <row r="61" spans="1:10" x14ac:dyDescent="0.2">
      <c r="A61" s="29" t="s">
        <v>52</v>
      </c>
      <c r="C61" s="10" t="str">
        <f t="shared" si="16"/>
        <v>FL</v>
      </c>
      <c r="G61" s="14"/>
      <c r="H61" s="14"/>
      <c r="I61" s="14"/>
    </row>
    <row r="62" spans="1:10" x14ac:dyDescent="0.2">
      <c r="A62" s="29" t="s">
        <v>52</v>
      </c>
      <c r="C62" s="10" t="str">
        <f t="shared" ref="C62" si="18">D62</f>
        <v>IA</v>
      </c>
      <c r="D62" s="11" t="str">
        <f>"IA"</f>
        <v>IA</v>
      </c>
      <c r="E62" s="12"/>
      <c r="F62" s="12"/>
      <c r="G62" s="12"/>
      <c r="H62" s="12"/>
      <c r="I62" s="12"/>
    </row>
    <row r="63" spans="1:10" x14ac:dyDescent="0.2">
      <c r="A63" s="29" t="s">
        <v>52</v>
      </c>
      <c r="C63" s="10" t="str">
        <f t="shared" ref="C63:C67" si="19">C62</f>
        <v>IA</v>
      </c>
      <c r="E63" s="3" t="str">
        <f>"LEAFRIVE0001"</f>
        <v>LEAFRIVE0001</v>
      </c>
      <c r="F63" s="3" t="str">
        <f>"Leaf River Paging Systems"</f>
        <v>Leaf River Paging Systems</v>
      </c>
      <c r="G63" s="13">
        <v>0</v>
      </c>
      <c r="H63" s="13">
        <v>0</v>
      </c>
      <c r="I63" s="13">
        <v>19153.02</v>
      </c>
      <c r="J63" s="2"/>
    </row>
    <row r="64" spans="1:10" x14ac:dyDescent="0.2">
      <c r="A64" s="29" t="s">
        <v>52</v>
      </c>
      <c r="C64" s="10" t="str">
        <f t="shared" ref="C64" si="20">C63</f>
        <v>IA</v>
      </c>
      <c r="E64" s="3" t="str">
        <f>"RELIANCE0001"</f>
        <v>RELIANCE0001</v>
      </c>
      <c r="F64" s="3" t="str">
        <f>"Reliance Systems, Inc."</f>
        <v>Reliance Systems, Inc.</v>
      </c>
      <c r="G64" s="13">
        <v>0</v>
      </c>
      <c r="H64" s="13">
        <v>0</v>
      </c>
      <c r="I64" s="13">
        <v>0</v>
      </c>
      <c r="J64" s="2"/>
    </row>
    <row r="65" spans="1:10" hidden="1" x14ac:dyDescent="0.2">
      <c r="A65" s="29" t="s">
        <v>824</v>
      </c>
      <c r="C65" s="10" t="str">
        <f>C63</f>
        <v>IA</v>
      </c>
    </row>
    <row r="66" spans="1:10" x14ac:dyDescent="0.2">
      <c r="A66" s="29" t="s">
        <v>52</v>
      </c>
      <c r="C66" s="10" t="str">
        <f t="shared" si="19"/>
        <v>IA</v>
      </c>
      <c r="D66" s="25"/>
      <c r="E66" s="26" t="str">
        <f>"Total for "&amp;C66</f>
        <v>Total for IA</v>
      </c>
      <c r="F66" s="27"/>
      <c r="G66" s="28">
        <f>SUBTOTAL(9,G63:G65)</f>
        <v>0</v>
      </c>
      <c r="H66" s="28">
        <f>SUBTOTAL(9,H63:H65)</f>
        <v>0</v>
      </c>
      <c r="I66" s="28">
        <f>SUBTOTAL(9,I63:I65)</f>
        <v>19153.02</v>
      </c>
    </row>
    <row r="67" spans="1:10" x14ac:dyDescent="0.2">
      <c r="A67" s="29" t="s">
        <v>52</v>
      </c>
      <c r="C67" s="10" t="str">
        <f t="shared" si="19"/>
        <v>IA</v>
      </c>
      <c r="G67" s="14"/>
      <c r="H67" s="14"/>
      <c r="I67" s="14"/>
    </row>
    <row r="68" spans="1:10" x14ac:dyDescent="0.2">
      <c r="A68" s="29" t="s">
        <v>52</v>
      </c>
      <c r="C68" s="10" t="str">
        <f t="shared" ref="C68" si="21">D68</f>
        <v>IL</v>
      </c>
      <c r="D68" s="11" t="str">
        <f>"IL"</f>
        <v>IL</v>
      </c>
      <c r="E68" s="12"/>
      <c r="F68" s="12"/>
      <c r="G68" s="12"/>
      <c r="H68" s="12"/>
      <c r="I68" s="12"/>
    </row>
    <row r="69" spans="1:10" x14ac:dyDescent="0.2">
      <c r="A69" s="29" t="s">
        <v>52</v>
      </c>
      <c r="C69" s="10" t="str">
        <f t="shared" ref="C69:C98" si="22">C68</f>
        <v>IL</v>
      </c>
      <c r="E69" s="3" t="str">
        <f>"ADVANCED0001"</f>
        <v>ADVANCED0001</v>
      </c>
      <c r="F69" s="3" t="str">
        <f>"Advanced Office Systems"</f>
        <v>Advanced Office Systems</v>
      </c>
      <c r="G69" s="13">
        <v>-50</v>
      </c>
      <c r="H69" s="13">
        <v>144.0399999999936</v>
      </c>
      <c r="I69" s="13">
        <v>74938.64</v>
      </c>
      <c r="J69" s="2"/>
    </row>
    <row r="70" spans="1:10" x14ac:dyDescent="0.2">
      <c r="A70" s="29" t="s">
        <v>52</v>
      </c>
      <c r="C70" s="10" t="str">
        <f t="shared" ref="C70:C95" si="23">C69</f>
        <v>IL</v>
      </c>
      <c r="E70" s="3" t="str">
        <f>"ALLENSON0001"</f>
        <v>ALLENSON0001</v>
      </c>
      <c r="F70" s="3" t="str">
        <f>"Allenson Properties"</f>
        <v>Allenson Properties</v>
      </c>
      <c r="G70" s="13">
        <v>0</v>
      </c>
      <c r="H70" s="13">
        <v>0</v>
      </c>
      <c r="I70" s="13">
        <v>11565.76</v>
      </c>
      <c r="J70" s="2"/>
    </row>
    <row r="71" spans="1:10" x14ac:dyDescent="0.2">
      <c r="A71" s="29" t="s">
        <v>52</v>
      </c>
      <c r="C71" s="10" t="str">
        <f t="shared" si="23"/>
        <v>IL</v>
      </c>
      <c r="E71" s="3" t="str">
        <f>"AMERICAN0001"</f>
        <v>AMERICAN0001</v>
      </c>
      <c r="F71" s="3" t="str">
        <f>"AmericaCharge"</f>
        <v>AmericaCharge</v>
      </c>
      <c r="G71" s="13">
        <v>0</v>
      </c>
      <c r="H71" s="13">
        <v>0</v>
      </c>
      <c r="I71" s="13">
        <v>22500</v>
      </c>
      <c r="J71" s="2"/>
    </row>
    <row r="72" spans="1:10" x14ac:dyDescent="0.2">
      <c r="A72" s="29" t="s">
        <v>52</v>
      </c>
      <c r="C72" s="10" t="str">
        <f t="shared" si="23"/>
        <v>IL</v>
      </c>
      <c r="E72" s="3" t="str">
        <f>"ATTRACTI00001"</f>
        <v>ATTRACTI00001</v>
      </c>
      <c r="F72" s="3" t="str">
        <f>"Attractive Telephone Co."</f>
        <v>Attractive Telephone Co.</v>
      </c>
      <c r="G72" s="13">
        <v>0</v>
      </c>
      <c r="H72" s="13">
        <v>0</v>
      </c>
      <c r="I72" s="13">
        <v>86016.41</v>
      </c>
      <c r="J72" s="2"/>
    </row>
    <row r="73" spans="1:10" x14ac:dyDescent="0.2">
      <c r="A73" s="29" t="s">
        <v>52</v>
      </c>
      <c r="C73" s="10" t="str">
        <f t="shared" si="23"/>
        <v>IL</v>
      </c>
      <c r="E73" s="3" t="str">
        <f>"BEAUMONT0001"</f>
        <v>BEAUMONT0001</v>
      </c>
      <c r="F73" s="3" t="str">
        <f>"Beaumont Construction"</f>
        <v>Beaumont Construction</v>
      </c>
      <c r="G73" s="13">
        <v>-9274.4500000000007</v>
      </c>
      <c r="H73" s="13">
        <v>-9274.4500000000007</v>
      </c>
      <c r="I73" s="13">
        <v>0</v>
      </c>
      <c r="J73" s="2"/>
    </row>
    <row r="74" spans="1:10" x14ac:dyDescent="0.2">
      <c r="A74" s="29" t="s">
        <v>52</v>
      </c>
      <c r="C74" s="10" t="str">
        <f t="shared" si="23"/>
        <v>IL</v>
      </c>
      <c r="E74" s="3" t="str">
        <f>"BLOOMING0001"</f>
        <v>BLOOMING0001</v>
      </c>
      <c r="F74" s="3" t="str">
        <f>"Bloomington County"</f>
        <v>Bloomington County</v>
      </c>
      <c r="G74" s="13">
        <v>0</v>
      </c>
      <c r="H74" s="13">
        <v>0</v>
      </c>
      <c r="I74" s="13">
        <v>0</v>
      </c>
      <c r="J74" s="2"/>
    </row>
    <row r="75" spans="1:10" x14ac:dyDescent="0.2">
      <c r="A75" s="29" t="s">
        <v>52</v>
      </c>
      <c r="C75" s="10" t="str">
        <f t="shared" si="23"/>
        <v>IL</v>
      </c>
      <c r="E75" s="3" t="str">
        <f>"CARLSONS0001"</f>
        <v>CARLSONS0001</v>
      </c>
      <c r="F75" s="3" t="str">
        <f>"Carlson Specialties"</f>
        <v>Carlson Specialties</v>
      </c>
      <c r="G75" s="13">
        <v>0</v>
      </c>
      <c r="H75" s="13">
        <v>0</v>
      </c>
      <c r="I75" s="13">
        <v>1112.8900000000001</v>
      </c>
      <c r="J75" s="2"/>
    </row>
    <row r="76" spans="1:10" x14ac:dyDescent="0.2">
      <c r="A76" s="29" t="s">
        <v>52</v>
      </c>
      <c r="C76" s="10" t="str">
        <f t="shared" si="23"/>
        <v>IL</v>
      </c>
      <c r="E76" s="3" t="str">
        <f>"CHICAGOC0001"</f>
        <v>CHICAGOC0001</v>
      </c>
      <c r="F76" s="3" t="str">
        <f>"Chicago City Tax Dept."</f>
        <v>Chicago City Tax Dept.</v>
      </c>
      <c r="G76" s="13">
        <v>0</v>
      </c>
      <c r="H76" s="13">
        <v>0</v>
      </c>
      <c r="I76" s="13">
        <v>0</v>
      </c>
      <c r="J76" s="2"/>
    </row>
    <row r="77" spans="1:10" x14ac:dyDescent="0.2">
      <c r="A77" s="29" t="s">
        <v>52</v>
      </c>
      <c r="C77" s="10" t="str">
        <f t="shared" si="23"/>
        <v>IL</v>
      </c>
      <c r="E77" s="3" t="str">
        <f>"CHICAGOR0001"</f>
        <v>CHICAGOR0001</v>
      </c>
      <c r="F77" s="3" t="str">
        <f>"Chicago Rent-All"</f>
        <v>Chicago Rent-All</v>
      </c>
      <c r="G77" s="13">
        <v>0</v>
      </c>
      <c r="H77" s="13">
        <v>0</v>
      </c>
      <c r="I77" s="13">
        <v>0</v>
      </c>
      <c r="J77" s="2"/>
    </row>
    <row r="78" spans="1:10" x14ac:dyDescent="0.2">
      <c r="A78" s="29" t="s">
        <v>52</v>
      </c>
      <c r="C78" s="10" t="str">
        <f t="shared" si="23"/>
        <v>IL</v>
      </c>
      <c r="E78" s="3" t="str">
        <f>"DOLECKIC0001"</f>
        <v>DOLECKIC0001</v>
      </c>
      <c r="F78" s="3" t="str">
        <f>"Dolecki Catering"</f>
        <v>Dolecki Catering</v>
      </c>
      <c r="G78" s="13">
        <v>0</v>
      </c>
      <c r="H78" s="13">
        <v>0</v>
      </c>
      <c r="I78" s="13">
        <v>3819.11</v>
      </c>
      <c r="J78" s="2"/>
    </row>
    <row r="79" spans="1:10" x14ac:dyDescent="0.2">
      <c r="A79" s="29" t="s">
        <v>52</v>
      </c>
      <c r="C79" s="10" t="str">
        <f t="shared" si="23"/>
        <v>IL</v>
      </c>
      <c r="E79" s="3" t="str">
        <f>"GKCLEANI0001"</f>
        <v>GKCLEANI0001</v>
      </c>
      <c r="F79" s="3" t="str">
        <f>"G &amp; K Cleaning"</f>
        <v>G &amp; K Cleaning</v>
      </c>
      <c r="G79" s="13">
        <v>0</v>
      </c>
      <c r="H79" s="13">
        <v>0</v>
      </c>
      <c r="I79" s="13">
        <v>0</v>
      </c>
      <c r="J79" s="2"/>
    </row>
    <row r="80" spans="1:10" x14ac:dyDescent="0.2">
      <c r="A80" s="29" t="s">
        <v>52</v>
      </c>
      <c r="C80" s="10" t="str">
        <f t="shared" si="23"/>
        <v>IL</v>
      </c>
      <c r="E80" s="3" t="str">
        <f>"HARVEYEL0001"</f>
        <v>HARVEYEL0001</v>
      </c>
      <c r="F80" s="3" t="str">
        <f>"Harvey, Ellis &amp; McGraw, Ltd."</f>
        <v>Harvey, Ellis &amp; McGraw, Ltd.</v>
      </c>
      <c r="G80" s="13">
        <v>0</v>
      </c>
      <c r="H80" s="13">
        <v>0</v>
      </c>
      <c r="I80" s="13">
        <v>0</v>
      </c>
      <c r="J80" s="2"/>
    </row>
    <row r="81" spans="1:10" x14ac:dyDescent="0.2">
      <c r="A81" s="29" t="s">
        <v>52</v>
      </c>
      <c r="C81" s="10" t="str">
        <f t="shared" si="23"/>
        <v>IL</v>
      </c>
      <c r="E81" s="3" t="str">
        <f>"ILSTATE0001"</f>
        <v>ILSTATE0001</v>
      </c>
      <c r="F81" s="3" t="str">
        <f>"Illinois State Tax Dept."</f>
        <v>Illinois State Tax Dept.</v>
      </c>
      <c r="G81" s="13">
        <v>0</v>
      </c>
      <c r="H81" s="13">
        <v>0</v>
      </c>
      <c r="I81" s="13">
        <v>0</v>
      </c>
      <c r="J81" s="2"/>
    </row>
    <row r="82" spans="1:10" x14ac:dyDescent="0.2">
      <c r="A82" s="29" t="s">
        <v>52</v>
      </c>
      <c r="C82" s="10" t="str">
        <f t="shared" si="23"/>
        <v>IL</v>
      </c>
      <c r="E82" s="3" t="str">
        <f>"INNERCIT0001"</f>
        <v>INNERCIT0001</v>
      </c>
      <c r="F82" s="3" t="str">
        <f>"Inner City Electric"</f>
        <v>Inner City Electric</v>
      </c>
      <c r="G82" s="13">
        <v>0</v>
      </c>
      <c r="H82" s="13">
        <v>0</v>
      </c>
      <c r="I82" s="13">
        <v>7827.87</v>
      </c>
      <c r="J82" s="2"/>
    </row>
    <row r="83" spans="1:10" x14ac:dyDescent="0.2">
      <c r="A83" s="29" t="s">
        <v>52</v>
      </c>
      <c r="C83" s="10" t="str">
        <f t="shared" si="23"/>
        <v>IL</v>
      </c>
      <c r="E83" s="3" t="str">
        <f>"KNOPFLER0001"</f>
        <v>KNOPFLER0001</v>
      </c>
      <c r="F83" s="3" t="str">
        <f>"Knopfler Management"</f>
        <v>Knopfler Management</v>
      </c>
      <c r="G83" s="13">
        <v>0</v>
      </c>
      <c r="H83" s="13">
        <v>0</v>
      </c>
      <c r="I83" s="13">
        <v>9588.19</v>
      </c>
      <c r="J83" s="2"/>
    </row>
    <row r="84" spans="1:10" x14ac:dyDescent="0.2">
      <c r="A84" s="29" t="s">
        <v>52</v>
      </c>
      <c r="C84" s="10" t="str">
        <f t="shared" si="23"/>
        <v>IL</v>
      </c>
      <c r="E84" s="3" t="str">
        <f>"METROBUS0001"</f>
        <v>METROBUS0001</v>
      </c>
      <c r="F84" s="3" t="str">
        <f>"Metro Business Equipment"</f>
        <v>Metro Business Equipment</v>
      </c>
      <c r="G84" s="13">
        <v>0</v>
      </c>
      <c r="H84" s="13">
        <v>0</v>
      </c>
      <c r="I84" s="13">
        <v>4737.33</v>
      </c>
      <c r="J84" s="2"/>
    </row>
    <row r="85" spans="1:10" x14ac:dyDescent="0.2">
      <c r="A85" s="29" t="s">
        <v>52</v>
      </c>
      <c r="C85" s="10" t="str">
        <f t="shared" si="23"/>
        <v>IL</v>
      </c>
      <c r="E85" s="3" t="str">
        <f>"MIDWESTA0001"</f>
        <v>MIDWESTA0001</v>
      </c>
      <c r="F85" s="3" t="str">
        <f>"Midwest Accounts, Inc."</f>
        <v>Midwest Accounts, Inc.</v>
      </c>
      <c r="G85" s="13">
        <v>0</v>
      </c>
      <c r="H85" s="13">
        <v>0</v>
      </c>
      <c r="I85" s="13">
        <v>1749.65</v>
      </c>
      <c r="J85" s="2"/>
    </row>
    <row r="86" spans="1:10" x14ac:dyDescent="0.2">
      <c r="A86" s="29" t="s">
        <v>52</v>
      </c>
      <c r="C86" s="10" t="str">
        <f t="shared" si="23"/>
        <v>IL</v>
      </c>
      <c r="E86" s="3" t="str">
        <f>"MIDWESTT0001"</f>
        <v>MIDWESTT0001</v>
      </c>
      <c r="F86" s="3" t="str">
        <f>"Midwest Travel Center"</f>
        <v>Midwest Travel Center</v>
      </c>
      <c r="G86" s="13">
        <v>0</v>
      </c>
      <c r="H86" s="13">
        <v>0</v>
      </c>
      <c r="I86" s="13">
        <v>45167.91</v>
      </c>
      <c r="J86" s="2"/>
    </row>
    <row r="87" spans="1:10" x14ac:dyDescent="0.2">
      <c r="A87" s="29" t="s">
        <v>52</v>
      </c>
      <c r="C87" s="10" t="str">
        <f t="shared" si="23"/>
        <v>IL</v>
      </c>
      <c r="E87" s="3" t="str">
        <f>"NATLASSO0001"</f>
        <v>NATLASSO0001</v>
      </c>
      <c r="F87" s="3" t="str">
        <f>"Natl Association of Workers"</f>
        <v>Natl Association of Workers</v>
      </c>
      <c r="G87" s="13">
        <v>0</v>
      </c>
      <c r="H87" s="13">
        <v>0</v>
      </c>
      <c r="I87" s="13">
        <v>0</v>
      </c>
      <c r="J87" s="2"/>
    </row>
    <row r="88" spans="1:10" x14ac:dyDescent="0.2">
      <c r="A88" s="29" t="s">
        <v>52</v>
      </c>
      <c r="C88" s="10" t="str">
        <f t="shared" si="23"/>
        <v>IL</v>
      </c>
      <c r="E88" s="3" t="str">
        <f>"OFFICESP0001"</f>
        <v>OFFICESP0001</v>
      </c>
      <c r="F88" s="3" t="str">
        <f>"Office Specialists"</f>
        <v>Office Specialists</v>
      </c>
      <c r="G88" s="13">
        <v>0</v>
      </c>
      <c r="H88" s="13">
        <v>0</v>
      </c>
      <c r="I88" s="13">
        <v>8642.2099999999991</v>
      </c>
      <c r="J88" s="2"/>
    </row>
    <row r="89" spans="1:10" x14ac:dyDescent="0.2">
      <c r="A89" s="29" t="s">
        <v>52</v>
      </c>
      <c r="C89" s="10" t="str">
        <f t="shared" si="23"/>
        <v>IL</v>
      </c>
      <c r="E89" s="3" t="str">
        <f>"PROFESSI0001"</f>
        <v>PROFESSI0001</v>
      </c>
      <c r="F89" s="3" t="str">
        <f>"Professional Travel Consultant"</f>
        <v>Professional Travel Consultant</v>
      </c>
      <c r="G89" s="13">
        <v>0</v>
      </c>
      <c r="H89" s="13">
        <v>0</v>
      </c>
      <c r="I89" s="13">
        <v>3924.24</v>
      </c>
      <c r="J89" s="2"/>
    </row>
    <row r="90" spans="1:10" x14ac:dyDescent="0.2">
      <c r="A90" s="29" t="s">
        <v>52</v>
      </c>
      <c r="C90" s="10" t="str">
        <f t="shared" si="23"/>
        <v>IL</v>
      </c>
      <c r="E90" s="3" t="str">
        <f>"SHIPPING0001"</f>
        <v>SHIPPING0001</v>
      </c>
      <c r="F90" s="3" t="str">
        <f>"Shipping specialists"</f>
        <v>Shipping specialists</v>
      </c>
      <c r="G90" s="13">
        <v>0</v>
      </c>
      <c r="H90" s="13">
        <v>0</v>
      </c>
      <c r="I90" s="13">
        <v>4945.53</v>
      </c>
      <c r="J90" s="2"/>
    </row>
    <row r="91" spans="1:10" x14ac:dyDescent="0.2">
      <c r="A91" s="29" t="s">
        <v>52</v>
      </c>
      <c r="C91" s="10" t="str">
        <f t="shared" si="23"/>
        <v>IL</v>
      </c>
      <c r="E91" s="3" t="str">
        <f>"TIMELYSH0001"</f>
        <v>TIMELYSH0001</v>
      </c>
      <c r="F91" s="3" t="str">
        <f>"Timely Shipping Service"</f>
        <v>Timely Shipping Service</v>
      </c>
      <c r="G91" s="13">
        <v>0</v>
      </c>
      <c r="H91" s="13">
        <v>0</v>
      </c>
      <c r="I91" s="13">
        <v>344.5</v>
      </c>
      <c r="J91" s="2"/>
    </row>
    <row r="92" spans="1:10" x14ac:dyDescent="0.2">
      <c r="A92" s="29" t="s">
        <v>52</v>
      </c>
      <c r="C92" s="10" t="str">
        <f t="shared" si="23"/>
        <v>IL</v>
      </c>
      <c r="E92" s="3" t="str">
        <f>"TREYRESE0001"</f>
        <v>TREYRESE0001</v>
      </c>
      <c r="F92" s="3" t="str">
        <f>"Trey Research"</f>
        <v>Trey Research</v>
      </c>
      <c r="G92" s="13">
        <v>0</v>
      </c>
      <c r="H92" s="13">
        <v>0</v>
      </c>
      <c r="I92" s="13">
        <v>12723.11</v>
      </c>
      <c r="J92" s="2"/>
    </row>
    <row r="93" spans="1:10" x14ac:dyDescent="0.2">
      <c r="A93" s="29" t="s">
        <v>52</v>
      </c>
      <c r="C93" s="10" t="str">
        <f t="shared" si="23"/>
        <v>IL</v>
      </c>
      <c r="E93" s="3" t="str">
        <f>"UPTOWNTR0001"</f>
        <v>UPTOWNTR0001</v>
      </c>
      <c r="F93" s="3" t="str">
        <f>"Uptown Trust"</f>
        <v>Uptown Trust</v>
      </c>
      <c r="G93" s="13">
        <v>0</v>
      </c>
      <c r="H93" s="13">
        <v>0</v>
      </c>
      <c r="I93" s="13">
        <v>0</v>
      </c>
      <c r="J93" s="2"/>
    </row>
    <row r="94" spans="1:10" x14ac:dyDescent="0.2">
      <c r="A94" s="29" t="s">
        <v>52</v>
      </c>
      <c r="C94" s="10" t="str">
        <f t="shared" si="23"/>
        <v>IL</v>
      </c>
      <c r="E94" s="3" t="str">
        <f>"WESTAMER0001"</f>
        <v>WESTAMER0001</v>
      </c>
      <c r="F94" s="3" t="str">
        <f>"WestAmerica Telephone Co."</f>
        <v>WestAmerica Telephone Co.</v>
      </c>
      <c r="G94" s="13">
        <v>0</v>
      </c>
      <c r="H94" s="13">
        <v>0</v>
      </c>
      <c r="I94" s="13">
        <v>5134.0600000000004</v>
      </c>
      <c r="J94" s="2"/>
    </row>
    <row r="95" spans="1:10" x14ac:dyDescent="0.2">
      <c r="A95" s="29" t="s">
        <v>52</v>
      </c>
      <c r="C95" s="10" t="str">
        <f t="shared" si="23"/>
        <v>IL</v>
      </c>
      <c r="E95" s="3" t="str">
        <f>"WESTJUNC0001"</f>
        <v>WESTJUNC0001</v>
      </c>
      <c r="F95" s="3" t="str">
        <f>"West Junction Service"</f>
        <v>West Junction Service</v>
      </c>
      <c r="G95" s="13">
        <v>-990.89</v>
      </c>
      <c r="H95" s="13">
        <v>-990.89</v>
      </c>
      <c r="I95" s="13">
        <v>0</v>
      </c>
      <c r="J95" s="2"/>
    </row>
    <row r="96" spans="1:10" hidden="1" x14ac:dyDescent="0.2">
      <c r="A96" s="29" t="s">
        <v>824</v>
      </c>
      <c r="C96" s="10" t="str">
        <f>C69</f>
        <v>IL</v>
      </c>
    </row>
    <row r="97" spans="1:10" x14ac:dyDescent="0.2">
      <c r="A97" s="29" t="s">
        <v>52</v>
      </c>
      <c r="C97" s="10" t="str">
        <f t="shared" si="22"/>
        <v>IL</v>
      </c>
      <c r="D97" s="25"/>
      <c r="E97" s="26" t="str">
        <f>"Total for "&amp;C97</f>
        <v>Total for IL</v>
      </c>
      <c r="F97" s="27"/>
      <c r="G97" s="28">
        <f>SUBTOTAL(9,G69:G96)</f>
        <v>-10315.34</v>
      </c>
      <c r="H97" s="28">
        <f>SUBTOTAL(9,H69:H96)</f>
        <v>-10121.300000000007</v>
      </c>
      <c r="I97" s="28">
        <f>SUBTOTAL(9,I69:I96)</f>
        <v>304737.41000000003</v>
      </c>
    </row>
    <row r="98" spans="1:10" x14ac:dyDescent="0.2">
      <c r="A98" s="29" t="s">
        <v>52</v>
      </c>
      <c r="C98" s="10" t="str">
        <f t="shared" si="22"/>
        <v>IL</v>
      </c>
      <c r="G98" s="14"/>
      <c r="H98" s="14"/>
      <c r="I98" s="14"/>
    </row>
    <row r="99" spans="1:10" x14ac:dyDescent="0.2">
      <c r="A99" s="29" t="s">
        <v>52</v>
      </c>
      <c r="C99" s="10" t="str">
        <f t="shared" ref="C99" si="24">D99</f>
        <v>IN</v>
      </c>
      <c r="D99" s="11" t="str">
        <f>"IN"</f>
        <v>IN</v>
      </c>
      <c r="E99" s="12"/>
      <c r="F99" s="12"/>
      <c r="G99" s="12"/>
      <c r="H99" s="12"/>
      <c r="I99" s="12"/>
    </row>
    <row r="100" spans="1:10" x14ac:dyDescent="0.2">
      <c r="A100" s="29" t="s">
        <v>52</v>
      </c>
      <c r="C100" s="10" t="str">
        <f t="shared" ref="C100:C104" si="25">C99</f>
        <v>IN</v>
      </c>
      <c r="E100" s="3" t="str">
        <f>"INSTATET0001"</f>
        <v>INSTATET0001</v>
      </c>
      <c r="F100" s="3" t="str">
        <f>"Indiana State Tax Dept."</f>
        <v>Indiana State Tax Dept.</v>
      </c>
      <c r="G100" s="13">
        <v>0</v>
      </c>
      <c r="H100" s="13">
        <v>0</v>
      </c>
      <c r="I100" s="13">
        <v>0</v>
      </c>
      <c r="J100" s="2"/>
    </row>
    <row r="101" spans="1:10" x14ac:dyDescent="0.2">
      <c r="A101" s="29" t="s">
        <v>52</v>
      </c>
      <c r="C101" s="10" t="str">
        <f t="shared" ref="C101" si="26">C100</f>
        <v>IN</v>
      </c>
      <c r="E101" s="3" t="str">
        <f>"SKYLABS0001"</f>
        <v>SKYLABS0001</v>
      </c>
      <c r="F101" s="3" t="str">
        <f>"Skylab Satellite Inc."</f>
        <v>Skylab Satellite Inc.</v>
      </c>
      <c r="G101" s="13">
        <v>0</v>
      </c>
      <c r="H101" s="13">
        <v>0</v>
      </c>
      <c r="I101" s="13">
        <v>39357.050000000003</v>
      </c>
      <c r="J101" s="2"/>
    </row>
    <row r="102" spans="1:10" hidden="1" x14ac:dyDescent="0.2">
      <c r="A102" s="29" t="s">
        <v>824</v>
      </c>
      <c r="C102" s="10" t="str">
        <f>C100</f>
        <v>IN</v>
      </c>
    </row>
    <row r="103" spans="1:10" x14ac:dyDescent="0.2">
      <c r="A103" s="29" t="s">
        <v>52</v>
      </c>
      <c r="C103" s="10" t="str">
        <f t="shared" si="25"/>
        <v>IN</v>
      </c>
      <c r="D103" s="25"/>
      <c r="E103" s="26" t="str">
        <f>"Total for "&amp;C103</f>
        <v>Total for IN</v>
      </c>
      <c r="F103" s="27"/>
      <c r="G103" s="28">
        <f>SUBTOTAL(9,G100:G102)</f>
        <v>0</v>
      </c>
      <c r="H103" s="28">
        <f>SUBTOTAL(9,H100:H102)</f>
        <v>0</v>
      </c>
      <c r="I103" s="28">
        <f>SUBTOTAL(9,I100:I102)</f>
        <v>39357.050000000003</v>
      </c>
    </row>
    <row r="104" spans="1:10" x14ac:dyDescent="0.2">
      <c r="A104" s="29" t="s">
        <v>52</v>
      </c>
      <c r="C104" s="10" t="str">
        <f t="shared" si="25"/>
        <v>IN</v>
      </c>
      <c r="G104" s="14"/>
      <c r="H104" s="14"/>
      <c r="I104" s="14"/>
    </row>
    <row r="105" spans="1:10" x14ac:dyDescent="0.2">
      <c r="A105" s="29" t="s">
        <v>52</v>
      </c>
      <c r="C105" s="10" t="str">
        <f t="shared" ref="C105" si="27">D105</f>
        <v>MB</v>
      </c>
      <c r="D105" s="11" t="str">
        <f>"MB"</f>
        <v>MB</v>
      </c>
      <c r="E105" s="12"/>
      <c r="F105" s="12"/>
      <c r="G105" s="12"/>
      <c r="H105" s="12"/>
      <c r="I105" s="12"/>
    </row>
    <row r="106" spans="1:10" x14ac:dyDescent="0.2">
      <c r="A106" s="29" t="s">
        <v>52</v>
      </c>
      <c r="C106" s="10" t="str">
        <f t="shared" ref="C106:C110" si="28">C105</f>
        <v>MB</v>
      </c>
      <c r="E106" s="3" t="str">
        <f>"CIRCUITD0001"</f>
        <v>CIRCUITD0001</v>
      </c>
      <c r="F106" s="3" t="str">
        <f>"Circuit Distributing West"</f>
        <v>Circuit Distributing West</v>
      </c>
      <c r="G106" s="13">
        <v>0</v>
      </c>
      <c r="H106" s="13">
        <v>0</v>
      </c>
      <c r="I106" s="13">
        <v>0</v>
      </c>
      <c r="J106" s="2"/>
    </row>
    <row r="107" spans="1:10" x14ac:dyDescent="0.2">
      <c r="A107" s="29" t="s">
        <v>52</v>
      </c>
      <c r="C107" s="10" t="str">
        <f t="shared" ref="C107" si="29">C106</f>
        <v>MB</v>
      </c>
      <c r="E107" s="3" t="str">
        <f>"ELECTRON0001"</f>
        <v>ELECTRON0001</v>
      </c>
      <c r="F107" s="3" t="str">
        <f>"Electronic Services"</f>
        <v>Electronic Services</v>
      </c>
      <c r="G107" s="13">
        <v>0</v>
      </c>
      <c r="H107" s="13">
        <v>0</v>
      </c>
      <c r="I107" s="13">
        <v>105976.21</v>
      </c>
      <c r="J107" s="2"/>
    </row>
    <row r="108" spans="1:10" hidden="1" x14ac:dyDescent="0.2">
      <c r="A108" s="29" t="s">
        <v>824</v>
      </c>
      <c r="C108" s="10" t="str">
        <f>C106</f>
        <v>MB</v>
      </c>
    </row>
    <row r="109" spans="1:10" x14ac:dyDescent="0.2">
      <c r="A109" s="29" t="s">
        <v>52</v>
      </c>
      <c r="C109" s="10" t="str">
        <f t="shared" si="28"/>
        <v>MB</v>
      </c>
      <c r="D109" s="25"/>
      <c r="E109" s="26" t="str">
        <f>"Total for "&amp;C109</f>
        <v>Total for MB</v>
      </c>
      <c r="F109" s="27"/>
      <c r="G109" s="28">
        <f>SUBTOTAL(9,G106:G108)</f>
        <v>0</v>
      </c>
      <c r="H109" s="28">
        <f>SUBTOTAL(9,H106:H108)</f>
        <v>0</v>
      </c>
      <c r="I109" s="28">
        <f>SUBTOTAL(9,I106:I108)</f>
        <v>105976.21</v>
      </c>
    </row>
    <row r="110" spans="1:10" x14ac:dyDescent="0.2">
      <c r="A110" s="29" t="s">
        <v>52</v>
      </c>
      <c r="C110" s="10" t="str">
        <f t="shared" si="28"/>
        <v>MB</v>
      </c>
      <c r="G110" s="14"/>
      <c r="H110" s="14"/>
      <c r="I110" s="14"/>
    </row>
    <row r="111" spans="1:10" x14ac:dyDescent="0.2">
      <c r="A111" s="29" t="s">
        <v>52</v>
      </c>
      <c r="C111" s="10" t="str">
        <f t="shared" ref="C111" si="30">D111</f>
        <v>MD</v>
      </c>
      <c r="D111" s="11" t="str">
        <f>"MD"</f>
        <v>MD</v>
      </c>
      <c r="E111" s="12"/>
      <c r="F111" s="12"/>
      <c r="G111" s="12"/>
      <c r="H111" s="12"/>
      <c r="I111" s="12"/>
    </row>
    <row r="112" spans="1:10" x14ac:dyDescent="0.2">
      <c r="A112" s="29" t="s">
        <v>52</v>
      </c>
      <c r="C112" s="10" t="str">
        <f t="shared" ref="C112:C115" si="31">C111</f>
        <v>MD</v>
      </c>
      <c r="E112" s="3" t="str">
        <f>"INTERNAT0004"</f>
        <v>INTERNAT0004</v>
      </c>
      <c r="F112" s="3" t="str">
        <f>"International Wire"</f>
        <v>International Wire</v>
      </c>
      <c r="G112" s="13">
        <v>0</v>
      </c>
      <c r="H112" s="13">
        <v>0</v>
      </c>
      <c r="I112" s="13">
        <v>0</v>
      </c>
      <c r="J112" s="2"/>
    </row>
    <row r="113" spans="1:10" hidden="1" x14ac:dyDescent="0.2">
      <c r="A113" s="29" t="s">
        <v>824</v>
      </c>
      <c r="C113" s="10" t="str">
        <f t="shared" si="31"/>
        <v>MD</v>
      </c>
    </row>
    <row r="114" spans="1:10" x14ac:dyDescent="0.2">
      <c r="A114" s="29" t="s">
        <v>52</v>
      </c>
      <c r="C114" s="10" t="str">
        <f t="shared" si="31"/>
        <v>MD</v>
      </c>
      <c r="D114" s="25"/>
      <c r="E114" s="26" t="str">
        <f>"Total for "&amp;C114</f>
        <v>Total for MD</v>
      </c>
      <c r="F114" s="27"/>
      <c r="G114" s="28">
        <f>SUBTOTAL(9,G112:G113)</f>
        <v>0</v>
      </c>
      <c r="H114" s="28">
        <f>SUBTOTAL(9,H112:H113)</f>
        <v>0</v>
      </c>
      <c r="I114" s="28">
        <f>SUBTOTAL(9,I112:I113)</f>
        <v>0</v>
      </c>
    </row>
    <row r="115" spans="1:10" x14ac:dyDescent="0.2">
      <c r="A115" s="29" t="s">
        <v>52</v>
      </c>
      <c r="C115" s="10" t="str">
        <f t="shared" si="31"/>
        <v>MD</v>
      </c>
      <c r="G115" s="14"/>
      <c r="H115" s="14"/>
      <c r="I115" s="14"/>
    </row>
    <row r="116" spans="1:10" x14ac:dyDescent="0.2">
      <c r="A116" s="29" t="s">
        <v>52</v>
      </c>
      <c r="C116" s="10" t="str">
        <f t="shared" ref="C116" si="32">D116</f>
        <v>ME</v>
      </c>
      <c r="D116" s="11" t="str">
        <f>"ME"</f>
        <v>ME</v>
      </c>
      <c r="E116" s="12"/>
      <c r="F116" s="12"/>
      <c r="G116" s="12"/>
      <c r="H116" s="12"/>
      <c r="I116" s="12"/>
    </row>
    <row r="117" spans="1:10" x14ac:dyDescent="0.2">
      <c r="A117" s="29" t="s">
        <v>52</v>
      </c>
      <c r="C117" s="10" t="str">
        <f t="shared" ref="C117:C120" si="33">C116</f>
        <v>ME</v>
      </c>
      <c r="E117" s="3" t="str">
        <f>"ASSOCIAT0001"</f>
        <v>ASSOCIAT0001</v>
      </c>
      <c r="F117" s="3" t="str">
        <f>"Associated Insurance Inc."</f>
        <v>Associated Insurance Inc.</v>
      </c>
      <c r="G117" s="13">
        <v>0</v>
      </c>
      <c r="H117" s="13">
        <v>141.84</v>
      </c>
      <c r="I117" s="13">
        <v>333.93</v>
      </c>
      <c r="J117" s="2"/>
    </row>
    <row r="118" spans="1:10" hidden="1" x14ac:dyDescent="0.2">
      <c r="A118" s="29" t="s">
        <v>824</v>
      </c>
      <c r="C118" s="10" t="str">
        <f t="shared" si="33"/>
        <v>ME</v>
      </c>
    </row>
    <row r="119" spans="1:10" x14ac:dyDescent="0.2">
      <c r="A119" s="29" t="s">
        <v>52</v>
      </c>
      <c r="C119" s="10" t="str">
        <f t="shared" si="33"/>
        <v>ME</v>
      </c>
      <c r="D119" s="25"/>
      <c r="E119" s="26" t="str">
        <f>"Total for "&amp;C119</f>
        <v>Total for ME</v>
      </c>
      <c r="F119" s="27"/>
      <c r="G119" s="28">
        <f>SUBTOTAL(9,G117:G118)</f>
        <v>0</v>
      </c>
      <c r="H119" s="28">
        <f>SUBTOTAL(9,H117:H118)</f>
        <v>141.84</v>
      </c>
      <c r="I119" s="28">
        <f>SUBTOTAL(9,I117:I118)</f>
        <v>333.93</v>
      </c>
    </row>
    <row r="120" spans="1:10" x14ac:dyDescent="0.2">
      <c r="A120" s="29" t="s">
        <v>52</v>
      </c>
      <c r="C120" s="10" t="str">
        <f t="shared" si="33"/>
        <v>ME</v>
      </c>
      <c r="G120" s="14"/>
      <c r="H120" s="14"/>
      <c r="I120" s="14"/>
    </row>
    <row r="121" spans="1:10" x14ac:dyDescent="0.2">
      <c r="A121" s="29" t="s">
        <v>52</v>
      </c>
      <c r="C121" s="10" t="str">
        <f t="shared" ref="C121" si="34">D121</f>
        <v>MI</v>
      </c>
      <c r="D121" s="11" t="str">
        <f>"MI"</f>
        <v>MI</v>
      </c>
      <c r="E121" s="12"/>
      <c r="F121" s="12"/>
      <c r="G121" s="12"/>
      <c r="H121" s="12"/>
      <c r="I121" s="12"/>
    </row>
    <row r="122" spans="1:10" x14ac:dyDescent="0.2">
      <c r="A122" s="29" t="s">
        <v>52</v>
      </c>
      <c r="C122" s="10" t="str">
        <f t="shared" ref="C122:C127" si="35">C121</f>
        <v>MI</v>
      </c>
      <c r="E122" s="3" t="str">
        <f>"AUTOFINA0001"</f>
        <v>AUTOFINA0001</v>
      </c>
      <c r="F122" s="3" t="str">
        <f>"Auto Financing"</f>
        <v>Auto Financing</v>
      </c>
      <c r="G122" s="13">
        <v>0</v>
      </c>
      <c r="H122" s="13">
        <v>0</v>
      </c>
      <c r="I122" s="13">
        <v>0</v>
      </c>
      <c r="J122" s="2"/>
    </row>
    <row r="123" spans="1:10" x14ac:dyDescent="0.2">
      <c r="A123" s="29" t="s">
        <v>52</v>
      </c>
      <c r="C123" s="10" t="str">
        <f t="shared" ref="C123:C124" si="36">C122</f>
        <v>MI</v>
      </c>
      <c r="E123" s="3" t="str">
        <f>"MULTINAT0001"</f>
        <v>MULTINAT0001</v>
      </c>
      <c r="F123" s="3" t="str">
        <f>"Multinational Commmunications"</f>
        <v>Multinational Commmunications</v>
      </c>
      <c r="G123" s="13">
        <v>0</v>
      </c>
      <c r="H123" s="13">
        <v>0</v>
      </c>
      <c r="I123" s="13">
        <v>11536</v>
      </c>
      <c r="J123" s="2"/>
    </row>
    <row r="124" spans="1:10" x14ac:dyDescent="0.2">
      <c r="A124" s="29" t="s">
        <v>52</v>
      </c>
      <c r="C124" s="10" t="str">
        <f t="shared" si="36"/>
        <v>MI</v>
      </c>
      <c r="E124" s="3" t="str">
        <f>"SIGNATUR0001"</f>
        <v>SIGNATUR0001</v>
      </c>
      <c r="F124" s="3" t="str">
        <f>"Signature Systems"</f>
        <v>Signature Systems</v>
      </c>
      <c r="G124" s="13">
        <v>0</v>
      </c>
      <c r="H124" s="13">
        <v>0</v>
      </c>
      <c r="I124" s="13">
        <v>16011.43</v>
      </c>
      <c r="J124" s="2"/>
    </row>
    <row r="125" spans="1:10" hidden="1" x14ac:dyDescent="0.2">
      <c r="A125" s="29" t="s">
        <v>824</v>
      </c>
      <c r="C125" s="10" t="str">
        <f>C122</f>
        <v>MI</v>
      </c>
    </row>
    <row r="126" spans="1:10" x14ac:dyDescent="0.2">
      <c r="A126" s="29" t="s">
        <v>52</v>
      </c>
      <c r="C126" s="10" t="str">
        <f t="shared" si="35"/>
        <v>MI</v>
      </c>
      <c r="D126" s="25"/>
      <c r="E126" s="26" t="str">
        <f>"Total for "&amp;C126</f>
        <v>Total for MI</v>
      </c>
      <c r="F126" s="27"/>
      <c r="G126" s="28">
        <f>SUBTOTAL(9,G122:G125)</f>
        <v>0</v>
      </c>
      <c r="H126" s="28">
        <f>SUBTOTAL(9,H122:H125)</f>
        <v>0</v>
      </c>
      <c r="I126" s="28">
        <f>SUBTOTAL(9,I122:I125)</f>
        <v>27547.43</v>
      </c>
    </row>
    <row r="127" spans="1:10" x14ac:dyDescent="0.2">
      <c r="A127" s="29" t="s">
        <v>52</v>
      </c>
      <c r="C127" s="10" t="str">
        <f t="shared" si="35"/>
        <v>MI</v>
      </c>
      <c r="G127" s="14"/>
      <c r="H127" s="14"/>
      <c r="I127" s="14"/>
    </row>
    <row r="128" spans="1:10" x14ac:dyDescent="0.2">
      <c r="A128" s="29" t="s">
        <v>52</v>
      </c>
      <c r="C128" s="10" t="str">
        <f t="shared" ref="C128" si="37">D128</f>
        <v>MN</v>
      </c>
      <c r="D128" s="11" t="str">
        <f>"MN"</f>
        <v>MN</v>
      </c>
      <c r="E128" s="12"/>
      <c r="F128" s="12"/>
      <c r="G128" s="12"/>
      <c r="H128" s="12"/>
      <c r="I128" s="12"/>
    </row>
    <row r="129" spans="1:10" x14ac:dyDescent="0.2">
      <c r="A129" s="29" t="s">
        <v>52</v>
      </c>
      <c r="C129" s="10" t="str">
        <f t="shared" ref="C129:C133" si="38">C128</f>
        <v>MN</v>
      </c>
      <c r="E129" s="3" t="str">
        <f>"MINSTATE0001"</f>
        <v>MINSTATE0001</v>
      </c>
      <c r="F129" s="3" t="str">
        <f>"Minnesota State Tax Dept."</f>
        <v>Minnesota State Tax Dept.</v>
      </c>
      <c r="G129" s="13">
        <v>0</v>
      </c>
      <c r="H129" s="13">
        <v>0</v>
      </c>
      <c r="I129" s="13">
        <v>0</v>
      </c>
      <c r="J129" s="2"/>
    </row>
    <row r="130" spans="1:10" x14ac:dyDescent="0.2">
      <c r="A130" s="29" t="s">
        <v>52</v>
      </c>
      <c r="C130" s="10" t="str">
        <f t="shared" ref="C130" si="39">C129</f>
        <v>MN</v>
      </c>
      <c r="E130" s="3" t="str">
        <f>"TELECONN0001"</f>
        <v>TELECONN0001</v>
      </c>
      <c r="F130" s="3" t="str">
        <f>"Teleconnect Systems Inc."</f>
        <v>Teleconnect Systems Inc.</v>
      </c>
      <c r="G130" s="13">
        <v>0</v>
      </c>
      <c r="H130" s="13">
        <v>0</v>
      </c>
      <c r="I130" s="13">
        <v>21500</v>
      </c>
      <c r="J130" s="2"/>
    </row>
    <row r="131" spans="1:10" hidden="1" x14ac:dyDescent="0.2">
      <c r="A131" s="29" t="s">
        <v>824</v>
      </c>
      <c r="C131" s="10" t="str">
        <f>C129</f>
        <v>MN</v>
      </c>
    </row>
    <row r="132" spans="1:10" x14ac:dyDescent="0.2">
      <c r="A132" s="29" t="s">
        <v>52</v>
      </c>
      <c r="C132" s="10" t="str">
        <f t="shared" si="38"/>
        <v>MN</v>
      </c>
      <c r="D132" s="25"/>
      <c r="E132" s="26" t="str">
        <f>"Total for "&amp;C132</f>
        <v>Total for MN</v>
      </c>
      <c r="F132" s="27"/>
      <c r="G132" s="28">
        <f>SUBTOTAL(9,G129:G131)</f>
        <v>0</v>
      </c>
      <c r="H132" s="28">
        <f>SUBTOTAL(9,H129:H131)</f>
        <v>0</v>
      </c>
      <c r="I132" s="28">
        <f>SUBTOTAL(9,I129:I131)</f>
        <v>21500</v>
      </c>
    </row>
    <row r="133" spans="1:10" x14ac:dyDescent="0.2">
      <c r="A133" s="29" t="s">
        <v>52</v>
      </c>
      <c r="C133" s="10" t="str">
        <f t="shared" si="38"/>
        <v>MN</v>
      </c>
      <c r="G133" s="14"/>
      <c r="H133" s="14"/>
      <c r="I133" s="14"/>
    </row>
    <row r="134" spans="1:10" x14ac:dyDescent="0.2">
      <c r="A134" s="29" t="s">
        <v>52</v>
      </c>
      <c r="C134" s="10" t="str">
        <f t="shared" ref="C134" si="40">D134</f>
        <v>MO</v>
      </c>
      <c r="D134" s="11" t="str">
        <f>"MO"</f>
        <v>MO</v>
      </c>
      <c r="E134" s="12"/>
      <c r="F134" s="12"/>
      <c r="G134" s="12"/>
      <c r="H134" s="12"/>
      <c r="I134" s="12"/>
    </row>
    <row r="135" spans="1:10" x14ac:dyDescent="0.2">
      <c r="A135" s="29" t="s">
        <v>52</v>
      </c>
      <c r="C135" s="10" t="str">
        <f t="shared" ref="C135:C140" si="41">C134</f>
        <v>MO</v>
      </c>
      <c r="E135" s="3" t="str">
        <f>"COMPUTER0001"</f>
        <v>COMPUTER0001</v>
      </c>
      <c r="F135" s="3" t="str">
        <f>"Computer Training Systems"</f>
        <v>Computer Training Systems</v>
      </c>
      <c r="G135" s="13">
        <v>0</v>
      </c>
      <c r="H135" s="13">
        <v>0</v>
      </c>
      <c r="I135" s="13">
        <v>0</v>
      </c>
      <c r="J135" s="2"/>
    </row>
    <row r="136" spans="1:10" x14ac:dyDescent="0.2">
      <c r="A136" s="29" t="s">
        <v>52</v>
      </c>
      <c r="C136" s="10" t="str">
        <f t="shared" ref="C136:C137" si="42">C135</f>
        <v>MO</v>
      </c>
      <c r="E136" s="3" t="str">
        <f>"COMVEXIN0001"</f>
        <v>COMVEXIN0001</v>
      </c>
      <c r="F136" s="3" t="str">
        <f>"ComVex, Inc."</f>
        <v>ComVex, Inc.</v>
      </c>
      <c r="G136" s="13">
        <v>0</v>
      </c>
      <c r="H136" s="13">
        <v>0</v>
      </c>
      <c r="I136" s="13">
        <v>0</v>
      </c>
      <c r="J136" s="2"/>
    </row>
    <row r="137" spans="1:10" x14ac:dyDescent="0.2">
      <c r="A137" s="29" t="s">
        <v>52</v>
      </c>
      <c r="C137" s="10" t="str">
        <f t="shared" si="42"/>
        <v>MO</v>
      </c>
      <c r="E137" s="3" t="str">
        <f>"MOSTATET0001"</f>
        <v>MOSTATET0001</v>
      </c>
      <c r="F137" s="3" t="str">
        <f>"Missouri State Tax Dept."</f>
        <v>Missouri State Tax Dept.</v>
      </c>
      <c r="G137" s="13">
        <v>0</v>
      </c>
      <c r="H137" s="13">
        <v>0</v>
      </c>
      <c r="I137" s="13">
        <v>0</v>
      </c>
      <c r="J137" s="2"/>
    </row>
    <row r="138" spans="1:10" hidden="1" x14ac:dyDescent="0.2">
      <c r="A138" s="29" t="s">
        <v>824</v>
      </c>
      <c r="C138" s="10" t="str">
        <f>C135</f>
        <v>MO</v>
      </c>
    </row>
    <row r="139" spans="1:10" x14ac:dyDescent="0.2">
      <c r="A139" s="29" t="s">
        <v>52</v>
      </c>
      <c r="C139" s="10" t="str">
        <f t="shared" si="41"/>
        <v>MO</v>
      </c>
      <c r="D139" s="25"/>
      <c r="E139" s="26" t="str">
        <f>"Total for "&amp;C139</f>
        <v>Total for MO</v>
      </c>
      <c r="F139" s="27"/>
      <c r="G139" s="28">
        <f>SUBTOTAL(9,G135:G138)</f>
        <v>0</v>
      </c>
      <c r="H139" s="28">
        <f>SUBTOTAL(9,H135:H138)</f>
        <v>0</v>
      </c>
      <c r="I139" s="28">
        <f>SUBTOTAL(9,I135:I138)</f>
        <v>0</v>
      </c>
    </row>
    <row r="140" spans="1:10" x14ac:dyDescent="0.2">
      <c r="A140" s="29" t="s">
        <v>52</v>
      </c>
      <c r="C140" s="10" t="str">
        <f t="shared" si="41"/>
        <v>MO</v>
      </c>
      <c r="G140" s="14"/>
      <c r="H140" s="14"/>
      <c r="I140" s="14"/>
    </row>
    <row r="141" spans="1:10" x14ac:dyDescent="0.2">
      <c r="A141" s="29" t="s">
        <v>52</v>
      </c>
      <c r="C141" s="10" t="str">
        <f t="shared" ref="C141" si="43">D141</f>
        <v>NB</v>
      </c>
      <c r="D141" s="11" t="str">
        <f>"NB"</f>
        <v>NB</v>
      </c>
      <c r="E141" s="12"/>
      <c r="F141" s="12"/>
      <c r="G141" s="12"/>
      <c r="H141" s="12"/>
      <c r="I141" s="12"/>
    </row>
    <row r="142" spans="1:10" x14ac:dyDescent="0.2">
      <c r="A142" s="29" t="s">
        <v>52</v>
      </c>
      <c r="C142" s="10" t="str">
        <f t="shared" ref="C142:C145" si="44">C141</f>
        <v>NB</v>
      </c>
      <c r="E142" s="3" t="str">
        <f>"MITCHELL0001"</f>
        <v>MITCHELL0001</v>
      </c>
      <c r="F142" s="3" t="str">
        <f>"Mitchell Transport"</f>
        <v>Mitchell Transport</v>
      </c>
      <c r="G142" s="13">
        <v>0</v>
      </c>
      <c r="H142" s="13">
        <v>0</v>
      </c>
      <c r="I142" s="13">
        <v>3777.96</v>
      </c>
      <c r="J142" s="2"/>
    </row>
    <row r="143" spans="1:10" hidden="1" x14ac:dyDescent="0.2">
      <c r="A143" s="29" t="s">
        <v>824</v>
      </c>
      <c r="C143" s="10" t="str">
        <f t="shared" si="44"/>
        <v>NB</v>
      </c>
    </row>
    <row r="144" spans="1:10" x14ac:dyDescent="0.2">
      <c r="A144" s="29" t="s">
        <v>52</v>
      </c>
      <c r="C144" s="10" t="str">
        <f t="shared" si="44"/>
        <v>NB</v>
      </c>
      <c r="D144" s="25"/>
      <c r="E144" s="26" t="str">
        <f>"Total for "&amp;C144</f>
        <v>Total for NB</v>
      </c>
      <c r="F144" s="27"/>
      <c r="G144" s="28">
        <f>SUBTOTAL(9,G142:G143)</f>
        <v>0</v>
      </c>
      <c r="H144" s="28">
        <f>SUBTOTAL(9,H142:H143)</f>
        <v>0</v>
      </c>
      <c r="I144" s="28">
        <f>SUBTOTAL(9,I142:I143)</f>
        <v>3777.96</v>
      </c>
    </row>
    <row r="145" spans="1:10" x14ac:dyDescent="0.2">
      <c r="A145" s="29" t="s">
        <v>52</v>
      </c>
      <c r="C145" s="10" t="str">
        <f t="shared" si="44"/>
        <v>NB</v>
      </c>
      <c r="G145" s="14"/>
      <c r="H145" s="14"/>
      <c r="I145" s="14"/>
    </row>
    <row r="146" spans="1:10" x14ac:dyDescent="0.2">
      <c r="A146" s="29" t="s">
        <v>52</v>
      </c>
      <c r="C146" s="10" t="str">
        <f t="shared" ref="C146" si="45">D146</f>
        <v>NE</v>
      </c>
      <c r="D146" s="11" t="str">
        <f>"NE"</f>
        <v>NE</v>
      </c>
      <c r="E146" s="12"/>
      <c r="F146" s="12"/>
      <c r="G146" s="12"/>
      <c r="H146" s="12"/>
      <c r="I146" s="12"/>
    </row>
    <row r="147" spans="1:10" x14ac:dyDescent="0.2">
      <c r="A147" s="29" t="s">
        <v>52</v>
      </c>
      <c r="C147" s="10" t="str">
        <f t="shared" ref="C147:C151" si="46">C146</f>
        <v>NE</v>
      </c>
      <c r="E147" s="3" t="str">
        <f>"INLINESE0001"</f>
        <v>INLINESE0001</v>
      </c>
      <c r="F147" s="3" t="str">
        <f>"Inline Service Systems"</f>
        <v>Inline Service Systems</v>
      </c>
      <c r="G147" s="13">
        <v>0</v>
      </c>
      <c r="H147" s="13">
        <v>0</v>
      </c>
      <c r="I147" s="13">
        <v>19426.88</v>
      </c>
      <c r="J147" s="2"/>
    </row>
    <row r="148" spans="1:10" x14ac:dyDescent="0.2">
      <c r="A148" s="29" t="s">
        <v>52</v>
      </c>
      <c r="C148" s="10" t="str">
        <f t="shared" ref="C148" si="47">C147</f>
        <v>NE</v>
      </c>
      <c r="E148" s="3" t="str">
        <f>"NESTATE0001"</f>
        <v>NESTATE0001</v>
      </c>
      <c r="F148" s="3" t="str">
        <f>"Nebraska State Tax Dept."</f>
        <v>Nebraska State Tax Dept.</v>
      </c>
      <c r="G148" s="13">
        <v>0</v>
      </c>
      <c r="H148" s="13">
        <v>0</v>
      </c>
      <c r="I148" s="13">
        <v>0</v>
      </c>
      <c r="J148" s="2"/>
    </row>
    <row r="149" spans="1:10" hidden="1" x14ac:dyDescent="0.2">
      <c r="A149" s="29" t="s">
        <v>824</v>
      </c>
      <c r="C149" s="10" t="str">
        <f>C147</f>
        <v>NE</v>
      </c>
    </row>
    <row r="150" spans="1:10" x14ac:dyDescent="0.2">
      <c r="A150" s="29" t="s">
        <v>52</v>
      </c>
      <c r="C150" s="10" t="str">
        <f t="shared" si="46"/>
        <v>NE</v>
      </c>
      <c r="D150" s="25"/>
      <c r="E150" s="26" t="str">
        <f>"Total for "&amp;C150</f>
        <v>Total for NE</v>
      </c>
      <c r="F150" s="27"/>
      <c r="G150" s="28">
        <f>SUBTOTAL(9,G147:G149)</f>
        <v>0</v>
      </c>
      <c r="H150" s="28">
        <f>SUBTOTAL(9,H147:H149)</f>
        <v>0</v>
      </c>
      <c r="I150" s="28">
        <f>SUBTOTAL(9,I147:I149)</f>
        <v>19426.88</v>
      </c>
    </row>
    <row r="151" spans="1:10" x14ac:dyDescent="0.2">
      <c r="A151" s="29" t="s">
        <v>52</v>
      </c>
      <c r="C151" s="10" t="str">
        <f t="shared" si="46"/>
        <v>NE</v>
      </c>
      <c r="G151" s="14"/>
      <c r="H151" s="14"/>
      <c r="I151" s="14"/>
    </row>
    <row r="152" spans="1:10" x14ac:dyDescent="0.2">
      <c r="A152" s="29" t="s">
        <v>52</v>
      </c>
      <c r="C152" s="10" t="str">
        <f t="shared" ref="C152" si="48">D152</f>
        <v>NF</v>
      </c>
      <c r="D152" s="11" t="str">
        <f>"NF"</f>
        <v>NF</v>
      </c>
      <c r="E152" s="12"/>
      <c r="F152" s="12"/>
      <c r="G152" s="12"/>
      <c r="H152" s="12"/>
      <c r="I152" s="12"/>
    </row>
    <row r="153" spans="1:10" x14ac:dyDescent="0.2">
      <c r="A153" s="29" t="s">
        <v>52</v>
      </c>
      <c r="C153" s="10" t="str">
        <f t="shared" ref="C153:C156" si="49">C152</f>
        <v>NF</v>
      </c>
      <c r="E153" s="3" t="str">
        <f>"ELECTRON0003"</f>
        <v>ELECTRON0003</v>
      </c>
      <c r="F153" s="3" t="str">
        <f>"Hill's Brokerage Service"</f>
        <v>Hill's Brokerage Service</v>
      </c>
      <c r="G153" s="13">
        <v>0</v>
      </c>
      <c r="H153" s="13">
        <v>0</v>
      </c>
      <c r="I153" s="13">
        <v>0</v>
      </c>
      <c r="J153" s="2"/>
    </row>
    <row r="154" spans="1:10" hidden="1" x14ac:dyDescent="0.2">
      <c r="A154" s="29" t="s">
        <v>824</v>
      </c>
      <c r="C154" s="10" t="str">
        <f t="shared" si="49"/>
        <v>NF</v>
      </c>
    </row>
    <row r="155" spans="1:10" x14ac:dyDescent="0.2">
      <c r="A155" s="29" t="s">
        <v>52</v>
      </c>
      <c r="C155" s="10" t="str">
        <f t="shared" si="49"/>
        <v>NF</v>
      </c>
      <c r="D155" s="25"/>
      <c r="E155" s="26" t="str">
        <f>"Total for "&amp;C155</f>
        <v>Total for NF</v>
      </c>
      <c r="F155" s="27"/>
      <c r="G155" s="28">
        <f>SUBTOTAL(9,G153:G154)</f>
        <v>0</v>
      </c>
      <c r="H155" s="28">
        <f>SUBTOTAL(9,H153:H154)</f>
        <v>0</v>
      </c>
      <c r="I155" s="28">
        <f>SUBTOTAL(9,I153:I154)</f>
        <v>0</v>
      </c>
    </row>
    <row r="156" spans="1:10" x14ac:dyDescent="0.2">
      <c r="A156" s="29" t="s">
        <v>52</v>
      </c>
      <c r="C156" s="10" t="str">
        <f t="shared" si="49"/>
        <v>NF</v>
      </c>
      <c r="G156" s="14"/>
      <c r="H156" s="14"/>
      <c r="I156" s="14"/>
    </row>
    <row r="157" spans="1:10" x14ac:dyDescent="0.2">
      <c r="A157" s="29" t="s">
        <v>52</v>
      </c>
      <c r="C157" s="10" t="str">
        <f t="shared" ref="C157" si="50">D157</f>
        <v>NJ</v>
      </c>
      <c r="D157" s="11" t="str">
        <f>"NJ"</f>
        <v>NJ</v>
      </c>
      <c r="E157" s="12"/>
      <c r="F157" s="12"/>
      <c r="G157" s="12"/>
      <c r="H157" s="12"/>
      <c r="I157" s="12"/>
    </row>
    <row r="158" spans="1:10" x14ac:dyDescent="0.2">
      <c r="A158" s="29" t="s">
        <v>52</v>
      </c>
      <c r="C158" s="10" t="str">
        <f t="shared" ref="C158:C161" si="51">C157</f>
        <v>NJ</v>
      </c>
      <c r="E158" s="3" t="str">
        <f>"GREENLAK0001"</f>
        <v>GREENLAK0001</v>
      </c>
      <c r="F158" s="3" t="str">
        <f>"Green Lake Wire Company"</f>
        <v>Green Lake Wire Company</v>
      </c>
      <c r="G158" s="13">
        <v>0</v>
      </c>
      <c r="H158" s="13">
        <v>0</v>
      </c>
      <c r="I158" s="13">
        <v>0</v>
      </c>
      <c r="J158" s="2"/>
    </row>
    <row r="159" spans="1:10" hidden="1" x14ac:dyDescent="0.2">
      <c r="A159" s="29" t="s">
        <v>824</v>
      </c>
      <c r="C159" s="10" t="str">
        <f t="shared" si="51"/>
        <v>NJ</v>
      </c>
    </row>
    <row r="160" spans="1:10" x14ac:dyDescent="0.2">
      <c r="A160" s="29" t="s">
        <v>52</v>
      </c>
      <c r="C160" s="10" t="str">
        <f t="shared" si="51"/>
        <v>NJ</v>
      </c>
      <c r="D160" s="25"/>
      <c r="E160" s="26" t="str">
        <f>"Total for "&amp;C160</f>
        <v>Total for NJ</v>
      </c>
      <c r="F160" s="27"/>
      <c r="G160" s="28">
        <f>SUBTOTAL(9,G158:G159)</f>
        <v>0</v>
      </c>
      <c r="H160" s="28">
        <f>SUBTOTAL(9,H158:H159)</f>
        <v>0</v>
      </c>
      <c r="I160" s="28">
        <f>SUBTOTAL(9,I158:I159)</f>
        <v>0</v>
      </c>
    </row>
    <row r="161" spans="1:10" x14ac:dyDescent="0.2">
      <c r="A161" s="29" t="s">
        <v>52</v>
      </c>
      <c r="C161" s="10" t="str">
        <f t="shared" si="51"/>
        <v>NJ</v>
      </c>
      <c r="G161" s="14"/>
      <c r="H161" s="14"/>
      <c r="I161" s="14"/>
    </row>
    <row r="162" spans="1:10" x14ac:dyDescent="0.2">
      <c r="A162" s="29" t="s">
        <v>52</v>
      </c>
      <c r="C162" s="10" t="str">
        <f t="shared" ref="C162" si="52">D162</f>
        <v>NS</v>
      </c>
      <c r="D162" s="11" t="str">
        <f>"NS"</f>
        <v>NS</v>
      </c>
      <c r="E162" s="12"/>
      <c r="F162" s="12"/>
      <c r="G162" s="12"/>
      <c r="H162" s="12"/>
      <c r="I162" s="12"/>
    </row>
    <row r="163" spans="1:10" x14ac:dyDescent="0.2">
      <c r="A163" s="29" t="s">
        <v>52</v>
      </c>
      <c r="C163" s="10" t="str">
        <f t="shared" ref="C163:C166" si="53">C162</f>
        <v>NS</v>
      </c>
      <c r="E163" s="3" t="str">
        <f>"MERITSYS0001"</f>
        <v>MERITSYS0001</v>
      </c>
      <c r="F163" s="3" t="str">
        <f>"Merit System"</f>
        <v>Merit System</v>
      </c>
      <c r="G163" s="13">
        <v>0</v>
      </c>
      <c r="H163" s="13">
        <v>0</v>
      </c>
      <c r="I163" s="13">
        <v>55163.88</v>
      </c>
      <c r="J163" s="2"/>
    </row>
    <row r="164" spans="1:10" hidden="1" x14ac:dyDescent="0.2">
      <c r="A164" s="29" t="s">
        <v>824</v>
      </c>
      <c r="C164" s="10" t="str">
        <f t="shared" si="53"/>
        <v>NS</v>
      </c>
    </row>
    <row r="165" spans="1:10" x14ac:dyDescent="0.2">
      <c r="A165" s="29" t="s">
        <v>52</v>
      </c>
      <c r="C165" s="10" t="str">
        <f t="shared" si="53"/>
        <v>NS</v>
      </c>
      <c r="D165" s="25"/>
      <c r="E165" s="26" t="str">
        <f>"Total for "&amp;C165</f>
        <v>Total for NS</v>
      </c>
      <c r="F165" s="27"/>
      <c r="G165" s="28">
        <f>SUBTOTAL(9,G163:G164)</f>
        <v>0</v>
      </c>
      <c r="H165" s="28">
        <f>SUBTOTAL(9,H163:H164)</f>
        <v>0</v>
      </c>
      <c r="I165" s="28">
        <f>SUBTOTAL(9,I163:I164)</f>
        <v>55163.88</v>
      </c>
    </row>
    <row r="166" spans="1:10" x14ac:dyDescent="0.2">
      <c r="A166" s="29" t="s">
        <v>52</v>
      </c>
      <c r="C166" s="10" t="str">
        <f t="shared" si="53"/>
        <v>NS</v>
      </c>
      <c r="G166" s="14"/>
      <c r="H166" s="14"/>
      <c r="I166" s="14"/>
    </row>
    <row r="167" spans="1:10" x14ac:dyDescent="0.2">
      <c r="A167" s="29" t="s">
        <v>52</v>
      </c>
      <c r="C167" s="10" t="str">
        <f t="shared" ref="C167" si="54">D167</f>
        <v>NSW</v>
      </c>
      <c r="D167" s="11" t="str">
        <f>"NSW"</f>
        <v>NSW</v>
      </c>
      <c r="E167" s="12"/>
      <c r="F167" s="12"/>
      <c r="G167" s="12"/>
      <c r="H167" s="12"/>
      <c r="I167" s="12"/>
    </row>
    <row r="168" spans="1:10" x14ac:dyDescent="0.2">
      <c r="A168" s="29" t="s">
        <v>52</v>
      </c>
      <c r="C168" s="10" t="str">
        <f t="shared" ref="C168:C173" si="55">C167</f>
        <v>NSW</v>
      </c>
      <c r="E168" s="3" t="str">
        <f>"ACETRAVE0001"</f>
        <v>ACETRAVE0001</v>
      </c>
      <c r="F168" s="3" t="str">
        <f>"A Travel Company"</f>
        <v>A Travel Company</v>
      </c>
      <c r="G168" s="13">
        <v>0</v>
      </c>
      <c r="H168" s="13">
        <v>-50</v>
      </c>
      <c r="I168" s="13">
        <v>6713.27</v>
      </c>
      <c r="J168" s="2"/>
    </row>
    <row r="169" spans="1:10" x14ac:dyDescent="0.2">
      <c r="A169" s="29" t="s">
        <v>52</v>
      </c>
      <c r="C169" s="10" t="str">
        <f t="shared" ref="C169:C170" si="56">C168</f>
        <v>NSW</v>
      </c>
      <c r="E169" s="3" t="str">
        <f>"INTERNAT0002"</f>
        <v>INTERNAT0002</v>
      </c>
      <c r="F169" s="3" t="str">
        <f>"International TeleCom Assoc"</f>
        <v>International TeleCom Assoc</v>
      </c>
      <c r="G169" s="13">
        <v>0</v>
      </c>
      <c r="H169" s="13">
        <v>0</v>
      </c>
      <c r="I169" s="13">
        <v>127760.09</v>
      </c>
      <c r="J169" s="2"/>
    </row>
    <row r="170" spans="1:10" x14ac:dyDescent="0.2">
      <c r="A170" s="29" t="s">
        <v>52</v>
      </c>
      <c r="C170" s="10" t="str">
        <f t="shared" si="56"/>
        <v>NSW</v>
      </c>
      <c r="E170" s="3" t="str">
        <f>"READYREN0001"</f>
        <v>READYREN0001</v>
      </c>
      <c r="F170" s="3" t="str">
        <f>"Ready Rentals"</f>
        <v>Ready Rentals</v>
      </c>
      <c r="G170" s="13">
        <v>0</v>
      </c>
      <c r="H170" s="13">
        <v>0</v>
      </c>
      <c r="I170" s="13">
        <v>3866.05</v>
      </c>
      <c r="J170" s="2"/>
    </row>
    <row r="171" spans="1:10" hidden="1" x14ac:dyDescent="0.2">
      <c r="A171" s="29" t="s">
        <v>824</v>
      </c>
      <c r="C171" s="10" t="str">
        <f>C168</f>
        <v>NSW</v>
      </c>
    </row>
    <row r="172" spans="1:10" x14ac:dyDescent="0.2">
      <c r="A172" s="29" t="s">
        <v>52</v>
      </c>
      <c r="C172" s="10" t="str">
        <f t="shared" si="55"/>
        <v>NSW</v>
      </c>
      <c r="D172" s="25"/>
      <c r="E172" s="26" t="str">
        <f>"Total for "&amp;C172</f>
        <v>Total for NSW</v>
      </c>
      <c r="F172" s="27"/>
      <c r="G172" s="28">
        <f>SUBTOTAL(9,G168:G171)</f>
        <v>0</v>
      </c>
      <c r="H172" s="28">
        <f>SUBTOTAL(9,H168:H171)</f>
        <v>-50</v>
      </c>
      <c r="I172" s="28">
        <f>SUBTOTAL(9,I168:I171)</f>
        <v>138339.40999999997</v>
      </c>
    </row>
    <row r="173" spans="1:10" x14ac:dyDescent="0.2">
      <c r="A173" s="29" t="s">
        <v>52</v>
      </c>
      <c r="C173" s="10" t="str">
        <f t="shared" si="55"/>
        <v>NSW</v>
      </c>
      <c r="G173" s="14"/>
      <c r="H173" s="14"/>
      <c r="I173" s="14"/>
    </row>
    <row r="174" spans="1:10" x14ac:dyDescent="0.2">
      <c r="A174" s="29" t="s">
        <v>52</v>
      </c>
      <c r="C174" s="10" t="str">
        <f t="shared" ref="C174" si="57">D174</f>
        <v>NY</v>
      </c>
      <c r="D174" s="11" t="str">
        <f>"NY"</f>
        <v>NY</v>
      </c>
      <c r="E174" s="12"/>
      <c r="F174" s="12"/>
      <c r="G174" s="12"/>
      <c r="H174" s="12"/>
      <c r="I174" s="12"/>
    </row>
    <row r="175" spans="1:10" x14ac:dyDescent="0.2">
      <c r="A175" s="29" t="s">
        <v>52</v>
      </c>
      <c r="C175" s="10" t="str">
        <f t="shared" ref="C175:C179" si="58">C174</f>
        <v>NY</v>
      </c>
      <c r="E175" s="3" t="str">
        <f>"CRUGEREN0001"</f>
        <v>CRUGEREN0001</v>
      </c>
      <c r="F175" s="3" t="str">
        <f>"Cruger Engineering Company"</f>
        <v>Cruger Engineering Company</v>
      </c>
      <c r="G175" s="13">
        <v>0</v>
      </c>
      <c r="H175" s="13">
        <v>0</v>
      </c>
      <c r="I175" s="13">
        <v>0</v>
      </c>
      <c r="J175" s="2"/>
    </row>
    <row r="176" spans="1:10" x14ac:dyDescent="0.2">
      <c r="A176" s="29" t="s">
        <v>52</v>
      </c>
      <c r="C176" s="10" t="str">
        <f t="shared" ref="C176" si="59">C175</f>
        <v>NY</v>
      </c>
      <c r="E176" s="3" t="str">
        <f>"INTERNAT0003"</f>
        <v>INTERNAT0003</v>
      </c>
      <c r="F176" s="3" t="str">
        <f>"International Telephone"</f>
        <v>International Telephone</v>
      </c>
      <c r="G176" s="13">
        <v>0</v>
      </c>
      <c r="H176" s="13">
        <v>0</v>
      </c>
      <c r="I176" s="13">
        <v>13589.76</v>
      </c>
      <c r="J176" s="2"/>
    </row>
    <row r="177" spans="1:10" hidden="1" x14ac:dyDescent="0.2">
      <c r="A177" s="29" t="s">
        <v>824</v>
      </c>
      <c r="C177" s="10" t="str">
        <f>C175</f>
        <v>NY</v>
      </c>
    </row>
    <row r="178" spans="1:10" x14ac:dyDescent="0.2">
      <c r="A178" s="29" t="s">
        <v>52</v>
      </c>
      <c r="C178" s="10" t="str">
        <f t="shared" si="58"/>
        <v>NY</v>
      </c>
      <c r="D178" s="25"/>
      <c r="E178" s="26" t="str">
        <f>"Total for "&amp;C178</f>
        <v>Total for NY</v>
      </c>
      <c r="F178" s="27"/>
      <c r="G178" s="28">
        <f>SUBTOTAL(9,G175:G177)</f>
        <v>0</v>
      </c>
      <c r="H178" s="28">
        <f>SUBTOTAL(9,H175:H177)</f>
        <v>0</v>
      </c>
      <c r="I178" s="28">
        <f>SUBTOTAL(9,I175:I177)</f>
        <v>13589.76</v>
      </c>
    </row>
    <row r="179" spans="1:10" x14ac:dyDescent="0.2">
      <c r="A179" s="29" t="s">
        <v>52</v>
      </c>
      <c r="C179" s="10" t="str">
        <f t="shared" si="58"/>
        <v>NY</v>
      </c>
      <c r="G179" s="14"/>
      <c r="H179" s="14"/>
      <c r="I179" s="14"/>
    </row>
    <row r="180" spans="1:10" x14ac:dyDescent="0.2">
      <c r="A180" s="29" t="s">
        <v>52</v>
      </c>
      <c r="C180" s="10" t="str">
        <f t="shared" ref="C180" si="60">D180</f>
        <v>OH</v>
      </c>
      <c r="D180" s="11" t="str">
        <f>"OH"</f>
        <v>OH</v>
      </c>
      <c r="E180" s="12"/>
      <c r="F180" s="12"/>
      <c r="G180" s="12"/>
      <c r="H180" s="12"/>
      <c r="I180" s="12"/>
    </row>
    <row r="181" spans="1:10" x14ac:dyDescent="0.2">
      <c r="A181" s="29" t="s">
        <v>52</v>
      </c>
      <c r="C181" s="10" t="str">
        <f t="shared" ref="C181:C184" si="61">C180</f>
        <v>OH</v>
      </c>
      <c r="E181" s="3" t="str">
        <f>"PERMIERS0001"</f>
        <v>PERMIERS0001</v>
      </c>
      <c r="F181" s="3" t="str">
        <f>"Premier System, Inc."</f>
        <v>Premier System, Inc.</v>
      </c>
      <c r="G181" s="13">
        <v>0</v>
      </c>
      <c r="H181" s="13">
        <v>0</v>
      </c>
      <c r="I181" s="13">
        <v>0</v>
      </c>
      <c r="J181" s="2"/>
    </row>
    <row r="182" spans="1:10" hidden="1" x14ac:dyDescent="0.2">
      <c r="A182" s="29" t="s">
        <v>824</v>
      </c>
      <c r="C182" s="10" t="str">
        <f t="shared" si="61"/>
        <v>OH</v>
      </c>
    </row>
    <row r="183" spans="1:10" x14ac:dyDescent="0.2">
      <c r="A183" s="29" t="s">
        <v>52</v>
      </c>
      <c r="C183" s="10" t="str">
        <f t="shared" si="61"/>
        <v>OH</v>
      </c>
      <c r="D183" s="25"/>
      <c r="E183" s="26" t="str">
        <f>"Total for "&amp;C183</f>
        <v>Total for OH</v>
      </c>
      <c r="F183" s="27"/>
      <c r="G183" s="28">
        <f>SUBTOTAL(9,G181:G182)</f>
        <v>0</v>
      </c>
      <c r="H183" s="28">
        <f>SUBTOTAL(9,H181:H182)</f>
        <v>0</v>
      </c>
      <c r="I183" s="28">
        <f>SUBTOTAL(9,I181:I182)</f>
        <v>0</v>
      </c>
    </row>
    <row r="184" spans="1:10" x14ac:dyDescent="0.2">
      <c r="A184" s="29" t="s">
        <v>52</v>
      </c>
      <c r="C184" s="10" t="str">
        <f t="shared" si="61"/>
        <v>OH</v>
      </c>
      <c r="G184" s="14"/>
      <c r="H184" s="14"/>
      <c r="I184" s="14"/>
    </row>
    <row r="185" spans="1:10" x14ac:dyDescent="0.2">
      <c r="A185" s="29" t="s">
        <v>52</v>
      </c>
      <c r="C185" s="10" t="str">
        <f t="shared" ref="C185" si="62">D185</f>
        <v>ON</v>
      </c>
      <c r="D185" s="11" t="str">
        <f>"ON"</f>
        <v>ON</v>
      </c>
      <c r="E185" s="12"/>
      <c r="F185" s="12"/>
      <c r="G185" s="12"/>
      <c r="H185" s="12"/>
      <c r="I185" s="12"/>
    </row>
    <row r="186" spans="1:10" x14ac:dyDescent="0.2">
      <c r="A186" s="29" t="s">
        <v>52</v>
      </c>
      <c r="C186" s="10" t="str">
        <f t="shared" ref="C186:C193" si="63">C185</f>
        <v>ON</v>
      </c>
      <c r="E186" s="3" t="str">
        <f>"BUSINESS0001"</f>
        <v>BUSINESS0001</v>
      </c>
      <c r="F186" s="3" t="str">
        <f>"Business Equipment Center"</f>
        <v>Business Equipment Center</v>
      </c>
      <c r="G186" s="13">
        <v>0</v>
      </c>
      <c r="H186" s="13">
        <v>0</v>
      </c>
      <c r="I186" s="13">
        <v>10529.18</v>
      </c>
      <c r="J186" s="2"/>
    </row>
    <row r="187" spans="1:10" x14ac:dyDescent="0.2">
      <c r="A187" s="29" t="s">
        <v>52</v>
      </c>
      <c r="C187" s="10" t="str">
        <f t="shared" ref="C187:C190" si="64">C186</f>
        <v>ON</v>
      </c>
      <c r="E187" s="3" t="str">
        <f>"REVENUEC0001"</f>
        <v>REVENUEC0001</v>
      </c>
      <c r="F187" s="3" t="str">
        <f>"Revenue Canada"</f>
        <v>Revenue Canada</v>
      </c>
      <c r="G187" s="13">
        <v>0</v>
      </c>
      <c r="H187" s="13">
        <v>0</v>
      </c>
      <c r="I187" s="13">
        <v>9532.1200000000008</v>
      </c>
      <c r="J187" s="2"/>
    </row>
    <row r="188" spans="1:10" x14ac:dyDescent="0.2">
      <c r="A188" s="29" t="s">
        <v>52</v>
      </c>
      <c r="C188" s="10" t="str">
        <f t="shared" si="64"/>
        <v>ON</v>
      </c>
      <c r="E188" s="3" t="str">
        <f>"REVENUEC0002"</f>
        <v>REVENUEC0002</v>
      </c>
      <c r="F188" s="3" t="str">
        <f>"Revenue Canada"</f>
        <v>Revenue Canada</v>
      </c>
      <c r="G188" s="13">
        <v>0</v>
      </c>
      <c r="H188" s="13">
        <v>0</v>
      </c>
      <c r="I188" s="13">
        <v>0</v>
      </c>
      <c r="J188" s="2"/>
    </row>
    <row r="189" spans="1:10" x14ac:dyDescent="0.2">
      <c r="A189" s="29" t="s">
        <v>52</v>
      </c>
      <c r="C189" s="10" t="str">
        <f t="shared" si="64"/>
        <v>ON</v>
      </c>
      <c r="E189" s="3" t="str">
        <f>"VISTATRA0001"</f>
        <v>VISTATRA0001</v>
      </c>
      <c r="F189" s="3" t="str">
        <f>"Vista Travel"</f>
        <v>Vista Travel</v>
      </c>
      <c r="G189" s="13">
        <v>0</v>
      </c>
      <c r="H189" s="13">
        <v>0</v>
      </c>
      <c r="I189" s="13">
        <v>8547.23</v>
      </c>
      <c r="J189" s="2"/>
    </row>
    <row r="190" spans="1:10" x14ac:dyDescent="0.2">
      <c r="A190" s="29" t="s">
        <v>52</v>
      </c>
      <c r="C190" s="10" t="str">
        <f t="shared" si="64"/>
        <v>ON</v>
      </c>
      <c r="E190" s="3" t="str">
        <f>"WOODCONS0001"</f>
        <v>WOODCONS0001</v>
      </c>
      <c r="F190" s="3" t="str">
        <f>"Wood Consulting"</f>
        <v>Wood Consulting</v>
      </c>
      <c r="G190" s="13">
        <v>0</v>
      </c>
      <c r="H190" s="13">
        <v>0</v>
      </c>
      <c r="I190" s="13">
        <v>0</v>
      </c>
      <c r="J190" s="2"/>
    </row>
    <row r="191" spans="1:10" hidden="1" x14ac:dyDescent="0.2">
      <c r="A191" s="29" t="s">
        <v>824</v>
      </c>
      <c r="C191" s="10" t="str">
        <f>C186</f>
        <v>ON</v>
      </c>
    </row>
    <row r="192" spans="1:10" x14ac:dyDescent="0.2">
      <c r="A192" s="29" t="s">
        <v>52</v>
      </c>
      <c r="C192" s="10" t="str">
        <f t="shared" si="63"/>
        <v>ON</v>
      </c>
      <c r="D192" s="25"/>
      <c r="E192" s="26" t="str">
        <f>"Total for "&amp;C192</f>
        <v>Total for ON</v>
      </c>
      <c r="F192" s="27"/>
      <c r="G192" s="28">
        <f>SUBTOTAL(9,G186:G191)</f>
        <v>0</v>
      </c>
      <c r="H192" s="28">
        <f>SUBTOTAL(9,H186:H191)</f>
        <v>0</v>
      </c>
      <c r="I192" s="28">
        <f>SUBTOTAL(9,I186:I191)</f>
        <v>28608.530000000002</v>
      </c>
    </row>
    <row r="193" spans="1:10" x14ac:dyDescent="0.2">
      <c r="A193" s="29" t="s">
        <v>52</v>
      </c>
      <c r="C193" s="10" t="str">
        <f t="shared" si="63"/>
        <v>ON</v>
      </c>
      <c r="G193" s="14"/>
      <c r="H193" s="14"/>
      <c r="I193" s="14"/>
    </row>
    <row r="194" spans="1:10" x14ac:dyDescent="0.2">
      <c r="A194" s="29" t="s">
        <v>52</v>
      </c>
      <c r="C194" s="10" t="str">
        <f t="shared" ref="C194" si="65">D194</f>
        <v>PQ</v>
      </c>
      <c r="D194" s="11" t="str">
        <f>"PQ"</f>
        <v>PQ</v>
      </c>
      <c r="E194" s="12"/>
      <c r="F194" s="12"/>
      <c r="G194" s="12"/>
      <c r="H194" s="12"/>
      <c r="I194" s="12"/>
    </row>
    <row r="195" spans="1:10" x14ac:dyDescent="0.2">
      <c r="A195" s="29" t="s">
        <v>52</v>
      </c>
      <c r="C195" s="10" t="str">
        <f t="shared" ref="C195:C201" si="66">C194</f>
        <v>PQ</v>
      </c>
      <c r="E195" s="3" t="str">
        <f>"BERGERON0001"</f>
        <v>BERGERON0001</v>
      </c>
      <c r="F195" s="3" t="str">
        <f>"Bergeron Communications Sol."</f>
        <v>Bergeron Communications Sol.</v>
      </c>
      <c r="G195" s="13">
        <v>0</v>
      </c>
      <c r="H195" s="13">
        <v>0</v>
      </c>
      <c r="I195" s="13">
        <v>0</v>
      </c>
      <c r="J195" s="2"/>
    </row>
    <row r="196" spans="1:10" x14ac:dyDescent="0.2">
      <c r="A196" s="29" t="s">
        <v>52</v>
      </c>
      <c r="C196" s="10" t="str">
        <f t="shared" ref="C196:C198" si="67">C195</f>
        <v>PQ</v>
      </c>
      <c r="E196" s="3" t="str">
        <f>"DISTANTI0001"</f>
        <v>DISTANTI0001</v>
      </c>
      <c r="F196" s="3" t="str">
        <f>"Distant Inns-Canada"</f>
        <v>Distant Inns-Canada</v>
      </c>
      <c r="G196" s="13">
        <v>0</v>
      </c>
      <c r="H196" s="13">
        <v>0</v>
      </c>
      <c r="I196" s="13">
        <v>0</v>
      </c>
      <c r="J196" s="2"/>
    </row>
    <row r="197" spans="1:10" x14ac:dyDescent="0.2">
      <c r="A197" s="29" t="s">
        <v>52</v>
      </c>
      <c r="C197" s="10" t="str">
        <f t="shared" si="67"/>
        <v>PQ</v>
      </c>
      <c r="E197" s="3" t="str">
        <f>"TRAINING0001"</f>
        <v>TRAINING0001</v>
      </c>
      <c r="F197" s="3" t="str">
        <f>"Training Systems"</f>
        <v>Training Systems</v>
      </c>
      <c r="G197" s="13">
        <v>0</v>
      </c>
      <c r="H197" s="13">
        <v>0</v>
      </c>
      <c r="I197" s="13">
        <v>68358.91</v>
      </c>
      <c r="J197" s="2"/>
    </row>
    <row r="198" spans="1:10" x14ac:dyDescent="0.2">
      <c r="A198" s="29" t="s">
        <v>52</v>
      </c>
      <c r="C198" s="10" t="str">
        <f t="shared" si="67"/>
        <v>PQ</v>
      </c>
      <c r="E198" s="3" t="str">
        <f>"VISIONAD0001"</f>
        <v>VISIONAD0001</v>
      </c>
      <c r="F198" s="3" t="str">
        <f>"Vision Advertising Inc."</f>
        <v>Vision Advertising Inc.</v>
      </c>
      <c r="G198" s="13">
        <v>0</v>
      </c>
      <c r="H198" s="13">
        <v>0</v>
      </c>
      <c r="I198" s="13">
        <v>1918.61</v>
      </c>
      <c r="J198" s="2"/>
    </row>
    <row r="199" spans="1:10" hidden="1" x14ac:dyDescent="0.2">
      <c r="A199" s="29" t="s">
        <v>824</v>
      </c>
      <c r="C199" s="10" t="str">
        <f>C195</f>
        <v>PQ</v>
      </c>
    </row>
    <row r="200" spans="1:10" x14ac:dyDescent="0.2">
      <c r="A200" s="29" t="s">
        <v>52</v>
      </c>
      <c r="C200" s="10" t="str">
        <f t="shared" si="66"/>
        <v>PQ</v>
      </c>
      <c r="D200" s="25"/>
      <c r="E200" s="26" t="str">
        <f>"Total for "&amp;C200</f>
        <v>Total for PQ</v>
      </c>
      <c r="F200" s="27"/>
      <c r="G200" s="28">
        <f>SUBTOTAL(9,G195:G199)</f>
        <v>0</v>
      </c>
      <c r="H200" s="28">
        <f>SUBTOTAL(9,H195:H199)</f>
        <v>0</v>
      </c>
      <c r="I200" s="28">
        <f>SUBTOTAL(9,I195:I199)</f>
        <v>70277.52</v>
      </c>
    </row>
    <row r="201" spans="1:10" x14ac:dyDescent="0.2">
      <c r="A201" s="29" t="s">
        <v>52</v>
      </c>
      <c r="C201" s="10" t="str">
        <f t="shared" si="66"/>
        <v>PQ</v>
      </c>
      <c r="G201" s="14"/>
      <c r="H201" s="14"/>
      <c r="I201" s="14"/>
    </row>
    <row r="202" spans="1:10" x14ac:dyDescent="0.2">
      <c r="A202" s="29" t="s">
        <v>52</v>
      </c>
      <c r="C202" s="10" t="str">
        <f t="shared" ref="C202" si="68">D202</f>
        <v>TX</v>
      </c>
      <c r="D202" s="11" t="str">
        <f>"TX"</f>
        <v>TX</v>
      </c>
      <c r="E202" s="12"/>
      <c r="F202" s="12"/>
      <c r="G202" s="12"/>
      <c r="H202" s="12"/>
      <c r="I202" s="12"/>
    </row>
    <row r="203" spans="1:10" x14ac:dyDescent="0.2">
      <c r="A203" s="29" t="s">
        <v>52</v>
      </c>
      <c r="C203" s="10" t="str">
        <f t="shared" ref="C203:C207" si="69">C202</f>
        <v>TX</v>
      </c>
      <c r="E203" s="3" t="str">
        <f>"CENTRALC0001"</f>
        <v>CENTRALC0001</v>
      </c>
      <c r="F203" s="3" t="str">
        <f>"Central Cellular, Inc."</f>
        <v>Central Cellular, Inc.</v>
      </c>
      <c r="G203" s="13">
        <v>0</v>
      </c>
      <c r="H203" s="13">
        <v>93.550000000000182</v>
      </c>
      <c r="I203" s="13">
        <v>7031.81</v>
      </c>
      <c r="J203" s="2"/>
    </row>
    <row r="204" spans="1:10" x14ac:dyDescent="0.2">
      <c r="A204" s="29" t="s">
        <v>52</v>
      </c>
      <c r="C204" s="10" t="str">
        <f t="shared" ref="C204" si="70">C203</f>
        <v>TX</v>
      </c>
      <c r="E204" s="3" t="str">
        <f>"FABRIKAM0001"</f>
        <v>FABRIKAM0001</v>
      </c>
      <c r="F204" s="3" t="str">
        <f>"Fabrication Company"</f>
        <v>Fabrication Company</v>
      </c>
      <c r="G204" s="13">
        <v>0</v>
      </c>
      <c r="H204" s="13">
        <v>0</v>
      </c>
      <c r="I204" s="13">
        <v>0</v>
      </c>
      <c r="J204" s="2"/>
    </row>
    <row r="205" spans="1:10" hidden="1" x14ac:dyDescent="0.2">
      <c r="A205" s="29" t="s">
        <v>824</v>
      </c>
      <c r="C205" s="10" t="str">
        <f>C203</f>
        <v>TX</v>
      </c>
    </row>
    <row r="206" spans="1:10" x14ac:dyDescent="0.2">
      <c r="A206" s="29" t="s">
        <v>52</v>
      </c>
      <c r="C206" s="10" t="str">
        <f t="shared" si="69"/>
        <v>TX</v>
      </c>
      <c r="D206" s="25"/>
      <c r="E206" s="26" t="str">
        <f>"Total for "&amp;C206</f>
        <v>Total for TX</v>
      </c>
      <c r="F206" s="27"/>
      <c r="G206" s="28">
        <f>SUBTOTAL(9,G203:G205)</f>
        <v>0</v>
      </c>
      <c r="H206" s="28">
        <f>SUBTOTAL(9,H203:H205)</f>
        <v>93.550000000000182</v>
      </c>
      <c r="I206" s="28">
        <f>SUBTOTAL(9,I203:I205)</f>
        <v>7031.81</v>
      </c>
    </row>
    <row r="207" spans="1:10" x14ac:dyDescent="0.2">
      <c r="A207" s="29" t="s">
        <v>52</v>
      </c>
      <c r="C207" s="10" t="str">
        <f t="shared" si="69"/>
        <v>TX</v>
      </c>
      <c r="G207" s="14"/>
      <c r="H207" s="14"/>
      <c r="I207" s="14"/>
    </row>
    <row r="208" spans="1:10" x14ac:dyDescent="0.2">
      <c r="A208" s="29" t="s">
        <v>52</v>
      </c>
      <c r="C208" s="10" t="str">
        <f t="shared" ref="C208" si="71">D208</f>
        <v>WA</v>
      </c>
      <c r="D208" s="11" t="str">
        <f>"WA"</f>
        <v>WA</v>
      </c>
      <c r="E208" s="12"/>
      <c r="F208" s="12"/>
      <c r="G208" s="12"/>
      <c r="H208" s="12"/>
      <c r="I208" s="12"/>
    </row>
    <row r="209" spans="1:10" x14ac:dyDescent="0.2">
      <c r="A209" s="29" t="s">
        <v>52</v>
      </c>
      <c r="C209" s="10" t="str">
        <f t="shared" ref="C209:C212" si="72">C208</f>
        <v>WA</v>
      </c>
      <c r="E209" s="3" t="str">
        <f>"ELECTRO0001"</f>
        <v>ELECTRO0001</v>
      </c>
      <c r="F209" s="3" t="str">
        <f>"Electronic Telephone Co."</f>
        <v>Electronic Telephone Co.</v>
      </c>
      <c r="G209" s="13">
        <v>0</v>
      </c>
      <c r="H209" s="13">
        <v>0</v>
      </c>
      <c r="I209" s="13">
        <v>0</v>
      </c>
      <c r="J209" s="2"/>
    </row>
    <row r="210" spans="1:10" hidden="1" x14ac:dyDescent="0.2">
      <c r="A210" s="29" t="s">
        <v>824</v>
      </c>
      <c r="C210" s="10" t="str">
        <f t="shared" si="72"/>
        <v>WA</v>
      </c>
    </row>
    <row r="211" spans="1:10" x14ac:dyDescent="0.2">
      <c r="A211" s="29" t="s">
        <v>52</v>
      </c>
      <c r="C211" s="10" t="str">
        <f t="shared" si="72"/>
        <v>WA</v>
      </c>
      <c r="D211" s="25"/>
      <c r="E211" s="26" t="str">
        <f>"Total for "&amp;C211</f>
        <v>Total for WA</v>
      </c>
      <c r="F211" s="27"/>
      <c r="G211" s="28">
        <f>SUBTOTAL(9,G209:G210)</f>
        <v>0</v>
      </c>
      <c r="H211" s="28">
        <f>SUBTOTAL(9,H209:H210)</f>
        <v>0</v>
      </c>
      <c r="I211" s="28">
        <f>SUBTOTAL(9,I209:I210)</f>
        <v>0</v>
      </c>
    </row>
    <row r="212" spans="1:10" x14ac:dyDescent="0.2">
      <c r="A212" s="29" t="s">
        <v>52</v>
      </c>
      <c r="C212" s="10" t="str">
        <f t="shared" si="72"/>
        <v>WA</v>
      </c>
      <c r="G212" s="14"/>
      <c r="H212" s="14"/>
      <c r="I212" s="14"/>
    </row>
    <row r="213" spans="1:10" x14ac:dyDescent="0.2">
      <c r="A213" s="29" t="s">
        <v>52</v>
      </c>
      <c r="C213" s="10" t="str">
        <f t="shared" ref="C213" si="73">D213</f>
        <v>WI</v>
      </c>
      <c r="D213" s="11" t="str">
        <f>"WI"</f>
        <v>WI</v>
      </c>
      <c r="E213" s="12"/>
      <c r="F213" s="12"/>
      <c r="G213" s="12"/>
      <c r="H213" s="12"/>
      <c r="I213" s="12"/>
    </row>
    <row r="214" spans="1:10" x14ac:dyDescent="0.2">
      <c r="A214" s="29" t="s">
        <v>52</v>
      </c>
      <c r="C214" s="10" t="str">
        <f t="shared" ref="C214:C217" si="74">C213</f>
        <v>WI</v>
      </c>
      <c r="E214" s="3" t="str">
        <f>"IMAGEMAK0001"</f>
        <v>IMAGEMAK0001</v>
      </c>
      <c r="F214" s="3" t="str">
        <f>"Image Makers Advertising"</f>
        <v>Image Makers Advertising</v>
      </c>
      <c r="G214" s="13">
        <v>0</v>
      </c>
      <c r="H214" s="13">
        <v>0</v>
      </c>
      <c r="I214" s="13">
        <v>8512.23</v>
      </c>
      <c r="J214" s="2"/>
    </row>
    <row r="215" spans="1:10" hidden="1" x14ac:dyDescent="0.2">
      <c r="A215" s="29" t="s">
        <v>824</v>
      </c>
      <c r="C215" s="10" t="str">
        <f t="shared" si="74"/>
        <v>WI</v>
      </c>
    </row>
    <row r="216" spans="1:10" x14ac:dyDescent="0.2">
      <c r="A216" s="29" t="s">
        <v>52</v>
      </c>
      <c r="C216" s="10" t="str">
        <f t="shared" si="74"/>
        <v>WI</v>
      </c>
      <c r="D216" s="25"/>
      <c r="E216" s="26" t="str">
        <f t="shared" ref="E216" si="75">"Total for "&amp;C216</f>
        <v>Total for WI</v>
      </c>
      <c r="F216" s="27"/>
      <c r="G216" s="28">
        <f t="shared" ref="G216:I216" si="76">SUBTOTAL(9,G214:G215)</f>
        <v>0</v>
      </c>
      <c r="H216" s="28">
        <f t="shared" si="76"/>
        <v>0</v>
      </c>
      <c r="I216" s="28">
        <f t="shared" si="76"/>
        <v>8512.23</v>
      </c>
    </row>
    <row r="217" spans="1:10" x14ac:dyDescent="0.2">
      <c r="A217" s="29" t="s">
        <v>52</v>
      </c>
      <c r="C217" s="10" t="str">
        <f t="shared" si="74"/>
        <v>WI</v>
      </c>
      <c r="G217" s="14"/>
      <c r="H217" s="14"/>
      <c r="I217" s="14"/>
    </row>
    <row r="218" spans="1:10" x14ac:dyDescent="0.2">
      <c r="A218" s="29"/>
      <c r="C218" s="10">
        <f>C20</f>
        <v>0</v>
      </c>
    </row>
    <row r="219" spans="1:10" ht="12.75" thickBot="1" x14ac:dyDescent="0.25">
      <c r="A219" s="29"/>
      <c r="C219" s="10">
        <f>C218</f>
        <v>0</v>
      </c>
      <c r="E219" s="15" t="s">
        <v>21</v>
      </c>
      <c r="F219" s="16"/>
      <c r="G219" s="17">
        <f>SUBTOTAL(9,G15:G218)</f>
        <v>-10315.34</v>
      </c>
      <c r="H219" s="17">
        <f>SUBTOTAL(9,H15:H218)</f>
        <v>-9935.9100000000071</v>
      </c>
      <c r="I219" s="17">
        <f>SUBTOTAL(9,I15:I218)</f>
        <v>1304834.7300000002</v>
      </c>
    </row>
    <row r="220" spans="1:10" ht="12.75" thickTop="1" x14ac:dyDescent="0.2">
      <c r="A220" s="29"/>
    </row>
    <row r="221" spans="1:10" x14ac:dyDescent="0.2">
      <c r="A221" s="29"/>
    </row>
    <row r="222" spans="1:10" s="4" customFormat="1" hidden="1" x14ac:dyDescent="0.2">
      <c r="A222" s="29" t="s">
        <v>18</v>
      </c>
      <c r="D222" s="3" t="s">
        <v>825</v>
      </c>
    </row>
    <row r="223" spans="1:10" s="4" customFormat="1" hidden="1" x14ac:dyDescent="0.2">
      <c r="A223" s="29" t="s">
        <v>18</v>
      </c>
      <c r="D223" s="3" t="s">
        <v>826</v>
      </c>
    </row>
    <row r="224" spans="1:10" x14ac:dyDescent="0.2">
      <c r="A224" s="29"/>
    </row>
    <row r="225" spans="1:1" x14ac:dyDescent="0.2">
      <c r="A225" s="29"/>
    </row>
    <row r="226" spans="1:1" x14ac:dyDescent="0.2">
      <c r="A226" s="29"/>
    </row>
  </sheetData>
  <mergeCells count="2">
    <mergeCell ref="G12:H12"/>
    <mergeCell ref="D4:E4"/>
  </mergeCells>
  <phoneticPr fontId="3" type="noConversion"/>
  <pageMargins left="0.25" right="0.25" top="0.75" bottom="0.75" header="0.3" footer="0.3"/>
  <pageSetup scale="85" fitToHeight="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workbookViewId="0"/>
  </sheetViews>
  <sheetFormatPr defaultRowHeight="12.75" x14ac:dyDescent="0.2"/>
  <sheetData>
    <row r="1" spans="1:6" x14ac:dyDescent="0.2">
      <c r="A1" s="1" t="s">
        <v>851</v>
      </c>
      <c r="D1" s="1" t="s">
        <v>24</v>
      </c>
      <c r="E1" s="1" t="s">
        <v>25</v>
      </c>
      <c r="F1" s="1" t="s">
        <v>26</v>
      </c>
    </row>
    <row r="3" spans="1:6" x14ac:dyDescent="0.2">
      <c r="D3" s="1" t="s">
        <v>820</v>
      </c>
    </row>
    <row r="4" spans="1:6" x14ac:dyDescent="0.2">
      <c r="A4" s="1" t="s">
        <v>23</v>
      </c>
      <c r="D4" s="1" t="s">
        <v>13</v>
      </c>
      <c r="E4" s="1" t="s">
        <v>827</v>
      </c>
      <c r="F4" s="1" t="s">
        <v>614</v>
      </c>
    </row>
    <row r="5" spans="1:6" x14ac:dyDescent="0.2">
      <c r="A5" s="1" t="s">
        <v>23</v>
      </c>
      <c r="D5" s="1" t="s">
        <v>27</v>
      </c>
      <c r="E5" s="1" t="s">
        <v>822</v>
      </c>
      <c r="F5" s="1" t="s">
        <v>31</v>
      </c>
    </row>
    <row r="6" spans="1:6" x14ac:dyDescent="0.2">
      <c r="A6" s="1" t="s">
        <v>23</v>
      </c>
      <c r="D6" s="1" t="s">
        <v>28</v>
      </c>
      <c r="E6" s="1" t="s">
        <v>823</v>
      </c>
      <c r="F6" s="1" t="s">
        <v>32</v>
      </c>
    </row>
    <row r="7" spans="1:6" x14ac:dyDescent="0.2">
      <c r="A7" s="1" t="s">
        <v>23</v>
      </c>
      <c r="D7" s="1" t="s">
        <v>0</v>
      </c>
      <c r="E7" s="1" t="s">
        <v>827</v>
      </c>
      <c r="F7" s="1" t="s">
        <v>821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workbookViewId="0"/>
  </sheetViews>
  <sheetFormatPr defaultRowHeight="12.75" x14ac:dyDescent="0.2"/>
  <sheetData>
    <row r="1" spans="1:6" x14ac:dyDescent="0.2">
      <c r="A1" s="1" t="s">
        <v>851</v>
      </c>
      <c r="D1" s="1" t="s">
        <v>24</v>
      </c>
      <c r="E1" s="1" t="s">
        <v>25</v>
      </c>
      <c r="F1" s="1" t="s">
        <v>26</v>
      </c>
    </row>
    <row r="3" spans="1:6" x14ac:dyDescent="0.2">
      <c r="D3" s="1" t="s">
        <v>820</v>
      </c>
    </row>
    <row r="4" spans="1:6" x14ac:dyDescent="0.2">
      <c r="A4" s="1" t="s">
        <v>23</v>
      </c>
      <c r="D4" s="1" t="s">
        <v>13</v>
      </c>
      <c r="E4" s="1" t="s">
        <v>827</v>
      </c>
      <c r="F4" s="1" t="s">
        <v>614</v>
      </c>
    </row>
    <row r="5" spans="1:6" x14ac:dyDescent="0.2">
      <c r="A5" s="1" t="s">
        <v>23</v>
      </c>
      <c r="D5" s="1" t="s">
        <v>27</v>
      </c>
      <c r="E5" s="1" t="s">
        <v>822</v>
      </c>
      <c r="F5" s="1" t="s">
        <v>31</v>
      </c>
    </row>
    <row r="6" spans="1:6" x14ac:dyDescent="0.2">
      <c r="A6" s="1" t="s">
        <v>23</v>
      </c>
      <c r="D6" s="1" t="s">
        <v>28</v>
      </c>
      <c r="E6" s="1" t="s">
        <v>823</v>
      </c>
      <c r="F6" s="1" t="s">
        <v>32</v>
      </c>
    </row>
    <row r="7" spans="1:6" x14ac:dyDescent="0.2">
      <c r="A7" s="1" t="s">
        <v>23</v>
      </c>
      <c r="D7" s="1" t="s">
        <v>0</v>
      </c>
      <c r="E7" s="1" t="s">
        <v>827</v>
      </c>
      <c r="F7" s="1" t="s">
        <v>821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workbookViewId="0"/>
  </sheetViews>
  <sheetFormatPr defaultRowHeight="12.75" x14ac:dyDescent="0.2"/>
  <sheetData>
    <row r="1" spans="1:10" x14ac:dyDescent="0.2">
      <c r="A1" s="1" t="s">
        <v>852</v>
      </c>
      <c r="C1" s="1" t="s">
        <v>19</v>
      </c>
      <c r="J1" s="1" t="s">
        <v>19</v>
      </c>
    </row>
    <row r="4" spans="1:10" x14ac:dyDescent="0.2">
      <c r="D4" s="1" t="s">
        <v>14</v>
      </c>
    </row>
    <row r="6" spans="1:10" x14ac:dyDescent="0.2">
      <c r="D6" s="1" t="s">
        <v>20</v>
      </c>
      <c r="E6" s="1" t="s">
        <v>828</v>
      </c>
    </row>
    <row r="7" spans="1:10" x14ac:dyDescent="0.2">
      <c r="D7" s="1" t="s">
        <v>29</v>
      </c>
      <c r="E7" s="1" t="s">
        <v>829</v>
      </c>
    </row>
    <row r="8" spans="1:10" x14ac:dyDescent="0.2">
      <c r="D8" s="1" t="s">
        <v>30</v>
      </c>
      <c r="E8" s="1" t="s">
        <v>830</v>
      </c>
    </row>
    <row r="9" spans="1:10" x14ac:dyDescent="0.2">
      <c r="D9" s="1" t="s">
        <v>1</v>
      </c>
      <c r="E9" s="1" t="s">
        <v>831</v>
      </c>
    </row>
    <row r="10" spans="1:10" x14ac:dyDescent="0.2">
      <c r="D10" s="1" t="s">
        <v>22</v>
      </c>
      <c r="E10" s="1" t="s">
        <v>33</v>
      </c>
    </row>
    <row r="12" spans="1:10" x14ac:dyDescent="0.2">
      <c r="G12" s="1" t="s">
        <v>16</v>
      </c>
    </row>
    <row r="13" spans="1:10" x14ac:dyDescent="0.2">
      <c r="D13" s="1" t="s">
        <v>13</v>
      </c>
      <c r="E13" s="1" t="s">
        <v>11</v>
      </c>
      <c r="F13" s="1" t="s">
        <v>12</v>
      </c>
      <c r="G13" s="1" t="s">
        <v>34</v>
      </c>
      <c r="H13" s="1" t="s">
        <v>15</v>
      </c>
      <c r="I13" s="1" t="s">
        <v>17</v>
      </c>
    </row>
    <row r="14" spans="1:10" x14ac:dyDescent="0.2">
      <c r="C14" s="1" t="s">
        <v>35</v>
      </c>
      <c r="D14" s="1" t="s">
        <v>615</v>
      </c>
    </row>
    <row r="15" spans="1:10" x14ac:dyDescent="0.2">
      <c r="C15" s="1" t="s">
        <v>36</v>
      </c>
      <c r="E15" s="1" t="s">
        <v>616</v>
      </c>
      <c r="F15" s="1" t="s">
        <v>617</v>
      </c>
      <c r="G15" s="1" t="s">
        <v>37</v>
      </c>
      <c r="H15" s="1" t="s">
        <v>38</v>
      </c>
      <c r="I15" s="1" t="s">
        <v>39</v>
      </c>
    </row>
    <row r="16" spans="1:10" x14ac:dyDescent="0.2">
      <c r="A16" s="1" t="s">
        <v>18</v>
      </c>
      <c r="C16" s="1" t="s">
        <v>40</v>
      </c>
    </row>
    <row r="17" spans="1:9" x14ac:dyDescent="0.2">
      <c r="C17" s="1" t="s">
        <v>41</v>
      </c>
      <c r="E17" s="1" t="s">
        <v>42</v>
      </c>
      <c r="G17" s="1" t="s">
        <v>43</v>
      </c>
      <c r="H17" s="1" t="s">
        <v>44</v>
      </c>
      <c r="I17" s="1" t="s">
        <v>45</v>
      </c>
    </row>
    <row r="18" spans="1:9" x14ac:dyDescent="0.2">
      <c r="C18" s="1" t="s">
        <v>46</v>
      </c>
    </row>
    <row r="19" spans="1:9" x14ac:dyDescent="0.2">
      <c r="C19" s="1" t="s">
        <v>47</v>
      </c>
    </row>
    <row r="20" spans="1:9" x14ac:dyDescent="0.2">
      <c r="C20" s="1" t="s">
        <v>48</v>
      </c>
      <c r="E20" s="1" t="s">
        <v>21</v>
      </c>
      <c r="G20" s="1" t="s">
        <v>49</v>
      </c>
      <c r="H20" s="1" t="s">
        <v>50</v>
      </c>
      <c r="I20" s="1" t="s">
        <v>51</v>
      </c>
    </row>
    <row r="23" spans="1:9" x14ac:dyDescent="0.2">
      <c r="A23" s="1" t="s">
        <v>18</v>
      </c>
      <c r="D23" s="1" t="s">
        <v>825</v>
      </c>
    </row>
    <row r="24" spans="1:9" x14ac:dyDescent="0.2">
      <c r="A24" s="1" t="s">
        <v>18</v>
      </c>
      <c r="D24" s="1" t="s">
        <v>826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workbookViewId="0"/>
  </sheetViews>
  <sheetFormatPr defaultRowHeight="12.75" x14ac:dyDescent="0.2"/>
  <sheetData>
    <row r="1" spans="1:10" x14ac:dyDescent="0.2">
      <c r="A1" s="1" t="s">
        <v>852</v>
      </c>
      <c r="C1" s="1" t="s">
        <v>19</v>
      </c>
      <c r="J1" s="1" t="s">
        <v>19</v>
      </c>
    </row>
    <row r="4" spans="1:10" x14ac:dyDescent="0.2">
      <c r="D4" s="1" t="s">
        <v>14</v>
      </c>
    </row>
    <row r="6" spans="1:10" x14ac:dyDescent="0.2">
      <c r="D6" s="1" t="s">
        <v>20</v>
      </c>
      <c r="E6" s="1" t="s">
        <v>828</v>
      </c>
    </row>
    <row r="7" spans="1:10" x14ac:dyDescent="0.2">
      <c r="D7" s="1" t="s">
        <v>29</v>
      </c>
      <c r="E7" s="1" t="s">
        <v>829</v>
      </c>
    </row>
    <row r="8" spans="1:10" x14ac:dyDescent="0.2">
      <c r="D8" s="1" t="s">
        <v>30</v>
      </c>
      <c r="E8" s="1" t="s">
        <v>830</v>
      </c>
    </row>
    <row r="9" spans="1:10" x14ac:dyDescent="0.2">
      <c r="D9" s="1" t="s">
        <v>1</v>
      </c>
      <c r="E9" s="1" t="s">
        <v>831</v>
      </c>
    </row>
    <row r="10" spans="1:10" x14ac:dyDescent="0.2">
      <c r="D10" s="1" t="s">
        <v>22</v>
      </c>
      <c r="E10" s="1" t="s">
        <v>33</v>
      </c>
    </row>
    <row r="12" spans="1:10" x14ac:dyDescent="0.2">
      <c r="G12" s="1" t="s">
        <v>16</v>
      </c>
    </row>
    <row r="13" spans="1:10" x14ac:dyDescent="0.2">
      <c r="D13" s="1" t="s">
        <v>13</v>
      </c>
      <c r="E13" s="1" t="s">
        <v>11</v>
      </c>
      <c r="F13" s="1" t="s">
        <v>12</v>
      </c>
      <c r="G13" s="1" t="s">
        <v>34</v>
      </c>
      <c r="H13" s="1" t="s">
        <v>15</v>
      </c>
      <c r="I13" s="1" t="s">
        <v>17</v>
      </c>
    </row>
    <row r="14" spans="1:10" x14ac:dyDescent="0.2">
      <c r="C14" s="1" t="s">
        <v>35</v>
      </c>
      <c r="D14" s="1" t="s">
        <v>615</v>
      </c>
    </row>
    <row r="15" spans="1:10" x14ac:dyDescent="0.2">
      <c r="C15" s="1" t="s">
        <v>36</v>
      </c>
      <c r="E15" s="1" t="s">
        <v>616</v>
      </c>
      <c r="F15" s="1" t="s">
        <v>617</v>
      </c>
      <c r="G15" s="1" t="s">
        <v>37</v>
      </c>
      <c r="H15" s="1" t="s">
        <v>38</v>
      </c>
      <c r="I15" s="1" t="s">
        <v>39</v>
      </c>
    </row>
    <row r="16" spans="1:10" x14ac:dyDescent="0.2">
      <c r="A16" s="1" t="s">
        <v>18</v>
      </c>
      <c r="C16" s="1" t="s">
        <v>40</v>
      </c>
    </row>
    <row r="17" spans="1:9" x14ac:dyDescent="0.2">
      <c r="C17" s="1" t="s">
        <v>41</v>
      </c>
      <c r="E17" s="1" t="s">
        <v>42</v>
      </c>
      <c r="G17" s="1" t="s">
        <v>43</v>
      </c>
      <c r="H17" s="1" t="s">
        <v>44</v>
      </c>
      <c r="I17" s="1" t="s">
        <v>45</v>
      </c>
    </row>
    <row r="18" spans="1:9" x14ac:dyDescent="0.2">
      <c r="C18" s="1" t="s">
        <v>46</v>
      </c>
    </row>
    <row r="19" spans="1:9" x14ac:dyDescent="0.2">
      <c r="C19" s="1" t="s">
        <v>47</v>
      </c>
    </row>
    <row r="20" spans="1:9" x14ac:dyDescent="0.2">
      <c r="C20" s="1" t="s">
        <v>48</v>
      </c>
      <c r="E20" s="1" t="s">
        <v>21</v>
      </c>
      <c r="G20" s="1" t="s">
        <v>49</v>
      </c>
      <c r="H20" s="1" t="s">
        <v>50</v>
      </c>
      <c r="I20" s="1" t="s">
        <v>51</v>
      </c>
    </row>
    <row r="23" spans="1:9" x14ac:dyDescent="0.2">
      <c r="A23" s="1" t="s">
        <v>18</v>
      </c>
      <c r="D23" s="1" t="s">
        <v>825</v>
      </c>
    </row>
    <row r="24" spans="1:9" x14ac:dyDescent="0.2">
      <c r="A24" s="1" t="s">
        <v>18</v>
      </c>
      <c r="D24" s="1" t="s">
        <v>826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workbookViewId="0"/>
  </sheetViews>
  <sheetFormatPr defaultRowHeight="12.75" x14ac:dyDescent="0.2"/>
  <sheetData>
    <row r="1" spans="1:6" x14ac:dyDescent="0.2">
      <c r="A1" s="1" t="s">
        <v>854</v>
      </c>
      <c r="D1" s="1" t="s">
        <v>24</v>
      </c>
      <c r="E1" s="1" t="s">
        <v>25</v>
      </c>
      <c r="F1" s="1" t="s">
        <v>26</v>
      </c>
    </row>
    <row r="3" spans="1:6" x14ac:dyDescent="0.2">
      <c r="D3" s="1" t="s">
        <v>820</v>
      </c>
    </row>
    <row r="4" spans="1:6" x14ac:dyDescent="0.2">
      <c r="A4" s="1" t="s">
        <v>23</v>
      </c>
      <c r="D4" s="1" t="s">
        <v>13</v>
      </c>
      <c r="E4" s="1" t="s">
        <v>827</v>
      </c>
      <c r="F4" s="1" t="s">
        <v>614</v>
      </c>
    </row>
    <row r="5" spans="1:6" x14ac:dyDescent="0.2">
      <c r="A5" s="1" t="s">
        <v>23</v>
      </c>
      <c r="D5" s="1" t="s">
        <v>27</v>
      </c>
      <c r="E5" s="1" t="s">
        <v>822</v>
      </c>
      <c r="F5" s="1" t="s">
        <v>31</v>
      </c>
    </row>
    <row r="6" spans="1:6" x14ac:dyDescent="0.2">
      <c r="A6" s="1" t="s">
        <v>23</v>
      </c>
      <c r="D6" s="1" t="s">
        <v>28</v>
      </c>
      <c r="E6" s="1" t="s">
        <v>823</v>
      </c>
      <c r="F6" s="1" t="s">
        <v>32</v>
      </c>
    </row>
    <row r="7" spans="1:6" x14ac:dyDescent="0.2">
      <c r="A7" s="1" t="s">
        <v>23</v>
      </c>
      <c r="D7" s="1" t="s">
        <v>0</v>
      </c>
      <c r="E7" s="1" t="s">
        <v>827</v>
      </c>
      <c r="F7" s="1" t="s">
        <v>821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3"/>
  <sheetViews>
    <sheetView workbookViewId="0"/>
  </sheetViews>
  <sheetFormatPr defaultRowHeight="12.75" x14ac:dyDescent="0.2"/>
  <sheetData>
    <row r="1" spans="1:10" x14ac:dyDescent="0.2">
      <c r="A1" s="1" t="s">
        <v>856</v>
      </c>
      <c r="C1" s="1" t="s">
        <v>19</v>
      </c>
      <c r="J1" s="1" t="s">
        <v>19</v>
      </c>
    </row>
    <row r="4" spans="1:10" x14ac:dyDescent="0.2">
      <c r="D4" s="1" t="s">
        <v>14</v>
      </c>
    </row>
    <row r="6" spans="1:10" x14ac:dyDescent="0.2">
      <c r="D6" s="1" t="s">
        <v>20</v>
      </c>
      <c r="E6" s="1" t="s">
        <v>828</v>
      </c>
    </row>
    <row r="7" spans="1:10" x14ac:dyDescent="0.2">
      <c r="D7" s="1" t="s">
        <v>29</v>
      </c>
      <c r="E7" s="1" t="s">
        <v>829</v>
      </c>
    </row>
    <row r="8" spans="1:10" x14ac:dyDescent="0.2">
      <c r="D8" s="1" t="s">
        <v>30</v>
      </c>
      <c r="E8" s="1" t="s">
        <v>830</v>
      </c>
    </row>
    <row r="9" spans="1:10" x14ac:dyDescent="0.2">
      <c r="D9" s="1" t="s">
        <v>1</v>
      </c>
      <c r="E9" s="1" t="s">
        <v>831</v>
      </c>
    </row>
    <row r="10" spans="1:10" x14ac:dyDescent="0.2">
      <c r="D10" s="1" t="s">
        <v>22</v>
      </c>
      <c r="E10" s="1" t="s">
        <v>33</v>
      </c>
    </row>
    <row r="12" spans="1:10" x14ac:dyDescent="0.2">
      <c r="G12" s="1" t="s">
        <v>16</v>
      </c>
    </row>
    <row r="13" spans="1:10" x14ac:dyDescent="0.2">
      <c r="D13" s="1" t="s">
        <v>13</v>
      </c>
      <c r="E13" s="1" t="s">
        <v>11</v>
      </c>
      <c r="F13" s="1" t="s">
        <v>12</v>
      </c>
      <c r="G13" s="1" t="s">
        <v>34</v>
      </c>
      <c r="H13" s="1" t="s">
        <v>15</v>
      </c>
      <c r="I13" s="1" t="s">
        <v>17</v>
      </c>
    </row>
    <row r="14" spans="1:10" x14ac:dyDescent="0.2">
      <c r="C14" s="1" t="s">
        <v>35</v>
      </c>
      <c r="D14" s="1" t="s">
        <v>615</v>
      </c>
    </row>
    <row r="15" spans="1:10" x14ac:dyDescent="0.2">
      <c r="C15" s="1" t="s">
        <v>36</v>
      </c>
      <c r="E15" s="1" t="s">
        <v>616</v>
      </c>
      <c r="F15" s="1" t="s">
        <v>617</v>
      </c>
      <c r="G15" s="1" t="s">
        <v>37</v>
      </c>
      <c r="H15" s="1" t="s">
        <v>38</v>
      </c>
      <c r="I15" s="1" t="s">
        <v>39</v>
      </c>
    </row>
    <row r="16" spans="1:10" x14ac:dyDescent="0.2">
      <c r="A16" s="1" t="s">
        <v>52</v>
      </c>
      <c r="C16" s="1" t="s">
        <v>40</v>
      </c>
      <c r="E16" s="1" t="s">
        <v>733</v>
      </c>
      <c r="F16" s="1" t="s">
        <v>618</v>
      </c>
      <c r="G16" s="1" t="s">
        <v>53</v>
      </c>
      <c r="H16" s="1" t="s">
        <v>54</v>
      </c>
      <c r="I16" s="1" t="s">
        <v>55</v>
      </c>
    </row>
    <row r="17" spans="1:9" x14ac:dyDescent="0.2">
      <c r="A17" s="1" t="s">
        <v>52</v>
      </c>
      <c r="C17" s="1" t="s">
        <v>41</v>
      </c>
      <c r="E17" s="1" t="s">
        <v>734</v>
      </c>
      <c r="F17" s="1" t="s">
        <v>619</v>
      </c>
      <c r="G17" s="1" t="s">
        <v>56</v>
      </c>
      <c r="H17" s="1" t="s">
        <v>57</v>
      </c>
      <c r="I17" s="1" t="s">
        <v>58</v>
      </c>
    </row>
    <row r="18" spans="1:9" x14ac:dyDescent="0.2">
      <c r="A18" s="1" t="s">
        <v>18</v>
      </c>
      <c r="C18" s="1" t="s">
        <v>40</v>
      </c>
    </row>
    <row r="19" spans="1:9" x14ac:dyDescent="0.2">
      <c r="C19" s="1" t="s">
        <v>47</v>
      </c>
      <c r="E19" s="1" t="s">
        <v>324</v>
      </c>
      <c r="G19" s="1" t="s">
        <v>325</v>
      </c>
      <c r="H19" s="1" t="s">
        <v>326</v>
      </c>
      <c r="I19" s="1" t="s">
        <v>327</v>
      </c>
    </row>
    <row r="20" spans="1:9" x14ac:dyDescent="0.2">
      <c r="C20" s="1" t="s">
        <v>48</v>
      </c>
    </row>
    <row r="21" spans="1:9" x14ac:dyDescent="0.2">
      <c r="A21" s="1" t="s">
        <v>52</v>
      </c>
      <c r="C21" s="1" t="s">
        <v>328</v>
      </c>
      <c r="D21" s="1" t="s">
        <v>735</v>
      </c>
    </row>
    <row r="22" spans="1:9" x14ac:dyDescent="0.2">
      <c r="A22" s="1" t="s">
        <v>52</v>
      </c>
      <c r="C22" s="1" t="s">
        <v>60</v>
      </c>
      <c r="E22" s="1" t="s">
        <v>620</v>
      </c>
      <c r="F22" s="1" t="s">
        <v>621</v>
      </c>
      <c r="G22" s="1" t="s">
        <v>329</v>
      </c>
      <c r="H22" s="1" t="s">
        <v>330</v>
      </c>
      <c r="I22" s="1" t="s">
        <v>331</v>
      </c>
    </row>
    <row r="23" spans="1:9" x14ac:dyDescent="0.2">
      <c r="A23" s="1" t="s">
        <v>52</v>
      </c>
      <c r="C23" s="1" t="s">
        <v>322</v>
      </c>
      <c r="E23" s="1" t="s">
        <v>736</v>
      </c>
      <c r="F23" s="1" t="s">
        <v>622</v>
      </c>
      <c r="G23" s="1" t="s">
        <v>332</v>
      </c>
      <c r="H23" s="1" t="s">
        <v>333</v>
      </c>
      <c r="I23" s="1" t="s">
        <v>334</v>
      </c>
    </row>
    <row r="24" spans="1:9" x14ac:dyDescent="0.2">
      <c r="A24" s="1" t="s">
        <v>52</v>
      </c>
      <c r="C24" s="1" t="s">
        <v>61</v>
      </c>
      <c r="E24" s="1" t="s">
        <v>737</v>
      </c>
      <c r="F24" s="1" t="s">
        <v>623</v>
      </c>
      <c r="G24" s="1" t="s">
        <v>62</v>
      </c>
      <c r="H24" s="1" t="s">
        <v>63</v>
      </c>
      <c r="I24" s="1" t="s">
        <v>64</v>
      </c>
    </row>
    <row r="25" spans="1:9" x14ac:dyDescent="0.2">
      <c r="A25" s="1" t="s">
        <v>52</v>
      </c>
      <c r="C25" s="1" t="s">
        <v>65</v>
      </c>
      <c r="E25" s="1" t="s">
        <v>738</v>
      </c>
      <c r="F25" s="1" t="s">
        <v>624</v>
      </c>
      <c r="G25" s="1" t="s">
        <v>66</v>
      </c>
      <c r="H25" s="1" t="s">
        <v>67</v>
      </c>
      <c r="I25" s="1" t="s">
        <v>68</v>
      </c>
    </row>
    <row r="26" spans="1:9" x14ac:dyDescent="0.2">
      <c r="A26" s="1" t="s">
        <v>52</v>
      </c>
      <c r="C26" s="1" t="s">
        <v>69</v>
      </c>
      <c r="E26" s="1" t="s">
        <v>739</v>
      </c>
      <c r="F26" s="1" t="s">
        <v>625</v>
      </c>
      <c r="G26" s="1" t="s">
        <v>70</v>
      </c>
      <c r="H26" s="1" t="s">
        <v>71</v>
      </c>
      <c r="I26" s="1" t="s">
        <v>72</v>
      </c>
    </row>
    <row r="27" spans="1:9" x14ac:dyDescent="0.2">
      <c r="A27" s="1" t="s">
        <v>824</v>
      </c>
      <c r="C27" s="1" t="s">
        <v>322</v>
      </c>
    </row>
    <row r="28" spans="1:9" x14ac:dyDescent="0.2">
      <c r="A28" s="1" t="s">
        <v>52</v>
      </c>
      <c r="C28" s="1" t="s">
        <v>335</v>
      </c>
      <c r="E28" s="1" t="s">
        <v>336</v>
      </c>
      <c r="G28" s="1" t="s">
        <v>337</v>
      </c>
      <c r="H28" s="1" t="s">
        <v>338</v>
      </c>
      <c r="I28" s="1" t="s">
        <v>339</v>
      </c>
    </row>
    <row r="29" spans="1:9" x14ac:dyDescent="0.2">
      <c r="A29" s="1" t="s">
        <v>52</v>
      </c>
      <c r="C29" s="1" t="s">
        <v>73</v>
      </c>
    </row>
    <row r="30" spans="1:9" x14ac:dyDescent="0.2">
      <c r="A30" s="1" t="s">
        <v>52</v>
      </c>
      <c r="C30" s="1" t="s">
        <v>340</v>
      </c>
      <c r="D30" s="1" t="s">
        <v>740</v>
      </c>
    </row>
    <row r="31" spans="1:9" x14ac:dyDescent="0.2">
      <c r="A31" s="1" t="s">
        <v>52</v>
      </c>
      <c r="C31" s="1" t="s">
        <v>341</v>
      </c>
      <c r="E31" s="1" t="s">
        <v>626</v>
      </c>
      <c r="F31" s="1" t="s">
        <v>627</v>
      </c>
      <c r="G31" s="1" t="s">
        <v>342</v>
      </c>
      <c r="H31" s="1" t="s">
        <v>343</v>
      </c>
      <c r="I31" s="1" t="s">
        <v>344</v>
      </c>
    </row>
    <row r="32" spans="1:9" x14ac:dyDescent="0.2">
      <c r="A32" s="1" t="s">
        <v>52</v>
      </c>
      <c r="C32" s="1" t="s">
        <v>74</v>
      </c>
      <c r="E32" s="1" t="s">
        <v>741</v>
      </c>
      <c r="F32" s="1" t="s">
        <v>628</v>
      </c>
      <c r="G32" s="1" t="s">
        <v>75</v>
      </c>
      <c r="H32" s="1" t="s">
        <v>76</v>
      </c>
      <c r="I32" s="1" t="s">
        <v>77</v>
      </c>
    </row>
    <row r="33" spans="1:9" x14ac:dyDescent="0.2">
      <c r="A33" s="1" t="s">
        <v>52</v>
      </c>
      <c r="C33" s="1" t="s">
        <v>78</v>
      </c>
      <c r="E33" s="1" t="s">
        <v>742</v>
      </c>
      <c r="F33" s="1" t="s">
        <v>629</v>
      </c>
      <c r="G33" s="1" t="s">
        <v>79</v>
      </c>
      <c r="H33" s="1" t="s">
        <v>80</v>
      </c>
      <c r="I33" s="1" t="s">
        <v>81</v>
      </c>
    </row>
    <row r="34" spans="1:9" x14ac:dyDescent="0.2">
      <c r="A34" s="1" t="s">
        <v>52</v>
      </c>
      <c r="C34" s="1" t="s">
        <v>82</v>
      </c>
      <c r="E34" s="1" t="s">
        <v>743</v>
      </c>
      <c r="F34" s="1" t="s">
        <v>630</v>
      </c>
      <c r="G34" s="1" t="s">
        <v>83</v>
      </c>
      <c r="H34" s="1" t="s">
        <v>84</v>
      </c>
      <c r="I34" s="1" t="s">
        <v>85</v>
      </c>
    </row>
    <row r="35" spans="1:9" x14ac:dyDescent="0.2">
      <c r="A35" s="1" t="s">
        <v>824</v>
      </c>
      <c r="C35" s="1" t="s">
        <v>74</v>
      </c>
    </row>
    <row r="36" spans="1:9" x14ac:dyDescent="0.2">
      <c r="A36" s="1" t="s">
        <v>52</v>
      </c>
      <c r="C36" s="1" t="s">
        <v>86</v>
      </c>
      <c r="E36" s="1" t="s">
        <v>87</v>
      </c>
      <c r="G36" s="1" t="s">
        <v>345</v>
      </c>
      <c r="H36" s="1" t="s">
        <v>346</v>
      </c>
      <c r="I36" s="1" t="s">
        <v>347</v>
      </c>
    </row>
    <row r="37" spans="1:9" x14ac:dyDescent="0.2">
      <c r="A37" s="1" t="s">
        <v>52</v>
      </c>
      <c r="C37" s="1" t="s">
        <v>88</v>
      </c>
    </row>
    <row r="38" spans="1:9" x14ac:dyDescent="0.2">
      <c r="A38" s="1" t="s">
        <v>52</v>
      </c>
      <c r="C38" s="1" t="s">
        <v>89</v>
      </c>
      <c r="D38" s="1" t="s">
        <v>744</v>
      </c>
    </row>
    <row r="39" spans="1:9" x14ac:dyDescent="0.2">
      <c r="A39" s="1" t="s">
        <v>52</v>
      </c>
      <c r="C39" s="1" t="s">
        <v>90</v>
      </c>
      <c r="E39" s="1" t="s">
        <v>631</v>
      </c>
      <c r="F39" s="1" t="s">
        <v>632</v>
      </c>
      <c r="G39" s="1" t="s">
        <v>91</v>
      </c>
      <c r="H39" s="1" t="s">
        <v>92</v>
      </c>
      <c r="I39" s="1" t="s">
        <v>93</v>
      </c>
    </row>
    <row r="40" spans="1:9" x14ac:dyDescent="0.2">
      <c r="A40" s="1" t="s">
        <v>52</v>
      </c>
      <c r="C40" s="1" t="s">
        <v>94</v>
      </c>
      <c r="E40" s="1" t="s">
        <v>745</v>
      </c>
      <c r="F40" s="1" t="s">
        <v>633</v>
      </c>
      <c r="G40" s="1" t="s">
        <v>348</v>
      </c>
      <c r="H40" s="1" t="s">
        <v>349</v>
      </c>
      <c r="I40" s="1" t="s">
        <v>350</v>
      </c>
    </row>
    <row r="41" spans="1:9" x14ac:dyDescent="0.2">
      <c r="A41" s="1" t="s">
        <v>52</v>
      </c>
      <c r="C41" s="1" t="s">
        <v>95</v>
      </c>
      <c r="E41" s="1" t="s">
        <v>746</v>
      </c>
      <c r="F41" s="1" t="s">
        <v>634</v>
      </c>
      <c r="G41" s="1" t="s">
        <v>351</v>
      </c>
      <c r="H41" s="1" t="s">
        <v>352</v>
      </c>
      <c r="I41" s="1" t="s">
        <v>353</v>
      </c>
    </row>
    <row r="42" spans="1:9" x14ac:dyDescent="0.2">
      <c r="A42" s="1" t="s">
        <v>824</v>
      </c>
      <c r="C42" s="1" t="s">
        <v>94</v>
      </c>
    </row>
    <row r="43" spans="1:9" x14ac:dyDescent="0.2">
      <c r="A43" s="1" t="s">
        <v>52</v>
      </c>
      <c r="C43" s="1" t="s">
        <v>354</v>
      </c>
      <c r="E43" s="1" t="s">
        <v>355</v>
      </c>
      <c r="G43" s="1" t="s">
        <v>356</v>
      </c>
      <c r="H43" s="1" t="s">
        <v>357</v>
      </c>
      <c r="I43" s="1" t="s">
        <v>358</v>
      </c>
    </row>
    <row r="44" spans="1:9" x14ac:dyDescent="0.2">
      <c r="A44" s="1" t="s">
        <v>52</v>
      </c>
      <c r="C44" s="1" t="s">
        <v>96</v>
      </c>
    </row>
    <row r="45" spans="1:9" x14ac:dyDescent="0.2">
      <c r="A45" s="1" t="s">
        <v>52</v>
      </c>
      <c r="C45" s="1" t="s">
        <v>359</v>
      </c>
      <c r="D45" s="1" t="s">
        <v>747</v>
      </c>
    </row>
    <row r="46" spans="1:9" x14ac:dyDescent="0.2">
      <c r="A46" s="1" t="s">
        <v>52</v>
      </c>
      <c r="C46" s="1" t="s">
        <v>360</v>
      </c>
      <c r="E46" s="1" t="s">
        <v>635</v>
      </c>
      <c r="F46" s="1" t="s">
        <v>636</v>
      </c>
      <c r="G46" s="1" t="s">
        <v>361</v>
      </c>
      <c r="H46" s="1" t="s">
        <v>362</v>
      </c>
      <c r="I46" s="1" t="s">
        <v>363</v>
      </c>
    </row>
    <row r="47" spans="1:9" x14ac:dyDescent="0.2">
      <c r="A47" s="1" t="s">
        <v>824</v>
      </c>
      <c r="C47" s="1" t="s">
        <v>97</v>
      </c>
    </row>
    <row r="48" spans="1:9" x14ac:dyDescent="0.2">
      <c r="A48" s="1" t="s">
        <v>52</v>
      </c>
      <c r="C48" s="1" t="s">
        <v>98</v>
      </c>
      <c r="E48" s="1" t="s">
        <v>364</v>
      </c>
      <c r="G48" s="1" t="s">
        <v>365</v>
      </c>
      <c r="H48" s="1" t="s">
        <v>366</v>
      </c>
      <c r="I48" s="1" t="s">
        <v>367</v>
      </c>
    </row>
    <row r="49" spans="1:9" x14ac:dyDescent="0.2">
      <c r="A49" s="1" t="s">
        <v>52</v>
      </c>
      <c r="C49" s="1" t="s">
        <v>368</v>
      </c>
    </row>
    <row r="50" spans="1:9" x14ac:dyDescent="0.2">
      <c r="A50" s="1" t="s">
        <v>52</v>
      </c>
      <c r="C50" s="1" t="s">
        <v>369</v>
      </c>
      <c r="D50" s="1" t="s">
        <v>748</v>
      </c>
    </row>
    <row r="51" spans="1:9" x14ac:dyDescent="0.2">
      <c r="A51" s="1" t="s">
        <v>52</v>
      </c>
      <c r="C51" s="1" t="s">
        <v>99</v>
      </c>
      <c r="E51" s="1" t="s">
        <v>637</v>
      </c>
      <c r="F51" s="1" t="s">
        <v>638</v>
      </c>
      <c r="G51" s="1" t="s">
        <v>100</v>
      </c>
      <c r="H51" s="1" t="s">
        <v>101</v>
      </c>
      <c r="I51" s="1" t="s">
        <v>102</v>
      </c>
    </row>
    <row r="52" spans="1:9" x14ac:dyDescent="0.2">
      <c r="A52" s="1" t="s">
        <v>52</v>
      </c>
      <c r="C52" s="1" t="s">
        <v>370</v>
      </c>
      <c r="E52" s="1" t="s">
        <v>749</v>
      </c>
      <c r="F52" s="1" t="s">
        <v>639</v>
      </c>
      <c r="G52" s="1" t="s">
        <v>371</v>
      </c>
      <c r="H52" s="1" t="s">
        <v>372</v>
      </c>
      <c r="I52" s="1" t="s">
        <v>373</v>
      </c>
    </row>
    <row r="53" spans="1:9" x14ac:dyDescent="0.2">
      <c r="A53" s="1" t="s">
        <v>824</v>
      </c>
      <c r="C53" s="1" t="s">
        <v>370</v>
      </c>
    </row>
    <row r="54" spans="1:9" x14ac:dyDescent="0.2">
      <c r="A54" s="1" t="s">
        <v>52</v>
      </c>
      <c r="C54" s="1" t="s">
        <v>103</v>
      </c>
      <c r="E54" s="1" t="s">
        <v>374</v>
      </c>
      <c r="G54" s="1" t="s">
        <v>375</v>
      </c>
      <c r="H54" s="1" t="s">
        <v>376</v>
      </c>
      <c r="I54" s="1" t="s">
        <v>377</v>
      </c>
    </row>
    <row r="55" spans="1:9" x14ac:dyDescent="0.2">
      <c r="A55" s="1" t="s">
        <v>52</v>
      </c>
      <c r="C55" s="1" t="s">
        <v>378</v>
      </c>
    </row>
    <row r="56" spans="1:9" x14ac:dyDescent="0.2">
      <c r="A56" s="1" t="s">
        <v>52</v>
      </c>
      <c r="C56" s="1" t="s">
        <v>379</v>
      </c>
      <c r="D56" s="1" t="s">
        <v>750</v>
      </c>
    </row>
    <row r="57" spans="1:9" x14ac:dyDescent="0.2">
      <c r="A57" s="1" t="s">
        <v>52</v>
      </c>
      <c r="C57" s="1" t="s">
        <v>104</v>
      </c>
      <c r="E57" s="1" t="s">
        <v>640</v>
      </c>
      <c r="F57" s="1" t="s">
        <v>641</v>
      </c>
      <c r="G57" s="1" t="s">
        <v>105</v>
      </c>
      <c r="H57" s="1" t="s">
        <v>106</v>
      </c>
      <c r="I57" s="1" t="s">
        <v>107</v>
      </c>
    </row>
    <row r="58" spans="1:9" x14ac:dyDescent="0.2">
      <c r="A58" s="1" t="s">
        <v>52</v>
      </c>
      <c r="C58" s="1" t="s">
        <v>380</v>
      </c>
      <c r="E58" s="1" t="s">
        <v>751</v>
      </c>
      <c r="F58" s="1" t="s">
        <v>642</v>
      </c>
      <c r="G58" s="1" t="s">
        <v>381</v>
      </c>
      <c r="H58" s="1" t="s">
        <v>382</v>
      </c>
      <c r="I58" s="1" t="s">
        <v>383</v>
      </c>
    </row>
    <row r="59" spans="1:9" x14ac:dyDescent="0.2">
      <c r="A59" s="1" t="s">
        <v>824</v>
      </c>
      <c r="C59" s="1" t="s">
        <v>380</v>
      </c>
    </row>
    <row r="60" spans="1:9" x14ac:dyDescent="0.2">
      <c r="A60" s="1" t="s">
        <v>52</v>
      </c>
      <c r="C60" s="1" t="s">
        <v>108</v>
      </c>
      <c r="E60" s="1" t="s">
        <v>384</v>
      </c>
      <c r="G60" s="1" t="s">
        <v>385</v>
      </c>
      <c r="H60" s="1" t="s">
        <v>386</v>
      </c>
      <c r="I60" s="1" t="s">
        <v>387</v>
      </c>
    </row>
    <row r="61" spans="1:9" x14ac:dyDescent="0.2">
      <c r="A61" s="1" t="s">
        <v>52</v>
      </c>
      <c r="C61" s="1" t="s">
        <v>388</v>
      </c>
    </row>
    <row r="62" spans="1:9" x14ac:dyDescent="0.2">
      <c r="A62" s="1" t="s">
        <v>52</v>
      </c>
      <c r="C62" s="1" t="s">
        <v>389</v>
      </c>
      <c r="D62" s="1" t="s">
        <v>752</v>
      </c>
    </row>
    <row r="63" spans="1:9" x14ac:dyDescent="0.2">
      <c r="A63" s="1" t="s">
        <v>52</v>
      </c>
      <c r="C63" s="1" t="s">
        <v>109</v>
      </c>
      <c r="E63" s="1" t="s">
        <v>643</v>
      </c>
      <c r="F63" s="1" t="s">
        <v>644</v>
      </c>
      <c r="G63" s="1" t="s">
        <v>110</v>
      </c>
      <c r="H63" s="1" t="s">
        <v>111</v>
      </c>
      <c r="I63" s="1" t="s">
        <v>112</v>
      </c>
    </row>
    <row r="64" spans="1:9" x14ac:dyDescent="0.2">
      <c r="A64" s="1" t="s">
        <v>52</v>
      </c>
      <c r="C64" s="1" t="s">
        <v>113</v>
      </c>
      <c r="E64" s="1" t="s">
        <v>753</v>
      </c>
      <c r="F64" s="1" t="s">
        <v>645</v>
      </c>
      <c r="G64" s="1" t="s">
        <v>114</v>
      </c>
      <c r="H64" s="1" t="s">
        <v>115</v>
      </c>
      <c r="I64" s="1" t="s">
        <v>116</v>
      </c>
    </row>
    <row r="65" spans="1:9" x14ac:dyDescent="0.2">
      <c r="A65" s="1" t="s">
        <v>824</v>
      </c>
      <c r="C65" s="1" t="s">
        <v>113</v>
      </c>
    </row>
    <row r="66" spans="1:9" x14ac:dyDescent="0.2">
      <c r="A66" s="1" t="s">
        <v>52</v>
      </c>
      <c r="C66" s="1" t="s">
        <v>117</v>
      </c>
      <c r="E66" s="1" t="s">
        <v>390</v>
      </c>
      <c r="G66" s="1" t="s">
        <v>391</v>
      </c>
      <c r="H66" s="1" t="s">
        <v>392</v>
      </c>
      <c r="I66" s="1" t="s">
        <v>393</v>
      </c>
    </row>
    <row r="67" spans="1:9" x14ac:dyDescent="0.2">
      <c r="A67" s="1" t="s">
        <v>52</v>
      </c>
      <c r="C67" s="1" t="s">
        <v>118</v>
      </c>
    </row>
    <row r="68" spans="1:9" x14ac:dyDescent="0.2">
      <c r="A68" s="1" t="s">
        <v>52</v>
      </c>
      <c r="C68" s="1" t="s">
        <v>394</v>
      </c>
      <c r="D68" s="1" t="s">
        <v>754</v>
      </c>
    </row>
    <row r="69" spans="1:9" x14ac:dyDescent="0.2">
      <c r="A69" s="1" t="s">
        <v>52</v>
      </c>
      <c r="C69" s="1" t="s">
        <v>119</v>
      </c>
      <c r="E69" s="1" t="s">
        <v>646</v>
      </c>
      <c r="F69" s="1" t="s">
        <v>647</v>
      </c>
      <c r="G69" s="1" t="s">
        <v>120</v>
      </c>
      <c r="H69" s="1" t="s">
        <v>121</v>
      </c>
      <c r="I69" s="1" t="s">
        <v>122</v>
      </c>
    </row>
    <row r="70" spans="1:9" x14ac:dyDescent="0.2">
      <c r="A70" s="1" t="s">
        <v>52</v>
      </c>
      <c r="C70" s="1" t="s">
        <v>123</v>
      </c>
      <c r="E70" s="1" t="s">
        <v>755</v>
      </c>
      <c r="F70" s="1" t="s">
        <v>648</v>
      </c>
      <c r="G70" s="1" t="s">
        <v>124</v>
      </c>
      <c r="H70" s="1" t="s">
        <v>125</v>
      </c>
      <c r="I70" s="1" t="s">
        <v>126</v>
      </c>
    </row>
    <row r="71" spans="1:9" x14ac:dyDescent="0.2">
      <c r="A71" s="1" t="s">
        <v>52</v>
      </c>
      <c r="C71" s="1" t="s">
        <v>127</v>
      </c>
      <c r="E71" s="1" t="s">
        <v>756</v>
      </c>
      <c r="F71" s="1" t="s">
        <v>649</v>
      </c>
      <c r="G71" s="1" t="s">
        <v>128</v>
      </c>
      <c r="H71" s="1" t="s">
        <v>129</v>
      </c>
      <c r="I71" s="1" t="s">
        <v>130</v>
      </c>
    </row>
    <row r="72" spans="1:9" x14ac:dyDescent="0.2">
      <c r="A72" s="1" t="s">
        <v>52</v>
      </c>
      <c r="C72" s="1" t="s">
        <v>131</v>
      </c>
      <c r="E72" s="1" t="s">
        <v>757</v>
      </c>
      <c r="F72" s="1" t="s">
        <v>650</v>
      </c>
      <c r="G72" s="1" t="s">
        <v>132</v>
      </c>
      <c r="H72" s="1" t="s">
        <v>133</v>
      </c>
      <c r="I72" s="1" t="s">
        <v>134</v>
      </c>
    </row>
    <row r="73" spans="1:9" x14ac:dyDescent="0.2">
      <c r="A73" s="1" t="s">
        <v>52</v>
      </c>
      <c r="C73" s="1" t="s">
        <v>135</v>
      </c>
      <c r="E73" s="1" t="s">
        <v>758</v>
      </c>
      <c r="F73" s="1" t="s">
        <v>651</v>
      </c>
      <c r="G73" s="1" t="s">
        <v>136</v>
      </c>
      <c r="H73" s="1" t="s">
        <v>137</v>
      </c>
      <c r="I73" s="1" t="s">
        <v>138</v>
      </c>
    </row>
    <row r="74" spans="1:9" x14ac:dyDescent="0.2">
      <c r="A74" s="1" t="s">
        <v>52</v>
      </c>
      <c r="C74" s="1" t="s">
        <v>139</v>
      </c>
      <c r="E74" s="1" t="s">
        <v>759</v>
      </c>
      <c r="F74" s="1" t="s">
        <v>652</v>
      </c>
      <c r="G74" s="1" t="s">
        <v>140</v>
      </c>
      <c r="H74" s="1" t="s">
        <v>141</v>
      </c>
      <c r="I74" s="1" t="s">
        <v>142</v>
      </c>
    </row>
    <row r="75" spans="1:9" x14ac:dyDescent="0.2">
      <c r="A75" s="1" t="s">
        <v>52</v>
      </c>
      <c r="C75" s="1" t="s">
        <v>143</v>
      </c>
      <c r="E75" s="1" t="s">
        <v>760</v>
      </c>
      <c r="F75" s="1" t="s">
        <v>653</v>
      </c>
      <c r="G75" s="1" t="s">
        <v>144</v>
      </c>
      <c r="H75" s="1" t="s">
        <v>145</v>
      </c>
      <c r="I75" s="1" t="s">
        <v>146</v>
      </c>
    </row>
    <row r="76" spans="1:9" x14ac:dyDescent="0.2">
      <c r="A76" s="1" t="s">
        <v>52</v>
      </c>
      <c r="C76" s="1" t="s">
        <v>147</v>
      </c>
      <c r="E76" s="1" t="s">
        <v>761</v>
      </c>
      <c r="F76" s="1" t="s">
        <v>654</v>
      </c>
      <c r="G76" s="1" t="s">
        <v>148</v>
      </c>
      <c r="H76" s="1" t="s">
        <v>149</v>
      </c>
      <c r="I76" s="1" t="s">
        <v>150</v>
      </c>
    </row>
    <row r="77" spans="1:9" x14ac:dyDescent="0.2">
      <c r="A77" s="1" t="s">
        <v>52</v>
      </c>
      <c r="C77" s="1" t="s">
        <v>151</v>
      </c>
      <c r="E77" s="1" t="s">
        <v>762</v>
      </c>
      <c r="F77" s="1" t="s">
        <v>655</v>
      </c>
      <c r="G77" s="1" t="s">
        <v>152</v>
      </c>
      <c r="H77" s="1" t="s">
        <v>153</v>
      </c>
      <c r="I77" s="1" t="s">
        <v>154</v>
      </c>
    </row>
    <row r="78" spans="1:9" x14ac:dyDescent="0.2">
      <c r="A78" s="1" t="s">
        <v>52</v>
      </c>
      <c r="C78" s="1" t="s">
        <v>155</v>
      </c>
      <c r="E78" s="1" t="s">
        <v>763</v>
      </c>
      <c r="F78" s="1" t="s">
        <v>656</v>
      </c>
      <c r="G78" s="1" t="s">
        <v>156</v>
      </c>
      <c r="H78" s="1" t="s">
        <v>157</v>
      </c>
      <c r="I78" s="1" t="s">
        <v>158</v>
      </c>
    </row>
    <row r="79" spans="1:9" x14ac:dyDescent="0.2">
      <c r="A79" s="1" t="s">
        <v>52</v>
      </c>
      <c r="C79" s="1" t="s">
        <v>159</v>
      </c>
      <c r="E79" s="1" t="s">
        <v>764</v>
      </c>
      <c r="F79" s="1" t="s">
        <v>657</v>
      </c>
      <c r="G79" s="1" t="s">
        <v>160</v>
      </c>
      <c r="H79" s="1" t="s">
        <v>161</v>
      </c>
      <c r="I79" s="1" t="s">
        <v>162</v>
      </c>
    </row>
    <row r="80" spans="1:9" x14ac:dyDescent="0.2">
      <c r="A80" s="1" t="s">
        <v>52</v>
      </c>
      <c r="C80" s="1" t="s">
        <v>163</v>
      </c>
      <c r="E80" s="1" t="s">
        <v>765</v>
      </c>
      <c r="F80" s="1" t="s">
        <v>658</v>
      </c>
      <c r="G80" s="1" t="s">
        <v>164</v>
      </c>
      <c r="H80" s="1" t="s">
        <v>165</v>
      </c>
      <c r="I80" s="1" t="s">
        <v>166</v>
      </c>
    </row>
    <row r="81" spans="1:9" x14ac:dyDescent="0.2">
      <c r="A81" s="1" t="s">
        <v>52</v>
      </c>
      <c r="C81" s="1" t="s">
        <v>167</v>
      </c>
      <c r="E81" s="1" t="s">
        <v>766</v>
      </c>
      <c r="F81" s="1" t="s">
        <v>659</v>
      </c>
      <c r="G81" s="1" t="s">
        <v>168</v>
      </c>
      <c r="H81" s="1" t="s">
        <v>169</v>
      </c>
      <c r="I81" s="1" t="s">
        <v>170</v>
      </c>
    </row>
    <row r="82" spans="1:9" x14ac:dyDescent="0.2">
      <c r="A82" s="1" t="s">
        <v>52</v>
      </c>
      <c r="C82" s="1" t="s">
        <v>171</v>
      </c>
      <c r="E82" s="1" t="s">
        <v>767</v>
      </c>
      <c r="F82" s="1" t="s">
        <v>660</v>
      </c>
      <c r="G82" s="1" t="s">
        <v>172</v>
      </c>
      <c r="H82" s="1" t="s">
        <v>173</v>
      </c>
      <c r="I82" s="1" t="s">
        <v>174</v>
      </c>
    </row>
    <row r="83" spans="1:9" x14ac:dyDescent="0.2">
      <c r="A83" s="1" t="s">
        <v>52</v>
      </c>
      <c r="C83" s="1" t="s">
        <v>175</v>
      </c>
      <c r="E83" s="1" t="s">
        <v>768</v>
      </c>
      <c r="F83" s="1" t="s">
        <v>661</v>
      </c>
      <c r="G83" s="1" t="s">
        <v>176</v>
      </c>
      <c r="H83" s="1" t="s">
        <v>177</v>
      </c>
      <c r="I83" s="1" t="s">
        <v>178</v>
      </c>
    </row>
    <row r="84" spans="1:9" x14ac:dyDescent="0.2">
      <c r="A84" s="1" t="s">
        <v>52</v>
      </c>
      <c r="C84" s="1" t="s">
        <v>179</v>
      </c>
      <c r="E84" s="1" t="s">
        <v>769</v>
      </c>
      <c r="F84" s="1" t="s">
        <v>662</v>
      </c>
      <c r="G84" s="1" t="s">
        <v>180</v>
      </c>
      <c r="H84" s="1" t="s">
        <v>181</v>
      </c>
      <c r="I84" s="1" t="s">
        <v>182</v>
      </c>
    </row>
    <row r="85" spans="1:9" x14ac:dyDescent="0.2">
      <c r="A85" s="1" t="s">
        <v>52</v>
      </c>
      <c r="C85" s="1" t="s">
        <v>183</v>
      </c>
      <c r="E85" s="1" t="s">
        <v>770</v>
      </c>
      <c r="F85" s="1" t="s">
        <v>663</v>
      </c>
      <c r="G85" s="1" t="s">
        <v>184</v>
      </c>
      <c r="H85" s="1" t="s">
        <v>185</v>
      </c>
      <c r="I85" s="1" t="s">
        <v>186</v>
      </c>
    </row>
    <row r="86" spans="1:9" x14ac:dyDescent="0.2">
      <c r="A86" s="1" t="s">
        <v>52</v>
      </c>
      <c r="C86" s="1" t="s">
        <v>187</v>
      </c>
      <c r="E86" s="1" t="s">
        <v>771</v>
      </c>
      <c r="F86" s="1" t="s">
        <v>664</v>
      </c>
      <c r="G86" s="1" t="s">
        <v>188</v>
      </c>
      <c r="H86" s="1" t="s">
        <v>189</v>
      </c>
      <c r="I86" s="1" t="s">
        <v>190</v>
      </c>
    </row>
    <row r="87" spans="1:9" x14ac:dyDescent="0.2">
      <c r="A87" s="1" t="s">
        <v>52</v>
      </c>
      <c r="C87" s="1" t="s">
        <v>191</v>
      </c>
      <c r="E87" s="1" t="s">
        <v>772</v>
      </c>
      <c r="F87" s="1" t="s">
        <v>665</v>
      </c>
      <c r="G87" s="1" t="s">
        <v>192</v>
      </c>
      <c r="H87" s="1" t="s">
        <v>193</v>
      </c>
      <c r="I87" s="1" t="s">
        <v>194</v>
      </c>
    </row>
    <row r="88" spans="1:9" x14ac:dyDescent="0.2">
      <c r="A88" s="1" t="s">
        <v>52</v>
      </c>
      <c r="C88" s="1" t="s">
        <v>195</v>
      </c>
      <c r="E88" s="1" t="s">
        <v>773</v>
      </c>
      <c r="F88" s="1" t="s">
        <v>666</v>
      </c>
      <c r="G88" s="1" t="s">
        <v>196</v>
      </c>
      <c r="H88" s="1" t="s">
        <v>197</v>
      </c>
      <c r="I88" s="1" t="s">
        <v>198</v>
      </c>
    </row>
    <row r="89" spans="1:9" x14ac:dyDescent="0.2">
      <c r="A89" s="1" t="s">
        <v>52</v>
      </c>
      <c r="C89" s="1" t="s">
        <v>395</v>
      </c>
      <c r="E89" s="1" t="s">
        <v>774</v>
      </c>
      <c r="F89" s="1" t="s">
        <v>667</v>
      </c>
      <c r="G89" s="1" t="s">
        <v>396</v>
      </c>
      <c r="H89" s="1" t="s">
        <v>397</v>
      </c>
      <c r="I89" s="1" t="s">
        <v>398</v>
      </c>
    </row>
    <row r="90" spans="1:9" x14ac:dyDescent="0.2">
      <c r="A90" s="1" t="s">
        <v>52</v>
      </c>
      <c r="C90" s="1" t="s">
        <v>199</v>
      </c>
      <c r="E90" s="1" t="s">
        <v>775</v>
      </c>
      <c r="F90" s="1" t="s">
        <v>668</v>
      </c>
      <c r="G90" s="1" t="s">
        <v>399</v>
      </c>
      <c r="H90" s="1" t="s">
        <v>400</v>
      </c>
      <c r="I90" s="1" t="s">
        <v>401</v>
      </c>
    </row>
    <row r="91" spans="1:9" x14ac:dyDescent="0.2">
      <c r="A91" s="1" t="s">
        <v>52</v>
      </c>
      <c r="C91" s="1" t="s">
        <v>200</v>
      </c>
      <c r="E91" s="1" t="s">
        <v>776</v>
      </c>
      <c r="F91" s="1" t="s">
        <v>669</v>
      </c>
      <c r="G91" s="1" t="s">
        <v>402</v>
      </c>
      <c r="H91" s="1" t="s">
        <v>403</v>
      </c>
      <c r="I91" s="1" t="s">
        <v>404</v>
      </c>
    </row>
    <row r="92" spans="1:9" x14ac:dyDescent="0.2">
      <c r="A92" s="1" t="s">
        <v>52</v>
      </c>
      <c r="C92" s="1" t="s">
        <v>405</v>
      </c>
      <c r="E92" s="1" t="s">
        <v>777</v>
      </c>
      <c r="F92" s="1" t="s">
        <v>670</v>
      </c>
      <c r="G92" s="1" t="s">
        <v>406</v>
      </c>
      <c r="H92" s="1" t="s">
        <v>407</v>
      </c>
      <c r="I92" s="1" t="s">
        <v>408</v>
      </c>
    </row>
    <row r="93" spans="1:9" x14ac:dyDescent="0.2">
      <c r="A93" s="1" t="s">
        <v>52</v>
      </c>
      <c r="C93" s="1" t="s">
        <v>201</v>
      </c>
      <c r="E93" s="1" t="s">
        <v>778</v>
      </c>
      <c r="F93" s="1" t="s">
        <v>671</v>
      </c>
      <c r="G93" s="1" t="s">
        <v>202</v>
      </c>
      <c r="H93" s="1" t="s">
        <v>203</v>
      </c>
      <c r="I93" s="1" t="s">
        <v>204</v>
      </c>
    </row>
    <row r="94" spans="1:9" x14ac:dyDescent="0.2">
      <c r="A94" s="1" t="s">
        <v>52</v>
      </c>
      <c r="C94" s="1" t="s">
        <v>205</v>
      </c>
      <c r="E94" s="1" t="s">
        <v>779</v>
      </c>
      <c r="F94" s="1" t="s">
        <v>672</v>
      </c>
      <c r="G94" s="1" t="s">
        <v>206</v>
      </c>
      <c r="H94" s="1" t="s">
        <v>207</v>
      </c>
      <c r="I94" s="1" t="s">
        <v>208</v>
      </c>
    </row>
    <row r="95" spans="1:9" x14ac:dyDescent="0.2">
      <c r="A95" s="1" t="s">
        <v>52</v>
      </c>
      <c r="C95" s="1" t="s">
        <v>409</v>
      </c>
      <c r="E95" s="1" t="s">
        <v>780</v>
      </c>
      <c r="F95" s="1" t="s">
        <v>673</v>
      </c>
      <c r="G95" s="1" t="s">
        <v>410</v>
      </c>
      <c r="H95" s="1" t="s">
        <v>411</v>
      </c>
      <c r="I95" s="1" t="s">
        <v>412</v>
      </c>
    </row>
    <row r="96" spans="1:9" x14ac:dyDescent="0.2">
      <c r="A96" s="1" t="s">
        <v>824</v>
      </c>
      <c r="C96" s="1" t="s">
        <v>123</v>
      </c>
    </row>
    <row r="97" spans="1:9" x14ac:dyDescent="0.2">
      <c r="A97" s="1" t="s">
        <v>52</v>
      </c>
      <c r="C97" s="1" t="s">
        <v>209</v>
      </c>
      <c r="E97" s="1" t="s">
        <v>413</v>
      </c>
      <c r="G97" s="1" t="s">
        <v>414</v>
      </c>
      <c r="H97" s="1" t="s">
        <v>415</v>
      </c>
      <c r="I97" s="1" t="s">
        <v>416</v>
      </c>
    </row>
    <row r="98" spans="1:9" x14ac:dyDescent="0.2">
      <c r="A98" s="1" t="s">
        <v>52</v>
      </c>
      <c r="C98" s="1" t="s">
        <v>417</v>
      </c>
    </row>
    <row r="99" spans="1:9" x14ac:dyDescent="0.2">
      <c r="A99" s="1" t="s">
        <v>52</v>
      </c>
      <c r="C99" s="1" t="s">
        <v>418</v>
      </c>
      <c r="D99" s="1" t="s">
        <v>781</v>
      </c>
    </row>
    <row r="100" spans="1:9" x14ac:dyDescent="0.2">
      <c r="A100" s="1" t="s">
        <v>52</v>
      </c>
      <c r="C100" s="1" t="s">
        <v>210</v>
      </c>
      <c r="E100" s="1" t="s">
        <v>674</v>
      </c>
      <c r="F100" s="1" t="s">
        <v>675</v>
      </c>
      <c r="G100" s="1" t="s">
        <v>211</v>
      </c>
      <c r="H100" s="1" t="s">
        <v>212</v>
      </c>
      <c r="I100" s="1" t="s">
        <v>213</v>
      </c>
    </row>
    <row r="101" spans="1:9" x14ac:dyDescent="0.2">
      <c r="A101" s="1" t="s">
        <v>52</v>
      </c>
      <c r="C101" s="1" t="s">
        <v>419</v>
      </c>
      <c r="E101" s="1" t="s">
        <v>782</v>
      </c>
      <c r="F101" s="1" t="s">
        <v>676</v>
      </c>
      <c r="G101" s="1" t="s">
        <v>420</v>
      </c>
      <c r="H101" s="1" t="s">
        <v>421</v>
      </c>
      <c r="I101" s="1" t="s">
        <v>422</v>
      </c>
    </row>
    <row r="102" spans="1:9" x14ac:dyDescent="0.2">
      <c r="A102" s="1" t="s">
        <v>824</v>
      </c>
      <c r="C102" s="1" t="s">
        <v>419</v>
      </c>
    </row>
    <row r="103" spans="1:9" x14ac:dyDescent="0.2">
      <c r="A103" s="1" t="s">
        <v>52</v>
      </c>
      <c r="C103" s="1" t="s">
        <v>214</v>
      </c>
      <c r="E103" s="1" t="s">
        <v>423</v>
      </c>
      <c r="G103" s="1" t="s">
        <v>424</v>
      </c>
      <c r="H103" s="1" t="s">
        <v>425</v>
      </c>
      <c r="I103" s="1" t="s">
        <v>426</v>
      </c>
    </row>
    <row r="104" spans="1:9" x14ac:dyDescent="0.2">
      <c r="A104" s="1" t="s">
        <v>52</v>
      </c>
      <c r="C104" s="1" t="s">
        <v>427</v>
      </c>
    </row>
    <row r="105" spans="1:9" x14ac:dyDescent="0.2">
      <c r="A105" s="1" t="s">
        <v>52</v>
      </c>
      <c r="C105" s="1" t="s">
        <v>428</v>
      </c>
      <c r="D105" s="1" t="s">
        <v>783</v>
      </c>
    </row>
    <row r="106" spans="1:9" x14ac:dyDescent="0.2">
      <c r="A106" s="1" t="s">
        <v>52</v>
      </c>
      <c r="C106" s="1" t="s">
        <v>215</v>
      </c>
      <c r="E106" s="1" t="s">
        <v>677</v>
      </c>
      <c r="F106" s="1" t="s">
        <v>678</v>
      </c>
      <c r="G106" s="1" t="s">
        <v>429</v>
      </c>
      <c r="H106" s="1" t="s">
        <v>430</v>
      </c>
      <c r="I106" s="1" t="s">
        <v>431</v>
      </c>
    </row>
    <row r="107" spans="1:9" x14ac:dyDescent="0.2">
      <c r="A107" s="1" t="s">
        <v>52</v>
      </c>
      <c r="C107" s="1" t="s">
        <v>216</v>
      </c>
      <c r="E107" s="1" t="s">
        <v>784</v>
      </c>
      <c r="F107" s="1" t="s">
        <v>679</v>
      </c>
      <c r="G107" s="1" t="s">
        <v>432</v>
      </c>
      <c r="H107" s="1" t="s">
        <v>433</v>
      </c>
      <c r="I107" s="1" t="s">
        <v>434</v>
      </c>
    </row>
    <row r="108" spans="1:9" x14ac:dyDescent="0.2">
      <c r="A108" s="1" t="s">
        <v>824</v>
      </c>
      <c r="C108" s="1" t="s">
        <v>216</v>
      </c>
    </row>
    <row r="109" spans="1:9" x14ac:dyDescent="0.2">
      <c r="A109" s="1" t="s">
        <v>52</v>
      </c>
      <c r="C109" s="1" t="s">
        <v>435</v>
      </c>
      <c r="E109" s="1" t="s">
        <v>436</v>
      </c>
      <c r="G109" s="1" t="s">
        <v>437</v>
      </c>
      <c r="H109" s="1" t="s">
        <v>438</v>
      </c>
      <c r="I109" s="1" t="s">
        <v>439</v>
      </c>
    </row>
    <row r="110" spans="1:9" x14ac:dyDescent="0.2">
      <c r="A110" s="1" t="s">
        <v>52</v>
      </c>
      <c r="C110" s="1" t="s">
        <v>217</v>
      </c>
    </row>
    <row r="111" spans="1:9" x14ac:dyDescent="0.2">
      <c r="A111" s="1" t="s">
        <v>52</v>
      </c>
      <c r="C111" s="1" t="s">
        <v>440</v>
      </c>
      <c r="D111" s="1" t="s">
        <v>785</v>
      </c>
    </row>
    <row r="112" spans="1:9" x14ac:dyDescent="0.2">
      <c r="A112" s="1" t="s">
        <v>52</v>
      </c>
      <c r="C112" s="1" t="s">
        <v>218</v>
      </c>
      <c r="E112" s="1" t="s">
        <v>680</v>
      </c>
      <c r="F112" s="1" t="s">
        <v>681</v>
      </c>
      <c r="G112" s="1" t="s">
        <v>441</v>
      </c>
      <c r="H112" s="1" t="s">
        <v>442</v>
      </c>
      <c r="I112" s="1" t="s">
        <v>443</v>
      </c>
    </row>
    <row r="113" spans="1:9" x14ac:dyDescent="0.2">
      <c r="A113" s="1" t="s">
        <v>824</v>
      </c>
      <c r="C113" s="1" t="s">
        <v>219</v>
      </c>
    </row>
    <row r="114" spans="1:9" x14ac:dyDescent="0.2">
      <c r="A114" s="1" t="s">
        <v>52</v>
      </c>
      <c r="C114" s="1" t="s">
        <v>444</v>
      </c>
      <c r="E114" s="1" t="s">
        <v>445</v>
      </c>
      <c r="G114" s="1" t="s">
        <v>446</v>
      </c>
      <c r="H114" s="1" t="s">
        <v>447</v>
      </c>
      <c r="I114" s="1" t="s">
        <v>448</v>
      </c>
    </row>
    <row r="115" spans="1:9" x14ac:dyDescent="0.2">
      <c r="A115" s="1" t="s">
        <v>52</v>
      </c>
      <c r="C115" s="1" t="s">
        <v>220</v>
      </c>
    </row>
    <row r="116" spans="1:9" x14ac:dyDescent="0.2">
      <c r="A116" s="1" t="s">
        <v>52</v>
      </c>
      <c r="C116" s="1" t="s">
        <v>449</v>
      </c>
      <c r="D116" s="1" t="s">
        <v>786</v>
      </c>
    </row>
    <row r="117" spans="1:9" x14ac:dyDescent="0.2">
      <c r="A117" s="1" t="s">
        <v>52</v>
      </c>
      <c r="C117" s="1" t="s">
        <v>221</v>
      </c>
      <c r="E117" s="1" t="s">
        <v>682</v>
      </c>
      <c r="F117" s="1" t="s">
        <v>683</v>
      </c>
      <c r="G117" s="1" t="s">
        <v>222</v>
      </c>
      <c r="H117" s="1" t="s">
        <v>223</v>
      </c>
      <c r="I117" s="1" t="s">
        <v>224</v>
      </c>
    </row>
    <row r="118" spans="1:9" x14ac:dyDescent="0.2">
      <c r="A118" s="1" t="s">
        <v>824</v>
      </c>
      <c r="C118" s="1" t="s">
        <v>450</v>
      </c>
    </row>
    <row r="119" spans="1:9" x14ac:dyDescent="0.2">
      <c r="A119" s="1" t="s">
        <v>52</v>
      </c>
      <c r="C119" s="1" t="s">
        <v>225</v>
      </c>
      <c r="E119" s="1" t="s">
        <v>226</v>
      </c>
      <c r="G119" s="1" t="s">
        <v>451</v>
      </c>
      <c r="H119" s="1" t="s">
        <v>452</v>
      </c>
      <c r="I119" s="1" t="s">
        <v>453</v>
      </c>
    </row>
    <row r="120" spans="1:9" x14ac:dyDescent="0.2">
      <c r="A120" s="1" t="s">
        <v>52</v>
      </c>
      <c r="C120" s="1" t="s">
        <v>227</v>
      </c>
    </row>
    <row r="121" spans="1:9" x14ac:dyDescent="0.2">
      <c r="A121" s="1" t="s">
        <v>52</v>
      </c>
      <c r="C121" s="1" t="s">
        <v>228</v>
      </c>
      <c r="D121" s="1" t="s">
        <v>787</v>
      </c>
    </row>
    <row r="122" spans="1:9" x14ac:dyDescent="0.2">
      <c r="A122" s="1" t="s">
        <v>52</v>
      </c>
      <c r="C122" s="1" t="s">
        <v>229</v>
      </c>
      <c r="E122" s="1" t="s">
        <v>684</v>
      </c>
      <c r="F122" s="1" t="s">
        <v>685</v>
      </c>
      <c r="G122" s="1" t="s">
        <v>230</v>
      </c>
      <c r="H122" s="1" t="s">
        <v>231</v>
      </c>
      <c r="I122" s="1" t="s">
        <v>232</v>
      </c>
    </row>
    <row r="123" spans="1:9" x14ac:dyDescent="0.2">
      <c r="A123" s="1" t="s">
        <v>52</v>
      </c>
      <c r="C123" s="1" t="s">
        <v>233</v>
      </c>
      <c r="E123" s="1" t="s">
        <v>788</v>
      </c>
      <c r="F123" s="1" t="s">
        <v>686</v>
      </c>
      <c r="G123" s="1" t="s">
        <v>234</v>
      </c>
      <c r="H123" s="1" t="s">
        <v>235</v>
      </c>
      <c r="I123" s="1" t="s">
        <v>236</v>
      </c>
    </row>
    <row r="124" spans="1:9" x14ac:dyDescent="0.2">
      <c r="A124" s="1" t="s">
        <v>52</v>
      </c>
      <c r="C124" s="1" t="s">
        <v>454</v>
      </c>
      <c r="E124" s="1" t="s">
        <v>789</v>
      </c>
      <c r="F124" s="1" t="s">
        <v>687</v>
      </c>
      <c r="G124" s="1" t="s">
        <v>455</v>
      </c>
      <c r="H124" s="1" t="s">
        <v>456</v>
      </c>
      <c r="I124" s="1" t="s">
        <v>457</v>
      </c>
    </row>
    <row r="125" spans="1:9" x14ac:dyDescent="0.2">
      <c r="A125" s="1" t="s">
        <v>824</v>
      </c>
      <c r="C125" s="1" t="s">
        <v>233</v>
      </c>
    </row>
    <row r="126" spans="1:9" x14ac:dyDescent="0.2">
      <c r="A126" s="1" t="s">
        <v>52</v>
      </c>
      <c r="C126" s="1" t="s">
        <v>237</v>
      </c>
      <c r="E126" s="1" t="s">
        <v>458</v>
      </c>
      <c r="G126" s="1" t="s">
        <v>459</v>
      </c>
      <c r="H126" s="1" t="s">
        <v>460</v>
      </c>
      <c r="I126" s="1" t="s">
        <v>461</v>
      </c>
    </row>
    <row r="127" spans="1:9" x14ac:dyDescent="0.2">
      <c r="A127" s="1" t="s">
        <v>52</v>
      </c>
      <c r="C127" s="1" t="s">
        <v>462</v>
      </c>
    </row>
    <row r="128" spans="1:9" x14ac:dyDescent="0.2">
      <c r="A128" s="1" t="s">
        <v>52</v>
      </c>
      <c r="C128" s="1" t="s">
        <v>463</v>
      </c>
      <c r="D128" s="1" t="s">
        <v>790</v>
      </c>
    </row>
    <row r="129" spans="1:9" x14ac:dyDescent="0.2">
      <c r="A129" s="1" t="s">
        <v>52</v>
      </c>
      <c r="C129" s="1" t="s">
        <v>238</v>
      </c>
      <c r="E129" s="1" t="s">
        <v>688</v>
      </c>
      <c r="F129" s="1" t="s">
        <v>689</v>
      </c>
      <c r="G129" s="1" t="s">
        <v>239</v>
      </c>
      <c r="H129" s="1" t="s">
        <v>240</v>
      </c>
      <c r="I129" s="1" t="s">
        <v>241</v>
      </c>
    </row>
    <row r="130" spans="1:9" x14ac:dyDescent="0.2">
      <c r="A130" s="1" t="s">
        <v>52</v>
      </c>
      <c r="C130" s="1" t="s">
        <v>242</v>
      </c>
      <c r="E130" s="1" t="s">
        <v>791</v>
      </c>
      <c r="F130" s="1" t="s">
        <v>690</v>
      </c>
      <c r="G130" s="1" t="s">
        <v>243</v>
      </c>
      <c r="H130" s="1" t="s">
        <v>244</v>
      </c>
      <c r="I130" s="1" t="s">
        <v>245</v>
      </c>
    </row>
    <row r="131" spans="1:9" x14ac:dyDescent="0.2">
      <c r="A131" s="1" t="s">
        <v>824</v>
      </c>
      <c r="C131" s="1" t="s">
        <v>242</v>
      </c>
    </row>
    <row r="132" spans="1:9" x14ac:dyDescent="0.2">
      <c r="A132" s="1" t="s">
        <v>52</v>
      </c>
      <c r="C132" s="1" t="s">
        <v>246</v>
      </c>
      <c r="E132" s="1" t="s">
        <v>247</v>
      </c>
      <c r="G132" s="1" t="s">
        <v>464</v>
      </c>
      <c r="H132" s="1" t="s">
        <v>465</v>
      </c>
      <c r="I132" s="1" t="s">
        <v>466</v>
      </c>
    </row>
    <row r="133" spans="1:9" x14ac:dyDescent="0.2">
      <c r="A133" s="1" t="s">
        <v>52</v>
      </c>
      <c r="C133" s="1" t="s">
        <v>248</v>
      </c>
    </row>
    <row r="134" spans="1:9" x14ac:dyDescent="0.2">
      <c r="A134" s="1" t="s">
        <v>52</v>
      </c>
      <c r="C134" s="1" t="s">
        <v>249</v>
      </c>
      <c r="D134" s="1" t="s">
        <v>792</v>
      </c>
    </row>
    <row r="135" spans="1:9" x14ac:dyDescent="0.2">
      <c r="A135" s="1" t="s">
        <v>52</v>
      </c>
      <c r="C135" s="1" t="s">
        <v>250</v>
      </c>
      <c r="E135" s="1" t="s">
        <v>691</v>
      </c>
      <c r="F135" s="1" t="s">
        <v>692</v>
      </c>
      <c r="G135" s="1" t="s">
        <v>251</v>
      </c>
      <c r="H135" s="1" t="s">
        <v>252</v>
      </c>
      <c r="I135" s="1" t="s">
        <v>253</v>
      </c>
    </row>
    <row r="136" spans="1:9" x14ac:dyDescent="0.2">
      <c r="A136" s="1" t="s">
        <v>52</v>
      </c>
      <c r="C136" s="1" t="s">
        <v>254</v>
      </c>
      <c r="E136" s="1" t="s">
        <v>793</v>
      </c>
      <c r="F136" s="1" t="s">
        <v>693</v>
      </c>
      <c r="G136" s="1" t="s">
        <v>467</v>
      </c>
      <c r="H136" s="1" t="s">
        <v>468</v>
      </c>
      <c r="I136" s="1" t="s">
        <v>469</v>
      </c>
    </row>
    <row r="137" spans="1:9" x14ac:dyDescent="0.2">
      <c r="A137" s="1" t="s">
        <v>52</v>
      </c>
      <c r="C137" s="1" t="s">
        <v>255</v>
      </c>
      <c r="E137" s="1" t="s">
        <v>794</v>
      </c>
      <c r="F137" s="1" t="s">
        <v>694</v>
      </c>
      <c r="G137" s="1" t="s">
        <v>470</v>
      </c>
      <c r="H137" s="1" t="s">
        <v>471</v>
      </c>
      <c r="I137" s="1" t="s">
        <v>472</v>
      </c>
    </row>
    <row r="138" spans="1:9" x14ac:dyDescent="0.2">
      <c r="A138" s="1" t="s">
        <v>824</v>
      </c>
      <c r="C138" s="1" t="s">
        <v>254</v>
      </c>
    </row>
    <row r="139" spans="1:9" x14ac:dyDescent="0.2">
      <c r="A139" s="1" t="s">
        <v>52</v>
      </c>
      <c r="C139" s="1" t="s">
        <v>473</v>
      </c>
      <c r="E139" s="1" t="s">
        <v>474</v>
      </c>
      <c r="G139" s="1" t="s">
        <v>475</v>
      </c>
      <c r="H139" s="1" t="s">
        <v>476</v>
      </c>
      <c r="I139" s="1" t="s">
        <v>477</v>
      </c>
    </row>
    <row r="140" spans="1:9" x14ac:dyDescent="0.2">
      <c r="A140" s="1" t="s">
        <v>52</v>
      </c>
      <c r="C140" s="1" t="s">
        <v>256</v>
      </c>
    </row>
    <row r="141" spans="1:9" x14ac:dyDescent="0.2">
      <c r="A141" s="1" t="s">
        <v>52</v>
      </c>
      <c r="C141" s="1" t="s">
        <v>478</v>
      </c>
      <c r="D141" s="1" t="s">
        <v>795</v>
      </c>
    </row>
    <row r="142" spans="1:9" x14ac:dyDescent="0.2">
      <c r="A142" s="1" t="s">
        <v>52</v>
      </c>
      <c r="C142" s="1" t="s">
        <v>479</v>
      </c>
      <c r="E142" s="1" t="s">
        <v>695</v>
      </c>
      <c r="F142" s="1" t="s">
        <v>696</v>
      </c>
      <c r="G142" s="1" t="s">
        <v>480</v>
      </c>
      <c r="H142" s="1" t="s">
        <v>481</v>
      </c>
      <c r="I142" s="1" t="s">
        <v>482</v>
      </c>
    </row>
    <row r="143" spans="1:9" x14ac:dyDescent="0.2">
      <c r="A143" s="1" t="s">
        <v>824</v>
      </c>
      <c r="C143" s="1" t="s">
        <v>257</v>
      </c>
    </row>
    <row r="144" spans="1:9" x14ac:dyDescent="0.2">
      <c r="A144" s="1" t="s">
        <v>52</v>
      </c>
      <c r="C144" s="1" t="s">
        <v>258</v>
      </c>
      <c r="E144" s="1" t="s">
        <v>483</v>
      </c>
      <c r="G144" s="1" t="s">
        <v>484</v>
      </c>
      <c r="H144" s="1" t="s">
        <v>485</v>
      </c>
      <c r="I144" s="1" t="s">
        <v>486</v>
      </c>
    </row>
    <row r="145" spans="1:9" x14ac:dyDescent="0.2">
      <c r="A145" s="1" t="s">
        <v>52</v>
      </c>
      <c r="C145" s="1" t="s">
        <v>487</v>
      </c>
    </row>
    <row r="146" spans="1:9" x14ac:dyDescent="0.2">
      <c r="A146" s="1" t="s">
        <v>52</v>
      </c>
      <c r="C146" s="1" t="s">
        <v>488</v>
      </c>
      <c r="D146" s="1" t="s">
        <v>796</v>
      </c>
    </row>
    <row r="147" spans="1:9" x14ac:dyDescent="0.2">
      <c r="A147" s="1" t="s">
        <v>52</v>
      </c>
      <c r="C147" s="1" t="s">
        <v>259</v>
      </c>
      <c r="E147" s="1" t="s">
        <v>697</v>
      </c>
      <c r="F147" s="1" t="s">
        <v>698</v>
      </c>
      <c r="G147" s="1" t="s">
        <v>489</v>
      </c>
      <c r="H147" s="1" t="s">
        <v>490</v>
      </c>
      <c r="I147" s="1" t="s">
        <v>491</v>
      </c>
    </row>
    <row r="148" spans="1:9" x14ac:dyDescent="0.2">
      <c r="A148" s="1" t="s">
        <v>52</v>
      </c>
      <c r="C148" s="1" t="s">
        <v>260</v>
      </c>
      <c r="E148" s="1" t="s">
        <v>797</v>
      </c>
      <c r="F148" s="1" t="s">
        <v>699</v>
      </c>
      <c r="G148" s="1" t="s">
        <v>492</v>
      </c>
      <c r="H148" s="1" t="s">
        <v>493</v>
      </c>
      <c r="I148" s="1" t="s">
        <v>494</v>
      </c>
    </row>
    <row r="149" spans="1:9" x14ac:dyDescent="0.2">
      <c r="A149" s="1" t="s">
        <v>824</v>
      </c>
      <c r="C149" s="1" t="s">
        <v>260</v>
      </c>
    </row>
    <row r="150" spans="1:9" x14ac:dyDescent="0.2">
      <c r="A150" s="1" t="s">
        <v>52</v>
      </c>
      <c r="C150" s="1" t="s">
        <v>495</v>
      </c>
      <c r="E150" s="1" t="s">
        <v>496</v>
      </c>
      <c r="G150" s="1" t="s">
        <v>497</v>
      </c>
      <c r="H150" s="1" t="s">
        <v>498</v>
      </c>
      <c r="I150" s="1" t="s">
        <v>499</v>
      </c>
    </row>
    <row r="151" spans="1:9" x14ac:dyDescent="0.2">
      <c r="A151" s="1" t="s">
        <v>52</v>
      </c>
      <c r="C151" s="1" t="s">
        <v>261</v>
      </c>
    </row>
    <row r="152" spans="1:9" x14ac:dyDescent="0.2">
      <c r="A152" s="1" t="s">
        <v>52</v>
      </c>
      <c r="C152" s="1" t="s">
        <v>500</v>
      </c>
      <c r="D152" s="1" t="s">
        <v>798</v>
      </c>
    </row>
    <row r="153" spans="1:9" x14ac:dyDescent="0.2">
      <c r="A153" s="1" t="s">
        <v>52</v>
      </c>
      <c r="C153" s="1" t="s">
        <v>262</v>
      </c>
      <c r="E153" s="1" t="s">
        <v>700</v>
      </c>
      <c r="F153" s="1" t="s">
        <v>701</v>
      </c>
      <c r="G153" s="1" t="s">
        <v>501</v>
      </c>
      <c r="H153" s="1" t="s">
        <v>502</v>
      </c>
      <c r="I153" s="1" t="s">
        <v>503</v>
      </c>
    </row>
    <row r="154" spans="1:9" x14ac:dyDescent="0.2">
      <c r="A154" s="1" t="s">
        <v>824</v>
      </c>
      <c r="C154" s="1" t="s">
        <v>263</v>
      </c>
    </row>
    <row r="155" spans="1:9" x14ac:dyDescent="0.2">
      <c r="A155" s="1" t="s">
        <v>52</v>
      </c>
      <c r="C155" s="1" t="s">
        <v>504</v>
      </c>
      <c r="E155" s="1" t="s">
        <v>505</v>
      </c>
      <c r="G155" s="1" t="s">
        <v>506</v>
      </c>
      <c r="H155" s="1" t="s">
        <v>507</v>
      </c>
      <c r="I155" s="1" t="s">
        <v>508</v>
      </c>
    </row>
    <row r="156" spans="1:9" x14ac:dyDescent="0.2">
      <c r="A156" s="1" t="s">
        <v>52</v>
      </c>
      <c r="C156" s="1" t="s">
        <v>264</v>
      </c>
    </row>
    <row r="157" spans="1:9" x14ac:dyDescent="0.2">
      <c r="A157" s="1" t="s">
        <v>52</v>
      </c>
      <c r="C157" s="1" t="s">
        <v>509</v>
      </c>
      <c r="D157" s="1" t="s">
        <v>799</v>
      </c>
    </row>
    <row r="158" spans="1:9" x14ac:dyDescent="0.2">
      <c r="A158" s="1" t="s">
        <v>52</v>
      </c>
      <c r="C158" s="1" t="s">
        <v>265</v>
      </c>
      <c r="E158" s="1" t="s">
        <v>702</v>
      </c>
      <c r="F158" s="1" t="s">
        <v>703</v>
      </c>
      <c r="G158" s="1" t="s">
        <v>510</v>
      </c>
      <c r="H158" s="1" t="s">
        <v>511</v>
      </c>
      <c r="I158" s="1" t="s">
        <v>512</v>
      </c>
    </row>
    <row r="159" spans="1:9" x14ac:dyDescent="0.2">
      <c r="A159" s="1" t="s">
        <v>824</v>
      </c>
      <c r="C159" s="1" t="s">
        <v>266</v>
      </c>
    </row>
    <row r="160" spans="1:9" x14ac:dyDescent="0.2">
      <c r="A160" s="1" t="s">
        <v>52</v>
      </c>
      <c r="C160" s="1" t="s">
        <v>513</v>
      </c>
      <c r="E160" s="1" t="s">
        <v>514</v>
      </c>
      <c r="G160" s="1" t="s">
        <v>515</v>
      </c>
      <c r="H160" s="1" t="s">
        <v>516</v>
      </c>
      <c r="I160" s="1" t="s">
        <v>517</v>
      </c>
    </row>
    <row r="161" spans="1:9" x14ac:dyDescent="0.2">
      <c r="A161" s="1" t="s">
        <v>52</v>
      </c>
      <c r="C161" s="1" t="s">
        <v>267</v>
      </c>
    </row>
    <row r="162" spans="1:9" x14ac:dyDescent="0.2">
      <c r="A162" s="1" t="s">
        <v>52</v>
      </c>
      <c r="C162" s="1" t="s">
        <v>518</v>
      </c>
      <c r="D162" s="1" t="s">
        <v>800</v>
      </c>
    </row>
    <row r="163" spans="1:9" x14ac:dyDescent="0.2">
      <c r="A163" s="1" t="s">
        <v>52</v>
      </c>
      <c r="C163" s="1" t="s">
        <v>268</v>
      </c>
      <c r="E163" s="1" t="s">
        <v>704</v>
      </c>
      <c r="F163" s="1" t="s">
        <v>705</v>
      </c>
      <c r="G163" s="1" t="s">
        <v>269</v>
      </c>
      <c r="H163" s="1" t="s">
        <v>270</v>
      </c>
      <c r="I163" s="1" t="s">
        <v>271</v>
      </c>
    </row>
    <row r="164" spans="1:9" x14ac:dyDescent="0.2">
      <c r="A164" s="1" t="s">
        <v>824</v>
      </c>
      <c r="C164" s="1" t="s">
        <v>519</v>
      </c>
    </row>
    <row r="165" spans="1:9" x14ac:dyDescent="0.2">
      <c r="A165" s="1" t="s">
        <v>52</v>
      </c>
      <c r="C165" s="1" t="s">
        <v>272</v>
      </c>
      <c r="E165" s="1" t="s">
        <v>273</v>
      </c>
      <c r="G165" s="1" t="s">
        <v>520</v>
      </c>
      <c r="H165" s="1" t="s">
        <v>521</v>
      </c>
      <c r="I165" s="1" t="s">
        <v>522</v>
      </c>
    </row>
    <row r="166" spans="1:9" x14ac:dyDescent="0.2">
      <c r="A166" s="1" t="s">
        <v>52</v>
      </c>
      <c r="C166" s="1" t="s">
        <v>274</v>
      </c>
    </row>
    <row r="167" spans="1:9" x14ac:dyDescent="0.2">
      <c r="A167" s="1" t="s">
        <v>52</v>
      </c>
      <c r="C167" s="1" t="s">
        <v>275</v>
      </c>
      <c r="D167" s="1" t="s">
        <v>801</v>
      </c>
    </row>
    <row r="168" spans="1:9" x14ac:dyDescent="0.2">
      <c r="A168" s="1" t="s">
        <v>52</v>
      </c>
      <c r="C168" s="1" t="s">
        <v>276</v>
      </c>
      <c r="E168" s="1" t="s">
        <v>706</v>
      </c>
      <c r="F168" s="1" t="s">
        <v>707</v>
      </c>
      <c r="G168" s="1" t="s">
        <v>277</v>
      </c>
      <c r="H168" s="1" t="s">
        <v>278</v>
      </c>
      <c r="I168" s="1" t="s">
        <v>279</v>
      </c>
    </row>
    <row r="169" spans="1:9" x14ac:dyDescent="0.2">
      <c r="A169" s="1" t="s">
        <v>52</v>
      </c>
      <c r="C169" s="1" t="s">
        <v>280</v>
      </c>
      <c r="E169" s="1" t="s">
        <v>802</v>
      </c>
      <c r="F169" s="1" t="s">
        <v>708</v>
      </c>
      <c r="G169" s="1" t="s">
        <v>281</v>
      </c>
      <c r="H169" s="1" t="s">
        <v>282</v>
      </c>
      <c r="I169" s="1" t="s">
        <v>283</v>
      </c>
    </row>
    <row r="170" spans="1:9" x14ac:dyDescent="0.2">
      <c r="A170" s="1" t="s">
        <v>52</v>
      </c>
      <c r="C170" s="1" t="s">
        <v>523</v>
      </c>
      <c r="E170" s="1" t="s">
        <v>803</v>
      </c>
      <c r="F170" s="1" t="s">
        <v>709</v>
      </c>
      <c r="G170" s="1" t="s">
        <v>524</v>
      </c>
      <c r="H170" s="1" t="s">
        <v>525</v>
      </c>
      <c r="I170" s="1" t="s">
        <v>526</v>
      </c>
    </row>
    <row r="171" spans="1:9" x14ac:dyDescent="0.2">
      <c r="A171" s="1" t="s">
        <v>824</v>
      </c>
      <c r="C171" s="1" t="s">
        <v>280</v>
      </c>
    </row>
    <row r="172" spans="1:9" x14ac:dyDescent="0.2">
      <c r="A172" s="1" t="s">
        <v>52</v>
      </c>
      <c r="C172" s="1" t="s">
        <v>284</v>
      </c>
      <c r="E172" s="1" t="s">
        <v>527</v>
      </c>
      <c r="G172" s="1" t="s">
        <v>528</v>
      </c>
      <c r="H172" s="1" t="s">
        <v>529</v>
      </c>
      <c r="I172" s="1" t="s">
        <v>530</v>
      </c>
    </row>
    <row r="173" spans="1:9" x14ac:dyDescent="0.2">
      <c r="A173" s="1" t="s">
        <v>52</v>
      </c>
      <c r="C173" s="1" t="s">
        <v>531</v>
      </c>
    </row>
    <row r="174" spans="1:9" x14ac:dyDescent="0.2">
      <c r="A174" s="1" t="s">
        <v>52</v>
      </c>
      <c r="C174" s="1" t="s">
        <v>532</v>
      </c>
      <c r="D174" s="1" t="s">
        <v>804</v>
      </c>
    </row>
    <row r="175" spans="1:9" x14ac:dyDescent="0.2">
      <c r="A175" s="1" t="s">
        <v>52</v>
      </c>
      <c r="C175" s="1" t="s">
        <v>285</v>
      </c>
      <c r="E175" s="1" t="s">
        <v>710</v>
      </c>
      <c r="F175" s="1" t="s">
        <v>711</v>
      </c>
      <c r="G175" s="1" t="s">
        <v>533</v>
      </c>
      <c r="H175" s="1" t="s">
        <v>534</v>
      </c>
      <c r="I175" s="1" t="s">
        <v>535</v>
      </c>
    </row>
    <row r="176" spans="1:9" x14ac:dyDescent="0.2">
      <c r="A176" s="1" t="s">
        <v>52</v>
      </c>
      <c r="C176" s="1" t="s">
        <v>286</v>
      </c>
      <c r="E176" s="1" t="s">
        <v>805</v>
      </c>
      <c r="F176" s="1" t="s">
        <v>712</v>
      </c>
      <c r="G176" s="1" t="s">
        <v>536</v>
      </c>
      <c r="H176" s="1" t="s">
        <v>537</v>
      </c>
      <c r="I176" s="1" t="s">
        <v>538</v>
      </c>
    </row>
    <row r="177" spans="1:9" x14ac:dyDescent="0.2">
      <c r="A177" s="1" t="s">
        <v>824</v>
      </c>
      <c r="C177" s="1" t="s">
        <v>286</v>
      </c>
    </row>
    <row r="178" spans="1:9" x14ac:dyDescent="0.2">
      <c r="A178" s="1" t="s">
        <v>52</v>
      </c>
      <c r="C178" s="1" t="s">
        <v>539</v>
      </c>
      <c r="E178" s="1" t="s">
        <v>540</v>
      </c>
      <c r="G178" s="1" t="s">
        <v>541</v>
      </c>
      <c r="H178" s="1" t="s">
        <v>542</v>
      </c>
      <c r="I178" s="1" t="s">
        <v>543</v>
      </c>
    </row>
    <row r="179" spans="1:9" x14ac:dyDescent="0.2">
      <c r="A179" s="1" t="s">
        <v>52</v>
      </c>
      <c r="C179" s="1" t="s">
        <v>287</v>
      </c>
    </row>
    <row r="180" spans="1:9" x14ac:dyDescent="0.2">
      <c r="A180" s="1" t="s">
        <v>52</v>
      </c>
      <c r="C180" s="1" t="s">
        <v>544</v>
      </c>
      <c r="D180" s="1" t="s">
        <v>806</v>
      </c>
    </row>
    <row r="181" spans="1:9" x14ac:dyDescent="0.2">
      <c r="A181" s="1" t="s">
        <v>52</v>
      </c>
      <c r="C181" s="1" t="s">
        <v>288</v>
      </c>
      <c r="E181" s="1" t="s">
        <v>713</v>
      </c>
      <c r="F181" s="1" t="s">
        <v>714</v>
      </c>
      <c r="G181" s="1" t="s">
        <v>289</v>
      </c>
      <c r="H181" s="1" t="s">
        <v>290</v>
      </c>
      <c r="I181" s="1" t="s">
        <v>291</v>
      </c>
    </row>
    <row r="182" spans="1:9" x14ac:dyDescent="0.2">
      <c r="A182" s="1" t="s">
        <v>824</v>
      </c>
      <c r="C182" s="1" t="s">
        <v>292</v>
      </c>
    </row>
    <row r="183" spans="1:9" x14ac:dyDescent="0.2">
      <c r="A183" s="1" t="s">
        <v>52</v>
      </c>
      <c r="C183" s="1" t="s">
        <v>293</v>
      </c>
      <c r="E183" s="1" t="s">
        <v>545</v>
      </c>
      <c r="G183" s="1" t="s">
        <v>546</v>
      </c>
      <c r="H183" s="1" t="s">
        <v>547</v>
      </c>
      <c r="I183" s="1" t="s">
        <v>548</v>
      </c>
    </row>
    <row r="184" spans="1:9" x14ac:dyDescent="0.2">
      <c r="A184" s="1" t="s">
        <v>52</v>
      </c>
      <c r="C184" s="1" t="s">
        <v>549</v>
      </c>
    </row>
    <row r="185" spans="1:9" x14ac:dyDescent="0.2">
      <c r="A185" s="1" t="s">
        <v>52</v>
      </c>
      <c r="C185" s="1" t="s">
        <v>550</v>
      </c>
      <c r="D185" s="1" t="s">
        <v>807</v>
      </c>
    </row>
    <row r="186" spans="1:9" x14ac:dyDescent="0.2">
      <c r="A186" s="1" t="s">
        <v>52</v>
      </c>
      <c r="C186" s="1" t="s">
        <v>294</v>
      </c>
      <c r="E186" s="1" t="s">
        <v>715</v>
      </c>
      <c r="F186" s="1" t="s">
        <v>716</v>
      </c>
      <c r="G186" s="1" t="s">
        <v>551</v>
      </c>
      <c r="H186" s="1" t="s">
        <v>552</v>
      </c>
      <c r="I186" s="1" t="s">
        <v>553</v>
      </c>
    </row>
    <row r="187" spans="1:9" x14ac:dyDescent="0.2">
      <c r="A187" s="1" t="s">
        <v>52</v>
      </c>
      <c r="C187" s="1" t="s">
        <v>554</v>
      </c>
      <c r="E187" s="1" t="s">
        <v>808</v>
      </c>
      <c r="F187" s="1" t="s">
        <v>717</v>
      </c>
      <c r="G187" s="1" t="s">
        <v>555</v>
      </c>
      <c r="H187" s="1" t="s">
        <v>556</v>
      </c>
      <c r="I187" s="1" t="s">
        <v>557</v>
      </c>
    </row>
    <row r="188" spans="1:9" x14ac:dyDescent="0.2">
      <c r="A188" s="1" t="s">
        <v>52</v>
      </c>
      <c r="C188" s="1" t="s">
        <v>295</v>
      </c>
      <c r="E188" s="1" t="s">
        <v>809</v>
      </c>
      <c r="F188" s="1" t="s">
        <v>718</v>
      </c>
      <c r="G188" s="1" t="s">
        <v>296</v>
      </c>
      <c r="H188" s="1" t="s">
        <v>297</v>
      </c>
      <c r="I188" s="1" t="s">
        <v>298</v>
      </c>
    </row>
    <row r="189" spans="1:9" x14ac:dyDescent="0.2">
      <c r="A189" s="1" t="s">
        <v>52</v>
      </c>
      <c r="C189" s="1" t="s">
        <v>299</v>
      </c>
      <c r="E189" s="1" t="s">
        <v>810</v>
      </c>
      <c r="F189" s="1" t="s">
        <v>719</v>
      </c>
      <c r="G189" s="1" t="s">
        <v>300</v>
      </c>
      <c r="H189" s="1" t="s">
        <v>301</v>
      </c>
      <c r="I189" s="1" t="s">
        <v>302</v>
      </c>
    </row>
    <row r="190" spans="1:9" x14ac:dyDescent="0.2">
      <c r="A190" s="1" t="s">
        <v>52</v>
      </c>
      <c r="C190" s="1" t="s">
        <v>303</v>
      </c>
      <c r="E190" s="1" t="s">
        <v>811</v>
      </c>
      <c r="F190" s="1" t="s">
        <v>720</v>
      </c>
      <c r="G190" s="1" t="s">
        <v>304</v>
      </c>
      <c r="H190" s="1" t="s">
        <v>305</v>
      </c>
      <c r="I190" s="1" t="s">
        <v>306</v>
      </c>
    </row>
    <row r="191" spans="1:9" x14ac:dyDescent="0.2">
      <c r="A191" s="1" t="s">
        <v>824</v>
      </c>
      <c r="C191" s="1" t="s">
        <v>554</v>
      </c>
    </row>
    <row r="192" spans="1:9" x14ac:dyDescent="0.2">
      <c r="A192" s="1" t="s">
        <v>52</v>
      </c>
      <c r="C192" s="1" t="s">
        <v>558</v>
      </c>
      <c r="E192" s="1" t="s">
        <v>559</v>
      </c>
      <c r="G192" s="1" t="s">
        <v>560</v>
      </c>
      <c r="H192" s="1" t="s">
        <v>561</v>
      </c>
      <c r="I192" s="1" t="s">
        <v>562</v>
      </c>
    </row>
    <row r="193" spans="1:9" x14ac:dyDescent="0.2">
      <c r="A193" s="1" t="s">
        <v>52</v>
      </c>
      <c r="C193" s="1" t="s">
        <v>307</v>
      </c>
    </row>
    <row r="194" spans="1:9" x14ac:dyDescent="0.2">
      <c r="A194" s="1" t="s">
        <v>52</v>
      </c>
      <c r="C194" s="1" t="s">
        <v>563</v>
      </c>
      <c r="D194" s="1" t="s">
        <v>812</v>
      </c>
    </row>
    <row r="195" spans="1:9" x14ac:dyDescent="0.2">
      <c r="A195" s="1" t="s">
        <v>52</v>
      </c>
      <c r="C195" s="1" t="s">
        <v>564</v>
      </c>
      <c r="E195" s="1" t="s">
        <v>721</v>
      </c>
      <c r="F195" s="1" t="s">
        <v>722</v>
      </c>
      <c r="G195" s="1" t="s">
        <v>565</v>
      </c>
      <c r="H195" s="1" t="s">
        <v>566</v>
      </c>
      <c r="I195" s="1" t="s">
        <v>567</v>
      </c>
    </row>
    <row r="196" spans="1:9" x14ac:dyDescent="0.2">
      <c r="A196" s="1" t="s">
        <v>52</v>
      </c>
      <c r="C196" s="1" t="s">
        <v>308</v>
      </c>
      <c r="E196" s="1" t="s">
        <v>813</v>
      </c>
      <c r="F196" s="1" t="s">
        <v>723</v>
      </c>
      <c r="G196" s="1" t="s">
        <v>309</v>
      </c>
      <c r="H196" s="1" t="s">
        <v>310</v>
      </c>
      <c r="I196" s="1" t="s">
        <v>311</v>
      </c>
    </row>
    <row r="197" spans="1:9" x14ac:dyDescent="0.2">
      <c r="A197" s="1" t="s">
        <v>52</v>
      </c>
      <c r="C197" s="1" t="s">
        <v>312</v>
      </c>
      <c r="E197" s="1" t="s">
        <v>814</v>
      </c>
      <c r="F197" s="1" t="s">
        <v>724</v>
      </c>
      <c r="G197" s="1" t="s">
        <v>313</v>
      </c>
      <c r="H197" s="1" t="s">
        <v>314</v>
      </c>
      <c r="I197" s="1" t="s">
        <v>315</v>
      </c>
    </row>
    <row r="198" spans="1:9" x14ac:dyDescent="0.2">
      <c r="A198" s="1" t="s">
        <v>52</v>
      </c>
      <c r="C198" s="1" t="s">
        <v>568</v>
      </c>
      <c r="E198" s="1" t="s">
        <v>815</v>
      </c>
      <c r="F198" s="1" t="s">
        <v>725</v>
      </c>
      <c r="G198" s="1" t="s">
        <v>569</v>
      </c>
      <c r="H198" s="1" t="s">
        <v>570</v>
      </c>
      <c r="I198" s="1" t="s">
        <v>571</v>
      </c>
    </row>
    <row r="199" spans="1:9" x14ac:dyDescent="0.2">
      <c r="A199" s="1" t="s">
        <v>824</v>
      </c>
      <c r="C199" s="1" t="s">
        <v>308</v>
      </c>
    </row>
    <row r="200" spans="1:9" x14ac:dyDescent="0.2">
      <c r="A200" s="1" t="s">
        <v>52</v>
      </c>
      <c r="C200" s="1" t="s">
        <v>316</v>
      </c>
      <c r="E200" s="1" t="s">
        <v>572</v>
      </c>
      <c r="G200" s="1" t="s">
        <v>573</v>
      </c>
      <c r="H200" s="1" t="s">
        <v>574</v>
      </c>
      <c r="I200" s="1" t="s">
        <v>575</v>
      </c>
    </row>
    <row r="201" spans="1:9" x14ac:dyDescent="0.2">
      <c r="A201" s="1" t="s">
        <v>52</v>
      </c>
      <c r="C201" s="1" t="s">
        <v>576</v>
      </c>
    </row>
    <row r="202" spans="1:9" x14ac:dyDescent="0.2">
      <c r="A202" s="1" t="s">
        <v>52</v>
      </c>
      <c r="C202" s="1" t="s">
        <v>577</v>
      </c>
      <c r="D202" s="1" t="s">
        <v>816</v>
      </c>
    </row>
    <row r="203" spans="1:9" x14ac:dyDescent="0.2">
      <c r="A203" s="1" t="s">
        <v>52</v>
      </c>
      <c r="C203" s="1" t="s">
        <v>317</v>
      </c>
      <c r="E203" s="1" t="s">
        <v>726</v>
      </c>
      <c r="F203" s="1" t="s">
        <v>727</v>
      </c>
      <c r="G203" s="1" t="s">
        <v>578</v>
      </c>
      <c r="H203" s="1" t="s">
        <v>579</v>
      </c>
      <c r="I203" s="1" t="s">
        <v>580</v>
      </c>
    </row>
    <row r="204" spans="1:9" x14ac:dyDescent="0.2">
      <c r="A204" s="1" t="s">
        <v>52</v>
      </c>
      <c r="C204" s="1" t="s">
        <v>318</v>
      </c>
      <c r="E204" s="1" t="s">
        <v>817</v>
      </c>
      <c r="F204" s="1" t="s">
        <v>728</v>
      </c>
      <c r="G204" s="1" t="s">
        <v>581</v>
      </c>
      <c r="H204" s="1" t="s">
        <v>582</v>
      </c>
      <c r="I204" s="1" t="s">
        <v>583</v>
      </c>
    </row>
    <row r="205" spans="1:9" x14ac:dyDescent="0.2">
      <c r="A205" s="1" t="s">
        <v>824</v>
      </c>
      <c r="C205" s="1" t="s">
        <v>318</v>
      </c>
    </row>
    <row r="206" spans="1:9" x14ac:dyDescent="0.2">
      <c r="A206" s="1" t="s">
        <v>52</v>
      </c>
      <c r="C206" s="1" t="s">
        <v>584</v>
      </c>
      <c r="E206" s="1" t="s">
        <v>585</v>
      </c>
      <c r="G206" s="1" t="s">
        <v>586</v>
      </c>
      <c r="H206" s="1" t="s">
        <v>587</v>
      </c>
      <c r="I206" s="1" t="s">
        <v>588</v>
      </c>
    </row>
    <row r="207" spans="1:9" x14ac:dyDescent="0.2">
      <c r="A207" s="1" t="s">
        <v>52</v>
      </c>
      <c r="C207" s="1" t="s">
        <v>319</v>
      </c>
    </row>
    <row r="208" spans="1:9" x14ac:dyDescent="0.2">
      <c r="A208" s="1" t="s">
        <v>52</v>
      </c>
      <c r="C208" s="1" t="s">
        <v>589</v>
      </c>
      <c r="D208" s="1" t="s">
        <v>818</v>
      </c>
    </row>
    <row r="209" spans="1:9" x14ac:dyDescent="0.2">
      <c r="A209" s="1" t="s">
        <v>52</v>
      </c>
      <c r="C209" s="1" t="s">
        <v>320</v>
      </c>
      <c r="E209" s="1" t="s">
        <v>729</v>
      </c>
      <c r="F209" s="1" t="s">
        <v>730</v>
      </c>
      <c r="G209" s="1" t="s">
        <v>590</v>
      </c>
      <c r="H209" s="1" t="s">
        <v>591</v>
      </c>
      <c r="I209" s="1" t="s">
        <v>592</v>
      </c>
    </row>
    <row r="210" spans="1:9" x14ac:dyDescent="0.2">
      <c r="A210" s="1" t="s">
        <v>824</v>
      </c>
      <c r="C210" s="1" t="s">
        <v>321</v>
      </c>
    </row>
    <row r="211" spans="1:9" x14ac:dyDescent="0.2">
      <c r="A211" s="1" t="s">
        <v>52</v>
      </c>
      <c r="C211" s="1" t="s">
        <v>593</v>
      </c>
      <c r="E211" s="1" t="s">
        <v>594</v>
      </c>
      <c r="G211" s="1" t="s">
        <v>595</v>
      </c>
      <c r="H211" s="1" t="s">
        <v>596</v>
      </c>
      <c r="I211" s="1" t="s">
        <v>597</v>
      </c>
    </row>
    <row r="212" spans="1:9" x14ac:dyDescent="0.2">
      <c r="A212" s="1" t="s">
        <v>52</v>
      </c>
      <c r="C212" s="1" t="s">
        <v>323</v>
      </c>
    </row>
    <row r="213" spans="1:9" x14ac:dyDescent="0.2">
      <c r="A213" s="1" t="s">
        <v>52</v>
      </c>
      <c r="C213" s="1" t="s">
        <v>598</v>
      </c>
      <c r="D213" s="1" t="s">
        <v>819</v>
      </c>
    </row>
    <row r="214" spans="1:9" x14ac:dyDescent="0.2">
      <c r="A214" s="1" t="s">
        <v>52</v>
      </c>
      <c r="C214" s="1" t="s">
        <v>599</v>
      </c>
      <c r="E214" s="1" t="s">
        <v>731</v>
      </c>
      <c r="F214" s="1" t="s">
        <v>732</v>
      </c>
      <c r="G214" s="1" t="s">
        <v>600</v>
      </c>
      <c r="H214" s="1" t="s">
        <v>601</v>
      </c>
      <c r="I214" s="1" t="s">
        <v>602</v>
      </c>
    </row>
    <row r="215" spans="1:9" x14ac:dyDescent="0.2">
      <c r="A215" s="1" t="s">
        <v>824</v>
      </c>
      <c r="C215" s="1" t="s">
        <v>603</v>
      </c>
    </row>
    <row r="216" spans="1:9" x14ac:dyDescent="0.2">
      <c r="A216" s="1" t="s">
        <v>52</v>
      </c>
      <c r="C216" s="1" t="s">
        <v>604</v>
      </c>
      <c r="E216" s="1" t="s">
        <v>605</v>
      </c>
      <c r="G216" s="1" t="s">
        <v>606</v>
      </c>
      <c r="H216" s="1" t="s">
        <v>607</v>
      </c>
      <c r="I216" s="1" t="s">
        <v>608</v>
      </c>
    </row>
    <row r="217" spans="1:9" x14ac:dyDescent="0.2">
      <c r="A217" s="1" t="s">
        <v>52</v>
      </c>
      <c r="C217" s="1" t="s">
        <v>609</v>
      </c>
    </row>
    <row r="218" spans="1:9" x14ac:dyDescent="0.2">
      <c r="C218" s="1" t="s">
        <v>59</v>
      </c>
    </row>
    <row r="219" spans="1:9" x14ac:dyDescent="0.2">
      <c r="C219" s="1" t="s">
        <v>610</v>
      </c>
      <c r="E219" s="1" t="s">
        <v>21</v>
      </c>
      <c r="G219" s="1" t="s">
        <v>611</v>
      </c>
      <c r="H219" s="1" t="s">
        <v>612</v>
      </c>
      <c r="I219" s="1" t="s">
        <v>613</v>
      </c>
    </row>
    <row r="222" spans="1:9" x14ac:dyDescent="0.2">
      <c r="A222" s="1" t="s">
        <v>18</v>
      </c>
      <c r="D222" s="1" t="s">
        <v>825</v>
      </c>
    </row>
    <row r="223" spans="1:9" x14ac:dyDescent="0.2">
      <c r="A223" s="1" t="s">
        <v>18</v>
      </c>
      <c r="D223" s="1" t="s">
        <v>826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Read Me</vt:lpstr>
      <vt:lpstr>Options</vt:lpstr>
      <vt:lpstr>Vendor Detail by State</vt:lpstr>
      <vt:lpstr>PeriodFilter</vt:lpstr>
      <vt:lpstr>Options!Print_Area</vt:lpstr>
      <vt:lpstr>StateFilter</vt:lpstr>
      <vt:lpstr>VendorFilter</vt:lpstr>
      <vt:lpstr>YearFilter</vt:lpstr>
    </vt:vector>
  </TitlesOfParts>
  <Company>esopro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Vendor Detail by State</dc:title>
  <dc:subject>Jet Reports</dc:subject>
  <dc:creator>Sam McCurdy</dc:creator>
  <dc:description>List of vendors with balances and amounts paid, grouped by state.</dc:description>
  <cp:lastModifiedBy>Kim R. Duey</cp:lastModifiedBy>
  <cp:lastPrinted>2012-12-07T19:50:55Z</cp:lastPrinted>
  <dcterms:created xsi:type="dcterms:W3CDTF">2004-08-31T18:30:59Z</dcterms:created>
  <dcterms:modified xsi:type="dcterms:W3CDTF">2018-09-25T16:24:02Z</dcterms:modified>
  <cp:category>Accounts Payable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rill Button Active">
    <vt:bool>true</vt:bool>
  </property>
  <property fmtid="{D5CDD505-2E9C-101B-9397-08002B2CF9AE}" pid="3" name="Jet Reports Design Mode Active">
    <vt:bool>false</vt:bool>
  </property>
  <property fmtid="{D5CDD505-2E9C-101B-9397-08002B2CF9AE}" pid="4" name="Jet Reports Last Version Refresh">
    <vt:lpwstr>Version 7.0.1  Released 3/12/2007 3:30:53 PM</vt:lpwstr>
  </property>
  <property fmtid="{D5CDD505-2E9C-101B-9397-08002B2CF9AE}" pid="5" name="NeedsREVERT">
    <vt:lpwstr>FALSE</vt:lpwstr>
  </property>
  <property fmtid="{D5CDD505-2E9C-101B-9397-08002B2CF9AE}" pid="6" name="OriginalName">
    <vt:lpwstr>PM Vendor Detail by State.xls</vt:lpwstr>
  </property>
  <property fmtid="{D5CDD505-2E9C-101B-9397-08002B2CF9AE}" pid="7" name="Jet Reports Function Literals">
    <vt:lpwstr>,	;	,	{	}	[@[{0}]]	1033</vt:lpwstr>
  </property>
</Properties>
</file>