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60" windowWidth="28800" windowHeight="11940"/>
  </bookViews>
  <sheets>
    <sheet name="Read Me" sheetId="209" r:id="rId1"/>
    <sheet name="Options" sheetId="1" state="hidden" r:id="rId2"/>
    <sheet name="Report" sheetId="2" r:id="rId3"/>
    <sheet name="Sheet2" sheetId="210" state="veryHidden" r:id="rId4"/>
    <sheet name="Sheet3" sheetId="211" state="veryHidden" r:id="rId5"/>
    <sheet name="Sheet4" sheetId="212" state="veryHidden" r:id="rId6"/>
    <sheet name="Sheet5" sheetId="213" state="veryHidden" r:id="rId7"/>
    <sheet name="Sheet1" sheetId="218" state="veryHidden" r:id="rId8"/>
    <sheet name="Sheet6" sheetId="219" state="veryHidden" r:id="rId9"/>
  </sheets>
  <definedNames>
    <definedName name="chkdte">Options!$C$4</definedName>
    <definedName name="empclss">Options!$C$5</definedName>
    <definedName name="empID">Options!$C$6</definedName>
    <definedName name="PACde">Options!$C$7</definedName>
    <definedName name="_xlnm.Print_Area" localSheetId="2">Report!$J$3:$S$676</definedName>
    <definedName name="StCd">Options!$C$8</definedName>
  </definedNames>
  <calcPr calcId="162913"/>
</workbook>
</file>

<file path=xl/calcChain.xml><?xml version="1.0" encoding="utf-8"?>
<calcChain xmlns="http://schemas.openxmlformats.org/spreadsheetml/2006/main">
  <c r="J13" i="2" l="1"/>
  <c r="K14" i="2"/>
  <c r="L14" i="2"/>
  <c r="M14" i="2"/>
  <c r="N15" i="2"/>
  <c r="I16" i="2"/>
  <c r="Q16" i="2"/>
  <c r="I17" i="2"/>
  <c r="Q17" i="2"/>
  <c r="I18" i="2"/>
  <c r="Q18" i="2"/>
  <c r="R18" i="2"/>
  <c r="I19" i="2"/>
  <c r="Q19" i="2"/>
  <c r="I20" i="2"/>
  <c r="Q20" i="2"/>
  <c r="I21" i="2"/>
  <c r="Q21" i="2"/>
  <c r="I22" i="2"/>
  <c r="Q22" i="2"/>
  <c r="I23" i="2"/>
  <c r="Q23" i="2"/>
  <c r="R23" i="2"/>
  <c r="S25" i="2"/>
  <c r="S37" i="2" s="1"/>
  <c r="N26" i="2"/>
  <c r="I27" i="2"/>
  <c r="Q27" i="2"/>
  <c r="I28" i="2"/>
  <c r="Q28" i="2"/>
  <c r="I29" i="2"/>
  <c r="Q29" i="2"/>
  <c r="I30" i="2"/>
  <c r="Q30" i="2"/>
  <c r="I31" i="2"/>
  <c r="Q31" i="2"/>
  <c r="I32" i="2"/>
  <c r="Q32" i="2"/>
  <c r="I33" i="2"/>
  <c r="Q33" i="2"/>
  <c r="R33" i="2"/>
  <c r="S35" i="2"/>
  <c r="K38" i="2"/>
  <c r="L38" i="2"/>
  <c r="M38" i="2"/>
  <c r="N39" i="2"/>
  <c r="I40" i="2"/>
  <c r="Q40" i="2"/>
  <c r="I41" i="2"/>
  <c r="Q41" i="2"/>
  <c r="I42" i="2"/>
  <c r="Q42" i="2"/>
  <c r="I43" i="2"/>
  <c r="Q43" i="2"/>
  <c r="R43" i="2"/>
  <c r="S45" i="2"/>
  <c r="N46" i="2"/>
  <c r="I47" i="2"/>
  <c r="Q47" i="2"/>
  <c r="I48" i="2"/>
  <c r="Q48" i="2"/>
  <c r="I49" i="2"/>
  <c r="Q49" i="2"/>
  <c r="I50" i="2"/>
  <c r="Q50" i="2"/>
  <c r="R50" i="2"/>
  <c r="S52" i="2"/>
  <c r="S54" i="2"/>
  <c r="K55" i="2"/>
  <c r="L55" i="2"/>
  <c r="M55" i="2"/>
  <c r="N56" i="2"/>
  <c r="I57" i="2"/>
  <c r="Q57" i="2"/>
  <c r="I58" i="2"/>
  <c r="Q58" i="2"/>
  <c r="I59" i="2"/>
  <c r="Q59" i="2"/>
  <c r="I60" i="2"/>
  <c r="Q60" i="2"/>
  <c r="I61" i="2"/>
  <c r="Q61" i="2"/>
  <c r="I62" i="2"/>
  <c r="Q62" i="2"/>
  <c r="I63" i="2"/>
  <c r="Q63" i="2"/>
  <c r="R63" i="2"/>
  <c r="S65" i="2"/>
  <c r="N66" i="2"/>
  <c r="I67" i="2"/>
  <c r="Q67" i="2"/>
  <c r="I68" i="2"/>
  <c r="Q68" i="2"/>
  <c r="I69" i="2"/>
  <c r="Q69" i="2"/>
  <c r="I70" i="2"/>
  <c r="Q70" i="2"/>
  <c r="I71" i="2"/>
  <c r="Q71" i="2"/>
  <c r="I72" i="2"/>
  <c r="Q72" i="2"/>
  <c r="I73" i="2"/>
  <c r="Q73" i="2"/>
  <c r="R73" i="2"/>
  <c r="S75" i="2"/>
  <c r="S77" i="2"/>
  <c r="K78" i="2"/>
  <c r="L78" i="2"/>
  <c r="M78" i="2"/>
  <c r="N79" i="2"/>
  <c r="I80" i="2"/>
  <c r="Q80" i="2"/>
  <c r="I81" i="2"/>
  <c r="Q81" i="2"/>
  <c r="I82" i="2"/>
  <c r="Q82" i="2"/>
  <c r="I83" i="2"/>
  <c r="Q83" i="2"/>
  <c r="I84" i="2"/>
  <c r="Q84" i="2"/>
  <c r="I85" i="2"/>
  <c r="Q85" i="2"/>
  <c r="R85" i="2"/>
  <c r="S87" i="2"/>
  <c r="S98" i="2" s="1"/>
  <c r="N88" i="2"/>
  <c r="I89" i="2"/>
  <c r="Q89" i="2"/>
  <c r="I90" i="2"/>
  <c r="Q90" i="2"/>
  <c r="I91" i="2"/>
  <c r="Q91" i="2"/>
  <c r="I92" i="2"/>
  <c r="Q92" i="2"/>
  <c r="I93" i="2"/>
  <c r="Q93" i="2"/>
  <c r="I94" i="2"/>
  <c r="Q94" i="2"/>
  <c r="R94" i="2"/>
  <c r="S96" i="2"/>
  <c r="J102" i="2"/>
  <c r="K103" i="2"/>
  <c r="L103" i="2"/>
  <c r="M103" i="2"/>
  <c r="N104" i="2"/>
  <c r="I105" i="2"/>
  <c r="Q105" i="2"/>
  <c r="I106" i="2"/>
  <c r="Q106" i="2"/>
  <c r="I107" i="2"/>
  <c r="Q107" i="2"/>
  <c r="I108" i="2"/>
  <c r="Q108" i="2"/>
  <c r="I109" i="2"/>
  <c r="Q109" i="2"/>
  <c r="I110" i="2"/>
  <c r="Q110" i="2"/>
  <c r="R110" i="2"/>
  <c r="S112" i="2"/>
  <c r="S123" i="2" s="1"/>
  <c r="N113" i="2"/>
  <c r="I114" i="2"/>
  <c r="Q114" i="2"/>
  <c r="I115" i="2"/>
  <c r="Q115" i="2"/>
  <c r="I116" i="2"/>
  <c r="Q116" i="2"/>
  <c r="I117" i="2"/>
  <c r="Q117" i="2"/>
  <c r="I118" i="2"/>
  <c r="Q118" i="2"/>
  <c r="I119" i="2"/>
  <c r="Q119" i="2"/>
  <c r="R119" i="2"/>
  <c r="S121" i="2"/>
  <c r="K124" i="2"/>
  <c r="L124" i="2"/>
  <c r="M124" i="2"/>
  <c r="N125" i="2"/>
  <c r="I126" i="2"/>
  <c r="Q126" i="2"/>
  <c r="I127" i="2"/>
  <c r="Q127" i="2"/>
  <c r="I128" i="2"/>
  <c r="Q128" i="2"/>
  <c r="I129" i="2"/>
  <c r="Q129" i="2"/>
  <c r="R129" i="2"/>
  <c r="S131" i="2"/>
  <c r="N132" i="2"/>
  <c r="I133" i="2"/>
  <c r="Q133" i="2"/>
  <c r="I134" i="2"/>
  <c r="Q134" i="2"/>
  <c r="I135" i="2"/>
  <c r="Q135" i="2"/>
  <c r="I136" i="2"/>
  <c r="Q136" i="2"/>
  <c r="R136" i="2"/>
  <c r="S138" i="2"/>
  <c r="N139" i="2"/>
  <c r="I140" i="2"/>
  <c r="Q140" i="2"/>
  <c r="I141" i="2"/>
  <c r="Q141" i="2"/>
  <c r="R141" i="2"/>
  <c r="S143" i="2"/>
  <c r="S145" i="2"/>
  <c r="K146" i="2"/>
  <c r="L146" i="2"/>
  <c r="M146" i="2"/>
  <c r="N147" i="2"/>
  <c r="I148" i="2"/>
  <c r="Q148" i="2"/>
  <c r="I149" i="2"/>
  <c r="Q149" i="2"/>
  <c r="I150" i="2"/>
  <c r="Q150" i="2"/>
  <c r="I151" i="2"/>
  <c r="Q151" i="2"/>
  <c r="R151" i="2"/>
  <c r="S153" i="2"/>
  <c r="S162" i="2" s="1"/>
  <c r="N154" i="2"/>
  <c r="I155" i="2"/>
  <c r="Q155" i="2"/>
  <c r="I156" i="2"/>
  <c r="Q156" i="2"/>
  <c r="I157" i="2"/>
  <c r="Q157" i="2"/>
  <c r="I158" i="2"/>
  <c r="Q158" i="2"/>
  <c r="R158" i="2"/>
  <c r="S160" i="2"/>
  <c r="K163" i="2"/>
  <c r="L163" i="2"/>
  <c r="M163" i="2"/>
  <c r="N164" i="2"/>
  <c r="I165" i="2"/>
  <c r="Q165" i="2"/>
  <c r="I166" i="2"/>
  <c r="Q166" i="2"/>
  <c r="I167" i="2"/>
  <c r="Q167" i="2"/>
  <c r="I168" i="2"/>
  <c r="Q168" i="2"/>
  <c r="I169" i="2"/>
  <c r="Q169" i="2"/>
  <c r="I170" i="2"/>
  <c r="Q170" i="2"/>
  <c r="I171" i="2"/>
  <c r="Q171" i="2"/>
  <c r="R171" i="2"/>
  <c r="S173" i="2"/>
  <c r="S185" i="2" s="1"/>
  <c r="N174" i="2"/>
  <c r="I175" i="2"/>
  <c r="Q175" i="2"/>
  <c r="I176" i="2"/>
  <c r="Q176" i="2"/>
  <c r="I177" i="2"/>
  <c r="Q177" i="2"/>
  <c r="I178" i="2"/>
  <c r="Q178" i="2"/>
  <c r="I179" i="2"/>
  <c r="Q179" i="2"/>
  <c r="I180" i="2"/>
  <c r="Q180" i="2"/>
  <c r="I181" i="2"/>
  <c r="Q181" i="2"/>
  <c r="R181" i="2"/>
  <c r="S183" i="2"/>
  <c r="J189" i="2"/>
  <c r="K190" i="2"/>
  <c r="L190" i="2"/>
  <c r="M190" i="2"/>
  <c r="N191" i="2"/>
  <c r="I192" i="2"/>
  <c r="Q192" i="2"/>
  <c r="I193" i="2"/>
  <c r="Q193" i="2"/>
  <c r="I194" i="2"/>
  <c r="Q194" i="2"/>
  <c r="I195" i="2"/>
  <c r="Q195" i="2"/>
  <c r="R195" i="2"/>
  <c r="S197" i="2"/>
  <c r="S212" i="2" s="1"/>
  <c r="S336" i="2" s="1"/>
  <c r="N198" i="2"/>
  <c r="I199" i="2"/>
  <c r="Q199" i="2"/>
  <c r="I200" i="2"/>
  <c r="Q200" i="2"/>
  <c r="I201" i="2"/>
  <c r="Q201" i="2"/>
  <c r="I202" i="2"/>
  <c r="Q202" i="2"/>
  <c r="R202" i="2"/>
  <c r="I203" i="2"/>
  <c r="Q203" i="2"/>
  <c r="R203" i="2"/>
  <c r="S205" i="2"/>
  <c r="N206" i="2"/>
  <c r="I207" i="2"/>
  <c r="Q207" i="2"/>
  <c r="I208" i="2"/>
  <c r="Q208" i="2"/>
  <c r="R208" i="2"/>
  <c r="S210" i="2"/>
  <c r="K213" i="2"/>
  <c r="L213" i="2"/>
  <c r="M213" i="2"/>
  <c r="N214" i="2"/>
  <c r="I215" i="2"/>
  <c r="Q215" i="2"/>
  <c r="I216" i="2"/>
  <c r="Q216" i="2"/>
  <c r="I217" i="2"/>
  <c r="Q217" i="2"/>
  <c r="I218" i="2"/>
  <c r="Q218" i="2"/>
  <c r="I219" i="2"/>
  <c r="Q219" i="2"/>
  <c r="I220" i="2"/>
  <c r="Q220" i="2"/>
  <c r="R220" i="2"/>
  <c r="S222" i="2"/>
  <c r="N223" i="2"/>
  <c r="I224" i="2"/>
  <c r="Q224" i="2"/>
  <c r="I225" i="2"/>
  <c r="Q225" i="2"/>
  <c r="I226" i="2"/>
  <c r="Q226" i="2"/>
  <c r="I227" i="2"/>
  <c r="Q227" i="2"/>
  <c r="I228" i="2"/>
  <c r="Q228" i="2"/>
  <c r="I229" i="2"/>
  <c r="Q229" i="2"/>
  <c r="R229" i="2"/>
  <c r="I230" i="2"/>
  <c r="Q230" i="2"/>
  <c r="R230" i="2"/>
  <c r="S232" i="2"/>
  <c r="N233" i="2"/>
  <c r="I234" i="2"/>
  <c r="Q234" i="2"/>
  <c r="I235" i="2"/>
  <c r="Q235" i="2"/>
  <c r="R235" i="2"/>
  <c r="S237" i="2"/>
  <c r="S239" i="2"/>
  <c r="K240" i="2"/>
  <c r="L240" i="2"/>
  <c r="M240" i="2"/>
  <c r="N241" i="2"/>
  <c r="I242" i="2"/>
  <c r="Q242" i="2"/>
  <c r="I243" i="2"/>
  <c r="Q243" i="2"/>
  <c r="I244" i="2"/>
  <c r="Q244" i="2"/>
  <c r="I245" i="2"/>
  <c r="Q245" i="2"/>
  <c r="I246" i="2"/>
  <c r="Q246" i="2"/>
  <c r="I247" i="2"/>
  <c r="Q247" i="2"/>
  <c r="I248" i="2"/>
  <c r="Q248" i="2"/>
  <c r="R248" i="2"/>
  <c r="S250" i="2"/>
  <c r="N251" i="2"/>
  <c r="I252" i="2"/>
  <c r="Q252" i="2"/>
  <c r="I253" i="2"/>
  <c r="Q253" i="2"/>
  <c r="I254" i="2"/>
  <c r="Q254" i="2"/>
  <c r="I255" i="2"/>
  <c r="Q255" i="2"/>
  <c r="I256" i="2"/>
  <c r="Q256" i="2"/>
  <c r="I257" i="2"/>
  <c r="Q257" i="2"/>
  <c r="I258" i="2"/>
  <c r="Q258" i="2"/>
  <c r="R258" i="2"/>
  <c r="S260" i="2"/>
  <c r="S262" i="2"/>
  <c r="K263" i="2"/>
  <c r="L263" i="2"/>
  <c r="M263" i="2"/>
  <c r="N264" i="2"/>
  <c r="I265" i="2"/>
  <c r="Q265" i="2"/>
  <c r="I266" i="2"/>
  <c r="Q266" i="2"/>
  <c r="I267" i="2"/>
  <c r="Q267" i="2"/>
  <c r="I268" i="2"/>
  <c r="Q268" i="2"/>
  <c r="I269" i="2"/>
  <c r="Q269" i="2"/>
  <c r="I270" i="2"/>
  <c r="Q270" i="2"/>
  <c r="R270" i="2"/>
  <c r="S272" i="2"/>
  <c r="N273" i="2"/>
  <c r="I274" i="2"/>
  <c r="Q274" i="2"/>
  <c r="I275" i="2"/>
  <c r="Q275" i="2"/>
  <c r="I276" i="2"/>
  <c r="Q276" i="2"/>
  <c r="I277" i="2"/>
  <c r="Q277" i="2"/>
  <c r="I278" i="2"/>
  <c r="Q278" i="2"/>
  <c r="I279" i="2"/>
  <c r="Q279" i="2"/>
  <c r="R279" i="2"/>
  <c r="I280" i="2"/>
  <c r="Q280" i="2"/>
  <c r="R280" i="2"/>
  <c r="S282" i="2"/>
  <c r="S289" i="2" s="1"/>
  <c r="N283" i="2"/>
  <c r="I284" i="2"/>
  <c r="Q284" i="2"/>
  <c r="I285" i="2"/>
  <c r="Q285" i="2"/>
  <c r="R285" i="2"/>
  <c r="S287" i="2"/>
  <c r="K290" i="2"/>
  <c r="L290" i="2"/>
  <c r="M290" i="2"/>
  <c r="N291" i="2"/>
  <c r="I292" i="2"/>
  <c r="Q292" i="2"/>
  <c r="I293" i="2"/>
  <c r="Q293" i="2"/>
  <c r="I294" i="2"/>
  <c r="Q294" i="2"/>
  <c r="I295" i="2"/>
  <c r="Q295" i="2"/>
  <c r="R295" i="2"/>
  <c r="S297" i="2"/>
  <c r="S312" i="2" s="1"/>
  <c r="N298" i="2"/>
  <c r="I299" i="2"/>
  <c r="Q299" i="2"/>
  <c r="I300" i="2"/>
  <c r="Q300" i="2"/>
  <c r="I301" i="2"/>
  <c r="Q301" i="2"/>
  <c r="I302" i="2"/>
  <c r="Q302" i="2"/>
  <c r="R302" i="2"/>
  <c r="I303" i="2"/>
  <c r="Q303" i="2"/>
  <c r="R303" i="2"/>
  <c r="S305" i="2"/>
  <c r="N306" i="2"/>
  <c r="I307" i="2"/>
  <c r="Q307" i="2"/>
  <c r="I308" i="2"/>
  <c r="Q308" i="2"/>
  <c r="R308" i="2"/>
  <c r="S310" i="2"/>
  <c r="K313" i="2"/>
  <c r="L313" i="2"/>
  <c r="M313" i="2"/>
  <c r="N314" i="2"/>
  <c r="I315" i="2"/>
  <c r="Q315" i="2"/>
  <c r="I316" i="2"/>
  <c r="Q316" i="2"/>
  <c r="I317" i="2"/>
  <c r="Q317" i="2"/>
  <c r="I318" i="2"/>
  <c r="Q318" i="2"/>
  <c r="R318" i="2"/>
  <c r="S320" i="2"/>
  <c r="N321" i="2"/>
  <c r="I322" i="2"/>
  <c r="Q322" i="2"/>
  <c r="I323" i="2"/>
  <c r="Q323" i="2"/>
  <c r="I324" i="2"/>
  <c r="Q324" i="2"/>
  <c r="I325" i="2"/>
  <c r="Q325" i="2"/>
  <c r="R325" i="2"/>
  <c r="S327" i="2"/>
  <c r="N328" i="2"/>
  <c r="I329" i="2"/>
  <c r="Q329" i="2"/>
  <c r="I330" i="2"/>
  <c r="Q330" i="2"/>
  <c r="R330" i="2"/>
  <c r="S332" i="2"/>
  <c r="S334" i="2"/>
  <c r="J338" i="2"/>
  <c r="K339" i="2"/>
  <c r="L339" i="2"/>
  <c r="M339" i="2"/>
  <c r="N340" i="2"/>
  <c r="I341" i="2"/>
  <c r="Q341" i="2"/>
  <c r="I342" i="2"/>
  <c r="Q342" i="2"/>
  <c r="I343" i="2"/>
  <c r="Q343" i="2"/>
  <c r="R343" i="2"/>
  <c r="I344" i="2"/>
  <c r="Q344" i="2"/>
  <c r="I345" i="2"/>
  <c r="Q345" i="2"/>
  <c r="I346" i="2"/>
  <c r="Q346" i="2"/>
  <c r="I347" i="2"/>
  <c r="Q347" i="2"/>
  <c r="R347" i="2"/>
  <c r="S349" i="2"/>
  <c r="N350" i="2"/>
  <c r="I351" i="2"/>
  <c r="Q351" i="2"/>
  <c r="I352" i="2"/>
  <c r="Q352" i="2"/>
  <c r="I353" i="2"/>
  <c r="Q353" i="2"/>
  <c r="I354" i="2"/>
  <c r="Q354" i="2"/>
  <c r="I355" i="2"/>
  <c r="Q355" i="2"/>
  <c r="I356" i="2"/>
  <c r="Q356" i="2"/>
  <c r="R356" i="2"/>
  <c r="S358" i="2"/>
  <c r="S360" i="2"/>
  <c r="K361" i="2"/>
  <c r="L361" i="2"/>
  <c r="M361" i="2"/>
  <c r="N362" i="2"/>
  <c r="I363" i="2"/>
  <c r="Q363" i="2"/>
  <c r="I364" i="2"/>
  <c r="Q364" i="2"/>
  <c r="I365" i="2"/>
  <c r="Q365" i="2"/>
  <c r="R365" i="2"/>
  <c r="I366" i="2"/>
  <c r="Q366" i="2"/>
  <c r="I367" i="2"/>
  <c r="Q367" i="2"/>
  <c r="I368" i="2"/>
  <c r="Q368" i="2"/>
  <c r="I369" i="2"/>
  <c r="Q369" i="2"/>
  <c r="R369" i="2"/>
  <c r="S371" i="2"/>
  <c r="N372" i="2"/>
  <c r="I373" i="2"/>
  <c r="Q373" i="2"/>
  <c r="I374" i="2"/>
  <c r="Q374" i="2"/>
  <c r="I375" i="2"/>
  <c r="Q375" i="2"/>
  <c r="I376" i="2"/>
  <c r="Q376" i="2"/>
  <c r="I377" i="2"/>
  <c r="Q377" i="2"/>
  <c r="I378" i="2"/>
  <c r="Q378" i="2"/>
  <c r="R378" i="2"/>
  <c r="S380" i="2"/>
  <c r="N381" i="2"/>
  <c r="I382" i="2"/>
  <c r="Q382" i="2"/>
  <c r="I383" i="2"/>
  <c r="Q383" i="2"/>
  <c r="R383" i="2"/>
  <c r="S385" i="2"/>
  <c r="S387" i="2" s="1"/>
  <c r="K388" i="2"/>
  <c r="L388" i="2"/>
  <c r="M388" i="2"/>
  <c r="N389" i="2"/>
  <c r="I390" i="2"/>
  <c r="Q390" i="2"/>
  <c r="I391" i="2"/>
  <c r="Q391" i="2"/>
  <c r="I392" i="2"/>
  <c r="Q392" i="2"/>
  <c r="R392" i="2"/>
  <c r="I393" i="2"/>
  <c r="Q393" i="2"/>
  <c r="I394" i="2"/>
  <c r="Q394" i="2"/>
  <c r="I395" i="2"/>
  <c r="Q395" i="2"/>
  <c r="I396" i="2"/>
  <c r="Q396" i="2"/>
  <c r="R396" i="2"/>
  <c r="S398" i="2"/>
  <c r="N399" i="2"/>
  <c r="I400" i="2"/>
  <c r="Q400" i="2"/>
  <c r="I401" i="2"/>
  <c r="Q401" i="2"/>
  <c r="I402" i="2"/>
  <c r="Q402" i="2"/>
  <c r="I403" i="2"/>
  <c r="Q403" i="2"/>
  <c r="I404" i="2"/>
  <c r="Q404" i="2"/>
  <c r="I405" i="2"/>
  <c r="Q405" i="2"/>
  <c r="R405" i="2"/>
  <c r="S407" i="2"/>
  <c r="K410" i="2"/>
  <c r="L410" i="2"/>
  <c r="M410" i="2"/>
  <c r="N411" i="2"/>
  <c r="I412" i="2"/>
  <c r="Q412" i="2"/>
  <c r="I413" i="2"/>
  <c r="Q413" i="2"/>
  <c r="I414" i="2"/>
  <c r="Q414" i="2"/>
  <c r="I415" i="2"/>
  <c r="Q415" i="2"/>
  <c r="I416" i="2"/>
  <c r="Q416" i="2"/>
  <c r="I417" i="2"/>
  <c r="Q417" i="2"/>
  <c r="R417" i="2"/>
  <c r="S419" i="2"/>
  <c r="N420" i="2"/>
  <c r="I421" i="2"/>
  <c r="Q421" i="2"/>
  <c r="I422" i="2"/>
  <c r="Q422" i="2"/>
  <c r="I423" i="2"/>
  <c r="Q423" i="2"/>
  <c r="I424" i="2"/>
  <c r="Q424" i="2"/>
  <c r="I425" i="2"/>
  <c r="Q425" i="2"/>
  <c r="I426" i="2"/>
  <c r="Q426" i="2"/>
  <c r="R426" i="2"/>
  <c r="S428" i="2"/>
  <c r="N429" i="2"/>
  <c r="I430" i="2"/>
  <c r="Q430" i="2"/>
  <c r="I431" i="2"/>
  <c r="Q431" i="2"/>
  <c r="R431" i="2"/>
  <c r="S433" i="2"/>
  <c r="K436" i="2"/>
  <c r="L436" i="2"/>
  <c r="M436" i="2"/>
  <c r="N437" i="2"/>
  <c r="I438" i="2"/>
  <c r="Q438" i="2"/>
  <c r="I439" i="2"/>
  <c r="Q439" i="2"/>
  <c r="I440" i="2"/>
  <c r="Q440" i="2"/>
  <c r="I441" i="2"/>
  <c r="Q441" i="2"/>
  <c r="I442" i="2"/>
  <c r="Q442" i="2"/>
  <c r="I443" i="2"/>
  <c r="Q443" i="2"/>
  <c r="I444" i="2"/>
  <c r="Q444" i="2"/>
  <c r="R444" i="2"/>
  <c r="S446" i="2"/>
  <c r="S458" i="2" s="1"/>
  <c r="N447" i="2"/>
  <c r="I448" i="2"/>
  <c r="Q448" i="2"/>
  <c r="I449" i="2"/>
  <c r="Q449" i="2"/>
  <c r="I450" i="2"/>
  <c r="Q450" i="2"/>
  <c r="I451" i="2"/>
  <c r="Q451" i="2"/>
  <c r="I452" i="2"/>
  <c r="Q452" i="2"/>
  <c r="I453" i="2"/>
  <c r="Q453" i="2"/>
  <c r="I454" i="2"/>
  <c r="Q454" i="2"/>
  <c r="R454" i="2"/>
  <c r="S456" i="2"/>
  <c r="K459" i="2"/>
  <c r="L459" i="2"/>
  <c r="M459" i="2"/>
  <c r="N460" i="2"/>
  <c r="I461" i="2"/>
  <c r="Q461" i="2"/>
  <c r="I462" i="2"/>
  <c r="Q462" i="2"/>
  <c r="I463" i="2"/>
  <c r="Q463" i="2"/>
  <c r="I464" i="2"/>
  <c r="Q464" i="2"/>
  <c r="I465" i="2"/>
  <c r="Q465" i="2"/>
  <c r="I466" i="2"/>
  <c r="Q466" i="2"/>
  <c r="R466" i="2"/>
  <c r="S468" i="2"/>
  <c r="N469" i="2"/>
  <c r="I470" i="2"/>
  <c r="Q470" i="2"/>
  <c r="I471" i="2"/>
  <c r="Q471" i="2"/>
  <c r="I472" i="2"/>
  <c r="Q472" i="2"/>
  <c r="I473" i="2"/>
  <c r="Q473" i="2"/>
  <c r="I474" i="2"/>
  <c r="Q474" i="2"/>
  <c r="I475" i="2"/>
  <c r="Q475" i="2"/>
  <c r="R475" i="2"/>
  <c r="S477" i="2"/>
  <c r="S479" i="2" s="1"/>
  <c r="K480" i="2"/>
  <c r="L480" i="2"/>
  <c r="M480" i="2"/>
  <c r="N481" i="2"/>
  <c r="I482" i="2"/>
  <c r="Q482" i="2"/>
  <c r="I483" i="2"/>
  <c r="Q483" i="2"/>
  <c r="I484" i="2"/>
  <c r="Q484" i="2"/>
  <c r="I485" i="2"/>
  <c r="Q485" i="2"/>
  <c r="I486" i="2"/>
  <c r="Q486" i="2"/>
  <c r="I487" i="2"/>
  <c r="Q487" i="2"/>
  <c r="I488" i="2"/>
  <c r="Q488" i="2"/>
  <c r="R488" i="2"/>
  <c r="S490" i="2"/>
  <c r="N491" i="2"/>
  <c r="I492" i="2"/>
  <c r="Q492" i="2"/>
  <c r="I493" i="2"/>
  <c r="Q493" i="2"/>
  <c r="I494" i="2"/>
  <c r="Q494" i="2"/>
  <c r="I495" i="2"/>
  <c r="Q495" i="2"/>
  <c r="I496" i="2"/>
  <c r="Q496" i="2"/>
  <c r="I497" i="2"/>
  <c r="Q497" i="2"/>
  <c r="I498" i="2"/>
  <c r="Q498" i="2"/>
  <c r="R498" i="2"/>
  <c r="S500" i="2"/>
  <c r="S502" i="2" s="1"/>
  <c r="K503" i="2"/>
  <c r="L503" i="2"/>
  <c r="M503" i="2"/>
  <c r="N504" i="2"/>
  <c r="I505" i="2"/>
  <c r="Q505" i="2"/>
  <c r="I506" i="2"/>
  <c r="Q506" i="2"/>
  <c r="I507" i="2"/>
  <c r="Q507" i="2"/>
  <c r="I508" i="2"/>
  <c r="Q508" i="2"/>
  <c r="I509" i="2"/>
  <c r="Q509" i="2"/>
  <c r="I510" i="2"/>
  <c r="Q510" i="2"/>
  <c r="R510" i="2"/>
  <c r="S512" i="2"/>
  <c r="N513" i="2"/>
  <c r="I514" i="2"/>
  <c r="Q514" i="2"/>
  <c r="I515" i="2"/>
  <c r="Q515" i="2"/>
  <c r="I516" i="2"/>
  <c r="Q516" i="2"/>
  <c r="I517" i="2"/>
  <c r="Q517" i="2"/>
  <c r="I518" i="2"/>
  <c r="Q518" i="2"/>
  <c r="I519" i="2"/>
  <c r="Q519" i="2"/>
  <c r="R519" i="2"/>
  <c r="S521" i="2"/>
  <c r="N522" i="2"/>
  <c r="I523" i="2"/>
  <c r="Q523" i="2"/>
  <c r="I524" i="2"/>
  <c r="Q524" i="2"/>
  <c r="R524" i="2"/>
  <c r="S526" i="2"/>
  <c r="S528" i="2" s="1"/>
  <c r="K529" i="2"/>
  <c r="L529" i="2"/>
  <c r="M529" i="2"/>
  <c r="N530" i="2"/>
  <c r="I531" i="2"/>
  <c r="Q531" i="2"/>
  <c r="I532" i="2"/>
  <c r="Q532" i="2"/>
  <c r="I533" i="2"/>
  <c r="Q533" i="2"/>
  <c r="I534" i="2"/>
  <c r="Q534" i="2"/>
  <c r="I535" i="2"/>
  <c r="Q535" i="2"/>
  <c r="I536" i="2"/>
  <c r="Q536" i="2"/>
  <c r="R536" i="2"/>
  <c r="S538" i="2"/>
  <c r="N539" i="2"/>
  <c r="I540" i="2"/>
  <c r="Q540" i="2"/>
  <c r="I541" i="2"/>
  <c r="Q541" i="2"/>
  <c r="I542" i="2"/>
  <c r="Q542" i="2"/>
  <c r="I543" i="2"/>
  <c r="Q543" i="2"/>
  <c r="I544" i="2"/>
  <c r="Q544" i="2"/>
  <c r="I545" i="2"/>
  <c r="Q545" i="2"/>
  <c r="R545" i="2"/>
  <c r="S547" i="2"/>
  <c r="S549" i="2" s="1"/>
  <c r="K550" i="2"/>
  <c r="L550" i="2"/>
  <c r="M550" i="2"/>
  <c r="N551" i="2"/>
  <c r="I552" i="2"/>
  <c r="Q552" i="2"/>
  <c r="I553" i="2"/>
  <c r="Q553" i="2"/>
  <c r="I554" i="2"/>
  <c r="Q554" i="2"/>
  <c r="I555" i="2"/>
  <c r="Q555" i="2"/>
  <c r="I556" i="2"/>
  <c r="Q556" i="2"/>
  <c r="I557" i="2"/>
  <c r="Q557" i="2"/>
  <c r="I558" i="2"/>
  <c r="Q558" i="2"/>
  <c r="R558" i="2"/>
  <c r="S560" i="2"/>
  <c r="N561" i="2"/>
  <c r="I562" i="2"/>
  <c r="Q562" i="2"/>
  <c r="I563" i="2"/>
  <c r="Q563" i="2"/>
  <c r="I564" i="2"/>
  <c r="Q564" i="2"/>
  <c r="I565" i="2"/>
  <c r="Q565" i="2"/>
  <c r="I566" i="2"/>
  <c r="Q566" i="2"/>
  <c r="I567" i="2"/>
  <c r="Q567" i="2"/>
  <c r="I568" i="2"/>
  <c r="Q568" i="2"/>
  <c r="R568" i="2"/>
  <c r="S570" i="2"/>
  <c r="S577" i="2" s="1"/>
  <c r="N571" i="2"/>
  <c r="I572" i="2"/>
  <c r="Q572" i="2"/>
  <c r="I573" i="2"/>
  <c r="Q573" i="2"/>
  <c r="R573" i="2"/>
  <c r="S575" i="2"/>
  <c r="J581" i="2"/>
  <c r="K582" i="2"/>
  <c r="L582" i="2"/>
  <c r="M582" i="2"/>
  <c r="N583" i="2"/>
  <c r="I584" i="2"/>
  <c r="Q584" i="2"/>
  <c r="R584" i="2"/>
  <c r="I585" i="2"/>
  <c r="Q585" i="2"/>
  <c r="I586" i="2"/>
  <c r="Q586" i="2"/>
  <c r="I587" i="2"/>
  <c r="Q587" i="2"/>
  <c r="I588" i="2"/>
  <c r="Q588" i="2"/>
  <c r="I589" i="2"/>
  <c r="Q589" i="2"/>
  <c r="R589" i="2"/>
  <c r="S591" i="2"/>
  <c r="N592" i="2"/>
  <c r="I593" i="2"/>
  <c r="Q593" i="2"/>
  <c r="I594" i="2"/>
  <c r="Q594" i="2"/>
  <c r="I595" i="2"/>
  <c r="Q595" i="2"/>
  <c r="I596" i="2"/>
  <c r="Q596" i="2"/>
  <c r="I597" i="2"/>
  <c r="Q597" i="2"/>
  <c r="R597" i="2"/>
  <c r="S599" i="2"/>
  <c r="S606" i="2" s="1"/>
  <c r="N600" i="2"/>
  <c r="I601" i="2"/>
  <c r="Q601" i="2"/>
  <c r="I602" i="2"/>
  <c r="Q602" i="2"/>
  <c r="R602" i="2"/>
  <c r="S604" i="2"/>
  <c r="K607" i="2"/>
  <c r="L607" i="2"/>
  <c r="M607" i="2"/>
  <c r="N608" i="2"/>
  <c r="I609" i="2"/>
  <c r="Q609" i="2"/>
  <c r="I610" i="2"/>
  <c r="Q610" i="2"/>
  <c r="I611" i="2"/>
  <c r="Q611" i="2"/>
  <c r="I612" i="2"/>
  <c r="Q612" i="2"/>
  <c r="I613" i="2"/>
  <c r="Q613" i="2"/>
  <c r="R613" i="2"/>
  <c r="S615" i="2"/>
  <c r="S625" i="2" s="1"/>
  <c r="N616" i="2"/>
  <c r="I617" i="2"/>
  <c r="Q617" i="2"/>
  <c r="I618" i="2"/>
  <c r="Q618" i="2"/>
  <c r="I619" i="2"/>
  <c r="Q619" i="2"/>
  <c r="I620" i="2"/>
  <c r="Q620" i="2"/>
  <c r="I621" i="2"/>
  <c r="Q621" i="2"/>
  <c r="R621" i="2"/>
  <c r="S623" i="2"/>
  <c r="K626" i="2"/>
  <c r="L626" i="2"/>
  <c r="M626" i="2"/>
  <c r="N627" i="2"/>
  <c r="I628" i="2"/>
  <c r="Q628" i="2"/>
  <c r="I629" i="2"/>
  <c r="Q629" i="2"/>
  <c r="I630" i="2"/>
  <c r="Q630" i="2"/>
  <c r="I631" i="2"/>
  <c r="Q631" i="2"/>
  <c r="I632" i="2"/>
  <c r="Q632" i="2"/>
  <c r="I633" i="2"/>
  <c r="Q633" i="2"/>
  <c r="I634" i="2"/>
  <c r="Q634" i="2"/>
  <c r="R634" i="2"/>
  <c r="S636" i="2"/>
  <c r="S648" i="2" s="1"/>
  <c r="N637" i="2"/>
  <c r="I638" i="2"/>
  <c r="Q638" i="2"/>
  <c r="I639" i="2"/>
  <c r="Q639" i="2"/>
  <c r="I640" i="2"/>
  <c r="Q640" i="2"/>
  <c r="I641" i="2"/>
  <c r="Q641" i="2"/>
  <c r="I642" i="2"/>
  <c r="Q642" i="2"/>
  <c r="I643" i="2"/>
  <c r="Q643" i="2"/>
  <c r="I644" i="2"/>
  <c r="Q644" i="2"/>
  <c r="R644" i="2"/>
  <c r="S646" i="2"/>
  <c r="K649" i="2"/>
  <c r="L649" i="2"/>
  <c r="M649" i="2"/>
  <c r="N650" i="2"/>
  <c r="I651" i="2"/>
  <c r="Q651" i="2"/>
  <c r="I652" i="2"/>
  <c r="Q652" i="2"/>
  <c r="I653" i="2"/>
  <c r="Q653" i="2"/>
  <c r="I654" i="2"/>
  <c r="Q654" i="2"/>
  <c r="I655" i="2"/>
  <c r="Q655" i="2"/>
  <c r="I656" i="2"/>
  <c r="Q656" i="2"/>
  <c r="I657" i="2"/>
  <c r="Q657" i="2"/>
  <c r="R657" i="2"/>
  <c r="S659" i="2"/>
  <c r="N660" i="2"/>
  <c r="I661" i="2"/>
  <c r="Q661" i="2"/>
  <c r="I662" i="2"/>
  <c r="Q662" i="2"/>
  <c r="I663" i="2"/>
  <c r="Q663" i="2"/>
  <c r="I664" i="2"/>
  <c r="Q664" i="2"/>
  <c r="I665" i="2"/>
  <c r="Q665" i="2"/>
  <c r="I666" i="2"/>
  <c r="Q666" i="2"/>
  <c r="I667" i="2"/>
  <c r="Q667" i="2"/>
  <c r="R667" i="2"/>
  <c r="D4" i="1"/>
  <c r="D5" i="1"/>
  <c r="D6" i="1"/>
  <c r="D7" i="1"/>
  <c r="D8" i="1"/>
  <c r="H139" i="2"/>
  <c r="H140" i="2" s="1"/>
  <c r="H132" i="2"/>
  <c r="H133" i="2" s="1"/>
  <c r="H154" i="2"/>
  <c r="H155" i="2" s="1"/>
  <c r="H174" i="2"/>
  <c r="H175" i="2" s="1"/>
  <c r="H113" i="2"/>
  <c r="H114" i="2" s="1"/>
  <c r="H223" i="2"/>
  <c r="H224" i="2" s="1"/>
  <c r="H233" i="2"/>
  <c r="H234" i="2" s="1"/>
  <c r="H251" i="2"/>
  <c r="H252" i="2" s="1"/>
  <c r="H273" i="2"/>
  <c r="H274" i="2" s="1"/>
  <c r="H283" i="2"/>
  <c r="H284" i="2" s="1"/>
  <c r="H298" i="2"/>
  <c r="H299" i="2" s="1"/>
  <c r="H306" i="2"/>
  <c r="H307" i="2" s="1"/>
  <c r="H328" i="2"/>
  <c r="H329" i="2" s="1"/>
  <c r="H321" i="2"/>
  <c r="H322" i="2" s="1"/>
  <c r="H198" i="2"/>
  <c r="H199" i="2" s="1"/>
  <c r="H206" i="2"/>
  <c r="H207" i="2" s="1"/>
  <c r="H381" i="2"/>
  <c r="H382" i="2" s="1"/>
  <c r="H372" i="2"/>
  <c r="H373" i="2" s="1"/>
  <c r="H399" i="2"/>
  <c r="H400" i="2" s="1"/>
  <c r="H420" i="2"/>
  <c r="H421" i="2" s="1"/>
  <c r="H429" i="2"/>
  <c r="H430" i="2" s="1"/>
  <c r="H447" i="2"/>
  <c r="H448" i="2" s="1"/>
  <c r="H469" i="2"/>
  <c r="H470" i="2" s="1"/>
  <c r="H471" i="2" s="1"/>
  <c r="H472" i="2" s="1"/>
  <c r="H473" i="2" s="1"/>
  <c r="H474" i="2" s="1"/>
  <c r="H475" i="2" s="1"/>
  <c r="H491" i="2"/>
  <c r="H492" i="2" s="1"/>
  <c r="H522" i="2"/>
  <c r="H523" i="2" s="1"/>
  <c r="H513" i="2"/>
  <c r="H514" i="2" s="1"/>
  <c r="H539" i="2"/>
  <c r="H540" i="2" s="1"/>
  <c r="H571" i="2"/>
  <c r="H572" i="2" s="1"/>
  <c r="H561" i="2"/>
  <c r="H562" i="2" s="1"/>
  <c r="H350" i="2"/>
  <c r="H351" i="2" s="1"/>
  <c r="H617" i="2"/>
  <c r="H616" i="2"/>
  <c r="H637" i="2"/>
  <c r="H638" i="2" s="1"/>
  <c r="H645" i="2" s="1"/>
  <c r="H646" i="2" s="1"/>
  <c r="N646" i="2" s="1"/>
  <c r="H660" i="2"/>
  <c r="H661" i="2" s="1"/>
  <c r="H592" i="2"/>
  <c r="H593" i="2" s="1"/>
  <c r="H600" i="2"/>
  <c r="H601" i="2" s="1"/>
  <c r="H603" i="2" s="1"/>
  <c r="H604" i="2" s="1"/>
  <c r="N604" i="2" s="1"/>
  <c r="H46" i="2"/>
  <c r="H47" i="2" s="1"/>
  <c r="H51" i="2" s="1"/>
  <c r="H52" i="2" s="1"/>
  <c r="N52" i="2" s="1"/>
  <c r="H66" i="2"/>
  <c r="H67" i="2" s="1"/>
  <c r="H74" i="2" s="1"/>
  <c r="H75" i="2" s="1"/>
  <c r="N75" i="2" s="1"/>
  <c r="H88" i="2"/>
  <c r="H89" i="2" s="1"/>
  <c r="H90" i="2" s="1"/>
  <c r="H91" i="2" s="1"/>
  <c r="H92" i="2" s="1"/>
  <c r="H93" i="2" s="1"/>
  <c r="H94" i="2" s="1"/>
  <c r="H26" i="2"/>
  <c r="H27" i="2" s="1"/>
  <c r="H34" i="2" s="1"/>
  <c r="H35" i="2" s="1"/>
  <c r="N35" i="2" s="1"/>
  <c r="D163" i="2"/>
  <c r="D164" i="2" s="1"/>
  <c r="D165" i="2" s="1"/>
  <c r="C163" i="2"/>
  <c r="C164" i="2" s="1"/>
  <c r="C165" i="2" s="1"/>
  <c r="F163" i="2"/>
  <c r="F164" i="2" s="1"/>
  <c r="F165" i="2" s="1"/>
  <c r="D146" i="2"/>
  <c r="D147" i="2" s="1"/>
  <c r="D148" i="2" s="1"/>
  <c r="F146" i="2"/>
  <c r="F147" i="2" s="1"/>
  <c r="F148" i="2" s="1"/>
  <c r="C146" i="2"/>
  <c r="C147" i="2" s="1"/>
  <c r="C148" i="2" s="1"/>
  <c r="D124" i="2"/>
  <c r="D125" i="2" s="1"/>
  <c r="D126" i="2" s="1"/>
  <c r="F124" i="2"/>
  <c r="F125" i="2" s="1"/>
  <c r="F126" i="2" s="1"/>
  <c r="C124" i="2"/>
  <c r="C125" i="2" s="1"/>
  <c r="C126" i="2" s="1"/>
  <c r="D313" i="2"/>
  <c r="D314" i="2" s="1"/>
  <c r="D315" i="2" s="1"/>
  <c r="F313" i="2"/>
  <c r="F314" i="2" s="1"/>
  <c r="F315" i="2" s="1"/>
  <c r="C313" i="2"/>
  <c r="C314" i="2" s="1"/>
  <c r="C315" i="2" s="1"/>
  <c r="F290" i="2"/>
  <c r="F291" i="2" s="1"/>
  <c r="F292" i="2" s="1"/>
  <c r="D290" i="2"/>
  <c r="D291" i="2" s="1"/>
  <c r="D292" i="2" s="1"/>
  <c r="C290" i="2"/>
  <c r="C291" i="2" s="1"/>
  <c r="C292" i="2" s="1"/>
  <c r="D240" i="2"/>
  <c r="D241" i="2" s="1"/>
  <c r="D242" i="2" s="1"/>
  <c r="C240" i="2"/>
  <c r="C241" i="2" s="1"/>
  <c r="C242" i="2" s="1"/>
  <c r="F240" i="2"/>
  <c r="F241" i="2" s="1"/>
  <c r="F242" i="2" s="1"/>
  <c r="F213" i="2"/>
  <c r="F214" i="2" s="1"/>
  <c r="F215" i="2" s="1"/>
  <c r="D213" i="2"/>
  <c r="D214" i="2" s="1"/>
  <c r="D215" i="2" s="1"/>
  <c r="C213" i="2"/>
  <c r="C214" i="2" s="1"/>
  <c r="C215" i="2" s="1"/>
  <c r="C410" i="2"/>
  <c r="C411" i="2" s="1"/>
  <c r="C412" i="2" s="1"/>
  <c r="C436" i="2"/>
  <c r="C437" i="2" s="1"/>
  <c r="C438" i="2" s="1"/>
  <c r="D459" i="2"/>
  <c r="D460" i="2" s="1"/>
  <c r="D461" i="2" s="1"/>
  <c r="D480" i="2"/>
  <c r="D481" i="2" s="1"/>
  <c r="D482" i="2" s="1"/>
  <c r="D503" i="2"/>
  <c r="D504" i="2" s="1"/>
  <c r="D505" i="2" s="1"/>
  <c r="D550" i="2"/>
  <c r="D551" i="2" s="1"/>
  <c r="D552" i="2" s="1"/>
  <c r="F529" i="2"/>
  <c r="F530" i="2" s="1"/>
  <c r="F531" i="2" s="1"/>
  <c r="C503" i="2"/>
  <c r="C504" i="2" s="1"/>
  <c r="C505" i="2" s="1"/>
  <c r="F503" i="2"/>
  <c r="F504" i="2" s="1"/>
  <c r="F505" i="2" s="1"/>
  <c r="C480" i="2"/>
  <c r="C481" i="2" s="1"/>
  <c r="C482" i="2" s="1"/>
  <c r="F480" i="2"/>
  <c r="F481" i="2" s="1"/>
  <c r="F482" i="2" s="1"/>
  <c r="C459" i="2"/>
  <c r="C460" i="2" s="1"/>
  <c r="C461" i="2" s="1"/>
  <c r="F459" i="2"/>
  <c r="F460" i="2" s="1"/>
  <c r="F461" i="2" s="1"/>
  <c r="F467" i="2" s="1"/>
  <c r="F468" i="2" s="1"/>
  <c r="D436" i="2"/>
  <c r="D437" i="2" s="1"/>
  <c r="D438" i="2" s="1"/>
  <c r="F436" i="2"/>
  <c r="F437" i="2" s="1"/>
  <c r="F438" i="2" s="1"/>
  <c r="F410" i="2"/>
  <c r="F411" i="2" s="1"/>
  <c r="F412" i="2" s="1"/>
  <c r="D410" i="2"/>
  <c r="D411" i="2" s="1"/>
  <c r="D412" i="2" s="1"/>
  <c r="D413" i="2" s="1"/>
  <c r="D414" i="2" s="1"/>
  <c r="D415" i="2" s="1"/>
  <c r="D416" i="2" s="1"/>
  <c r="D417" i="2" s="1"/>
  <c r="F389" i="2"/>
  <c r="F390" i="2" s="1"/>
  <c r="F388" i="2"/>
  <c r="D388" i="2"/>
  <c r="D389" i="2" s="1"/>
  <c r="D390" i="2" s="1"/>
  <c r="C388" i="2"/>
  <c r="C389" i="2" s="1"/>
  <c r="C390" i="2" s="1"/>
  <c r="D361" i="2"/>
  <c r="D362" i="2" s="1"/>
  <c r="D363" i="2" s="1"/>
  <c r="C361" i="2"/>
  <c r="C362" i="2" s="1"/>
  <c r="C363" i="2" s="1"/>
  <c r="F361" i="2"/>
  <c r="F362" i="2" s="1"/>
  <c r="F363" i="2" s="1"/>
  <c r="C649" i="2"/>
  <c r="C650" i="2" s="1"/>
  <c r="C651" i="2" s="1"/>
  <c r="D626" i="2"/>
  <c r="D627" i="2" s="1"/>
  <c r="D628" i="2" s="1"/>
  <c r="F626" i="2"/>
  <c r="F627" i="2" s="1"/>
  <c r="F628" i="2" s="1"/>
  <c r="C626" i="2"/>
  <c r="C627" i="2" s="1"/>
  <c r="C628" i="2" s="1"/>
  <c r="C635" i="2" s="1"/>
  <c r="C636" i="2" s="1"/>
  <c r="C647" i="2" s="1"/>
  <c r="C648" i="2" s="1"/>
  <c r="L648" i="2" s="1"/>
  <c r="D607" i="2"/>
  <c r="D608" i="2" s="1"/>
  <c r="D609" i="2" s="1"/>
  <c r="D614" i="2" s="1"/>
  <c r="D615" i="2" s="1"/>
  <c r="C607" i="2"/>
  <c r="C608" i="2" s="1"/>
  <c r="C609" i="2" s="1"/>
  <c r="F607" i="2"/>
  <c r="F608" i="2" s="1"/>
  <c r="F609" i="2" s="1"/>
  <c r="D55" i="2"/>
  <c r="D56" i="2" s="1"/>
  <c r="D57" i="2" s="1"/>
  <c r="D78" i="2"/>
  <c r="D79" i="2" s="1"/>
  <c r="D80" i="2" s="1"/>
  <c r="D86" i="2" s="1"/>
  <c r="D87" i="2" s="1"/>
  <c r="D97" i="2" s="1"/>
  <c r="D98" i="2" s="1"/>
  <c r="M98" i="2" s="1"/>
  <c r="C55" i="2"/>
  <c r="C56" i="2" s="1"/>
  <c r="C57" i="2" s="1"/>
  <c r="F55" i="2"/>
  <c r="F56" i="2" s="1"/>
  <c r="F57" i="2" s="1"/>
  <c r="F64" i="2" s="1"/>
  <c r="F65" i="2" s="1"/>
  <c r="F76" i="2" s="1"/>
  <c r="F77" i="2" s="1"/>
  <c r="K77" i="2" s="1"/>
  <c r="D38" i="2"/>
  <c r="D39" i="2" s="1"/>
  <c r="D40" i="2" s="1"/>
  <c r="D44" i="2" s="1"/>
  <c r="D45" i="2" s="1"/>
  <c r="D53" i="2" s="1"/>
  <c r="D54" i="2" s="1"/>
  <c r="M54" i="2" s="1"/>
  <c r="C38" i="2"/>
  <c r="C39" i="2" s="1"/>
  <c r="C40" i="2" s="1"/>
  <c r="C44" i="2" s="1"/>
  <c r="C45" i="2" s="1"/>
  <c r="C53" i="2" s="1"/>
  <c r="C54" i="2" s="1"/>
  <c r="L54" i="2" s="1"/>
  <c r="F38" i="2"/>
  <c r="F39" i="2" s="1"/>
  <c r="F40" i="2" s="1"/>
  <c r="E102" i="2"/>
  <c r="E103" i="2" s="1"/>
  <c r="E338" i="2"/>
  <c r="E339" i="2" s="1"/>
  <c r="E581" i="2"/>
  <c r="E582" i="2" s="1"/>
  <c r="E189" i="2"/>
  <c r="E190" i="2" s="1"/>
  <c r="S435" i="2" l="1"/>
  <c r="S409" i="2"/>
  <c r="S100" i="2"/>
  <c r="S579" i="2"/>
  <c r="H668" i="2"/>
  <c r="H669" i="2" s="1"/>
  <c r="N669" i="2" s="1"/>
  <c r="H662" i="2"/>
  <c r="H663" i="2" s="1"/>
  <c r="H664" i="2" s="1"/>
  <c r="H665" i="2" s="1"/>
  <c r="H666" i="2" s="1"/>
  <c r="H667" i="2" s="1"/>
  <c r="S187" i="2"/>
  <c r="D418" i="2"/>
  <c r="D419" i="2" s="1"/>
  <c r="D41" i="2"/>
  <c r="D42" i="2" s="1"/>
  <c r="D43" i="2" s="1"/>
  <c r="C629" i="2"/>
  <c r="C630" i="2" s="1"/>
  <c r="C631" i="2" s="1"/>
  <c r="C632" i="2" s="1"/>
  <c r="C633" i="2" s="1"/>
  <c r="C634" i="2" s="1"/>
  <c r="H28" i="2"/>
  <c r="H29" i="2" s="1"/>
  <c r="H30" i="2" s="1"/>
  <c r="H31" i="2" s="1"/>
  <c r="H32" i="2" s="1"/>
  <c r="H33" i="2" s="1"/>
  <c r="D610" i="2"/>
  <c r="D611" i="2" s="1"/>
  <c r="D612" i="2" s="1"/>
  <c r="D613" i="2" s="1"/>
  <c r="D81" i="2"/>
  <c r="D82" i="2" s="1"/>
  <c r="D83" i="2" s="1"/>
  <c r="D84" i="2" s="1"/>
  <c r="D85" i="2" s="1"/>
  <c r="F462" i="2"/>
  <c r="F463" i="2" s="1"/>
  <c r="F464" i="2" s="1"/>
  <c r="F465" i="2" s="1"/>
  <c r="F466" i="2" s="1"/>
  <c r="C41" i="2"/>
  <c r="C42" i="2" s="1"/>
  <c r="C43" i="2" s="1"/>
  <c r="D319" i="2"/>
  <c r="D320" i="2" s="1"/>
  <c r="D316" i="2"/>
  <c r="D317" i="2" s="1"/>
  <c r="D318" i="2" s="1"/>
  <c r="H286" i="2"/>
  <c r="H287" i="2" s="1"/>
  <c r="N287" i="2" s="1"/>
  <c r="H285" i="2"/>
  <c r="H137" i="2"/>
  <c r="H138" i="2" s="1"/>
  <c r="N138" i="2" s="1"/>
  <c r="H134" i="2"/>
  <c r="H135" i="2" s="1"/>
  <c r="H136" i="2" s="1"/>
  <c r="H602" i="2"/>
  <c r="D370" i="2"/>
  <c r="D371" i="2" s="1"/>
  <c r="D364" i="2"/>
  <c r="D365" i="2" s="1"/>
  <c r="D366" i="2" s="1"/>
  <c r="D367" i="2" s="1"/>
  <c r="D368" i="2" s="1"/>
  <c r="D369" i="2" s="1"/>
  <c r="F130" i="2"/>
  <c r="F131" i="2" s="1"/>
  <c r="F127" i="2"/>
  <c r="F128" i="2" s="1"/>
  <c r="F129" i="2" s="1"/>
  <c r="H231" i="2"/>
  <c r="H232" i="2" s="1"/>
  <c r="N232" i="2" s="1"/>
  <c r="H225" i="2"/>
  <c r="H226" i="2" s="1"/>
  <c r="H227" i="2" s="1"/>
  <c r="H228" i="2" s="1"/>
  <c r="H229" i="2" s="1"/>
  <c r="H230" i="2" s="1"/>
  <c r="D559" i="2"/>
  <c r="D560" i="2" s="1"/>
  <c r="D553" i="2"/>
  <c r="D554" i="2" s="1"/>
  <c r="D555" i="2" s="1"/>
  <c r="D556" i="2" s="1"/>
  <c r="D557" i="2" s="1"/>
  <c r="D558" i="2" s="1"/>
  <c r="F249" i="2"/>
  <c r="F250" i="2" s="1"/>
  <c r="F243" i="2"/>
  <c r="F244" i="2" s="1"/>
  <c r="F245" i="2" s="1"/>
  <c r="F246" i="2" s="1"/>
  <c r="F247" i="2" s="1"/>
  <c r="F248" i="2" s="1"/>
  <c r="H406" i="2"/>
  <c r="H407" i="2" s="1"/>
  <c r="N407" i="2" s="1"/>
  <c r="H401" i="2"/>
  <c r="H402" i="2" s="1"/>
  <c r="H403" i="2" s="1"/>
  <c r="H404" i="2" s="1"/>
  <c r="H405" i="2" s="1"/>
  <c r="H204" i="2"/>
  <c r="H205" i="2" s="1"/>
  <c r="N205" i="2" s="1"/>
  <c r="H200" i="2"/>
  <c r="H201" i="2" s="1"/>
  <c r="H202" i="2" s="1"/>
  <c r="H203" i="2" s="1"/>
  <c r="H48" i="2"/>
  <c r="H49" i="2" s="1"/>
  <c r="H50" i="2" s="1"/>
  <c r="D64" i="2"/>
  <c r="D65" i="2" s="1"/>
  <c r="D76" i="2" s="1"/>
  <c r="D77" i="2" s="1"/>
  <c r="M77" i="2" s="1"/>
  <c r="D58" i="2"/>
  <c r="D59" i="2" s="1"/>
  <c r="D60" i="2" s="1"/>
  <c r="D61" i="2" s="1"/>
  <c r="D62" i="2" s="1"/>
  <c r="D63" i="2" s="1"/>
  <c r="D511" i="2"/>
  <c r="D512" i="2" s="1"/>
  <c r="D506" i="2"/>
  <c r="D507" i="2" s="1"/>
  <c r="D508" i="2" s="1"/>
  <c r="D509" i="2" s="1"/>
  <c r="D510" i="2" s="1"/>
  <c r="C172" i="2"/>
  <c r="C173" i="2" s="1"/>
  <c r="C166" i="2"/>
  <c r="C167" i="2" s="1"/>
  <c r="C168" i="2" s="1"/>
  <c r="C169" i="2" s="1"/>
  <c r="C170" i="2" s="1"/>
  <c r="C171" i="2" s="1"/>
  <c r="C64" i="2"/>
  <c r="C65" i="2" s="1"/>
  <c r="C76" i="2" s="1"/>
  <c r="C77" i="2" s="1"/>
  <c r="L77" i="2" s="1"/>
  <c r="C58" i="2"/>
  <c r="C59" i="2" s="1"/>
  <c r="C60" i="2" s="1"/>
  <c r="C61" i="2" s="1"/>
  <c r="C62" i="2" s="1"/>
  <c r="C63" i="2" s="1"/>
  <c r="F635" i="2"/>
  <c r="F636" i="2" s="1"/>
  <c r="F647" i="2" s="1"/>
  <c r="F648" i="2" s="1"/>
  <c r="K648" i="2" s="1"/>
  <c r="F629" i="2"/>
  <c r="F630" i="2" s="1"/>
  <c r="F631" i="2" s="1"/>
  <c r="F632" i="2" s="1"/>
  <c r="F633" i="2" s="1"/>
  <c r="F634" i="2" s="1"/>
  <c r="C370" i="2"/>
  <c r="C371" i="2" s="1"/>
  <c r="C364" i="2"/>
  <c r="C365" i="2" s="1"/>
  <c r="C366" i="2" s="1"/>
  <c r="C367" i="2" s="1"/>
  <c r="C368" i="2" s="1"/>
  <c r="C369" i="2" s="1"/>
  <c r="F397" i="2"/>
  <c r="F398" i="2" s="1"/>
  <c r="F408" i="2" s="1"/>
  <c r="F409" i="2" s="1"/>
  <c r="K409" i="2" s="1"/>
  <c r="F391" i="2"/>
  <c r="F392" i="2" s="1"/>
  <c r="F393" i="2" s="1"/>
  <c r="F394" i="2" s="1"/>
  <c r="F395" i="2" s="1"/>
  <c r="F396" i="2" s="1"/>
  <c r="C467" i="2"/>
  <c r="C468" i="2" s="1"/>
  <c r="C478" i="2" s="1"/>
  <c r="C479" i="2" s="1"/>
  <c r="L479" i="2" s="1"/>
  <c r="C462" i="2"/>
  <c r="C463" i="2" s="1"/>
  <c r="C464" i="2" s="1"/>
  <c r="C465" i="2" s="1"/>
  <c r="C466" i="2" s="1"/>
  <c r="H546" i="2"/>
  <c r="H547" i="2" s="1"/>
  <c r="N547" i="2" s="1"/>
  <c r="H541" i="2"/>
  <c r="H542" i="2" s="1"/>
  <c r="H543" i="2" s="1"/>
  <c r="H544" i="2" s="1"/>
  <c r="H545" i="2" s="1"/>
  <c r="H476" i="2"/>
  <c r="H477" i="2" s="1"/>
  <c r="N477" i="2" s="1"/>
  <c r="H379" i="2"/>
  <c r="H380" i="2" s="1"/>
  <c r="N380" i="2" s="1"/>
  <c r="H374" i="2"/>
  <c r="H375" i="2" s="1"/>
  <c r="H376" i="2" s="1"/>
  <c r="H377" i="2" s="1"/>
  <c r="H378" i="2" s="1"/>
  <c r="H326" i="2"/>
  <c r="H327" i="2" s="1"/>
  <c r="N327" i="2" s="1"/>
  <c r="H323" i="2"/>
  <c r="H324" i="2" s="1"/>
  <c r="H325" i="2" s="1"/>
  <c r="F489" i="2"/>
  <c r="F490" i="2" s="1"/>
  <c r="F483" i="2"/>
  <c r="F484" i="2" s="1"/>
  <c r="F485" i="2" s="1"/>
  <c r="F486" i="2" s="1"/>
  <c r="F487" i="2" s="1"/>
  <c r="F488" i="2" s="1"/>
  <c r="C221" i="2"/>
  <c r="C222" i="2" s="1"/>
  <c r="C216" i="2"/>
  <c r="C217" i="2" s="1"/>
  <c r="C218" i="2" s="1"/>
  <c r="C219" i="2" s="1"/>
  <c r="C220" i="2" s="1"/>
  <c r="D249" i="2"/>
  <c r="D250" i="2" s="1"/>
  <c r="D243" i="2"/>
  <c r="D244" i="2" s="1"/>
  <c r="D245" i="2" s="1"/>
  <c r="D246" i="2" s="1"/>
  <c r="D247" i="2" s="1"/>
  <c r="D248" i="2" s="1"/>
  <c r="C130" i="2"/>
  <c r="C131" i="2" s="1"/>
  <c r="C127" i="2"/>
  <c r="C128" i="2" s="1"/>
  <c r="C129" i="2" s="1"/>
  <c r="F172" i="2"/>
  <c r="F173" i="2" s="1"/>
  <c r="F166" i="2"/>
  <c r="F167" i="2" s="1"/>
  <c r="F168" i="2" s="1"/>
  <c r="F169" i="2" s="1"/>
  <c r="F170" i="2" s="1"/>
  <c r="F171" i="2" s="1"/>
  <c r="H598" i="2"/>
  <c r="H599" i="2" s="1"/>
  <c r="N599" i="2" s="1"/>
  <c r="H594" i="2"/>
  <c r="H595" i="2" s="1"/>
  <c r="H596" i="2" s="1"/>
  <c r="H597" i="2" s="1"/>
  <c r="H520" i="2"/>
  <c r="H521" i="2" s="1"/>
  <c r="N521" i="2" s="1"/>
  <c r="H515" i="2"/>
  <c r="H516" i="2" s="1"/>
  <c r="H517" i="2" s="1"/>
  <c r="H518" i="2" s="1"/>
  <c r="H519" i="2" s="1"/>
  <c r="H383" i="2"/>
  <c r="H384" i="2"/>
  <c r="H385" i="2" s="1"/>
  <c r="N385" i="2" s="1"/>
  <c r="F58" i="2"/>
  <c r="F59" i="2" s="1"/>
  <c r="F60" i="2" s="1"/>
  <c r="F61" i="2" s="1"/>
  <c r="F62" i="2" s="1"/>
  <c r="F63" i="2" s="1"/>
  <c r="F418" i="2"/>
  <c r="F419" i="2" s="1"/>
  <c r="F420" i="2" s="1"/>
  <c r="F421" i="2" s="1"/>
  <c r="F413" i="2"/>
  <c r="F414" i="2" s="1"/>
  <c r="F415" i="2" s="1"/>
  <c r="F416" i="2" s="1"/>
  <c r="F417" i="2" s="1"/>
  <c r="C296" i="2"/>
  <c r="C297" i="2" s="1"/>
  <c r="C293" i="2"/>
  <c r="C294" i="2" s="1"/>
  <c r="C295" i="2" s="1"/>
  <c r="H357" i="2"/>
  <c r="H358" i="2" s="1"/>
  <c r="N358" i="2" s="1"/>
  <c r="H352" i="2"/>
  <c r="H353" i="2" s="1"/>
  <c r="H354" i="2" s="1"/>
  <c r="H355" i="2" s="1"/>
  <c r="H356" i="2" s="1"/>
  <c r="C658" i="2"/>
  <c r="C659" i="2" s="1"/>
  <c r="C660" i="2" s="1"/>
  <c r="C661" i="2" s="1"/>
  <c r="C652" i="2"/>
  <c r="C653" i="2" s="1"/>
  <c r="C654" i="2" s="1"/>
  <c r="C655" i="2" s="1"/>
  <c r="C656" i="2" s="1"/>
  <c r="C657" i="2" s="1"/>
  <c r="D489" i="2"/>
  <c r="D490" i="2" s="1"/>
  <c r="D501" i="2" s="1"/>
  <c r="D502" i="2" s="1"/>
  <c r="M502" i="2" s="1"/>
  <c r="D483" i="2"/>
  <c r="D484" i="2" s="1"/>
  <c r="D485" i="2" s="1"/>
  <c r="D486" i="2" s="1"/>
  <c r="D487" i="2" s="1"/>
  <c r="D488" i="2" s="1"/>
  <c r="D172" i="2"/>
  <c r="D173" i="2" s="1"/>
  <c r="D166" i="2"/>
  <c r="D167" i="2" s="1"/>
  <c r="D168" i="2" s="1"/>
  <c r="D169" i="2" s="1"/>
  <c r="D170" i="2" s="1"/>
  <c r="D171" i="2" s="1"/>
  <c r="H95" i="2"/>
  <c r="H96" i="2" s="1"/>
  <c r="N96" i="2" s="1"/>
  <c r="H304" i="2"/>
  <c r="H305" i="2" s="1"/>
  <c r="N305" i="2" s="1"/>
  <c r="H300" i="2"/>
  <c r="H301" i="2" s="1"/>
  <c r="H302" i="2" s="1"/>
  <c r="H303" i="2" s="1"/>
  <c r="C397" i="2"/>
  <c r="C398" i="2" s="1"/>
  <c r="C391" i="2"/>
  <c r="C392" i="2" s="1"/>
  <c r="C393" i="2" s="1"/>
  <c r="C394" i="2" s="1"/>
  <c r="C395" i="2" s="1"/>
  <c r="C396" i="2" s="1"/>
  <c r="C319" i="2"/>
  <c r="C320" i="2" s="1"/>
  <c r="C316" i="2"/>
  <c r="C317" i="2" s="1"/>
  <c r="C318" i="2" s="1"/>
  <c r="F614" i="2"/>
  <c r="F615" i="2" s="1"/>
  <c r="F610" i="2"/>
  <c r="F611" i="2" s="1"/>
  <c r="F612" i="2" s="1"/>
  <c r="F613" i="2" s="1"/>
  <c r="H209" i="2"/>
  <c r="H210" i="2" s="1"/>
  <c r="N210" i="2" s="1"/>
  <c r="H208" i="2"/>
  <c r="H309" i="2"/>
  <c r="H310" i="2" s="1"/>
  <c r="N310" i="2" s="1"/>
  <c r="H308" i="2"/>
  <c r="H182" i="2"/>
  <c r="H183" i="2" s="1"/>
  <c r="N183" i="2" s="1"/>
  <c r="H176" i="2"/>
  <c r="H177" i="2" s="1"/>
  <c r="H178" i="2" s="1"/>
  <c r="H179" i="2" s="1"/>
  <c r="H180" i="2" s="1"/>
  <c r="H181" i="2" s="1"/>
  <c r="D635" i="2"/>
  <c r="D636" i="2" s="1"/>
  <c r="D629" i="2"/>
  <c r="D630" i="2" s="1"/>
  <c r="D631" i="2" s="1"/>
  <c r="D632" i="2" s="1"/>
  <c r="D633" i="2" s="1"/>
  <c r="D634" i="2" s="1"/>
  <c r="D221" i="2"/>
  <c r="D222" i="2" s="1"/>
  <c r="D223" i="2" s="1"/>
  <c r="D224" i="2" s="1"/>
  <c r="D216" i="2"/>
  <c r="D217" i="2" s="1"/>
  <c r="D218" i="2" s="1"/>
  <c r="D219" i="2" s="1"/>
  <c r="D220" i="2" s="1"/>
  <c r="H525" i="2"/>
  <c r="H526" i="2" s="1"/>
  <c r="N526" i="2" s="1"/>
  <c r="H524" i="2"/>
  <c r="C489" i="2"/>
  <c r="C490" i="2" s="1"/>
  <c r="C491" i="2" s="1"/>
  <c r="C492" i="2" s="1"/>
  <c r="C483" i="2"/>
  <c r="C484" i="2" s="1"/>
  <c r="C485" i="2" s="1"/>
  <c r="C486" i="2" s="1"/>
  <c r="C487" i="2" s="1"/>
  <c r="C488" i="2" s="1"/>
  <c r="D296" i="2"/>
  <c r="D297" i="2" s="1"/>
  <c r="D293" i="2"/>
  <c r="D294" i="2" s="1"/>
  <c r="D295" i="2" s="1"/>
  <c r="F44" i="2"/>
  <c r="F45" i="2" s="1"/>
  <c r="F53" i="2" s="1"/>
  <c r="F54" i="2" s="1"/>
  <c r="K54" i="2" s="1"/>
  <c r="F41" i="2"/>
  <c r="F42" i="2" s="1"/>
  <c r="F43" i="2" s="1"/>
  <c r="D397" i="2"/>
  <c r="D398" i="2" s="1"/>
  <c r="D391" i="2"/>
  <c r="D392" i="2" s="1"/>
  <c r="D393" i="2" s="1"/>
  <c r="D394" i="2" s="1"/>
  <c r="D395" i="2" s="1"/>
  <c r="D396" i="2" s="1"/>
  <c r="F511" i="2"/>
  <c r="F512" i="2" s="1"/>
  <c r="F527" i="2" s="1"/>
  <c r="F528" i="2" s="1"/>
  <c r="K528" i="2" s="1"/>
  <c r="F506" i="2"/>
  <c r="F507" i="2" s="1"/>
  <c r="F508" i="2" s="1"/>
  <c r="F509" i="2" s="1"/>
  <c r="F510" i="2" s="1"/>
  <c r="H432" i="2"/>
  <c r="H433" i="2" s="1"/>
  <c r="N433" i="2" s="1"/>
  <c r="H431" i="2"/>
  <c r="H159" i="2"/>
  <c r="H160" i="2" s="1"/>
  <c r="N160" i="2" s="1"/>
  <c r="H156" i="2"/>
  <c r="H157" i="2" s="1"/>
  <c r="H158" i="2" s="1"/>
  <c r="C614" i="2"/>
  <c r="C615" i="2" s="1"/>
  <c r="C624" i="2" s="1"/>
  <c r="C625" i="2" s="1"/>
  <c r="L625" i="2" s="1"/>
  <c r="C610" i="2"/>
  <c r="C611" i="2" s="1"/>
  <c r="C612" i="2" s="1"/>
  <c r="C613" i="2" s="1"/>
  <c r="F445" i="2"/>
  <c r="F446" i="2" s="1"/>
  <c r="F457" i="2" s="1"/>
  <c r="F458" i="2" s="1"/>
  <c r="K458" i="2" s="1"/>
  <c r="F439" i="2"/>
  <c r="F440" i="2" s="1"/>
  <c r="F441" i="2" s="1"/>
  <c r="F442" i="2" s="1"/>
  <c r="F443" i="2" s="1"/>
  <c r="F444" i="2" s="1"/>
  <c r="C511" i="2"/>
  <c r="C512" i="2" s="1"/>
  <c r="C506" i="2"/>
  <c r="C507" i="2" s="1"/>
  <c r="C508" i="2" s="1"/>
  <c r="C509" i="2" s="1"/>
  <c r="C510" i="2" s="1"/>
  <c r="F296" i="2"/>
  <c r="F297" i="2" s="1"/>
  <c r="F298" i="2" s="1"/>
  <c r="F299" i="2" s="1"/>
  <c r="F293" i="2"/>
  <c r="F294" i="2" s="1"/>
  <c r="F295" i="2" s="1"/>
  <c r="D130" i="2"/>
  <c r="D131" i="2" s="1"/>
  <c r="D127" i="2"/>
  <c r="D128" i="2" s="1"/>
  <c r="D129" i="2" s="1"/>
  <c r="H455" i="2"/>
  <c r="H456" i="2" s="1"/>
  <c r="N456" i="2" s="1"/>
  <c r="H449" i="2"/>
  <c r="H450" i="2" s="1"/>
  <c r="H451" i="2" s="1"/>
  <c r="H452" i="2" s="1"/>
  <c r="H453" i="2" s="1"/>
  <c r="H454" i="2" s="1"/>
  <c r="H281" i="2"/>
  <c r="H282" i="2" s="1"/>
  <c r="N282" i="2" s="1"/>
  <c r="H275" i="2"/>
  <c r="H276" i="2" s="1"/>
  <c r="H277" i="2" s="1"/>
  <c r="H278" i="2" s="1"/>
  <c r="H279" i="2" s="1"/>
  <c r="H280" i="2" s="1"/>
  <c r="H142" i="2"/>
  <c r="H143" i="2" s="1"/>
  <c r="N143" i="2" s="1"/>
  <c r="H141" i="2"/>
  <c r="H68" i="2"/>
  <c r="H69" i="2" s="1"/>
  <c r="H70" i="2" s="1"/>
  <c r="H71" i="2" s="1"/>
  <c r="H72" i="2" s="1"/>
  <c r="H73" i="2" s="1"/>
  <c r="D445" i="2"/>
  <c r="D446" i="2" s="1"/>
  <c r="D457" i="2" s="1"/>
  <c r="D458" i="2" s="1"/>
  <c r="M458" i="2" s="1"/>
  <c r="D439" i="2"/>
  <c r="D440" i="2" s="1"/>
  <c r="D441" i="2" s="1"/>
  <c r="D442" i="2" s="1"/>
  <c r="D443" i="2" s="1"/>
  <c r="D444" i="2" s="1"/>
  <c r="F537" i="2"/>
  <c r="F538" i="2" s="1"/>
  <c r="F548" i="2" s="1"/>
  <c r="F549" i="2" s="1"/>
  <c r="K549" i="2" s="1"/>
  <c r="F532" i="2"/>
  <c r="F533" i="2" s="1"/>
  <c r="F534" i="2" s="1"/>
  <c r="F535" i="2" s="1"/>
  <c r="F536" i="2" s="1"/>
  <c r="C445" i="2"/>
  <c r="C446" i="2" s="1"/>
  <c r="C457" i="2" s="1"/>
  <c r="C458" i="2" s="1"/>
  <c r="L458" i="2" s="1"/>
  <c r="C439" i="2"/>
  <c r="C440" i="2" s="1"/>
  <c r="C441" i="2" s="1"/>
  <c r="C442" i="2" s="1"/>
  <c r="C443" i="2" s="1"/>
  <c r="C444" i="2" s="1"/>
  <c r="C152" i="2"/>
  <c r="C153" i="2" s="1"/>
  <c r="C161" i="2" s="1"/>
  <c r="C162" i="2" s="1"/>
  <c r="L162" i="2" s="1"/>
  <c r="C149" i="2"/>
  <c r="C150" i="2" s="1"/>
  <c r="C151" i="2" s="1"/>
  <c r="H569" i="2"/>
  <c r="H570" i="2" s="1"/>
  <c r="N570" i="2" s="1"/>
  <c r="H563" i="2"/>
  <c r="H564" i="2" s="1"/>
  <c r="H565" i="2" s="1"/>
  <c r="H566" i="2" s="1"/>
  <c r="H567" i="2" s="1"/>
  <c r="H568" i="2" s="1"/>
  <c r="H331" i="2"/>
  <c r="H332" i="2" s="1"/>
  <c r="N332" i="2" s="1"/>
  <c r="H330" i="2"/>
  <c r="H259" i="2"/>
  <c r="H260" i="2" s="1"/>
  <c r="N260" i="2" s="1"/>
  <c r="H253" i="2"/>
  <c r="H254" i="2" s="1"/>
  <c r="H255" i="2" s="1"/>
  <c r="H256" i="2" s="1"/>
  <c r="H257" i="2" s="1"/>
  <c r="H258" i="2" s="1"/>
  <c r="F370" i="2"/>
  <c r="F371" i="2" s="1"/>
  <c r="F386" i="2" s="1"/>
  <c r="F387" i="2" s="1"/>
  <c r="K387" i="2" s="1"/>
  <c r="F364" i="2"/>
  <c r="F365" i="2" s="1"/>
  <c r="F366" i="2" s="1"/>
  <c r="F367" i="2" s="1"/>
  <c r="F368" i="2" s="1"/>
  <c r="F369" i="2" s="1"/>
  <c r="C418" i="2"/>
  <c r="C419" i="2" s="1"/>
  <c r="C434" i="2" s="1"/>
  <c r="C435" i="2" s="1"/>
  <c r="L435" i="2" s="1"/>
  <c r="C413" i="2"/>
  <c r="C414" i="2" s="1"/>
  <c r="C415" i="2" s="1"/>
  <c r="C416" i="2" s="1"/>
  <c r="C417" i="2" s="1"/>
  <c r="F221" i="2"/>
  <c r="F222" i="2" s="1"/>
  <c r="F216" i="2"/>
  <c r="F217" i="2" s="1"/>
  <c r="F218" i="2" s="1"/>
  <c r="F219" i="2" s="1"/>
  <c r="F220" i="2" s="1"/>
  <c r="F152" i="2"/>
  <c r="F153" i="2" s="1"/>
  <c r="F161" i="2" s="1"/>
  <c r="F162" i="2" s="1"/>
  <c r="K162" i="2" s="1"/>
  <c r="F149" i="2"/>
  <c r="F150" i="2" s="1"/>
  <c r="F151" i="2" s="1"/>
  <c r="H574" i="2"/>
  <c r="H575" i="2" s="1"/>
  <c r="N575" i="2" s="1"/>
  <c r="H573" i="2"/>
  <c r="H499" i="2"/>
  <c r="H500" i="2" s="1"/>
  <c r="N500" i="2" s="1"/>
  <c r="H493" i="2"/>
  <c r="H494" i="2" s="1"/>
  <c r="H495" i="2" s="1"/>
  <c r="H496" i="2" s="1"/>
  <c r="H497" i="2" s="1"/>
  <c r="H498" i="2" s="1"/>
  <c r="H236" i="2"/>
  <c r="H237" i="2" s="1"/>
  <c r="N237" i="2" s="1"/>
  <c r="H235" i="2"/>
  <c r="H639" i="2"/>
  <c r="H640" i="2" s="1"/>
  <c r="H641" i="2" s="1"/>
  <c r="H642" i="2" s="1"/>
  <c r="H643" i="2" s="1"/>
  <c r="H644" i="2" s="1"/>
  <c r="D467" i="2"/>
  <c r="D468" i="2" s="1"/>
  <c r="D478" i="2" s="1"/>
  <c r="D479" i="2" s="1"/>
  <c r="M479" i="2" s="1"/>
  <c r="D462" i="2"/>
  <c r="D463" i="2" s="1"/>
  <c r="D464" i="2" s="1"/>
  <c r="D465" i="2" s="1"/>
  <c r="D466" i="2" s="1"/>
  <c r="C249" i="2"/>
  <c r="C250" i="2" s="1"/>
  <c r="C243" i="2"/>
  <c r="C244" i="2" s="1"/>
  <c r="C245" i="2" s="1"/>
  <c r="C246" i="2" s="1"/>
  <c r="C247" i="2" s="1"/>
  <c r="C248" i="2" s="1"/>
  <c r="F319" i="2"/>
  <c r="F320" i="2" s="1"/>
  <c r="F321" i="2" s="1"/>
  <c r="F322" i="2" s="1"/>
  <c r="F316" i="2"/>
  <c r="F317" i="2" s="1"/>
  <c r="F318" i="2" s="1"/>
  <c r="D152" i="2"/>
  <c r="D153" i="2" s="1"/>
  <c r="D154" i="2" s="1"/>
  <c r="D155" i="2" s="1"/>
  <c r="D149" i="2"/>
  <c r="D150" i="2" s="1"/>
  <c r="D151" i="2" s="1"/>
  <c r="H622" i="2"/>
  <c r="H623" i="2" s="1"/>
  <c r="N623" i="2" s="1"/>
  <c r="H618" i="2"/>
  <c r="H619" i="2" s="1"/>
  <c r="H620" i="2" s="1"/>
  <c r="H621" i="2" s="1"/>
  <c r="H427" i="2"/>
  <c r="H428" i="2" s="1"/>
  <c r="N428" i="2" s="1"/>
  <c r="H422" i="2"/>
  <c r="H423" i="2" s="1"/>
  <c r="H424" i="2" s="1"/>
  <c r="H425" i="2" s="1"/>
  <c r="H426" i="2" s="1"/>
  <c r="H120" i="2"/>
  <c r="H121" i="2" s="1"/>
  <c r="N121" i="2" s="1"/>
  <c r="H115" i="2"/>
  <c r="H116" i="2" s="1"/>
  <c r="H117" i="2" s="1"/>
  <c r="H118" i="2" s="1"/>
  <c r="H119" i="2" s="1"/>
  <c r="D161" i="2"/>
  <c r="D162" i="2" s="1"/>
  <c r="M162" i="2" s="1"/>
  <c r="F434" i="2"/>
  <c r="F435" i="2" s="1"/>
  <c r="K435" i="2" s="1"/>
  <c r="D408" i="2"/>
  <c r="D409" i="2" s="1"/>
  <c r="M409" i="2" s="1"/>
  <c r="D399" i="2"/>
  <c r="D400" i="2" s="1"/>
  <c r="F478" i="2"/>
  <c r="F479" i="2" s="1"/>
  <c r="K479" i="2" s="1"/>
  <c r="F469" i="2"/>
  <c r="F470" i="2" s="1"/>
  <c r="F539" i="2"/>
  <c r="F540" i="2" s="1"/>
  <c r="F238" i="2"/>
  <c r="F239" i="2" s="1"/>
  <c r="K239" i="2" s="1"/>
  <c r="F223" i="2"/>
  <c r="F224" i="2" s="1"/>
  <c r="D144" i="2"/>
  <c r="D145" i="2" s="1"/>
  <c r="M145" i="2" s="1"/>
  <c r="D132" i="2"/>
  <c r="D133" i="2" s="1"/>
  <c r="D576" i="2"/>
  <c r="D577" i="2" s="1"/>
  <c r="M577" i="2" s="1"/>
  <c r="D561" i="2"/>
  <c r="D562" i="2" s="1"/>
  <c r="F261" i="2"/>
  <c r="F262" i="2" s="1"/>
  <c r="K262" i="2" s="1"/>
  <c r="F251" i="2"/>
  <c r="F252" i="2" s="1"/>
  <c r="C184" i="2"/>
  <c r="C185" i="2" s="1"/>
  <c r="L185" i="2" s="1"/>
  <c r="C174" i="2"/>
  <c r="C175" i="2" s="1"/>
  <c r="D46" i="2"/>
  <c r="D47" i="2" s="1"/>
  <c r="D491" i="2"/>
  <c r="D492" i="2" s="1"/>
  <c r="D386" i="2"/>
  <c r="D387" i="2" s="1"/>
  <c r="M387" i="2" s="1"/>
  <c r="D372" i="2"/>
  <c r="D373" i="2" s="1"/>
  <c r="D184" i="2"/>
  <c r="D185" i="2" s="1"/>
  <c r="M185" i="2" s="1"/>
  <c r="D174" i="2"/>
  <c r="D175" i="2" s="1"/>
  <c r="F501" i="2"/>
  <c r="F502" i="2" s="1"/>
  <c r="K502" i="2" s="1"/>
  <c r="F491" i="2"/>
  <c r="F492" i="2" s="1"/>
  <c r="C408" i="2"/>
  <c r="C409" i="2" s="1"/>
  <c r="L409" i="2" s="1"/>
  <c r="C399" i="2"/>
  <c r="C400" i="2" s="1"/>
  <c r="D447" i="2"/>
  <c r="D448" i="2" s="1"/>
  <c r="C238" i="2"/>
  <c r="C239" i="2" s="1"/>
  <c r="L239" i="2" s="1"/>
  <c r="C223" i="2"/>
  <c r="C224" i="2" s="1"/>
  <c r="D261" i="2"/>
  <c r="D262" i="2" s="1"/>
  <c r="M262" i="2" s="1"/>
  <c r="D251" i="2"/>
  <c r="D252" i="2" s="1"/>
  <c r="D88" i="2"/>
  <c r="D89" i="2" s="1"/>
  <c r="F46" i="2"/>
  <c r="F47" i="2" s="1"/>
  <c r="C261" i="2"/>
  <c r="C262" i="2" s="1"/>
  <c r="L262" i="2" s="1"/>
  <c r="C251" i="2"/>
  <c r="C252" i="2" s="1"/>
  <c r="D333" i="2"/>
  <c r="D334" i="2" s="1"/>
  <c r="M334" i="2" s="1"/>
  <c r="D321" i="2"/>
  <c r="D322" i="2" s="1"/>
  <c r="D647" i="2"/>
  <c r="D648" i="2" s="1"/>
  <c r="M648" i="2" s="1"/>
  <c r="D637" i="2"/>
  <c r="D638" i="2" s="1"/>
  <c r="F624" i="2"/>
  <c r="F625" i="2" s="1"/>
  <c r="K625" i="2" s="1"/>
  <c r="F616" i="2"/>
  <c r="F617" i="2" s="1"/>
  <c r="D238" i="2"/>
  <c r="D239" i="2" s="1"/>
  <c r="M239" i="2" s="1"/>
  <c r="C527" i="2"/>
  <c r="C528" i="2" s="1"/>
  <c r="L528" i="2" s="1"/>
  <c r="C513" i="2"/>
  <c r="C514" i="2" s="1"/>
  <c r="D311" i="2"/>
  <c r="D312" i="2" s="1"/>
  <c r="M312" i="2" s="1"/>
  <c r="D298" i="2"/>
  <c r="D299" i="2" s="1"/>
  <c r="C333" i="2"/>
  <c r="C334" i="2" s="1"/>
  <c r="L334" i="2" s="1"/>
  <c r="C321" i="2"/>
  <c r="C322" i="2" s="1"/>
  <c r="C144" i="2"/>
  <c r="C145" i="2" s="1"/>
  <c r="L145" i="2" s="1"/>
  <c r="C132" i="2"/>
  <c r="C133" i="2" s="1"/>
  <c r="C616" i="2"/>
  <c r="C617" i="2" s="1"/>
  <c r="D527" i="2"/>
  <c r="D528" i="2" s="1"/>
  <c r="M528" i="2" s="1"/>
  <c r="D513" i="2"/>
  <c r="D514" i="2" s="1"/>
  <c r="D624" i="2"/>
  <c r="D625" i="2" s="1"/>
  <c r="M625" i="2" s="1"/>
  <c r="D616" i="2"/>
  <c r="D617" i="2" s="1"/>
  <c r="F311" i="2"/>
  <c r="F312" i="2" s="1"/>
  <c r="K312" i="2" s="1"/>
  <c r="F144" i="2"/>
  <c r="F145" i="2" s="1"/>
  <c r="K145" i="2" s="1"/>
  <c r="F132" i="2"/>
  <c r="F133" i="2" s="1"/>
  <c r="D66" i="2"/>
  <c r="D67" i="2" s="1"/>
  <c r="C311" i="2"/>
  <c r="C312" i="2" s="1"/>
  <c r="L312" i="2" s="1"/>
  <c r="C298" i="2"/>
  <c r="C299" i="2" s="1"/>
  <c r="C469" i="2"/>
  <c r="C470" i="2" s="1"/>
  <c r="C447" i="2"/>
  <c r="C448" i="2" s="1"/>
  <c r="C637" i="2"/>
  <c r="C638" i="2" s="1"/>
  <c r="C386" i="2"/>
  <c r="C387" i="2" s="1"/>
  <c r="L387" i="2" s="1"/>
  <c r="C372" i="2"/>
  <c r="C373" i="2" s="1"/>
  <c r="D434" i="2"/>
  <c r="D435" i="2" s="1"/>
  <c r="M435" i="2" s="1"/>
  <c r="D420" i="2"/>
  <c r="D421" i="2" s="1"/>
  <c r="F184" i="2"/>
  <c r="F185" i="2" s="1"/>
  <c r="K185" i="2" s="1"/>
  <c r="F174" i="2"/>
  <c r="F175" i="2" s="1"/>
  <c r="F66" i="2"/>
  <c r="F67" i="2" s="1"/>
  <c r="C46" i="2"/>
  <c r="C47" i="2" s="1"/>
  <c r="F637" i="2"/>
  <c r="F638" i="2" s="1"/>
  <c r="F78" i="2"/>
  <c r="F79" i="2" s="1"/>
  <c r="F80" i="2" s="1"/>
  <c r="C78" i="2"/>
  <c r="C79" i="2" s="1"/>
  <c r="C80" i="2" s="1"/>
  <c r="F649" i="2"/>
  <c r="F650" i="2" s="1"/>
  <c r="F651" i="2" s="1"/>
  <c r="D649" i="2"/>
  <c r="D650" i="2" s="1"/>
  <c r="D651" i="2" s="1"/>
  <c r="C550" i="2"/>
  <c r="C551" i="2" s="1"/>
  <c r="C552" i="2" s="1"/>
  <c r="F550" i="2"/>
  <c r="F551" i="2" s="1"/>
  <c r="F552" i="2" s="1"/>
  <c r="C529" i="2"/>
  <c r="C530" i="2" s="1"/>
  <c r="C531" i="2" s="1"/>
  <c r="D529" i="2"/>
  <c r="D530" i="2" s="1"/>
  <c r="D531" i="2" s="1"/>
  <c r="D263" i="2"/>
  <c r="D264" i="2" s="1"/>
  <c r="D265" i="2" s="1"/>
  <c r="C263" i="2"/>
  <c r="C264" i="2" s="1"/>
  <c r="C265" i="2" s="1"/>
  <c r="F263" i="2"/>
  <c r="F264" i="2" s="1"/>
  <c r="F265" i="2" s="1"/>
  <c r="E191" i="2"/>
  <c r="E583" i="2"/>
  <c r="E340" i="2"/>
  <c r="E104" i="2"/>
  <c r="K9" i="2"/>
  <c r="K8" i="2"/>
  <c r="K7" i="2"/>
  <c r="K6" i="2"/>
  <c r="C4" i="1"/>
  <c r="K5" i="2" s="1"/>
  <c r="F513" i="2" l="1"/>
  <c r="F514" i="2" s="1"/>
  <c r="C501" i="2"/>
  <c r="C502" i="2" s="1"/>
  <c r="L502" i="2" s="1"/>
  <c r="C420" i="2"/>
  <c r="C421" i="2" s="1"/>
  <c r="F447" i="2"/>
  <c r="F448" i="2" s="1"/>
  <c r="F455" i="2" s="1"/>
  <c r="F456" i="2" s="1"/>
  <c r="C154" i="2"/>
  <c r="C155" i="2" s="1"/>
  <c r="F333" i="2"/>
  <c r="F334" i="2" s="1"/>
  <c r="K334" i="2" s="1"/>
  <c r="D469" i="2"/>
  <c r="D470" i="2" s="1"/>
  <c r="D476" i="2" s="1"/>
  <c r="D477" i="2" s="1"/>
  <c r="C670" i="2"/>
  <c r="C671" i="2" s="1"/>
  <c r="L671" i="2" s="1"/>
  <c r="F372" i="2"/>
  <c r="F373" i="2" s="1"/>
  <c r="C66" i="2"/>
  <c r="C67" i="2" s="1"/>
  <c r="D537" i="2"/>
  <c r="D538" i="2" s="1"/>
  <c r="D532" i="2"/>
  <c r="D533" i="2" s="1"/>
  <c r="D534" i="2" s="1"/>
  <c r="D535" i="2" s="1"/>
  <c r="D536" i="2" s="1"/>
  <c r="F645" i="2"/>
  <c r="F646" i="2" s="1"/>
  <c r="F639" i="2"/>
  <c r="F640" i="2" s="1"/>
  <c r="F641" i="2" s="1"/>
  <c r="F642" i="2" s="1"/>
  <c r="F643" i="2" s="1"/>
  <c r="F644" i="2" s="1"/>
  <c r="D622" i="2"/>
  <c r="D623" i="2" s="1"/>
  <c r="D618" i="2"/>
  <c r="D619" i="2" s="1"/>
  <c r="D620" i="2" s="1"/>
  <c r="D621" i="2" s="1"/>
  <c r="C326" i="2"/>
  <c r="C327" i="2" s="1"/>
  <c r="C328" i="2" s="1"/>
  <c r="C329" i="2" s="1"/>
  <c r="C323" i="2"/>
  <c r="C324" i="2" s="1"/>
  <c r="C325" i="2" s="1"/>
  <c r="F622" i="2"/>
  <c r="F623" i="2" s="1"/>
  <c r="F618" i="2"/>
  <c r="F619" i="2" s="1"/>
  <c r="F620" i="2" s="1"/>
  <c r="F621" i="2" s="1"/>
  <c r="F51" i="2"/>
  <c r="F52" i="2" s="1"/>
  <c r="F48" i="2"/>
  <c r="F49" i="2" s="1"/>
  <c r="F50" i="2" s="1"/>
  <c r="D455" i="2"/>
  <c r="D456" i="2" s="1"/>
  <c r="D449" i="2"/>
  <c r="D450" i="2" s="1"/>
  <c r="D451" i="2" s="1"/>
  <c r="D452" i="2" s="1"/>
  <c r="D453" i="2" s="1"/>
  <c r="D454" i="2" s="1"/>
  <c r="F499" i="2"/>
  <c r="F500" i="2" s="1"/>
  <c r="F493" i="2"/>
  <c r="F494" i="2" s="1"/>
  <c r="F495" i="2" s="1"/>
  <c r="F496" i="2" s="1"/>
  <c r="F497" i="2" s="1"/>
  <c r="F498" i="2" s="1"/>
  <c r="C182" i="2"/>
  <c r="C183" i="2" s="1"/>
  <c r="C176" i="2"/>
  <c r="C177" i="2" s="1"/>
  <c r="C178" i="2" s="1"/>
  <c r="C179" i="2" s="1"/>
  <c r="C180" i="2" s="1"/>
  <c r="C181" i="2" s="1"/>
  <c r="D137" i="2"/>
  <c r="D138" i="2" s="1"/>
  <c r="D139" i="2" s="1"/>
  <c r="D140" i="2" s="1"/>
  <c r="D134" i="2"/>
  <c r="D135" i="2" s="1"/>
  <c r="D136" i="2" s="1"/>
  <c r="C427" i="2"/>
  <c r="C428" i="2" s="1"/>
  <c r="C429" i="2" s="1"/>
  <c r="C430" i="2" s="1"/>
  <c r="C422" i="2"/>
  <c r="C423" i="2" s="1"/>
  <c r="C424" i="2" s="1"/>
  <c r="C425" i="2" s="1"/>
  <c r="C426" i="2" s="1"/>
  <c r="F427" i="2"/>
  <c r="F428" i="2" s="1"/>
  <c r="F429" i="2" s="1"/>
  <c r="F430" i="2" s="1"/>
  <c r="F422" i="2"/>
  <c r="F423" i="2" s="1"/>
  <c r="F424" i="2" s="1"/>
  <c r="F425" i="2" s="1"/>
  <c r="F426" i="2" s="1"/>
  <c r="C537" i="2"/>
  <c r="C538" i="2" s="1"/>
  <c r="C532" i="2"/>
  <c r="C533" i="2" s="1"/>
  <c r="C534" i="2" s="1"/>
  <c r="C535" i="2" s="1"/>
  <c r="C536" i="2" s="1"/>
  <c r="C51" i="2"/>
  <c r="C52" i="2" s="1"/>
  <c r="C48" i="2"/>
  <c r="C49" i="2" s="1"/>
  <c r="C50" i="2" s="1"/>
  <c r="C304" i="2"/>
  <c r="C305" i="2" s="1"/>
  <c r="C306" i="2" s="1"/>
  <c r="C307" i="2" s="1"/>
  <c r="C300" i="2"/>
  <c r="C301" i="2" s="1"/>
  <c r="C302" i="2" s="1"/>
  <c r="C303" i="2" s="1"/>
  <c r="D95" i="2"/>
  <c r="D96" i="2" s="1"/>
  <c r="D90" i="2"/>
  <c r="D91" i="2" s="1"/>
  <c r="D92" i="2" s="1"/>
  <c r="D93" i="2" s="1"/>
  <c r="D94" i="2" s="1"/>
  <c r="F559" i="2"/>
  <c r="F560" i="2" s="1"/>
  <c r="F576" i="2" s="1"/>
  <c r="F577" i="2" s="1"/>
  <c r="K577" i="2" s="1"/>
  <c r="F553" i="2"/>
  <c r="F554" i="2" s="1"/>
  <c r="F555" i="2" s="1"/>
  <c r="F556" i="2" s="1"/>
  <c r="F557" i="2" s="1"/>
  <c r="F558" i="2" s="1"/>
  <c r="F74" i="2"/>
  <c r="F75" i="2" s="1"/>
  <c r="F68" i="2"/>
  <c r="F69" i="2" s="1"/>
  <c r="F70" i="2" s="1"/>
  <c r="F71" i="2" s="1"/>
  <c r="F72" i="2" s="1"/>
  <c r="F73" i="2" s="1"/>
  <c r="C645" i="2"/>
  <c r="C646" i="2" s="1"/>
  <c r="C639" i="2"/>
  <c r="C640" i="2" s="1"/>
  <c r="C641" i="2" s="1"/>
  <c r="C642" i="2" s="1"/>
  <c r="C643" i="2" s="1"/>
  <c r="C644" i="2" s="1"/>
  <c r="D520" i="2"/>
  <c r="D521" i="2" s="1"/>
  <c r="D522" i="2" s="1"/>
  <c r="D523" i="2" s="1"/>
  <c r="D515" i="2"/>
  <c r="D516" i="2" s="1"/>
  <c r="D517" i="2" s="1"/>
  <c r="D518" i="2" s="1"/>
  <c r="D519" i="2" s="1"/>
  <c r="D304" i="2"/>
  <c r="D305" i="2" s="1"/>
  <c r="D306" i="2" s="1"/>
  <c r="D307" i="2" s="1"/>
  <c r="D300" i="2"/>
  <c r="D301" i="2" s="1"/>
  <c r="D302" i="2" s="1"/>
  <c r="D303" i="2" s="1"/>
  <c r="D645" i="2"/>
  <c r="D646" i="2" s="1"/>
  <c r="D639" i="2"/>
  <c r="D640" i="2" s="1"/>
  <c r="D641" i="2" s="1"/>
  <c r="D642" i="2" s="1"/>
  <c r="D643" i="2" s="1"/>
  <c r="D644" i="2" s="1"/>
  <c r="D259" i="2"/>
  <c r="D260" i="2" s="1"/>
  <c r="D253" i="2"/>
  <c r="D254" i="2" s="1"/>
  <c r="D255" i="2" s="1"/>
  <c r="D256" i="2" s="1"/>
  <c r="D257" i="2" s="1"/>
  <c r="D258" i="2" s="1"/>
  <c r="C406" i="2"/>
  <c r="C407" i="2" s="1"/>
  <c r="C401" i="2"/>
  <c r="C402" i="2" s="1"/>
  <c r="C403" i="2" s="1"/>
  <c r="C404" i="2" s="1"/>
  <c r="C405" i="2" s="1"/>
  <c r="D182" i="2"/>
  <c r="D183" i="2" s="1"/>
  <c r="D176" i="2"/>
  <c r="D177" i="2" s="1"/>
  <c r="D178" i="2" s="1"/>
  <c r="D179" i="2" s="1"/>
  <c r="D180" i="2" s="1"/>
  <c r="D181" i="2" s="1"/>
  <c r="C159" i="2"/>
  <c r="C160" i="2" s="1"/>
  <c r="C156" i="2"/>
  <c r="C157" i="2" s="1"/>
  <c r="C158" i="2" s="1"/>
  <c r="F231" i="2"/>
  <c r="F232" i="2" s="1"/>
  <c r="F233" i="2" s="1"/>
  <c r="F234" i="2" s="1"/>
  <c r="F225" i="2"/>
  <c r="F226" i="2" s="1"/>
  <c r="F227" i="2" s="1"/>
  <c r="F228" i="2" s="1"/>
  <c r="F229" i="2" s="1"/>
  <c r="F230" i="2" s="1"/>
  <c r="F476" i="2"/>
  <c r="F477" i="2" s="1"/>
  <c r="F471" i="2"/>
  <c r="F472" i="2" s="1"/>
  <c r="F473" i="2" s="1"/>
  <c r="F474" i="2" s="1"/>
  <c r="F475" i="2" s="1"/>
  <c r="D159" i="2"/>
  <c r="D160" i="2" s="1"/>
  <c r="D156" i="2"/>
  <c r="D157" i="2" s="1"/>
  <c r="D158" i="2" s="1"/>
  <c r="C559" i="2"/>
  <c r="C560" i="2" s="1"/>
  <c r="C561" i="2" s="1"/>
  <c r="C562" i="2" s="1"/>
  <c r="C553" i="2"/>
  <c r="C554" i="2" s="1"/>
  <c r="C555" i="2" s="1"/>
  <c r="C556" i="2" s="1"/>
  <c r="C557" i="2" s="1"/>
  <c r="C558" i="2" s="1"/>
  <c r="F182" i="2"/>
  <c r="F183" i="2" s="1"/>
  <c r="F176" i="2"/>
  <c r="F177" i="2" s="1"/>
  <c r="F178" i="2" s="1"/>
  <c r="F179" i="2" s="1"/>
  <c r="F180" i="2" s="1"/>
  <c r="F181" i="2" s="1"/>
  <c r="C455" i="2"/>
  <c r="C456" i="2" s="1"/>
  <c r="C449" i="2"/>
  <c r="C450" i="2" s="1"/>
  <c r="C451" i="2" s="1"/>
  <c r="C452" i="2" s="1"/>
  <c r="C453" i="2" s="1"/>
  <c r="C454" i="2" s="1"/>
  <c r="D74" i="2"/>
  <c r="D75" i="2" s="1"/>
  <c r="D68" i="2"/>
  <c r="D69" i="2" s="1"/>
  <c r="D70" i="2" s="1"/>
  <c r="D71" i="2" s="1"/>
  <c r="D72" i="2" s="1"/>
  <c r="D73" i="2" s="1"/>
  <c r="D658" i="2"/>
  <c r="D659" i="2" s="1"/>
  <c r="D670" i="2" s="1"/>
  <c r="D671" i="2" s="1"/>
  <c r="M671" i="2" s="1"/>
  <c r="D652" i="2"/>
  <c r="D653" i="2" s="1"/>
  <c r="D654" i="2" s="1"/>
  <c r="D655" i="2" s="1"/>
  <c r="D656" i="2" s="1"/>
  <c r="D657" i="2" s="1"/>
  <c r="F137" i="2"/>
  <c r="F138" i="2" s="1"/>
  <c r="F139" i="2" s="1"/>
  <c r="F140" i="2" s="1"/>
  <c r="F134" i="2"/>
  <c r="F135" i="2" s="1"/>
  <c r="F136" i="2" s="1"/>
  <c r="C622" i="2"/>
  <c r="C623" i="2" s="1"/>
  <c r="C618" i="2"/>
  <c r="C619" i="2" s="1"/>
  <c r="C620" i="2" s="1"/>
  <c r="C621" i="2" s="1"/>
  <c r="C520" i="2"/>
  <c r="C521" i="2" s="1"/>
  <c r="C522" i="2" s="1"/>
  <c r="C523" i="2" s="1"/>
  <c r="C515" i="2"/>
  <c r="C516" i="2" s="1"/>
  <c r="C517" i="2" s="1"/>
  <c r="C518" i="2" s="1"/>
  <c r="C519" i="2" s="1"/>
  <c r="D326" i="2"/>
  <c r="D327" i="2" s="1"/>
  <c r="D328" i="2" s="1"/>
  <c r="D329" i="2" s="1"/>
  <c r="D323" i="2"/>
  <c r="D324" i="2" s="1"/>
  <c r="D325" i="2" s="1"/>
  <c r="C231" i="2"/>
  <c r="C232" i="2" s="1"/>
  <c r="C233" i="2" s="1"/>
  <c r="C234" i="2" s="1"/>
  <c r="C225" i="2"/>
  <c r="C226" i="2" s="1"/>
  <c r="C227" i="2" s="1"/>
  <c r="C228" i="2" s="1"/>
  <c r="C229" i="2" s="1"/>
  <c r="C230" i="2" s="1"/>
  <c r="C668" i="2"/>
  <c r="C669" i="2" s="1"/>
  <c r="C662" i="2"/>
  <c r="C663" i="2" s="1"/>
  <c r="C664" i="2" s="1"/>
  <c r="C665" i="2" s="1"/>
  <c r="C666" i="2" s="1"/>
  <c r="C667" i="2" s="1"/>
  <c r="D379" i="2"/>
  <c r="D380" i="2" s="1"/>
  <c r="D381" i="2" s="1"/>
  <c r="D382" i="2" s="1"/>
  <c r="D374" i="2"/>
  <c r="D375" i="2" s="1"/>
  <c r="D376" i="2" s="1"/>
  <c r="D377" i="2" s="1"/>
  <c r="D378" i="2" s="1"/>
  <c r="F259" i="2"/>
  <c r="F260" i="2" s="1"/>
  <c r="F253" i="2"/>
  <c r="F254" i="2" s="1"/>
  <c r="F255" i="2" s="1"/>
  <c r="F256" i="2" s="1"/>
  <c r="F257" i="2" s="1"/>
  <c r="F258" i="2" s="1"/>
  <c r="F546" i="2"/>
  <c r="F547" i="2" s="1"/>
  <c r="F541" i="2"/>
  <c r="F542" i="2" s="1"/>
  <c r="F543" i="2" s="1"/>
  <c r="F544" i="2" s="1"/>
  <c r="F545" i="2" s="1"/>
  <c r="F520" i="2"/>
  <c r="F521" i="2" s="1"/>
  <c r="F522" i="2" s="1"/>
  <c r="F523" i="2" s="1"/>
  <c r="F515" i="2"/>
  <c r="F516" i="2" s="1"/>
  <c r="F517" i="2" s="1"/>
  <c r="F518" i="2" s="1"/>
  <c r="F519" i="2" s="1"/>
  <c r="F326" i="2"/>
  <c r="F327" i="2" s="1"/>
  <c r="F328" i="2" s="1"/>
  <c r="F329" i="2" s="1"/>
  <c r="F323" i="2"/>
  <c r="F324" i="2" s="1"/>
  <c r="F325" i="2" s="1"/>
  <c r="F271" i="2"/>
  <c r="F272" i="2" s="1"/>
  <c r="F288" i="2" s="1"/>
  <c r="F289" i="2" s="1"/>
  <c r="K289" i="2" s="1"/>
  <c r="F266" i="2"/>
  <c r="F267" i="2" s="1"/>
  <c r="F268" i="2" s="1"/>
  <c r="F269" i="2" s="1"/>
  <c r="F270" i="2" s="1"/>
  <c r="F658" i="2"/>
  <c r="F659" i="2" s="1"/>
  <c r="F652" i="2"/>
  <c r="F653" i="2" s="1"/>
  <c r="F654" i="2" s="1"/>
  <c r="F655" i="2" s="1"/>
  <c r="F656" i="2" s="1"/>
  <c r="F657" i="2" s="1"/>
  <c r="D427" i="2"/>
  <c r="D428" i="2" s="1"/>
  <c r="D429" i="2" s="1"/>
  <c r="D430" i="2" s="1"/>
  <c r="D422" i="2"/>
  <c r="D423" i="2" s="1"/>
  <c r="D424" i="2" s="1"/>
  <c r="D425" i="2" s="1"/>
  <c r="D426" i="2" s="1"/>
  <c r="F379" i="2"/>
  <c r="F380" i="2" s="1"/>
  <c r="F381" i="2" s="1"/>
  <c r="F382" i="2" s="1"/>
  <c r="F374" i="2"/>
  <c r="F375" i="2" s="1"/>
  <c r="F376" i="2" s="1"/>
  <c r="F377" i="2" s="1"/>
  <c r="F378" i="2" s="1"/>
  <c r="C74" i="2"/>
  <c r="C75" i="2" s="1"/>
  <c r="C68" i="2"/>
  <c r="C69" i="2" s="1"/>
  <c r="C70" i="2" s="1"/>
  <c r="C71" i="2" s="1"/>
  <c r="C72" i="2" s="1"/>
  <c r="C73" i="2" s="1"/>
  <c r="C271" i="2"/>
  <c r="C272" i="2" s="1"/>
  <c r="C288" i="2" s="1"/>
  <c r="C289" i="2" s="1"/>
  <c r="L289" i="2" s="1"/>
  <c r="C266" i="2"/>
  <c r="C267" i="2" s="1"/>
  <c r="C268" i="2" s="1"/>
  <c r="C269" i="2" s="1"/>
  <c r="C270" i="2" s="1"/>
  <c r="C86" i="2"/>
  <c r="C87" i="2" s="1"/>
  <c r="C81" i="2"/>
  <c r="C82" i="2" s="1"/>
  <c r="C83" i="2" s="1"/>
  <c r="C84" i="2" s="1"/>
  <c r="C85" i="2" s="1"/>
  <c r="F304" i="2"/>
  <c r="F305" i="2" s="1"/>
  <c r="F306" i="2" s="1"/>
  <c r="F307" i="2" s="1"/>
  <c r="F300" i="2"/>
  <c r="F301" i="2" s="1"/>
  <c r="F302" i="2" s="1"/>
  <c r="F303" i="2" s="1"/>
  <c r="C137" i="2"/>
  <c r="C138" i="2" s="1"/>
  <c r="C139" i="2" s="1"/>
  <c r="C140" i="2" s="1"/>
  <c r="C134" i="2"/>
  <c r="C135" i="2" s="1"/>
  <c r="C136" i="2" s="1"/>
  <c r="D231" i="2"/>
  <c r="D232" i="2" s="1"/>
  <c r="D233" i="2" s="1"/>
  <c r="D234" i="2" s="1"/>
  <c r="D225" i="2"/>
  <c r="D226" i="2" s="1"/>
  <c r="D227" i="2" s="1"/>
  <c r="D228" i="2" s="1"/>
  <c r="D229" i="2" s="1"/>
  <c r="D230" i="2" s="1"/>
  <c r="C259" i="2"/>
  <c r="C260" i="2" s="1"/>
  <c r="C253" i="2"/>
  <c r="C254" i="2" s="1"/>
  <c r="C255" i="2" s="1"/>
  <c r="C256" i="2" s="1"/>
  <c r="C257" i="2" s="1"/>
  <c r="C258" i="2" s="1"/>
  <c r="C499" i="2"/>
  <c r="C500" i="2" s="1"/>
  <c r="C493" i="2"/>
  <c r="C494" i="2" s="1"/>
  <c r="C495" i="2" s="1"/>
  <c r="C496" i="2" s="1"/>
  <c r="C497" i="2" s="1"/>
  <c r="C498" i="2" s="1"/>
  <c r="F154" i="2"/>
  <c r="F155" i="2" s="1"/>
  <c r="D499" i="2"/>
  <c r="D500" i="2" s="1"/>
  <c r="D493" i="2"/>
  <c r="D494" i="2" s="1"/>
  <c r="D495" i="2" s="1"/>
  <c r="D496" i="2" s="1"/>
  <c r="D497" i="2" s="1"/>
  <c r="D498" i="2" s="1"/>
  <c r="D569" i="2"/>
  <c r="D570" i="2" s="1"/>
  <c r="D571" i="2" s="1"/>
  <c r="D572" i="2" s="1"/>
  <c r="D563" i="2"/>
  <c r="D564" i="2" s="1"/>
  <c r="D565" i="2" s="1"/>
  <c r="D566" i="2" s="1"/>
  <c r="D567" i="2" s="1"/>
  <c r="D568" i="2" s="1"/>
  <c r="F399" i="2"/>
  <c r="F400" i="2" s="1"/>
  <c r="D406" i="2"/>
  <c r="D407" i="2" s="1"/>
  <c r="D401" i="2"/>
  <c r="D402" i="2" s="1"/>
  <c r="D403" i="2" s="1"/>
  <c r="D404" i="2" s="1"/>
  <c r="D405" i="2" s="1"/>
  <c r="D271" i="2"/>
  <c r="D272" i="2" s="1"/>
  <c r="D266" i="2"/>
  <c r="D267" i="2" s="1"/>
  <c r="D268" i="2" s="1"/>
  <c r="D269" i="2" s="1"/>
  <c r="D270" i="2" s="1"/>
  <c r="F86" i="2"/>
  <c r="F87" i="2" s="1"/>
  <c r="F81" i="2"/>
  <c r="F82" i="2" s="1"/>
  <c r="F83" i="2" s="1"/>
  <c r="F84" i="2" s="1"/>
  <c r="F85" i="2" s="1"/>
  <c r="C379" i="2"/>
  <c r="C380" i="2" s="1"/>
  <c r="C381" i="2" s="1"/>
  <c r="C382" i="2" s="1"/>
  <c r="C374" i="2"/>
  <c r="C375" i="2" s="1"/>
  <c r="C376" i="2" s="1"/>
  <c r="C377" i="2" s="1"/>
  <c r="C378" i="2" s="1"/>
  <c r="C476" i="2"/>
  <c r="C477" i="2" s="1"/>
  <c r="C471" i="2"/>
  <c r="C472" i="2" s="1"/>
  <c r="C473" i="2" s="1"/>
  <c r="C474" i="2" s="1"/>
  <c r="C475" i="2" s="1"/>
  <c r="D51" i="2"/>
  <c r="D52" i="2" s="1"/>
  <c r="D48" i="2"/>
  <c r="D49" i="2" s="1"/>
  <c r="D50" i="2" s="1"/>
  <c r="F561" i="2"/>
  <c r="F562" i="2" s="1"/>
  <c r="D548" i="2"/>
  <c r="D549" i="2" s="1"/>
  <c r="M549" i="2" s="1"/>
  <c r="D539" i="2"/>
  <c r="D540" i="2" s="1"/>
  <c r="C576" i="2"/>
  <c r="C577" i="2" s="1"/>
  <c r="L577" i="2" s="1"/>
  <c r="F670" i="2"/>
  <c r="F671" i="2" s="1"/>
  <c r="K671" i="2" s="1"/>
  <c r="F660" i="2"/>
  <c r="F661" i="2" s="1"/>
  <c r="C97" i="2"/>
  <c r="C98" i="2" s="1"/>
  <c r="L98" i="2" s="1"/>
  <c r="C88" i="2"/>
  <c r="C89" i="2" s="1"/>
  <c r="C548" i="2"/>
  <c r="C549" i="2" s="1"/>
  <c r="L549" i="2" s="1"/>
  <c r="C539" i="2"/>
  <c r="C540" i="2" s="1"/>
  <c r="C273" i="2"/>
  <c r="C274" i="2" s="1"/>
  <c r="C103" i="2"/>
  <c r="C104" i="2" s="1"/>
  <c r="C105" i="2" s="1"/>
  <c r="D288" i="2"/>
  <c r="D289" i="2" s="1"/>
  <c r="M289" i="2" s="1"/>
  <c r="D273" i="2"/>
  <c r="D274" i="2" s="1"/>
  <c r="F97" i="2"/>
  <c r="F98" i="2" s="1"/>
  <c r="K98" i="2" s="1"/>
  <c r="F88" i="2"/>
  <c r="F89" i="2" s="1"/>
  <c r="E13" i="2"/>
  <c r="E14" i="2" s="1"/>
  <c r="F14" i="2" s="1"/>
  <c r="F15" i="2" s="1"/>
  <c r="F16" i="2" s="1"/>
  <c r="F582" i="2"/>
  <c r="F583" i="2" s="1"/>
  <c r="F584" i="2" s="1"/>
  <c r="D339" i="2"/>
  <c r="D340" i="2" s="1"/>
  <c r="D341" i="2" s="1"/>
  <c r="E105" i="2"/>
  <c r="E341" i="2"/>
  <c r="E584" i="2"/>
  <c r="E192" i="2"/>
  <c r="F449" i="2" l="1"/>
  <c r="F450" i="2" s="1"/>
  <c r="F451" i="2" s="1"/>
  <c r="F452" i="2" s="1"/>
  <c r="F453" i="2" s="1"/>
  <c r="F454" i="2" s="1"/>
  <c r="D471" i="2"/>
  <c r="D472" i="2" s="1"/>
  <c r="D473" i="2" s="1"/>
  <c r="D474" i="2" s="1"/>
  <c r="D475" i="2" s="1"/>
  <c r="C569" i="2"/>
  <c r="C570" i="2" s="1"/>
  <c r="C571" i="2" s="1"/>
  <c r="C572" i="2" s="1"/>
  <c r="C563" i="2"/>
  <c r="C564" i="2" s="1"/>
  <c r="C565" i="2" s="1"/>
  <c r="C566" i="2" s="1"/>
  <c r="C567" i="2" s="1"/>
  <c r="C568" i="2" s="1"/>
  <c r="D660" i="2"/>
  <c r="D661" i="2" s="1"/>
  <c r="D348" i="2"/>
  <c r="D349" i="2" s="1"/>
  <c r="D342" i="2"/>
  <c r="D343" i="2" s="1"/>
  <c r="D344" i="2" s="1"/>
  <c r="D345" i="2" s="1"/>
  <c r="D346" i="2" s="1"/>
  <c r="D347" i="2" s="1"/>
  <c r="C546" i="2"/>
  <c r="C547" i="2" s="1"/>
  <c r="C541" i="2"/>
  <c r="C542" i="2" s="1"/>
  <c r="C543" i="2" s="1"/>
  <c r="C544" i="2" s="1"/>
  <c r="C545" i="2" s="1"/>
  <c r="D574" i="2"/>
  <c r="D575" i="2" s="1"/>
  <c r="D573" i="2"/>
  <c r="E196" i="2"/>
  <c r="E197" i="2" s="1"/>
  <c r="E211" i="2" s="1"/>
  <c r="E212" i="2" s="1"/>
  <c r="E193" i="2"/>
  <c r="E194" i="2" s="1"/>
  <c r="E195" i="2" s="1"/>
  <c r="F95" i="2"/>
  <c r="F96" i="2" s="1"/>
  <c r="F90" i="2"/>
  <c r="F91" i="2" s="1"/>
  <c r="F92" i="2" s="1"/>
  <c r="F93" i="2" s="1"/>
  <c r="F94" i="2" s="1"/>
  <c r="D236" i="2"/>
  <c r="D237" i="2" s="1"/>
  <c r="D235" i="2"/>
  <c r="C236" i="2"/>
  <c r="C237" i="2" s="1"/>
  <c r="C235" i="2"/>
  <c r="F142" i="2"/>
  <c r="F143" i="2" s="1"/>
  <c r="F141" i="2"/>
  <c r="F236" i="2"/>
  <c r="F237" i="2" s="1"/>
  <c r="F235" i="2"/>
  <c r="C309" i="2"/>
  <c r="C310" i="2" s="1"/>
  <c r="C308" i="2"/>
  <c r="F432" i="2"/>
  <c r="F433" i="2" s="1"/>
  <c r="F431" i="2"/>
  <c r="C331" i="2"/>
  <c r="C332" i="2" s="1"/>
  <c r="C330" i="2"/>
  <c r="E348" i="2"/>
  <c r="E349" i="2" s="1"/>
  <c r="E350" i="2" s="1"/>
  <c r="E342" i="2"/>
  <c r="E343" i="2" s="1"/>
  <c r="E344" i="2" s="1"/>
  <c r="E345" i="2" s="1"/>
  <c r="E346" i="2" s="1"/>
  <c r="E347" i="2" s="1"/>
  <c r="F159" i="2"/>
  <c r="F160" i="2" s="1"/>
  <c r="F156" i="2"/>
  <c r="F157" i="2" s="1"/>
  <c r="F158" i="2" s="1"/>
  <c r="D331" i="2"/>
  <c r="D332" i="2" s="1"/>
  <c r="D330" i="2"/>
  <c r="E590" i="2"/>
  <c r="E591" i="2" s="1"/>
  <c r="E592" i="2" s="1"/>
  <c r="E585" i="2"/>
  <c r="E586" i="2" s="1"/>
  <c r="E587" i="2" s="1"/>
  <c r="E588" i="2" s="1"/>
  <c r="E589" i="2" s="1"/>
  <c r="C95" i="2"/>
  <c r="C96" i="2" s="1"/>
  <c r="C90" i="2"/>
  <c r="C91" i="2" s="1"/>
  <c r="C92" i="2" s="1"/>
  <c r="C93" i="2" s="1"/>
  <c r="C94" i="2" s="1"/>
  <c r="D281" i="2"/>
  <c r="D282" i="2" s="1"/>
  <c r="D283" i="2" s="1"/>
  <c r="D284" i="2" s="1"/>
  <c r="D275" i="2"/>
  <c r="D276" i="2" s="1"/>
  <c r="D277" i="2" s="1"/>
  <c r="D278" i="2" s="1"/>
  <c r="D279" i="2" s="1"/>
  <c r="D280" i="2" s="1"/>
  <c r="C142" i="2"/>
  <c r="C143" i="2" s="1"/>
  <c r="C141" i="2"/>
  <c r="C432" i="2"/>
  <c r="C433" i="2" s="1"/>
  <c r="C431" i="2"/>
  <c r="E111" i="2"/>
  <c r="E112" i="2" s="1"/>
  <c r="E106" i="2"/>
  <c r="E107" i="2" s="1"/>
  <c r="E108" i="2" s="1"/>
  <c r="E109" i="2" s="1"/>
  <c r="E110" i="2" s="1"/>
  <c r="F668" i="2"/>
  <c r="F669" i="2" s="1"/>
  <c r="F662" i="2"/>
  <c r="F663" i="2" s="1"/>
  <c r="F664" i="2" s="1"/>
  <c r="F665" i="2" s="1"/>
  <c r="F666" i="2" s="1"/>
  <c r="F667" i="2" s="1"/>
  <c r="D546" i="2"/>
  <c r="D547" i="2" s="1"/>
  <c r="D541" i="2"/>
  <c r="D542" i="2" s="1"/>
  <c r="D543" i="2" s="1"/>
  <c r="D544" i="2" s="1"/>
  <c r="D545" i="2" s="1"/>
  <c r="C111" i="2"/>
  <c r="C112" i="2" s="1"/>
  <c r="C122" i="2" s="1"/>
  <c r="C123" i="2" s="1"/>
  <c r="L123" i="2" s="1"/>
  <c r="C106" i="2"/>
  <c r="C107" i="2" s="1"/>
  <c r="C108" i="2" s="1"/>
  <c r="C109" i="2" s="1"/>
  <c r="C110" i="2" s="1"/>
  <c r="C384" i="2"/>
  <c r="C385" i="2" s="1"/>
  <c r="C383" i="2"/>
  <c r="F309" i="2"/>
  <c r="F310" i="2" s="1"/>
  <c r="F308" i="2"/>
  <c r="F384" i="2"/>
  <c r="F385" i="2" s="1"/>
  <c r="F383" i="2"/>
  <c r="F331" i="2"/>
  <c r="F332" i="2" s="1"/>
  <c r="F330" i="2"/>
  <c r="D384" i="2"/>
  <c r="D385" i="2" s="1"/>
  <c r="D383" i="2"/>
  <c r="C525" i="2"/>
  <c r="C526" i="2" s="1"/>
  <c r="C524" i="2"/>
  <c r="D309" i="2"/>
  <c r="D310" i="2" s="1"/>
  <c r="D308" i="2"/>
  <c r="D142" i="2"/>
  <c r="D143" i="2" s="1"/>
  <c r="D141" i="2"/>
  <c r="F590" i="2"/>
  <c r="F591" i="2" s="1"/>
  <c r="F605" i="2" s="1"/>
  <c r="F606" i="2" s="1"/>
  <c r="K606" i="2" s="1"/>
  <c r="F585" i="2"/>
  <c r="F586" i="2" s="1"/>
  <c r="F587" i="2" s="1"/>
  <c r="F588" i="2" s="1"/>
  <c r="F589" i="2" s="1"/>
  <c r="C281" i="2"/>
  <c r="C282" i="2" s="1"/>
  <c r="C283" i="2" s="1"/>
  <c r="C284" i="2" s="1"/>
  <c r="C275" i="2"/>
  <c r="C276" i="2" s="1"/>
  <c r="C277" i="2" s="1"/>
  <c r="C278" i="2" s="1"/>
  <c r="C279" i="2" s="1"/>
  <c r="C280" i="2" s="1"/>
  <c r="F273" i="2"/>
  <c r="F274" i="2" s="1"/>
  <c r="F569" i="2"/>
  <c r="F570" i="2" s="1"/>
  <c r="F571" i="2" s="1"/>
  <c r="F572" i="2" s="1"/>
  <c r="F563" i="2"/>
  <c r="F564" i="2" s="1"/>
  <c r="F565" i="2" s="1"/>
  <c r="F566" i="2" s="1"/>
  <c r="F567" i="2" s="1"/>
  <c r="F568" i="2" s="1"/>
  <c r="F406" i="2"/>
  <c r="F407" i="2" s="1"/>
  <c r="F401" i="2"/>
  <c r="F402" i="2" s="1"/>
  <c r="F403" i="2" s="1"/>
  <c r="F404" i="2" s="1"/>
  <c r="F405" i="2" s="1"/>
  <c r="F24" i="2"/>
  <c r="F25" i="2" s="1"/>
  <c r="F36" i="2" s="1"/>
  <c r="F37" i="2" s="1"/>
  <c r="K37" i="2" s="1"/>
  <c r="F17" i="2"/>
  <c r="F18" i="2" s="1"/>
  <c r="F19" i="2" s="1"/>
  <c r="F20" i="2" s="1"/>
  <c r="F21" i="2" s="1"/>
  <c r="F22" i="2" s="1"/>
  <c r="F23" i="2" s="1"/>
  <c r="D432" i="2"/>
  <c r="D433" i="2" s="1"/>
  <c r="D431" i="2"/>
  <c r="F525" i="2"/>
  <c r="F526" i="2" s="1"/>
  <c r="F524" i="2"/>
  <c r="D525" i="2"/>
  <c r="D526" i="2" s="1"/>
  <c r="D524" i="2"/>
  <c r="D103" i="2"/>
  <c r="D104" i="2" s="1"/>
  <c r="D105" i="2" s="1"/>
  <c r="H583" i="2"/>
  <c r="H584" i="2" s="1"/>
  <c r="F592" i="2"/>
  <c r="F593" i="2" s="1"/>
  <c r="E605" i="2"/>
  <c r="E606" i="2" s="1"/>
  <c r="E607" i="2" s="1"/>
  <c r="E608" i="2" s="1"/>
  <c r="E122" i="2"/>
  <c r="E123" i="2" s="1"/>
  <c r="E186" i="2" s="1"/>
  <c r="E187" i="2" s="1"/>
  <c r="J187" i="2" s="1"/>
  <c r="E113" i="2"/>
  <c r="F103" i="2"/>
  <c r="F104" i="2" s="1"/>
  <c r="D359" i="2"/>
  <c r="D360" i="2" s="1"/>
  <c r="M360" i="2" s="1"/>
  <c r="D350" i="2"/>
  <c r="D351" i="2" s="1"/>
  <c r="E198" i="2"/>
  <c r="D14" i="2"/>
  <c r="D15" i="2" s="1"/>
  <c r="D16" i="2" s="1"/>
  <c r="F339" i="2"/>
  <c r="F340" i="2" s="1"/>
  <c r="C14" i="2"/>
  <c r="C15" i="2" s="1"/>
  <c r="C16" i="2" s="1"/>
  <c r="C339" i="2"/>
  <c r="C340" i="2" s="1"/>
  <c r="C341" i="2" s="1"/>
  <c r="C582" i="2"/>
  <c r="C583" i="2" s="1"/>
  <c r="C584" i="2" s="1"/>
  <c r="E124" i="2"/>
  <c r="E125" i="2" s="1"/>
  <c r="D582" i="2"/>
  <c r="D583" i="2" s="1"/>
  <c r="D584" i="2" s="1"/>
  <c r="E15" i="2"/>
  <c r="C190" i="2"/>
  <c r="C191" i="2" s="1"/>
  <c r="C192" i="2" s="1"/>
  <c r="D190" i="2"/>
  <c r="D191" i="2" s="1"/>
  <c r="D192" i="2" s="1"/>
  <c r="F190" i="2"/>
  <c r="F191" i="2" s="1"/>
  <c r="E359" i="2" l="1"/>
  <c r="E360" i="2" s="1"/>
  <c r="E578" i="2" s="1"/>
  <c r="E579" i="2" s="1"/>
  <c r="J579" i="2" s="1"/>
  <c r="E361" i="2"/>
  <c r="E362" i="2" s="1"/>
  <c r="E363" i="2" s="1"/>
  <c r="E213" i="2"/>
  <c r="E214" i="2" s="1"/>
  <c r="E335" i="2"/>
  <c r="E336" i="2" s="1"/>
  <c r="J336" i="2" s="1"/>
  <c r="C113" i="2"/>
  <c r="C114" i="2" s="1"/>
  <c r="C120" i="2" s="1"/>
  <c r="C121" i="2" s="1"/>
  <c r="E672" i="2"/>
  <c r="E673" i="2" s="1"/>
  <c r="J673" i="2" s="1"/>
  <c r="H590" i="2"/>
  <c r="H591" i="2" s="1"/>
  <c r="N591" i="2" s="1"/>
  <c r="H585" i="2"/>
  <c r="H586" i="2" s="1"/>
  <c r="H587" i="2" s="1"/>
  <c r="H588" i="2" s="1"/>
  <c r="H589" i="2" s="1"/>
  <c r="F281" i="2"/>
  <c r="F282" i="2" s="1"/>
  <c r="F283" i="2" s="1"/>
  <c r="F284" i="2" s="1"/>
  <c r="F275" i="2"/>
  <c r="F276" i="2" s="1"/>
  <c r="F277" i="2" s="1"/>
  <c r="F278" i="2" s="1"/>
  <c r="F279" i="2" s="1"/>
  <c r="F280" i="2" s="1"/>
  <c r="C196" i="2"/>
  <c r="C197" i="2" s="1"/>
  <c r="C193" i="2"/>
  <c r="C194" i="2" s="1"/>
  <c r="C195" i="2" s="1"/>
  <c r="D111" i="2"/>
  <c r="D112" i="2" s="1"/>
  <c r="D113" i="2" s="1"/>
  <c r="D114" i="2" s="1"/>
  <c r="D106" i="2"/>
  <c r="D107" i="2" s="1"/>
  <c r="D108" i="2" s="1"/>
  <c r="D109" i="2" s="1"/>
  <c r="D110" i="2" s="1"/>
  <c r="C590" i="2"/>
  <c r="C591" i="2" s="1"/>
  <c r="C585" i="2"/>
  <c r="C586" i="2" s="1"/>
  <c r="C587" i="2" s="1"/>
  <c r="C588" i="2" s="1"/>
  <c r="C589" i="2" s="1"/>
  <c r="C286" i="2"/>
  <c r="C287" i="2" s="1"/>
  <c r="C285" i="2"/>
  <c r="D286" i="2"/>
  <c r="D287" i="2" s="1"/>
  <c r="D285" i="2"/>
  <c r="C348" i="2"/>
  <c r="C349" i="2" s="1"/>
  <c r="C359" i="2" s="1"/>
  <c r="C360" i="2" s="1"/>
  <c r="L360" i="2" s="1"/>
  <c r="C342" i="2"/>
  <c r="C343" i="2" s="1"/>
  <c r="C344" i="2" s="1"/>
  <c r="C345" i="2" s="1"/>
  <c r="C346" i="2" s="1"/>
  <c r="C347" i="2" s="1"/>
  <c r="C24" i="2"/>
  <c r="C25" i="2" s="1"/>
  <c r="C17" i="2"/>
  <c r="C18" i="2" s="1"/>
  <c r="C19" i="2" s="1"/>
  <c r="C20" i="2" s="1"/>
  <c r="C21" i="2" s="1"/>
  <c r="C22" i="2" s="1"/>
  <c r="C23" i="2" s="1"/>
  <c r="F26" i="2"/>
  <c r="F27" i="2" s="1"/>
  <c r="D590" i="2"/>
  <c r="D591" i="2" s="1"/>
  <c r="D605" i="2" s="1"/>
  <c r="D606" i="2" s="1"/>
  <c r="M606" i="2" s="1"/>
  <c r="D585" i="2"/>
  <c r="D586" i="2" s="1"/>
  <c r="D587" i="2" s="1"/>
  <c r="D588" i="2" s="1"/>
  <c r="D589" i="2" s="1"/>
  <c r="D357" i="2"/>
  <c r="D358" i="2" s="1"/>
  <c r="D352" i="2"/>
  <c r="D353" i="2" s="1"/>
  <c r="D354" i="2" s="1"/>
  <c r="D355" i="2" s="1"/>
  <c r="D356" i="2" s="1"/>
  <c r="D668" i="2"/>
  <c r="D669" i="2" s="1"/>
  <c r="D662" i="2"/>
  <c r="D663" i="2" s="1"/>
  <c r="D664" i="2" s="1"/>
  <c r="D665" i="2" s="1"/>
  <c r="D666" i="2" s="1"/>
  <c r="D667" i="2" s="1"/>
  <c r="D24" i="2"/>
  <c r="D25" i="2" s="1"/>
  <c r="D26" i="2" s="1"/>
  <c r="D27" i="2" s="1"/>
  <c r="D17" i="2"/>
  <c r="D18" i="2" s="1"/>
  <c r="D19" i="2" s="1"/>
  <c r="D20" i="2" s="1"/>
  <c r="D21" i="2" s="1"/>
  <c r="D22" i="2" s="1"/>
  <c r="D23" i="2" s="1"/>
  <c r="F598" i="2"/>
  <c r="F599" i="2" s="1"/>
  <c r="F600" i="2" s="1"/>
  <c r="F601" i="2" s="1"/>
  <c r="F594" i="2"/>
  <c r="F595" i="2" s="1"/>
  <c r="F596" i="2" s="1"/>
  <c r="F597" i="2" s="1"/>
  <c r="D196" i="2"/>
  <c r="D197" i="2" s="1"/>
  <c r="D198" i="2" s="1"/>
  <c r="D199" i="2" s="1"/>
  <c r="D193" i="2"/>
  <c r="D194" i="2" s="1"/>
  <c r="D195" i="2" s="1"/>
  <c r="F574" i="2"/>
  <c r="F575" i="2" s="1"/>
  <c r="F573" i="2"/>
  <c r="C574" i="2"/>
  <c r="C575" i="2" s="1"/>
  <c r="C573" i="2"/>
  <c r="C36" i="2"/>
  <c r="C37" i="2" s="1"/>
  <c r="L37" i="2" s="1"/>
  <c r="C26" i="2"/>
  <c r="C27" i="2" s="1"/>
  <c r="F341" i="2"/>
  <c r="H340" i="2"/>
  <c r="H341" i="2" s="1"/>
  <c r="D36" i="2"/>
  <c r="D37" i="2" s="1"/>
  <c r="M37" i="2" s="1"/>
  <c r="F105" i="2"/>
  <c r="H104" i="2"/>
  <c r="H105" i="2" s="1"/>
  <c r="C211" i="2"/>
  <c r="C212" i="2" s="1"/>
  <c r="L212" i="2" s="1"/>
  <c r="C198" i="2"/>
  <c r="C199" i="2" s="1"/>
  <c r="C605" i="2"/>
  <c r="C606" i="2" s="1"/>
  <c r="L606" i="2" s="1"/>
  <c r="C592" i="2"/>
  <c r="C593" i="2" s="1"/>
  <c r="E114" i="2"/>
  <c r="E351" i="2"/>
  <c r="E16" i="2"/>
  <c r="H15" i="2"/>
  <c r="H16" i="2" s="1"/>
  <c r="G592" i="2"/>
  <c r="G593" i="2" s="1"/>
  <c r="E593" i="2"/>
  <c r="E199" i="2"/>
  <c r="H362" i="2"/>
  <c r="H363" i="2" s="1"/>
  <c r="E215" i="2"/>
  <c r="H214" i="2"/>
  <c r="H215" i="2" s="1"/>
  <c r="H125" i="2"/>
  <c r="H126" i="2" s="1"/>
  <c r="E126" i="2"/>
  <c r="H608" i="2"/>
  <c r="H609" i="2" s="1"/>
  <c r="E609" i="2"/>
  <c r="F192" i="2"/>
  <c r="H191" i="2"/>
  <c r="H192" i="2" s="1"/>
  <c r="G583" i="2"/>
  <c r="G584" i="2" s="1"/>
  <c r="C350" i="2" l="1"/>
  <c r="C351" i="2" s="1"/>
  <c r="D122" i="2"/>
  <c r="D123" i="2" s="1"/>
  <c r="M123" i="2" s="1"/>
  <c r="C115" i="2"/>
  <c r="C116" i="2" s="1"/>
  <c r="C117" i="2" s="1"/>
  <c r="C118" i="2" s="1"/>
  <c r="C119" i="2" s="1"/>
  <c r="D592" i="2"/>
  <c r="D593" i="2" s="1"/>
  <c r="D594" i="2" s="1"/>
  <c r="D595" i="2" s="1"/>
  <c r="D596" i="2" s="1"/>
  <c r="D597" i="2" s="1"/>
  <c r="D34" i="2"/>
  <c r="D35" i="2" s="1"/>
  <c r="D28" i="2"/>
  <c r="D29" i="2" s="1"/>
  <c r="D30" i="2" s="1"/>
  <c r="D31" i="2" s="1"/>
  <c r="D32" i="2" s="1"/>
  <c r="D33" i="2" s="1"/>
  <c r="D204" i="2"/>
  <c r="D205" i="2" s="1"/>
  <c r="D206" i="2" s="1"/>
  <c r="D207" i="2" s="1"/>
  <c r="D200" i="2"/>
  <c r="D201" i="2" s="1"/>
  <c r="D202" i="2" s="1"/>
  <c r="D203" i="2" s="1"/>
  <c r="H614" i="2"/>
  <c r="H615" i="2" s="1"/>
  <c r="N615" i="2" s="1"/>
  <c r="H610" i="2"/>
  <c r="H611" i="2" s="1"/>
  <c r="H612" i="2" s="1"/>
  <c r="H613" i="2" s="1"/>
  <c r="C357" i="2"/>
  <c r="C358" i="2" s="1"/>
  <c r="C352" i="2"/>
  <c r="C353" i="2" s="1"/>
  <c r="C354" i="2" s="1"/>
  <c r="C355" i="2" s="1"/>
  <c r="C356" i="2" s="1"/>
  <c r="H221" i="2"/>
  <c r="H222" i="2" s="1"/>
  <c r="N222" i="2" s="1"/>
  <c r="H216" i="2"/>
  <c r="H217" i="2" s="1"/>
  <c r="H218" i="2" s="1"/>
  <c r="H219" i="2" s="1"/>
  <c r="H220" i="2" s="1"/>
  <c r="E614" i="2"/>
  <c r="E615" i="2" s="1"/>
  <c r="E616" i="2" s="1"/>
  <c r="E610" i="2"/>
  <c r="E611" i="2" s="1"/>
  <c r="E612" i="2" s="1"/>
  <c r="E613" i="2" s="1"/>
  <c r="E204" i="2"/>
  <c r="E205" i="2" s="1"/>
  <c r="E206" i="2" s="1"/>
  <c r="E200" i="2"/>
  <c r="E201" i="2" s="1"/>
  <c r="E202" i="2" s="1"/>
  <c r="E203" i="2" s="1"/>
  <c r="D120" i="2"/>
  <c r="D121" i="2" s="1"/>
  <c r="D115" i="2"/>
  <c r="D116" i="2" s="1"/>
  <c r="D117" i="2" s="1"/>
  <c r="D118" i="2" s="1"/>
  <c r="D119" i="2" s="1"/>
  <c r="E130" i="2"/>
  <c r="E131" i="2" s="1"/>
  <c r="E127" i="2"/>
  <c r="E128" i="2" s="1"/>
  <c r="E129" i="2" s="1"/>
  <c r="E120" i="2"/>
  <c r="E121" i="2" s="1"/>
  <c r="E115" i="2"/>
  <c r="E116" i="2" s="1"/>
  <c r="E117" i="2" s="1"/>
  <c r="E118" i="2" s="1"/>
  <c r="E119" i="2" s="1"/>
  <c r="F111" i="2"/>
  <c r="F112" i="2" s="1"/>
  <c r="F106" i="2"/>
  <c r="F107" i="2" s="1"/>
  <c r="F108" i="2" s="1"/>
  <c r="F109" i="2" s="1"/>
  <c r="F110" i="2" s="1"/>
  <c r="F603" i="2"/>
  <c r="F604" i="2" s="1"/>
  <c r="F602" i="2"/>
  <c r="H111" i="2"/>
  <c r="H112" i="2" s="1"/>
  <c r="N112" i="2" s="1"/>
  <c r="H106" i="2"/>
  <c r="H107" i="2" s="1"/>
  <c r="H108" i="2" s="1"/>
  <c r="H109" i="2" s="1"/>
  <c r="H110" i="2" s="1"/>
  <c r="C34" i="2"/>
  <c r="C35" i="2" s="1"/>
  <c r="C28" i="2"/>
  <c r="C29" i="2" s="1"/>
  <c r="C30" i="2" s="1"/>
  <c r="C31" i="2" s="1"/>
  <c r="C32" i="2" s="1"/>
  <c r="C33" i="2" s="1"/>
  <c r="H130" i="2"/>
  <c r="H131" i="2" s="1"/>
  <c r="N131" i="2" s="1"/>
  <c r="H127" i="2"/>
  <c r="H128" i="2" s="1"/>
  <c r="H129" i="2" s="1"/>
  <c r="E598" i="2"/>
  <c r="E599" i="2" s="1"/>
  <c r="E600" i="2" s="1"/>
  <c r="E601" i="2" s="1"/>
  <c r="E594" i="2"/>
  <c r="E595" i="2" s="1"/>
  <c r="E596" i="2" s="1"/>
  <c r="E597" i="2" s="1"/>
  <c r="C598" i="2"/>
  <c r="C599" i="2" s="1"/>
  <c r="C600" i="2" s="1"/>
  <c r="C601" i="2" s="1"/>
  <c r="C594" i="2"/>
  <c r="C595" i="2" s="1"/>
  <c r="C596" i="2" s="1"/>
  <c r="C597" i="2" s="1"/>
  <c r="F34" i="2"/>
  <c r="F35" i="2" s="1"/>
  <c r="F28" i="2"/>
  <c r="F29" i="2" s="1"/>
  <c r="F30" i="2" s="1"/>
  <c r="F31" i="2" s="1"/>
  <c r="F32" i="2" s="1"/>
  <c r="F33" i="2" s="1"/>
  <c r="G594" i="2"/>
  <c r="G595" i="2" s="1"/>
  <c r="G596" i="2" s="1"/>
  <c r="G597" i="2" s="1"/>
  <c r="H348" i="2"/>
  <c r="H349" i="2" s="1"/>
  <c r="N349" i="2" s="1"/>
  <c r="H342" i="2"/>
  <c r="H343" i="2" s="1"/>
  <c r="H344" i="2" s="1"/>
  <c r="H345" i="2" s="1"/>
  <c r="H346" i="2" s="1"/>
  <c r="H347" i="2" s="1"/>
  <c r="F286" i="2"/>
  <c r="F287" i="2" s="1"/>
  <c r="F285" i="2"/>
  <c r="H24" i="2"/>
  <c r="H25" i="2" s="1"/>
  <c r="N25" i="2" s="1"/>
  <c r="H17" i="2"/>
  <c r="H18" i="2" s="1"/>
  <c r="H19" i="2" s="1"/>
  <c r="H20" i="2" s="1"/>
  <c r="H21" i="2" s="1"/>
  <c r="H22" i="2" s="1"/>
  <c r="H23" i="2" s="1"/>
  <c r="H196" i="2"/>
  <c r="H197" i="2" s="1"/>
  <c r="N197" i="2" s="1"/>
  <c r="H193" i="2"/>
  <c r="H194" i="2" s="1"/>
  <c r="H195" i="2" s="1"/>
  <c r="H370" i="2"/>
  <c r="H371" i="2" s="1"/>
  <c r="N371" i="2" s="1"/>
  <c r="H364" i="2"/>
  <c r="H365" i="2" s="1"/>
  <c r="H366" i="2" s="1"/>
  <c r="H367" i="2" s="1"/>
  <c r="H368" i="2" s="1"/>
  <c r="H369" i="2" s="1"/>
  <c r="E24" i="2"/>
  <c r="E25" i="2" s="1"/>
  <c r="E36" i="2" s="1"/>
  <c r="E37" i="2" s="1"/>
  <c r="E17" i="2"/>
  <c r="E18" i="2" s="1"/>
  <c r="E19" i="2" s="1"/>
  <c r="E20" i="2" s="1"/>
  <c r="E21" i="2" s="1"/>
  <c r="E22" i="2" s="1"/>
  <c r="E23" i="2" s="1"/>
  <c r="D211" i="2"/>
  <c r="D212" i="2" s="1"/>
  <c r="M212" i="2" s="1"/>
  <c r="F348" i="2"/>
  <c r="F349" i="2" s="1"/>
  <c r="F350" i="2" s="1"/>
  <c r="F342" i="2"/>
  <c r="F343" i="2" s="1"/>
  <c r="F344" i="2" s="1"/>
  <c r="F345" i="2" s="1"/>
  <c r="F346" i="2" s="1"/>
  <c r="F347" i="2" s="1"/>
  <c r="G585" i="2"/>
  <c r="G586" i="2" s="1"/>
  <c r="G587" i="2" s="1"/>
  <c r="G588" i="2" s="1"/>
  <c r="G589" i="2" s="1"/>
  <c r="E221" i="2"/>
  <c r="E222" i="2" s="1"/>
  <c r="E216" i="2"/>
  <c r="E217" i="2" s="1"/>
  <c r="E218" i="2" s="1"/>
  <c r="E219" i="2" s="1"/>
  <c r="E220" i="2" s="1"/>
  <c r="F196" i="2"/>
  <c r="F197" i="2" s="1"/>
  <c r="F211" i="2" s="1"/>
  <c r="F212" i="2" s="1"/>
  <c r="K212" i="2" s="1"/>
  <c r="F193" i="2"/>
  <c r="F194" i="2" s="1"/>
  <c r="F195" i="2" s="1"/>
  <c r="E370" i="2"/>
  <c r="E371" i="2" s="1"/>
  <c r="E372" i="2" s="1"/>
  <c r="E364" i="2"/>
  <c r="E365" i="2" s="1"/>
  <c r="E366" i="2" s="1"/>
  <c r="E367" i="2" s="1"/>
  <c r="E368" i="2" s="1"/>
  <c r="E369" i="2" s="1"/>
  <c r="E357" i="2"/>
  <c r="E358" i="2" s="1"/>
  <c r="E352" i="2"/>
  <c r="E353" i="2" s="1"/>
  <c r="E354" i="2" s="1"/>
  <c r="E355" i="2" s="1"/>
  <c r="E356" i="2" s="1"/>
  <c r="C204" i="2"/>
  <c r="C205" i="2" s="1"/>
  <c r="C206" i="2" s="1"/>
  <c r="C207" i="2" s="1"/>
  <c r="C200" i="2"/>
  <c r="C201" i="2" s="1"/>
  <c r="C202" i="2" s="1"/>
  <c r="C203" i="2" s="1"/>
  <c r="G340" i="2"/>
  <c r="G341" i="2" s="1"/>
  <c r="E624" i="2"/>
  <c r="E625" i="2" s="1"/>
  <c r="E626" i="2" s="1"/>
  <c r="E627" i="2" s="1"/>
  <c r="H627" i="2" s="1"/>
  <c r="H628" i="2" s="1"/>
  <c r="G15" i="2"/>
  <c r="G16" i="2" s="1"/>
  <c r="G104" i="2"/>
  <c r="G105" i="2" s="1"/>
  <c r="E207" i="2"/>
  <c r="G600" i="2"/>
  <c r="G601" i="2" s="1"/>
  <c r="E144" i="2"/>
  <c r="E145" i="2" s="1"/>
  <c r="E146" i="2" s="1"/>
  <c r="E147" i="2" s="1"/>
  <c r="H147" i="2" s="1"/>
  <c r="H148" i="2" s="1"/>
  <c r="E132" i="2"/>
  <c r="F198" i="2"/>
  <c r="E238" i="2"/>
  <c r="E239" i="2" s="1"/>
  <c r="E240" i="2" s="1"/>
  <c r="E241" i="2" s="1"/>
  <c r="H241" i="2" s="1"/>
  <c r="H242" i="2" s="1"/>
  <c r="E223" i="2"/>
  <c r="G598" i="2"/>
  <c r="G599" i="2" s="1"/>
  <c r="O599" i="2" s="1"/>
  <c r="F122" i="2"/>
  <c r="F123" i="2" s="1"/>
  <c r="K123" i="2" s="1"/>
  <c r="F113" i="2"/>
  <c r="E148" i="2"/>
  <c r="G608" i="2"/>
  <c r="G609" i="2" s="1"/>
  <c r="G214" i="2"/>
  <c r="G215" i="2" s="1"/>
  <c r="G125" i="2"/>
  <c r="G126" i="2" s="1"/>
  <c r="G362" i="2"/>
  <c r="G363" i="2" s="1"/>
  <c r="G590" i="2"/>
  <c r="G591" i="2" s="1"/>
  <c r="O591" i="2" s="1"/>
  <c r="G191" i="2"/>
  <c r="G192" i="2" s="1"/>
  <c r="D598" i="2" l="1"/>
  <c r="D599" i="2" s="1"/>
  <c r="D600" i="2" s="1"/>
  <c r="D601" i="2" s="1"/>
  <c r="F359" i="2"/>
  <c r="F360" i="2" s="1"/>
  <c r="K360" i="2" s="1"/>
  <c r="E26" i="2"/>
  <c r="G193" i="2"/>
  <c r="G194" i="2" s="1"/>
  <c r="G195" i="2" s="1"/>
  <c r="E209" i="2"/>
  <c r="E210" i="2" s="1"/>
  <c r="E208" i="2"/>
  <c r="E152" i="2"/>
  <c r="E153" i="2" s="1"/>
  <c r="E149" i="2"/>
  <c r="E150" i="2" s="1"/>
  <c r="E151" i="2" s="1"/>
  <c r="G602" i="2"/>
  <c r="E386" i="2"/>
  <c r="E387" i="2" s="1"/>
  <c r="E388" i="2" s="1"/>
  <c r="E389" i="2" s="1"/>
  <c r="C209" i="2"/>
  <c r="C210" i="2" s="1"/>
  <c r="C208" i="2"/>
  <c r="G610" i="2"/>
  <c r="G611" i="2" s="1"/>
  <c r="G612" i="2" s="1"/>
  <c r="G613" i="2" s="1"/>
  <c r="E628" i="2"/>
  <c r="G24" i="2"/>
  <c r="G25" i="2" s="1"/>
  <c r="O25" i="2" s="1"/>
  <c r="G17" i="2"/>
  <c r="G18" i="2" s="1"/>
  <c r="G19" i="2" s="1"/>
  <c r="G20" i="2" s="1"/>
  <c r="G21" i="2" s="1"/>
  <c r="G22" i="2" s="1"/>
  <c r="G23" i="2" s="1"/>
  <c r="H249" i="2"/>
  <c r="H250" i="2" s="1"/>
  <c r="N250" i="2" s="1"/>
  <c r="H243" i="2"/>
  <c r="H244" i="2" s="1"/>
  <c r="H245" i="2" s="1"/>
  <c r="H246" i="2" s="1"/>
  <c r="H247" i="2" s="1"/>
  <c r="H248" i="2" s="1"/>
  <c r="H635" i="2"/>
  <c r="H636" i="2" s="1"/>
  <c r="N636" i="2" s="1"/>
  <c r="H629" i="2"/>
  <c r="H630" i="2" s="1"/>
  <c r="H631" i="2" s="1"/>
  <c r="H632" i="2" s="1"/>
  <c r="H633" i="2" s="1"/>
  <c r="H634" i="2" s="1"/>
  <c r="G348" i="2"/>
  <c r="G349" i="2" s="1"/>
  <c r="O349" i="2" s="1"/>
  <c r="G342" i="2"/>
  <c r="G343" i="2" s="1"/>
  <c r="G344" i="2" s="1"/>
  <c r="G345" i="2" s="1"/>
  <c r="G346" i="2" s="1"/>
  <c r="G347" i="2" s="1"/>
  <c r="G364" i="2"/>
  <c r="G365" i="2" s="1"/>
  <c r="G366" i="2" s="1"/>
  <c r="G367" i="2" s="1"/>
  <c r="G368" i="2" s="1"/>
  <c r="G369" i="2" s="1"/>
  <c r="E242" i="2"/>
  <c r="D209" i="2"/>
  <c r="D210" i="2" s="1"/>
  <c r="D208" i="2"/>
  <c r="G216" i="2"/>
  <c r="G217" i="2" s="1"/>
  <c r="G218" i="2" s="1"/>
  <c r="G219" i="2" s="1"/>
  <c r="G220" i="2" s="1"/>
  <c r="G127" i="2"/>
  <c r="G128" i="2" s="1"/>
  <c r="G129" i="2" s="1"/>
  <c r="D603" i="2"/>
  <c r="D604" i="2" s="1"/>
  <c r="D602" i="2"/>
  <c r="G111" i="2"/>
  <c r="G112" i="2" s="1"/>
  <c r="O112" i="2" s="1"/>
  <c r="G106" i="2"/>
  <c r="G107" i="2" s="1"/>
  <c r="G108" i="2" s="1"/>
  <c r="G109" i="2" s="1"/>
  <c r="G110" i="2" s="1"/>
  <c r="H152" i="2"/>
  <c r="H153" i="2" s="1"/>
  <c r="N153" i="2" s="1"/>
  <c r="H149" i="2"/>
  <c r="H150" i="2" s="1"/>
  <c r="H151" i="2" s="1"/>
  <c r="E603" i="2"/>
  <c r="E604" i="2" s="1"/>
  <c r="E602" i="2"/>
  <c r="C603" i="2"/>
  <c r="C604" i="2" s="1"/>
  <c r="C602" i="2"/>
  <c r="F114" i="2"/>
  <c r="G113" i="2"/>
  <c r="G114" i="2" s="1"/>
  <c r="E133" i="2"/>
  <c r="G132" i="2"/>
  <c r="G133" i="2" s="1"/>
  <c r="G26" i="2"/>
  <c r="G27" i="2" s="1"/>
  <c r="E27" i="2"/>
  <c r="E99" i="2"/>
  <c r="E100" i="2" s="1"/>
  <c r="J100" i="2" s="1"/>
  <c r="E38" i="2"/>
  <c r="E39" i="2" s="1"/>
  <c r="G603" i="2"/>
  <c r="G604" i="2" s="1"/>
  <c r="O604" i="2" s="1"/>
  <c r="E373" i="2"/>
  <c r="G372" i="2"/>
  <c r="G373" i="2" s="1"/>
  <c r="E161" i="2"/>
  <c r="E162" i="2" s="1"/>
  <c r="E163" i="2" s="1"/>
  <c r="E164" i="2" s="1"/>
  <c r="H164" i="2" s="1"/>
  <c r="H165" i="2" s="1"/>
  <c r="E154" i="2"/>
  <c r="E224" i="2"/>
  <c r="G223" i="2"/>
  <c r="G224" i="2" s="1"/>
  <c r="F351" i="2"/>
  <c r="G350" i="2"/>
  <c r="G351" i="2" s="1"/>
  <c r="F199" i="2"/>
  <c r="G198" i="2"/>
  <c r="G199" i="2" s="1"/>
  <c r="E617" i="2"/>
  <c r="G616" i="2"/>
  <c r="G617" i="2" s="1"/>
  <c r="G221" i="2"/>
  <c r="G222" i="2" s="1"/>
  <c r="O222" i="2" s="1"/>
  <c r="G614" i="2"/>
  <c r="G615" i="2" s="1"/>
  <c r="O615" i="2" s="1"/>
  <c r="G147" i="2"/>
  <c r="G148" i="2" s="1"/>
  <c r="G370" i="2"/>
  <c r="G371" i="2" s="1"/>
  <c r="O371" i="2" s="1"/>
  <c r="G130" i="2"/>
  <c r="G131" i="2" s="1"/>
  <c r="O131" i="2" s="1"/>
  <c r="G241" i="2"/>
  <c r="G242" i="2" s="1"/>
  <c r="G627" i="2"/>
  <c r="G628" i="2" s="1"/>
  <c r="G196" i="2"/>
  <c r="G197" i="2" s="1"/>
  <c r="O197" i="2" s="1"/>
  <c r="H172" i="2" l="1"/>
  <c r="H173" i="2" s="1"/>
  <c r="N173" i="2" s="1"/>
  <c r="H166" i="2"/>
  <c r="H167" i="2" s="1"/>
  <c r="H168" i="2" s="1"/>
  <c r="H169" i="2" s="1"/>
  <c r="H170" i="2" s="1"/>
  <c r="H171" i="2" s="1"/>
  <c r="G134" i="2"/>
  <c r="G135" i="2" s="1"/>
  <c r="G136" i="2" s="1"/>
  <c r="G629" i="2"/>
  <c r="G630" i="2" s="1"/>
  <c r="G631" i="2" s="1"/>
  <c r="G632" i="2" s="1"/>
  <c r="G633" i="2" s="1"/>
  <c r="G634" i="2" s="1"/>
  <c r="G618" i="2"/>
  <c r="G619" i="2" s="1"/>
  <c r="G620" i="2" s="1"/>
  <c r="G621" i="2" s="1"/>
  <c r="G115" i="2"/>
  <c r="G116" i="2" s="1"/>
  <c r="G117" i="2" s="1"/>
  <c r="G118" i="2" s="1"/>
  <c r="G119" i="2" s="1"/>
  <c r="E635" i="2"/>
  <c r="E636" i="2" s="1"/>
  <c r="E629" i="2"/>
  <c r="E630" i="2" s="1"/>
  <c r="E631" i="2" s="1"/>
  <c r="E632" i="2" s="1"/>
  <c r="E633" i="2" s="1"/>
  <c r="E634" i="2" s="1"/>
  <c r="F120" i="2"/>
  <c r="F121" i="2" s="1"/>
  <c r="F115" i="2"/>
  <c r="F116" i="2" s="1"/>
  <c r="F117" i="2" s="1"/>
  <c r="F118" i="2" s="1"/>
  <c r="F119" i="2" s="1"/>
  <c r="G200" i="2"/>
  <c r="G201" i="2" s="1"/>
  <c r="G202" i="2" s="1"/>
  <c r="G203" i="2" s="1"/>
  <c r="E34" i="2"/>
  <c r="E35" i="2" s="1"/>
  <c r="E28" i="2"/>
  <c r="E29" i="2" s="1"/>
  <c r="E30" i="2" s="1"/>
  <c r="E31" i="2" s="1"/>
  <c r="E32" i="2" s="1"/>
  <c r="E33" i="2" s="1"/>
  <c r="G243" i="2"/>
  <c r="G244" i="2" s="1"/>
  <c r="G245" i="2" s="1"/>
  <c r="G246" i="2" s="1"/>
  <c r="G247" i="2" s="1"/>
  <c r="G248" i="2" s="1"/>
  <c r="E165" i="2"/>
  <c r="F204" i="2"/>
  <c r="F205" i="2" s="1"/>
  <c r="F206" i="2" s="1"/>
  <c r="G206" i="2" s="1"/>
  <c r="G207" i="2" s="1"/>
  <c r="F200" i="2"/>
  <c r="F201" i="2" s="1"/>
  <c r="F202" i="2" s="1"/>
  <c r="F203" i="2" s="1"/>
  <c r="G28" i="2"/>
  <c r="G29" i="2" s="1"/>
  <c r="G30" i="2" s="1"/>
  <c r="G31" i="2" s="1"/>
  <c r="G32" i="2" s="1"/>
  <c r="G33" i="2" s="1"/>
  <c r="E249" i="2"/>
  <c r="E250" i="2" s="1"/>
  <c r="E243" i="2"/>
  <c r="E244" i="2" s="1"/>
  <c r="E245" i="2" s="1"/>
  <c r="E246" i="2" s="1"/>
  <c r="E247" i="2" s="1"/>
  <c r="E248" i="2" s="1"/>
  <c r="G225" i="2"/>
  <c r="G226" i="2" s="1"/>
  <c r="G227" i="2" s="1"/>
  <c r="G228" i="2" s="1"/>
  <c r="G229" i="2" s="1"/>
  <c r="G230" i="2" s="1"/>
  <c r="E231" i="2"/>
  <c r="E232" i="2" s="1"/>
  <c r="E233" i="2" s="1"/>
  <c r="E234" i="2" s="1"/>
  <c r="E225" i="2"/>
  <c r="E226" i="2" s="1"/>
  <c r="E227" i="2" s="1"/>
  <c r="E228" i="2" s="1"/>
  <c r="E229" i="2" s="1"/>
  <c r="E230" i="2" s="1"/>
  <c r="E137" i="2"/>
  <c r="E138" i="2" s="1"/>
  <c r="E139" i="2" s="1"/>
  <c r="E134" i="2"/>
  <c r="E135" i="2" s="1"/>
  <c r="E136" i="2" s="1"/>
  <c r="G352" i="2"/>
  <c r="G353" i="2" s="1"/>
  <c r="G354" i="2" s="1"/>
  <c r="G355" i="2" s="1"/>
  <c r="G356" i="2" s="1"/>
  <c r="G374" i="2"/>
  <c r="G375" i="2" s="1"/>
  <c r="G376" i="2" s="1"/>
  <c r="G377" i="2" s="1"/>
  <c r="G378" i="2" s="1"/>
  <c r="G149" i="2"/>
  <c r="G150" i="2" s="1"/>
  <c r="G151" i="2" s="1"/>
  <c r="E622" i="2"/>
  <c r="E623" i="2" s="1"/>
  <c r="E618" i="2"/>
  <c r="E619" i="2" s="1"/>
  <c r="E620" i="2" s="1"/>
  <c r="E621" i="2" s="1"/>
  <c r="F357" i="2"/>
  <c r="F358" i="2" s="1"/>
  <c r="F352" i="2"/>
  <c r="F353" i="2" s="1"/>
  <c r="F354" i="2" s="1"/>
  <c r="F355" i="2" s="1"/>
  <c r="F356" i="2" s="1"/>
  <c r="E379" i="2"/>
  <c r="E380" i="2" s="1"/>
  <c r="E381" i="2" s="1"/>
  <c r="E382" i="2" s="1"/>
  <c r="E374" i="2"/>
  <c r="E375" i="2" s="1"/>
  <c r="E376" i="2" s="1"/>
  <c r="E377" i="2" s="1"/>
  <c r="E378" i="2" s="1"/>
  <c r="E390" i="2"/>
  <c r="G34" i="2"/>
  <c r="G35" i="2" s="1"/>
  <c r="O35" i="2" s="1"/>
  <c r="G622" i="2"/>
  <c r="G623" i="2" s="1"/>
  <c r="O623" i="2" s="1"/>
  <c r="G154" i="2"/>
  <c r="G155" i="2" s="1"/>
  <c r="E155" i="2"/>
  <c r="E40" i="2"/>
  <c r="G231" i="2"/>
  <c r="G232" i="2" s="1"/>
  <c r="O232" i="2" s="1"/>
  <c r="G233" i="2"/>
  <c r="G234" i="2" s="1"/>
  <c r="G204" i="2"/>
  <c r="G205" i="2" s="1"/>
  <c r="O205" i="2" s="1"/>
  <c r="G137" i="2"/>
  <c r="G138" i="2" s="1"/>
  <c r="O138" i="2" s="1"/>
  <c r="G357" i="2"/>
  <c r="G358" i="2" s="1"/>
  <c r="O358" i="2" s="1"/>
  <c r="G379" i="2"/>
  <c r="G380" i="2" s="1"/>
  <c r="O380" i="2" s="1"/>
  <c r="E140" i="2"/>
  <c r="G139" i="2"/>
  <c r="G140" i="2" s="1"/>
  <c r="G120" i="2"/>
  <c r="G121" i="2" s="1"/>
  <c r="O121" i="2" s="1"/>
  <c r="G381" i="2"/>
  <c r="G382" i="2" s="1"/>
  <c r="G249" i="2"/>
  <c r="G250" i="2" s="1"/>
  <c r="O250" i="2" s="1"/>
  <c r="G164" i="2"/>
  <c r="G165" i="2" s="1"/>
  <c r="G152" i="2"/>
  <c r="G153" i="2" s="1"/>
  <c r="O153" i="2" s="1"/>
  <c r="G635" i="2"/>
  <c r="G636" i="2" s="1"/>
  <c r="O636" i="2" s="1"/>
  <c r="G208" i="2" l="1"/>
  <c r="E236" i="2"/>
  <c r="E237" i="2" s="1"/>
  <c r="E235" i="2"/>
  <c r="E384" i="2"/>
  <c r="E385" i="2" s="1"/>
  <c r="E383" i="2"/>
  <c r="F207" i="2"/>
  <c r="H389" i="2"/>
  <c r="H390" i="2" s="1"/>
  <c r="G389" i="2"/>
  <c r="G390" i="2" s="1"/>
  <c r="G141" i="2"/>
  <c r="E397" i="2"/>
  <c r="E398" i="2" s="1"/>
  <c r="E391" i="2"/>
  <c r="E392" i="2" s="1"/>
  <c r="E393" i="2" s="1"/>
  <c r="E394" i="2" s="1"/>
  <c r="E395" i="2" s="1"/>
  <c r="E396" i="2" s="1"/>
  <c r="E44" i="2"/>
  <c r="E45" i="2" s="1"/>
  <c r="E41" i="2"/>
  <c r="E42" i="2" s="1"/>
  <c r="E43" i="2" s="1"/>
  <c r="E172" i="2"/>
  <c r="E173" i="2" s="1"/>
  <c r="E166" i="2"/>
  <c r="E167" i="2" s="1"/>
  <c r="E168" i="2" s="1"/>
  <c r="E169" i="2" s="1"/>
  <c r="E170" i="2" s="1"/>
  <c r="E171" i="2" s="1"/>
  <c r="G383" i="2"/>
  <c r="E142" i="2"/>
  <c r="E143" i="2" s="1"/>
  <c r="E141" i="2"/>
  <c r="G235" i="2"/>
  <c r="E159" i="2"/>
  <c r="E160" i="2" s="1"/>
  <c r="E156" i="2"/>
  <c r="E157" i="2" s="1"/>
  <c r="E158" i="2" s="1"/>
  <c r="E647" i="2"/>
  <c r="E648" i="2" s="1"/>
  <c r="E649" i="2" s="1"/>
  <c r="E650" i="2" s="1"/>
  <c r="E637" i="2"/>
  <c r="G156" i="2"/>
  <c r="G157" i="2" s="1"/>
  <c r="G158" i="2" s="1"/>
  <c r="E251" i="2"/>
  <c r="E261" i="2"/>
  <c r="E262" i="2" s="1"/>
  <c r="E263" i="2" s="1"/>
  <c r="E264" i="2" s="1"/>
  <c r="G166" i="2"/>
  <c r="G167" i="2" s="1"/>
  <c r="G168" i="2" s="1"/>
  <c r="G169" i="2" s="1"/>
  <c r="G170" i="2" s="1"/>
  <c r="G171" i="2" s="1"/>
  <c r="G236" i="2"/>
  <c r="G237" i="2" s="1"/>
  <c r="O237" i="2" s="1"/>
  <c r="E53" i="2"/>
  <c r="E54" i="2" s="1"/>
  <c r="E55" i="2" s="1"/>
  <c r="E56" i="2" s="1"/>
  <c r="E46" i="2"/>
  <c r="G209" i="2"/>
  <c r="G210" i="2" s="1"/>
  <c r="O210" i="2" s="1"/>
  <c r="H39" i="2"/>
  <c r="H40" i="2" s="1"/>
  <c r="G39" i="2"/>
  <c r="G40" i="2" s="1"/>
  <c r="G384" i="2"/>
  <c r="G385" i="2" s="1"/>
  <c r="O385" i="2" s="1"/>
  <c r="G142" i="2"/>
  <c r="G143" i="2" s="1"/>
  <c r="O143" i="2" s="1"/>
  <c r="G159" i="2"/>
  <c r="G160" i="2" s="1"/>
  <c r="O160" i="2" s="1"/>
  <c r="G172" i="2"/>
  <c r="G173" i="2" s="1"/>
  <c r="O173" i="2" s="1"/>
  <c r="G391" i="2" l="1"/>
  <c r="G392" i="2" s="1"/>
  <c r="G393" i="2" s="1"/>
  <c r="G394" i="2" s="1"/>
  <c r="G395" i="2" s="1"/>
  <c r="G396" i="2" s="1"/>
  <c r="G397" i="2"/>
  <c r="G398" i="2" s="1"/>
  <c r="O398" i="2" s="1"/>
  <c r="H44" i="2"/>
  <c r="H45" i="2" s="1"/>
  <c r="N45" i="2" s="1"/>
  <c r="H41" i="2"/>
  <c r="H42" i="2" s="1"/>
  <c r="H43" i="2" s="1"/>
  <c r="E174" i="2"/>
  <c r="E184" i="2"/>
  <c r="E185" i="2" s="1"/>
  <c r="H397" i="2"/>
  <c r="H398" i="2" s="1"/>
  <c r="N398" i="2" s="1"/>
  <c r="H391" i="2"/>
  <c r="H392" i="2" s="1"/>
  <c r="H393" i="2" s="1"/>
  <c r="H394" i="2" s="1"/>
  <c r="H395" i="2" s="1"/>
  <c r="H396" i="2" s="1"/>
  <c r="G41" i="2"/>
  <c r="G42" i="2" s="1"/>
  <c r="G43" i="2" s="1"/>
  <c r="H264" i="2"/>
  <c r="H265" i="2" s="1"/>
  <c r="E265" i="2"/>
  <c r="F209" i="2"/>
  <c r="F210" i="2" s="1"/>
  <c r="F208" i="2"/>
  <c r="E252" i="2"/>
  <c r="G251" i="2"/>
  <c r="G252" i="2" s="1"/>
  <c r="E408" i="2"/>
  <c r="E409" i="2" s="1"/>
  <c r="E410" i="2" s="1"/>
  <c r="E411" i="2" s="1"/>
  <c r="E399" i="2"/>
  <c r="G637" i="2"/>
  <c r="G638" i="2" s="1"/>
  <c r="E638" i="2"/>
  <c r="H650" i="2"/>
  <c r="H651" i="2" s="1"/>
  <c r="E651" i="2"/>
  <c r="G46" i="2"/>
  <c r="G47" i="2" s="1"/>
  <c r="E47" i="2"/>
  <c r="H56" i="2"/>
  <c r="H57" i="2" s="1"/>
  <c r="E57" i="2"/>
  <c r="G44" i="2"/>
  <c r="G45" i="2" s="1"/>
  <c r="O45" i="2" s="1"/>
  <c r="G48" i="2" l="1"/>
  <c r="G49" i="2" s="1"/>
  <c r="G50" i="2" s="1"/>
  <c r="H658" i="2"/>
  <c r="H659" i="2" s="1"/>
  <c r="N659" i="2" s="1"/>
  <c r="H652" i="2"/>
  <c r="H653" i="2" s="1"/>
  <c r="H654" i="2" s="1"/>
  <c r="H655" i="2" s="1"/>
  <c r="H656" i="2" s="1"/>
  <c r="H657" i="2" s="1"/>
  <c r="E645" i="2"/>
  <c r="E646" i="2" s="1"/>
  <c r="E639" i="2"/>
  <c r="E640" i="2" s="1"/>
  <c r="E641" i="2" s="1"/>
  <c r="E642" i="2" s="1"/>
  <c r="E643" i="2" s="1"/>
  <c r="E644" i="2" s="1"/>
  <c r="G264" i="2"/>
  <c r="G265" i="2" s="1"/>
  <c r="E175" i="2"/>
  <c r="G174" i="2"/>
  <c r="G175" i="2" s="1"/>
  <c r="G639" i="2"/>
  <c r="G640" i="2" s="1"/>
  <c r="G641" i="2" s="1"/>
  <c r="G642" i="2" s="1"/>
  <c r="G643" i="2" s="1"/>
  <c r="G644" i="2" s="1"/>
  <c r="G645" i="2"/>
  <c r="G646" i="2" s="1"/>
  <c r="O646" i="2" s="1"/>
  <c r="E271" i="2"/>
  <c r="E272" i="2" s="1"/>
  <c r="E266" i="2"/>
  <c r="E267" i="2" s="1"/>
  <c r="E268" i="2" s="1"/>
  <c r="E269" i="2" s="1"/>
  <c r="E270" i="2" s="1"/>
  <c r="E400" i="2"/>
  <c r="G399" i="2"/>
  <c r="G400" i="2" s="1"/>
  <c r="H271" i="2"/>
  <c r="H272" i="2" s="1"/>
  <c r="N272" i="2" s="1"/>
  <c r="H266" i="2"/>
  <c r="H267" i="2" s="1"/>
  <c r="H268" i="2" s="1"/>
  <c r="H269" i="2" s="1"/>
  <c r="H270" i="2" s="1"/>
  <c r="H411" i="2"/>
  <c r="H412" i="2" s="1"/>
  <c r="E412" i="2"/>
  <c r="G253" i="2"/>
  <c r="G254" i="2" s="1"/>
  <c r="G255" i="2" s="1"/>
  <c r="G256" i="2" s="1"/>
  <c r="G257" i="2" s="1"/>
  <c r="G258" i="2" s="1"/>
  <c r="G259" i="2"/>
  <c r="G260" i="2" s="1"/>
  <c r="O260" i="2" s="1"/>
  <c r="E64" i="2"/>
  <c r="E65" i="2" s="1"/>
  <c r="E76" i="2" s="1"/>
  <c r="E77" i="2" s="1"/>
  <c r="E78" i="2" s="1"/>
  <c r="E79" i="2" s="1"/>
  <c r="E58" i="2"/>
  <c r="E59" i="2" s="1"/>
  <c r="E60" i="2" s="1"/>
  <c r="E61" i="2" s="1"/>
  <c r="E62" i="2" s="1"/>
  <c r="E63" i="2" s="1"/>
  <c r="E658" i="2"/>
  <c r="E659" i="2" s="1"/>
  <c r="E652" i="2"/>
  <c r="E653" i="2" s="1"/>
  <c r="E654" i="2" s="1"/>
  <c r="E655" i="2" s="1"/>
  <c r="E656" i="2" s="1"/>
  <c r="E657" i="2" s="1"/>
  <c r="E259" i="2"/>
  <c r="E260" i="2" s="1"/>
  <c r="E253" i="2"/>
  <c r="E254" i="2" s="1"/>
  <c r="E255" i="2" s="1"/>
  <c r="E256" i="2" s="1"/>
  <c r="E257" i="2" s="1"/>
  <c r="E258" i="2" s="1"/>
  <c r="H64" i="2"/>
  <c r="H65" i="2" s="1"/>
  <c r="N65" i="2" s="1"/>
  <c r="H58" i="2"/>
  <c r="H59" i="2" s="1"/>
  <c r="H60" i="2" s="1"/>
  <c r="H61" i="2" s="1"/>
  <c r="H62" i="2" s="1"/>
  <c r="H63" i="2" s="1"/>
  <c r="E51" i="2"/>
  <c r="E52" i="2" s="1"/>
  <c r="E48" i="2"/>
  <c r="E49" i="2" s="1"/>
  <c r="E50" i="2" s="1"/>
  <c r="G650" i="2"/>
  <c r="G651" i="2" s="1"/>
  <c r="G51" i="2"/>
  <c r="G52" i="2" s="1"/>
  <c r="O52" i="2" s="1"/>
  <c r="G56" i="2"/>
  <c r="G57" i="2" s="1"/>
  <c r="E66" i="2"/>
  <c r="S669" i="2"/>
  <c r="E406" i="2" l="1"/>
  <c r="E407" i="2" s="1"/>
  <c r="E401" i="2"/>
  <c r="E402" i="2" s="1"/>
  <c r="E403" i="2" s="1"/>
  <c r="E404" i="2" s="1"/>
  <c r="E405" i="2" s="1"/>
  <c r="G411" i="2"/>
  <c r="G412" i="2" s="1"/>
  <c r="E273" i="2"/>
  <c r="E288" i="2"/>
  <c r="E289" i="2" s="1"/>
  <c r="E290" i="2" s="1"/>
  <c r="E291" i="2" s="1"/>
  <c r="G652" i="2"/>
  <c r="G653" i="2" s="1"/>
  <c r="G654" i="2" s="1"/>
  <c r="G655" i="2" s="1"/>
  <c r="G656" i="2" s="1"/>
  <c r="G657" i="2" s="1"/>
  <c r="G658" i="2"/>
  <c r="G659" i="2" s="1"/>
  <c r="O659" i="2" s="1"/>
  <c r="E670" i="2"/>
  <c r="E671" i="2" s="1"/>
  <c r="E660" i="2"/>
  <c r="E418" i="2"/>
  <c r="E419" i="2" s="1"/>
  <c r="E413" i="2"/>
  <c r="E414" i="2" s="1"/>
  <c r="E415" i="2" s="1"/>
  <c r="E416" i="2" s="1"/>
  <c r="E417" i="2" s="1"/>
  <c r="H418" i="2"/>
  <c r="H419" i="2" s="1"/>
  <c r="N419" i="2" s="1"/>
  <c r="H413" i="2"/>
  <c r="H414" i="2" s="1"/>
  <c r="H415" i="2" s="1"/>
  <c r="H416" i="2" s="1"/>
  <c r="H417" i="2" s="1"/>
  <c r="G176" i="2"/>
  <c r="G177" i="2" s="1"/>
  <c r="G178" i="2" s="1"/>
  <c r="G179" i="2" s="1"/>
  <c r="G180" i="2" s="1"/>
  <c r="G181" i="2" s="1"/>
  <c r="G182" i="2"/>
  <c r="G183" i="2" s="1"/>
  <c r="O183" i="2" s="1"/>
  <c r="G58" i="2"/>
  <c r="G59" i="2" s="1"/>
  <c r="G60" i="2" s="1"/>
  <c r="G61" i="2" s="1"/>
  <c r="G62" i="2" s="1"/>
  <c r="G63" i="2" s="1"/>
  <c r="G401" i="2"/>
  <c r="G402" i="2" s="1"/>
  <c r="G403" i="2" s="1"/>
  <c r="G404" i="2" s="1"/>
  <c r="G405" i="2" s="1"/>
  <c r="G406" i="2"/>
  <c r="G407" i="2" s="1"/>
  <c r="O407" i="2" s="1"/>
  <c r="E182" i="2"/>
  <c r="E183" i="2" s="1"/>
  <c r="E176" i="2"/>
  <c r="E177" i="2" s="1"/>
  <c r="E178" i="2" s="1"/>
  <c r="E179" i="2" s="1"/>
  <c r="E180" i="2" s="1"/>
  <c r="E181" i="2" s="1"/>
  <c r="G266" i="2"/>
  <c r="G267" i="2" s="1"/>
  <c r="G268" i="2" s="1"/>
  <c r="G269" i="2" s="1"/>
  <c r="G270" i="2" s="1"/>
  <c r="G271" i="2"/>
  <c r="G272" i="2" s="1"/>
  <c r="O272" i="2" s="1"/>
  <c r="E67" i="2"/>
  <c r="G66" i="2"/>
  <c r="G67" i="2" s="1"/>
  <c r="H79" i="2"/>
  <c r="H80" i="2" s="1"/>
  <c r="E80" i="2"/>
  <c r="G64" i="2"/>
  <c r="G65" i="2" s="1"/>
  <c r="O65" i="2" s="1"/>
  <c r="S673" i="2"/>
  <c r="S671" i="2"/>
  <c r="E434" i="2" l="1"/>
  <c r="E435" i="2" s="1"/>
  <c r="E436" i="2" s="1"/>
  <c r="E437" i="2" s="1"/>
  <c r="E420" i="2"/>
  <c r="H291" i="2"/>
  <c r="H292" i="2" s="1"/>
  <c r="E292" i="2"/>
  <c r="H86" i="2"/>
  <c r="H87" i="2" s="1"/>
  <c r="N87" i="2" s="1"/>
  <c r="H81" i="2"/>
  <c r="H82" i="2" s="1"/>
  <c r="H83" i="2" s="1"/>
  <c r="H84" i="2" s="1"/>
  <c r="H85" i="2" s="1"/>
  <c r="E86" i="2"/>
  <c r="E87" i="2" s="1"/>
  <c r="E97" i="2" s="1"/>
  <c r="E98" i="2" s="1"/>
  <c r="E81" i="2"/>
  <c r="E82" i="2" s="1"/>
  <c r="E83" i="2" s="1"/>
  <c r="E84" i="2" s="1"/>
  <c r="E85" i="2" s="1"/>
  <c r="E274" i="2"/>
  <c r="G273" i="2"/>
  <c r="G274" i="2" s="1"/>
  <c r="G413" i="2"/>
  <c r="G414" i="2" s="1"/>
  <c r="G415" i="2" s="1"/>
  <c r="G416" i="2" s="1"/>
  <c r="G417" i="2" s="1"/>
  <c r="G418" i="2"/>
  <c r="G419" i="2" s="1"/>
  <c r="O419" i="2" s="1"/>
  <c r="E661" i="2"/>
  <c r="G660" i="2"/>
  <c r="G661" i="2" s="1"/>
  <c r="G68" i="2"/>
  <c r="G69" i="2" s="1"/>
  <c r="G70" i="2" s="1"/>
  <c r="G71" i="2" s="1"/>
  <c r="G72" i="2" s="1"/>
  <c r="G73" i="2" s="1"/>
  <c r="E74" i="2"/>
  <c r="E75" i="2" s="1"/>
  <c r="E68" i="2"/>
  <c r="E69" i="2" s="1"/>
  <c r="E70" i="2" s="1"/>
  <c r="E71" i="2" s="1"/>
  <c r="E72" i="2" s="1"/>
  <c r="E73" i="2" s="1"/>
  <c r="G79" i="2"/>
  <c r="G80" i="2" s="1"/>
  <c r="G74" i="2"/>
  <c r="G75" i="2" s="1"/>
  <c r="O75" i="2" s="1"/>
  <c r="E88" i="2" l="1"/>
  <c r="G662" i="2"/>
  <c r="G663" i="2" s="1"/>
  <c r="G664" i="2" s="1"/>
  <c r="G665" i="2" s="1"/>
  <c r="G666" i="2" s="1"/>
  <c r="G667" i="2" s="1"/>
  <c r="G668" i="2"/>
  <c r="G669" i="2" s="1"/>
  <c r="O669" i="2" s="1"/>
  <c r="E668" i="2"/>
  <c r="E669" i="2" s="1"/>
  <c r="E662" i="2"/>
  <c r="E663" i="2" s="1"/>
  <c r="E664" i="2" s="1"/>
  <c r="E665" i="2" s="1"/>
  <c r="E666" i="2" s="1"/>
  <c r="E667" i="2" s="1"/>
  <c r="G291" i="2"/>
  <c r="G292" i="2" s="1"/>
  <c r="G81" i="2"/>
  <c r="G82" i="2" s="1"/>
  <c r="G83" i="2" s="1"/>
  <c r="G84" i="2" s="1"/>
  <c r="G85" i="2" s="1"/>
  <c r="E296" i="2"/>
  <c r="E297" i="2" s="1"/>
  <c r="E293" i="2"/>
  <c r="E294" i="2" s="1"/>
  <c r="E295" i="2" s="1"/>
  <c r="H296" i="2"/>
  <c r="H297" i="2" s="1"/>
  <c r="N297" i="2" s="1"/>
  <c r="H293" i="2"/>
  <c r="H294" i="2" s="1"/>
  <c r="H295" i="2" s="1"/>
  <c r="E281" i="2"/>
  <c r="E282" i="2" s="1"/>
  <c r="E283" i="2" s="1"/>
  <c r="E275" i="2"/>
  <c r="E276" i="2" s="1"/>
  <c r="E277" i="2" s="1"/>
  <c r="E278" i="2" s="1"/>
  <c r="E279" i="2" s="1"/>
  <c r="E280" i="2" s="1"/>
  <c r="G420" i="2"/>
  <c r="G421" i="2" s="1"/>
  <c r="E421" i="2"/>
  <c r="G275" i="2"/>
  <c r="G276" i="2" s="1"/>
  <c r="G277" i="2" s="1"/>
  <c r="G278" i="2" s="1"/>
  <c r="G279" i="2" s="1"/>
  <c r="G280" i="2" s="1"/>
  <c r="G281" i="2"/>
  <c r="G282" i="2" s="1"/>
  <c r="O282" i="2" s="1"/>
  <c r="H437" i="2"/>
  <c r="H438" i="2" s="1"/>
  <c r="E438" i="2"/>
  <c r="G86" i="2"/>
  <c r="G87" i="2" s="1"/>
  <c r="O87" i="2" s="1"/>
  <c r="E89" i="2"/>
  <c r="G88" i="2"/>
  <c r="G89" i="2" s="1"/>
  <c r="G422" i="2" l="1"/>
  <c r="G423" i="2" s="1"/>
  <c r="G424" i="2" s="1"/>
  <c r="G425" i="2" s="1"/>
  <c r="G426" i="2" s="1"/>
  <c r="G427" i="2"/>
  <c r="G428" i="2" s="1"/>
  <c r="O428" i="2" s="1"/>
  <c r="G293" i="2"/>
  <c r="G294" i="2" s="1"/>
  <c r="G295" i="2" s="1"/>
  <c r="G296" i="2"/>
  <c r="G297" i="2" s="1"/>
  <c r="O297" i="2" s="1"/>
  <c r="E427" i="2"/>
  <c r="E428" i="2" s="1"/>
  <c r="E429" i="2" s="1"/>
  <c r="E422" i="2"/>
  <c r="E423" i="2" s="1"/>
  <c r="E424" i="2" s="1"/>
  <c r="E425" i="2" s="1"/>
  <c r="E426" i="2" s="1"/>
  <c r="G437" i="2"/>
  <c r="G438" i="2" s="1"/>
  <c r="E445" i="2"/>
  <c r="E446" i="2" s="1"/>
  <c r="E439" i="2"/>
  <c r="E440" i="2" s="1"/>
  <c r="E441" i="2" s="1"/>
  <c r="E442" i="2" s="1"/>
  <c r="E443" i="2" s="1"/>
  <c r="E444" i="2" s="1"/>
  <c r="E284" i="2"/>
  <c r="G283" i="2"/>
  <c r="G284" i="2" s="1"/>
  <c r="H445" i="2"/>
  <c r="H446" i="2" s="1"/>
  <c r="N446" i="2" s="1"/>
  <c r="H439" i="2"/>
  <c r="H440" i="2" s="1"/>
  <c r="H441" i="2" s="1"/>
  <c r="H442" i="2" s="1"/>
  <c r="H443" i="2" s="1"/>
  <c r="H444" i="2" s="1"/>
  <c r="G90" i="2"/>
  <c r="G91" i="2" s="1"/>
  <c r="G92" i="2" s="1"/>
  <c r="G93" i="2" s="1"/>
  <c r="G94" i="2" s="1"/>
  <c r="E95" i="2"/>
  <c r="E96" i="2" s="1"/>
  <c r="E90" i="2"/>
  <c r="E91" i="2" s="1"/>
  <c r="E92" i="2" s="1"/>
  <c r="E93" i="2" s="1"/>
  <c r="E94" i="2" s="1"/>
  <c r="E298" i="2"/>
  <c r="E311" i="2"/>
  <c r="E312" i="2" s="1"/>
  <c r="E313" i="2" s="1"/>
  <c r="E314" i="2" s="1"/>
  <c r="G95" i="2"/>
  <c r="G96" i="2" s="1"/>
  <c r="O96" i="2" s="1"/>
  <c r="G439" i="2" l="1"/>
  <c r="G440" i="2" s="1"/>
  <c r="G441" i="2" s="1"/>
  <c r="G442" i="2" s="1"/>
  <c r="G443" i="2" s="1"/>
  <c r="G444" i="2" s="1"/>
  <c r="G445" i="2"/>
  <c r="G446" i="2" s="1"/>
  <c r="O446" i="2" s="1"/>
  <c r="E430" i="2"/>
  <c r="G429" i="2"/>
  <c r="G430" i="2" s="1"/>
  <c r="E286" i="2"/>
  <c r="E287" i="2" s="1"/>
  <c r="E285" i="2"/>
  <c r="G285" i="2"/>
  <c r="G286" i="2"/>
  <c r="G287" i="2" s="1"/>
  <c r="O287" i="2" s="1"/>
  <c r="G298" i="2"/>
  <c r="G299" i="2" s="1"/>
  <c r="E299" i="2"/>
  <c r="E315" i="2"/>
  <c r="H314" i="2"/>
  <c r="H315" i="2" s="1"/>
  <c r="E447" i="2"/>
  <c r="E457" i="2"/>
  <c r="E458" i="2" s="1"/>
  <c r="E459" i="2" s="1"/>
  <c r="E460" i="2" s="1"/>
  <c r="E448" i="2" l="1"/>
  <c r="G447" i="2"/>
  <c r="G448" i="2" s="1"/>
  <c r="G431" i="2"/>
  <c r="G432" i="2"/>
  <c r="G433" i="2" s="1"/>
  <c r="O433" i="2" s="1"/>
  <c r="H319" i="2"/>
  <c r="H320" i="2" s="1"/>
  <c r="N320" i="2" s="1"/>
  <c r="H316" i="2"/>
  <c r="H317" i="2" s="1"/>
  <c r="H318" i="2" s="1"/>
  <c r="E432" i="2"/>
  <c r="E433" i="2" s="1"/>
  <c r="E431" i="2"/>
  <c r="G300" i="2"/>
  <c r="G301" i="2" s="1"/>
  <c r="G302" i="2" s="1"/>
  <c r="G303" i="2" s="1"/>
  <c r="G304" i="2"/>
  <c r="G305" i="2" s="1"/>
  <c r="O305" i="2" s="1"/>
  <c r="H460" i="2"/>
  <c r="H461" i="2" s="1"/>
  <c r="E461" i="2"/>
  <c r="G314" i="2"/>
  <c r="G315" i="2" s="1"/>
  <c r="E319" i="2"/>
  <c r="E320" i="2" s="1"/>
  <c r="E316" i="2"/>
  <c r="E317" i="2" s="1"/>
  <c r="E318" i="2" s="1"/>
  <c r="E304" i="2"/>
  <c r="E305" i="2" s="1"/>
  <c r="E306" i="2" s="1"/>
  <c r="E300" i="2"/>
  <c r="E301" i="2" s="1"/>
  <c r="E302" i="2" s="1"/>
  <c r="E303" i="2" s="1"/>
  <c r="S675" i="2"/>
  <c r="G449" i="2" l="1"/>
  <c r="G450" i="2" s="1"/>
  <c r="G451" i="2" s="1"/>
  <c r="G452" i="2" s="1"/>
  <c r="G453" i="2" s="1"/>
  <c r="G454" i="2" s="1"/>
  <c r="G455" i="2"/>
  <c r="G456" i="2" s="1"/>
  <c r="O456" i="2" s="1"/>
  <c r="E321" i="2"/>
  <c r="E333" i="2"/>
  <c r="E334" i="2" s="1"/>
  <c r="E455" i="2"/>
  <c r="E456" i="2" s="1"/>
  <c r="E449" i="2"/>
  <c r="E450" i="2" s="1"/>
  <c r="E451" i="2" s="1"/>
  <c r="E452" i="2" s="1"/>
  <c r="E453" i="2" s="1"/>
  <c r="E454" i="2" s="1"/>
  <c r="G316" i="2"/>
  <c r="G317" i="2" s="1"/>
  <c r="G318" i="2" s="1"/>
  <c r="G319" i="2"/>
  <c r="G320" i="2" s="1"/>
  <c r="O320" i="2" s="1"/>
  <c r="E467" i="2"/>
  <c r="E468" i="2" s="1"/>
  <c r="E462" i="2"/>
  <c r="E463" i="2" s="1"/>
  <c r="E464" i="2" s="1"/>
  <c r="E465" i="2" s="1"/>
  <c r="E466" i="2" s="1"/>
  <c r="G306" i="2"/>
  <c r="G307" i="2" s="1"/>
  <c r="E307" i="2"/>
  <c r="G460" i="2"/>
  <c r="G461" i="2" s="1"/>
  <c r="H467" i="2"/>
  <c r="H468" i="2" s="1"/>
  <c r="N468" i="2" s="1"/>
  <c r="H462" i="2"/>
  <c r="H463" i="2" s="1"/>
  <c r="H464" i="2" s="1"/>
  <c r="H465" i="2" s="1"/>
  <c r="H466" i="2" s="1"/>
  <c r="G308" i="2" l="1"/>
  <c r="G309" i="2"/>
  <c r="G310" i="2" s="1"/>
  <c r="O310" i="2" s="1"/>
  <c r="G321" i="2"/>
  <c r="G322" i="2" s="1"/>
  <c r="E322" i="2"/>
  <c r="G462" i="2"/>
  <c r="G463" i="2" s="1"/>
  <c r="G464" i="2" s="1"/>
  <c r="G465" i="2" s="1"/>
  <c r="G466" i="2" s="1"/>
  <c r="G467" i="2"/>
  <c r="G468" i="2" s="1"/>
  <c r="O468" i="2" s="1"/>
  <c r="E309" i="2"/>
  <c r="E310" i="2" s="1"/>
  <c r="E308" i="2"/>
  <c r="E469" i="2"/>
  <c r="E478" i="2"/>
  <c r="E479" i="2" s="1"/>
  <c r="E480" i="2" s="1"/>
  <c r="E481" i="2" s="1"/>
  <c r="E326" i="2" l="1"/>
  <c r="E327" i="2" s="1"/>
  <c r="E328" i="2" s="1"/>
  <c r="E323" i="2"/>
  <c r="E324" i="2" s="1"/>
  <c r="E325" i="2" s="1"/>
  <c r="G323" i="2"/>
  <c r="G324" i="2" s="1"/>
  <c r="G325" i="2" s="1"/>
  <c r="G326" i="2"/>
  <c r="G327" i="2" s="1"/>
  <c r="O327" i="2" s="1"/>
  <c r="E470" i="2"/>
  <c r="G469" i="2"/>
  <c r="G470" i="2" s="1"/>
  <c r="H481" i="2"/>
  <c r="H482" i="2" s="1"/>
  <c r="E482" i="2"/>
  <c r="H489" i="2" l="1"/>
  <c r="H490" i="2" s="1"/>
  <c r="N490" i="2" s="1"/>
  <c r="H483" i="2"/>
  <c r="H484" i="2" s="1"/>
  <c r="H485" i="2" s="1"/>
  <c r="H486" i="2" s="1"/>
  <c r="H487" i="2" s="1"/>
  <c r="H488" i="2" s="1"/>
  <c r="G471" i="2"/>
  <c r="G472" i="2" s="1"/>
  <c r="G473" i="2" s="1"/>
  <c r="G474" i="2" s="1"/>
  <c r="G475" i="2" s="1"/>
  <c r="G476" i="2"/>
  <c r="G477" i="2" s="1"/>
  <c r="O477" i="2" s="1"/>
  <c r="E476" i="2"/>
  <c r="E477" i="2" s="1"/>
  <c r="E471" i="2"/>
  <c r="E472" i="2" s="1"/>
  <c r="E473" i="2" s="1"/>
  <c r="E474" i="2" s="1"/>
  <c r="E475" i="2" s="1"/>
  <c r="G481" i="2"/>
  <c r="G482" i="2" s="1"/>
  <c r="E489" i="2"/>
  <c r="E490" i="2" s="1"/>
  <c r="E483" i="2"/>
  <c r="E484" i="2" s="1"/>
  <c r="E485" i="2" s="1"/>
  <c r="E486" i="2" s="1"/>
  <c r="E487" i="2" s="1"/>
  <c r="E488" i="2" s="1"/>
  <c r="E329" i="2"/>
  <c r="G328" i="2"/>
  <c r="G329" i="2" s="1"/>
  <c r="E491" i="2" l="1"/>
  <c r="E501" i="2"/>
  <c r="E502" i="2" s="1"/>
  <c r="E503" i="2" s="1"/>
  <c r="E504" i="2" s="1"/>
  <c r="G330" i="2"/>
  <c r="G331" i="2"/>
  <c r="G332" i="2" s="1"/>
  <c r="O332" i="2" s="1"/>
  <c r="E331" i="2"/>
  <c r="E332" i="2" s="1"/>
  <c r="E330" i="2"/>
  <c r="G483" i="2"/>
  <c r="G484" i="2" s="1"/>
  <c r="G485" i="2" s="1"/>
  <c r="G486" i="2" s="1"/>
  <c r="G487" i="2" s="1"/>
  <c r="G488" i="2" s="1"/>
  <c r="G489" i="2"/>
  <c r="G490" i="2" s="1"/>
  <c r="O490" i="2" s="1"/>
  <c r="H504" i="2" l="1"/>
  <c r="H505" i="2" s="1"/>
  <c r="E505" i="2"/>
  <c r="G491" i="2"/>
  <c r="G492" i="2" s="1"/>
  <c r="E492" i="2"/>
  <c r="G493" i="2" l="1"/>
  <c r="G494" i="2" s="1"/>
  <c r="G495" i="2" s="1"/>
  <c r="G496" i="2" s="1"/>
  <c r="G497" i="2" s="1"/>
  <c r="G498" i="2" s="1"/>
  <c r="G499" i="2"/>
  <c r="G500" i="2" s="1"/>
  <c r="O500" i="2" s="1"/>
  <c r="E499" i="2"/>
  <c r="E500" i="2" s="1"/>
  <c r="E493" i="2"/>
  <c r="E494" i="2" s="1"/>
  <c r="E495" i="2" s="1"/>
  <c r="E496" i="2" s="1"/>
  <c r="E497" i="2" s="1"/>
  <c r="E498" i="2" s="1"/>
  <c r="G504" i="2"/>
  <c r="G505" i="2" s="1"/>
  <c r="E511" i="2"/>
  <c r="E512" i="2" s="1"/>
  <c r="E506" i="2"/>
  <c r="E507" i="2" s="1"/>
  <c r="E508" i="2" s="1"/>
  <c r="E509" i="2" s="1"/>
  <c r="E510" i="2" s="1"/>
  <c r="H511" i="2"/>
  <c r="H512" i="2" s="1"/>
  <c r="N512" i="2" s="1"/>
  <c r="H506" i="2"/>
  <c r="H507" i="2" s="1"/>
  <c r="H508" i="2" s="1"/>
  <c r="H509" i="2" s="1"/>
  <c r="H510" i="2" s="1"/>
  <c r="G506" i="2" l="1"/>
  <c r="G507" i="2" s="1"/>
  <c r="G508" i="2" s="1"/>
  <c r="G509" i="2" s="1"/>
  <c r="G510" i="2" s="1"/>
  <c r="G511" i="2"/>
  <c r="G512" i="2" s="1"/>
  <c r="O512" i="2" s="1"/>
  <c r="E527" i="2"/>
  <c r="E528" i="2" s="1"/>
  <c r="E529" i="2" s="1"/>
  <c r="E530" i="2" s="1"/>
  <c r="E513" i="2"/>
  <c r="E514" i="2" l="1"/>
  <c r="G513" i="2"/>
  <c r="G514" i="2" s="1"/>
  <c r="H530" i="2"/>
  <c r="H531" i="2" s="1"/>
  <c r="E531" i="2"/>
  <c r="G530" i="2" l="1"/>
  <c r="G531" i="2" s="1"/>
  <c r="E537" i="2"/>
  <c r="E538" i="2" s="1"/>
  <c r="E532" i="2"/>
  <c r="E533" i="2" s="1"/>
  <c r="E534" i="2" s="1"/>
  <c r="E535" i="2" s="1"/>
  <c r="E536" i="2" s="1"/>
  <c r="H537" i="2"/>
  <c r="H538" i="2" s="1"/>
  <c r="N538" i="2" s="1"/>
  <c r="H532" i="2"/>
  <c r="H533" i="2" s="1"/>
  <c r="H534" i="2" s="1"/>
  <c r="H535" i="2" s="1"/>
  <c r="H536" i="2" s="1"/>
  <c r="G515" i="2"/>
  <c r="G516" i="2" s="1"/>
  <c r="G517" i="2" s="1"/>
  <c r="G518" i="2" s="1"/>
  <c r="G519" i="2" s="1"/>
  <c r="G520" i="2"/>
  <c r="G521" i="2" s="1"/>
  <c r="O521" i="2" s="1"/>
  <c r="E520" i="2"/>
  <c r="E521" i="2" s="1"/>
  <c r="E522" i="2" s="1"/>
  <c r="E515" i="2"/>
  <c r="E516" i="2" s="1"/>
  <c r="E517" i="2" s="1"/>
  <c r="E518" i="2" s="1"/>
  <c r="E519" i="2" s="1"/>
  <c r="G522" i="2" l="1"/>
  <c r="G523" i="2" s="1"/>
  <c r="E523" i="2"/>
  <c r="E539" i="2"/>
  <c r="E548" i="2"/>
  <c r="E549" i="2" s="1"/>
  <c r="E550" i="2" s="1"/>
  <c r="E551" i="2" s="1"/>
  <c r="G532" i="2"/>
  <c r="G533" i="2" s="1"/>
  <c r="G534" i="2" s="1"/>
  <c r="G535" i="2" s="1"/>
  <c r="G536" i="2" s="1"/>
  <c r="G537" i="2"/>
  <c r="G538" i="2" s="1"/>
  <c r="O538" i="2" s="1"/>
  <c r="G539" i="2" l="1"/>
  <c r="G540" i="2" s="1"/>
  <c r="E540" i="2"/>
  <c r="H551" i="2"/>
  <c r="H552" i="2" s="1"/>
  <c r="E552" i="2"/>
  <c r="E525" i="2"/>
  <c r="E526" i="2" s="1"/>
  <c r="E524" i="2"/>
  <c r="G524" i="2"/>
  <c r="G525" i="2"/>
  <c r="G526" i="2" s="1"/>
  <c r="O526" i="2" s="1"/>
  <c r="G541" i="2" l="1"/>
  <c r="G542" i="2" s="1"/>
  <c r="G543" i="2" s="1"/>
  <c r="G544" i="2" s="1"/>
  <c r="G545" i="2" s="1"/>
  <c r="G546" i="2"/>
  <c r="G547" i="2" s="1"/>
  <c r="O547" i="2" s="1"/>
  <c r="H559" i="2"/>
  <c r="H560" i="2" s="1"/>
  <c r="N560" i="2" s="1"/>
  <c r="H553" i="2"/>
  <c r="H554" i="2" s="1"/>
  <c r="H555" i="2" s="1"/>
  <c r="H556" i="2" s="1"/>
  <c r="H557" i="2" s="1"/>
  <c r="H558" i="2" s="1"/>
  <c r="G551" i="2"/>
  <c r="G552" i="2" s="1"/>
  <c r="E559" i="2"/>
  <c r="E560" i="2" s="1"/>
  <c r="E553" i="2"/>
  <c r="E554" i="2" s="1"/>
  <c r="E555" i="2" s="1"/>
  <c r="E556" i="2" s="1"/>
  <c r="E557" i="2" s="1"/>
  <c r="E558" i="2" s="1"/>
  <c r="E546" i="2"/>
  <c r="E547" i="2" s="1"/>
  <c r="E541" i="2"/>
  <c r="E542" i="2" s="1"/>
  <c r="E543" i="2" s="1"/>
  <c r="E544" i="2" s="1"/>
  <c r="E545" i="2" s="1"/>
  <c r="E576" i="2" l="1"/>
  <c r="E577" i="2" s="1"/>
  <c r="E561" i="2"/>
  <c r="G553" i="2"/>
  <c r="G554" i="2" s="1"/>
  <c r="G555" i="2" s="1"/>
  <c r="G556" i="2" s="1"/>
  <c r="G557" i="2" s="1"/>
  <c r="G558" i="2" s="1"/>
  <c r="G559" i="2"/>
  <c r="G560" i="2" s="1"/>
  <c r="O560" i="2" s="1"/>
  <c r="E562" i="2" l="1"/>
  <c r="G561" i="2"/>
  <c r="G562" i="2" s="1"/>
  <c r="E569" i="2" l="1"/>
  <c r="E570" i="2" s="1"/>
  <c r="E571" i="2" s="1"/>
  <c r="E563" i="2"/>
  <c r="E564" i="2" s="1"/>
  <c r="E565" i="2" s="1"/>
  <c r="E566" i="2" s="1"/>
  <c r="E567" i="2" s="1"/>
  <c r="E568" i="2" s="1"/>
  <c r="G563" i="2"/>
  <c r="G564" i="2" s="1"/>
  <c r="G565" i="2" s="1"/>
  <c r="G566" i="2" s="1"/>
  <c r="G567" i="2" s="1"/>
  <c r="G568" i="2" s="1"/>
  <c r="G569" i="2"/>
  <c r="G570" i="2" s="1"/>
  <c r="O570" i="2" s="1"/>
  <c r="E572" i="2" l="1"/>
  <c r="G571" i="2"/>
  <c r="G572" i="2" s="1"/>
  <c r="G573" i="2" l="1"/>
  <c r="G574" i="2"/>
  <c r="G575" i="2" s="1"/>
  <c r="O575" i="2" s="1"/>
  <c r="E574" i="2"/>
  <c r="E575" i="2" s="1"/>
  <c r="E573" i="2"/>
</calcChain>
</file>

<file path=xl/sharedStrings.xml><?xml version="1.0" encoding="utf-8"?>
<sst xmlns="http://schemas.openxmlformats.org/spreadsheetml/2006/main" count="7789" uniqueCount="5414">
  <si>
    <t xml:space="preserve">Report Readme </t>
  </si>
  <si>
    <t>About the report</t>
  </si>
  <si>
    <t>Version of Jet</t>
  </si>
  <si>
    <t>Services</t>
  </si>
  <si>
    <t>Training</t>
  </si>
  <si>
    <t>Sales</t>
  </si>
  <si>
    <t>DISCLAIMER</t>
  </si>
  <si>
    <t>Copyrights</t>
  </si>
  <si>
    <t>First Name</t>
  </si>
  <si>
    <t>Last Name</t>
  </si>
  <si>
    <t>Employee ID</t>
  </si>
  <si>
    <t>Empl Class</t>
  </si>
  <si>
    <t>Check No.</t>
  </si>
  <si>
    <t>Payrate</t>
  </si>
  <si>
    <t>State</t>
  </si>
  <si>
    <t>Check Date</t>
  </si>
  <si>
    <t>PA Trx Amt</t>
  </si>
  <si>
    <t>EMPLOYEE PAYROLL TRANSACTIONS</t>
  </si>
  <si>
    <t>Lookup</t>
  </si>
  <si>
    <t>*</t>
  </si>
  <si>
    <t>Value</t>
  </si>
  <si>
    <t>Title</t>
  </si>
  <si>
    <t>Option</t>
  </si>
  <si>
    <t>Fit</t>
  </si>
  <si>
    <t>Hide</t>
  </si>
  <si>
    <t>Grand Total</t>
  </si>
  <si>
    <t>Check Date:</t>
  </si>
  <si>
    <t>Employee Class:</t>
  </si>
  <si>
    <t>Employee ID:</t>
  </si>
  <si>
    <t>Payroll Code:</t>
  </si>
  <si>
    <t>State:</t>
  </si>
  <si>
    <t>Run Date:</t>
  </si>
  <si>
    <t>Pay Rate</t>
  </si>
  <si>
    <t>Payroll Code</t>
  </si>
  <si>
    <t>Transaction Amount</t>
  </si>
  <si>
    <t>=NL("Lookup","Jet Payroll Transactions","Check Date")</t>
  </si>
  <si>
    <t>=NL("Lookup","Jet Payroll Transactions","Employee Class")</t>
  </si>
  <si>
    <t>=NL("Lookup","Jet Payroll Transactions",{"Employee Number","Employee First Name","Employee Last Name"},"Headers=",{"Number","First Name","Last Name"})</t>
  </si>
  <si>
    <t>=NL("Lookup","Jet Payroll Transactions","Payroll Code")</t>
  </si>
  <si>
    <t>=NP("Eval","=Today()")</t>
  </si>
  <si>
    <t>=J13</t>
  </si>
  <si>
    <t>=L14</t>
  </si>
  <si>
    <t>=M14</t>
  </si>
  <si>
    <t>=E13</t>
  </si>
  <si>
    <t>=K14</t>
  </si>
  <si>
    <t>=NL(,"Jet Payroll Transactions","Employee First Name","Employee Number","@@"&amp;$K14)</t>
  </si>
  <si>
    <t>=NL(,"Jet Payroll Transactions","Employee Last Name","Employee Number","@@"&amp;$K14)</t>
  </si>
  <si>
    <t>=C14</t>
  </si>
  <si>
    <t>=D14</t>
  </si>
  <si>
    <t>=E14</t>
  </si>
  <si>
    <t>=F14</t>
  </si>
  <si>
    <t>=O15</t>
  </si>
  <si>
    <t>=N15</t>
  </si>
  <si>
    <t>=C15</t>
  </si>
  <si>
    <t>=D15</t>
  </si>
  <si>
    <t>=E15</t>
  </si>
  <si>
    <t>=F15</t>
  </si>
  <si>
    <t>=G15</t>
  </si>
  <si>
    <t>=H15</t>
  </si>
  <si>
    <t>=NF($I16,P$11)</t>
  </si>
  <si>
    <t>=NF($I16,Q$11)</t>
  </si>
  <si>
    <t>=NF($I16,R$11)</t>
  </si>
  <si>
    <t>=NF($I16,S$11)</t>
  </si>
  <si>
    <t>=C16</t>
  </si>
  <si>
    <t>=D16</t>
  </si>
  <si>
    <t>=E16</t>
  </si>
  <si>
    <t>=F16</t>
  </si>
  <si>
    <t>=G16</t>
  </si>
  <si>
    <t>=H16</t>
  </si>
  <si>
    <t>=C17</t>
  </si>
  <si>
    <t>=D17</t>
  </si>
  <si>
    <t>=E17</t>
  </si>
  <si>
    <t>=F17</t>
  </si>
  <si>
    <t>=G17</t>
  </si>
  <si>
    <t>=H17</t>
  </si>
  <si>
    <t>="Total for " &amp; $H18</t>
  </si>
  <si>
    <t>=G18</t>
  </si>
  <si>
    <t>=C18</t>
  </si>
  <si>
    <t>=D18</t>
  </si>
  <si>
    <t>=E18</t>
  </si>
  <si>
    <t>=F18</t>
  </si>
  <si>
    <t>=C19</t>
  </si>
  <si>
    <t>=D19</t>
  </si>
  <si>
    <t>=E19</t>
  </si>
  <si>
    <t>=F19</t>
  </si>
  <si>
    <t>="Total for " &amp; $F20</t>
  </si>
  <si>
    <t>=C20</t>
  </si>
  <si>
    <t>=D20</t>
  </si>
  <si>
    <t>=E20</t>
  </si>
  <si>
    <t>=E21</t>
  </si>
  <si>
    <t>="Total for " &amp; $E22</t>
  </si>
  <si>
    <t>Auto</t>
  </si>
  <si>
    <t>=H18</t>
  </si>
  <si>
    <t>=G19</t>
  </si>
  <si>
    <t>=H19</t>
  </si>
  <si>
    <t>=F20</t>
  </si>
  <si>
    <t>=G20</t>
  </si>
  <si>
    <t>=H20</t>
  </si>
  <si>
    <t>=C21</t>
  </si>
  <si>
    <t>=D21</t>
  </si>
  <si>
    <t>=F21</t>
  </si>
  <si>
    <t>=G21</t>
  </si>
  <si>
    <t>=H21</t>
  </si>
  <si>
    <t>=G24</t>
  </si>
  <si>
    <t>=C24</t>
  </si>
  <si>
    <t>=D24</t>
  </si>
  <si>
    <t>=E24</t>
  </si>
  <si>
    <t>=F24</t>
  </si>
  <si>
    <t>=C25</t>
  </si>
  <si>
    <t>=D25</t>
  </si>
  <si>
    <t>=E25</t>
  </si>
  <si>
    <t>=F25</t>
  </si>
  <si>
    <t>=G25</t>
  </si>
  <si>
    <t>=C26</t>
  </si>
  <si>
    <t>=D26</t>
  </si>
  <si>
    <t>=E26</t>
  </si>
  <si>
    <t>=F26</t>
  </si>
  <si>
    <t>=G26</t>
  </si>
  <si>
    <t>=H26</t>
  </si>
  <si>
    <t>=C27</t>
  </si>
  <si>
    <t>=D27</t>
  </si>
  <si>
    <t>=E27</t>
  </si>
  <si>
    <t>=F27</t>
  </si>
  <si>
    <t>=G27</t>
  </si>
  <si>
    <t>=H27</t>
  </si>
  <si>
    <t>=C28</t>
  </si>
  <si>
    <t>=D28</t>
  </si>
  <si>
    <t>=E28</t>
  </si>
  <si>
    <t>=F28</t>
  </si>
  <si>
    <t>=G28</t>
  </si>
  <si>
    <t>=H28</t>
  </si>
  <si>
    <t>=C29</t>
  </si>
  <si>
    <t>=D29</t>
  </si>
  <si>
    <t>=E29</t>
  </si>
  <si>
    <t>=F29</t>
  </si>
  <si>
    <t>=G29</t>
  </si>
  <si>
    <t>=H29</t>
  </si>
  <si>
    <t>=C30</t>
  </si>
  <si>
    <t>=D30</t>
  </si>
  <si>
    <t>=E30</t>
  </si>
  <si>
    <t>=F30</t>
  </si>
  <si>
    <t>=G30</t>
  </si>
  <si>
    <t>=H30</t>
  </si>
  <si>
    <t>=C31</t>
  </si>
  <si>
    <t>=D31</t>
  </si>
  <si>
    <t>=E31</t>
  </si>
  <si>
    <t>=F31</t>
  </si>
  <si>
    <t>=G31</t>
  </si>
  <si>
    <t>=H31</t>
  </si>
  <si>
    <t>=G34</t>
  </si>
  <si>
    <t>=C34</t>
  </si>
  <si>
    <t>=D34</t>
  </si>
  <si>
    <t>=E34</t>
  </si>
  <si>
    <t>=F34</t>
  </si>
  <si>
    <t>=G35</t>
  </si>
  <si>
    <t>=C36</t>
  </si>
  <si>
    <t>=D36</t>
  </si>
  <si>
    <t>=E36</t>
  </si>
  <si>
    <t>=F36</t>
  </si>
  <si>
    <t>=C37</t>
  </si>
  <si>
    <t>=D37</t>
  </si>
  <si>
    <t>=E37</t>
  </si>
  <si>
    <t>=C38</t>
  </si>
  <si>
    <t>=D38</t>
  </si>
  <si>
    <t>=E38</t>
  </si>
  <si>
    <t>=F38</t>
  </si>
  <si>
    <t>=C39</t>
  </si>
  <si>
    <t>=D39</t>
  </si>
  <si>
    <t>=E39</t>
  </si>
  <si>
    <t>=F39</t>
  </si>
  <si>
    <t>=G39</t>
  </si>
  <si>
    <t>=H39</t>
  </si>
  <si>
    <t>=C40</t>
  </si>
  <si>
    <t>=D40</t>
  </si>
  <si>
    <t>=E40</t>
  </si>
  <si>
    <t>=F40</t>
  </si>
  <si>
    <t>=G40</t>
  </si>
  <si>
    <t>=H40</t>
  </si>
  <si>
    <t>=C41</t>
  </si>
  <si>
    <t>=D41</t>
  </si>
  <si>
    <t>=E41</t>
  </si>
  <si>
    <t>=F41</t>
  </si>
  <si>
    <t>=G41</t>
  </si>
  <si>
    <t>=H41</t>
  </si>
  <si>
    <t>=G44</t>
  </si>
  <si>
    <t>=C44</t>
  </si>
  <si>
    <t>=D44</t>
  </si>
  <si>
    <t>=E44</t>
  </si>
  <si>
    <t>=F44</t>
  </si>
  <si>
    <t>=C45</t>
  </si>
  <si>
    <t>=D45</t>
  </si>
  <si>
    <t>=E45</t>
  </si>
  <si>
    <t>=F45</t>
  </si>
  <si>
    <t>=G45</t>
  </si>
  <si>
    <t>=C46</t>
  </si>
  <si>
    <t>=D46</t>
  </si>
  <si>
    <t>=E46</t>
  </si>
  <si>
    <t>=F46</t>
  </si>
  <si>
    <t>=G46</t>
  </si>
  <si>
    <t>=H46</t>
  </si>
  <si>
    <t>=C47</t>
  </si>
  <si>
    <t>=D47</t>
  </si>
  <si>
    <t>=E47</t>
  </si>
  <si>
    <t>=F47</t>
  </si>
  <si>
    <t>=G47</t>
  </si>
  <si>
    <t>=H47</t>
  </si>
  <si>
    <t>=C48</t>
  </si>
  <si>
    <t>=D48</t>
  </si>
  <si>
    <t>=E48</t>
  </si>
  <si>
    <t>=F48</t>
  </si>
  <si>
    <t>=G48</t>
  </si>
  <si>
    <t>=H48</t>
  </si>
  <si>
    <t>=C49</t>
  </si>
  <si>
    <t>=D49</t>
  </si>
  <si>
    <t>=E49</t>
  </si>
  <si>
    <t>=F49</t>
  </si>
  <si>
    <t>=G49</t>
  </si>
  <si>
    <t>=H49</t>
  </si>
  <si>
    <t>=C51</t>
  </si>
  <si>
    <t>=D51</t>
  </si>
  <si>
    <t>=E51</t>
  </si>
  <si>
    <t>=F51</t>
  </si>
  <si>
    <t>=G51</t>
  </si>
  <si>
    <t>=H51</t>
  </si>
  <si>
    <t>=G52</t>
  </si>
  <si>
    <t>=C54</t>
  </si>
  <si>
    <t>=D54</t>
  </si>
  <si>
    <t>=E54</t>
  </si>
  <si>
    <t>=C55</t>
  </si>
  <si>
    <t>=D55</t>
  </si>
  <si>
    <t>=E55</t>
  </si>
  <si>
    <t>=F55</t>
  </si>
  <si>
    <t>=O56</t>
  </si>
  <si>
    <t>=N56</t>
  </si>
  <si>
    <t>=C56</t>
  </si>
  <si>
    <t>=D56</t>
  </si>
  <si>
    <t>=E56</t>
  </si>
  <si>
    <t>=F56</t>
  </si>
  <si>
    <t>=G56</t>
  </si>
  <si>
    <t>=H56</t>
  </si>
  <si>
    <t>=C57</t>
  </si>
  <si>
    <t>=D57</t>
  </si>
  <si>
    <t>=E57</t>
  </si>
  <si>
    <t>=F57</t>
  </si>
  <si>
    <t>=G57</t>
  </si>
  <si>
    <t>=H57</t>
  </si>
  <si>
    <t>=C58</t>
  </si>
  <si>
    <t>=D58</t>
  </si>
  <si>
    <t>=E58</t>
  </si>
  <si>
    <t>=F58</t>
  </si>
  <si>
    <t>=G58</t>
  </si>
  <si>
    <t>=H58</t>
  </si>
  <si>
    <t>=C59</t>
  </si>
  <si>
    <t>=D59</t>
  </si>
  <si>
    <t>=E59</t>
  </si>
  <si>
    <t>=F59</t>
  </si>
  <si>
    <t>=G59</t>
  </si>
  <si>
    <t>=H59</t>
  </si>
  <si>
    <t>=C60</t>
  </si>
  <si>
    <t>=D60</t>
  </si>
  <si>
    <t>=E60</t>
  </si>
  <si>
    <t>=F60</t>
  </si>
  <si>
    <t>=G60</t>
  </si>
  <si>
    <t>=H60</t>
  </si>
  <si>
    <t>=C61</t>
  </si>
  <si>
    <t>=D61</t>
  </si>
  <si>
    <t>=E61</t>
  </si>
  <si>
    <t>=F61</t>
  </si>
  <si>
    <t>=G61</t>
  </si>
  <si>
    <t>=H61</t>
  </si>
  <si>
    <t>=C62</t>
  </si>
  <si>
    <t>=D62</t>
  </si>
  <si>
    <t>=E62</t>
  </si>
  <si>
    <t>=F62</t>
  </si>
  <si>
    <t>=G62</t>
  </si>
  <si>
    <t>=H62</t>
  </si>
  <si>
    <t>=G65</t>
  </si>
  <si>
    <t>=C66</t>
  </si>
  <si>
    <t>=D66</t>
  </si>
  <si>
    <t>=E66</t>
  </si>
  <si>
    <t>=F66</t>
  </si>
  <si>
    <t>=C67</t>
  </si>
  <si>
    <t>=D67</t>
  </si>
  <si>
    <t>=E67</t>
  </si>
  <si>
    <t>=C68</t>
  </si>
  <si>
    <t>=D68</t>
  </si>
  <si>
    <t>=E68</t>
  </si>
  <si>
    <t>=F68</t>
  </si>
  <si>
    <t>=C69</t>
  </si>
  <si>
    <t>=D69</t>
  </si>
  <si>
    <t>=E69</t>
  </si>
  <si>
    <t>=F69</t>
  </si>
  <si>
    <t>=G69</t>
  </si>
  <si>
    <t>=H69</t>
  </si>
  <si>
    <t>=C70</t>
  </si>
  <si>
    <t>=D70</t>
  </si>
  <si>
    <t>=E70</t>
  </si>
  <si>
    <t>=F70</t>
  </si>
  <si>
    <t>=G70</t>
  </si>
  <si>
    <t>=H70</t>
  </si>
  <si>
    <t>=C71</t>
  </si>
  <si>
    <t>=D71</t>
  </si>
  <si>
    <t>=E71</t>
  </si>
  <si>
    <t>=F71</t>
  </si>
  <si>
    <t>=G71</t>
  </si>
  <si>
    <t>=H71</t>
  </si>
  <si>
    <t>=C72</t>
  </si>
  <si>
    <t>=D72</t>
  </si>
  <si>
    <t>=E72</t>
  </si>
  <si>
    <t>=F72</t>
  </si>
  <si>
    <t>=G72</t>
  </si>
  <si>
    <t>=H72</t>
  </si>
  <si>
    <t>=G75</t>
  </si>
  <si>
    <t>=C77</t>
  </si>
  <si>
    <t>=D77</t>
  </si>
  <si>
    <t>=E77</t>
  </si>
  <si>
    <t>=C78</t>
  </si>
  <si>
    <t>=D78</t>
  </si>
  <si>
    <t>=E78</t>
  </si>
  <si>
    <t>=C79</t>
  </si>
  <si>
    <t>=D79</t>
  </si>
  <si>
    <t>=E79</t>
  </si>
  <si>
    <t>=F79</t>
  </si>
  <si>
    <t>=C81</t>
  </si>
  <si>
    <t>=D81</t>
  </si>
  <si>
    <t>=E81</t>
  </si>
  <si>
    <t>=F81</t>
  </si>
  <si>
    <t>=G81</t>
  </si>
  <si>
    <t>=H81</t>
  </si>
  <si>
    <t>=C82</t>
  </si>
  <si>
    <t>=D82</t>
  </si>
  <si>
    <t>=E82</t>
  </si>
  <si>
    <t>=F82</t>
  </si>
  <si>
    <t>=G82</t>
  </si>
  <si>
    <t>=C83</t>
  </si>
  <si>
    <t>=D83</t>
  </si>
  <si>
    <t>=E83</t>
  </si>
  <si>
    <t>=F83</t>
  </si>
  <si>
    <t>=G83</t>
  </si>
  <si>
    <t>=H83</t>
  </si>
  <si>
    <t>=C84</t>
  </si>
  <si>
    <t>=D84</t>
  </si>
  <si>
    <t>=E84</t>
  </si>
  <si>
    <t>=F84</t>
  </si>
  <si>
    <t>=G84</t>
  </si>
  <si>
    <t>=H84</t>
  </si>
  <si>
    <t>=C87</t>
  </si>
  <si>
    <t>=D87</t>
  </si>
  <si>
    <t>=E87</t>
  </si>
  <si>
    <t>=F87</t>
  </si>
  <si>
    <t>=G87</t>
  </si>
  <si>
    <t>=C89</t>
  </si>
  <si>
    <t>=D89</t>
  </si>
  <si>
    <t>=E89</t>
  </si>
  <si>
    <t>=F89</t>
  </si>
  <si>
    <t>=G89</t>
  </si>
  <si>
    <t>=H89</t>
  </si>
  <si>
    <t>=C90</t>
  </si>
  <si>
    <t>=D90</t>
  </si>
  <si>
    <t>=E90</t>
  </si>
  <si>
    <t>=F90</t>
  </si>
  <si>
    <t>=G90</t>
  </si>
  <si>
    <t>=C91</t>
  </si>
  <si>
    <t>=D91</t>
  </si>
  <si>
    <t>=E91</t>
  </si>
  <si>
    <t>=F91</t>
  </si>
  <si>
    <t>=G91</t>
  </si>
  <si>
    <t>=H91</t>
  </si>
  <si>
    <t>=C92</t>
  </si>
  <si>
    <t>=D92</t>
  </si>
  <si>
    <t>=E92</t>
  </si>
  <si>
    <t>=F92</t>
  </si>
  <si>
    <t>=G92</t>
  </si>
  <si>
    <t>=H92</t>
  </si>
  <si>
    <t>=C93</t>
  </si>
  <si>
    <t>=D93</t>
  </si>
  <si>
    <t>=E93</t>
  </si>
  <si>
    <t>=F93</t>
  </si>
  <si>
    <t>=G93</t>
  </si>
  <si>
    <t>=H93</t>
  </si>
  <si>
    <t>=G96</t>
  </si>
  <si>
    <t>=C97</t>
  </si>
  <si>
    <t>=D97</t>
  </si>
  <si>
    <t>=E97</t>
  </si>
  <si>
    <t>=F97</t>
  </si>
  <si>
    <t>=C98</t>
  </si>
  <si>
    <t>=D98</t>
  </si>
  <si>
    <t>=E99</t>
  </si>
  <si>
    <t>=C103</t>
  </si>
  <si>
    <t>=D103</t>
  </si>
  <si>
    <t>=E103</t>
  </si>
  <si>
    <t>=F103</t>
  </si>
  <si>
    <t>=G104</t>
  </si>
  <si>
    <t>=C106</t>
  </si>
  <si>
    <t>=D106</t>
  </si>
  <si>
    <t>=E106</t>
  </si>
  <si>
    <t>=C107</t>
  </si>
  <si>
    <t>=D107</t>
  </si>
  <si>
    <t>=E107</t>
  </si>
  <si>
    <t>=F107</t>
  </si>
  <si>
    <t>=C108</t>
  </si>
  <si>
    <t>=D108</t>
  </si>
  <si>
    <t>=E108</t>
  </si>
  <si>
    <t>=F108</t>
  </si>
  <si>
    <t>=G108</t>
  </si>
  <si>
    <t>=H108</t>
  </si>
  <si>
    <t>=C109</t>
  </si>
  <si>
    <t>=D109</t>
  </si>
  <si>
    <t>=E109</t>
  </si>
  <si>
    <t>=F109</t>
  </si>
  <si>
    <t>=G109</t>
  </si>
  <si>
    <t>=H109</t>
  </si>
  <si>
    <t>=C111</t>
  </si>
  <si>
    <t>=D111</t>
  </si>
  <si>
    <t>=E111</t>
  </si>
  <si>
    <t>=F111</t>
  </si>
  <si>
    <t>=G111</t>
  </si>
  <si>
    <t>=H111</t>
  </si>
  <si>
    <t>=C112</t>
  </si>
  <si>
    <t>=D112</t>
  </si>
  <si>
    <t>=E112</t>
  </si>
  <si>
    <t>=F112</t>
  </si>
  <si>
    <t>=G112</t>
  </si>
  <si>
    <t>=C113</t>
  </si>
  <si>
    <t>=D113</t>
  </si>
  <si>
    <t>=E113</t>
  </si>
  <si>
    <t>=F113</t>
  </si>
  <si>
    <t>=G113</t>
  </si>
  <si>
    <t>=H113</t>
  </si>
  <si>
    <t>=G116</t>
  </si>
  <si>
    <t>=C116</t>
  </si>
  <si>
    <t>=D116</t>
  </si>
  <si>
    <t>=E116</t>
  </si>
  <si>
    <t>=F116</t>
  </si>
  <si>
    <t>=C117</t>
  </si>
  <si>
    <t>=D117</t>
  </si>
  <si>
    <t>=E117</t>
  </si>
  <si>
    <t>=F117</t>
  </si>
  <si>
    <t>=G117</t>
  </si>
  <si>
    <t>=C118</t>
  </si>
  <si>
    <t>=D118</t>
  </si>
  <si>
    <t>=E118</t>
  </si>
  <si>
    <t>=F118</t>
  </si>
  <si>
    <t>=G118</t>
  </si>
  <si>
    <t>=H118</t>
  </si>
  <si>
    <t>=C120</t>
  </si>
  <si>
    <t>=D120</t>
  </si>
  <si>
    <t>=E120</t>
  </si>
  <si>
    <t>=F120</t>
  </si>
  <si>
    <t>=G120</t>
  </si>
  <si>
    <t>=H120</t>
  </si>
  <si>
    <t>=G121</t>
  </si>
  <si>
    <t>=C122</t>
  </si>
  <si>
    <t>=D122</t>
  </si>
  <si>
    <t>=E122</t>
  </si>
  <si>
    <t>=F122</t>
  </si>
  <si>
    <t>=C124</t>
  </si>
  <si>
    <t>=D124</t>
  </si>
  <si>
    <t>=E124</t>
  </si>
  <si>
    <t>=F124</t>
  </si>
  <si>
    <t>=C126</t>
  </si>
  <si>
    <t>=D126</t>
  </si>
  <si>
    <t>=E126</t>
  </si>
  <si>
    <t>=F126</t>
  </si>
  <si>
    <t>=G126</t>
  </si>
  <si>
    <t>=H126</t>
  </si>
  <si>
    <t>=C127</t>
  </si>
  <si>
    <t>=D127</t>
  </si>
  <si>
    <t>=E127</t>
  </si>
  <si>
    <t>=F127</t>
  </si>
  <si>
    <t>=G127</t>
  </si>
  <si>
    <t>=C128</t>
  </si>
  <si>
    <t>=D128</t>
  </si>
  <si>
    <t>=E128</t>
  </si>
  <si>
    <t>=F128</t>
  </si>
  <si>
    <t>=G128</t>
  </si>
  <si>
    <t>=H128</t>
  </si>
  <si>
    <t>=C130</t>
  </si>
  <si>
    <t>=D130</t>
  </si>
  <si>
    <t>=E130</t>
  </si>
  <si>
    <t>=F130</t>
  </si>
  <si>
    <t>=G130</t>
  </si>
  <si>
    <t>=H130</t>
  </si>
  <si>
    <t>=C131</t>
  </si>
  <si>
    <t>=D131</t>
  </si>
  <si>
    <t>=E131</t>
  </si>
  <si>
    <t>=F131</t>
  </si>
  <si>
    <t>=G131</t>
  </si>
  <si>
    <t>=C133</t>
  </si>
  <si>
    <t>=D133</t>
  </si>
  <si>
    <t>=E133</t>
  </si>
  <si>
    <t>=F133</t>
  </si>
  <si>
    <t>=G133</t>
  </si>
  <si>
    <t>=H133</t>
  </si>
  <si>
    <t>=G134</t>
  </si>
  <si>
    <t>=C137</t>
  </si>
  <si>
    <t>=D137</t>
  </si>
  <si>
    <t>=E137</t>
  </si>
  <si>
    <t>=F137</t>
  </si>
  <si>
    <t>=C138</t>
  </si>
  <si>
    <t>=D138</t>
  </si>
  <si>
    <t>=E138</t>
  </si>
  <si>
    <t>=F138</t>
  </si>
  <si>
    <t>=G138</t>
  </si>
  <si>
    <t>=C139</t>
  </si>
  <si>
    <t>=D139</t>
  </si>
  <si>
    <t>=E139</t>
  </si>
  <si>
    <t>=F139</t>
  </si>
  <si>
    <t>=G139</t>
  </si>
  <si>
    <t>=H139</t>
  </si>
  <si>
    <t>=C140</t>
  </si>
  <si>
    <t>=D140</t>
  </si>
  <si>
    <t>=E140</t>
  </si>
  <si>
    <t>=F140</t>
  </si>
  <si>
    <t>=G140</t>
  </si>
  <si>
    <t>=H140</t>
  </si>
  <si>
    <t>=C142</t>
  </si>
  <si>
    <t>=D142</t>
  </si>
  <si>
    <t>=E142</t>
  </si>
  <si>
    <t>=F142</t>
  </si>
  <si>
    <t>=G142</t>
  </si>
  <si>
    <t>=H142</t>
  </si>
  <si>
    <t>=G143</t>
  </si>
  <si>
    <t>=C144</t>
  </si>
  <si>
    <t>=D144</t>
  </si>
  <si>
    <t>=E144</t>
  </si>
  <si>
    <t>=F144</t>
  </si>
  <si>
    <t>=C146</t>
  </si>
  <si>
    <t>=D146</t>
  </si>
  <si>
    <t>=E146</t>
  </si>
  <si>
    <t>=F146</t>
  </si>
  <si>
    <t>=G147</t>
  </si>
  <si>
    <t>=C147</t>
  </si>
  <si>
    <t>=D147</t>
  </si>
  <si>
    <t>=E147</t>
  </si>
  <si>
    <t>=F147</t>
  </si>
  <si>
    <t>=C148</t>
  </si>
  <si>
    <t>=D148</t>
  </si>
  <si>
    <t>=E148</t>
  </si>
  <si>
    <t>=F148</t>
  </si>
  <si>
    <t>=G148</t>
  </si>
  <si>
    <t>=H148</t>
  </si>
  <si>
    <t>=C149</t>
  </si>
  <si>
    <t>=D149</t>
  </si>
  <si>
    <t>=E149</t>
  </si>
  <si>
    <t>=F149</t>
  </si>
  <si>
    <t>=G149</t>
  </si>
  <si>
    <t>=H149</t>
  </si>
  <si>
    <t>=C150</t>
  </si>
  <si>
    <t>=D150</t>
  </si>
  <si>
    <t>=E150</t>
  </si>
  <si>
    <t>=F150</t>
  </si>
  <si>
    <t>=G150</t>
  </si>
  <si>
    <t>=H150</t>
  </si>
  <si>
    <t>=C152</t>
  </si>
  <si>
    <t>=D152</t>
  </si>
  <si>
    <t>=E152</t>
  </si>
  <si>
    <t>=F152</t>
  </si>
  <si>
    <t>=G152</t>
  </si>
  <si>
    <t>=H152</t>
  </si>
  <si>
    <t>=C153</t>
  </si>
  <si>
    <t>=D153</t>
  </si>
  <si>
    <t>=E153</t>
  </si>
  <si>
    <t>=F153</t>
  </si>
  <si>
    <t>=G153</t>
  </si>
  <si>
    <t>=C154</t>
  </si>
  <si>
    <t>=D154</t>
  </si>
  <si>
    <t>=E154</t>
  </si>
  <si>
    <t>=F154</t>
  </si>
  <si>
    <t>=G154</t>
  </si>
  <si>
    <t>=H154</t>
  </si>
  <si>
    <t>=C156</t>
  </si>
  <si>
    <t>=D156</t>
  </si>
  <si>
    <t>=E156</t>
  </si>
  <si>
    <t>=F156</t>
  </si>
  <si>
    <t>=G156</t>
  </si>
  <si>
    <t>=H156</t>
  </si>
  <si>
    <t>=G157</t>
  </si>
  <si>
    <t>=C159</t>
  </si>
  <si>
    <t>=D159</t>
  </si>
  <si>
    <t>=E159</t>
  </si>
  <si>
    <t>=C161</t>
  </si>
  <si>
    <t>=D161</t>
  </si>
  <si>
    <t>=E161</t>
  </si>
  <si>
    <t>=F161</t>
  </si>
  <si>
    <t>=C162</t>
  </si>
  <si>
    <t>=D162</t>
  </si>
  <si>
    <t>=E162</t>
  </si>
  <si>
    <t>=C163</t>
  </si>
  <si>
    <t>=D163</t>
  </si>
  <si>
    <t>=E163</t>
  </si>
  <si>
    <t>=F163</t>
  </si>
  <si>
    <t>=C164</t>
  </si>
  <si>
    <t>=D164</t>
  </si>
  <si>
    <t>=E164</t>
  </si>
  <si>
    <t>=F164</t>
  </si>
  <si>
    <t>=G164</t>
  </si>
  <si>
    <t>=H164</t>
  </si>
  <si>
    <t>=C166</t>
  </si>
  <si>
    <t>=D166</t>
  </si>
  <si>
    <t>=E166</t>
  </si>
  <si>
    <t>=F166</t>
  </si>
  <si>
    <t>=G166</t>
  </si>
  <si>
    <t>=H166</t>
  </si>
  <si>
    <t>=C168</t>
  </si>
  <si>
    <t>=D168</t>
  </si>
  <si>
    <t>=E168</t>
  </si>
  <si>
    <t>=F168</t>
  </si>
  <si>
    <t>=G168</t>
  </si>
  <si>
    <t>=H168</t>
  </si>
  <si>
    <t>=C169</t>
  </si>
  <si>
    <t>=D169</t>
  </si>
  <si>
    <t>=E169</t>
  </si>
  <si>
    <t>=F169</t>
  </si>
  <si>
    <t>=G169</t>
  </si>
  <si>
    <t>=C170</t>
  </si>
  <si>
    <t>=D170</t>
  </si>
  <si>
    <t>=E170</t>
  </si>
  <si>
    <t>=F170</t>
  </si>
  <si>
    <t>=G170</t>
  </si>
  <si>
    <t>=H170</t>
  </si>
  <si>
    <t>=C172</t>
  </si>
  <si>
    <t>=D172</t>
  </si>
  <si>
    <t>=E172</t>
  </si>
  <si>
    <t>=F172</t>
  </si>
  <si>
    <t>=G172</t>
  </si>
  <si>
    <t>=H172</t>
  </si>
  <si>
    <t>=C173</t>
  </si>
  <si>
    <t>=D173</t>
  </si>
  <si>
    <t>=E173</t>
  </si>
  <si>
    <t>=F173</t>
  </si>
  <si>
    <t>=G173</t>
  </si>
  <si>
    <t>=C174</t>
  </si>
  <si>
    <t>=D174</t>
  </si>
  <si>
    <t>=E174</t>
  </si>
  <si>
    <t>=F174</t>
  </si>
  <si>
    <t>=G174</t>
  </si>
  <si>
    <t>=H174</t>
  </si>
  <si>
    <t>=G177</t>
  </si>
  <si>
    <t>=C177</t>
  </si>
  <si>
    <t>=D177</t>
  </si>
  <si>
    <t>=E177</t>
  </si>
  <si>
    <t>=F177</t>
  </si>
  <si>
    <t>=C178</t>
  </si>
  <si>
    <t>=D178</t>
  </si>
  <si>
    <t>=E178</t>
  </si>
  <si>
    <t>=F178</t>
  </si>
  <si>
    <t>=G178</t>
  </si>
  <si>
    <t>=C179</t>
  </si>
  <si>
    <t>=D179</t>
  </si>
  <si>
    <t>=E179</t>
  </si>
  <si>
    <t>=F179</t>
  </si>
  <si>
    <t>=G179</t>
  </si>
  <si>
    <t>=H179</t>
  </si>
  <si>
    <t>=C180</t>
  </si>
  <si>
    <t>=D180</t>
  </si>
  <si>
    <t>=E180</t>
  </si>
  <si>
    <t>=F180</t>
  </si>
  <si>
    <t>=G180</t>
  </si>
  <si>
    <t>=H180</t>
  </si>
  <si>
    <t>=C182</t>
  </si>
  <si>
    <t>=D182</t>
  </si>
  <si>
    <t>=E182</t>
  </si>
  <si>
    <t>=F182</t>
  </si>
  <si>
    <t>=G182</t>
  </si>
  <si>
    <t>=H182</t>
  </si>
  <si>
    <t>=G183</t>
  </si>
  <si>
    <t>=C184</t>
  </si>
  <si>
    <t>=D184</t>
  </si>
  <si>
    <t>=E184</t>
  </si>
  <si>
    <t>=F184</t>
  </si>
  <si>
    <t>=E186</t>
  </si>
  <si>
    <t>=E189</t>
  </si>
  <si>
    <t>=C190</t>
  </si>
  <si>
    <t>=D190</t>
  </si>
  <si>
    <t>=E190</t>
  </si>
  <si>
    <t>=F190</t>
  </si>
  <si>
    <t>=C191</t>
  </si>
  <si>
    <t>=D191</t>
  </si>
  <si>
    <t>=E191</t>
  </si>
  <si>
    <t>=F191</t>
  </si>
  <si>
    <t>=G191</t>
  </si>
  <si>
    <t>=H191</t>
  </si>
  <si>
    <t>=C192</t>
  </si>
  <si>
    <t>=D192</t>
  </si>
  <si>
    <t>=E192</t>
  </si>
  <si>
    <t>=F192</t>
  </si>
  <si>
    <t>=G192</t>
  </si>
  <si>
    <t>=H192</t>
  </si>
  <si>
    <t>=C193</t>
  </si>
  <si>
    <t>=D193</t>
  </si>
  <si>
    <t>=E193</t>
  </si>
  <si>
    <t>=F193</t>
  </si>
  <si>
    <t>=G193</t>
  </si>
  <si>
    <t>=H193</t>
  </si>
  <si>
    <t>=C194</t>
  </si>
  <si>
    <t>=D194</t>
  </si>
  <si>
    <t>=E194</t>
  </si>
  <si>
    <t>=F194</t>
  </si>
  <si>
    <t>=G194</t>
  </si>
  <si>
    <t>=H194</t>
  </si>
  <si>
    <t>=C196</t>
  </si>
  <si>
    <t>=D196</t>
  </si>
  <si>
    <t>=E196</t>
  </si>
  <si>
    <t>=F196</t>
  </si>
  <si>
    <t>=G196</t>
  </si>
  <si>
    <t>=H196</t>
  </si>
  <si>
    <t>="Total for " &amp; $H197</t>
  </si>
  <si>
    <t>=G197</t>
  </si>
  <si>
    <t>=C198</t>
  </si>
  <si>
    <t>=D198</t>
  </si>
  <si>
    <t>=E198</t>
  </si>
  <si>
    <t>=F198</t>
  </si>
  <si>
    <t>=C199</t>
  </si>
  <si>
    <t>=D199</t>
  </si>
  <si>
    <t>=E199</t>
  </si>
  <si>
    <t>=C200</t>
  </si>
  <si>
    <t>=D200</t>
  </si>
  <si>
    <t>=E200</t>
  </si>
  <si>
    <t>=F200</t>
  </si>
  <si>
    <t>=C201</t>
  </si>
  <si>
    <t>=D201</t>
  </si>
  <si>
    <t>=E201</t>
  </si>
  <si>
    <t>=F201</t>
  </si>
  <si>
    <t>=G201</t>
  </si>
  <si>
    <t>=H201</t>
  </si>
  <si>
    <t>=C202</t>
  </si>
  <si>
    <t>=D202</t>
  </si>
  <si>
    <t>=E202</t>
  </si>
  <si>
    <t>=F202</t>
  </si>
  <si>
    <t>=G202</t>
  </si>
  <si>
    <t>=H202</t>
  </si>
  <si>
    <t>=C205</t>
  </si>
  <si>
    <t>=D205</t>
  </si>
  <si>
    <t>=E205</t>
  </si>
  <si>
    <t>=F205</t>
  </si>
  <si>
    <t>=G205</t>
  </si>
  <si>
    <t>=G206</t>
  </si>
  <si>
    <t>=E209</t>
  </si>
  <si>
    <t>=E212</t>
  </si>
  <si>
    <t>=C213</t>
  </si>
  <si>
    <t>=D213</t>
  </si>
  <si>
    <t>=E213</t>
  </si>
  <si>
    <t>=F213</t>
  </si>
  <si>
    <t>=C214</t>
  </si>
  <si>
    <t>=D214</t>
  </si>
  <si>
    <t>=E214</t>
  </si>
  <si>
    <t>=F214</t>
  </si>
  <si>
    <t>=G214</t>
  </si>
  <si>
    <t>=H214</t>
  </si>
  <si>
    <t>=C215</t>
  </si>
  <si>
    <t>=D215</t>
  </si>
  <si>
    <t>=E215</t>
  </si>
  <si>
    <t>=F215</t>
  </si>
  <si>
    <t>=G215</t>
  </si>
  <si>
    <t>=H215</t>
  </si>
  <si>
    <t>=C216</t>
  </si>
  <si>
    <t>=D216</t>
  </si>
  <si>
    <t>=E216</t>
  </si>
  <si>
    <t>=F216</t>
  </si>
  <si>
    <t>=G216</t>
  </si>
  <si>
    <t>=H216</t>
  </si>
  <si>
    <t>=C218</t>
  </si>
  <si>
    <t>=D218</t>
  </si>
  <si>
    <t>=E218</t>
  </si>
  <si>
    <t>=F218</t>
  </si>
  <si>
    <t>=G218</t>
  </si>
  <si>
    <t>=H218</t>
  </si>
  <si>
    <t>=G219</t>
  </si>
  <si>
    <t>=C219</t>
  </si>
  <si>
    <t>=D219</t>
  </si>
  <si>
    <t>=E219</t>
  </si>
  <si>
    <t>=F219</t>
  </si>
  <si>
    <t>=C221</t>
  </si>
  <si>
    <t>=D221</t>
  </si>
  <si>
    <t>=E221</t>
  </si>
  <si>
    <t>=F221</t>
  </si>
  <si>
    <t>=G221</t>
  </si>
  <si>
    <t>=H221</t>
  </si>
  <si>
    <t>=C222</t>
  </si>
  <si>
    <t>=D222</t>
  </si>
  <si>
    <t>=E222</t>
  </si>
  <si>
    <t>=F222</t>
  </si>
  <si>
    <t>=G222</t>
  </si>
  <si>
    <t>=C223</t>
  </si>
  <si>
    <t>=D223</t>
  </si>
  <si>
    <t>=E223</t>
  </si>
  <si>
    <t>=F223</t>
  </si>
  <si>
    <t>=G223</t>
  </si>
  <si>
    <t>=H223</t>
  </si>
  <si>
    <t>=C224</t>
  </si>
  <si>
    <t>=D224</t>
  </si>
  <si>
    <t>=E224</t>
  </si>
  <si>
    <t>=F224</t>
  </si>
  <si>
    <t>=G224</t>
  </si>
  <si>
    <t>=H224</t>
  </si>
  <si>
    <t>=C225</t>
  </si>
  <si>
    <t>=D225</t>
  </si>
  <si>
    <t>=E225</t>
  </si>
  <si>
    <t>=F225</t>
  </si>
  <si>
    <t>=G225</t>
  </si>
  <si>
    <t>=H225</t>
  </si>
  <si>
    <t>=C227</t>
  </si>
  <si>
    <t>=D227</t>
  </si>
  <si>
    <t>=E227</t>
  </si>
  <si>
    <t>=F227</t>
  </si>
  <si>
    <t>=G227</t>
  </si>
  <si>
    <t>=H227</t>
  </si>
  <si>
    <t>=G228</t>
  </si>
  <si>
    <t>=C228</t>
  </si>
  <si>
    <t>=D228</t>
  </si>
  <si>
    <t>=E228</t>
  </si>
  <si>
    <t>=F228</t>
  </si>
  <si>
    <t>=C231</t>
  </si>
  <si>
    <t>=D231</t>
  </si>
  <si>
    <t>=E231</t>
  </si>
  <si>
    <t>=F231</t>
  </si>
  <si>
    <t>=G231</t>
  </si>
  <si>
    <t>=C232</t>
  </si>
  <si>
    <t>=D232</t>
  </si>
  <si>
    <t>=E232</t>
  </si>
  <si>
    <t>=F232</t>
  </si>
  <si>
    <t>=G232</t>
  </si>
  <si>
    <t>=C233</t>
  </si>
  <si>
    <t>=D233</t>
  </si>
  <si>
    <t>=E233</t>
  </si>
  <si>
    <t>=F233</t>
  </si>
  <si>
    <t>=G233</t>
  </si>
  <si>
    <t>=H233</t>
  </si>
  <si>
    <t>=C234</t>
  </si>
  <si>
    <t>=D234</t>
  </si>
  <si>
    <t>=E234</t>
  </si>
  <si>
    <t>=F234</t>
  </si>
  <si>
    <t>=G234</t>
  </si>
  <si>
    <t>=H234</t>
  </si>
  <si>
    <t>=C236</t>
  </si>
  <si>
    <t>=D236</t>
  </si>
  <si>
    <t>=E236</t>
  </si>
  <si>
    <t>=F236</t>
  </si>
  <si>
    <t>=G236</t>
  </si>
  <si>
    <t>=H236</t>
  </si>
  <si>
    <t>=G237</t>
  </si>
  <si>
    <t>=C238</t>
  </si>
  <si>
    <t>=D238</t>
  </si>
  <si>
    <t>=E238</t>
  </si>
  <si>
    <t>=F238</t>
  </si>
  <si>
    <t>=C240</t>
  </si>
  <si>
    <t>=D240</t>
  </si>
  <si>
    <t>=E240</t>
  </si>
  <si>
    <t>=F240</t>
  </si>
  <si>
    <t>=C241</t>
  </si>
  <si>
    <t>=D241</t>
  </si>
  <si>
    <t>=E241</t>
  </si>
  <si>
    <t>=F241</t>
  </si>
  <si>
    <t>=G241</t>
  </si>
  <si>
    <t>=C242</t>
  </si>
  <si>
    <t>=D242</t>
  </si>
  <si>
    <t>=E242</t>
  </si>
  <si>
    <t>=F242</t>
  </si>
  <si>
    <t>=G242</t>
  </si>
  <si>
    <t>=H242</t>
  </si>
  <si>
    <t>=C243</t>
  </si>
  <si>
    <t>=D243</t>
  </si>
  <si>
    <t>=E243</t>
  </si>
  <si>
    <t>=F243</t>
  </si>
  <si>
    <t>=G243</t>
  </si>
  <si>
    <t>=H243</t>
  </si>
  <si>
    <t>=C245</t>
  </si>
  <si>
    <t>=D245</t>
  </si>
  <si>
    <t>=E245</t>
  </si>
  <si>
    <t>=F245</t>
  </si>
  <si>
    <t>=G245</t>
  </si>
  <si>
    <t>=H245</t>
  </si>
  <si>
    <t>=G246</t>
  </si>
  <si>
    <t>=C246</t>
  </si>
  <si>
    <t>=D246</t>
  </si>
  <si>
    <t>=E246</t>
  </si>
  <si>
    <t>=F246</t>
  </si>
  <si>
    <t>=C247</t>
  </si>
  <si>
    <t>=D247</t>
  </si>
  <si>
    <t>=E247</t>
  </si>
  <si>
    <t>=F247</t>
  </si>
  <si>
    <t>=G247</t>
  </si>
  <si>
    <t>=H247</t>
  </si>
  <si>
    <t>=C249</t>
  </si>
  <si>
    <t>=D249</t>
  </si>
  <si>
    <t>=E249</t>
  </si>
  <si>
    <t>=F249</t>
  </si>
  <si>
    <t>=G249</t>
  </si>
  <si>
    <t>=H249</t>
  </si>
  <si>
    <t>=C250</t>
  </si>
  <si>
    <t>=D250</t>
  </si>
  <si>
    <t>=E250</t>
  </si>
  <si>
    <t>=F250</t>
  </si>
  <si>
    <t>=G250</t>
  </si>
  <si>
    <t>=C251</t>
  </si>
  <si>
    <t>=D251</t>
  </si>
  <si>
    <t>=E251</t>
  </si>
  <si>
    <t>=F251</t>
  </si>
  <si>
    <t>=G251</t>
  </si>
  <si>
    <t>=H251</t>
  </si>
  <si>
    <t>=C252</t>
  </si>
  <si>
    <t>=D252</t>
  </si>
  <si>
    <t>=E252</t>
  </si>
  <si>
    <t>=F252</t>
  </si>
  <si>
    <t>=G252</t>
  </si>
  <si>
    <t>=H252</t>
  </si>
  <si>
    <t>=C254</t>
  </si>
  <si>
    <t>=D254</t>
  </si>
  <si>
    <t>=E254</t>
  </si>
  <si>
    <t>=F254</t>
  </si>
  <si>
    <t>=G254</t>
  </si>
  <si>
    <t>=H254</t>
  </si>
  <si>
    <t>=G255</t>
  </si>
  <si>
    <t>=C256</t>
  </si>
  <si>
    <t>=D256</t>
  </si>
  <si>
    <t>=E256</t>
  </si>
  <si>
    <t>=F256</t>
  </si>
  <si>
    <t>=E261</t>
  </si>
  <si>
    <t>=C262</t>
  </si>
  <si>
    <t>=D262</t>
  </si>
  <si>
    <t>=E262</t>
  </si>
  <si>
    <t>=C263</t>
  </si>
  <si>
    <t>=D263</t>
  </si>
  <si>
    <t>=E263</t>
  </si>
  <si>
    <t>=F263</t>
  </si>
  <si>
    <t>=C264</t>
  </si>
  <si>
    <t>=D264</t>
  </si>
  <si>
    <t>=E264</t>
  </si>
  <si>
    <t>=F264</t>
  </si>
  <si>
    <t>=G264</t>
  </si>
  <si>
    <t>=H264</t>
  </si>
  <si>
    <t>=C265</t>
  </si>
  <si>
    <t>=D265</t>
  </si>
  <si>
    <t>=E265</t>
  </si>
  <si>
    <t>=F265</t>
  </si>
  <si>
    <t>=G265</t>
  </si>
  <si>
    <t>=H265</t>
  </si>
  <si>
    <t>=C266</t>
  </si>
  <si>
    <t>=D266</t>
  </si>
  <si>
    <t>=E266</t>
  </si>
  <si>
    <t>=F266</t>
  </si>
  <si>
    <t>=G266</t>
  </si>
  <si>
    <t>=H266</t>
  </si>
  <si>
    <t>=C268</t>
  </si>
  <si>
    <t>=D268</t>
  </si>
  <si>
    <t>=E268</t>
  </si>
  <si>
    <t>=F268</t>
  </si>
  <si>
    <t>=G268</t>
  </si>
  <si>
    <t>=H268</t>
  </si>
  <si>
    <t>=G271</t>
  </si>
  <si>
    <t>=C271</t>
  </si>
  <si>
    <t>=D271</t>
  </si>
  <si>
    <t>=E271</t>
  </si>
  <si>
    <t>=F271</t>
  </si>
  <si>
    <t>=C272</t>
  </si>
  <si>
    <t>=D272</t>
  </si>
  <si>
    <t>=E272</t>
  </si>
  <si>
    <t>=F272</t>
  </si>
  <si>
    <t>=G272</t>
  </si>
  <si>
    <t>=C273</t>
  </si>
  <si>
    <t>=D273</t>
  </si>
  <si>
    <t>=E273</t>
  </si>
  <si>
    <t>=F273</t>
  </si>
  <si>
    <t>=G273</t>
  </si>
  <si>
    <t>=H273</t>
  </si>
  <si>
    <t>=C275</t>
  </si>
  <si>
    <t>=D275</t>
  </si>
  <si>
    <t>=E275</t>
  </si>
  <si>
    <t>=F275</t>
  </si>
  <si>
    <t>=G275</t>
  </si>
  <si>
    <t>=H275</t>
  </si>
  <si>
    <t>=C276</t>
  </si>
  <si>
    <t>=D276</t>
  </si>
  <si>
    <t>=E276</t>
  </si>
  <si>
    <t>=F276</t>
  </si>
  <si>
    <t>=G276</t>
  </si>
  <si>
    <t>=C277</t>
  </si>
  <si>
    <t>=D277</t>
  </si>
  <si>
    <t>=E277</t>
  </si>
  <si>
    <t>=F277</t>
  </si>
  <si>
    <t>=G277</t>
  </si>
  <si>
    <t>=H277</t>
  </si>
  <si>
    <t>=C279</t>
  </si>
  <si>
    <t>=D279</t>
  </si>
  <si>
    <t>=E279</t>
  </si>
  <si>
    <t>=F279</t>
  </si>
  <si>
    <t>=G279</t>
  </si>
  <si>
    <t>=H279</t>
  </si>
  <si>
    <t>=C282</t>
  </si>
  <si>
    <t>=D282</t>
  </si>
  <si>
    <t>=E282</t>
  </si>
  <si>
    <t>=F282</t>
  </si>
  <si>
    <t>=G282</t>
  </si>
  <si>
    <t>=C283</t>
  </si>
  <si>
    <t>=D283</t>
  </si>
  <si>
    <t>=E283</t>
  </si>
  <si>
    <t>=F283</t>
  </si>
  <si>
    <t>=G283</t>
  </si>
  <si>
    <t>=C284</t>
  </si>
  <si>
    <t>=D284</t>
  </si>
  <si>
    <t>=E284</t>
  </si>
  <si>
    <t>=F284</t>
  </si>
  <si>
    <t>=G284</t>
  </si>
  <si>
    <t>=H284</t>
  </si>
  <si>
    <t>=C286</t>
  </si>
  <si>
    <t>=D286</t>
  </si>
  <si>
    <t>=E286</t>
  </si>
  <si>
    <t>=F286</t>
  </si>
  <si>
    <t>=G286</t>
  </si>
  <si>
    <t>=H286</t>
  </si>
  <si>
    <t>=G287</t>
  </si>
  <si>
    <t>=C289</t>
  </si>
  <si>
    <t>=D289</t>
  </si>
  <si>
    <t>=E289</t>
  </si>
  <si>
    <t>=C291</t>
  </si>
  <si>
    <t>=D291</t>
  </si>
  <si>
    <t>=E291</t>
  </si>
  <si>
    <t>=F291</t>
  </si>
  <si>
    <t>=G291</t>
  </si>
  <si>
    <t>=H291</t>
  </si>
  <si>
    <t>=C292</t>
  </si>
  <si>
    <t>=D292</t>
  </si>
  <si>
    <t>=E292</t>
  </si>
  <si>
    <t>=F292</t>
  </si>
  <si>
    <t>=G292</t>
  </si>
  <si>
    <t>=C293</t>
  </si>
  <si>
    <t>=D293</t>
  </si>
  <si>
    <t>=E293</t>
  </si>
  <si>
    <t>=F293</t>
  </si>
  <si>
    <t>=G293</t>
  </si>
  <si>
    <t>=H293</t>
  </si>
  <si>
    <t>=C294</t>
  </si>
  <si>
    <t>=D294</t>
  </si>
  <si>
    <t>=E294</t>
  </si>
  <si>
    <t>=F294</t>
  </si>
  <si>
    <t>=G294</t>
  </si>
  <si>
    <t>=H294</t>
  </si>
  <si>
    <t>=C296</t>
  </si>
  <si>
    <t>=D296</t>
  </si>
  <si>
    <t>=E296</t>
  </si>
  <si>
    <t>=F296</t>
  </si>
  <si>
    <t>=G296</t>
  </si>
  <si>
    <t>=H296</t>
  </si>
  <si>
    <t>=C298</t>
  </si>
  <si>
    <t>=D298</t>
  </si>
  <si>
    <t>=E298</t>
  </si>
  <si>
    <t>=F298</t>
  </si>
  <si>
    <t>=G298</t>
  </si>
  <si>
    <t>=H298</t>
  </si>
  <si>
    <t>=C300</t>
  </si>
  <si>
    <t>=D300</t>
  </si>
  <si>
    <t>=E300</t>
  </si>
  <si>
    <t>=F300</t>
  </si>
  <si>
    <t>=G300</t>
  </si>
  <si>
    <t>=H300</t>
  </si>
  <si>
    <t>=C301</t>
  </si>
  <si>
    <t>=D301</t>
  </si>
  <si>
    <t>=E301</t>
  </si>
  <si>
    <t>=F301</t>
  </si>
  <si>
    <t>=G301</t>
  </si>
  <si>
    <t>=C302</t>
  </si>
  <si>
    <t>=D302</t>
  </si>
  <si>
    <t>=E302</t>
  </si>
  <si>
    <t>=F302</t>
  </si>
  <si>
    <t>=G302</t>
  </si>
  <si>
    <t>=H302</t>
  </si>
  <si>
    <t>=C305</t>
  </si>
  <si>
    <t>=D305</t>
  </si>
  <si>
    <t>=E305</t>
  </si>
  <si>
    <t>=F305</t>
  </si>
  <si>
    <t>=G305</t>
  </si>
  <si>
    <t>=C307</t>
  </si>
  <si>
    <t>=D307</t>
  </si>
  <si>
    <t>=E307</t>
  </si>
  <si>
    <t>=F307</t>
  </si>
  <si>
    <t>=G307</t>
  </si>
  <si>
    <t>=H307</t>
  </si>
  <si>
    <t>=G310</t>
  </si>
  <si>
    <t>=C312</t>
  </si>
  <si>
    <t>=D312</t>
  </si>
  <si>
    <t>=E312</t>
  </si>
  <si>
    <t>=C313</t>
  </si>
  <si>
    <t>=D313</t>
  </si>
  <si>
    <t>=E313</t>
  </si>
  <si>
    <t>=C314</t>
  </si>
  <si>
    <t>=D314</t>
  </si>
  <si>
    <t>=E314</t>
  </si>
  <si>
    <t>=F314</t>
  </si>
  <si>
    <t>=C316</t>
  </si>
  <si>
    <t>=D316</t>
  </si>
  <si>
    <t>=E316</t>
  </si>
  <si>
    <t>=F316</t>
  </si>
  <si>
    <t>=G316</t>
  </si>
  <si>
    <t>=H316</t>
  </si>
  <si>
    <t>=G317</t>
  </si>
  <si>
    <t>=C320</t>
  </si>
  <si>
    <t>=D320</t>
  </si>
  <si>
    <t>=E320</t>
  </si>
  <si>
    <t>=F320</t>
  </si>
  <si>
    <t>=C321</t>
  </si>
  <si>
    <t>=D321</t>
  </si>
  <si>
    <t>=E321</t>
  </si>
  <si>
    <t>=F321</t>
  </si>
  <si>
    <t>=G321</t>
  </si>
  <si>
    <t>=C322</t>
  </si>
  <si>
    <t>=D322</t>
  </si>
  <si>
    <t>=E322</t>
  </si>
  <si>
    <t>=F322</t>
  </si>
  <si>
    <t>=G322</t>
  </si>
  <si>
    <t>=H322</t>
  </si>
  <si>
    <t>=C323</t>
  </si>
  <si>
    <t>=D323</t>
  </si>
  <si>
    <t>=E323</t>
  </si>
  <si>
    <t>=F323</t>
  </si>
  <si>
    <t>=G323</t>
  </si>
  <si>
    <t>=H323</t>
  </si>
  <si>
    <t>=C324</t>
  </si>
  <si>
    <t>=D324</t>
  </si>
  <si>
    <t>=E324</t>
  </si>
  <si>
    <t>=F324</t>
  </si>
  <si>
    <t>=G324</t>
  </si>
  <si>
    <t>=H324</t>
  </si>
  <si>
    <t>=C328</t>
  </si>
  <si>
    <t>=D328</t>
  </si>
  <si>
    <t>=E328</t>
  </si>
  <si>
    <t>=F328</t>
  </si>
  <si>
    <t>=G328</t>
  </si>
  <si>
    <t>=G329</t>
  </si>
  <si>
    <t>=C329</t>
  </si>
  <si>
    <t>=D329</t>
  </si>
  <si>
    <t>=E329</t>
  </si>
  <si>
    <t>=F329</t>
  </si>
  <si>
    <t>=C331</t>
  </si>
  <si>
    <t>=D331</t>
  </si>
  <si>
    <t>=E331</t>
  </si>
  <si>
    <t>=F331</t>
  </si>
  <si>
    <t>=G331</t>
  </si>
  <si>
    <t>=H331</t>
  </si>
  <si>
    <t>=G332</t>
  </si>
  <si>
    <t>=C334</t>
  </si>
  <si>
    <t>=D334</t>
  </si>
  <si>
    <t>=E335</t>
  </si>
  <si>
    <t>=E338</t>
  </si>
  <si>
    <t>=C339</t>
  </si>
  <si>
    <t>=D339</t>
  </si>
  <si>
    <t>=E339</t>
  </si>
  <si>
    <t>=F339</t>
  </si>
  <si>
    <t>=C341</t>
  </si>
  <si>
    <t>=D341</t>
  </si>
  <si>
    <t>=E341</t>
  </si>
  <si>
    <t>=F341</t>
  </si>
  <si>
    <t>=G341</t>
  </si>
  <si>
    <t>=H341</t>
  </si>
  <si>
    <t>=C342</t>
  </si>
  <si>
    <t>=D342</t>
  </si>
  <si>
    <t>=E342</t>
  </si>
  <si>
    <t>=F342</t>
  </si>
  <si>
    <t>=G342</t>
  </si>
  <si>
    <t>=C343</t>
  </si>
  <si>
    <t>=D343</t>
  </si>
  <si>
    <t>=E343</t>
  </si>
  <si>
    <t>=F343</t>
  </si>
  <si>
    <t>=G343</t>
  </si>
  <si>
    <t>=H343</t>
  </si>
  <si>
    <t>=C344</t>
  </si>
  <si>
    <t>=D344</t>
  </si>
  <si>
    <t>=E344</t>
  </si>
  <si>
    <t>=F344</t>
  </si>
  <si>
    <t>=G344</t>
  </si>
  <si>
    <t>=H344</t>
  </si>
  <si>
    <t>=C346</t>
  </si>
  <si>
    <t>=D346</t>
  </si>
  <si>
    <t>=E346</t>
  </si>
  <si>
    <t>=F346</t>
  </si>
  <si>
    <t>=G346</t>
  </si>
  <si>
    <t>=H346</t>
  </si>
  <si>
    <t>=C348</t>
  </si>
  <si>
    <t>=D348</t>
  </si>
  <si>
    <t>=E348</t>
  </si>
  <si>
    <t>=F348</t>
  </si>
  <si>
    <t>=G348</t>
  </si>
  <si>
    <t>=H348</t>
  </si>
  <si>
    <t>=G349</t>
  </si>
  <si>
    <t>=C350</t>
  </si>
  <si>
    <t>=D350</t>
  </si>
  <si>
    <t>=E350</t>
  </si>
  <si>
    <t>=F350</t>
  </si>
  <si>
    <t>=C351</t>
  </si>
  <si>
    <t>=D351</t>
  </si>
  <si>
    <t>=E351</t>
  </si>
  <si>
    <t>=C352</t>
  </si>
  <si>
    <t>=D352</t>
  </si>
  <si>
    <t>=E352</t>
  </si>
  <si>
    <t>=F352</t>
  </si>
  <si>
    <t>=C353</t>
  </si>
  <si>
    <t>=D353</t>
  </si>
  <si>
    <t>=E353</t>
  </si>
  <si>
    <t>=F353</t>
  </si>
  <si>
    <t>=G353</t>
  </si>
  <si>
    <t>=H353</t>
  </si>
  <si>
    <t>=C355</t>
  </si>
  <si>
    <t>=D355</t>
  </si>
  <si>
    <t>=E355</t>
  </si>
  <si>
    <t>=F355</t>
  </si>
  <si>
    <t>=G355</t>
  </si>
  <si>
    <t>=H355</t>
  </si>
  <si>
    <t>=C357</t>
  </si>
  <si>
    <t>=D357</t>
  </si>
  <si>
    <t>=E357</t>
  </si>
  <si>
    <t>=F357</t>
  </si>
  <si>
    <t>=G357</t>
  </si>
  <si>
    <t>=H357</t>
  </si>
  <si>
    <t>=G358</t>
  </si>
  <si>
    <t>=C359</t>
  </si>
  <si>
    <t>=D359</t>
  </si>
  <si>
    <t>=E359</t>
  </si>
  <si>
    <t>=F359</t>
  </si>
  <si>
    <t>=C361</t>
  </si>
  <si>
    <t>=D361</t>
  </si>
  <si>
    <t>=E361</t>
  </si>
  <si>
    <t>=F361</t>
  </si>
  <si>
    <t>=C362</t>
  </si>
  <si>
    <t>=D362</t>
  </si>
  <si>
    <t>=E362</t>
  </si>
  <si>
    <t>=F362</t>
  </si>
  <si>
    <t>=G362</t>
  </si>
  <si>
    <t>=C364</t>
  </si>
  <si>
    <t>=D364</t>
  </si>
  <si>
    <t>=E364</t>
  </si>
  <si>
    <t>=F364</t>
  </si>
  <si>
    <t>=G364</t>
  </si>
  <si>
    <t>=H364</t>
  </si>
  <si>
    <t>=G365</t>
  </si>
  <si>
    <t>=C365</t>
  </si>
  <si>
    <t>=D365</t>
  </si>
  <si>
    <t>=E365</t>
  </si>
  <si>
    <t>=F365</t>
  </si>
  <si>
    <t>=C366</t>
  </si>
  <si>
    <t>=D366</t>
  </si>
  <si>
    <t>=E366</t>
  </si>
  <si>
    <t>=F366</t>
  </si>
  <si>
    <t>=G366</t>
  </si>
  <si>
    <t>=H366</t>
  </si>
  <si>
    <t>=C367</t>
  </si>
  <si>
    <t>=D367</t>
  </si>
  <si>
    <t>=E367</t>
  </si>
  <si>
    <t>=F367</t>
  </si>
  <si>
    <t>=G367</t>
  </si>
  <si>
    <t>=H367</t>
  </si>
  <si>
    <t>=C368</t>
  </si>
  <si>
    <t>=D368</t>
  </si>
  <si>
    <t>=E368</t>
  </si>
  <si>
    <t>=F368</t>
  </si>
  <si>
    <t>=G368</t>
  </si>
  <si>
    <t>=H368</t>
  </si>
  <si>
    <t>=C371</t>
  </si>
  <si>
    <t>=D371</t>
  </si>
  <si>
    <t>=E371</t>
  </si>
  <si>
    <t>=F371</t>
  </si>
  <si>
    <t>=G371</t>
  </si>
  <si>
    <t>=C373</t>
  </si>
  <si>
    <t>=D373</t>
  </si>
  <si>
    <t>=E373</t>
  </si>
  <si>
    <t>=F373</t>
  </si>
  <si>
    <t>=G373</t>
  </si>
  <si>
    <t>=H373</t>
  </si>
  <si>
    <t>=G374</t>
  </si>
  <si>
    <t>=C374</t>
  </si>
  <si>
    <t>=D374</t>
  </si>
  <si>
    <t>=E374</t>
  </si>
  <si>
    <t>=F374</t>
  </si>
  <si>
    <t>=C375</t>
  </si>
  <si>
    <t>=D375</t>
  </si>
  <si>
    <t>=E375</t>
  </si>
  <si>
    <t>=F375</t>
  </si>
  <si>
    <t>=G375</t>
  </si>
  <si>
    <t>=H375</t>
  </si>
  <si>
    <t>=C376</t>
  </si>
  <si>
    <t>=D376</t>
  </si>
  <si>
    <t>=E376</t>
  </si>
  <si>
    <t>=F376</t>
  </si>
  <si>
    <t>=G376</t>
  </si>
  <si>
    <t>=H376</t>
  </si>
  <si>
    <t>=G379</t>
  </si>
  <si>
    <t>=C379</t>
  </si>
  <si>
    <t>=D379</t>
  </si>
  <si>
    <t>=E379</t>
  </si>
  <si>
    <t>=F379</t>
  </si>
  <si>
    <t>=C380</t>
  </si>
  <si>
    <t>=D380</t>
  </si>
  <si>
    <t>=E380</t>
  </si>
  <si>
    <t>=F380</t>
  </si>
  <si>
    <t>=G380</t>
  </si>
  <si>
    <t>=G384</t>
  </si>
  <si>
    <t>=C386</t>
  </si>
  <si>
    <t>=D386</t>
  </si>
  <si>
    <t>=E386</t>
  </si>
  <si>
    <t>=C387</t>
  </si>
  <si>
    <t>=D387</t>
  </si>
  <si>
    <t>=E387</t>
  </si>
  <si>
    <t>=C388</t>
  </si>
  <si>
    <t>=D388</t>
  </si>
  <si>
    <t>=E388</t>
  </si>
  <si>
    <t>=F388</t>
  </si>
  <si>
    <t>=C389</t>
  </si>
  <si>
    <t>=D389</t>
  </si>
  <si>
    <t>=E389</t>
  </si>
  <si>
    <t>=F389</t>
  </si>
  <si>
    <t>=G389</t>
  </si>
  <si>
    <t>=H389</t>
  </si>
  <si>
    <t>=C390</t>
  </si>
  <si>
    <t>=D390</t>
  </si>
  <si>
    <t>=E390</t>
  </si>
  <si>
    <t>=F390</t>
  </si>
  <si>
    <t>=G390</t>
  </si>
  <si>
    <t>=H390</t>
  </si>
  <si>
    <t>=C392</t>
  </si>
  <si>
    <t>=D392</t>
  </si>
  <si>
    <t>=E392</t>
  </si>
  <si>
    <t>=F392</t>
  </si>
  <si>
    <t>=G392</t>
  </si>
  <si>
    <t>=H392</t>
  </si>
  <si>
    <t>=C393</t>
  </si>
  <si>
    <t>=D393</t>
  </si>
  <si>
    <t>=E393</t>
  </si>
  <si>
    <t>=F393</t>
  </si>
  <si>
    <t>=G393</t>
  </si>
  <si>
    <t>=C395</t>
  </si>
  <si>
    <t>=D395</t>
  </si>
  <si>
    <t>=E395</t>
  </si>
  <si>
    <t>=F395</t>
  </si>
  <si>
    <t>=G395</t>
  </si>
  <si>
    <t>=H395</t>
  </si>
  <si>
    <t>=C397</t>
  </si>
  <si>
    <t>=D397</t>
  </si>
  <si>
    <t>=E397</t>
  </si>
  <si>
    <t>=F397</t>
  </si>
  <si>
    <t>=G397</t>
  </si>
  <si>
    <t>=H397</t>
  </si>
  <si>
    <t>=C398</t>
  </si>
  <si>
    <t>=D398</t>
  </si>
  <si>
    <t>=E398</t>
  </si>
  <si>
    <t>=F398</t>
  </si>
  <si>
    <t>=G398</t>
  </si>
  <si>
    <t>=C399</t>
  </si>
  <si>
    <t>=D399</t>
  </si>
  <si>
    <t>=E399</t>
  </si>
  <si>
    <t>=F399</t>
  </si>
  <si>
    <t>=G399</t>
  </si>
  <si>
    <t>=H399</t>
  </si>
  <si>
    <t>=C400</t>
  </si>
  <si>
    <t>=D400</t>
  </si>
  <si>
    <t>=E400</t>
  </si>
  <si>
    <t>=F400</t>
  </si>
  <si>
    <t>=G400</t>
  </si>
  <si>
    <t>=H400</t>
  </si>
  <si>
    <t>=C401</t>
  </si>
  <si>
    <t>=D401</t>
  </si>
  <si>
    <t>=E401</t>
  </si>
  <si>
    <t>=F401</t>
  </si>
  <si>
    <t>=G401</t>
  </si>
  <si>
    <t>=H401</t>
  </si>
  <si>
    <t>=C403</t>
  </si>
  <si>
    <t>=D403</t>
  </si>
  <si>
    <t>=E403</t>
  </si>
  <si>
    <t>=F403</t>
  </si>
  <si>
    <t>=G403</t>
  </si>
  <si>
    <t>=H403</t>
  </si>
  <si>
    <t>=C406</t>
  </si>
  <si>
    <t>=D406</t>
  </si>
  <si>
    <t>=E410</t>
  </si>
  <si>
    <t>=C411</t>
  </si>
  <si>
    <t>=D411</t>
  </si>
  <si>
    <t>=E411</t>
  </si>
  <si>
    <t>=F411</t>
  </si>
  <si>
    <t>=C412</t>
  </si>
  <si>
    <t>=D412</t>
  </si>
  <si>
    <t>=E412</t>
  </si>
  <si>
    <t>=F412</t>
  </si>
  <si>
    <t>=G412</t>
  </si>
  <si>
    <t>=H412</t>
  </si>
  <si>
    <t>=C414</t>
  </si>
  <si>
    <t>=D414</t>
  </si>
  <si>
    <t>=E414</t>
  </si>
  <si>
    <t>=F414</t>
  </si>
  <si>
    <t>=G414</t>
  </si>
  <si>
    <t>=H414</t>
  </si>
  <si>
    <t>=G415</t>
  </si>
  <si>
    <t>=C415</t>
  </si>
  <si>
    <t>=D415</t>
  </si>
  <si>
    <t>=E415</t>
  </si>
  <si>
    <t>=F415</t>
  </si>
  <si>
    <t>=C418</t>
  </si>
  <si>
    <t>=D418</t>
  </si>
  <si>
    <t>=E418</t>
  </si>
  <si>
    <t>=F418</t>
  </si>
  <si>
    <t>=G418</t>
  </si>
  <si>
    <t>=C419</t>
  </si>
  <si>
    <t>=D419</t>
  </si>
  <si>
    <t>=E419</t>
  </si>
  <si>
    <t>=F419</t>
  </si>
  <si>
    <t>=G419</t>
  </si>
  <si>
    <t>=C420</t>
  </si>
  <si>
    <t>=D420</t>
  </si>
  <si>
    <t>=E420</t>
  </si>
  <si>
    <t>=F420</t>
  </si>
  <si>
    <t>=G420</t>
  </si>
  <si>
    <t>=H420</t>
  </si>
  <si>
    <t>=C421</t>
  </si>
  <si>
    <t>=D421</t>
  </si>
  <si>
    <t>=E421</t>
  </si>
  <si>
    <t>=F421</t>
  </si>
  <si>
    <t>=G421</t>
  </si>
  <si>
    <t>=H421</t>
  </si>
  <si>
    <t>=C423</t>
  </si>
  <si>
    <t>=D423</t>
  </si>
  <si>
    <t>=E423</t>
  </si>
  <si>
    <t>=F423</t>
  </si>
  <si>
    <t>=G423</t>
  </si>
  <si>
    <t>=H423</t>
  </si>
  <si>
    <t>=C425</t>
  </si>
  <si>
    <t>=D425</t>
  </si>
  <si>
    <t>=E425</t>
  </si>
  <si>
    <t>=F425</t>
  </si>
  <si>
    <t>=G425</t>
  </si>
  <si>
    <t>=H425</t>
  </si>
  <si>
    <t>=C427</t>
  </si>
  <si>
    <t>=D427</t>
  </si>
  <si>
    <t>=E427</t>
  </si>
  <si>
    <t>=F427</t>
  </si>
  <si>
    <t>=G427</t>
  </si>
  <si>
    <t>=H427</t>
  </si>
  <si>
    <t>=C428</t>
  </si>
  <si>
    <t>=D428</t>
  </si>
  <si>
    <t>=E428</t>
  </si>
  <si>
    <t>=F428</t>
  </si>
  <si>
    <t>=G428</t>
  </si>
  <si>
    <t>=C429</t>
  </si>
  <si>
    <t>=D429</t>
  </si>
  <si>
    <t>=E429</t>
  </si>
  <si>
    <t>=F429</t>
  </si>
  <si>
    <t>=G429</t>
  </si>
  <si>
    <t>=H429</t>
  </si>
  <si>
    <t>=C430</t>
  </si>
  <si>
    <t>=D430</t>
  </si>
  <si>
    <t>=E430</t>
  </si>
  <si>
    <t>=F430</t>
  </si>
  <si>
    <t>=G430</t>
  </si>
  <si>
    <t>=H430</t>
  </si>
  <si>
    <t>=C432</t>
  </si>
  <si>
    <t>=D432</t>
  </si>
  <si>
    <t>=E432</t>
  </si>
  <si>
    <t>=F432</t>
  </si>
  <si>
    <t>=G432</t>
  </si>
  <si>
    <t>=H432</t>
  </si>
  <si>
    <t>=C434</t>
  </si>
  <si>
    <t>=D434</t>
  </si>
  <si>
    <t>=E434</t>
  </si>
  <si>
    <t>=F434</t>
  </si>
  <si>
    <t>=C435</t>
  </si>
  <si>
    <t>=D435</t>
  </si>
  <si>
    <t>=E435</t>
  </si>
  <si>
    <t>=C436</t>
  </si>
  <si>
    <t>=D436</t>
  </si>
  <si>
    <t>=E436</t>
  </si>
  <si>
    <t>=F436</t>
  </si>
  <si>
    <t>=C437</t>
  </si>
  <si>
    <t>=D437</t>
  </si>
  <si>
    <t>=E437</t>
  </si>
  <si>
    <t>=F437</t>
  </si>
  <si>
    <t>=G437</t>
  </si>
  <si>
    <t>=H437</t>
  </si>
  <si>
    <t>=C438</t>
  </si>
  <si>
    <t>=D438</t>
  </si>
  <si>
    <t>=E438</t>
  </si>
  <si>
    <t>=F438</t>
  </si>
  <si>
    <t>=G438</t>
  </si>
  <si>
    <t>=H438</t>
  </si>
  <si>
    <t>=C439</t>
  </si>
  <si>
    <t>=D439</t>
  </si>
  <si>
    <t>=E439</t>
  </si>
  <si>
    <t>=F439</t>
  </si>
  <si>
    <t>=G439</t>
  </si>
  <si>
    <t>=H439</t>
  </si>
  <si>
    <t>=C441</t>
  </si>
  <si>
    <t>=D441</t>
  </si>
  <si>
    <t>=E441</t>
  </si>
  <si>
    <t>=F441</t>
  </si>
  <si>
    <t>=G441</t>
  </si>
  <si>
    <t>=H441</t>
  </si>
  <si>
    <t>=C443</t>
  </si>
  <si>
    <t>=D443</t>
  </si>
  <si>
    <t>=E443</t>
  </si>
  <si>
    <t>=F443</t>
  </si>
  <si>
    <t>=C445</t>
  </si>
  <si>
    <t>=D445</t>
  </si>
  <si>
    <t>=E445</t>
  </si>
  <si>
    <t>=F445</t>
  </si>
  <si>
    <t>=C446</t>
  </si>
  <si>
    <t>=D446</t>
  </si>
  <si>
    <t>=E446</t>
  </si>
  <si>
    <t>=F446</t>
  </si>
  <si>
    <t>=G446</t>
  </si>
  <si>
    <t>=C447</t>
  </si>
  <si>
    <t>=D447</t>
  </si>
  <si>
    <t>=E447</t>
  </si>
  <si>
    <t>=F447</t>
  </si>
  <si>
    <t>=G447</t>
  </si>
  <si>
    <t>=H447</t>
  </si>
  <si>
    <t>=C448</t>
  </si>
  <si>
    <t>=D448</t>
  </si>
  <si>
    <t>=E448</t>
  </si>
  <si>
    <t>=F448</t>
  </si>
  <si>
    <t>=G448</t>
  </si>
  <si>
    <t>=H448</t>
  </si>
  <si>
    <t>=C449</t>
  </si>
  <si>
    <t>=D449</t>
  </si>
  <si>
    <t>=E449</t>
  </si>
  <si>
    <t>=F449</t>
  </si>
  <si>
    <t>=G449</t>
  </si>
  <si>
    <t>=H449</t>
  </si>
  <si>
    <t>=C450</t>
  </si>
  <si>
    <t>=D450</t>
  </si>
  <si>
    <t>=E450</t>
  </si>
  <si>
    <t>=F450</t>
  </si>
  <si>
    <t>=G450</t>
  </si>
  <si>
    <t>=H450</t>
  </si>
  <si>
    <t>=C452</t>
  </si>
  <si>
    <t>=D452</t>
  </si>
  <si>
    <t>=E452</t>
  </si>
  <si>
    <t>=F452</t>
  </si>
  <si>
    <t>=G452</t>
  </si>
  <si>
    <t>=H452</t>
  </si>
  <si>
    <t>=C453</t>
  </si>
  <si>
    <t>=D453</t>
  </si>
  <si>
    <t>=E453</t>
  </si>
  <si>
    <t>=F453</t>
  </si>
  <si>
    <t>=G453</t>
  </si>
  <si>
    <t>=C455</t>
  </si>
  <si>
    <t>=D455</t>
  </si>
  <si>
    <t>=E455</t>
  </si>
  <si>
    <t>=F455</t>
  </si>
  <si>
    <t>=G455</t>
  </si>
  <si>
    <t>=H455</t>
  </si>
  <si>
    <t>=C457</t>
  </si>
  <si>
    <t>=D457</t>
  </si>
  <si>
    <t>=E457</t>
  </si>
  <si>
    <t>=F457</t>
  </si>
  <si>
    <t>=C458</t>
  </si>
  <si>
    <t>=D458</t>
  </si>
  <si>
    <t>=E458</t>
  </si>
  <si>
    <t>=C459</t>
  </si>
  <si>
    <t>=D459</t>
  </si>
  <si>
    <t>=E459</t>
  </si>
  <si>
    <t>=F459</t>
  </si>
  <si>
    <t>=C460</t>
  </si>
  <si>
    <t>=D460</t>
  </si>
  <si>
    <t>=E460</t>
  </si>
  <si>
    <t>=F460</t>
  </si>
  <si>
    <t>=G460</t>
  </si>
  <si>
    <t>=H460</t>
  </si>
  <si>
    <t>=C462</t>
  </si>
  <si>
    <t>=D462</t>
  </si>
  <si>
    <t>=E462</t>
  </si>
  <si>
    <t>=F462</t>
  </si>
  <si>
    <t>=G462</t>
  </si>
  <si>
    <t>=H462</t>
  </si>
  <si>
    <t>=G463</t>
  </si>
  <si>
    <t>=C465</t>
  </si>
  <si>
    <t>=D465</t>
  </si>
  <si>
    <t>=E465</t>
  </si>
  <si>
    <t>=C467</t>
  </si>
  <si>
    <t>=D467</t>
  </si>
  <si>
    <t>=E467</t>
  </si>
  <si>
    <t>=F467</t>
  </si>
  <si>
    <t>=G467</t>
  </si>
  <si>
    <t>=H467</t>
  </si>
  <si>
    <t>=C468</t>
  </si>
  <si>
    <t>=D468</t>
  </si>
  <si>
    <t>=E468</t>
  </si>
  <si>
    <t>=F468</t>
  </si>
  <si>
    <t>=G468</t>
  </si>
  <si>
    <t>=C469</t>
  </si>
  <si>
    <t>=D469</t>
  </si>
  <si>
    <t>=E469</t>
  </si>
  <si>
    <t>=F469</t>
  </si>
  <si>
    <t>=G469</t>
  </si>
  <si>
    <t>=H469</t>
  </si>
  <si>
    <t>=C470</t>
  </si>
  <si>
    <t>=D470</t>
  </si>
  <si>
    <t>=E470</t>
  </si>
  <si>
    <t>=F470</t>
  </si>
  <si>
    <t>=G470</t>
  </si>
  <si>
    <t>=H470</t>
  </si>
  <si>
    <t>=C471</t>
  </si>
  <si>
    <t>=D471</t>
  </si>
  <si>
    <t>=E471</t>
  </si>
  <si>
    <t>=F471</t>
  </si>
  <si>
    <t>=G471</t>
  </si>
  <si>
    <t>=H471</t>
  </si>
  <si>
    <t>=C472</t>
  </si>
  <si>
    <t>=D472</t>
  </si>
  <si>
    <t>=E472</t>
  </si>
  <si>
    <t>=F472</t>
  </si>
  <si>
    <t>=G472</t>
  </si>
  <si>
    <t>=H472</t>
  </si>
  <si>
    <t>=G476</t>
  </si>
  <si>
    <t>=C476</t>
  </si>
  <si>
    <t>=D476</t>
  </si>
  <si>
    <t>=E476</t>
  </si>
  <si>
    <t>=F476</t>
  </si>
  <si>
    <t>=G477</t>
  </si>
  <si>
    <t>=C478</t>
  </si>
  <si>
    <t>=D478</t>
  </si>
  <si>
    <t>=E478</t>
  </si>
  <si>
    <t>=F478</t>
  </si>
  <si>
    <t>=C479</t>
  </si>
  <si>
    <t>=D479</t>
  </si>
  <si>
    <t>=E479</t>
  </si>
  <si>
    <t>=C480</t>
  </si>
  <si>
    <t>=D480</t>
  </si>
  <si>
    <t>=E480</t>
  </si>
  <si>
    <t>=F480</t>
  </si>
  <si>
    <t>=C481</t>
  </si>
  <si>
    <t>=D481</t>
  </si>
  <si>
    <t>=E481</t>
  </si>
  <si>
    <t>=F481</t>
  </si>
  <si>
    <t>=G481</t>
  </si>
  <si>
    <t>=H481</t>
  </si>
  <si>
    <t>=C482</t>
  </si>
  <si>
    <t>=D482</t>
  </si>
  <si>
    <t>=E482</t>
  </si>
  <si>
    <t>=F482</t>
  </si>
  <si>
    <t>=G482</t>
  </si>
  <si>
    <t>=H482</t>
  </si>
  <si>
    <t>=C485</t>
  </si>
  <si>
    <t>=D485</t>
  </si>
  <si>
    <t>=E485</t>
  </si>
  <si>
    <t>=F485</t>
  </si>
  <si>
    <t>=G485</t>
  </si>
  <si>
    <t>=G486</t>
  </si>
  <si>
    <t>=C486</t>
  </si>
  <si>
    <t>=D486</t>
  </si>
  <si>
    <t>=E486</t>
  </si>
  <si>
    <t>=F486</t>
  </si>
  <si>
    <t>=C487</t>
  </si>
  <si>
    <t>=D487</t>
  </si>
  <si>
    <t>=E487</t>
  </si>
  <si>
    <t>=F487</t>
  </si>
  <si>
    <t>=G487</t>
  </si>
  <si>
    <t>=H487</t>
  </si>
  <si>
    <t>=C489</t>
  </si>
  <si>
    <t>=D489</t>
  </si>
  <si>
    <t>=E489</t>
  </si>
  <si>
    <t>=F489</t>
  </si>
  <si>
    <t>=G489</t>
  </si>
  <si>
    <t>=H489</t>
  </si>
  <si>
    <t>=C490</t>
  </si>
  <si>
    <t>=D490</t>
  </si>
  <si>
    <t>=E490</t>
  </si>
  <si>
    <t>=F490</t>
  </si>
  <si>
    <t>=G490</t>
  </si>
  <si>
    <t>=C491</t>
  </si>
  <si>
    <t>=D491</t>
  </si>
  <si>
    <t>=E491</t>
  </si>
  <si>
    <t>=F491</t>
  </si>
  <si>
    <t>=G491</t>
  </si>
  <si>
    <t>=H491</t>
  </si>
  <si>
    <t>=C493</t>
  </si>
  <si>
    <t>=D493</t>
  </si>
  <si>
    <t>=E493</t>
  </si>
  <si>
    <t>=F493</t>
  </si>
  <si>
    <t>=G493</t>
  </si>
  <si>
    <t>=H493</t>
  </si>
  <si>
    <t>=C494</t>
  </si>
  <si>
    <t>=D494</t>
  </si>
  <si>
    <t>=E494</t>
  </si>
  <si>
    <t>=F494</t>
  </si>
  <si>
    <t>=G494</t>
  </si>
  <si>
    <t>=C496</t>
  </si>
  <si>
    <t>=D496</t>
  </si>
  <si>
    <t>=E496</t>
  </si>
  <si>
    <t>=F496</t>
  </si>
  <si>
    <t>=G496</t>
  </si>
  <si>
    <t>=H496</t>
  </si>
  <si>
    <t>=G497</t>
  </si>
  <si>
    <t>=C497</t>
  </si>
  <si>
    <t>=D497</t>
  </si>
  <si>
    <t>=E497</t>
  </si>
  <si>
    <t>=F497</t>
  </si>
  <si>
    <t>=C499</t>
  </si>
  <si>
    <t>=D499</t>
  </si>
  <si>
    <t>=E499</t>
  </si>
  <si>
    <t>=F499</t>
  </si>
  <si>
    <t>=G499</t>
  </si>
  <si>
    <t>=H499</t>
  </si>
  <si>
    <t>=G500</t>
  </si>
  <si>
    <t>=C502</t>
  </si>
  <si>
    <t>=D502</t>
  </si>
  <si>
    <t>=E502</t>
  </si>
  <si>
    <t>=C503</t>
  </si>
  <si>
    <t>=D503</t>
  </si>
  <si>
    <t>=E503</t>
  </si>
  <si>
    <t>=F503</t>
  </si>
  <si>
    <t>=C504</t>
  </si>
  <si>
    <t>=D504</t>
  </si>
  <si>
    <t>=E504</t>
  </si>
  <si>
    <t>=F504</t>
  </si>
  <si>
    <t>=G504</t>
  </si>
  <si>
    <t>=H504</t>
  </si>
  <si>
    <t>=C506</t>
  </si>
  <si>
    <t>=D506</t>
  </si>
  <si>
    <t>=E506</t>
  </si>
  <si>
    <t>=F506</t>
  </si>
  <si>
    <t>=G506</t>
  </si>
  <si>
    <t>=H506</t>
  </si>
  <si>
    <t>=G507</t>
  </si>
  <si>
    <t>=C508</t>
  </si>
  <si>
    <t>=D508</t>
  </si>
  <si>
    <t>=E508</t>
  </si>
  <si>
    <t>=F508</t>
  </si>
  <si>
    <t>=C509</t>
  </si>
  <si>
    <t>=D509</t>
  </si>
  <si>
    <t>=E513</t>
  </si>
  <si>
    <t>=C514</t>
  </si>
  <si>
    <t>=D514</t>
  </si>
  <si>
    <t>=E514</t>
  </si>
  <si>
    <t>=F514</t>
  </si>
  <si>
    <t>=C516</t>
  </si>
  <si>
    <t>=D516</t>
  </si>
  <si>
    <t>=E516</t>
  </si>
  <si>
    <t>=F516</t>
  </si>
  <si>
    <t>=G516</t>
  </si>
  <si>
    <t>=H516</t>
  </si>
  <si>
    <t>=C517</t>
  </si>
  <si>
    <t>=D517</t>
  </si>
  <si>
    <t>=E517</t>
  </si>
  <si>
    <t>=F517</t>
  </si>
  <si>
    <t>=G517</t>
  </si>
  <si>
    <t>=C518</t>
  </si>
  <si>
    <t>=D518</t>
  </si>
  <si>
    <t>=E518</t>
  </si>
  <si>
    <t>=F518</t>
  </si>
  <si>
    <t>=G518</t>
  </si>
  <si>
    <t>=H518</t>
  </si>
  <si>
    <t>=G522</t>
  </si>
  <si>
    <t>=C523</t>
  </si>
  <si>
    <t>=D523</t>
  </si>
  <si>
    <t>=E523</t>
  </si>
  <si>
    <t>=F523</t>
  </si>
  <si>
    <t>=C525</t>
  </si>
  <si>
    <t>=D525</t>
  </si>
  <si>
    <t>=E525</t>
  </si>
  <si>
    <t>=F525</t>
  </si>
  <si>
    <t>=G526</t>
  </si>
  <si>
    <t>=C527</t>
  </si>
  <si>
    <t>=D527</t>
  </si>
  <si>
    <t>=E527</t>
  </si>
  <si>
    <t>=F527</t>
  </si>
  <si>
    <t>=C528</t>
  </si>
  <si>
    <t>=D528</t>
  </si>
  <si>
    <t>=E528</t>
  </si>
  <si>
    <t>=C529</t>
  </si>
  <si>
    <t>=D529</t>
  </si>
  <si>
    <t>=E529</t>
  </si>
  <si>
    <t>=F529</t>
  </si>
  <si>
    <t>=C531</t>
  </si>
  <si>
    <t>=D531</t>
  </si>
  <si>
    <t>=E531</t>
  </si>
  <si>
    <t>=F531</t>
  </si>
  <si>
    <t>=G531</t>
  </si>
  <si>
    <t>=H531</t>
  </si>
  <si>
    <t>=G532</t>
  </si>
  <si>
    <t>=C532</t>
  </si>
  <si>
    <t>=D532</t>
  </si>
  <si>
    <t>=E532</t>
  </si>
  <si>
    <t>=F532</t>
  </si>
  <si>
    <t>=C534</t>
  </si>
  <si>
    <t>=D534</t>
  </si>
  <si>
    <t>=E534</t>
  </si>
  <si>
    <t>=F534</t>
  </si>
  <si>
    <t>=G534</t>
  </si>
  <si>
    <t>=H534</t>
  </si>
  <si>
    <t>=C535</t>
  </si>
  <si>
    <t>=D535</t>
  </si>
  <si>
    <t>=E535</t>
  </si>
  <si>
    <t>=F535</t>
  </si>
  <si>
    <t>=G535</t>
  </si>
  <si>
    <t>=C537</t>
  </si>
  <si>
    <t>=D537</t>
  </si>
  <si>
    <t>=E537</t>
  </si>
  <si>
    <t>=F537</t>
  </si>
  <si>
    <t>=G537</t>
  </si>
  <si>
    <t>=H537</t>
  </si>
  <si>
    <t>=C538</t>
  </si>
  <si>
    <t>=D538</t>
  </si>
  <si>
    <t>=E538</t>
  </si>
  <si>
    <t>=F538</t>
  </si>
  <si>
    <t>=G538</t>
  </si>
  <si>
    <t>=C540</t>
  </si>
  <si>
    <t>=D540</t>
  </si>
  <si>
    <t>=E540</t>
  </si>
  <si>
    <t>=F540</t>
  </si>
  <si>
    <t>=G540</t>
  </si>
  <si>
    <t>=H540</t>
  </si>
  <si>
    <t>=G541</t>
  </si>
  <si>
    <t>=C541</t>
  </si>
  <si>
    <t>=D541</t>
  </si>
  <si>
    <t>=E541</t>
  </si>
  <si>
    <t>=F541</t>
  </si>
  <si>
    <t>=C542</t>
  </si>
  <si>
    <t>=D542</t>
  </si>
  <si>
    <t>=E542</t>
  </si>
  <si>
    <t>=F542</t>
  </si>
  <si>
    <t>=G542</t>
  </si>
  <si>
    <t>=H542</t>
  </si>
  <si>
    <t>=C544</t>
  </si>
  <si>
    <t>=D544</t>
  </si>
  <si>
    <t>=E544</t>
  </si>
  <si>
    <t>=F544</t>
  </si>
  <si>
    <t>=G544</t>
  </si>
  <si>
    <t>=H544</t>
  </si>
  <si>
    <t>=C546</t>
  </si>
  <si>
    <t>=D546</t>
  </si>
  <si>
    <t>=E546</t>
  </si>
  <si>
    <t>=F546</t>
  </si>
  <si>
    <t>=G546</t>
  </si>
  <si>
    <t>=H546</t>
  </si>
  <si>
    <t>=G547</t>
  </si>
  <si>
    <t>=C549</t>
  </si>
  <si>
    <t>=D549</t>
  </si>
  <si>
    <t>=E549</t>
  </si>
  <si>
    <t>=C550</t>
  </si>
  <si>
    <t>=D550</t>
  </si>
  <si>
    <t>=E550</t>
  </si>
  <si>
    <t>=F550</t>
  </si>
  <si>
    <t>=C551</t>
  </si>
  <si>
    <t>=D551</t>
  </si>
  <si>
    <t>=E551</t>
  </si>
  <si>
    <t>=F551</t>
  </si>
  <si>
    <t>=G551</t>
  </si>
  <si>
    <t>=H551</t>
  </si>
  <si>
    <t>=C552</t>
  </si>
  <si>
    <t>=D552</t>
  </si>
  <si>
    <t>=E552</t>
  </si>
  <si>
    <t>=F552</t>
  </si>
  <si>
    <t>=G552</t>
  </si>
  <si>
    <t>=H552</t>
  </si>
  <si>
    <t>=C554</t>
  </si>
  <si>
    <t>=D554</t>
  </si>
  <si>
    <t>=E554</t>
  </si>
  <si>
    <t>=F554</t>
  </si>
  <si>
    <t>=G554</t>
  </si>
  <si>
    <t>=H554</t>
  </si>
  <si>
    <t>=C555</t>
  </si>
  <si>
    <t>=D555</t>
  </si>
  <si>
    <t>=E555</t>
  </si>
  <si>
    <t>=F555</t>
  </si>
  <si>
    <t>=G555</t>
  </si>
  <si>
    <t>=C556</t>
  </si>
  <si>
    <t>=D556</t>
  </si>
  <si>
    <t>=E556</t>
  </si>
  <si>
    <t>=F556</t>
  </si>
  <si>
    <t>=G556</t>
  </si>
  <si>
    <t>=H556</t>
  </si>
  <si>
    <t>=C557</t>
  </si>
  <si>
    <t>=D557</t>
  </si>
  <si>
    <t>=E557</t>
  </si>
  <si>
    <t>=F557</t>
  </si>
  <si>
    <t>=G557</t>
  </si>
  <si>
    <t>=H557</t>
  </si>
  <si>
    <t>=C559</t>
  </si>
  <si>
    <t>=D559</t>
  </si>
  <si>
    <t>=E559</t>
  </si>
  <si>
    <t>=F559</t>
  </si>
  <si>
    <t>=G559</t>
  </si>
  <si>
    <t>=H559</t>
  </si>
  <si>
    <t>=G560</t>
  </si>
  <si>
    <t>=C560</t>
  </si>
  <si>
    <t>=D560</t>
  </si>
  <si>
    <t>=E560</t>
  </si>
  <si>
    <t>=F560</t>
  </si>
  <si>
    <t>=C561</t>
  </si>
  <si>
    <t>=D561</t>
  </si>
  <si>
    <t>=E561</t>
  </si>
  <si>
    <t>=F561</t>
  </si>
  <si>
    <t>=G561</t>
  </si>
  <si>
    <t>=H561</t>
  </si>
  <si>
    <t>=C562</t>
  </si>
  <si>
    <t>=D562</t>
  </si>
  <si>
    <t>=E562</t>
  </si>
  <si>
    <t>=F562</t>
  </si>
  <si>
    <t>=G562</t>
  </si>
  <si>
    <t>=H562</t>
  </si>
  <si>
    <t>=C564</t>
  </si>
  <si>
    <t>=D564</t>
  </si>
  <si>
    <t>=E564</t>
  </si>
  <si>
    <t>=F564</t>
  </si>
  <si>
    <t>=G564</t>
  </si>
  <si>
    <t>=H564</t>
  </si>
  <si>
    <t>=C565</t>
  </si>
  <si>
    <t>=D565</t>
  </si>
  <si>
    <t>=E565</t>
  </si>
  <si>
    <t>=F565</t>
  </si>
  <si>
    <t>=G565</t>
  </si>
  <si>
    <t>=C566</t>
  </si>
  <si>
    <t>=D566</t>
  </si>
  <si>
    <t>=E566</t>
  </si>
  <si>
    <t>=F566</t>
  </si>
  <si>
    <t>=G566</t>
  </si>
  <si>
    <t>=H566</t>
  </si>
  <si>
    <t>=G569</t>
  </si>
  <si>
    <t>=C569</t>
  </si>
  <si>
    <t>=D569</t>
  </si>
  <si>
    <t>=E569</t>
  </si>
  <si>
    <t>=F569</t>
  </si>
  <si>
    <t>=C570</t>
  </si>
  <si>
    <t>=D570</t>
  </si>
  <si>
    <t>=E570</t>
  </si>
  <si>
    <t>=F570</t>
  </si>
  <si>
    <t>=G570</t>
  </si>
  <si>
    <t>=C571</t>
  </si>
  <si>
    <t>=D571</t>
  </si>
  <si>
    <t>=E571</t>
  </si>
  <si>
    <t>=F571</t>
  </si>
  <si>
    <t>=G571</t>
  </si>
  <si>
    <t>=H571</t>
  </si>
  <si>
    <t>=G574</t>
  </si>
  <si>
    <t>=C574</t>
  </si>
  <si>
    <t>=D574</t>
  </si>
  <si>
    <t>=E574</t>
  </si>
  <si>
    <t>=F574</t>
  </si>
  <si>
    <t>=G575</t>
  </si>
  <si>
    <t>=C576</t>
  </si>
  <si>
    <t>=D576</t>
  </si>
  <si>
    <t>=E576</t>
  </si>
  <si>
    <t>=F576</t>
  </si>
  <si>
    <t>=E578</t>
  </si>
  <si>
    <t>=E581</t>
  </si>
  <si>
    <t>=C582</t>
  </si>
  <si>
    <t>=D582</t>
  </si>
  <si>
    <t>=E582</t>
  </si>
  <si>
    <t>=F582</t>
  </si>
  <si>
    <t>=C583</t>
  </si>
  <si>
    <t>=D583</t>
  </si>
  <si>
    <t>=E583</t>
  </si>
  <si>
    <t>=F583</t>
  </si>
  <si>
    <t>=G583</t>
  </si>
  <si>
    <t>=H583</t>
  </si>
  <si>
    <t>=C584</t>
  </si>
  <si>
    <t>=D584</t>
  </si>
  <si>
    <t>=E584</t>
  </si>
  <si>
    <t>=F584</t>
  </si>
  <si>
    <t>=G584</t>
  </si>
  <si>
    <t>=H584</t>
  </si>
  <si>
    <t>=C586</t>
  </si>
  <si>
    <t>=D586</t>
  </si>
  <si>
    <t>=E586</t>
  </si>
  <si>
    <t>=F586</t>
  </si>
  <si>
    <t>=G586</t>
  </si>
  <si>
    <t>=H586</t>
  </si>
  <si>
    <t>=C587</t>
  </si>
  <si>
    <t>=D587</t>
  </si>
  <si>
    <t>=E587</t>
  </si>
  <si>
    <t>=F587</t>
  </si>
  <si>
    <t>=G587</t>
  </si>
  <si>
    <t>=C588</t>
  </si>
  <si>
    <t>=D588</t>
  </si>
  <si>
    <t>=E588</t>
  </si>
  <si>
    <t>=F588</t>
  </si>
  <si>
    <t>=G588</t>
  </si>
  <si>
    <t>=H588</t>
  </si>
  <si>
    <t>=C590</t>
  </si>
  <si>
    <t>=D590</t>
  </si>
  <si>
    <t>=E590</t>
  </si>
  <si>
    <t>=F590</t>
  </si>
  <si>
    <t>=G590</t>
  </si>
  <si>
    <t>=H590</t>
  </si>
  <si>
    <t>=G591</t>
  </si>
  <si>
    <t>=C591</t>
  </si>
  <si>
    <t>=D591</t>
  </si>
  <si>
    <t>=E591</t>
  </si>
  <si>
    <t>=F591</t>
  </si>
  <si>
    <t>=C592</t>
  </si>
  <si>
    <t>=D592</t>
  </si>
  <si>
    <t>=E592</t>
  </si>
  <si>
    <t>=F592</t>
  </si>
  <si>
    <t>=G592</t>
  </si>
  <si>
    <t>=H592</t>
  </si>
  <si>
    <t>=C593</t>
  </si>
  <si>
    <t>=D593</t>
  </si>
  <si>
    <t>=E593</t>
  </si>
  <si>
    <t>=F593</t>
  </si>
  <si>
    <t>=G593</t>
  </si>
  <si>
    <t>=H593</t>
  </si>
  <si>
    <t>=C594</t>
  </si>
  <si>
    <t>=D594</t>
  </si>
  <si>
    <t>=E594</t>
  </si>
  <si>
    <t>=F594</t>
  </si>
  <si>
    <t>=G594</t>
  </si>
  <si>
    <t>=H594</t>
  </si>
  <si>
    <t>=C596</t>
  </si>
  <si>
    <t>=D596</t>
  </si>
  <si>
    <t>=E596</t>
  </si>
  <si>
    <t>=F596</t>
  </si>
  <si>
    <t>=G596</t>
  </si>
  <si>
    <t>=H596</t>
  </si>
  <si>
    <t>=C599</t>
  </si>
  <si>
    <t>=D599</t>
  </si>
  <si>
    <t>=E599</t>
  </si>
  <si>
    <t>=F599</t>
  </si>
  <si>
    <t>=G599</t>
  </si>
  <si>
    <t>=G600</t>
  </si>
  <si>
    <t>=C600</t>
  </si>
  <si>
    <t>=D600</t>
  </si>
  <si>
    <t>=E600</t>
  </si>
  <si>
    <t>=F600</t>
  </si>
  <si>
    <t>=C601</t>
  </si>
  <si>
    <t>=D601</t>
  </si>
  <si>
    <t>=E601</t>
  </si>
  <si>
    <t>=F601</t>
  </si>
  <si>
    <t>=G601</t>
  </si>
  <si>
    <t>=H601</t>
  </si>
  <si>
    <t>=C603</t>
  </si>
  <si>
    <t>=D603</t>
  </si>
  <si>
    <t>=E603</t>
  </si>
  <si>
    <t>=F603</t>
  </si>
  <si>
    <t>=G603</t>
  </si>
  <si>
    <t>=H603</t>
  </si>
  <si>
    <t>=C605</t>
  </si>
  <si>
    <t>=D605</t>
  </si>
  <si>
    <t>=E605</t>
  </si>
  <si>
    <t>=F605</t>
  </si>
  <si>
    <t>=C606</t>
  </si>
  <si>
    <t>=D606</t>
  </si>
  <si>
    <t>=E606</t>
  </si>
  <si>
    <t>=C608</t>
  </si>
  <si>
    <t>=D608</t>
  </si>
  <si>
    <t>=E608</t>
  </si>
  <si>
    <t>=F608</t>
  </si>
  <si>
    <t>=G608</t>
  </si>
  <si>
    <t>=H608</t>
  </si>
  <si>
    <t>=G609</t>
  </si>
  <si>
    <t>=C609</t>
  </si>
  <si>
    <t>=D609</t>
  </si>
  <si>
    <t>=E609</t>
  </si>
  <si>
    <t>=F609</t>
  </si>
  <si>
    <t>=C610</t>
  </si>
  <si>
    <t>=D610</t>
  </si>
  <si>
    <t>=E610</t>
  </si>
  <si>
    <t>=F610</t>
  </si>
  <si>
    <t>=G610</t>
  </si>
  <si>
    <t>=H610</t>
  </si>
  <si>
    <t>=C611</t>
  </si>
  <si>
    <t>=D611</t>
  </si>
  <si>
    <t>=E611</t>
  </si>
  <si>
    <t>=F611</t>
  </si>
  <si>
    <t>=G611</t>
  </si>
  <si>
    <t>=H611</t>
  </si>
  <si>
    <t>=C612</t>
  </si>
  <si>
    <t>=D612</t>
  </si>
  <si>
    <t>=E612</t>
  </si>
  <si>
    <t>=F612</t>
  </si>
  <si>
    <t>=G612</t>
  </si>
  <si>
    <t>=H612</t>
  </si>
  <si>
    <t>=C614</t>
  </si>
  <si>
    <t>=D614</t>
  </si>
  <si>
    <t>=E614</t>
  </si>
  <si>
    <t>=F614</t>
  </si>
  <si>
    <t>=G614</t>
  </si>
  <si>
    <t>=H614</t>
  </si>
  <si>
    <t>=C615</t>
  </si>
  <si>
    <t>=D615</t>
  </si>
  <si>
    <t>=E615</t>
  </si>
  <si>
    <t>=F615</t>
  </si>
  <si>
    <t>=G615</t>
  </si>
  <si>
    <t>=C617</t>
  </si>
  <si>
    <t>=D617</t>
  </si>
  <si>
    <t>=E617</t>
  </si>
  <si>
    <t>=F617</t>
  </si>
  <si>
    <t>=G617</t>
  </si>
  <si>
    <t>=H617</t>
  </si>
  <si>
    <t>=G618</t>
  </si>
  <si>
    <t>=C618</t>
  </si>
  <si>
    <t>=D618</t>
  </si>
  <si>
    <t>=E618</t>
  </si>
  <si>
    <t>=F618</t>
  </si>
  <si>
    <t>=C619</t>
  </si>
  <si>
    <t>=D619</t>
  </si>
  <si>
    <t>=E619</t>
  </si>
  <si>
    <t>=F619</t>
  </si>
  <si>
    <t>=G619</t>
  </si>
  <si>
    <t>=H619</t>
  </si>
  <si>
    <t>=C620</t>
  </si>
  <si>
    <t>=D620</t>
  </si>
  <si>
    <t>=E620</t>
  </si>
  <si>
    <t>=F620</t>
  </si>
  <si>
    <t>=G620</t>
  </si>
  <si>
    <t>=H620</t>
  </si>
  <si>
    <t>=G623</t>
  </si>
  <si>
    <t>=C624</t>
  </si>
  <si>
    <t>=D624</t>
  </si>
  <si>
    <t>=E624</t>
  </si>
  <si>
    <t>=F624</t>
  </si>
  <si>
    <t>=C625</t>
  </si>
  <si>
    <t>=D625</t>
  </si>
  <si>
    <t>=E625</t>
  </si>
  <si>
    <t>=G628</t>
  </si>
  <si>
    <t>=C628</t>
  </si>
  <si>
    <t>=D628</t>
  </si>
  <si>
    <t>=E628</t>
  </si>
  <si>
    <t>=F628</t>
  </si>
  <si>
    <t>=C629</t>
  </si>
  <si>
    <t>=D629</t>
  </si>
  <si>
    <t>=E629</t>
  </si>
  <si>
    <t>=F629</t>
  </si>
  <si>
    <t>=G629</t>
  </si>
  <si>
    <t>=C630</t>
  </si>
  <si>
    <t>=D630</t>
  </si>
  <si>
    <t>=E630</t>
  </si>
  <si>
    <t>=F630</t>
  </si>
  <si>
    <t>=G630</t>
  </si>
  <si>
    <t>=H630</t>
  </si>
  <si>
    <t>=C631</t>
  </si>
  <si>
    <t>=D631</t>
  </si>
  <si>
    <t>=E631</t>
  </si>
  <si>
    <t>=F631</t>
  </si>
  <si>
    <t>=G631</t>
  </si>
  <si>
    <t>=H631</t>
  </si>
  <si>
    <t>=C633</t>
  </si>
  <si>
    <t>=D633</t>
  </si>
  <si>
    <t>=E633</t>
  </si>
  <si>
    <t>=F633</t>
  </si>
  <si>
    <t>=G633</t>
  </si>
  <si>
    <t>=H633</t>
  </si>
  <si>
    <t>=C636</t>
  </si>
  <si>
    <t>=D636</t>
  </si>
  <si>
    <t>=E636</t>
  </si>
  <si>
    <t>=C637</t>
  </si>
  <si>
    <t>=D637</t>
  </si>
  <si>
    <t>=E637</t>
  </si>
  <si>
    <t>=F637</t>
  </si>
  <si>
    <t>=C638</t>
  </si>
  <si>
    <t>=D638</t>
  </si>
  <si>
    <t>=E638</t>
  </si>
  <si>
    <t>=F638</t>
  </si>
  <si>
    <t>=G638</t>
  </si>
  <si>
    <t>=H638</t>
  </si>
  <si>
    <t>=C639</t>
  </si>
  <si>
    <t>=D639</t>
  </si>
  <si>
    <t>=E639</t>
  </si>
  <si>
    <t>=F639</t>
  </si>
  <si>
    <t>=G639</t>
  </si>
  <si>
    <t>=H639</t>
  </si>
  <si>
    <t>=C641</t>
  </si>
  <si>
    <t>=D641</t>
  </si>
  <si>
    <t>=E641</t>
  </si>
  <si>
    <t>=F641</t>
  </si>
  <si>
    <t>=G641</t>
  </si>
  <si>
    <t>=H641</t>
  </si>
  <si>
    <t>=C643</t>
  </si>
  <si>
    <t>=D643</t>
  </si>
  <si>
    <t>=E643</t>
  </si>
  <si>
    <t>=F643</t>
  </si>
  <si>
    <t>=G643</t>
  </si>
  <si>
    <t>=H643</t>
  </si>
  <si>
    <t>=G646</t>
  </si>
  <si>
    <t>=C648</t>
  </si>
  <si>
    <t>=D648</t>
  </si>
  <si>
    <t>=E648</t>
  </si>
  <si>
    <t>=C649</t>
  </si>
  <si>
    <t>=D649</t>
  </si>
  <si>
    <t>=E649</t>
  </si>
  <si>
    <t>=C651</t>
  </si>
  <si>
    <t>=D651</t>
  </si>
  <si>
    <t>=E651</t>
  </si>
  <si>
    <t>=F651</t>
  </si>
  <si>
    <t>=G651</t>
  </si>
  <si>
    <t>=H651</t>
  </si>
  <si>
    <t>=C652</t>
  </si>
  <si>
    <t>=D652</t>
  </si>
  <si>
    <t>=E652</t>
  </si>
  <si>
    <t>=F652</t>
  </si>
  <si>
    <t>=G652</t>
  </si>
  <si>
    <t>=C653</t>
  </si>
  <si>
    <t>=D653</t>
  </si>
  <si>
    <t>=E653</t>
  </si>
  <si>
    <t>=F653</t>
  </si>
  <si>
    <t>=G653</t>
  </si>
  <si>
    <t>=H653</t>
  </si>
  <si>
    <t>=C654</t>
  </si>
  <si>
    <t>=D654</t>
  </si>
  <si>
    <t>=E654</t>
  </si>
  <si>
    <t>=F654</t>
  </si>
  <si>
    <t>=G654</t>
  </si>
  <si>
    <t>=H654</t>
  </si>
  <si>
    <t>=C655</t>
  </si>
  <si>
    <t>=D655</t>
  </si>
  <si>
    <t>=E655</t>
  </si>
  <si>
    <t>=F655</t>
  </si>
  <si>
    <t>=G655</t>
  </si>
  <si>
    <t>=H655</t>
  </si>
  <si>
    <t>=C656</t>
  </si>
  <si>
    <t>=D656</t>
  </si>
  <si>
    <t>=E656</t>
  </si>
  <si>
    <t>=F656</t>
  </si>
  <si>
    <t>=G656</t>
  </si>
  <si>
    <t>=H656</t>
  </si>
  <si>
    <t>=C659</t>
  </si>
  <si>
    <t>=D659</t>
  </si>
  <si>
    <t>=E659</t>
  </si>
  <si>
    <t>=F659</t>
  </si>
  <si>
    <t>=G659</t>
  </si>
  <si>
    <t>=G660</t>
  </si>
  <si>
    <t>=C660</t>
  </si>
  <si>
    <t>=D660</t>
  </si>
  <si>
    <t>=E660</t>
  </si>
  <si>
    <t>=F660</t>
  </si>
  <si>
    <t>=C661</t>
  </si>
  <si>
    <t>=D661</t>
  </si>
  <si>
    <t>=E661</t>
  </si>
  <si>
    <t>=F661</t>
  </si>
  <si>
    <t>=G661</t>
  </si>
  <si>
    <t>=H661</t>
  </si>
  <si>
    <t>=C662</t>
  </si>
  <si>
    <t>=D662</t>
  </si>
  <si>
    <t>=E662</t>
  </si>
  <si>
    <t>=F662</t>
  </si>
  <si>
    <t>=G662</t>
  </si>
  <si>
    <t>=H662</t>
  </si>
  <si>
    <t>=C663</t>
  </si>
  <si>
    <t>=D663</t>
  </si>
  <si>
    <t>=E663</t>
  </si>
  <si>
    <t>=F663</t>
  </si>
  <si>
    <t>=G663</t>
  </si>
  <si>
    <t>=H663</t>
  </si>
  <si>
    <t>=C665</t>
  </si>
  <si>
    <t>=D665</t>
  </si>
  <si>
    <t>=E665</t>
  </si>
  <si>
    <t>=F665</t>
  </si>
  <si>
    <t>=G665</t>
  </si>
  <si>
    <t>=H665</t>
  </si>
  <si>
    <t>=C666</t>
  </si>
  <si>
    <t>=D666</t>
  </si>
  <si>
    <t>=E666</t>
  </si>
  <si>
    <t>=F666</t>
  </si>
  <si>
    <t>=G666</t>
  </si>
  <si>
    <t>=C670</t>
  </si>
  <si>
    <t>=D670</t>
  </si>
  <si>
    <t>=E670</t>
  </si>
  <si>
    <t>=F670</t>
  </si>
  <si>
    <t>=C671</t>
  </si>
  <si>
    <t>=D671</t>
  </si>
  <si>
    <t>=E672</t>
  </si>
  <si>
    <t>=NL("Lookup","Jet Payroll Transactions","State")</t>
  </si>
  <si>
    <t>=NL("Rows=11","Jet Payroll Transactions","Employee Class","Check Date",$K$5,"Employee Class",$K$6,"Employee Number",$K$7,"Payroll Code",$K$8,"State",$K$9)</t>
  </si>
  <si>
    <t>=NL("Rows=7","Jet Payroll Transactions","Employee Number","Check Date",$K$5,"Employee Class","@@"&amp;$E14,"Employee Number",$K$7,"Payroll Code",$K$8,"State",$K$9)</t>
  </si>
  <si>
    <t>=NL("Rows=4","Jet Payroll Transactions","Check Number","Check Date",$K$5,"Employee Class","@@"&amp;$E15,"Employee Number","@@"&amp;$F15,"Payroll Code",$K$8,"State",$K$9)</t>
  </si>
  <si>
    <t>=NL(,"Jet Payroll Transactions","Check Date","Check Date",$K$5,"Employee Class","@@"&amp;$E15,"Employee Number","@@"&amp;$F15,"Payroll Code",$K$8,"State",$K$9,"Check Number","@@"&amp;$N15)</t>
  </si>
  <si>
    <t>=NL(,"Jet Payroll Transactions","Check Date","Check Date",$K$5,"Employee Class","@@"&amp;$E56,"Employee Number","@@"&amp;$F56,"Payroll Code",$K$8,"State",$K$9,"Check Number","@@"&amp;$N56)</t>
  </si>
  <si>
    <t>=C22</t>
  </si>
  <si>
    <t>=D22</t>
  </si>
  <si>
    <t>=E22</t>
  </si>
  <si>
    <t>=F22</t>
  </si>
  <si>
    <t>=G22</t>
  </si>
  <si>
    <t>=H22</t>
  </si>
  <si>
    <t>=H24</t>
  </si>
  <si>
    <t>="Total for " &amp; $H25</t>
  </si>
  <si>
    <t>=O26</t>
  </si>
  <si>
    <t>=N26</t>
  </si>
  <si>
    <t>="10110"</t>
  </si>
  <si>
    <t>=NL(,"Jet Payroll Transactions","Check Date","Check Date",$K$5,"Employee Class","@@"&amp;$E26,"Employee Number","@@"&amp;$F26,"Payroll Code",$K$8,"State",$K$9,"Check Number","@@"&amp;$N26)</t>
  </si>
  <si>
    <t>=C32</t>
  </si>
  <si>
    <t>=D32</t>
  </si>
  <si>
    <t>=E32</t>
  </si>
  <si>
    <t>=F32</t>
  </si>
  <si>
    <t>=G32</t>
  </si>
  <si>
    <t>=H32</t>
  </si>
  <si>
    <t>=H34</t>
  </si>
  <si>
    <t>="Total for " &amp; $H35</t>
  </si>
  <si>
    <t>=C42</t>
  </si>
  <si>
    <t>=D42</t>
  </si>
  <si>
    <t>=E42</t>
  </si>
  <si>
    <t>=F42</t>
  </si>
  <si>
    <t>=G42</t>
  </si>
  <si>
    <t>=H42</t>
  </si>
  <si>
    <t>=H44</t>
  </si>
  <si>
    <t>="Total for " &amp; $H45</t>
  </si>
  <si>
    <t>=O46</t>
  </si>
  <si>
    <t>=N46</t>
  </si>
  <si>
    <t>=NL(,"Jet Payroll Transactions","Check Date","Check Date",$K$5,"Employee Class","@@"&amp;$E46,"Employee Number","@@"&amp;$F46,"Payroll Code",$K$8,"State",$K$9,"Check Number","@@"&amp;$N46)</t>
  </si>
  <si>
    <t>=C64</t>
  </si>
  <si>
    <t>=D64</t>
  </si>
  <si>
    <t>=E64</t>
  </si>
  <si>
    <t>=F64</t>
  </si>
  <si>
    <t>=G64</t>
  </si>
  <si>
    <t>=H64</t>
  </si>
  <si>
    <t>="Total for " &amp; $H65</t>
  </si>
  <si>
    <t>="DOYL0001"</t>
  </si>
  <si>
    <t>=C74</t>
  </si>
  <si>
    <t>=D74</t>
  </si>
  <si>
    <t>=E74</t>
  </si>
  <si>
    <t>=F74</t>
  </si>
  <si>
    <t>=G74</t>
  </si>
  <si>
    <t>=H74</t>
  </si>
  <si>
    <t>="Total for " &amp; $H75</t>
  </si>
  <si>
    <t>="10112"</t>
  </si>
  <si>
    <t>=C76</t>
  </si>
  <si>
    <t>=D76</t>
  </si>
  <si>
    <t>=E76</t>
  </si>
  <si>
    <t>=F76</t>
  </si>
  <si>
    <t>=F78</t>
  </si>
  <si>
    <t>=G79</t>
  </si>
  <si>
    <t>=H79</t>
  </si>
  <si>
    <t>=C86</t>
  </si>
  <si>
    <t>=D86</t>
  </si>
  <si>
    <t>=E86</t>
  </si>
  <si>
    <t>=F86</t>
  </si>
  <si>
    <t>=G86</t>
  </si>
  <si>
    <t>=H86</t>
  </si>
  <si>
    <t>=C105</t>
  </si>
  <si>
    <t>=D105</t>
  </si>
  <si>
    <t>=E105</t>
  </si>
  <si>
    <t>=F105</t>
  </si>
  <si>
    <t>="LEVY0001"</t>
  </si>
  <si>
    <t>=C114</t>
  </si>
  <si>
    <t>=D114</t>
  </si>
  <si>
    <t>=E114</t>
  </si>
  <si>
    <t>=F114</t>
  </si>
  <si>
    <t>=G114</t>
  </si>
  <si>
    <t>=H114</t>
  </si>
  <si>
    <t>=H116</t>
  </si>
  <si>
    <t>="10119"</t>
  </si>
  <si>
    <t>=C123</t>
  </si>
  <si>
    <t>=D123</t>
  </si>
  <si>
    <t>=E123</t>
  </si>
  <si>
    <t>=C132</t>
  </si>
  <si>
    <t>=D132</t>
  </si>
  <si>
    <t>=E132</t>
  </si>
  <si>
    <t>=F132</t>
  </si>
  <si>
    <t>=G132</t>
  </si>
  <si>
    <t>=H132</t>
  </si>
  <si>
    <t>=C134</t>
  </si>
  <si>
    <t>=D134</t>
  </si>
  <si>
    <t>=E134</t>
  </si>
  <si>
    <t>=F134</t>
  </si>
  <si>
    <t>=H134</t>
  </si>
  <si>
    <t>=G137</t>
  </si>
  <si>
    <t>="NAGA0001"</t>
  </si>
  <si>
    <t>=C165</t>
  </si>
  <si>
    <t>=D165</t>
  </si>
  <si>
    <t>=E165</t>
  </si>
  <si>
    <t>=F165</t>
  </si>
  <si>
    <t>=G165</t>
  </si>
  <si>
    <t>=H165</t>
  </si>
  <si>
    <t>="10124"</t>
  </si>
  <si>
    <t>=C175</t>
  </si>
  <si>
    <t>=D175</t>
  </si>
  <si>
    <t>=E175</t>
  </si>
  <si>
    <t>=F175</t>
  </si>
  <si>
    <t>=G175</t>
  </si>
  <si>
    <t>=H175</t>
  </si>
  <si>
    <t>=H177</t>
  </si>
  <si>
    <t>=C197</t>
  </si>
  <si>
    <t>=D197</t>
  </si>
  <si>
    <t>=E197</t>
  </si>
  <si>
    <t>=F197</t>
  </si>
  <si>
    <t>=O198</t>
  </si>
  <si>
    <t>=N198</t>
  </si>
  <si>
    <t>=NL(,"Jet Payroll Transactions","Check Date","Check Date",$K$5,"Employee Class","@@"&amp;$E198,"Employee Number","@@"&amp;$F198,"Payroll Code",$K$8,"State",$K$9,"Check Number","@@"&amp;$N198)</t>
  </si>
  <si>
    <t>=G198</t>
  </si>
  <si>
    <t>=H198</t>
  </si>
  <si>
    <t>=F199</t>
  </si>
  <si>
    <t>=G199</t>
  </si>
  <si>
    <t>=H199</t>
  </si>
  <si>
    <t>=G200</t>
  </si>
  <si>
    <t>=H200</t>
  </si>
  <si>
    <t>=C207</t>
  </si>
  <si>
    <t>=D207</t>
  </si>
  <si>
    <t>=E207</t>
  </si>
  <si>
    <t>=F207</t>
  </si>
  <si>
    <t>="ADMN"</t>
  </si>
  <si>
    <t>=L213</t>
  </si>
  <si>
    <t>=M213</t>
  </si>
  <si>
    <t>=K213</t>
  </si>
  <si>
    <t>=NL(,"Jet Payroll Transactions","Employee First Name","Employee Number","@@"&amp;$K213)</t>
  </si>
  <si>
    <t>=NL(,"Jet Payroll Transactions","Employee Last Name","Employee Number","@@"&amp;$K213)</t>
  </si>
  <si>
    <t>=O214</t>
  </si>
  <si>
    <t>=N214</t>
  </si>
  <si>
    <t>=NL("Rows=4","Jet Payroll Transactions","Check Number","Check Date",$K$5,"Employee Class","@@"&amp;$E214,"Employee Number","@@"&amp;$F214,"Payroll Code",$K$8,"State",$K$9)</t>
  </si>
  <si>
    <t>=NL(,"Jet Payroll Transactions","Check Date","Check Date",$K$5,"Employee Class","@@"&amp;$E214,"Employee Number","@@"&amp;$F214,"Payroll Code",$K$8,"State",$K$9,"Check Number","@@"&amp;$N214)</t>
  </si>
  <si>
    <t>=C217</t>
  </si>
  <si>
    <t>=D217</t>
  </si>
  <si>
    <t>=E217</t>
  </si>
  <si>
    <t>=F217</t>
  </si>
  <si>
    <t>=G217</t>
  </si>
  <si>
    <t>=H217</t>
  </si>
  <si>
    <t>=H219</t>
  </si>
  <si>
    <t>="Total for " &amp; $H222</t>
  </si>
  <si>
    <t>=O223</t>
  </si>
  <si>
    <t>=N223</t>
  </si>
  <si>
    <t>="10116"</t>
  </si>
  <si>
    <t>=NL(,"Jet Payroll Transactions","Check Date","Check Date",$K$5,"Employee Class","@@"&amp;$E223,"Employee Number","@@"&amp;$F223,"Payroll Code",$K$8,"State",$K$9,"Check Number","@@"&amp;$N223)</t>
  </si>
  <si>
    <t>=C226</t>
  </si>
  <si>
    <t>=D226</t>
  </si>
  <si>
    <t>=E226</t>
  </si>
  <si>
    <t>=F226</t>
  </si>
  <si>
    <t>=G226</t>
  </si>
  <si>
    <t>=H226</t>
  </si>
  <si>
    <t>=H228</t>
  </si>
  <si>
    <t>=C244</t>
  </si>
  <si>
    <t>=D244</t>
  </si>
  <si>
    <t>=E244</t>
  </si>
  <si>
    <t>=F244</t>
  </si>
  <si>
    <t>=G244</t>
  </si>
  <si>
    <t>=H244</t>
  </si>
  <si>
    <t>=H246</t>
  </si>
  <si>
    <t>="Total for " &amp; $H250</t>
  </si>
  <si>
    <t>=O251</t>
  </si>
  <si>
    <t>=N251</t>
  </si>
  <si>
    <t>=NL(,"Jet Payroll Transactions","Check Date","Check Date",$K$5,"Employee Class","@@"&amp;$E251,"Employee Number","@@"&amp;$F251,"Payroll Code",$K$8,"State",$K$9,"Check Number","@@"&amp;$N251)</t>
  </si>
  <si>
    <t>=C253</t>
  </si>
  <si>
    <t>=D253</t>
  </si>
  <si>
    <t>=E253</t>
  </si>
  <si>
    <t>=F253</t>
  </si>
  <si>
    <t>=G253</t>
  </si>
  <si>
    <t>=H253</t>
  </si>
  <si>
    <t>=C255</t>
  </si>
  <si>
    <t>=D255</t>
  </si>
  <si>
    <t>=E255</t>
  </si>
  <si>
    <t>=F255</t>
  </si>
  <si>
    <t>=H255</t>
  </si>
  <si>
    <t>=G256</t>
  </si>
  <si>
    <t>=H256</t>
  </si>
  <si>
    <t>=G259</t>
  </si>
  <si>
    <t>=C261</t>
  </si>
  <si>
    <t>=D261</t>
  </si>
  <si>
    <t>="KAHN0001"</t>
  </si>
  <si>
    <t>=G269</t>
  </si>
  <si>
    <t>=C269</t>
  </si>
  <si>
    <t>=D269</t>
  </si>
  <si>
    <t>=E269</t>
  </si>
  <si>
    <t>=F269</t>
  </si>
  <si>
    <t>="10117"</t>
  </si>
  <si>
    <t>=H271</t>
  </si>
  <si>
    <t>=C278</t>
  </si>
  <si>
    <t>=D278</t>
  </si>
  <si>
    <t>=E278</t>
  </si>
  <si>
    <t>=F278</t>
  </si>
  <si>
    <t>=G278</t>
  </si>
  <si>
    <t>=H278</t>
  </si>
  <si>
    <t>=C288</t>
  </si>
  <si>
    <t>=D288</t>
  </si>
  <si>
    <t>=E288</t>
  </si>
  <si>
    <t>=F288</t>
  </si>
  <si>
    <t>=C297</t>
  </si>
  <si>
    <t>=D297</t>
  </si>
  <si>
    <t>=E297</t>
  </si>
  <si>
    <t>=F297</t>
  </si>
  <si>
    <t>=G297</t>
  </si>
  <si>
    <t>="11557"</t>
  </si>
  <si>
    <t>=G306</t>
  </si>
  <si>
    <t>=C306</t>
  </si>
  <si>
    <t>=D306</t>
  </si>
  <si>
    <t>=E306</t>
  </si>
  <si>
    <t>=F306</t>
  </si>
  <si>
    <t>="REEV0001"</t>
  </si>
  <si>
    <t>=C315</t>
  </si>
  <si>
    <t>=D315</t>
  </si>
  <si>
    <t>=E315</t>
  </si>
  <si>
    <t>=F315</t>
  </si>
  <si>
    <t>=G315</t>
  </si>
  <si>
    <t>=H315</t>
  </si>
  <si>
    <t>=C317</t>
  </si>
  <si>
    <t>=D317</t>
  </si>
  <si>
    <t>=E317</t>
  </si>
  <si>
    <t>=F317</t>
  </si>
  <si>
    <t>=H317</t>
  </si>
  <si>
    <t>=G320</t>
  </si>
  <si>
    <t>="10125"</t>
  </si>
  <si>
    <t>=C327</t>
  </si>
  <si>
    <t>=D327</t>
  </si>
  <si>
    <t>=E327</t>
  </si>
  <si>
    <t>=F327</t>
  </si>
  <si>
    <t>=G327</t>
  </si>
  <si>
    <t>=H329</t>
  </si>
  <si>
    <t>=C345</t>
  </si>
  <si>
    <t>=D345</t>
  </si>
  <si>
    <t>=E345</t>
  </si>
  <si>
    <t>=F345</t>
  </si>
  <si>
    <t>=G345</t>
  </si>
  <si>
    <t>=H345</t>
  </si>
  <si>
    <t>="Total for " &amp; $H349</t>
  </si>
  <si>
    <t>="STEW0001"</t>
  </si>
  <si>
    <t>=C354</t>
  </si>
  <si>
    <t>=D354</t>
  </si>
  <si>
    <t>=E354</t>
  </si>
  <si>
    <t>=F354</t>
  </si>
  <si>
    <t>=G354</t>
  </si>
  <si>
    <t>=H354</t>
  </si>
  <si>
    <t>="10126"</t>
  </si>
  <si>
    <t>=C363</t>
  </si>
  <si>
    <t>=D363</t>
  </si>
  <si>
    <t>=E363</t>
  </si>
  <si>
    <t>=F363</t>
  </si>
  <si>
    <t>=G363</t>
  </si>
  <si>
    <t>=H363</t>
  </si>
  <si>
    <t>=H365</t>
  </si>
  <si>
    <t>=G372</t>
  </si>
  <si>
    <t>=C372</t>
  </si>
  <si>
    <t>=D372</t>
  </si>
  <si>
    <t>=E372</t>
  </si>
  <si>
    <t>=F372</t>
  </si>
  <si>
    <t>=H374</t>
  </si>
  <si>
    <t>=C377</t>
  </si>
  <si>
    <t>=D377</t>
  </si>
  <si>
    <t>=E377</t>
  </si>
  <si>
    <t>=F377</t>
  </si>
  <si>
    <t>=G377</t>
  </si>
  <si>
    <t>=H377</t>
  </si>
  <si>
    <t>=H379</t>
  </si>
  <si>
    <t>=C382</t>
  </si>
  <si>
    <t>=D382</t>
  </si>
  <si>
    <t>=E382</t>
  </si>
  <si>
    <t>=F382</t>
  </si>
  <si>
    <t>=G382</t>
  </si>
  <si>
    <t>=H382</t>
  </si>
  <si>
    <t>=C384</t>
  </si>
  <si>
    <t>=D384</t>
  </si>
  <si>
    <t>=E384</t>
  </si>
  <si>
    <t>=F384</t>
  </si>
  <si>
    <t>=H384</t>
  </si>
  <si>
    <t>=G385</t>
  </si>
  <si>
    <t>=F386</t>
  </si>
  <si>
    <t>=C394</t>
  </si>
  <si>
    <t>=D394</t>
  </si>
  <si>
    <t>=E394</t>
  </si>
  <si>
    <t>=F394</t>
  </si>
  <si>
    <t>=G394</t>
  </si>
  <si>
    <t>=H394</t>
  </si>
  <si>
    <t>=G404</t>
  </si>
  <si>
    <t>="INST"</t>
  </si>
  <si>
    <t>=C413</t>
  </si>
  <si>
    <t>=D413</t>
  </si>
  <si>
    <t>=E413</t>
  </si>
  <si>
    <t>=F413</t>
  </si>
  <si>
    <t>=G413</t>
  </si>
  <si>
    <t>=H413</t>
  </si>
  <si>
    <t>=H415</t>
  </si>
  <si>
    <t>="DD000000000000000008"</t>
  </si>
  <si>
    <t>=C422</t>
  </si>
  <si>
    <t>=D422</t>
  </si>
  <si>
    <t>=E422</t>
  </si>
  <si>
    <t>=F422</t>
  </si>
  <si>
    <t>=G422</t>
  </si>
  <si>
    <t>=H422</t>
  </si>
  <si>
    <t>=C440</t>
  </si>
  <si>
    <t>=D440</t>
  </si>
  <si>
    <t>=E440</t>
  </si>
  <si>
    <t>=F440</t>
  </si>
  <si>
    <t>=G440</t>
  </si>
  <si>
    <t>=H440</t>
  </si>
  <si>
    <t>=G443</t>
  </si>
  <si>
    <t>=H443</t>
  </si>
  <si>
    <t>=G445</t>
  </si>
  <si>
    <t>=H445</t>
  </si>
  <si>
    <t>="DD000000000000000182"</t>
  </si>
  <si>
    <t>=C464</t>
  </si>
  <si>
    <t>=D464</t>
  </si>
  <si>
    <t>=E464</t>
  </si>
  <si>
    <t>=F464</t>
  </si>
  <si>
    <t>="BARR0001"</t>
  </si>
  <si>
    <t>=C474</t>
  </si>
  <si>
    <t>=D474</t>
  </si>
  <si>
    <t>=E474</t>
  </si>
  <si>
    <t>=F474</t>
  </si>
  <si>
    <t>=G474</t>
  </si>
  <si>
    <t>=H474</t>
  </si>
  <si>
    <t>="10106"</t>
  </si>
  <si>
    <t>=H476</t>
  </si>
  <si>
    <t>=C484</t>
  </si>
  <si>
    <t>=D484</t>
  </si>
  <si>
    <t>=E484</t>
  </si>
  <si>
    <t>=F484</t>
  </si>
  <si>
    <t>=G484</t>
  </si>
  <si>
    <t>=H484</t>
  </si>
  <si>
    <t>=H486</t>
  </si>
  <si>
    <t>=C495</t>
  </si>
  <si>
    <t>=D495</t>
  </si>
  <si>
    <t>=E495</t>
  </si>
  <si>
    <t>=F495</t>
  </si>
  <si>
    <t>=G495</t>
  </si>
  <si>
    <t>=H495</t>
  </si>
  <si>
    <t>=H497</t>
  </si>
  <si>
    <t>=O504</t>
  </si>
  <si>
    <t>=N504</t>
  </si>
  <si>
    <t>=NL(,"Jet Payroll Transactions","Check Date","Check Date",$K$5,"Employee Class","@@"&amp;$E504,"Employee Number","@@"&amp;$F504,"Payroll Code",$K$8,"State",$K$9,"Check Number","@@"&amp;$N504)</t>
  </si>
  <si>
    <t>=C505</t>
  </si>
  <si>
    <t>=D505</t>
  </si>
  <si>
    <t>=E505</t>
  </si>
  <si>
    <t>=F505</t>
  </si>
  <si>
    <t>=G505</t>
  </si>
  <si>
    <t>=H505</t>
  </si>
  <si>
    <t>=C507</t>
  </si>
  <si>
    <t>=D507</t>
  </si>
  <si>
    <t>=E507</t>
  </si>
  <si>
    <t>=F507</t>
  </si>
  <si>
    <t>=H507</t>
  </si>
  <si>
    <t>=G508</t>
  </si>
  <si>
    <t>=H508</t>
  </si>
  <si>
    <t>=E509</t>
  </si>
  <si>
    <t>=F509</t>
  </si>
  <si>
    <t>=G509</t>
  </si>
  <si>
    <t>=H509</t>
  </si>
  <si>
    <t>=C511</t>
  </si>
  <si>
    <t>=D511</t>
  </si>
  <si>
    <t>=E511</t>
  </si>
  <si>
    <t>=F511</t>
  </si>
  <si>
    <t>=G511</t>
  </si>
  <si>
    <t>=H511</t>
  </si>
  <si>
    <t>="Total for " &amp; $H512</t>
  </si>
  <si>
    <t>=G512</t>
  </si>
  <si>
    <t>=C512</t>
  </si>
  <si>
    <t>=D512</t>
  </si>
  <si>
    <t>=E512</t>
  </si>
  <si>
    <t>=F512</t>
  </si>
  <si>
    <t>=O513</t>
  </si>
  <si>
    <t>=N513</t>
  </si>
  <si>
    <t>="11554"</t>
  </si>
  <si>
    <t>=NL(,"Jet Payroll Transactions","Check Date","Check Date",$K$5,"Employee Class","@@"&amp;$E513,"Employee Number","@@"&amp;$F513,"Payroll Code",$K$8,"State",$K$9,"Check Number","@@"&amp;$N513)</t>
  </si>
  <si>
    <t>=C513</t>
  </si>
  <si>
    <t>=D513</t>
  </si>
  <si>
    <t>=F513</t>
  </si>
  <si>
    <t>=G513</t>
  </si>
  <si>
    <t>=H513</t>
  </si>
  <si>
    <t>=G514</t>
  </si>
  <si>
    <t>=H514</t>
  </si>
  <si>
    <t>=C521</t>
  </si>
  <si>
    <t>=D521</t>
  </si>
  <si>
    <t>=E521</t>
  </si>
  <si>
    <t>=F521</t>
  </si>
  <si>
    <t>=G521</t>
  </si>
  <si>
    <t>="CLAY0001"</t>
  </si>
  <si>
    <t>=C530</t>
  </si>
  <si>
    <t>=D530</t>
  </si>
  <si>
    <t>=E530</t>
  </si>
  <si>
    <t>=F530</t>
  </si>
  <si>
    <t>=G530</t>
  </si>
  <si>
    <t>=H530</t>
  </si>
  <si>
    <t>=H532</t>
  </si>
  <si>
    <t>="10109"</t>
  </si>
  <si>
    <t>=C539</t>
  </si>
  <si>
    <t>=D539</t>
  </si>
  <si>
    <t>=E539</t>
  </si>
  <si>
    <t>=F539</t>
  </si>
  <si>
    <t>=G539</t>
  </si>
  <si>
    <t>=H539</t>
  </si>
  <si>
    <t>=H541</t>
  </si>
  <si>
    <t>=C548</t>
  </si>
  <si>
    <t>=D548</t>
  </si>
  <si>
    <t>=E548</t>
  </si>
  <si>
    <t>=F548</t>
  </si>
  <si>
    <t>=C567</t>
  </si>
  <si>
    <t>=D567</t>
  </si>
  <si>
    <t>=E567</t>
  </si>
  <si>
    <t>=F567</t>
  </si>
  <si>
    <t>=G567</t>
  </si>
  <si>
    <t>=H567</t>
  </si>
  <si>
    <t>=H569</t>
  </si>
  <si>
    <t>=C572</t>
  </si>
  <si>
    <t>=D572</t>
  </si>
  <si>
    <t>=E572</t>
  </si>
  <si>
    <t>=F572</t>
  </si>
  <si>
    <t>=G572</t>
  </si>
  <si>
    <t>=H572</t>
  </si>
  <si>
    <t>=H574</t>
  </si>
  <si>
    <t>="Total for " &amp; $H575</t>
  </si>
  <si>
    <t>="Total for " &amp; $F577</t>
  </si>
  <si>
    <t>=C577</t>
  </si>
  <si>
    <t>=D577</t>
  </si>
  <si>
    <t>="DIAZ0001"</t>
  </si>
  <si>
    <t>="10111"</t>
  </si>
  <si>
    <t>=C598</t>
  </si>
  <si>
    <t>=D598</t>
  </si>
  <si>
    <t>=E598</t>
  </si>
  <si>
    <t>=F598</t>
  </si>
  <si>
    <t>=G598</t>
  </si>
  <si>
    <t>=H598</t>
  </si>
  <si>
    <t>=H600</t>
  </si>
  <si>
    <t>=C607</t>
  </si>
  <si>
    <t>=D607</t>
  </si>
  <si>
    <t>=E607</t>
  </si>
  <si>
    <t>=F607</t>
  </si>
  <si>
    <t>=H609</t>
  </si>
  <si>
    <t>="Total for " &amp; $H615</t>
  </si>
  <si>
    <t>=O616</t>
  </si>
  <si>
    <t>=N616</t>
  </si>
  <si>
    <t>=NL(,"Jet Payroll Transactions","Check Date","Check Date",$K$5,"Employee Class","@@"&amp;$E616,"Employee Number","@@"&amp;$F616,"Payroll Code",$K$8,"State",$K$9,"Check Number","@@"&amp;$N616)</t>
  </si>
  <si>
    <t>=C616</t>
  </si>
  <si>
    <t>=D616</t>
  </si>
  <si>
    <t>=E616</t>
  </si>
  <si>
    <t>=F616</t>
  </si>
  <si>
    <t>=G616</t>
  </si>
  <si>
    <t>=H616</t>
  </si>
  <si>
    <t>=H618</t>
  </si>
  <si>
    <t>="11555"</t>
  </si>
  <si>
    <t>=C626</t>
  </si>
  <si>
    <t>=D626</t>
  </si>
  <si>
    <t>=E626</t>
  </si>
  <si>
    <t>=F626</t>
  </si>
  <si>
    <t>=H628</t>
  </si>
  <si>
    <t>=C635</t>
  </si>
  <si>
    <t>=D635</t>
  </si>
  <si>
    <t>=E635</t>
  </si>
  <si>
    <t>=F635</t>
  </si>
  <si>
    <t>="HARU0001"</t>
  </si>
  <si>
    <t>=C640</t>
  </si>
  <si>
    <t>=D640</t>
  </si>
  <si>
    <t>=E640</t>
  </si>
  <si>
    <t>=F640</t>
  </si>
  <si>
    <t>=G640</t>
  </si>
  <si>
    <t>=H640</t>
  </si>
  <si>
    <t>="10115"</t>
  </si>
  <si>
    <t>=C645</t>
  </si>
  <si>
    <t>=D645</t>
  </si>
  <si>
    <t>=E645</t>
  </si>
  <si>
    <t>=F645</t>
  </si>
  <si>
    <t>=G645</t>
  </si>
  <si>
    <t>=H645</t>
  </si>
  <si>
    <t>=C647</t>
  </si>
  <si>
    <t>=D647</t>
  </si>
  <si>
    <t>=E647</t>
  </si>
  <si>
    <t>=F647</t>
  </si>
  <si>
    <t>=F649</t>
  </si>
  <si>
    <t>=C658</t>
  </si>
  <si>
    <t>=D658</t>
  </si>
  <si>
    <t>=E658</t>
  </si>
  <si>
    <t>=F658</t>
  </si>
  <si>
    <t>=G658</t>
  </si>
  <si>
    <t>=H658</t>
  </si>
  <si>
    <t>="Total for " &amp; $H659</t>
  </si>
  <si>
    <t>=O660</t>
  </si>
  <si>
    <t>=N660</t>
  </si>
  <si>
    <t>=NL(,"Jet Payroll Transactions","Check Date","Check Date",$K$5,"Employee Class","@@"&amp;$E660,"Employee Number","@@"&amp;$F660,"Payroll Code",$K$8,"State",$K$9,"Check Number","@@"&amp;$N660)</t>
  </si>
  <si>
    <t>=H660</t>
  </si>
  <si>
    <t>="11556"</t>
  </si>
  <si>
    <t>=C668</t>
  </si>
  <si>
    <t>=D668</t>
  </si>
  <si>
    <t>=E668</t>
  </si>
  <si>
    <t>=F668</t>
  </si>
  <si>
    <t>=G668</t>
  </si>
  <si>
    <t>=H668</t>
  </si>
  <si>
    <t>="TIAN0001"</t>
  </si>
  <si>
    <t>="10127"</t>
  </si>
  <si>
    <t>="11558"</t>
  </si>
  <si>
    <t>="SALES"</t>
  </si>
  <si>
    <t>="DD000000000000000009"</t>
  </si>
  <si>
    <t>="BUCH0001"</t>
  </si>
  <si>
    <t>="10107"</t>
  </si>
  <si>
    <t>="11599"</t>
  </si>
  <si>
    <t>="CHEN0001"</t>
  </si>
  <si>
    <t>="10108"</t>
  </si>
  <si>
    <t>="ERIC0001"</t>
  </si>
  <si>
    <t>="10113"</t>
  </si>
  <si>
    <t>="11600"</t>
  </si>
  <si>
    <t>="KENN0001"</t>
  </si>
  <si>
    <t>="10118"</t>
  </si>
  <si>
    <t>="LYON0001"</t>
  </si>
  <si>
    <t>="10120"</t>
  </si>
  <si>
    <t>="LYSA0001"</t>
  </si>
  <si>
    <t>="10121"</t>
  </si>
  <si>
    <t>="MART0001"</t>
  </si>
  <si>
    <t>="10122"</t>
  </si>
  <si>
    <t>="11601"</t>
  </si>
  <si>
    <t>="MUGH0001"</t>
  </si>
  <si>
    <t>="10123"</t>
  </si>
  <si>
    <t>="WEST0001"</t>
  </si>
  <si>
    <t>="10129"</t>
  </si>
  <si>
    <t>="11602"</t>
  </si>
  <si>
    <t>="SUPP"</t>
  </si>
  <si>
    <t>="DD000000000000000007"</t>
  </si>
  <si>
    <t>="DD000000000000000181"</t>
  </si>
  <si>
    <t>="FLOO0001"</t>
  </si>
  <si>
    <t>="10114"</t>
  </si>
  <si>
    <t>="TIBB0001"</t>
  </si>
  <si>
    <t>="10128"</t>
  </si>
  <si>
    <t>="YOUN0001"</t>
  </si>
  <si>
    <t>="10130"</t>
  </si>
  <si>
    <t>min width ----</t>
  </si>
  <si>
    <t>=NL("Rows","Jet Payroll Transactions",$P$11:$S$11,"+Check Date","@@"&amp;$G16,"Employee Class","@@"&amp;$E16,"Employee Number","@@"&amp;$F16,"Payroll Code",$K$8,"State",$K$9,"Check Number","@@"&amp;$H16)</t>
  </si>
  <si>
    <t>=SUBTOTAL(9,S16:S17)</t>
  </si>
  <si>
    <t>=SUBTOTAL(9,S16:S19)</t>
  </si>
  <si>
    <t>=SUBTOTAL(9,S16:S21)</t>
  </si>
  <si>
    <t>=SUBTOTAL(9,S16:S23)</t>
  </si>
  <si>
    <t>=SUBTOTAL(9,S16:S24)</t>
  </si>
  <si>
    <t>=NL("Rows","Jet Payroll Transactions",$P$11:$S$11,"+Check Date","@@"&amp;$G27,"Employee Class","@@"&amp;$E27,"Employee Number","@@"&amp;$F27,"Payroll Code",$K$8,"State",$K$9,"Check Number","@@"&amp;$H27)</t>
  </si>
  <si>
    <t>=SUBTOTAL(9,S27:S34)</t>
  </si>
  <si>
    <t>=NL("Rows","Jet Payroll Transactions",$P$11:$S$11,"+Check Date","@@"&amp;$G47,"Employee Class","@@"&amp;$E47,"Employee Number","@@"&amp;$F47,"Payroll Code",$K$8,"State",$K$9,"Check Number","@@"&amp;$H47)</t>
  </si>
  <si>
    <t>=NL("Rows","Jet Payroll Transactions",$P$11:$S$11,"+Check Date","@@"&amp;$G57,"Employee Class","@@"&amp;$E57,"Employee Number","@@"&amp;$F57,"Payroll Code",$K$8,"State",$K$9,"Check Number","@@"&amp;$H57)</t>
  </si>
  <si>
    <t>=SUBTOTAL(9,S57:S64)</t>
  </si>
  <si>
    <t>=NL("Rows","Jet Payroll Transactions",$P$11:$S$11,"+Check Date","@@"&amp;$G199,"Employee Class","@@"&amp;$E199,"Employee Number","@@"&amp;$F199,"Payroll Code",$K$8,"State",$K$9,"Check Number","@@"&amp;$H199)</t>
  </si>
  <si>
    <t>=NL("Rows","Jet Payroll Transactions",$P$11:$S$11,"+Check Date","@@"&amp;$G215,"Employee Class","@@"&amp;$E215,"Employee Number","@@"&amp;$F215,"Payroll Code",$K$8,"State",$K$9,"Check Number","@@"&amp;$H215)</t>
  </si>
  <si>
    <t>=SUBTOTAL(9,S215:S221)</t>
  </si>
  <si>
    <t>=NL("Rows","Jet Payroll Transactions",$P$11:$S$11,"+Check Date","@@"&amp;$G224,"Employee Class","@@"&amp;$E224,"Employee Number","@@"&amp;$F224,"Payroll Code",$K$8,"State",$K$9,"Check Number","@@"&amp;$H224)</t>
  </si>
  <si>
    <t>=NL("Rows","Jet Payroll Transactions",$P$11:$S$11,"+Check Date","@@"&amp;$G252,"Employee Class","@@"&amp;$E252,"Employee Number","@@"&amp;$F252,"Payroll Code",$K$8,"State",$K$9,"Check Number","@@"&amp;$H252)</t>
  </si>
  <si>
    <t>=NL("Rows","Jet Payroll Transactions",$P$11:$S$11,"+Check Date","@@"&amp;$G505,"Employee Class","@@"&amp;$E505,"Employee Number","@@"&amp;$F505,"Payroll Code",$K$8,"State",$K$9,"Check Number","@@"&amp;$H505)</t>
  </si>
  <si>
    <t>=SUBTOTAL(9,S505:S511)</t>
  </si>
  <si>
    <t>=NL("Rows","Jet Payroll Transactions",$P$11:$S$11,"+Check Date","@@"&amp;$G514,"Employee Class","@@"&amp;$E514,"Employee Number","@@"&amp;$F514,"Payroll Code",$K$8,"State",$K$9,"Check Number","@@"&amp;$H514)</t>
  </si>
  <si>
    <t>=NL("Rows","Jet Payroll Transactions",$P$11:$S$11,"+Check Date","@@"&amp;$G617,"Employee Class","@@"&amp;$E617,"Employee Number","@@"&amp;$F617,"Payroll Code",$K$8,"State",$K$9,"Check Number","@@"&amp;$H617)</t>
  </si>
  <si>
    <t>=NL("Rows","Jet Payroll Transactions",$P$11:$S$11,"+Check Date","@@"&amp;$G661,"Employee Class","@@"&amp;$E661,"Employee Number","@@"&amp;$F661,"Payroll Code",$K$8,"State",$K$9,"Check Number","@@"&amp;$H661)</t>
  </si>
  <si>
    <t>Report Options</t>
  </si>
  <si>
    <t>Hide+Auto</t>
  </si>
  <si>
    <t>=C65</t>
  </si>
  <si>
    <t>=D65</t>
  </si>
  <si>
    <t>=E65</t>
  </si>
  <si>
    <t>=F65</t>
  </si>
  <si>
    <t>=G66</t>
  </si>
  <si>
    <t>=H66</t>
  </si>
  <si>
    <t>=G68</t>
  </si>
  <si>
    <t>=H68</t>
  </si>
  <si>
    <t>=C88</t>
  </si>
  <si>
    <t>=D88</t>
  </si>
  <si>
    <t>=E88</t>
  </si>
  <si>
    <t>=F88</t>
  </si>
  <si>
    <t>=G88</t>
  </si>
  <si>
    <t>=H88</t>
  </si>
  <si>
    <t>=C95</t>
  </si>
  <si>
    <t>=D95</t>
  </si>
  <si>
    <t>=E95</t>
  </si>
  <si>
    <t>=F95</t>
  </si>
  <si>
    <t>=G95</t>
  </si>
  <si>
    <t>=H95</t>
  </si>
  <si>
    <t>=C104</t>
  </si>
  <si>
    <t>=D104</t>
  </si>
  <si>
    <t>=E104</t>
  </si>
  <si>
    <t>=F106</t>
  </si>
  <si>
    <t>=G106</t>
  </si>
  <si>
    <t>=H106</t>
  </si>
  <si>
    <t>=G107</t>
  </si>
  <si>
    <t>=H107</t>
  </si>
  <si>
    <t>=C115</t>
  </si>
  <si>
    <t>=D115</t>
  </si>
  <si>
    <t>=E115</t>
  </si>
  <si>
    <t>=F115</t>
  </si>
  <si>
    <t>=G115</t>
  </si>
  <si>
    <t>=H115</t>
  </si>
  <si>
    <t>=H117</t>
  </si>
  <si>
    <t>=O125</t>
  </si>
  <si>
    <t>=N125</t>
  </si>
  <si>
    <t>=NL(,"Jet Payroll Transactions","Check Date","Check Date",$K$5,"Employee Class","@@"&amp;$E125,"Employee Number","@@"&amp;$F125,"Payroll Code",$K$8,"State",$K$9,"Check Number","@@"&amp;$N125)</t>
  </si>
  <si>
    <t>=C125</t>
  </si>
  <si>
    <t>=D125</t>
  </si>
  <si>
    <t>=E125</t>
  </si>
  <si>
    <t>=F125</t>
  </si>
  <si>
    <t>=G125</t>
  </si>
  <si>
    <t>=H125</t>
  </si>
  <si>
    <t>=NL("Rows","Jet Payroll Transactions",$P$11:$S$11,"+Check Date","@@"&amp;$G126,"Employee Class","@@"&amp;$E126,"Employee Number","@@"&amp;$F126,"Payroll Code",$K$8,"State",$K$9,"Check Number","@@"&amp;$H126)</t>
  </si>
  <si>
    <t>=H127</t>
  </si>
  <si>
    <t>=C135</t>
  </si>
  <si>
    <t>=D135</t>
  </si>
  <si>
    <t>=C145</t>
  </si>
  <si>
    <t>=D145</t>
  </si>
  <si>
    <t>=E145</t>
  </si>
  <si>
    <t>=H147</t>
  </si>
  <si>
    <t>=C155</t>
  </si>
  <si>
    <t>=D155</t>
  </si>
  <si>
    <t>=E155</t>
  </si>
  <si>
    <t>=F155</t>
  </si>
  <si>
    <t>=G155</t>
  </si>
  <si>
    <t>=H155</t>
  </si>
  <si>
    <t>=G159</t>
  </si>
  <si>
    <t>=F159</t>
  </si>
  <si>
    <t>=G160</t>
  </si>
  <si>
    <t>=C167</t>
  </si>
  <si>
    <t>=D167</t>
  </si>
  <si>
    <t>=E167</t>
  </si>
  <si>
    <t>=F167</t>
  </si>
  <si>
    <t>=G167</t>
  </si>
  <si>
    <t>=H167</t>
  </si>
  <si>
    <t>=C204</t>
  </si>
  <si>
    <t>=D204</t>
  </si>
  <si>
    <t>=E204</t>
  </si>
  <si>
    <t>=F204</t>
  </si>
  <si>
    <t>=C206</t>
  </si>
  <si>
    <t>=D206</t>
  </si>
  <si>
    <t>=E206</t>
  </si>
  <si>
    <t>=F206</t>
  </si>
  <si>
    <t>=H206</t>
  </si>
  <si>
    <t>=G207</t>
  </si>
  <si>
    <t>=H207</t>
  </si>
  <si>
    <t>=G210</t>
  </si>
  <si>
    <t>=C211</t>
  </si>
  <si>
    <t>=D211</t>
  </si>
  <si>
    <t>=E211</t>
  </si>
  <si>
    <t>=F211</t>
  </si>
  <si>
    <t>=C212</t>
  </si>
  <si>
    <t>=D212</t>
  </si>
  <si>
    <t>=C229</t>
  </si>
  <si>
    <t>=D229</t>
  </si>
  <si>
    <t>=E229</t>
  </si>
  <si>
    <t>=F229</t>
  </si>
  <si>
    <t>=G229</t>
  </si>
  <si>
    <t>=H229</t>
  </si>
  <si>
    <t>=H231</t>
  </si>
  <si>
    <t>=C239</t>
  </si>
  <si>
    <t>=D239</t>
  </si>
  <si>
    <t>=E239</t>
  </si>
  <si>
    <t>=H241</t>
  </si>
  <si>
    <t>=C257</t>
  </si>
  <si>
    <t>=D257</t>
  </si>
  <si>
    <t>=E257</t>
  </si>
  <si>
    <t>=F257</t>
  </si>
  <si>
    <t>=G257</t>
  </si>
  <si>
    <t>=H257</t>
  </si>
  <si>
    <t>=C259</t>
  </si>
  <si>
    <t>=D259</t>
  </si>
  <si>
    <t>=E259</t>
  </si>
  <si>
    <t>=F259</t>
  </si>
  <si>
    <t>=H259</t>
  </si>
  <si>
    <t>="Total for " &amp; $H260</t>
  </si>
  <si>
    <t>=G260</t>
  </si>
  <si>
    <t>=F261</t>
  </si>
  <si>
    <t>="Total for " &amp; $F262</t>
  </si>
  <si>
    <t>=C267</t>
  </si>
  <si>
    <t>=D267</t>
  </si>
  <si>
    <t>=E267</t>
  </si>
  <si>
    <t>=F267</t>
  </si>
  <si>
    <t>=H269</t>
  </si>
  <si>
    <t>=C281</t>
  </si>
  <si>
    <t>=D281</t>
  </si>
  <si>
    <t>=E281</t>
  </si>
  <si>
    <t>=F281</t>
  </si>
  <si>
    <t>=G281</t>
  </si>
  <si>
    <t>=H281</t>
  </si>
  <si>
    <t>=C290</t>
  </si>
  <si>
    <t>=D290</t>
  </si>
  <si>
    <t>=E290</t>
  </si>
  <si>
    <t>=F290</t>
  </si>
  <si>
    <t>=G299</t>
  </si>
  <si>
    <t>=C304</t>
  </si>
  <si>
    <t>=D304</t>
  </si>
  <si>
    <t>=E304</t>
  </si>
  <si>
    <t>=F304</t>
  </si>
  <si>
    <t>=G304</t>
  </si>
  <si>
    <t>=H304</t>
  </si>
  <si>
    <t>=H306</t>
  </si>
  <si>
    <t>=C311</t>
  </si>
  <si>
    <t>=D311</t>
  </si>
  <si>
    <t>=E311</t>
  </si>
  <si>
    <t>=F311</t>
  </si>
  <si>
    <t>=F313</t>
  </si>
  <si>
    <t>=G314</t>
  </si>
  <si>
    <t>=H314</t>
  </si>
  <si>
    <t>=C319</t>
  </si>
  <si>
    <t>=D319</t>
  </si>
  <si>
    <t>=E319</t>
  </si>
  <si>
    <t>=F319</t>
  </si>
  <si>
    <t>=G319</t>
  </si>
  <si>
    <t>=H319</t>
  </si>
  <si>
    <t>="Total for " &amp; $H320</t>
  </si>
  <si>
    <t>=O321</t>
  </si>
  <si>
    <t>=N321</t>
  </si>
  <si>
    <t>=NL(,"Jet Payroll Transactions","Check Date","Check Date",$K$5,"Employee Class","@@"&amp;$E321,"Employee Number","@@"&amp;$F321,"Payroll Code",$K$8,"State",$K$9,"Check Number","@@"&amp;$N321)</t>
  </si>
  <si>
    <t>=H321</t>
  </si>
  <si>
    <t>=NL("Rows","Jet Payroll Transactions",$P$11:$S$11,"+Check Date","@@"&amp;$G322,"Employee Class","@@"&amp;$E322,"Employee Number","@@"&amp;$F322,"Payroll Code",$K$8,"State",$K$9,"Check Number","@@"&amp;$H322)</t>
  </si>
  <si>
    <t>=C326</t>
  </si>
  <si>
    <t>=D326</t>
  </si>
  <si>
    <t>=E326</t>
  </si>
  <si>
    <t>=F326</t>
  </si>
  <si>
    <t>=G326</t>
  </si>
  <si>
    <t>=H326</t>
  </si>
  <si>
    <t>=H328</t>
  </si>
  <si>
    <t>=C333</t>
  </si>
  <si>
    <t>=D333</t>
  </si>
  <si>
    <t>=E333</t>
  </si>
  <si>
    <t>=F333</t>
  </si>
  <si>
    <t>=C340</t>
  </si>
  <si>
    <t>=D340</t>
  </si>
  <si>
    <t>=E340</t>
  </si>
  <si>
    <t>=F340</t>
  </si>
  <si>
    <t>=G340</t>
  </si>
  <si>
    <t>=H340</t>
  </si>
  <si>
    <t>=H342</t>
  </si>
  <si>
    <t>=C349</t>
  </si>
  <si>
    <t>=D349</t>
  </si>
  <si>
    <t>=E349</t>
  </si>
  <si>
    <t>=F349</t>
  </si>
  <si>
    <t>=G350</t>
  </si>
  <si>
    <t>=H350</t>
  </si>
  <si>
    <t>=F351</t>
  </si>
  <si>
    <t>=G351</t>
  </si>
  <si>
    <t>=H351</t>
  </si>
  <si>
    <t>=G352</t>
  </si>
  <si>
    <t>=H352</t>
  </si>
  <si>
    <t>=C360</t>
  </si>
  <si>
    <t>=D360</t>
  </si>
  <si>
    <t>=E360</t>
  </si>
  <si>
    <t>=H362</t>
  </si>
  <si>
    <t>=C370</t>
  </si>
  <si>
    <t>=D370</t>
  </si>
  <si>
    <t>=E370</t>
  </si>
  <si>
    <t>=F370</t>
  </si>
  <si>
    <t>=H372</t>
  </si>
  <si>
    <t>=C381</t>
  </si>
  <si>
    <t>=D381</t>
  </si>
  <si>
    <t>=E381</t>
  </si>
  <si>
    <t>=F381</t>
  </si>
  <si>
    <t>=G381</t>
  </si>
  <si>
    <t>=H381</t>
  </si>
  <si>
    <t>=O389</t>
  </si>
  <si>
    <t>=N389</t>
  </si>
  <si>
    <t>=NL(,"Jet Payroll Transactions","Check Date","Check Date",$K$5,"Employee Class","@@"&amp;$E389,"Employee Number","@@"&amp;$F389,"Payroll Code",$K$8,"State",$K$9,"Check Number","@@"&amp;$N389)</t>
  </si>
  <si>
    <t>=NL("Rows","Jet Payroll Transactions",$P$11:$S$11,"+Check Date","@@"&amp;$G390,"Employee Class","@@"&amp;$E390,"Employee Number","@@"&amp;$F390,"Payroll Code",$K$8,"State",$K$9,"Check Number","@@"&amp;$H390)</t>
  </si>
  <si>
    <t>=C391</t>
  </si>
  <si>
    <t>=D391</t>
  </si>
  <si>
    <t>=E391</t>
  </si>
  <si>
    <t>=F391</t>
  </si>
  <si>
    <t>=G391</t>
  </si>
  <si>
    <t>=H391</t>
  </si>
  <si>
    <t>=H393</t>
  </si>
  <si>
    <t>=G402</t>
  </si>
  <si>
    <t>=C404</t>
  </si>
  <si>
    <t>=D404</t>
  </si>
  <si>
    <t>=E404</t>
  </si>
  <si>
    <t>=E406</t>
  </si>
  <si>
    <t>=F406</t>
  </si>
  <si>
    <t>=G406</t>
  </si>
  <si>
    <t>=H406</t>
  </si>
  <si>
    <t>=G407</t>
  </si>
  <si>
    <t>=C408</t>
  </si>
  <si>
    <t>=D408</t>
  </si>
  <si>
    <t>=E408</t>
  </si>
  <si>
    <t>=F408</t>
  </si>
  <si>
    <t>=C409</t>
  </si>
  <si>
    <t>=D409</t>
  </si>
  <si>
    <t>=E409</t>
  </si>
  <si>
    <t>=G411</t>
  </si>
  <si>
    <t>=H411</t>
  </si>
  <si>
    <t>=C416</t>
  </si>
  <si>
    <t>=D416</t>
  </si>
  <si>
    <t>=E416</t>
  </si>
  <si>
    <t>=F416</t>
  </si>
  <si>
    <t>=G416</t>
  </si>
  <si>
    <t>=H416</t>
  </si>
  <si>
    <t>=H418</t>
  </si>
  <si>
    <t>="Total for " &amp; $H419</t>
  </si>
  <si>
    <t>=O420</t>
  </si>
  <si>
    <t>=N420</t>
  </si>
  <si>
    <t>=NL(,"Jet Payroll Transactions","Check Date","Check Date",$K$5,"Employee Class","@@"&amp;$E420,"Employee Number","@@"&amp;$F420,"Payroll Code",$K$8,"State",$K$9,"Check Number","@@"&amp;$N420)</t>
  </si>
  <si>
    <t>=NL("Rows","Jet Payroll Transactions",$P$11:$S$11,"+Check Date","@@"&amp;$G421,"Employee Class","@@"&amp;$E421,"Employee Number","@@"&amp;$F421,"Payroll Code",$K$8,"State",$K$9,"Check Number","@@"&amp;$H421)</t>
  </si>
  <si>
    <t>=G424</t>
  </si>
  <si>
    <t>=G433</t>
  </si>
  <si>
    <t>=O437</t>
  </si>
  <si>
    <t>=N437</t>
  </si>
  <si>
    <t>=NL(,"Jet Payroll Transactions","Check Date","Check Date",$K$5,"Employee Class","@@"&amp;$E437,"Employee Number","@@"&amp;$F437,"Payroll Code",$K$8,"State",$K$9,"Check Number","@@"&amp;$N437)</t>
  </si>
  <si>
    <t>=NL("Rows","Jet Payroll Transactions",$P$11:$S$11,"+Check Date","@@"&amp;$G438,"Employee Class","@@"&amp;$E438,"Employee Number","@@"&amp;$F438,"Payroll Code",$K$8,"State",$K$9,"Check Number","@@"&amp;$H438)</t>
  </si>
  <si>
    <t>=C442</t>
  </si>
  <si>
    <t>=D442</t>
  </si>
  <si>
    <t>=E442</t>
  </si>
  <si>
    <t>=F442</t>
  </si>
  <si>
    <t>=G442</t>
  </si>
  <si>
    <t>=H442</t>
  </si>
  <si>
    <t>=C451</t>
  </si>
  <si>
    <t>=D451</t>
  </si>
  <si>
    <t>=E451</t>
  </si>
  <si>
    <t>=F451</t>
  </si>
  <si>
    <t>=G451</t>
  </si>
  <si>
    <t>=H451</t>
  </si>
  <si>
    <t>=H453</t>
  </si>
  <si>
    <t>=G456</t>
  </si>
  <si>
    <t>=C461</t>
  </si>
  <si>
    <t>=D461</t>
  </si>
  <si>
    <t>=C483</t>
  </si>
  <si>
    <t>=D483</t>
  </si>
  <si>
    <t>=E483</t>
  </si>
  <si>
    <t>=F483</t>
  </si>
  <si>
    <t>=G483</t>
  </si>
  <si>
    <t>=H483</t>
  </si>
  <si>
    <t>=H485</t>
  </si>
  <si>
    <t>=C492</t>
  </si>
  <si>
    <t>=D492</t>
  </si>
  <si>
    <t>=E492</t>
  </si>
  <si>
    <t>=F492</t>
  </si>
  <si>
    <t>=G492</t>
  </si>
  <si>
    <t>=H492</t>
  </si>
  <si>
    <t>=C501</t>
  </si>
  <si>
    <t>=D501</t>
  </si>
  <si>
    <t>=E501</t>
  </si>
  <si>
    <t>=F501</t>
  </si>
  <si>
    <t>=C515</t>
  </si>
  <si>
    <t>=D515</t>
  </si>
  <si>
    <t>=E515</t>
  </si>
  <si>
    <t>=F515</t>
  </si>
  <si>
    <t>=G515</t>
  </si>
  <si>
    <t>=H515</t>
  </si>
  <si>
    <t>=H517</t>
  </si>
  <si>
    <t>=C520</t>
  </si>
  <si>
    <t>=D520</t>
  </si>
  <si>
    <t>=E520</t>
  </si>
  <si>
    <t>=F520</t>
  </si>
  <si>
    <t>=G520</t>
  </si>
  <si>
    <t>=H520</t>
  </si>
  <si>
    <t>=C522</t>
  </si>
  <si>
    <t>=D522</t>
  </si>
  <si>
    <t>=E522</t>
  </si>
  <si>
    <t>=F522</t>
  </si>
  <si>
    <t>=H522</t>
  </si>
  <si>
    <t>=G523</t>
  </si>
  <si>
    <t>=G525</t>
  </si>
  <si>
    <t>=H525</t>
  </si>
  <si>
    <t>=C533</t>
  </si>
  <si>
    <t>=D533</t>
  </si>
  <si>
    <t>=E533</t>
  </si>
  <si>
    <t>=F533</t>
  </si>
  <si>
    <t>=G533</t>
  </si>
  <si>
    <t>=H533</t>
  </si>
  <si>
    <t>=H535</t>
  </si>
  <si>
    <t>=C543</t>
  </si>
  <si>
    <t>=D543</t>
  </si>
  <si>
    <t>=E543</t>
  </si>
  <si>
    <t>=F543</t>
  </si>
  <si>
    <t>=G543</t>
  </si>
  <si>
    <t>=H543</t>
  </si>
  <si>
    <t>=C553</t>
  </si>
  <si>
    <t>=D553</t>
  </si>
  <si>
    <t>=E553</t>
  </si>
  <si>
    <t>=F553</t>
  </si>
  <si>
    <t>=G553</t>
  </si>
  <si>
    <t>=H553</t>
  </si>
  <si>
    <t>=H555</t>
  </si>
  <si>
    <t>=C563</t>
  </si>
  <si>
    <t>=D563</t>
  </si>
  <si>
    <t>=E563</t>
  </si>
  <si>
    <t>=F563</t>
  </si>
  <si>
    <t>=G563</t>
  </si>
  <si>
    <t>=H563</t>
  </si>
  <si>
    <t>=H565</t>
  </si>
  <si>
    <t>="Total for " &amp; $H570</t>
  </si>
  <si>
    <t>=O571</t>
  </si>
  <si>
    <t>=N571</t>
  </si>
  <si>
    <t>=NL(,"Jet Payroll Transactions","Check Date","Check Date",$K$5,"Employee Class","@@"&amp;$E571,"Employee Number","@@"&amp;$F571,"Payroll Code",$K$8,"State",$K$9,"Check Number","@@"&amp;$N571)</t>
  </si>
  <si>
    <t>=NL("Rows","Jet Payroll Transactions",$P$11:$S$11,"+Check Date","@@"&amp;$G572,"Employee Class","@@"&amp;$E572,"Employee Number","@@"&amp;$F572,"Payroll Code",$K$8,"State",$K$9,"Check Number","@@"&amp;$H572)</t>
  </si>
  <si>
    <t>=C585</t>
  </si>
  <si>
    <t>=D585</t>
  </si>
  <si>
    <t>=E585</t>
  </si>
  <si>
    <t>=F585</t>
  </si>
  <si>
    <t>=G585</t>
  </si>
  <si>
    <t>=H585</t>
  </si>
  <si>
    <t>=H587</t>
  </si>
  <si>
    <t>=C595</t>
  </si>
  <si>
    <t>=D595</t>
  </si>
  <si>
    <t>=E595</t>
  </si>
  <si>
    <t>=C622</t>
  </si>
  <si>
    <t>=D622</t>
  </si>
  <si>
    <t>=E622</t>
  </si>
  <si>
    <t>=F622</t>
  </si>
  <si>
    <t>=G622</t>
  </si>
  <si>
    <t>=H622</t>
  </si>
  <si>
    <t>=G627</t>
  </si>
  <si>
    <t>=C632</t>
  </si>
  <si>
    <t>=D632</t>
  </si>
  <si>
    <t>=E632</t>
  </si>
  <si>
    <t>=F632</t>
  </si>
  <si>
    <t>=G632</t>
  </si>
  <si>
    <t>=H632</t>
  </si>
  <si>
    <t>=G635</t>
  </si>
  <si>
    <t>=H635</t>
  </si>
  <si>
    <t>=F636</t>
  </si>
  <si>
    <t>=G636</t>
  </si>
  <si>
    <t>=C642</t>
  </si>
  <si>
    <t>=D642</t>
  </si>
  <si>
    <t>=E642</t>
  </si>
  <si>
    <t>=F642</t>
  </si>
  <si>
    <t>=G642</t>
  </si>
  <si>
    <t>=H642</t>
  </si>
  <si>
    <t>=O650</t>
  </si>
  <si>
    <t>=N650</t>
  </si>
  <si>
    <t>=NL(,"Jet Payroll Transactions","Check Date","Check Date",$K$5,"Employee Class","@@"&amp;$E650,"Employee Number","@@"&amp;$F650,"Payroll Code",$K$8,"State",$K$9,"Check Number","@@"&amp;$N650)</t>
  </si>
  <si>
    <t>=C650</t>
  </si>
  <si>
    <t>=D650</t>
  </si>
  <si>
    <t>=E650</t>
  </si>
  <si>
    <t>=F650</t>
  </si>
  <si>
    <t>=G650</t>
  </si>
  <si>
    <t>=H650</t>
  </si>
  <si>
    <t>=NL("Rows","Jet Payroll Transactions",$P$11:$S$11,"+Check Date","@@"&amp;$G651,"Employee Class","@@"&amp;$E651,"Employee Number","@@"&amp;$F651,"Payroll Code",$K$8,"State",$K$9,"Check Number","@@"&amp;$H651)</t>
  </si>
  <si>
    <t>=H652</t>
  </si>
  <si>
    <t>=C664</t>
  </si>
  <si>
    <t>=D664</t>
  </si>
  <si>
    <t>=E664</t>
  </si>
  <si>
    <t>=F664</t>
  </si>
  <si>
    <t>=G664</t>
  </si>
  <si>
    <t>=H664</t>
  </si>
  <si>
    <t>=H666</t>
  </si>
  <si>
    <t>="1/1/2014..3/31/2014"</t>
  </si>
  <si>
    <t>="Total for " &amp; $F37</t>
  </si>
  <si>
    <t>=SUBTOTAL(9,S16:S36)</t>
  </si>
  <si>
    <t>=L38</t>
  </si>
  <si>
    <t>=M38</t>
  </si>
  <si>
    <t>=K38</t>
  </si>
  <si>
    <t>=NL(,"Jet Payroll Transactions","Employee First Name","Employee Number","@@"&amp;$K38)</t>
  </si>
  <si>
    <t>=NL(,"Jet Payroll Transactions","Employee Last Name","Employee Number","@@"&amp;$K38)</t>
  </si>
  <si>
    <t>=O39</t>
  </si>
  <si>
    <t>=N39</t>
  </si>
  <si>
    <t>=NL("Rows=4","Jet Payroll Transactions","Check Number","Check Date",$K$5,"Employee Class","@@"&amp;$E39,"Employee Number","@@"&amp;$F39,"Payroll Code",$K$8,"State",$K$9)</t>
  </si>
  <si>
    <t>=NL(,"Jet Payroll Transactions","Check Date","Check Date",$K$5,"Employee Class","@@"&amp;$E39,"Employee Number","@@"&amp;$F39,"Payroll Code",$K$8,"State",$K$9,"Check Number","@@"&amp;$N39)</t>
  </si>
  <si>
    <t>=NL("Rows","Jet Payroll Transactions",$P$11:$S$11,"+Check Date","@@"&amp;$G40,"Employee Class","@@"&amp;$E40,"Employee Number","@@"&amp;$F40,"Payroll Code",$K$8,"State",$K$9,"Check Number","@@"&amp;$H40)</t>
  </si>
  <si>
    <t>=SUBTOTAL(9,S40:S44)</t>
  </si>
  <si>
    <t>="Total for " &amp; $H52</t>
  </si>
  <si>
    <t>=SUBTOTAL(9,S47:S51)</t>
  </si>
  <si>
    <t>=C53</t>
  </si>
  <si>
    <t>=D53</t>
  </si>
  <si>
    <t>=E53</t>
  </si>
  <si>
    <t>=F53</t>
  </si>
  <si>
    <t>="Total for " &amp; $F54</t>
  </si>
  <si>
    <t>=SUBTOTAL(9,S40:S53)</t>
  </si>
  <si>
    <t>=L55</t>
  </si>
  <si>
    <t>=M55</t>
  </si>
  <si>
    <t>=K55</t>
  </si>
  <si>
    <t>=NL(,"Jet Payroll Transactions","Employee First Name","Employee Number","@@"&amp;$K55)</t>
  </si>
  <si>
    <t>=NL(,"Jet Payroll Transactions","Employee Last Name","Employee Number","@@"&amp;$K55)</t>
  </si>
  <si>
    <t>=NL("Rows=4","Jet Payroll Transactions","Check Number","Check Date",$K$5,"Employee Class","@@"&amp;$E56,"Employee Number","@@"&amp;$F56,"Payroll Code",$K$8,"State",$K$9)</t>
  </si>
  <si>
    <t>=O66</t>
  </si>
  <si>
    <t>=N66</t>
  </si>
  <si>
    <t>=NL(,"Jet Payroll Transactions","Check Date","Check Date",$K$5,"Employee Class","@@"&amp;$E66,"Employee Number","@@"&amp;$F66,"Payroll Code",$K$8,"State",$K$9,"Check Number","@@"&amp;$N66)</t>
  </si>
  <si>
    <t>=NL("Rows","Jet Payroll Transactions",$P$11:$S$11,"+Check Date","@@"&amp;$G67,"Employee Class","@@"&amp;$E67,"Employee Number","@@"&amp;$F67,"Payroll Code",$K$8,"State",$K$9,"Check Number","@@"&amp;$H67)</t>
  </si>
  <si>
    <t>=F67</t>
  </si>
  <si>
    <t>=G67</t>
  </si>
  <si>
    <t>=H67</t>
  </si>
  <si>
    <t>=SUBTOTAL(9,S67:S74)</t>
  </si>
  <si>
    <t>="Total for " &amp; $F77</t>
  </si>
  <si>
    <t>=SUBTOTAL(9,S57:S76)</t>
  </si>
  <si>
    <t>=L78</t>
  </si>
  <si>
    <t>=M78</t>
  </si>
  <si>
    <t>=K78</t>
  </si>
  <si>
    <t>=NL(,"Jet Payroll Transactions","Employee First Name","Employee Number","@@"&amp;$K78)</t>
  </si>
  <si>
    <t>=NL(,"Jet Payroll Transactions","Employee Last Name","Employee Number","@@"&amp;$K78)</t>
  </si>
  <si>
    <t>=O79</t>
  </si>
  <si>
    <t>=N79</t>
  </si>
  <si>
    <t>=NL("Rows=4","Jet Payroll Transactions","Check Number","Check Date",$K$5,"Employee Class","@@"&amp;$E79,"Employee Number","@@"&amp;$F79,"Payroll Code",$K$8,"State",$K$9)</t>
  </si>
  <si>
    <t>=NL(,"Jet Payroll Transactions","Check Date","Check Date",$K$5,"Employee Class","@@"&amp;$E79,"Employee Number","@@"&amp;$F79,"Payroll Code",$K$8,"State",$K$9,"Check Number","@@"&amp;$N79)</t>
  </si>
  <si>
    <t>=NL("Rows","Jet Payroll Transactions",$P$11:$S$11,"+Check Date","@@"&amp;$G80,"Employee Class","@@"&amp;$E80,"Employee Number","@@"&amp;$F80,"Payroll Code",$K$8,"State",$K$9,"Check Number","@@"&amp;$H80)</t>
  </si>
  <si>
    <t>=C80</t>
  </si>
  <si>
    <t>=D80</t>
  </si>
  <si>
    <t>=E80</t>
  </si>
  <si>
    <t>=F80</t>
  </si>
  <si>
    <t>=G80</t>
  </si>
  <si>
    <t>=H80</t>
  </si>
  <si>
    <t>=H82</t>
  </si>
  <si>
    <t>="Total for " &amp; $H87</t>
  </si>
  <si>
    <t>=SUBTOTAL(9,S80:S86)</t>
  </si>
  <si>
    <t>=O88</t>
  </si>
  <si>
    <t>=N88</t>
  </si>
  <si>
    <t>=NL(,"Jet Payroll Transactions","Check Date","Check Date",$K$5,"Employee Class","@@"&amp;$E88,"Employee Number","@@"&amp;$F88,"Payroll Code",$K$8,"State",$K$9,"Check Number","@@"&amp;$N88)</t>
  </si>
  <si>
    <t>=NL("Rows","Jet Payroll Transactions",$P$11:$S$11,"+Check Date","@@"&amp;$G89,"Employee Class","@@"&amp;$E89,"Employee Number","@@"&amp;$F89,"Payroll Code",$K$8,"State",$K$9,"Check Number","@@"&amp;$H89)</t>
  </si>
  <si>
    <t>=H90</t>
  </si>
  <si>
    <t>="Total for " &amp; $H96</t>
  </si>
  <si>
    <t>=SUBTOTAL(9,S89:S95)</t>
  </si>
  <si>
    <t>="Total for " &amp; $F98</t>
  </si>
  <si>
    <t>=SUBTOTAL(9,S80:S97)</t>
  </si>
  <si>
    <t>="Total for " &amp; $E100</t>
  </si>
  <si>
    <t>=SUBTOTAL(9,S16:S99)</t>
  </si>
  <si>
    <t>=J102</t>
  </si>
  <si>
    <t>=L103</t>
  </si>
  <si>
    <t>=M103</t>
  </si>
  <si>
    <t>=E102</t>
  </si>
  <si>
    <t>=K103</t>
  </si>
  <si>
    <t>=NL("Rows=7","Jet Payroll Transactions","Employee Number","Check Date",$K$5,"Employee Class","@@"&amp;$E103,"Employee Number",$K$7,"Payroll Code",$K$8,"State",$K$9)</t>
  </si>
  <si>
    <t>=NL(,"Jet Payroll Transactions","Employee First Name","Employee Number","@@"&amp;$K103)</t>
  </si>
  <si>
    <t>=NL(,"Jet Payroll Transactions","Employee Last Name","Employee Number","@@"&amp;$K103)</t>
  </si>
  <si>
    <t>=O104</t>
  </si>
  <si>
    <t>=N104</t>
  </si>
  <si>
    <t>=NL("Rows=4","Jet Payroll Transactions","Check Number","Check Date",$K$5,"Employee Class","@@"&amp;$E104,"Employee Number","@@"&amp;$F104,"Payroll Code",$K$8,"State",$K$9)</t>
  </si>
  <si>
    <t>=NL(,"Jet Payroll Transactions","Check Date","Check Date",$K$5,"Employee Class","@@"&amp;$E104,"Employee Number","@@"&amp;$F104,"Payroll Code",$K$8,"State",$K$9,"Check Number","@@"&amp;$N104)</t>
  </si>
  <si>
    <t>=F104</t>
  </si>
  <si>
    <t>=H104</t>
  </si>
  <si>
    <t>=NL("Rows","Jet Payroll Transactions",$P$11:$S$11,"+Check Date","@@"&amp;$G105,"Employee Class","@@"&amp;$E105,"Employee Number","@@"&amp;$F105,"Payroll Code",$K$8,"State",$K$9,"Check Number","@@"&amp;$H105)</t>
  </si>
  <si>
    <t>=G105</t>
  </si>
  <si>
    <t>=H105</t>
  </si>
  <si>
    <t>="Total for " &amp; $H112</t>
  </si>
  <si>
    <t>=SUBTOTAL(9,S105:S111)</t>
  </si>
  <si>
    <t>=O113</t>
  </si>
  <si>
    <t>=N113</t>
  </si>
  <si>
    <t>=NL(,"Jet Payroll Transactions","Check Date","Check Date",$K$5,"Employee Class","@@"&amp;$E113,"Employee Number","@@"&amp;$F113,"Payroll Code",$K$8,"State",$K$9,"Check Number","@@"&amp;$N113)</t>
  </si>
  <si>
    <t>=NL("Rows","Jet Payroll Transactions",$P$11:$S$11,"+Check Date","@@"&amp;$G114,"Employee Class","@@"&amp;$E114,"Employee Number","@@"&amp;$F114,"Payroll Code",$K$8,"State",$K$9,"Check Number","@@"&amp;$H114)</t>
  </si>
  <si>
    <t>="Total for " &amp; $H121</t>
  </si>
  <si>
    <t>=SUBTOTAL(9,S114:S120)</t>
  </si>
  <si>
    <t>="Total for " &amp; $F123</t>
  </si>
  <si>
    <t>=SUBTOTAL(9,S105:S122)</t>
  </si>
  <si>
    <t>=L124</t>
  </si>
  <si>
    <t>=M124</t>
  </si>
  <si>
    <t>=K124</t>
  </si>
  <si>
    <t>=NL(,"Jet Payroll Transactions","Employee First Name","Employee Number","@@"&amp;$K124)</t>
  </si>
  <si>
    <t>=NL(,"Jet Payroll Transactions","Employee Last Name","Employee Number","@@"&amp;$K124)</t>
  </si>
  <si>
    <t>=NL("Rows=4","Jet Payroll Transactions","Check Number","Check Date",$K$5,"Employee Class","@@"&amp;$E125,"Employee Number","@@"&amp;$F125,"Payroll Code",$K$8,"State",$K$9)</t>
  </si>
  <si>
    <t>="Total for " &amp; $H131</t>
  </si>
  <si>
    <t>=SUBTOTAL(9,S126:S130)</t>
  </si>
  <si>
    <t>=O132</t>
  </si>
  <si>
    <t>=N132</t>
  </si>
  <si>
    <t>=NL(,"Jet Payroll Transactions","Check Date","Check Date",$K$5,"Employee Class","@@"&amp;$E132,"Employee Number","@@"&amp;$F132,"Payroll Code",$K$8,"State",$K$9,"Check Number","@@"&amp;$N132)</t>
  </si>
  <si>
    <t>=NL("Rows","Jet Payroll Transactions",$P$11:$S$11,"+Check Date","@@"&amp;$G133,"Employee Class","@@"&amp;$E133,"Employee Number","@@"&amp;$F133,"Payroll Code",$K$8,"State",$K$9,"Check Number","@@"&amp;$H133)</t>
  </si>
  <si>
    <t>=E135</t>
  </si>
  <si>
    <t>=F135</t>
  </si>
  <si>
    <t>=G135</t>
  </si>
  <si>
    <t>=H135</t>
  </si>
  <si>
    <t>=H137</t>
  </si>
  <si>
    <t>="Total for " &amp; $H138</t>
  </si>
  <si>
    <t>=SUBTOTAL(9,S133:S137)</t>
  </si>
  <si>
    <t>=O139</t>
  </si>
  <si>
    <t>=N139</t>
  </si>
  <si>
    <t>=NL(,"Jet Payroll Transactions","Check Date","Check Date",$K$5,"Employee Class","@@"&amp;$E139,"Employee Number","@@"&amp;$F139,"Payroll Code",$K$8,"State",$K$9,"Check Number","@@"&amp;$N139)</t>
  </si>
  <si>
    <t>=NL("Rows","Jet Payroll Transactions",$P$11:$S$11,"+Check Date","@@"&amp;$G140,"Employee Class","@@"&amp;$E140,"Employee Number","@@"&amp;$F140,"Payroll Code",$K$8,"State",$K$9,"Check Number","@@"&amp;$H140)</t>
  </si>
  <si>
    <t>="Total for " &amp; $H143</t>
  </si>
  <si>
    <t>=SUBTOTAL(9,S140:S142)</t>
  </si>
  <si>
    <t>="Total for " &amp; $F145</t>
  </si>
  <si>
    <t>=SUBTOTAL(9,S126:S144)</t>
  </si>
  <si>
    <t>=L146</t>
  </si>
  <si>
    <t>=M146</t>
  </si>
  <si>
    <t>=K146</t>
  </si>
  <si>
    <t>=NL(,"Jet Payroll Transactions","Employee First Name","Employee Number","@@"&amp;$K146)</t>
  </si>
  <si>
    <t>=NL(,"Jet Payroll Transactions","Employee Last Name","Employee Number","@@"&amp;$K146)</t>
  </si>
  <si>
    <t>=O147</t>
  </si>
  <si>
    <t>=N147</t>
  </si>
  <si>
    <t>=NL("Rows=4","Jet Payroll Transactions","Check Number","Check Date",$K$5,"Employee Class","@@"&amp;$E147,"Employee Number","@@"&amp;$F147,"Payroll Code",$K$8,"State",$K$9)</t>
  </si>
  <si>
    <t>=NL(,"Jet Payroll Transactions","Check Date","Check Date",$K$5,"Employee Class","@@"&amp;$E147,"Employee Number","@@"&amp;$F147,"Payroll Code",$K$8,"State",$K$9,"Check Number","@@"&amp;$N147)</t>
  </si>
  <si>
    <t>=NL("Rows","Jet Payroll Transactions",$P$11:$S$11,"+Check Date","@@"&amp;$G148,"Employee Class","@@"&amp;$E148,"Employee Number","@@"&amp;$F148,"Payroll Code",$K$8,"State",$K$9,"Check Number","@@"&amp;$H148)</t>
  </si>
  <si>
    <t>="Total for " &amp; $H153</t>
  </si>
  <si>
    <t>=SUBTOTAL(9,S148:S152)</t>
  </si>
  <si>
    <t>=O154</t>
  </si>
  <si>
    <t>=N154</t>
  </si>
  <si>
    <t>=NL(,"Jet Payroll Transactions","Check Date","Check Date",$K$5,"Employee Class","@@"&amp;$E154,"Employee Number","@@"&amp;$F154,"Payroll Code",$K$8,"State",$K$9,"Check Number","@@"&amp;$N154)</t>
  </si>
  <si>
    <t>=NL("Rows","Jet Payroll Transactions",$P$11:$S$11,"+Check Date","@@"&amp;$G155,"Employee Class","@@"&amp;$E155,"Employee Number","@@"&amp;$F155,"Payroll Code",$K$8,"State",$K$9,"Check Number","@@"&amp;$H155)</t>
  </si>
  <si>
    <t>=C157</t>
  </si>
  <si>
    <t>=D157</t>
  </si>
  <si>
    <t>=E157</t>
  </si>
  <si>
    <t>=F157</t>
  </si>
  <si>
    <t>=H157</t>
  </si>
  <si>
    <t>=H159</t>
  </si>
  <si>
    <t>="Total for " &amp; $H160</t>
  </si>
  <si>
    <t>=SUBTOTAL(9,S155:S159)</t>
  </si>
  <si>
    <t>="Total for " &amp; $F162</t>
  </si>
  <si>
    <t>=SUBTOTAL(9,S148:S161)</t>
  </si>
  <si>
    <t>=L163</t>
  </si>
  <si>
    <t>=M163</t>
  </si>
  <si>
    <t>=K163</t>
  </si>
  <si>
    <t>=NL(,"Jet Payroll Transactions","Employee First Name","Employee Number","@@"&amp;$K163)</t>
  </si>
  <si>
    <t>=NL(,"Jet Payroll Transactions","Employee Last Name","Employee Number","@@"&amp;$K163)</t>
  </si>
  <si>
    <t>=O164</t>
  </si>
  <si>
    <t>=N164</t>
  </si>
  <si>
    <t>=NL("Rows=4","Jet Payroll Transactions","Check Number","Check Date",$K$5,"Employee Class","@@"&amp;$E164,"Employee Number","@@"&amp;$F164,"Payroll Code",$K$8,"State",$K$9)</t>
  </si>
  <si>
    <t>=NL(,"Jet Payroll Transactions","Check Date","Check Date",$K$5,"Employee Class","@@"&amp;$E164,"Employee Number","@@"&amp;$F164,"Payroll Code",$K$8,"State",$K$9,"Check Number","@@"&amp;$N164)</t>
  </si>
  <si>
    <t>=NL("Rows","Jet Payroll Transactions",$P$11:$S$11,"+Check Date","@@"&amp;$G165,"Employee Class","@@"&amp;$E165,"Employee Number","@@"&amp;$F165,"Payroll Code",$K$8,"State",$K$9,"Check Number","@@"&amp;$H165)</t>
  </si>
  <si>
    <t>=H169</t>
  </si>
  <si>
    <t>="Total for " &amp; $H173</t>
  </si>
  <si>
    <t>=SUBTOTAL(9,S165:S172)</t>
  </si>
  <si>
    <t>=O174</t>
  </si>
  <si>
    <t>=N174</t>
  </si>
  <si>
    <t>=NL(,"Jet Payroll Transactions","Check Date","Check Date",$K$5,"Employee Class","@@"&amp;$E174,"Employee Number","@@"&amp;$F174,"Payroll Code",$K$8,"State",$K$9,"Check Number","@@"&amp;$N174)</t>
  </si>
  <si>
    <t>=NL("Rows","Jet Payroll Transactions",$P$11:$S$11,"+Check Date","@@"&amp;$G175,"Employee Class","@@"&amp;$E175,"Employee Number","@@"&amp;$F175,"Payroll Code",$K$8,"State",$K$9,"Check Number","@@"&amp;$H175)</t>
  </si>
  <si>
    <t>=C176</t>
  </si>
  <si>
    <t>=D176</t>
  </si>
  <si>
    <t>=E176</t>
  </si>
  <si>
    <t>=F176</t>
  </si>
  <si>
    <t>=G176</t>
  </si>
  <si>
    <t>=H176</t>
  </si>
  <si>
    <t>=H178</t>
  </si>
  <si>
    <t>="Total for " &amp; $H183</t>
  </si>
  <si>
    <t>=SUBTOTAL(9,S175:S182)</t>
  </si>
  <si>
    <t>="Total for " &amp; $F185</t>
  </si>
  <si>
    <t>=C185</t>
  </si>
  <si>
    <t>=D185</t>
  </si>
  <si>
    <t>=SUBTOTAL(9,S165:S184)</t>
  </si>
  <si>
    <t>="Total for " &amp; $E187</t>
  </si>
  <si>
    <t>=SUBTOTAL(9,S105:S186)</t>
  </si>
  <si>
    <t>=J189</t>
  </si>
  <si>
    <t>=L190</t>
  </si>
  <si>
    <t>=M190</t>
  </si>
  <si>
    <t>=K190</t>
  </si>
  <si>
    <t>=NL("Rows=7","Jet Payroll Transactions","Employee Number","Check Date",$K$5,"Employee Class","@@"&amp;$E190,"Employee Number",$K$7,"Payroll Code",$K$8,"State",$K$9)</t>
  </si>
  <si>
    <t>=NL(,"Jet Payroll Transactions","Employee First Name","Employee Number","@@"&amp;$K190)</t>
  </si>
  <si>
    <t>=NL(,"Jet Payroll Transactions","Employee Last Name","Employee Number","@@"&amp;$K190)</t>
  </si>
  <si>
    <t>=O191</t>
  </si>
  <si>
    <t>=N191</t>
  </si>
  <si>
    <t>=NL("Rows=4","Jet Payroll Transactions","Check Number","Check Date",$K$5,"Employee Class","@@"&amp;$E191,"Employee Number","@@"&amp;$F191,"Payroll Code",$K$8,"State",$K$9)</t>
  </si>
  <si>
    <t>=NL(,"Jet Payroll Transactions","Check Date","Check Date",$K$5,"Employee Class","@@"&amp;$E191,"Employee Number","@@"&amp;$F191,"Payroll Code",$K$8,"State",$K$9,"Check Number","@@"&amp;$N191)</t>
  </si>
  <si>
    <t>=NL("Rows","Jet Payroll Transactions",$P$11:$S$11,"+Check Date","@@"&amp;$G192,"Employee Class","@@"&amp;$E192,"Employee Number","@@"&amp;$F192,"Payroll Code",$K$8,"State",$K$9,"Check Number","@@"&amp;$H192)</t>
  </si>
  <si>
    <t>=SUBTOTAL(9,S192:S196)</t>
  </si>
  <si>
    <t>=G204</t>
  </si>
  <si>
    <t>=H204</t>
  </si>
  <si>
    <t>="Total for " &amp; $H205</t>
  </si>
  <si>
    <t>=SUBTOTAL(9,S199:S204)</t>
  </si>
  <si>
    <t>=O206</t>
  </si>
  <si>
    <t>=N206</t>
  </si>
  <si>
    <t>=NL(,"Jet Payroll Transactions","Check Date","Check Date",$K$5,"Employee Class","@@"&amp;$E206,"Employee Number","@@"&amp;$F206,"Payroll Code",$K$8,"State",$K$9,"Check Number","@@"&amp;$N206)</t>
  </si>
  <si>
    <t>=NL("Rows","Jet Payroll Transactions",$P$11:$S$11,"+Check Date","@@"&amp;$G207,"Employee Class","@@"&amp;$E207,"Employee Number","@@"&amp;$F207,"Payroll Code",$K$8,"State",$K$9,"Check Number","@@"&amp;$H207)</t>
  </si>
  <si>
    <t>=C209</t>
  </si>
  <si>
    <t>=D209</t>
  </si>
  <si>
    <t>=F209</t>
  </si>
  <si>
    <t>=G209</t>
  </si>
  <si>
    <t>=H209</t>
  </si>
  <si>
    <t>="Total for " &amp; $H210</t>
  </si>
  <si>
    <t>=SUBTOTAL(9,S207:S209)</t>
  </si>
  <si>
    <t>="Total for " &amp; $F212</t>
  </si>
  <si>
    <t>=SUBTOTAL(9,S192:S211)</t>
  </si>
  <si>
    <t>="Total for " &amp; $H232</t>
  </si>
  <si>
    <t>=SUBTOTAL(9,S224:S231)</t>
  </si>
  <si>
    <t>=O233</t>
  </si>
  <si>
    <t>=N233</t>
  </si>
  <si>
    <t>=NL(,"Jet Payroll Transactions","Check Date","Check Date",$K$5,"Employee Class","@@"&amp;$E233,"Employee Number","@@"&amp;$F233,"Payroll Code",$K$8,"State",$K$9,"Check Number","@@"&amp;$N233)</t>
  </si>
  <si>
    <t>=NL("Rows","Jet Payroll Transactions",$P$11:$S$11,"+Check Date","@@"&amp;$G234,"Employee Class","@@"&amp;$E234,"Employee Number","@@"&amp;$F234,"Payroll Code",$K$8,"State",$K$9,"Check Number","@@"&amp;$H234)</t>
  </si>
  <si>
    <t>="Total for " &amp; $H237</t>
  </si>
  <si>
    <t>=SUBTOTAL(9,S234:S236)</t>
  </si>
  <si>
    <t>="Total for " &amp; $F239</t>
  </si>
  <si>
    <t>=SUBTOTAL(9,S215:S238)</t>
  </si>
  <si>
    <t>=L240</t>
  </si>
  <si>
    <t>=M240</t>
  </si>
  <si>
    <t>=K240</t>
  </si>
  <si>
    <t>=NL(,"Jet Payroll Transactions","Employee First Name","Employee Number","@@"&amp;$K240)</t>
  </si>
  <si>
    <t>=NL(,"Jet Payroll Transactions","Employee Last Name","Employee Number","@@"&amp;$K240)</t>
  </si>
  <si>
    <t>=O241</t>
  </si>
  <si>
    <t>=N241</t>
  </si>
  <si>
    <t>=NL("Rows=4","Jet Payroll Transactions","Check Number","Check Date",$K$5,"Employee Class","@@"&amp;$E241,"Employee Number","@@"&amp;$F241,"Payroll Code",$K$8,"State",$K$9)</t>
  </si>
  <si>
    <t>=NL(,"Jet Payroll Transactions","Check Date","Check Date",$K$5,"Employee Class","@@"&amp;$E241,"Employee Number","@@"&amp;$F241,"Payroll Code",$K$8,"State",$K$9,"Check Number","@@"&amp;$N241)</t>
  </si>
  <si>
    <t>=NL("Rows","Jet Payroll Transactions",$P$11:$S$11,"+Check Date","@@"&amp;$G242,"Employee Class","@@"&amp;$E242,"Employee Number","@@"&amp;$F242,"Payroll Code",$K$8,"State",$K$9,"Check Number","@@"&amp;$H242)</t>
  </si>
  <si>
    <t>=SUBTOTAL(9,S242:S249)</t>
  </si>
  <si>
    <t>=SUBTOTAL(9,S252:S259)</t>
  </si>
  <si>
    <t>=SUBTOTAL(9,S242:S261)</t>
  </si>
  <si>
    <t>=L263</t>
  </si>
  <si>
    <t>=M263</t>
  </si>
  <si>
    <t>=K263</t>
  </si>
  <si>
    <t>=NL(,"Jet Payroll Transactions","Employee First Name","Employee Number","@@"&amp;$K263)</t>
  </si>
  <si>
    <t>=NL(,"Jet Payroll Transactions","Employee Last Name","Employee Number","@@"&amp;$K263)</t>
  </si>
  <si>
    <t>=O264</t>
  </si>
  <si>
    <t>=N264</t>
  </si>
  <si>
    <t>=NL("Rows=4","Jet Payroll Transactions","Check Number","Check Date",$K$5,"Employee Class","@@"&amp;$E264,"Employee Number","@@"&amp;$F264,"Payroll Code",$K$8,"State",$K$9)</t>
  </si>
  <si>
    <t>=NL(,"Jet Payroll Transactions","Check Date","Check Date",$K$5,"Employee Class","@@"&amp;$E264,"Employee Number","@@"&amp;$F264,"Payroll Code",$K$8,"State",$K$9,"Check Number","@@"&amp;$N264)</t>
  </si>
  <si>
    <t>=NL("Rows","Jet Payroll Transactions",$P$11:$S$11,"+Check Date","@@"&amp;$G265,"Employee Class","@@"&amp;$E265,"Employee Number","@@"&amp;$F265,"Payroll Code",$K$8,"State",$K$9,"Check Number","@@"&amp;$H265)</t>
  </si>
  <si>
    <t>=G267</t>
  </si>
  <si>
    <t>=H267</t>
  </si>
  <si>
    <t>="Total for " &amp; $H272</t>
  </si>
  <si>
    <t>=SUBTOTAL(9,S265:S271)</t>
  </si>
  <si>
    <t>=O273</t>
  </si>
  <si>
    <t>=N273</t>
  </si>
  <si>
    <t>=NL(,"Jet Payroll Transactions","Check Date","Check Date",$K$5,"Employee Class","@@"&amp;$E273,"Employee Number","@@"&amp;$F273,"Payroll Code",$K$8,"State",$K$9,"Check Number","@@"&amp;$N273)</t>
  </si>
  <si>
    <t>=NL("Rows","Jet Payroll Transactions",$P$11:$S$11,"+Check Date","@@"&amp;$G274,"Employee Class","@@"&amp;$E274,"Employee Number","@@"&amp;$F274,"Payroll Code",$K$8,"State",$K$9,"Check Number","@@"&amp;$H274)</t>
  </si>
  <si>
    <t>=C274</t>
  </si>
  <si>
    <t>=D274</t>
  </si>
  <si>
    <t>=E274</t>
  </si>
  <si>
    <t>=F274</t>
  </si>
  <si>
    <t>=G274</t>
  </si>
  <si>
    <t>=H274</t>
  </si>
  <si>
    <t>=H276</t>
  </si>
  <si>
    <t>="Total for " &amp; $H282</t>
  </si>
  <si>
    <t>=SUBTOTAL(9,S274:S281)</t>
  </si>
  <si>
    <t>=O283</t>
  </si>
  <si>
    <t>=N283</t>
  </si>
  <si>
    <t>=NL(,"Jet Payroll Transactions","Check Date","Check Date",$K$5,"Employee Class","@@"&amp;$E283,"Employee Number","@@"&amp;$F283,"Payroll Code",$K$8,"State",$K$9,"Check Number","@@"&amp;$N283)</t>
  </si>
  <si>
    <t>=H283</t>
  </si>
  <si>
    <t>=NL("Rows","Jet Payroll Transactions",$P$11:$S$11,"+Check Date","@@"&amp;$G284,"Employee Class","@@"&amp;$E284,"Employee Number","@@"&amp;$F284,"Payroll Code",$K$8,"State",$K$9,"Check Number","@@"&amp;$H284)</t>
  </si>
  <si>
    <t>="Total for " &amp; $H287</t>
  </si>
  <si>
    <t>=SUBTOTAL(9,S284:S286)</t>
  </si>
  <si>
    <t>="Total for " &amp; $F289</t>
  </si>
  <si>
    <t>=SUBTOTAL(9,S265:S288)</t>
  </si>
  <si>
    <t>=L290</t>
  </si>
  <si>
    <t>=M290</t>
  </si>
  <si>
    <t>=K290</t>
  </si>
  <si>
    <t>=NL(,"Jet Payroll Transactions","Employee First Name","Employee Number","@@"&amp;$K290)</t>
  </si>
  <si>
    <t>=NL(,"Jet Payroll Transactions","Employee Last Name","Employee Number","@@"&amp;$K290)</t>
  </si>
  <si>
    <t>=O291</t>
  </si>
  <si>
    <t>=N291</t>
  </si>
  <si>
    <t>=NL("Rows=4","Jet Payroll Transactions","Check Number","Check Date",$K$5,"Employee Class","@@"&amp;$E291,"Employee Number","@@"&amp;$F291,"Payroll Code",$K$8,"State",$K$9)</t>
  </si>
  <si>
    <t>=NL(,"Jet Payroll Transactions","Check Date","Check Date",$K$5,"Employee Class","@@"&amp;$E291,"Employee Number","@@"&amp;$F291,"Payroll Code",$K$8,"State",$K$9,"Check Number","@@"&amp;$N291)</t>
  </si>
  <si>
    <t>=NL("Rows","Jet Payroll Transactions",$P$11:$S$11,"+Check Date","@@"&amp;$G292,"Employee Class","@@"&amp;$E292,"Employee Number","@@"&amp;$F292,"Payroll Code",$K$8,"State",$K$9,"Check Number","@@"&amp;$H292)</t>
  </si>
  <si>
    <t>=H292</t>
  </si>
  <si>
    <t>="Total for " &amp; $H297</t>
  </si>
  <si>
    <t>=SUBTOTAL(9,S292:S296)</t>
  </si>
  <si>
    <t>=O298</t>
  </si>
  <si>
    <t>=N298</t>
  </si>
  <si>
    <t>=NL(,"Jet Payroll Transactions","Check Date","Check Date",$K$5,"Employee Class","@@"&amp;$E298,"Employee Number","@@"&amp;$F298,"Payroll Code",$K$8,"State",$K$9,"Check Number","@@"&amp;$N298)</t>
  </si>
  <si>
    <t>=NL("Rows","Jet Payroll Transactions",$P$11:$S$11,"+Check Date","@@"&amp;$G299,"Employee Class","@@"&amp;$E299,"Employee Number","@@"&amp;$F299,"Payroll Code",$K$8,"State",$K$9,"Check Number","@@"&amp;$H299)</t>
  </si>
  <si>
    <t>=C299</t>
  </si>
  <si>
    <t>=D299</t>
  </si>
  <si>
    <t>=E299</t>
  </si>
  <si>
    <t>=F299</t>
  </si>
  <si>
    <t>=H299</t>
  </si>
  <si>
    <t>=H301</t>
  </si>
  <si>
    <t>="Total for " &amp; $H305</t>
  </si>
  <si>
    <t>=SUBTOTAL(9,S299:S304)</t>
  </si>
  <si>
    <t>=O306</t>
  </si>
  <si>
    <t>=N306</t>
  </si>
  <si>
    <t>=NL(,"Jet Payroll Transactions","Check Date","Check Date",$K$5,"Employee Class","@@"&amp;$E306,"Employee Number","@@"&amp;$F306,"Payroll Code",$K$8,"State",$K$9,"Check Number","@@"&amp;$N306)</t>
  </si>
  <si>
    <t>=NL("Rows","Jet Payroll Transactions",$P$11:$S$11,"+Check Date","@@"&amp;$G307,"Employee Class","@@"&amp;$E307,"Employee Number","@@"&amp;$F307,"Payroll Code",$K$8,"State",$K$9,"Check Number","@@"&amp;$H307)</t>
  </si>
  <si>
    <t>=C309</t>
  </si>
  <si>
    <t>=D309</t>
  </si>
  <si>
    <t>=E309</t>
  </si>
  <si>
    <t>=F309</t>
  </si>
  <si>
    <t>=G309</t>
  </si>
  <si>
    <t>=H309</t>
  </si>
  <si>
    <t>="Total for " &amp; $H310</t>
  </si>
  <si>
    <t>=SUBTOTAL(9,S307:S309)</t>
  </si>
  <si>
    <t>="Total for " &amp; $F312</t>
  </si>
  <si>
    <t>=SUBTOTAL(9,S292:S311)</t>
  </si>
  <si>
    <t>=L313</t>
  </si>
  <si>
    <t>=M313</t>
  </si>
  <si>
    <t>=K313</t>
  </si>
  <si>
    <t>=NL(,"Jet Payroll Transactions","Employee First Name","Employee Number","@@"&amp;$K313)</t>
  </si>
  <si>
    <t>=NL(,"Jet Payroll Transactions","Employee Last Name","Employee Number","@@"&amp;$K313)</t>
  </si>
  <si>
    <t>=O314</t>
  </si>
  <si>
    <t>=N314</t>
  </si>
  <si>
    <t>=NL("Rows=4","Jet Payroll Transactions","Check Number","Check Date",$K$5,"Employee Class","@@"&amp;$E314,"Employee Number","@@"&amp;$F314,"Payroll Code",$K$8,"State",$K$9)</t>
  </si>
  <si>
    <t>=NL(,"Jet Payroll Transactions","Check Date","Check Date",$K$5,"Employee Class","@@"&amp;$E314,"Employee Number","@@"&amp;$F314,"Payroll Code",$K$8,"State",$K$9,"Check Number","@@"&amp;$N314)</t>
  </si>
  <si>
    <t>=NL("Rows","Jet Payroll Transactions",$P$11:$S$11,"+Check Date","@@"&amp;$G315,"Employee Class","@@"&amp;$E315,"Employee Number","@@"&amp;$F315,"Payroll Code",$K$8,"State",$K$9,"Check Number","@@"&amp;$H315)</t>
  </si>
  <si>
    <t>=SUBTOTAL(9,S315:S319)</t>
  </si>
  <si>
    <t>="Total for " &amp; $H327</t>
  </si>
  <si>
    <t>=SUBTOTAL(9,S322:S326)</t>
  </si>
  <si>
    <t>=O328</t>
  </si>
  <si>
    <t>=N328</t>
  </si>
  <si>
    <t>=NL(,"Jet Payroll Transactions","Check Date","Check Date",$K$5,"Employee Class","@@"&amp;$E328,"Employee Number","@@"&amp;$F328,"Payroll Code",$K$8,"State",$K$9,"Check Number","@@"&amp;$N328)</t>
  </si>
  <si>
    <t>=NL("Rows","Jet Payroll Transactions",$P$11:$S$11,"+Check Date","@@"&amp;$G329,"Employee Class","@@"&amp;$E329,"Employee Number","@@"&amp;$F329,"Payroll Code",$K$8,"State",$K$9,"Check Number","@@"&amp;$H329)</t>
  </si>
  <si>
    <t>="Total for " &amp; $H332</t>
  </si>
  <si>
    <t>=SUBTOTAL(9,S329:S331)</t>
  </si>
  <si>
    <t>="Total for " &amp; $F334</t>
  </si>
  <si>
    <t>=SUBTOTAL(9,S315:S333)</t>
  </si>
  <si>
    <t>="Total for " &amp; $E336</t>
  </si>
  <si>
    <t>=SUBTOTAL(9,S192:S335)</t>
  </si>
  <si>
    <t>=J338</t>
  </si>
  <si>
    <t>=L339</t>
  </si>
  <si>
    <t>=M339</t>
  </si>
  <si>
    <t>=K339</t>
  </si>
  <si>
    <t>=NL("Rows=7","Jet Payroll Transactions","Employee Number","Check Date",$K$5,"Employee Class","@@"&amp;$E339,"Employee Number",$K$7,"Payroll Code",$K$8,"State",$K$9)</t>
  </si>
  <si>
    <t>=NL(,"Jet Payroll Transactions","Employee First Name","Employee Number","@@"&amp;$K339)</t>
  </si>
  <si>
    <t>=NL(,"Jet Payroll Transactions","Employee Last Name","Employee Number","@@"&amp;$K339)</t>
  </si>
  <si>
    <t>=O340</t>
  </si>
  <si>
    <t>=N340</t>
  </si>
  <si>
    <t>=NL("Rows=4","Jet Payroll Transactions","Check Number","Check Date",$K$5,"Employee Class","@@"&amp;$E340,"Employee Number","@@"&amp;$F340,"Payroll Code",$K$8,"State",$K$9)</t>
  </si>
  <si>
    <t>=NL(,"Jet Payroll Transactions","Check Date","Check Date",$K$5,"Employee Class","@@"&amp;$E340,"Employee Number","@@"&amp;$F340,"Payroll Code",$K$8,"State",$K$9,"Check Number","@@"&amp;$N340)</t>
  </si>
  <si>
    <t>=NL("Rows","Jet Payroll Transactions",$P$11:$S$11,"+Check Date","@@"&amp;$G341,"Employee Class","@@"&amp;$E341,"Employee Number","@@"&amp;$F341,"Payroll Code",$K$8,"State",$K$9,"Check Number","@@"&amp;$H341)</t>
  </si>
  <si>
    <t>=SUBTOTAL(9,S341:S348)</t>
  </si>
  <si>
    <t>=O350</t>
  </si>
  <si>
    <t>=N350</t>
  </si>
  <si>
    <t>=NL(,"Jet Payroll Transactions","Check Date","Check Date",$K$5,"Employee Class","@@"&amp;$E350,"Employee Number","@@"&amp;$F350,"Payroll Code",$K$8,"State",$K$9,"Check Number","@@"&amp;$N350)</t>
  </si>
  <si>
    <t>=NL("Rows","Jet Payroll Transactions",$P$11:$S$11,"+Check Date","@@"&amp;$G351,"Employee Class","@@"&amp;$E351,"Employee Number","@@"&amp;$F351,"Payroll Code",$K$8,"State",$K$9,"Check Number","@@"&amp;$H351)</t>
  </si>
  <si>
    <t>="Total for " &amp; $H358</t>
  </si>
  <si>
    <t>=SUBTOTAL(9,S351:S357)</t>
  </si>
  <si>
    <t>="Total for " &amp; $F360</t>
  </si>
  <si>
    <t>=SUBTOTAL(9,S341:S359)</t>
  </si>
  <si>
    <t>=L361</t>
  </si>
  <si>
    <t>=M361</t>
  </si>
  <si>
    <t>=K361</t>
  </si>
  <si>
    <t>=NL(,"Jet Payroll Transactions","Employee First Name","Employee Number","@@"&amp;$K361)</t>
  </si>
  <si>
    <t>=NL(,"Jet Payroll Transactions","Employee Last Name","Employee Number","@@"&amp;$K361)</t>
  </si>
  <si>
    <t>=O362</t>
  </si>
  <si>
    <t>=N362</t>
  </si>
  <si>
    <t>=NL("Rows=4","Jet Payroll Transactions","Check Number","Check Date",$K$5,"Employee Class","@@"&amp;$E362,"Employee Number","@@"&amp;$F362,"Payroll Code",$K$8,"State",$K$9)</t>
  </si>
  <si>
    <t>=NL(,"Jet Payroll Transactions","Check Date","Check Date",$K$5,"Employee Class","@@"&amp;$E362,"Employee Number","@@"&amp;$F362,"Payroll Code",$K$8,"State",$K$9,"Check Number","@@"&amp;$N362)</t>
  </si>
  <si>
    <t>=NL("Rows","Jet Payroll Transactions",$P$11:$S$11,"+Check Date","@@"&amp;$G363,"Employee Class","@@"&amp;$E363,"Employee Number","@@"&amp;$F363,"Payroll Code",$K$8,"State",$K$9,"Check Number","@@"&amp;$H363)</t>
  </si>
  <si>
    <t>=G370</t>
  </si>
  <si>
    <t>=H370</t>
  </si>
  <si>
    <t>="Total for " &amp; $H371</t>
  </si>
  <si>
    <t>=SUBTOTAL(9,S363:S370)</t>
  </si>
  <si>
    <t>=O372</t>
  </si>
  <si>
    <t>=N372</t>
  </si>
  <si>
    <t>=NL(,"Jet Payroll Transactions","Check Date","Check Date",$K$5,"Employee Class","@@"&amp;$E372,"Employee Number","@@"&amp;$F372,"Payroll Code",$K$8,"State",$K$9,"Check Number","@@"&amp;$N372)</t>
  </si>
  <si>
    <t>=NL("Rows","Jet Payroll Transactions",$P$11:$S$11,"+Check Date","@@"&amp;$G373,"Employee Class","@@"&amp;$E373,"Employee Number","@@"&amp;$F373,"Payroll Code",$K$8,"State",$K$9,"Check Number","@@"&amp;$H373)</t>
  </si>
  <si>
    <t>="Total for " &amp; $H380</t>
  </si>
  <si>
    <t>=SUBTOTAL(9,S373:S379)</t>
  </si>
  <si>
    <t>=O381</t>
  </si>
  <si>
    <t>=N381</t>
  </si>
  <si>
    <t>=NL(,"Jet Payroll Transactions","Check Date","Check Date",$K$5,"Employee Class","@@"&amp;$E381,"Employee Number","@@"&amp;$F381,"Payroll Code",$K$8,"State",$K$9,"Check Number","@@"&amp;$N381)</t>
  </si>
  <si>
    <t>=NL("Rows","Jet Payroll Transactions",$P$11:$S$11,"+Check Date","@@"&amp;$G382,"Employee Class","@@"&amp;$E382,"Employee Number","@@"&amp;$F382,"Payroll Code",$K$8,"State",$K$9,"Check Number","@@"&amp;$H382)</t>
  </si>
  <si>
    <t>="Total for " &amp; $H385</t>
  </si>
  <si>
    <t>=SUBTOTAL(9,S382:S384)</t>
  </si>
  <si>
    <t>="Total for " &amp; $F387</t>
  </si>
  <si>
    <t>=SUBTOTAL(9,S363:S386)</t>
  </si>
  <si>
    <t>=L388</t>
  </si>
  <si>
    <t>=M388</t>
  </si>
  <si>
    <t>=K388</t>
  </si>
  <si>
    <t>=NL(,"Jet Payroll Transactions","Employee First Name","Employee Number","@@"&amp;$K388)</t>
  </si>
  <si>
    <t>=NL(,"Jet Payroll Transactions","Employee Last Name","Employee Number","@@"&amp;$K388)</t>
  </si>
  <si>
    <t>=NL("Rows=4","Jet Payroll Transactions","Check Number","Check Date",$K$5,"Employee Class","@@"&amp;$E389,"Employee Number","@@"&amp;$F389,"Payroll Code",$K$8,"State",$K$9)</t>
  </si>
  <si>
    <t>="Total for " &amp; $H398</t>
  </si>
  <si>
    <t>=SUBTOTAL(9,S390:S397)</t>
  </si>
  <si>
    <t>=O399</t>
  </si>
  <si>
    <t>=N399</t>
  </si>
  <si>
    <t>=NL(,"Jet Payroll Transactions","Check Date","Check Date",$K$5,"Employee Class","@@"&amp;$E399,"Employee Number","@@"&amp;$F399,"Payroll Code",$K$8,"State",$K$9,"Check Number","@@"&amp;$N399)</t>
  </si>
  <si>
    <t>=NL("Rows","Jet Payroll Transactions",$P$11:$S$11,"+Check Date","@@"&amp;$G400,"Employee Class","@@"&amp;$E400,"Employee Number","@@"&amp;$F400,"Payroll Code",$K$8,"State",$K$9,"Check Number","@@"&amp;$H400)</t>
  </si>
  <si>
    <t>=C402</t>
  </si>
  <si>
    <t>=D402</t>
  </si>
  <si>
    <t>=E402</t>
  </si>
  <si>
    <t>=F402</t>
  </si>
  <si>
    <t>=H402</t>
  </si>
  <si>
    <t>=F404</t>
  </si>
  <si>
    <t>=H404</t>
  </si>
  <si>
    <t>="Total for " &amp; $H407</t>
  </si>
  <si>
    <t>=SUBTOTAL(9,S400:S406)</t>
  </si>
  <si>
    <t>="Total for " &amp; $F409</t>
  </si>
  <si>
    <t>=SUBTOTAL(9,S390:S408)</t>
  </si>
  <si>
    <t>=L410</t>
  </si>
  <si>
    <t>=M410</t>
  </si>
  <si>
    <t>=K410</t>
  </si>
  <si>
    <t>=NL(,"Jet Payroll Transactions","Employee First Name","Employee Number","@@"&amp;$K410)</t>
  </si>
  <si>
    <t>=NL(,"Jet Payroll Transactions","Employee Last Name","Employee Number","@@"&amp;$K410)</t>
  </si>
  <si>
    <t>=C410</t>
  </si>
  <si>
    <t>=D410</t>
  </si>
  <si>
    <t>=F410</t>
  </si>
  <si>
    <t>=O411</t>
  </si>
  <si>
    <t>=N411</t>
  </si>
  <si>
    <t>=NL("Rows=4","Jet Payroll Transactions","Check Number","Check Date",$K$5,"Employee Class","@@"&amp;$E411,"Employee Number","@@"&amp;$F411,"Payroll Code",$K$8,"State",$K$9)</t>
  </si>
  <si>
    <t>=NL(,"Jet Payroll Transactions","Check Date","Check Date",$K$5,"Employee Class","@@"&amp;$E411,"Employee Number","@@"&amp;$F411,"Payroll Code",$K$8,"State",$K$9,"Check Number","@@"&amp;$N411)</t>
  </si>
  <si>
    <t>=NL("Rows","Jet Payroll Transactions",$P$11:$S$11,"+Check Date","@@"&amp;$G412,"Employee Class","@@"&amp;$E412,"Employee Number","@@"&amp;$F412,"Payroll Code",$K$8,"State",$K$9,"Check Number","@@"&amp;$H412)</t>
  </si>
  <si>
    <t>=SUBTOTAL(9,S412:S418)</t>
  </si>
  <si>
    <t>=C424</t>
  </si>
  <si>
    <t>=D424</t>
  </si>
  <si>
    <t>=E424</t>
  </si>
  <si>
    <t>=F424</t>
  </si>
  <si>
    <t>=H424</t>
  </si>
  <si>
    <t>="Total for " &amp; $H428</t>
  </si>
  <si>
    <t>=SUBTOTAL(9,S421:S427)</t>
  </si>
  <si>
    <t>=O429</t>
  </si>
  <si>
    <t>=N429</t>
  </si>
  <si>
    <t>=NL(,"Jet Payroll Transactions","Check Date","Check Date",$K$5,"Employee Class","@@"&amp;$E429,"Employee Number","@@"&amp;$F429,"Payroll Code",$K$8,"State",$K$9,"Check Number","@@"&amp;$N429)</t>
  </si>
  <si>
    <t>=NL("Rows","Jet Payroll Transactions",$P$11:$S$11,"+Check Date","@@"&amp;$G430,"Employee Class","@@"&amp;$E430,"Employee Number","@@"&amp;$F430,"Payroll Code",$K$8,"State",$K$9,"Check Number","@@"&amp;$H430)</t>
  </si>
  <si>
    <t>="Total for " &amp; $H433</t>
  </si>
  <si>
    <t>=SUBTOTAL(9,S430:S432)</t>
  </si>
  <si>
    <t>="Total for " &amp; $F435</t>
  </si>
  <si>
    <t>=SUBTOTAL(9,S412:S434)</t>
  </si>
  <si>
    <t>=L436</t>
  </si>
  <si>
    <t>=M436</t>
  </si>
  <si>
    <t>=K436</t>
  </si>
  <si>
    <t>=NL(,"Jet Payroll Transactions","Employee First Name","Employee Number","@@"&amp;$K436)</t>
  </si>
  <si>
    <t>=NL(,"Jet Payroll Transactions","Employee Last Name","Employee Number","@@"&amp;$K436)</t>
  </si>
  <si>
    <t>=NL("Rows=4","Jet Payroll Transactions","Check Number","Check Date",$K$5,"Employee Class","@@"&amp;$E437,"Employee Number","@@"&amp;$F437,"Payroll Code",$K$8,"State",$K$9)</t>
  </si>
  <si>
    <t>="Total for " &amp; $H446</t>
  </si>
  <si>
    <t>=SUBTOTAL(9,S438:S445)</t>
  </si>
  <si>
    <t>=O447</t>
  </si>
  <si>
    <t>=N447</t>
  </si>
  <si>
    <t>=NL(,"Jet Payroll Transactions","Check Date","Check Date",$K$5,"Employee Class","@@"&amp;$E447,"Employee Number","@@"&amp;$F447,"Payroll Code",$K$8,"State",$K$9,"Check Number","@@"&amp;$N447)</t>
  </si>
  <si>
    <t>=NL("Rows","Jet Payroll Transactions",$P$11:$S$11,"+Check Date","@@"&amp;$G448,"Employee Class","@@"&amp;$E448,"Employee Number","@@"&amp;$F448,"Payroll Code",$K$8,"State",$K$9,"Check Number","@@"&amp;$H448)</t>
  </si>
  <si>
    <t>="Total for " &amp; $H456</t>
  </si>
  <si>
    <t>=SUBTOTAL(9,S448:S455)</t>
  </si>
  <si>
    <t>="Total for " &amp; $F458</t>
  </si>
  <si>
    <t>=SUBTOTAL(9,S438:S457)</t>
  </si>
  <si>
    <t>=L459</t>
  </si>
  <si>
    <t>=M459</t>
  </si>
  <si>
    <t>=K459</t>
  </si>
  <si>
    <t>=NL(,"Jet Payroll Transactions","Employee First Name","Employee Number","@@"&amp;$K459)</t>
  </si>
  <si>
    <t>=NL(,"Jet Payroll Transactions","Employee Last Name","Employee Number","@@"&amp;$K459)</t>
  </si>
  <si>
    <t>=O460</t>
  </si>
  <si>
    <t>=N460</t>
  </si>
  <si>
    <t>=NL("Rows=4","Jet Payroll Transactions","Check Number","Check Date",$K$5,"Employee Class","@@"&amp;$E460,"Employee Number","@@"&amp;$F460,"Payroll Code",$K$8,"State",$K$9)</t>
  </si>
  <si>
    <t>=NL(,"Jet Payroll Transactions","Check Date","Check Date",$K$5,"Employee Class","@@"&amp;$E460,"Employee Number","@@"&amp;$F460,"Payroll Code",$K$8,"State",$K$9,"Check Number","@@"&amp;$N460)</t>
  </si>
  <si>
    <t>=NL("Rows","Jet Payroll Transactions",$P$11:$S$11,"+Check Date","@@"&amp;$G461,"Employee Class","@@"&amp;$E461,"Employee Number","@@"&amp;$F461,"Payroll Code",$K$8,"State",$K$9,"Check Number","@@"&amp;$H461)</t>
  </si>
  <si>
    <t>=E461</t>
  </si>
  <si>
    <t>=F461</t>
  </si>
  <si>
    <t>=G461</t>
  </si>
  <si>
    <t>=H461</t>
  </si>
  <si>
    <t>=C463</t>
  </si>
  <si>
    <t>=D463</t>
  </si>
  <si>
    <t>=E463</t>
  </si>
  <si>
    <t>=F463</t>
  </si>
  <si>
    <t>=H463</t>
  </si>
  <si>
    <t>=G464</t>
  </si>
  <si>
    <t>=H464</t>
  </si>
  <si>
    <t>=F465</t>
  </si>
  <si>
    <t>=G465</t>
  </si>
  <si>
    <t>=H465</t>
  </si>
  <si>
    <t>="Total for " &amp; $H468</t>
  </si>
  <si>
    <t>=SUBTOTAL(9,S461:S467)</t>
  </si>
  <si>
    <t>=O469</t>
  </si>
  <si>
    <t>=N469</t>
  </si>
  <si>
    <t>=NL(,"Jet Payroll Transactions","Check Date","Check Date",$K$5,"Employee Class","@@"&amp;$E469,"Employee Number","@@"&amp;$F469,"Payroll Code",$K$8,"State",$K$9,"Check Number","@@"&amp;$N469)</t>
  </si>
  <si>
    <t>=NL("Rows","Jet Payroll Transactions",$P$11:$S$11,"+Check Date","@@"&amp;$G470,"Employee Class","@@"&amp;$E470,"Employee Number","@@"&amp;$F470,"Payroll Code",$K$8,"State",$K$9,"Check Number","@@"&amp;$H470)</t>
  </si>
  <si>
    <t>=C473</t>
  </si>
  <si>
    <t>=D473</t>
  </si>
  <si>
    <t>=E473</t>
  </si>
  <si>
    <t>=F473</t>
  </si>
  <si>
    <t>=G473</t>
  </si>
  <si>
    <t>=H473</t>
  </si>
  <si>
    <t>="Total for " &amp; $H477</t>
  </si>
  <si>
    <t>=SUBTOTAL(9,S470:S476)</t>
  </si>
  <si>
    <t>="Total for " &amp; $F479</t>
  </si>
  <si>
    <t>=SUBTOTAL(9,S461:S478)</t>
  </si>
  <si>
    <t>=L480</t>
  </si>
  <si>
    <t>=M480</t>
  </si>
  <si>
    <t>=K480</t>
  </si>
  <si>
    <t>=NL(,"Jet Payroll Transactions","Employee First Name","Employee Number","@@"&amp;$K480)</t>
  </si>
  <si>
    <t>=NL(,"Jet Payroll Transactions","Employee Last Name","Employee Number","@@"&amp;$K480)</t>
  </si>
  <si>
    <t>=O481</t>
  </si>
  <si>
    <t>=N481</t>
  </si>
  <si>
    <t>=NL("Rows=4","Jet Payroll Transactions","Check Number","Check Date",$K$5,"Employee Class","@@"&amp;$E481,"Employee Number","@@"&amp;$F481,"Payroll Code",$K$8,"State",$K$9)</t>
  </si>
  <si>
    <t>=NL(,"Jet Payroll Transactions","Check Date","Check Date",$K$5,"Employee Class","@@"&amp;$E481,"Employee Number","@@"&amp;$F481,"Payroll Code",$K$8,"State",$K$9,"Check Number","@@"&amp;$N481)</t>
  </si>
  <si>
    <t>=NL("Rows","Jet Payroll Transactions",$P$11:$S$11,"+Check Date","@@"&amp;$G482,"Employee Class","@@"&amp;$E482,"Employee Number","@@"&amp;$F482,"Payroll Code",$K$8,"State",$K$9,"Check Number","@@"&amp;$H482)</t>
  </si>
  <si>
    <t>="Total for " &amp; $H490</t>
  </si>
  <si>
    <t>=SUBTOTAL(9,S482:S489)</t>
  </si>
  <si>
    <t>=O491</t>
  </si>
  <si>
    <t>=N491</t>
  </si>
  <si>
    <t>=NL(,"Jet Payroll Transactions","Check Date","Check Date",$K$5,"Employee Class","@@"&amp;$E491,"Employee Number","@@"&amp;$F491,"Payroll Code",$K$8,"State",$K$9,"Check Number","@@"&amp;$N491)</t>
  </si>
  <si>
    <t>=NL("Rows","Jet Payroll Transactions",$P$11:$S$11,"+Check Date","@@"&amp;$G492,"Employee Class","@@"&amp;$E492,"Employee Number","@@"&amp;$F492,"Payroll Code",$K$8,"State",$K$9,"Check Number","@@"&amp;$H492)</t>
  </si>
  <si>
    <t>=H494</t>
  </si>
  <si>
    <t>="Total for " &amp; $H500</t>
  </si>
  <si>
    <t>=SUBTOTAL(9,S492:S499)</t>
  </si>
  <si>
    <t>="Total for " &amp; $F502</t>
  </si>
  <si>
    <t>=SUBTOTAL(9,S482:S501)</t>
  </si>
  <si>
    <t>=L503</t>
  </si>
  <si>
    <t>=M503</t>
  </si>
  <si>
    <t>=K503</t>
  </si>
  <si>
    <t>=NL(,"Jet Payroll Transactions","Employee First Name","Employee Number","@@"&amp;$K503)</t>
  </si>
  <si>
    <t>=NL(,"Jet Payroll Transactions","Employee Last Name","Employee Number","@@"&amp;$K503)</t>
  </si>
  <si>
    <t>=NL("Rows=4","Jet Payroll Transactions","Check Number","Check Date",$K$5,"Employee Class","@@"&amp;$E504,"Employee Number","@@"&amp;$F504,"Payroll Code",$K$8,"State",$K$9)</t>
  </si>
  <si>
    <t>="Total for " &amp; $H521</t>
  </si>
  <si>
    <t>=SUBTOTAL(9,S514:S520)</t>
  </si>
  <si>
    <t>=O522</t>
  </si>
  <si>
    <t>=N522</t>
  </si>
  <si>
    <t>=NL(,"Jet Payroll Transactions","Check Date","Check Date",$K$5,"Employee Class","@@"&amp;$E522,"Employee Number","@@"&amp;$F522,"Payroll Code",$K$8,"State",$K$9,"Check Number","@@"&amp;$N522)</t>
  </si>
  <si>
    <t>=NL("Rows","Jet Payroll Transactions",$P$11:$S$11,"+Check Date","@@"&amp;$G523,"Employee Class","@@"&amp;$E523,"Employee Number","@@"&amp;$F523,"Payroll Code",$K$8,"State",$K$9,"Check Number","@@"&amp;$H523)</t>
  </si>
  <si>
    <t>=H523</t>
  </si>
  <si>
    <t>="Total for " &amp; $H526</t>
  </si>
  <si>
    <t>=SUBTOTAL(9,S523:S525)</t>
  </si>
  <si>
    <t>="Total for " &amp; $F528</t>
  </si>
  <si>
    <t>=SUBTOTAL(9,S505:S527)</t>
  </si>
  <si>
    <t>=L529</t>
  </si>
  <si>
    <t>=M529</t>
  </si>
  <si>
    <t>=K529</t>
  </si>
  <si>
    <t>=NL(,"Jet Payroll Transactions","Employee First Name","Employee Number","@@"&amp;$K529)</t>
  </si>
  <si>
    <t>=NL(,"Jet Payroll Transactions","Employee Last Name","Employee Number","@@"&amp;$K529)</t>
  </si>
  <si>
    <t>=O530</t>
  </si>
  <si>
    <t>=N530</t>
  </si>
  <si>
    <t>=NL("Rows=4","Jet Payroll Transactions","Check Number","Check Date",$K$5,"Employee Class","@@"&amp;$E530,"Employee Number","@@"&amp;$F530,"Payroll Code",$K$8,"State",$K$9)</t>
  </si>
  <si>
    <t>=NL(,"Jet Payroll Transactions","Check Date","Check Date",$K$5,"Employee Class","@@"&amp;$E530,"Employee Number","@@"&amp;$F530,"Payroll Code",$K$8,"State",$K$9,"Check Number","@@"&amp;$N530)</t>
  </si>
  <si>
    <t>=NL("Rows","Jet Payroll Transactions",$P$11:$S$11,"+Check Date","@@"&amp;$G531,"Employee Class","@@"&amp;$E531,"Employee Number","@@"&amp;$F531,"Payroll Code",$K$8,"State",$K$9,"Check Number","@@"&amp;$H531)</t>
  </si>
  <si>
    <t>="Total for " &amp; $H538</t>
  </si>
  <si>
    <t>=SUBTOTAL(9,S531:S537)</t>
  </si>
  <si>
    <t>=O539</t>
  </si>
  <si>
    <t>=N539</t>
  </si>
  <si>
    <t>=NL(,"Jet Payroll Transactions","Check Date","Check Date",$K$5,"Employee Class","@@"&amp;$E539,"Employee Number","@@"&amp;$F539,"Payroll Code",$K$8,"State",$K$9,"Check Number","@@"&amp;$N539)</t>
  </si>
  <si>
    <t>=NL("Rows","Jet Payroll Transactions",$P$11:$S$11,"+Check Date","@@"&amp;$G540,"Employee Class","@@"&amp;$E540,"Employee Number","@@"&amp;$F540,"Payroll Code",$K$8,"State",$K$9,"Check Number","@@"&amp;$H540)</t>
  </si>
  <si>
    <t>="Total for " &amp; $H547</t>
  </si>
  <si>
    <t>=SUBTOTAL(9,S540:S546)</t>
  </si>
  <si>
    <t>="Total for " &amp; $F549</t>
  </si>
  <si>
    <t>=SUBTOTAL(9,S531:S548)</t>
  </si>
  <si>
    <t>=L550</t>
  </si>
  <si>
    <t>=M550</t>
  </si>
  <si>
    <t>=K550</t>
  </si>
  <si>
    <t>=NL(,"Jet Payroll Transactions","Employee First Name","Employee Number","@@"&amp;$K550)</t>
  </si>
  <si>
    <t>=NL(,"Jet Payroll Transactions","Employee Last Name","Employee Number","@@"&amp;$K550)</t>
  </si>
  <si>
    <t>=O551</t>
  </si>
  <si>
    <t>=N551</t>
  </si>
  <si>
    <t>=NL("Rows=4","Jet Payroll Transactions","Check Number","Check Date",$K$5,"Employee Class","@@"&amp;$E551,"Employee Number","@@"&amp;$F551,"Payroll Code",$K$8,"State",$K$9)</t>
  </si>
  <si>
    <t>=NL(,"Jet Payroll Transactions","Check Date","Check Date",$K$5,"Employee Class","@@"&amp;$E551,"Employee Number","@@"&amp;$F551,"Payroll Code",$K$8,"State",$K$9,"Check Number","@@"&amp;$N551)</t>
  </si>
  <si>
    <t>=NL("Rows","Jet Payroll Transactions",$P$11:$S$11,"+Check Date","@@"&amp;$G552,"Employee Class","@@"&amp;$E552,"Employee Number","@@"&amp;$F552,"Payroll Code",$K$8,"State",$K$9,"Check Number","@@"&amp;$H552)</t>
  </si>
  <si>
    <t>="Total for " &amp; $H560</t>
  </si>
  <si>
    <t>=SUBTOTAL(9,S552:S559)</t>
  </si>
  <si>
    <t>=O561</t>
  </si>
  <si>
    <t>=N561</t>
  </si>
  <si>
    <t>=NL(,"Jet Payroll Transactions","Check Date","Check Date",$K$5,"Employee Class","@@"&amp;$E561,"Employee Number","@@"&amp;$F561,"Payroll Code",$K$8,"State",$K$9,"Check Number","@@"&amp;$N561)</t>
  </si>
  <si>
    <t>=NL("Rows","Jet Payroll Transactions",$P$11:$S$11,"+Check Date","@@"&amp;$G562,"Employee Class","@@"&amp;$E562,"Employee Number","@@"&amp;$F562,"Payroll Code",$K$8,"State",$K$9,"Check Number","@@"&amp;$H562)</t>
  </si>
  <si>
    <t>=SUBTOTAL(9,S562:S569)</t>
  </si>
  <si>
    <t>=SUBTOTAL(9,S572:S574)</t>
  </si>
  <si>
    <t>=SUBTOTAL(9,S552:S576)</t>
  </si>
  <si>
    <t>="Total for " &amp; $E579</t>
  </si>
  <si>
    <t>=SUBTOTAL(9,S341:S578)</t>
  </si>
  <si>
    <t>=J581</t>
  </si>
  <si>
    <t>=L582</t>
  </si>
  <si>
    <t>=M582</t>
  </si>
  <si>
    <t>=K582</t>
  </si>
  <si>
    <t>=NL("Rows=7","Jet Payroll Transactions","Employee Number","Check Date",$K$5,"Employee Class","@@"&amp;$E582,"Employee Number",$K$7,"Payroll Code",$K$8,"State",$K$9)</t>
  </si>
  <si>
    <t>=NL(,"Jet Payroll Transactions","Employee First Name","Employee Number","@@"&amp;$K582)</t>
  </si>
  <si>
    <t>=NL(,"Jet Payroll Transactions","Employee Last Name","Employee Number","@@"&amp;$K582)</t>
  </si>
  <si>
    <t>=O583</t>
  </si>
  <si>
    <t>=N583</t>
  </si>
  <si>
    <t>=NL("Rows=4","Jet Payroll Transactions","Check Number","Check Date",$K$5,"Employee Class","@@"&amp;$E583,"Employee Number","@@"&amp;$F583,"Payroll Code",$K$8,"State",$K$9)</t>
  </si>
  <si>
    <t>=NL(,"Jet Payroll Transactions","Check Date","Check Date",$K$5,"Employee Class","@@"&amp;$E583,"Employee Number","@@"&amp;$F583,"Payroll Code",$K$8,"State",$K$9,"Check Number","@@"&amp;$N583)</t>
  </si>
  <si>
    <t>=NL("Rows","Jet Payroll Transactions",$P$11:$S$11,"+Check Date","@@"&amp;$G584,"Employee Class","@@"&amp;$E584,"Employee Number","@@"&amp;$F584,"Payroll Code",$K$8,"State",$K$9,"Check Number","@@"&amp;$H584)</t>
  </si>
  <si>
    <t>="Total for " &amp; $H591</t>
  </si>
  <si>
    <t>=SUBTOTAL(9,S584:S590)</t>
  </si>
  <si>
    <t>=O592</t>
  </si>
  <si>
    <t>=N592</t>
  </si>
  <si>
    <t>=NL(,"Jet Payroll Transactions","Check Date","Check Date",$K$5,"Employee Class","@@"&amp;$E592,"Employee Number","@@"&amp;$F592,"Payroll Code",$K$8,"State",$K$9,"Check Number","@@"&amp;$N592)</t>
  </si>
  <si>
    <t>=NL("Rows","Jet Payroll Transactions",$P$11:$S$11,"+Check Date","@@"&amp;$G593,"Employee Class","@@"&amp;$E593,"Employee Number","@@"&amp;$F593,"Payroll Code",$K$8,"State",$K$9,"Check Number","@@"&amp;$H593)</t>
  </si>
  <si>
    <t>=F595</t>
  </si>
  <si>
    <t>=G595</t>
  </si>
  <si>
    <t>=H595</t>
  </si>
  <si>
    <t>="Total for " &amp; $H599</t>
  </si>
  <si>
    <t>=SUBTOTAL(9,S593:S598)</t>
  </si>
  <si>
    <t>=O600</t>
  </si>
  <si>
    <t>=N600</t>
  </si>
  <si>
    <t>=NL(,"Jet Payroll Transactions","Check Date","Check Date",$K$5,"Employee Class","@@"&amp;$E600,"Employee Number","@@"&amp;$F600,"Payroll Code",$K$8,"State",$K$9,"Check Number","@@"&amp;$N600)</t>
  </si>
  <si>
    <t>=NL("Rows","Jet Payroll Transactions",$P$11:$S$11,"+Check Date","@@"&amp;$G601,"Employee Class","@@"&amp;$E601,"Employee Number","@@"&amp;$F601,"Payroll Code",$K$8,"State",$K$9,"Check Number","@@"&amp;$H601)</t>
  </si>
  <si>
    <t>="Total for " &amp; $H604</t>
  </si>
  <si>
    <t>=G604</t>
  </si>
  <si>
    <t>=SUBTOTAL(9,S601:S603)</t>
  </si>
  <si>
    <t>="Total for " &amp; $F606</t>
  </si>
  <si>
    <t>=SUBTOTAL(9,S584:S605)</t>
  </si>
  <si>
    <t>=L607</t>
  </si>
  <si>
    <t>=M607</t>
  </si>
  <si>
    <t>=K607</t>
  </si>
  <si>
    <t>=NL(,"Jet Payroll Transactions","Employee First Name","Employee Number","@@"&amp;$K607)</t>
  </si>
  <si>
    <t>=NL(,"Jet Payroll Transactions","Employee Last Name","Employee Number","@@"&amp;$K607)</t>
  </si>
  <si>
    <t>=O608</t>
  </si>
  <si>
    <t>=N608</t>
  </si>
  <si>
    <t>=NL("Rows=4","Jet Payroll Transactions","Check Number","Check Date",$K$5,"Employee Class","@@"&amp;$E608,"Employee Number","@@"&amp;$F608,"Payroll Code",$K$8,"State",$K$9)</t>
  </si>
  <si>
    <t>=NL(,"Jet Payroll Transactions","Check Date","Check Date",$K$5,"Employee Class","@@"&amp;$E608,"Employee Number","@@"&amp;$F608,"Payroll Code",$K$8,"State",$K$9,"Check Number","@@"&amp;$N608)</t>
  </si>
  <si>
    <t>=NL("Rows","Jet Payroll Transactions",$P$11:$S$11,"+Check Date","@@"&amp;$G609,"Employee Class","@@"&amp;$E609,"Employee Number","@@"&amp;$F609,"Payroll Code",$K$8,"State",$K$9,"Check Number","@@"&amp;$H609)</t>
  </si>
  <si>
    <t>=SUBTOTAL(9,S609:S614)</t>
  </si>
  <si>
    <t>="Total for " &amp; $H623</t>
  </si>
  <si>
    <t>=SUBTOTAL(9,S617:S622)</t>
  </si>
  <si>
    <t>="Total for " &amp; $F625</t>
  </si>
  <si>
    <t>=SUBTOTAL(9,S609:S624)</t>
  </si>
  <si>
    <t>=L626</t>
  </si>
  <si>
    <t>=M626</t>
  </si>
  <si>
    <t>=K626</t>
  </si>
  <si>
    <t>=NL(,"Jet Payroll Transactions","Employee First Name","Employee Number","@@"&amp;$K626)</t>
  </si>
  <si>
    <t>=NL(,"Jet Payroll Transactions","Employee Last Name","Employee Number","@@"&amp;$K626)</t>
  </si>
  <si>
    <t>=O627</t>
  </si>
  <si>
    <t>=N627</t>
  </si>
  <si>
    <t>=NL("Rows=4","Jet Payroll Transactions","Check Number","Check Date",$K$5,"Employee Class","@@"&amp;$E627,"Employee Number","@@"&amp;$F627,"Payroll Code",$K$8,"State",$K$9)</t>
  </si>
  <si>
    <t>=NL(,"Jet Payroll Transactions","Check Date","Check Date",$K$5,"Employee Class","@@"&amp;$E627,"Employee Number","@@"&amp;$F627,"Payroll Code",$K$8,"State",$K$9,"Check Number","@@"&amp;$N627)</t>
  </si>
  <si>
    <t>=C627</t>
  </si>
  <si>
    <t>=D627</t>
  </si>
  <si>
    <t>=E627</t>
  </si>
  <si>
    <t>=F627</t>
  </si>
  <si>
    <t>=H627</t>
  </si>
  <si>
    <t>=NL("Rows","Jet Payroll Transactions",$P$11:$S$11,"+Check Date","@@"&amp;$G628,"Employee Class","@@"&amp;$E628,"Employee Number","@@"&amp;$F628,"Payroll Code",$K$8,"State",$K$9,"Check Number","@@"&amp;$H628)</t>
  </si>
  <si>
    <t>=H629</t>
  </si>
  <si>
    <t>="Total for " &amp; $H636</t>
  </si>
  <si>
    <t>=SUBTOTAL(9,S628:S635)</t>
  </si>
  <si>
    <t>=O637</t>
  </si>
  <si>
    <t>=N637</t>
  </si>
  <si>
    <t>=NL(,"Jet Payroll Transactions","Check Date","Check Date",$K$5,"Employee Class","@@"&amp;$E637,"Employee Number","@@"&amp;$F637,"Payroll Code",$K$8,"State",$K$9,"Check Number","@@"&amp;$N637)</t>
  </si>
  <si>
    <t>=G637</t>
  </si>
  <si>
    <t>=H637</t>
  </si>
  <si>
    <t>=NL("Rows","Jet Payroll Transactions",$P$11:$S$11,"+Check Date","@@"&amp;$G638,"Employee Class","@@"&amp;$E638,"Employee Number","@@"&amp;$F638,"Payroll Code",$K$8,"State",$K$9,"Check Number","@@"&amp;$H638)</t>
  </si>
  <si>
    <t>="Total for " &amp; $H646</t>
  </si>
  <si>
    <t>=SUBTOTAL(9,S638:S645)</t>
  </si>
  <si>
    <t>="Total for " &amp; $F648</t>
  </si>
  <si>
    <t>=SUBTOTAL(9,S628:S647)</t>
  </si>
  <si>
    <t>=L649</t>
  </si>
  <si>
    <t>=M649</t>
  </si>
  <si>
    <t>=K649</t>
  </si>
  <si>
    <t>=NL(,"Jet Payroll Transactions","Employee First Name","Employee Number","@@"&amp;$K649)</t>
  </si>
  <si>
    <t>=NL(,"Jet Payroll Transactions","Employee Last Name","Employee Number","@@"&amp;$K649)</t>
  </si>
  <si>
    <t>=NL("Rows=4","Jet Payroll Transactions","Check Number","Check Date",$K$5,"Employee Class","@@"&amp;$E650,"Employee Number","@@"&amp;$F650,"Payroll Code",$K$8,"State",$K$9)</t>
  </si>
  <si>
    <t>=SUBTOTAL(9,S651:S658)</t>
  </si>
  <si>
    <t>="Total for " &amp; $H669</t>
  </si>
  <si>
    <t>=G669</t>
  </si>
  <si>
    <t>=SUBTOTAL(9,S661:S668)</t>
  </si>
  <si>
    <t>="Total for " &amp; $F671</t>
  </si>
  <si>
    <t>=SUBTOTAL(9,S651:S670)</t>
  </si>
  <si>
    <t>="Total for " &amp; $E673</t>
  </si>
  <si>
    <t>=SUBTOTAL(9,S584:S672)</t>
  </si>
  <si>
    <t>=SUBTOTAL(9,S16:S101)</t>
  </si>
  <si>
    <t>Auto+Hide</t>
  </si>
  <si>
    <t>Modifying your report</t>
  </si>
  <si>
    <t>This report can be modified by entering into design mode from the Jet tab.</t>
  </si>
  <si>
    <t>Click here for downloads</t>
  </si>
  <si>
    <t>Questions About This Report</t>
  </si>
  <si>
    <t>If you have questions about this or any other sample report, please email samplereports@jetglobal.com</t>
  </si>
  <si>
    <t>Click here to contact sample reports</t>
  </si>
  <si>
    <t>Getting Help</t>
  </si>
  <si>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</si>
  <si>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</si>
  <si>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</si>
  <si>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</si>
  <si>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</si>
  <si>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</si>
  <si>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</si>
  <si>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 xml:space="preserve">2018 Jet Global Data Technologies, Inc. </t>
  </si>
  <si>
    <r>
      <t xml:space="preserve">This report shows payroll transactions grouped by employee class, employee, and check. It uses database views created by Jet Global, specifically the </t>
    </r>
    <r>
      <rPr>
        <b/>
        <sz val="10"/>
        <color theme="1"/>
        <rFont val="Segoe UI"/>
        <family val="2"/>
      </rPr>
      <t>Jet Payroll Transactions View</t>
    </r>
    <r>
      <rPr>
        <sz val="10"/>
        <color theme="1"/>
        <rFont val="Segoe UI"/>
        <family val="2"/>
      </rPr>
      <t>. You will need to install these views prior to running this report.
For more information on installing Jet views for GP go to the Jet Help Center and search for "GP Update Utility."
This report prints on 11x17 paper.</t>
    </r>
  </si>
  <si>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</si>
  <si>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The Jet Reports Help Center is the launch pad for all support destinations. Search our knowledgebase for product documentation and installation, troubleshooting, and how-to articles; post questions and join discussions with the Jet Reports community; or submit a request to our awesome support team who will get back to you swiftly.</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</si>
  <si>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</si>
  <si>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Auto+Hide+HideSheet+Values+Formulas=Sheet2,Sheet3+FormulasOnly</t>
  </si>
  <si>
    <t>=chkdte</t>
  </si>
  <si>
    <t>=empclss</t>
  </si>
  <si>
    <t>=empID</t>
  </si>
  <si>
    <t>=PACde</t>
  </si>
  <si>
    <t>=StCd</t>
  </si>
  <si>
    <t>Auto+Hide+Values+Formulas=Sheet4,Sheet5+FormulasOnly</t>
  </si>
  <si>
    <t>="""GP Direct"",""Fabrikam, Inc."",""Jet Payroll Transactions"",""Pay Rate"",""0.00000"",""Payroll Code"",""401K"",""State"","""",""Transaction Amount"",""33.00000"""</t>
  </si>
  <si>
    <t>="""GP Direct"",""Fabrikam, Inc."",""Jet Payroll Transactions"",""Pay Rate"",""0.00000"",""Payroll Code"",""HOLI"",""State"",""IL"",""Transaction Amount"",""0.00000"""</t>
  </si>
  <si>
    <t>="""GP Direct"",""Fabrikam, Inc."",""Jet Payroll Transactions"",""Pay Rate"",""0.00000"",""Payroll Code"",""IL"",""State"","""",""Transaction Amount"",""10.97000"""</t>
  </si>
  <si>
    <t>="""GP Direct"",""Fabrikam, Inc."",""Jet Payroll Transactions"",""Pay Rate"",""0.00000"",""Payroll Code"",""INS"",""State"","""",""Transaction Amount"",""49.36000"""</t>
  </si>
  <si>
    <t>="""GP Direct"",""Fabrikam, Inc."",""Jet Payroll Transactions"",""Pay Rate"",""0.00000"",""Payroll Code"",""INS2"",""State"","""",""Transaction Amount"",""72.95000"""</t>
  </si>
  <si>
    <t>="""GP Direct"",""Fabrikam, Inc."",""Jet Payroll Transactions"",""Pay Rate"",""0.00000"",""Payroll Code"",""MED"",""State"","""",""Transaction Amount"",""20.00000"""</t>
  </si>
  <si>
    <t>="""GP Direct"",""Fabrikam, Inc."",""Jet Payroll Transactions"",""Pay Rate"",""10.48604"",""Payroll Code"",""SALY"",""State"",""IL"",""Transaction Amount"",""824.90000"""</t>
  </si>
  <si>
    <t>="""GP Direct"",""Fabrikam, Inc."",""Jet Payroll Transactions"",""Pay Rate"",""0.00000"",""Payroll Code"",""401K"",""State"","""",""Transaction Amount"",""36.35000"""</t>
  </si>
  <si>
    <t>="""GP Direct"",""Fabrikam, Inc."",""Jet Payroll Transactions"",""Pay Rate"",""0.00000"",""Payroll Code"",""IL"",""State"","""",""Transaction Amount"",""13.38000"""</t>
  </si>
  <si>
    <t>="""GP Direct"",""Fabrikam, Inc."",""Jet Payroll Transactions"",""Pay Rate"",""21811.00000"",""Payroll Code"",""SALY"",""State"",""IL"",""Transaction Amount"",""908.79000"""</t>
  </si>
  <si>
    <t>="""GP Direct"",""Fabrikam, Inc."",""Jet Payroll Transactions"",""Pay Rate"",""0.00000"",""Payroll Code"",""MED"",""State"","""",""Transaction Amount"",""5.00000"""</t>
  </si>
  <si>
    <t>="""GP Direct"",""Fabrikam, Inc."",""Jet Payroll Transactions"",""Pay Rate"",""21384.00000"",""Payroll Code"",""SALY"",""State"",""IL"",""Transaction Amount"",""891.00000"""</t>
  </si>
  <si>
    <t>="""GP Direct"",""Fabrikam, Inc."",""Jet Payroll Transactions"",""Pay Rate"",""0.00000"",""Payroll Code"",""401K"",""State"","""",""Transaction Amount"",""50.52000"""</t>
  </si>
  <si>
    <t>="""GP Direct"",""Fabrikam, Inc."",""Jet Payroll Transactions"",""Pay Rate"",""0.00000"",""Payroll Code"",""IL"",""State"","""",""Transaction Amount"",""21.09000"""</t>
  </si>
  <si>
    <t>="""GP Direct"",""Fabrikam, Inc."",""Jet Payroll Transactions"",""Pay Rate"",""30314.00000"",""Payroll Code"",""SALY"",""State"",""IL"",""Transaction Amount"",""1263.08000"""</t>
  </si>
  <si>
    <t>="""GP Direct"",""Fabrikam, Inc."",""Jet Payroll Transactions"",""Pay Rate"",""0.00000"",""Payroll Code"",""401K"",""State"","""",""Transaction Amount"",""25.46000"""</t>
  </si>
  <si>
    <t>="""GP Direct"",""Fabrikam, Inc."",""Jet Payroll Transactions"",""Pay Rate"",""0.00000"",""Payroll Code"",""IL"",""State"","""",""Transaction Amount"",""23.29000"""</t>
  </si>
  <si>
    <t>="""GP Direct"",""Fabrikam, Inc."",""Jet Payroll Transactions"",""Pay Rate"",""20366.00000"",""Payroll Code"",""SALY"",""State"",""IL"",""Transaction Amount"",""848.58000"""</t>
  </si>
  <si>
    <t>="""GP Direct"",""Fabrikam, Inc."",""Jet Payroll Transactions"",""Pay Rate"",""0.00000"",""Payroll Code"",""401K"",""State"","""",""Transaction Amount"",""40.63000"""</t>
  </si>
  <si>
    <t>="""GP Direct"",""Fabrikam, Inc."",""Jet Payroll Transactions"",""Pay Rate"",""0.00000"",""Payroll Code"",""IL"",""State"","""",""Transaction Amount"",""38.01000"""</t>
  </si>
  <si>
    <t>="""GP Direct"",""Fabrikam, Inc."",""Jet Payroll Transactions"",""Pay Rate"",""32500.00000"",""Payroll Code"",""SALY"",""State"",""IL"",""Transaction Amount"",""1354.17000"""</t>
  </si>
  <si>
    <t>="""GP Direct"",""Fabrikam, Inc."",""Jet Payroll Transactions"",""Pay Rate"",""7.90000"",""Payroll Code"",""HOUR"",""State"",""IL"",""Transaction Amount"",""684.69000"""</t>
  </si>
  <si>
    <t>=NF($I140,P$11)</t>
  </si>
  <si>
    <t>=NF($I140,Q$11)</t>
  </si>
  <si>
    <t>=NF($I140,R$11)</t>
  </si>
  <si>
    <t>=NF($I140,S$11)</t>
  </si>
  <si>
    <t>="""GP Direct"",""Fabrikam, Inc."",""Jet Payroll Transactions"",""Pay Rate"",""350.00000"",""Payroll Code"",""BONS"",""State"",""IL"",""Transaction Amount"",""350.00000"""</t>
  </si>
  <si>
    <t>=NF($I141,P$11)</t>
  </si>
  <si>
    <t>=NF($I141,Q$11)</t>
  </si>
  <si>
    <t>=NF($I141,R$11)</t>
  </si>
  <si>
    <t>=NF($I141,S$11)</t>
  </si>
  <si>
    <t>="""GP Direct"",""Fabrikam, Inc."",""Jet Payroll Transactions"",""Pay Rate"",""26057.00000"",""Payroll Code"",""SALY"",""State"",""IL"",""Transaction Amount"",""1085.71000"""</t>
  </si>
  <si>
    <t>="""GP Direct"",""Fabrikam, Inc."",""Jet Payroll Transactions"",""Pay Rate"",""0.00000"",""Payroll Code"",""401K"",""State"","""",""Transaction Amount"",""101.36000"""</t>
  </si>
  <si>
    <t>="""GP Direct"",""Fabrikam, Inc."",""Jet Payroll Transactions"",""Pay Rate"",""0.00000"",""Payroll Code"",""IL"",""State"","""",""Transaction Amount"",""47.49000"""</t>
  </si>
  <si>
    <t>="""GP Direct"",""Fabrikam, Inc."",""Jet Payroll Transactions"",""Pay Rate"",""48654.00000"",""Payroll Code"",""SALY"",""State"",""IL"",""Transaction Amount"",""2027.25000"""</t>
  </si>
  <si>
    <t>="""GP Direct"",""Fabrikam, Inc."",""Jet Payroll Transactions"",""Pay Rate"",""15.10000"",""Payroll Code"",""HOUR"",""State"",""IN"",""Transaction Amount"",""1308.72000"""</t>
  </si>
  <si>
    <t>="""GP Direct"",""Fabrikam, Inc."",""Jet Payroll Transactions"",""Pay Rate"",""15.10000"",""Payroll Code"",""HOLI"",""State"",""IN"",""Transaction Amount"",""120.80000"""</t>
  </si>
  <si>
    <t>="""GP Direct"",""Fabrikam, Inc."",""Jet Payroll Transactions"",""Pay Rate"",""15.10000"",""Payroll Code"",""HOUR"",""State"",""IN"",""Transaction Amount"",""1187.92000"""</t>
  </si>
  <si>
    <t>=NF($I207,P$11)</t>
  </si>
  <si>
    <t>=NF($I207,Q$11)</t>
  </si>
  <si>
    <t>=NF($I207,R$11)</t>
  </si>
  <si>
    <t>=NF($I207,S$11)</t>
  </si>
  <si>
    <t>="""GP Direct"",""Fabrikam, Inc."",""Jet Payroll Transactions"",""Pay Rate"",""300.00000"",""Payroll Code"",""BONS"",""State"",""IN"",""Transaction Amount"",""300.00000"""</t>
  </si>
  <si>
    <t>=NF($I208,P$11)</t>
  </si>
  <si>
    <t>=NF($I208,Q$11)</t>
  </si>
  <si>
    <t>=NF($I208,R$11)</t>
  </si>
  <si>
    <t>=NF($I208,S$11)</t>
  </si>
  <si>
    <t>="""GP Direct"",""Fabrikam, Inc."",""Jet Payroll Transactions"",""Pay Rate"",""0.00000"",""Payroll Code"",""401K"",""State"","""",""Transaction Amount"",""55.82000"""</t>
  </si>
  <si>
    <t>="""GP Direct"",""Fabrikam, Inc."",""Jet Payroll Transactions"",""Pay Rate"",""0.00000"",""Payroll Code"",""WI"",""State"","""",""Transaction Amount"",""71.88000"""</t>
  </si>
  <si>
    <t>="""GP Direct"",""Fabrikam, Inc."",""Jet Payroll Transactions"",""Pay Rate"",""16.10000"",""Payroll Code"",""HOUR"",""State"",""WI"",""Transaction Amount"",""1395.39000"""</t>
  </si>
  <si>
    <t>="""GP Direct"",""Fabrikam, Inc."",""Jet Payroll Transactions"",""Pay Rate"",""16.10000"",""Payroll Code"",""HOLI"",""State"",""WI"",""Transaction Amount"",""257.60000"""</t>
  </si>
  <si>
    <t>="""GP Direct"",""Fabrikam, Inc."",""Jet Payroll Transactions"",""Pay Rate"",""16.10000"",""Payroll Code"",""HOUR"",""State"",""WI"",""Transaction Amount"",""1137.79000"""</t>
  </si>
  <si>
    <t>=NF($I234,P$11)</t>
  </si>
  <si>
    <t>=NF($I234,Q$11)</t>
  </si>
  <si>
    <t>=NF($I234,R$11)</t>
  </si>
  <si>
    <t>=NF($I234,S$11)</t>
  </si>
  <si>
    <t>="""GP Direct"",""Fabrikam, Inc."",""Jet Payroll Transactions"",""Pay Rate"",""200.00000"",""Payroll Code"",""BONS"",""State"",""WI"",""Transaction Amount"",""200.00000"""</t>
  </si>
  <si>
    <t>=NF($I235,P$11)</t>
  </si>
  <si>
    <t>=NF($I235,Q$11)</t>
  </si>
  <si>
    <t>=NF($I235,R$11)</t>
  </si>
  <si>
    <t>=NF($I235,S$11)</t>
  </si>
  <si>
    <t>="""GP Direct"",""Fabrikam, Inc."",""Jet Payroll Transactions"",""Pay Rate"",""0.00000"",""Payroll Code"",""401K"",""State"","""",""Transaction Amount"",""52.50000"""</t>
  </si>
  <si>
    <t>="""GP Direct"",""Fabrikam, Inc."",""Jet Payroll Transactions"",""Pay Rate"",""0.00000"",""Payroll Code"",""INS1"",""State"","""",""Transaction Amount"",""47.95000"""</t>
  </si>
  <si>
    <t>="""GP Direct"",""Fabrikam, Inc."",""Jet Payroll Transactions"",""Pay Rate"",""0.00000"",""Payroll Code"",""NE"",""State"","""",""Transaction Amount"",""28.22000"""</t>
  </si>
  <si>
    <t>="""GP Direct"",""Fabrikam, Inc."",""Jet Payroll Transactions"",""Pay Rate"",""31500.00000"",""Payroll Code"",""SALY"",""State"",""NE"",""Transaction Amount"",""1312.50000"""</t>
  </si>
  <si>
    <t>="""GP Direct"",""Fabrikam, Inc."",""Jet Payroll Transactions"",""Pay Rate"",""0.00000"",""Payroll Code"",""401K"",""State"","""",""Transaction Amount"",""44.46000"""</t>
  </si>
  <si>
    <t>="""GP Direct"",""Fabrikam, Inc."",""Jet Payroll Transactions"",""Pay Rate"",""0.00000"",""Payroll Code"",""MI"",""State"","""",""Transaction Amount"",""52.14000"""</t>
  </si>
  <si>
    <t>="""GP Direct"",""Fabrikam, Inc."",""Jet Payroll Transactions"",""Pay Rate"",""17.10000"",""Payroll Code"",""HOUR"",""State"",""MI"",""Transaction Amount"",""1482.06000"""</t>
  </si>
  <si>
    <t>="""GP Direct"",""Fabrikam, Inc."",""Jet Payroll Transactions"",""Pay Rate"",""17.10000"",""Payroll Code"",""HOLI"",""State"",""MI"",""Transaction Amount"",""136.80000"""</t>
  </si>
  <si>
    <t>="""GP Direct"",""Fabrikam, Inc."",""Jet Payroll Transactions"",""Pay Rate"",""17.10000"",""Payroll Code"",""HOUR"",""State"",""MI"",""Transaction Amount"",""1345.26000"""</t>
  </si>
  <si>
    <t>=NF($I284,P$11)</t>
  </si>
  <si>
    <t>=NF($I284,Q$11)</t>
  </si>
  <si>
    <t>=NF($I284,R$11)</t>
  </si>
  <si>
    <t>=NF($I284,S$11)</t>
  </si>
  <si>
    <t>="""GP Direct"",""Fabrikam, Inc."",""Jet Payroll Transactions"",""Pay Rate"",""600.00000"",""Payroll Code"",""BONS"",""State"",""MI"",""Transaction Amount"",""600.00000"""</t>
  </si>
  <si>
    <t>=NF($I285,P$11)</t>
  </si>
  <si>
    <t>=NF($I285,Q$11)</t>
  </si>
  <si>
    <t>=NF($I285,R$11)</t>
  </si>
  <si>
    <t>=NF($I285,S$11)</t>
  </si>
  <si>
    <t>="""GP Direct"",""Fabrikam, Inc."",""Jet Payroll Transactions"",""Pay Rate"",""15.70000"",""Payroll Code"",""HOUR"",""State"",""IA"",""Transaction Amount"",""1360.72000"""</t>
  </si>
  <si>
    <t>="""GP Direct"",""Fabrikam, Inc."",""Jet Payroll Transactions"",""Pay Rate"",""15.70000"",""Payroll Code"",""HOLI"",""State"",""IA"",""Transaction Amount"",""125.60000"""</t>
  </si>
  <si>
    <t>="""GP Direct"",""Fabrikam, Inc."",""Jet Payroll Transactions"",""Pay Rate"",""15.70000"",""Payroll Code"",""HOUR"",""State"",""IA"",""Transaction Amount"",""1235.12000"""</t>
  </si>
  <si>
    <t>=NF($I307,P$11)</t>
  </si>
  <si>
    <t>=NF($I307,Q$11)</t>
  </si>
  <si>
    <t>=NF($I307,R$11)</t>
  </si>
  <si>
    <t>=NF($I307,S$11)</t>
  </si>
  <si>
    <t>="""GP Direct"",""Fabrikam, Inc."",""Jet Payroll Transactions"",""Pay Rate"",""400.00000"",""Payroll Code"",""BONS"",""State"",""IA"",""Transaction Amount"",""400.00000"""</t>
  </si>
  <si>
    <t>=NF($I308,P$11)</t>
  </si>
  <si>
    <t>=NF($I308,Q$11)</t>
  </si>
  <si>
    <t>=NF($I308,R$11)</t>
  </si>
  <si>
    <t>=NF($I308,S$11)</t>
  </si>
  <si>
    <t>="""GP Direct"",""Fabrikam, Inc."",""Jet Payroll Transactions"",""Pay Rate"",""0.00000"",""Payroll Code"",""MO"",""State"","""",""Transaction Amount"",""29.00000"""</t>
  </si>
  <si>
    <t>="""GP Direct"",""Fabrikam, Inc."",""Jet Payroll Transactions"",""Pay Rate"",""14.10000"",""Payroll Code"",""HOUR"",""State"",""MO"",""Transaction Amount"",""1222.05000"""</t>
  </si>
  <si>
    <t>=NF($I329,P$11)</t>
  </si>
  <si>
    <t>=NF($I329,Q$11)</t>
  </si>
  <si>
    <t>=NF($I329,R$11)</t>
  </si>
  <si>
    <t>=NF($I329,S$11)</t>
  </si>
  <si>
    <t>="""GP Direct"",""Fabrikam, Inc."",""Jet Payroll Transactions"",""Pay Rate"",""800.00000"",""Payroll Code"",""BONS"",""State"",""MO"",""Transaction Amount"",""800.00000"""</t>
  </si>
  <si>
    <t>=NF($I330,P$11)</t>
  </si>
  <si>
    <t>=NF($I330,Q$11)</t>
  </si>
  <si>
    <t>=NF($I330,R$11)</t>
  </si>
  <si>
    <t>=NF($I330,S$11)</t>
  </si>
  <si>
    <t>="""GP Direct"",""Fabrikam, Inc."",""Jet Payroll Transactions"",""Pay Rate"",""0.00000"",""Payroll Code"",""401K"",""State"","""",""Transaction Amount"",""37.10000"""</t>
  </si>
  <si>
    <t>="""GP Direct"",""Fabrikam, Inc."",""Jet Payroll Transactions"",""Pay Rate"",""0.00000"",""Payroll Code"",""IL"",""State"","""",""Transaction Amount"",""34.59000"""</t>
  </si>
  <si>
    <t>="""GP Direct"",""Fabrikam, Inc."",""Jet Payroll Transactions"",""Pay Rate"",""15.14423"",""Payroll Code"",""SALY"",""State"",""IL"",""Transaction Amount"",""1236.78000"""</t>
  </si>
  <si>
    <t>="""GP Direct"",""Fabrikam, Inc."",""Jet Payroll Transactions"",""Pay Rate"",""0.00000"",""Payroll Code"",""401K"",""State"","""",""Transaction Amount"",""39.38000"""</t>
  </si>
  <si>
    <t>="""GP Direct"",""Fabrikam, Inc."",""Jet Payroll Transactions"",""Pay Rate"",""0.00000"",""Payroll Code"",""IL"",""State"","""",""Transaction Amount"",""36.79000"""</t>
  </si>
  <si>
    <t>="""GP Direct"",""Fabrikam, Inc."",""Jet Payroll Transactions"",""Pay Rate"",""31500.00000"",""Payroll Code"",""SALY"",""State"",""IL"",""Transaction Amount"",""1312.50000"""</t>
  </si>
  <si>
    <t>="""GP Direct"",""Fabrikam, Inc."",""Jet Payroll Transactions"",""Pay Rate"",""0.00000"",""Payroll Code"",""401K"",""State"","""",""Transaction Amount"",""20.38000"""</t>
  </si>
  <si>
    <t>="""GP Direct"",""Fabrikam, Inc."",""Jet Payroll Transactions"",""Pay Rate"",""0.00000"",""Payroll Code"",""HOLI"",""State"",""NE"",""Transaction Amount"",""0.00000"""</t>
  </si>
  <si>
    <t>="""GP Direct"",""Fabrikam, Inc."",""Jet Payroll Transactions"",""Pay Rate"",""0.00000"",""Payroll Code"",""NE"",""State"","""",""Transaction Amount"",""11.73000"""</t>
  </si>
  <si>
    <t>="""GP Direct"",""Fabrikam, Inc."",""Jet Payroll Transactions"",""Pay Rate"",""9.61535"",""Payroll Code"",""SALY"",""State"",""NE"",""Transaction Amount"",""679.48000"""</t>
  </si>
  <si>
    <t>="""GP Direct"",""Fabrikam, Inc."",""Jet Payroll Transactions"",""Pay Rate"",""0.00000"",""Payroll Code"",""401K"",""State"","""",""Transaction Amount"",""25.00000"""</t>
  </si>
  <si>
    <t>="""GP Direct"",""Fabrikam, Inc."",""Jet Payroll Transactions"",""Pay Rate"",""0.00000"",""Payroll Code"",""NE"",""State"","""",""Transaction Amount"",""16.91000"""</t>
  </si>
  <si>
    <t>="""GP Direct"",""Fabrikam, Inc."",""Jet Payroll Transactions"",""Pay Rate"",""20000.00000"",""Payroll Code"",""SALY"",""State"",""NE"",""Transaction Amount"",""833.33000"""</t>
  </si>
  <si>
    <t>=NF($I382,P$11)</t>
  </si>
  <si>
    <t>=NF($I382,Q$11)</t>
  </si>
  <si>
    <t>=NF($I382,R$11)</t>
  </si>
  <si>
    <t>=NF($I382,S$11)</t>
  </si>
  <si>
    <t>="""GP Direct"",""Fabrikam, Inc."",""Jet Payroll Transactions"",""Pay Rate"",""8750.00000"",""Payroll Code"",""COMM"",""State"",""NE"",""Transaction Amount"",""8750.00000"""</t>
  </si>
  <si>
    <t>=NF($I383,P$11)</t>
  </si>
  <si>
    <t>=NF($I383,Q$11)</t>
  </si>
  <si>
    <t>=NF($I383,R$11)</t>
  </si>
  <si>
    <t>=NF($I383,S$11)</t>
  </si>
  <si>
    <t>="""GP Direct"",""Fabrikam, Inc."",""Jet Payroll Transactions"",""Pay Rate"",""0.00000"",""Payroll Code"",""401K"",""State"","""",""Transaction Amount"",""20.73000"""</t>
  </si>
  <si>
    <t>="""GP Direct"",""Fabrikam, Inc."",""Jet Payroll Transactions"",""Pay Rate"",""0.00000"",""Payroll Code"",""IL"",""State"","""",""Transaction Amount"",""18.70000"""</t>
  </si>
  <si>
    <t>="""GP Direct"",""Fabrikam, Inc."",""Jet Payroll Transactions"",""Pay Rate"",""7.97885"",""Payroll Code"",""SALY"",""State"",""IL"",""Transaction Amount"",""690.86000"""</t>
  </si>
  <si>
    <t>="""GP Direct"",""Fabrikam, Inc."",""Jet Payroll Transactions"",""Pay Rate"",""0.00000"",""Payroll Code"",""401K"",""State"","""",""Transaction Amount"",""20.75000"""</t>
  </si>
  <si>
    <t>="""GP Direct"",""Fabrikam, Inc."",""Jet Payroll Transactions"",""Pay Rate"",""0.00000"",""Payroll Code"",""IL"",""State"","""",""Transaction Amount"",""18.72000"""</t>
  </si>
  <si>
    <t>="""GP Direct"",""Fabrikam, Inc."",""Jet Payroll Transactions"",""Pay Rate"",""16596.00000"",""Payroll Code"",""SALY"",""State"",""IL"",""Transaction Amount"",""691.50000"""</t>
  </si>
  <si>
    <t>="""GP Direct"",""Fabrikam, Inc."",""Jet Payroll Transactions"",""Pay Rate"",""0.00000"",""Payroll Code"",""401K"",""State"","""",""Transaction Amount"",""30.00000"""</t>
  </si>
  <si>
    <t>="""GP Direct"",""Fabrikam, Inc."",""Jet Payroll Transactions"",""Pay Rate"",""0.00000"",""Payroll Code"",""IN"",""State"","""",""Transaction Amount"",""31.39000"""</t>
  </si>
  <si>
    <t>="""GP Direct"",""Fabrikam, Inc."",""Jet Payroll Transactions"",""Pay Rate"",""24000.00000"",""Payroll Code"",""SALY"",""State"",""IN"",""Transaction Amount"",""1000.00000"""</t>
  </si>
  <si>
    <t>=NF($I430,P$11)</t>
  </si>
  <si>
    <t>=NF($I430,Q$11)</t>
  </si>
  <si>
    <t>=NF($I430,R$11)</t>
  </si>
  <si>
    <t>=NF($I430,S$11)</t>
  </si>
  <si>
    <t>="""GP Direct"",""Fabrikam, Inc."",""Jet Payroll Transactions"",""Pay Rate"",""5550.00000"",""Payroll Code"",""COMM"",""State"",""IN"",""Transaction Amount"",""5550.00000"""</t>
  </si>
  <si>
    <t>=NF($I431,P$11)</t>
  </si>
  <si>
    <t>=NF($I431,Q$11)</t>
  </si>
  <si>
    <t>=NF($I431,R$11)</t>
  </si>
  <si>
    <t>=NF($I431,S$11)</t>
  </si>
  <si>
    <t>="""GP Direct"",""Fabrikam, Inc."",""Jet Payroll Transactions"",""Pay Rate"",""0.00000"",""Payroll Code"",""401K"",""State"","""",""Transaction Amount"",""50.37000"""</t>
  </si>
  <si>
    <t>="""GP Direct"",""Fabrikam, Inc."",""Jet Payroll Transactions"",""Pay Rate"",""0.00000"",""Payroll Code"",""IL"",""State"","""",""Transaction Amount"",""22.12000"""</t>
  </si>
  <si>
    <t>="""GP Direct"",""Fabrikam, Inc."",""Jet Payroll Transactions"",""Pay Rate"",""24178.00000"",""Payroll Code"",""SALY"",""State"",""IL"",""Transaction Amount"",""1007.42000"""</t>
  </si>
  <si>
    <t>="""GP Direct"",""Fabrikam, Inc."",""Jet Payroll Transactions"",""Pay Rate"",""0.00000"",""Payroll Code"",""401K"",""State"","""",""Transaction Amount"",""21.79000"""</t>
  </si>
  <si>
    <t>="""GP Direct"",""Fabrikam, Inc."",""Jet Payroll Transactions"",""Pay Rate"",""0.00000"",""Payroll Code"",""IL"",""State"","""",""Transaction Amount"",""19.74000"""</t>
  </si>
  <si>
    <t>="""GP Direct"",""Fabrikam, Inc."",""Jet Payroll Transactions"",""Pay Rate"",""17432.00000"",""Payroll Code"",""SALY"",""State"",""IL"",""Transaction Amount"",""726.33000"""</t>
  </si>
  <si>
    <t>="""GP Direct"",""Fabrikam, Inc."",""Jet Payroll Transactions"",""Pay Rate"",""0.00000"",""Payroll Code"",""401K"",""State"","""",""Transaction Amount"",""22.44000"""</t>
  </si>
  <si>
    <t>="""GP Direct"",""Fabrikam, Inc."",""Jet Payroll Transactions"",""Pay Rate"",""0.00000"",""Payroll Code"",""IL"",""State"","""",""Transaction Amount"",""8.98000"""</t>
  </si>
  <si>
    <t>="""GP Direct"",""Fabrikam, Inc."",""Jet Payroll Transactions"",""Pay Rate"",""17955.00000"",""Payroll Code"",""SALY"",""State"",""IL"",""Transaction Amount"",""748.13000"""</t>
  </si>
  <si>
    <t>="""GP Direct"",""Fabrikam, Inc."",""Jet Payroll Transactions"",""Pay Rate"",""0.00000"",""Payroll Code"",""MED"",""State"","""",""Transaction Amount"",""10.00000"""</t>
  </si>
  <si>
    <t>="""GP Direct"",""Fabrikam, Inc."",""Jet Payroll Transactions"",""Pay Rate"",""0.00000"",""Payroll Code"",""MN"",""State"","""",""Transaction Amount"",""13.24000"""</t>
  </si>
  <si>
    <t>="""GP Direct"",""Fabrikam, Inc."",""Jet Payroll Transactions"",""Pay Rate"",""24000.00000"",""Payroll Code"",""SALY"",""State"",""MN"",""Transaction Amount"",""1000.00000"""</t>
  </si>
  <si>
    <t>=NF($I523,P$11)</t>
  </si>
  <si>
    <t>=NF($I523,Q$11)</t>
  </si>
  <si>
    <t>=NF($I523,R$11)</t>
  </si>
  <si>
    <t>=NF($I523,S$11)</t>
  </si>
  <si>
    <t>="""GP Direct"",""Fabrikam, Inc."",""Jet Payroll Transactions"",""Pay Rate"",""6570.00000"",""Payroll Code"",""COMM"",""State"",""MN"",""Transaction Amount"",""6570.00000"""</t>
  </si>
  <si>
    <t>=NF($I524,P$11)</t>
  </si>
  <si>
    <t>=NF($I524,Q$11)</t>
  </si>
  <si>
    <t>=NF($I524,R$11)</t>
  </si>
  <si>
    <t>=NF($I524,S$11)</t>
  </si>
  <si>
    <t>="""GP Direct"",""Fabrikam, Inc."",""Jet Payroll Transactions"",""Pay Rate"",""0.00000"",""Payroll Code"",""401K"",""State"","""",""Transaction Amount"",""21.57000"""</t>
  </si>
  <si>
    <t>="""GP Direct"",""Fabrikam, Inc."",""Jet Payroll Transactions"",""Pay Rate"",""0.00000"",""Payroll Code"",""IL"",""State"","""",""Transaction Amount"",""19.53000"""</t>
  </si>
  <si>
    <t>="""GP Direct"",""Fabrikam, Inc."",""Jet Payroll Transactions"",""Pay Rate"",""17259.00000"",""Payroll Code"",""SALY"",""State"",""IL"",""Transaction Amount"",""719.13000"""</t>
  </si>
  <si>
    <t>="""GP Direct"",""Fabrikam, Inc."",""Jet Payroll Transactions"",""Pay Rate"",""0.00000"",""Payroll Code"",""IL"",""State"","""",""Transaction Amount"",""22.51000"""</t>
  </si>
  <si>
    <t>="""GP Direct"",""Fabrikam, Inc."",""Jet Payroll Transactions"",""Pay Rate"",""24000.00000"",""Payroll Code"",""SALY"",""State"",""IL"",""Transaction Amount"",""1000.00000"""</t>
  </si>
  <si>
    <t>=NF($I572,P$11)</t>
  </si>
  <si>
    <t>=NF($I572,Q$11)</t>
  </si>
  <si>
    <t>=NF($I572,R$11)</t>
  </si>
  <si>
    <t>=NF($I572,S$11)</t>
  </si>
  <si>
    <t>="""GP Direct"",""Fabrikam, Inc."",""Jet Payroll Transactions"",""Pay Rate"",""7300.00000"",""Payroll Code"",""COMM"",""State"",""IL"",""Transaction Amount"",""7300.00000"""</t>
  </si>
  <si>
    <t>=NF($I573,P$11)</t>
  </si>
  <si>
    <t>=NF($I573,Q$11)</t>
  </si>
  <si>
    <t>=NF($I573,R$11)</t>
  </si>
  <si>
    <t>=NF($I573,S$11)</t>
  </si>
  <si>
    <t>="""GP Direct"",""Fabrikam, Inc."",""Jet Payroll Transactions"",""Pay Rate"",""0.00000"",""Payroll Code"",""IL"",""State"","""",""Transaction Amount"",""12.74000"""</t>
  </si>
  <si>
    <t>="""GP Direct"",""Fabrikam, Inc."",""Jet Payroll Transactions"",""Pay Rate"",""10.81731"",""Payroll Code"",""SALY"",""State"",""IL"",""Transaction Amount"",""850.96000"""</t>
  </si>
  <si>
    <t>="""GP Direct"",""Fabrikam, Inc."",""Jet Payroll Transactions"",""Pay Rate"",""22500.00000"",""Payroll Code"",""SALY"",""State"",""IL"",""Transaction Amount"",""937.50000"""</t>
  </si>
  <si>
    <t>=NF($I601,P$11)</t>
  </si>
  <si>
    <t>=NF($I601,Q$11)</t>
  </si>
  <si>
    <t>=NF($I601,R$11)</t>
  </si>
  <si>
    <t>=NF($I601,S$11)</t>
  </si>
  <si>
    <t>="""GP Direct"",""Fabrikam, Inc."",""Jet Payroll Transactions"",""Pay Rate"",""500.00000"",""Payroll Code"",""BONS"",""State"",""IL"",""Transaction Amount"",""500.00000"""</t>
  </si>
  <si>
    <t>=NF($I602,P$11)</t>
  </si>
  <si>
    <t>=NF($I602,Q$11)</t>
  </si>
  <si>
    <t>=NF($I602,R$11)</t>
  </si>
  <si>
    <t>=NF($I602,S$11)</t>
  </si>
  <si>
    <t>="""GP Direct"",""Fabrikam, Inc."",""Jet Payroll Transactions"",""Pay Rate"",""21900.00000"",""Payroll Code"",""SALY"",""State"",""IL"",""Transaction Amount"",""912.50000"""</t>
  </si>
  <si>
    <t>="""GP Direct"",""Fabrikam, Inc."",""Jet Payroll Transactions"",""Pay Rate"",""0.00000"",""Payroll Code"",""401K"",""State"","""",""Transaction Amount"",""29.70000"""</t>
  </si>
  <si>
    <t>="""GP Direct"",""Fabrikam, Inc."",""Jet Payroll Transactions"",""Pay Rate"",""0.00000"",""Payroll Code"",""IL"",""State"","""",""Transaction Amount"",""25.22000"""</t>
  </si>
  <si>
    <t>="""GP Direct"",""Fabrikam, Inc."",""Jet Payroll Transactions"",""Pay Rate"",""23760.00000"",""Payroll Code"",""SALY"",""State"",""IL"",""Transaction Amount"",""990.00000"""</t>
  </si>
  <si>
    <t>="""GP Direct"",""Fabrikam, Inc."",""Jet Payroll Transactions"",""Pay Rate"",""0.00000"",""Payroll Code"",""401K"",""State"","""",""Transaction Amount"",""26.63000"""</t>
  </si>
  <si>
    <t>="""GP Direct"",""Fabrikam, Inc."",""Jet Payroll Transactions"",""Pay Rate"",""0.00000"",""Payroll Code"",""IL"",""State"","""",""Transaction Amount"",""15.54000"""</t>
  </si>
  <si>
    <t>="""GP Direct"",""Fabrikam, Inc."",""Jet Payroll Transactions"",""Pay Rate"",""21300.00000"",""Payroll Code"",""SALY"",""State"",""IL"",""Transaction Amount"",""887.50000"""</t>
  </si>
  <si>
    <t>=NF($I17,P$11)</t>
  </si>
  <si>
    <t>=NF($I18,P$11)</t>
  </si>
  <si>
    <t>=NF($I19,P$11)</t>
  </si>
  <si>
    <t>=NF($I20,P$11)</t>
  </si>
  <si>
    <t>=NF($I21,P$11)</t>
  </si>
  <si>
    <t>=NF($I22,P$11)</t>
  </si>
  <si>
    <t>=NF($I23,P$11)</t>
  </si>
  <si>
    <t>=NF($I17,Q$11)</t>
  </si>
  <si>
    <t>=NF($I18,Q$11)</t>
  </si>
  <si>
    <t>=NF($I19,Q$11)</t>
  </si>
  <si>
    <t>=NF($I20,Q$11)</t>
  </si>
  <si>
    <t>=NF($I21,Q$11)</t>
  </si>
  <si>
    <t>=NF($I22,Q$11)</t>
  </si>
  <si>
    <t>=NF($I23,Q$11)</t>
  </si>
  <si>
    <t>=NF($I17,R$11)</t>
  </si>
  <si>
    <t>=NF($I18,R$11)</t>
  </si>
  <si>
    <t>=NF($I19,R$11)</t>
  </si>
  <si>
    <t>=NF($I20,R$11)</t>
  </si>
  <si>
    <t>=NF($I21,R$11)</t>
  </si>
  <si>
    <t>=NF($I22,R$11)</t>
  </si>
  <si>
    <t>=NF($I23,R$11)</t>
  </si>
  <si>
    <t>=NF($I17,S$11)</t>
  </si>
  <si>
    <t>=NF($I18,S$11)</t>
  </si>
  <si>
    <t>=NF($I19,S$11)</t>
  </si>
  <si>
    <t>=NF($I20,S$11)</t>
  </si>
  <si>
    <t>=NF($I21,S$11)</t>
  </si>
  <si>
    <t>=NF($I22,S$11)</t>
  </si>
  <si>
    <t>=NF($I23,S$11)</t>
  </si>
  <si>
    <t>=NF($I27,P$11)</t>
  </si>
  <si>
    <t>=NF($I28,P$11)</t>
  </si>
  <si>
    <t>=NF($I29,P$11)</t>
  </si>
  <si>
    <t>=NF($I30,P$11)</t>
  </si>
  <si>
    <t>=NF($I31,P$11)</t>
  </si>
  <si>
    <t>=NF($I32,P$11)</t>
  </si>
  <si>
    <t>=NF($I33,P$11)</t>
  </si>
  <si>
    <t>=NF($I27,Q$11)</t>
  </si>
  <si>
    <t>=NF($I28,Q$11)</t>
  </si>
  <si>
    <t>=NF($I29,Q$11)</t>
  </si>
  <si>
    <t>=NF($I30,Q$11)</t>
  </si>
  <si>
    <t>=NF($I31,Q$11)</t>
  </si>
  <si>
    <t>=NF($I32,Q$11)</t>
  </si>
  <si>
    <t>=NF($I33,Q$11)</t>
  </si>
  <si>
    <t>=NF($I27,R$11)</t>
  </si>
  <si>
    <t>=NF($I28,R$11)</t>
  </si>
  <si>
    <t>=NF($I29,R$11)</t>
  </si>
  <si>
    <t>=NF($I30,R$11)</t>
  </si>
  <si>
    <t>=NF($I31,R$11)</t>
  </si>
  <si>
    <t>=NF($I32,R$11)</t>
  </si>
  <si>
    <t>=NF($I33,R$11)</t>
  </si>
  <si>
    <t>=NF($I27,S$11)</t>
  </si>
  <si>
    <t>=NF($I28,S$11)</t>
  </si>
  <si>
    <t>=NF($I29,S$11)</t>
  </si>
  <si>
    <t>=NF($I30,S$11)</t>
  </si>
  <si>
    <t>=NF($I31,S$11)</t>
  </si>
  <si>
    <t>=NF($I32,S$11)</t>
  </si>
  <si>
    <t>=NF($I33,S$11)</t>
  </si>
  <si>
    <t>=NF($I80,P$11)</t>
  </si>
  <si>
    <t>=NF($I81,P$11)</t>
  </si>
  <si>
    <t>=NF($I82,P$11)</t>
  </si>
  <si>
    <t>=NF($I83,P$11)</t>
  </si>
  <si>
    <t>=NF($I84,P$11)</t>
  </si>
  <si>
    <t>=NF($I85,P$11)</t>
  </si>
  <si>
    <t>=NF($I80,Q$11)</t>
  </si>
  <si>
    <t>=NF($I81,Q$11)</t>
  </si>
  <si>
    <t>=NF($I82,Q$11)</t>
  </si>
  <si>
    <t>=NF($I83,Q$11)</t>
  </si>
  <si>
    <t>=NF($I84,Q$11)</t>
  </si>
  <si>
    <t>=NF($I85,Q$11)</t>
  </si>
  <si>
    <t>=NF($I80,R$11)</t>
  </si>
  <si>
    <t>=NF($I81,R$11)</t>
  </si>
  <si>
    <t>=NF($I82,R$11)</t>
  </si>
  <si>
    <t>=NF($I83,R$11)</t>
  </si>
  <si>
    <t>=NF($I84,R$11)</t>
  </si>
  <si>
    <t>=NF($I85,R$11)</t>
  </si>
  <si>
    <t>=NF($I80,S$11)</t>
  </si>
  <si>
    <t>=NF($I81,S$11)</t>
  </si>
  <si>
    <t>=NF($I82,S$11)</t>
  </si>
  <si>
    <t>=NF($I83,S$11)</t>
  </si>
  <si>
    <t>=NF($I84,S$11)</t>
  </si>
  <si>
    <t>=NF($I85,S$11)</t>
  </si>
  <si>
    <t>=NF($I89,P$11)</t>
  </si>
  <si>
    <t>=NF($I90,P$11)</t>
  </si>
  <si>
    <t>=NF($I91,P$11)</t>
  </si>
  <si>
    <t>=NF($I92,P$11)</t>
  </si>
  <si>
    <t>=NF($I93,P$11)</t>
  </si>
  <si>
    <t>=NF($I94,P$11)</t>
  </si>
  <si>
    <t>=NF($I89,Q$11)</t>
  </si>
  <si>
    <t>=NF($I90,Q$11)</t>
  </si>
  <si>
    <t>=NF($I91,Q$11)</t>
  </si>
  <si>
    <t>=NF($I92,Q$11)</t>
  </si>
  <si>
    <t>=NF($I93,Q$11)</t>
  </si>
  <si>
    <t>=NF($I94,Q$11)</t>
  </si>
  <si>
    <t>=NF($I89,R$11)</t>
  </si>
  <si>
    <t>=NF($I90,R$11)</t>
  </si>
  <si>
    <t>=NF($I91,R$11)</t>
  </si>
  <si>
    <t>=NF($I92,R$11)</t>
  </si>
  <si>
    <t>=NF($I93,R$11)</t>
  </si>
  <si>
    <t>=NF($I94,R$11)</t>
  </si>
  <si>
    <t>=NF($I89,S$11)</t>
  </si>
  <si>
    <t>=NF($I90,S$11)</t>
  </si>
  <si>
    <t>=NF($I91,S$11)</t>
  </si>
  <si>
    <t>=NF($I92,S$11)</t>
  </si>
  <si>
    <t>=NF($I93,S$11)</t>
  </si>
  <si>
    <t>=NF($I94,S$11)</t>
  </si>
  <si>
    <t>=NF($I57,P$11)</t>
  </si>
  <si>
    <t>=NF($I58,P$11)</t>
  </si>
  <si>
    <t>=NF($I59,P$11)</t>
  </si>
  <si>
    <t>=NF($I60,P$11)</t>
  </si>
  <si>
    <t>=NF($I61,P$11)</t>
  </si>
  <si>
    <t>=NF($I62,P$11)</t>
  </si>
  <si>
    <t>=NF($I63,P$11)</t>
  </si>
  <si>
    <t>=NF($I57,Q$11)</t>
  </si>
  <si>
    <t>=NF($I58,Q$11)</t>
  </si>
  <si>
    <t>=NF($I59,Q$11)</t>
  </si>
  <si>
    <t>=NF($I60,Q$11)</t>
  </si>
  <si>
    <t>=NF($I61,Q$11)</t>
  </si>
  <si>
    <t>=NF($I62,Q$11)</t>
  </si>
  <si>
    <t>=NF($I63,Q$11)</t>
  </si>
  <si>
    <t>=NF($I57,R$11)</t>
  </si>
  <si>
    <t>=NF($I58,R$11)</t>
  </si>
  <si>
    <t>=NF($I59,R$11)</t>
  </si>
  <si>
    <t>=NF($I60,R$11)</t>
  </si>
  <si>
    <t>=NF($I61,R$11)</t>
  </si>
  <si>
    <t>=NF($I62,R$11)</t>
  </si>
  <si>
    <t>=NF($I63,R$11)</t>
  </si>
  <si>
    <t>=NF($I57,S$11)</t>
  </si>
  <si>
    <t>=NF($I58,S$11)</t>
  </si>
  <si>
    <t>=NF($I59,S$11)</t>
  </si>
  <si>
    <t>=NF($I60,S$11)</t>
  </si>
  <si>
    <t>=NF($I61,S$11)</t>
  </si>
  <si>
    <t>=NF($I62,S$11)</t>
  </si>
  <si>
    <t>=NF($I63,S$11)</t>
  </si>
  <si>
    <t>=NF($I67,P$11)</t>
  </si>
  <si>
    <t>=NF($I68,P$11)</t>
  </si>
  <si>
    <t>=NF($I69,P$11)</t>
  </si>
  <si>
    <t>=NF($I70,P$11)</t>
  </si>
  <si>
    <t>=NF($I71,P$11)</t>
  </si>
  <si>
    <t>=NF($I72,P$11)</t>
  </si>
  <si>
    <t>=NF($I73,P$11)</t>
  </si>
  <si>
    <t>=NF($I67,Q$11)</t>
  </si>
  <si>
    <t>=NF($I68,Q$11)</t>
  </si>
  <si>
    <t>=NF($I69,Q$11)</t>
  </si>
  <si>
    <t>=NF($I70,Q$11)</t>
  </si>
  <si>
    <t>=NF($I71,Q$11)</t>
  </si>
  <si>
    <t>=NF($I72,Q$11)</t>
  </si>
  <si>
    <t>=NF($I73,Q$11)</t>
  </si>
  <si>
    <t>=NF($I67,R$11)</t>
  </si>
  <si>
    <t>=NF($I68,R$11)</t>
  </si>
  <si>
    <t>=NF($I69,R$11)</t>
  </si>
  <si>
    <t>=NF($I70,R$11)</t>
  </si>
  <si>
    <t>=NF($I71,R$11)</t>
  </si>
  <si>
    <t>=NF($I72,R$11)</t>
  </si>
  <si>
    <t>=NF($I73,R$11)</t>
  </si>
  <si>
    <t>=NF($I67,S$11)</t>
  </si>
  <si>
    <t>=NF($I68,S$11)</t>
  </si>
  <si>
    <t>=NF($I69,S$11)</t>
  </si>
  <si>
    <t>=NF($I70,S$11)</t>
  </si>
  <si>
    <t>=NF($I71,S$11)</t>
  </si>
  <si>
    <t>=NF($I72,S$11)</t>
  </si>
  <si>
    <t>=NF($I73,S$11)</t>
  </si>
  <si>
    <t>=NF($I40,P$11)</t>
  </si>
  <si>
    <t>=NF($I41,P$11)</t>
  </si>
  <si>
    <t>=NF($I42,P$11)</t>
  </si>
  <si>
    <t>=NF($I43,P$11)</t>
  </si>
  <si>
    <t>=NF($I40,Q$11)</t>
  </si>
  <si>
    <t>=NF($I41,Q$11)</t>
  </si>
  <si>
    <t>=NF($I42,Q$11)</t>
  </si>
  <si>
    <t>=NF($I43,Q$11)</t>
  </si>
  <si>
    <t>=NF($I40,R$11)</t>
  </si>
  <si>
    <t>=NF($I41,R$11)</t>
  </si>
  <si>
    <t>=NF($I42,R$11)</t>
  </si>
  <si>
    <t>=NF($I43,R$11)</t>
  </si>
  <si>
    <t>=NF($I40,S$11)</t>
  </si>
  <si>
    <t>=NF($I41,S$11)</t>
  </si>
  <si>
    <t>=NF($I42,S$11)</t>
  </si>
  <si>
    <t>=NF($I43,S$11)</t>
  </si>
  <si>
    <t>=NF($I47,P$11)</t>
  </si>
  <si>
    <t>=NF($I48,P$11)</t>
  </si>
  <si>
    <t>=NF($I49,P$11)</t>
  </si>
  <si>
    <t>=NF($I50,P$11)</t>
  </si>
  <si>
    <t>=NF($I47,Q$11)</t>
  </si>
  <si>
    <t>=NF($I48,Q$11)</t>
  </si>
  <si>
    <t>=NF($I49,Q$11)</t>
  </si>
  <si>
    <t>=NF($I50,Q$11)</t>
  </si>
  <si>
    <t>=NF($I47,R$11)</t>
  </si>
  <si>
    <t>=NF($I48,R$11)</t>
  </si>
  <si>
    <t>=NF($I49,R$11)</t>
  </si>
  <si>
    <t>=NF($I50,R$11)</t>
  </si>
  <si>
    <t>=NF($I47,S$11)</t>
  </si>
  <si>
    <t>=NF($I48,S$11)</t>
  </si>
  <si>
    <t>=NF($I49,S$11)</t>
  </si>
  <si>
    <t>=NF($I50,S$11)</t>
  </si>
  <si>
    <t>=NF($I584,P$11)</t>
  </si>
  <si>
    <t>=NF($I585,P$11)</t>
  </si>
  <si>
    <t>=NF($I586,P$11)</t>
  </si>
  <si>
    <t>=NF($I587,P$11)</t>
  </si>
  <si>
    <t>=NF($I588,P$11)</t>
  </si>
  <si>
    <t>=NF($I589,P$11)</t>
  </si>
  <si>
    <t>=NF($I584,Q$11)</t>
  </si>
  <si>
    <t>=NF($I585,Q$11)</t>
  </si>
  <si>
    <t>=NF($I586,Q$11)</t>
  </si>
  <si>
    <t>=NF($I587,Q$11)</t>
  </si>
  <si>
    <t>=NF($I588,Q$11)</t>
  </si>
  <si>
    <t>=NF($I589,Q$11)</t>
  </si>
  <si>
    <t>=NF($I584,R$11)</t>
  </si>
  <si>
    <t>=NF($I585,R$11)</t>
  </si>
  <si>
    <t>=NF($I586,R$11)</t>
  </si>
  <si>
    <t>=NF($I587,R$11)</t>
  </si>
  <si>
    <t>=NF($I588,R$11)</t>
  </si>
  <si>
    <t>=NF($I589,R$11)</t>
  </si>
  <si>
    <t>=NF($I584,S$11)</t>
  </si>
  <si>
    <t>=NF($I585,S$11)</t>
  </si>
  <si>
    <t>=NF($I586,S$11)</t>
  </si>
  <si>
    <t>=NF($I587,S$11)</t>
  </si>
  <si>
    <t>=NF($I588,S$11)</t>
  </si>
  <si>
    <t>=NF($I589,S$11)</t>
  </si>
  <si>
    <t>=NF($I593,P$11)</t>
  </si>
  <si>
    <t>=NF($I594,P$11)</t>
  </si>
  <si>
    <t>=NF($I595,P$11)</t>
  </si>
  <si>
    <t>=NF($I596,P$11)</t>
  </si>
  <si>
    <t>=NF($I597,P$11)</t>
  </si>
  <si>
    <t>=NF($I593,Q$11)</t>
  </si>
  <si>
    <t>=NF($I594,Q$11)</t>
  </si>
  <si>
    <t>=NF($I595,Q$11)</t>
  </si>
  <si>
    <t>=NF($I596,Q$11)</t>
  </si>
  <si>
    <t>=NF($I597,Q$11)</t>
  </si>
  <si>
    <t>=NF($I593,R$11)</t>
  </si>
  <si>
    <t>=NF($I594,R$11)</t>
  </si>
  <si>
    <t>=NF($I595,R$11)</t>
  </si>
  <si>
    <t>=NF($I596,R$11)</t>
  </si>
  <si>
    <t>=NF($I597,R$11)</t>
  </si>
  <si>
    <t>=NF($I593,S$11)</t>
  </si>
  <si>
    <t>=NF($I594,S$11)</t>
  </si>
  <si>
    <t>=NF($I595,S$11)</t>
  </si>
  <si>
    <t>=NF($I596,S$11)</t>
  </si>
  <si>
    <t>=NF($I597,S$11)</t>
  </si>
  <si>
    <t>=NF($I651,P$11)</t>
  </si>
  <si>
    <t>=NF($I652,P$11)</t>
  </si>
  <si>
    <t>=NF($I653,P$11)</t>
  </si>
  <si>
    <t>=NF($I654,P$11)</t>
  </si>
  <si>
    <t>=NF($I655,P$11)</t>
  </si>
  <si>
    <t>=NF($I656,P$11)</t>
  </si>
  <si>
    <t>=NF($I657,P$11)</t>
  </si>
  <si>
    <t>=NF($I651,Q$11)</t>
  </si>
  <si>
    <t>=NF($I652,Q$11)</t>
  </si>
  <si>
    <t>=NF($I653,Q$11)</t>
  </si>
  <si>
    <t>=NF($I654,Q$11)</t>
  </si>
  <si>
    <t>=NF($I655,Q$11)</t>
  </si>
  <si>
    <t>=NF($I656,Q$11)</t>
  </si>
  <si>
    <t>=NF($I657,Q$11)</t>
  </si>
  <si>
    <t>=NF($I651,R$11)</t>
  </si>
  <si>
    <t>=NF($I652,R$11)</t>
  </si>
  <si>
    <t>=NF($I653,R$11)</t>
  </si>
  <si>
    <t>=NF($I654,R$11)</t>
  </si>
  <si>
    <t>=NF($I655,R$11)</t>
  </si>
  <si>
    <t>=NF($I656,R$11)</t>
  </si>
  <si>
    <t>=NF($I657,R$11)</t>
  </si>
  <si>
    <t>=NF($I651,S$11)</t>
  </si>
  <si>
    <t>=NF($I652,S$11)</t>
  </si>
  <si>
    <t>=NF($I653,S$11)</t>
  </si>
  <si>
    <t>=NF($I654,S$11)</t>
  </si>
  <si>
    <t>=NF($I655,S$11)</t>
  </si>
  <si>
    <t>=NF($I656,S$11)</t>
  </si>
  <si>
    <t>=NF($I657,S$11)</t>
  </si>
  <si>
    <t>=NF($I661,P$11)</t>
  </si>
  <si>
    <t>=NF($I662,P$11)</t>
  </si>
  <si>
    <t>=NF($I663,P$11)</t>
  </si>
  <si>
    <t>=NF($I664,P$11)</t>
  </si>
  <si>
    <t>=NF($I665,P$11)</t>
  </si>
  <si>
    <t>=NF($I666,P$11)</t>
  </si>
  <si>
    <t>=NF($I667,P$11)</t>
  </si>
  <si>
    <t>=NF($I661,Q$11)</t>
  </si>
  <si>
    <t>=NF($I662,Q$11)</t>
  </si>
  <si>
    <t>=NF($I663,Q$11)</t>
  </si>
  <si>
    <t>=NF($I664,Q$11)</t>
  </si>
  <si>
    <t>=NF($I665,Q$11)</t>
  </si>
  <si>
    <t>=NF($I666,Q$11)</t>
  </si>
  <si>
    <t>=NF($I667,Q$11)</t>
  </si>
  <si>
    <t>=NF($I661,R$11)</t>
  </si>
  <si>
    <t>=NF($I662,R$11)</t>
  </si>
  <si>
    <t>=NF($I663,R$11)</t>
  </si>
  <si>
    <t>=NF($I664,R$11)</t>
  </si>
  <si>
    <t>=NF($I665,R$11)</t>
  </si>
  <si>
    <t>=NF($I666,R$11)</t>
  </si>
  <si>
    <t>=NF($I667,R$11)</t>
  </si>
  <si>
    <t>=NF($I661,S$11)</t>
  </si>
  <si>
    <t>=NF($I662,S$11)</t>
  </si>
  <si>
    <t>=NF($I663,S$11)</t>
  </si>
  <si>
    <t>=NF($I664,S$11)</t>
  </si>
  <si>
    <t>=NF($I665,S$11)</t>
  </si>
  <si>
    <t>=NF($I666,S$11)</t>
  </si>
  <si>
    <t>=NF($I667,S$11)</t>
  </si>
  <si>
    <t>=NF($I628,P$11)</t>
  </si>
  <si>
    <t>=NF($I629,P$11)</t>
  </si>
  <si>
    <t>=NF($I630,P$11)</t>
  </si>
  <si>
    <t>=NF($I631,P$11)</t>
  </si>
  <si>
    <t>=NF($I632,P$11)</t>
  </si>
  <si>
    <t>=NF($I633,P$11)</t>
  </si>
  <si>
    <t>=NF($I634,P$11)</t>
  </si>
  <si>
    <t>=NF($I628,Q$11)</t>
  </si>
  <si>
    <t>=NF($I629,Q$11)</t>
  </si>
  <si>
    <t>=NF($I630,Q$11)</t>
  </si>
  <si>
    <t>=NF($I631,Q$11)</t>
  </si>
  <si>
    <t>=NF($I632,Q$11)</t>
  </si>
  <si>
    <t>=NF($I633,Q$11)</t>
  </si>
  <si>
    <t>=NF($I634,Q$11)</t>
  </si>
  <si>
    <t>=NF($I628,R$11)</t>
  </si>
  <si>
    <t>=NF($I629,R$11)</t>
  </si>
  <si>
    <t>=NF($I630,R$11)</t>
  </si>
  <si>
    <t>=NF($I631,R$11)</t>
  </si>
  <si>
    <t>=NF($I632,R$11)</t>
  </si>
  <si>
    <t>=NF($I633,R$11)</t>
  </si>
  <si>
    <t>=NF($I634,R$11)</t>
  </si>
  <si>
    <t>=NF($I628,S$11)</t>
  </si>
  <si>
    <t>=NF($I629,S$11)</t>
  </si>
  <si>
    <t>=NF($I630,S$11)</t>
  </si>
  <si>
    <t>=NF($I631,S$11)</t>
  </si>
  <si>
    <t>=NF($I632,S$11)</t>
  </si>
  <si>
    <t>=NF($I633,S$11)</t>
  </si>
  <si>
    <t>=NF($I634,S$11)</t>
  </si>
  <si>
    <t>=NF($I638,P$11)</t>
  </si>
  <si>
    <t>=NF($I639,P$11)</t>
  </si>
  <si>
    <t>=NF($I640,P$11)</t>
  </si>
  <si>
    <t>=NF($I641,P$11)</t>
  </si>
  <si>
    <t>=NF($I642,P$11)</t>
  </si>
  <si>
    <t>=NF($I643,P$11)</t>
  </si>
  <si>
    <t>=NF($I644,P$11)</t>
  </si>
  <si>
    <t>=NF($I638,Q$11)</t>
  </si>
  <si>
    <t>=NF($I639,Q$11)</t>
  </si>
  <si>
    <t>=NF($I640,Q$11)</t>
  </si>
  <si>
    <t>=NF($I641,Q$11)</t>
  </si>
  <si>
    <t>=NF($I642,Q$11)</t>
  </si>
  <si>
    <t>=NF($I643,Q$11)</t>
  </si>
  <si>
    <t>=NF($I644,Q$11)</t>
  </si>
  <si>
    <t>=NF($I638,R$11)</t>
  </si>
  <si>
    <t>=NF($I639,R$11)</t>
  </si>
  <si>
    <t>=NF($I640,R$11)</t>
  </si>
  <si>
    <t>=NF($I641,R$11)</t>
  </si>
  <si>
    <t>=NF($I642,R$11)</t>
  </si>
  <si>
    <t>=NF($I643,R$11)</t>
  </si>
  <si>
    <t>=NF($I644,R$11)</t>
  </si>
  <si>
    <t>=NF($I638,S$11)</t>
  </si>
  <si>
    <t>=NF($I639,S$11)</t>
  </si>
  <si>
    <t>=NF($I640,S$11)</t>
  </si>
  <si>
    <t>=NF($I641,S$11)</t>
  </si>
  <si>
    <t>=NF($I642,S$11)</t>
  </si>
  <si>
    <t>=NF($I643,S$11)</t>
  </si>
  <si>
    <t>=NF($I644,S$11)</t>
  </si>
  <si>
    <t>=NF($I609,P$11)</t>
  </si>
  <si>
    <t>=NF($I610,P$11)</t>
  </si>
  <si>
    <t>=NF($I611,P$11)</t>
  </si>
  <si>
    <t>=NF($I612,P$11)</t>
  </si>
  <si>
    <t>=NF($I613,P$11)</t>
  </si>
  <si>
    <t>=NF($I609,Q$11)</t>
  </si>
  <si>
    <t>=NF($I610,Q$11)</t>
  </si>
  <si>
    <t>=NF($I611,Q$11)</t>
  </si>
  <si>
    <t>=NF($I612,Q$11)</t>
  </si>
  <si>
    <t>=NF($I613,Q$11)</t>
  </si>
  <si>
    <t>=NF($I609,R$11)</t>
  </si>
  <si>
    <t>=NF($I610,R$11)</t>
  </si>
  <si>
    <t>=NF($I611,R$11)</t>
  </si>
  <si>
    <t>=NF($I612,R$11)</t>
  </si>
  <si>
    <t>=NF($I613,R$11)</t>
  </si>
  <si>
    <t>=NF($I609,S$11)</t>
  </si>
  <si>
    <t>=NF($I610,S$11)</t>
  </si>
  <si>
    <t>=NF($I611,S$11)</t>
  </si>
  <si>
    <t>=NF($I612,S$11)</t>
  </si>
  <si>
    <t>=NF($I613,S$11)</t>
  </si>
  <si>
    <t>=NF($I617,P$11)</t>
  </si>
  <si>
    <t>=NF($I618,P$11)</t>
  </si>
  <si>
    <t>=NF($I619,P$11)</t>
  </si>
  <si>
    <t>=NF($I620,P$11)</t>
  </si>
  <si>
    <t>=NF($I621,P$11)</t>
  </si>
  <si>
    <t>=NF($I617,Q$11)</t>
  </si>
  <si>
    <t>=NF($I618,Q$11)</t>
  </si>
  <si>
    <t>=NF($I619,Q$11)</t>
  </si>
  <si>
    <t>=NF($I620,Q$11)</t>
  </si>
  <si>
    <t>=NF($I621,Q$11)</t>
  </si>
  <si>
    <t>=NF($I617,R$11)</t>
  </si>
  <si>
    <t>=NF($I618,R$11)</t>
  </si>
  <si>
    <t>=NF($I619,R$11)</t>
  </si>
  <si>
    <t>=NF($I620,R$11)</t>
  </si>
  <si>
    <t>=NF($I621,R$11)</t>
  </si>
  <si>
    <t>=NF($I617,S$11)</t>
  </si>
  <si>
    <t>=NF($I618,S$11)</t>
  </si>
  <si>
    <t>=NF($I619,S$11)</t>
  </si>
  <si>
    <t>=NF($I620,S$11)</t>
  </si>
  <si>
    <t>=NF($I621,S$11)</t>
  </si>
  <si>
    <t>=NF($I341,P$11)</t>
  </si>
  <si>
    <t>=NF($I342,P$11)</t>
  </si>
  <si>
    <t>=NF($I343,P$11)</t>
  </si>
  <si>
    <t>=NF($I344,P$11)</t>
  </si>
  <si>
    <t>=NF($I345,P$11)</t>
  </si>
  <si>
    <t>=NF($I346,P$11)</t>
  </si>
  <si>
    <t>=NF($I347,P$11)</t>
  </si>
  <si>
    <t>=NF($I341,Q$11)</t>
  </si>
  <si>
    <t>=NF($I342,Q$11)</t>
  </si>
  <si>
    <t>=NF($I343,Q$11)</t>
  </si>
  <si>
    <t>=NF($I344,Q$11)</t>
  </si>
  <si>
    <t>=NF($I345,Q$11)</t>
  </si>
  <si>
    <t>=NF($I346,Q$11)</t>
  </si>
  <si>
    <t>=NF($I347,Q$11)</t>
  </si>
  <si>
    <t>=NF($I341,R$11)</t>
  </si>
  <si>
    <t>=NF($I342,R$11)</t>
  </si>
  <si>
    <t>=NF($I343,R$11)</t>
  </si>
  <si>
    <t>=NF($I344,R$11)</t>
  </si>
  <si>
    <t>=NF($I345,R$11)</t>
  </si>
  <si>
    <t>=NF($I346,R$11)</t>
  </si>
  <si>
    <t>=NF($I347,R$11)</t>
  </si>
  <si>
    <t>=NF($I341,S$11)</t>
  </si>
  <si>
    <t>=NF($I342,S$11)</t>
  </si>
  <si>
    <t>=NF($I343,S$11)</t>
  </si>
  <si>
    <t>=NF($I344,S$11)</t>
  </si>
  <si>
    <t>=NF($I345,S$11)</t>
  </si>
  <si>
    <t>=NF($I346,S$11)</t>
  </si>
  <si>
    <t>=NF($I347,S$11)</t>
  </si>
  <si>
    <t>=NF($I351,P$11)</t>
  </si>
  <si>
    <t>=NF($I352,P$11)</t>
  </si>
  <si>
    <t>=NF($I353,P$11)</t>
  </si>
  <si>
    <t>=NF($I354,P$11)</t>
  </si>
  <si>
    <t>=NF($I355,P$11)</t>
  </si>
  <si>
    <t>=NF($I356,P$11)</t>
  </si>
  <si>
    <t>=NF($I351,Q$11)</t>
  </si>
  <si>
    <t>=NF($I352,Q$11)</t>
  </si>
  <si>
    <t>=NF($I353,Q$11)</t>
  </si>
  <si>
    <t>=NF($I354,Q$11)</t>
  </si>
  <si>
    <t>=NF($I355,Q$11)</t>
  </si>
  <si>
    <t>=NF($I356,Q$11)</t>
  </si>
  <si>
    <t>=NF($I351,R$11)</t>
  </si>
  <si>
    <t>=NF($I352,R$11)</t>
  </si>
  <si>
    <t>=NF($I353,R$11)</t>
  </si>
  <si>
    <t>=NF($I354,R$11)</t>
  </si>
  <si>
    <t>=NF($I355,R$11)</t>
  </si>
  <si>
    <t>=NF($I356,R$11)</t>
  </si>
  <si>
    <t>=NF($I351,S$11)</t>
  </si>
  <si>
    <t>=NF($I352,S$11)</t>
  </si>
  <si>
    <t>=NF($I353,S$11)</t>
  </si>
  <si>
    <t>=NF($I354,S$11)</t>
  </si>
  <si>
    <t>=NF($I355,S$11)</t>
  </si>
  <si>
    <t>=NF($I356,S$11)</t>
  </si>
  <si>
    <t>=NF($I552,P$11)</t>
  </si>
  <si>
    <t>=NF($I553,P$11)</t>
  </si>
  <si>
    <t>=NF($I554,P$11)</t>
  </si>
  <si>
    <t>=NF($I555,P$11)</t>
  </si>
  <si>
    <t>=NF($I556,P$11)</t>
  </si>
  <si>
    <t>=NF($I557,P$11)</t>
  </si>
  <si>
    <t>=NF($I558,P$11)</t>
  </si>
  <si>
    <t>=NF($I552,Q$11)</t>
  </si>
  <si>
    <t>=NF($I553,Q$11)</t>
  </si>
  <si>
    <t>=NF($I554,Q$11)</t>
  </si>
  <si>
    <t>=NF($I555,Q$11)</t>
  </si>
  <si>
    <t>=NF($I556,Q$11)</t>
  </si>
  <si>
    <t>=NF($I557,Q$11)</t>
  </si>
  <si>
    <t>=NF($I558,Q$11)</t>
  </si>
  <si>
    <t>=NF($I552,R$11)</t>
  </si>
  <si>
    <t>=NF($I553,R$11)</t>
  </si>
  <si>
    <t>=NF($I554,R$11)</t>
  </si>
  <si>
    <t>=NF($I555,R$11)</t>
  </si>
  <si>
    <t>=NF($I556,R$11)</t>
  </si>
  <si>
    <t>=NF($I557,R$11)</t>
  </si>
  <si>
    <t>=NF($I558,R$11)</t>
  </si>
  <si>
    <t>=NF($I552,S$11)</t>
  </si>
  <si>
    <t>=NF($I553,S$11)</t>
  </si>
  <si>
    <t>=NF($I554,S$11)</t>
  </si>
  <si>
    <t>=NF($I555,S$11)</t>
  </si>
  <si>
    <t>=NF($I556,S$11)</t>
  </si>
  <si>
    <t>=NF($I557,S$11)</t>
  </si>
  <si>
    <t>=NF($I558,S$11)</t>
  </si>
  <si>
    <t>=NF($I562,P$11)</t>
  </si>
  <si>
    <t>=NF($I563,P$11)</t>
  </si>
  <si>
    <t>=NF($I564,P$11)</t>
  </si>
  <si>
    <t>=NF($I565,P$11)</t>
  </si>
  <si>
    <t>=NF($I566,P$11)</t>
  </si>
  <si>
    <t>=NF($I567,P$11)</t>
  </si>
  <si>
    <t>=NF($I568,P$11)</t>
  </si>
  <si>
    <t>=NF($I562,Q$11)</t>
  </si>
  <si>
    <t>=NF($I563,Q$11)</t>
  </si>
  <si>
    <t>=NF($I564,Q$11)</t>
  </si>
  <si>
    <t>=NF($I565,Q$11)</t>
  </si>
  <si>
    <t>=NF($I566,Q$11)</t>
  </si>
  <si>
    <t>=NF($I567,Q$11)</t>
  </si>
  <si>
    <t>=NF($I568,Q$11)</t>
  </si>
  <si>
    <t>=NF($I562,R$11)</t>
  </si>
  <si>
    <t>=NF($I563,R$11)</t>
  </si>
  <si>
    <t>=NF($I564,R$11)</t>
  </si>
  <si>
    <t>=NF($I565,R$11)</t>
  </si>
  <si>
    <t>=NF($I566,R$11)</t>
  </si>
  <si>
    <t>=NF($I567,R$11)</t>
  </si>
  <si>
    <t>=NF($I568,R$11)</t>
  </si>
  <si>
    <t>=NF($I562,S$11)</t>
  </si>
  <si>
    <t>=NF($I563,S$11)</t>
  </si>
  <si>
    <t>=NF($I564,S$11)</t>
  </si>
  <si>
    <t>=NF($I565,S$11)</t>
  </si>
  <si>
    <t>=NF($I566,S$11)</t>
  </si>
  <si>
    <t>=NF($I567,S$11)</t>
  </si>
  <si>
    <t>=NF($I568,S$11)</t>
  </si>
  <si>
    <t>=NF($I531,P$11)</t>
  </si>
  <si>
    <t>=NF($I532,P$11)</t>
  </si>
  <si>
    <t>=NF($I533,P$11)</t>
  </si>
  <si>
    <t>=NF($I534,P$11)</t>
  </si>
  <si>
    <t>=NF($I535,P$11)</t>
  </si>
  <si>
    <t>=NF($I536,P$11)</t>
  </si>
  <si>
    <t>=NF($I531,Q$11)</t>
  </si>
  <si>
    <t>=NF($I532,Q$11)</t>
  </si>
  <si>
    <t>=NF($I533,Q$11)</t>
  </si>
  <si>
    <t>=NF($I534,Q$11)</t>
  </si>
  <si>
    <t>=NF($I535,Q$11)</t>
  </si>
  <si>
    <t>=NF($I536,Q$11)</t>
  </si>
  <si>
    <t>=NF($I531,R$11)</t>
  </si>
  <si>
    <t>=NF($I532,R$11)</t>
  </si>
  <si>
    <t>=NF($I533,R$11)</t>
  </si>
  <si>
    <t>=NF($I534,R$11)</t>
  </si>
  <si>
    <t>=NF($I535,R$11)</t>
  </si>
  <si>
    <t>=NF($I536,R$11)</t>
  </si>
  <si>
    <t>=NF($I531,S$11)</t>
  </si>
  <si>
    <t>=NF($I532,S$11)</t>
  </si>
  <si>
    <t>=NF($I533,S$11)</t>
  </si>
  <si>
    <t>=NF($I534,S$11)</t>
  </si>
  <si>
    <t>=NF($I535,S$11)</t>
  </si>
  <si>
    <t>=NF($I536,S$11)</t>
  </si>
  <si>
    <t>=NF($I540,P$11)</t>
  </si>
  <si>
    <t>=NF($I541,P$11)</t>
  </si>
  <si>
    <t>=NF($I542,P$11)</t>
  </si>
  <si>
    <t>=NF($I543,P$11)</t>
  </si>
  <si>
    <t>=NF($I544,P$11)</t>
  </si>
  <si>
    <t>=NF($I545,P$11)</t>
  </si>
  <si>
    <t>=NF($I540,Q$11)</t>
  </si>
  <si>
    <t>=NF($I541,Q$11)</t>
  </si>
  <si>
    <t>=NF($I542,Q$11)</t>
  </si>
  <si>
    <t>=NF($I543,Q$11)</t>
  </si>
  <si>
    <t>=NF($I544,Q$11)</t>
  </si>
  <si>
    <t>=NF($I545,Q$11)</t>
  </si>
  <si>
    <t>=NF($I540,R$11)</t>
  </si>
  <si>
    <t>=NF($I541,R$11)</t>
  </si>
  <si>
    <t>=NF($I542,R$11)</t>
  </si>
  <si>
    <t>=NF($I543,R$11)</t>
  </si>
  <si>
    <t>=NF($I544,R$11)</t>
  </si>
  <si>
    <t>=NF($I545,R$11)</t>
  </si>
  <si>
    <t>=NF($I540,S$11)</t>
  </si>
  <si>
    <t>=NF($I541,S$11)</t>
  </si>
  <si>
    <t>=NF($I542,S$11)</t>
  </si>
  <si>
    <t>=NF($I543,S$11)</t>
  </si>
  <si>
    <t>=NF($I544,S$11)</t>
  </si>
  <si>
    <t>=NF($I545,S$11)</t>
  </si>
  <si>
    <t>=NF($I505,P$11)</t>
  </si>
  <si>
    <t>=NF($I506,P$11)</t>
  </si>
  <si>
    <t>=NF($I507,P$11)</t>
  </si>
  <si>
    <t>=NF($I508,P$11)</t>
  </si>
  <si>
    <t>=NF($I509,P$11)</t>
  </si>
  <si>
    <t>=NF($I510,P$11)</t>
  </si>
  <si>
    <t>=NF($I505,Q$11)</t>
  </si>
  <si>
    <t>=NF($I506,Q$11)</t>
  </si>
  <si>
    <t>=NF($I507,Q$11)</t>
  </si>
  <si>
    <t>=NF($I508,Q$11)</t>
  </si>
  <si>
    <t>=NF($I509,Q$11)</t>
  </si>
  <si>
    <t>=NF($I510,Q$11)</t>
  </si>
  <si>
    <t>=NF($I505,R$11)</t>
  </si>
  <si>
    <t>=NF($I506,R$11)</t>
  </si>
  <si>
    <t>=NF($I507,R$11)</t>
  </si>
  <si>
    <t>=NF($I508,R$11)</t>
  </si>
  <si>
    <t>=NF($I509,R$11)</t>
  </si>
  <si>
    <t>=NF($I510,R$11)</t>
  </si>
  <si>
    <t>=NF($I505,S$11)</t>
  </si>
  <si>
    <t>=NF($I506,S$11)</t>
  </si>
  <si>
    <t>=NF($I507,S$11)</t>
  </si>
  <si>
    <t>=NF($I508,S$11)</t>
  </si>
  <si>
    <t>=NF($I509,S$11)</t>
  </si>
  <si>
    <t>=NF($I510,S$11)</t>
  </si>
  <si>
    <t>=NF($I514,P$11)</t>
  </si>
  <si>
    <t>=NF($I515,P$11)</t>
  </si>
  <si>
    <t>=NF($I516,P$11)</t>
  </si>
  <si>
    <t>=NF($I517,P$11)</t>
  </si>
  <si>
    <t>=NF($I518,P$11)</t>
  </si>
  <si>
    <t>=NF($I519,P$11)</t>
  </si>
  <si>
    <t>=NF($I514,Q$11)</t>
  </si>
  <si>
    <t>=NF($I515,Q$11)</t>
  </si>
  <si>
    <t>=NF($I516,Q$11)</t>
  </si>
  <si>
    <t>=NF($I517,Q$11)</t>
  </si>
  <si>
    <t>=NF($I518,Q$11)</t>
  </si>
  <si>
    <t>=NF($I519,Q$11)</t>
  </si>
  <si>
    <t>=NF($I514,R$11)</t>
  </si>
  <si>
    <t>=NF($I515,R$11)</t>
  </si>
  <si>
    <t>=NF($I516,R$11)</t>
  </si>
  <si>
    <t>=NF($I517,R$11)</t>
  </si>
  <si>
    <t>=NF($I518,R$11)</t>
  </si>
  <si>
    <t>=NF($I519,R$11)</t>
  </si>
  <si>
    <t>=NF($I514,S$11)</t>
  </si>
  <si>
    <t>=NF($I515,S$11)</t>
  </si>
  <si>
    <t>=NF($I516,S$11)</t>
  </si>
  <si>
    <t>=NF($I517,S$11)</t>
  </si>
  <si>
    <t>=NF($I518,S$11)</t>
  </si>
  <si>
    <t>=NF($I519,S$11)</t>
  </si>
  <si>
    <t>=NF($I482,P$11)</t>
  </si>
  <si>
    <t>=NF($I483,P$11)</t>
  </si>
  <si>
    <t>=NF($I484,P$11)</t>
  </si>
  <si>
    <t>=NF($I485,P$11)</t>
  </si>
  <si>
    <t>=NF($I486,P$11)</t>
  </si>
  <si>
    <t>=NF($I487,P$11)</t>
  </si>
  <si>
    <t>=NF($I488,P$11)</t>
  </si>
  <si>
    <t>=NF($I482,Q$11)</t>
  </si>
  <si>
    <t>=NF($I483,Q$11)</t>
  </si>
  <si>
    <t>=NF($I484,Q$11)</t>
  </si>
  <si>
    <t>=NF($I485,Q$11)</t>
  </si>
  <si>
    <t>=NF($I486,Q$11)</t>
  </si>
  <si>
    <t>=NF($I487,Q$11)</t>
  </si>
  <si>
    <t>=NF($I488,Q$11)</t>
  </si>
  <si>
    <t>=NF($I482,R$11)</t>
  </si>
  <si>
    <t>=NF($I483,R$11)</t>
  </si>
  <si>
    <t>=NF($I484,R$11)</t>
  </si>
  <si>
    <t>=NF($I485,R$11)</t>
  </si>
  <si>
    <t>=NF($I486,R$11)</t>
  </si>
  <si>
    <t>=NF($I487,R$11)</t>
  </si>
  <si>
    <t>=NF($I488,R$11)</t>
  </si>
  <si>
    <t>=NF($I482,S$11)</t>
  </si>
  <si>
    <t>=NF($I483,S$11)</t>
  </si>
  <si>
    <t>=NF($I484,S$11)</t>
  </si>
  <si>
    <t>=NF($I485,S$11)</t>
  </si>
  <si>
    <t>=NF($I486,S$11)</t>
  </si>
  <si>
    <t>=NF($I487,S$11)</t>
  </si>
  <si>
    <t>=NF($I488,S$11)</t>
  </si>
  <si>
    <t>=NF($I492,P$11)</t>
  </si>
  <si>
    <t>=NF($I493,P$11)</t>
  </si>
  <si>
    <t>=NF($I494,P$11)</t>
  </si>
  <si>
    <t>=NF($I495,P$11)</t>
  </si>
  <si>
    <t>=NF($I496,P$11)</t>
  </si>
  <si>
    <t>=NF($I497,P$11)</t>
  </si>
  <si>
    <t>=NF($I498,P$11)</t>
  </si>
  <si>
    <t>=NF($I492,Q$11)</t>
  </si>
  <si>
    <t>=NF($I493,Q$11)</t>
  </si>
  <si>
    <t>=NF($I494,Q$11)</t>
  </si>
  <si>
    <t>=NF($I495,Q$11)</t>
  </si>
  <si>
    <t>=NF($I496,Q$11)</t>
  </si>
  <si>
    <t>=NF($I497,Q$11)</t>
  </si>
  <si>
    <t>=NF($I498,Q$11)</t>
  </si>
  <si>
    <t>=NF($I492,R$11)</t>
  </si>
  <si>
    <t>=NF($I493,R$11)</t>
  </si>
  <si>
    <t>=NF($I494,R$11)</t>
  </si>
  <si>
    <t>=NF($I495,R$11)</t>
  </si>
  <si>
    <t>=NF($I496,R$11)</t>
  </si>
  <si>
    <t>=NF($I497,R$11)</t>
  </si>
  <si>
    <t>=NF($I498,R$11)</t>
  </si>
  <si>
    <t>=NF($I492,S$11)</t>
  </si>
  <si>
    <t>=NF($I493,S$11)</t>
  </si>
  <si>
    <t>=NF($I494,S$11)</t>
  </si>
  <si>
    <t>=NF($I495,S$11)</t>
  </si>
  <si>
    <t>=NF($I496,S$11)</t>
  </si>
  <si>
    <t>=NF($I497,S$11)</t>
  </si>
  <si>
    <t>=NF($I498,S$11)</t>
  </si>
  <si>
    <t>=NF($I461,P$11)</t>
  </si>
  <si>
    <t>=NF($I462,P$11)</t>
  </si>
  <si>
    <t>=NF($I463,P$11)</t>
  </si>
  <si>
    <t>=NF($I464,P$11)</t>
  </si>
  <si>
    <t>=NF($I465,P$11)</t>
  </si>
  <si>
    <t>=NF($I466,P$11)</t>
  </si>
  <si>
    <t>=NF($I461,Q$11)</t>
  </si>
  <si>
    <t>=NF($I462,Q$11)</t>
  </si>
  <si>
    <t>=NF($I463,Q$11)</t>
  </si>
  <si>
    <t>=NF($I464,Q$11)</t>
  </si>
  <si>
    <t>=NF($I465,Q$11)</t>
  </si>
  <si>
    <t>=NF($I466,Q$11)</t>
  </si>
  <si>
    <t>=NF($I461,R$11)</t>
  </si>
  <si>
    <t>=NF($I462,R$11)</t>
  </si>
  <si>
    <t>=NF($I463,R$11)</t>
  </si>
  <si>
    <t>=NF($I464,R$11)</t>
  </si>
  <si>
    <t>=NF($I465,R$11)</t>
  </si>
  <si>
    <t>=NF($I466,R$11)</t>
  </si>
  <si>
    <t>=NF($I461,S$11)</t>
  </si>
  <si>
    <t>=NF($I462,S$11)</t>
  </si>
  <si>
    <t>=NF($I463,S$11)</t>
  </si>
  <si>
    <t>=NF($I464,S$11)</t>
  </si>
  <si>
    <t>=NF($I465,S$11)</t>
  </si>
  <si>
    <t>=NF($I466,S$11)</t>
  </si>
  <si>
    <t>=NF($I470,P$11)</t>
  </si>
  <si>
    <t>=NF($I471,P$11)</t>
  </si>
  <si>
    <t>=NF($I472,P$11)</t>
  </si>
  <si>
    <t>=NF($I473,P$11)</t>
  </si>
  <si>
    <t>=NF($I474,P$11)</t>
  </si>
  <si>
    <t>=NF($I475,P$11)</t>
  </si>
  <si>
    <t>=NF($I470,Q$11)</t>
  </si>
  <si>
    <t>=NF($I471,Q$11)</t>
  </si>
  <si>
    <t>=NF($I472,Q$11)</t>
  </si>
  <si>
    <t>=NF($I473,Q$11)</t>
  </si>
  <si>
    <t>=NF($I474,Q$11)</t>
  </si>
  <si>
    <t>=NF($I475,Q$11)</t>
  </si>
  <si>
    <t>=NF($I470,R$11)</t>
  </si>
  <si>
    <t>=NF($I471,R$11)</t>
  </si>
  <si>
    <t>=NF($I472,R$11)</t>
  </si>
  <si>
    <t>=NF($I473,R$11)</t>
  </si>
  <si>
    <t>=NF($I474,R$11)</t>
  </si>
  <si>
    <t>=NF($I475,R$11)</t>
  </si>
  <si>
    <t>=NF($I470,S$11)</t>
  </si>
  <si>
    <t>=NF($I471,S$11)</t>
  </si>
  <si>
    <t>=NF($I472,S$11)</t>
  </si>
  <si>
    <t>=NF($I473,S$11)</t>
  </si>
  <si>
    <t>=NF($I474,S$11)</t>
  </si>
  <si>
    <t>=NF($I475,S$11)</t>
  </si>
  <si>
    <t>=NF($I438,P$11)</t>
  </si>
  <si>
    <t>=NF($I439,P$11)</t>
  </si>
  <si>
    <t>=NF($I440,P$11)</t>
  </si>
  <si>
    <t>=NF($I441,P$11)</t>
  </si>
  <si>
    <t>=NF($I442,P$11)</t>
  </si>
  <si>
    <t>=NF($I443,P$11)</t>
  </si>
  <si>
    <t>=NF($I444,P$11)</t>
  </si>
  <si>
    <t>=NF($I438,Q$11)</t>
  </si>
  <si>
    <t>=NF($I439,Q$11)</t>
  </si>
  <si>
    <t>=NF($I440,Q$11)</t>
  </si>
  <si>
    <t>=NF($I441,Q$11)</t>
  </si>
  <si>
    <t>=NF($I442,Q$11)</t>
  </si>
  <si>
    <t>=NF($I443,Q$11)</t>
  </si>
  <si>
    <t>=NF($I444,Q$11)</t>
  </si>
  <si>
    <t>=NF($I438,R$11)</t>
  </si>
  <si>
    <t>=NF($I439,R$11)</t>
  </si>
  <si>
    <t>=NF($I440,R$11)</t>
  </si>
  <si>
    <t>=NF($I441,R$11)</t>
  </si>
  <si>
    <t>=NF($I442,R$11)</t>
  </si>
  <si>
    <t>=NF($I443,R$11)</t>
  </si>
  <si>
    <t>=NF($I444,R$11)</t>
  </si>
  <si>
    <t>=NF($I438,S$11)</t>
  </si>
  <si>
    <t>=NF($I439,S$11)</t>
  </si>
  <si>
    <t>=NF($I440,S$11)</t>
  </si>
  <si>
    <t>=NF($I441,S$11)</t>
  </si>
  <si>
    <t>=NF($I442,S$11)</t>
  </si>
  <si>
    <t>=NF($I443,S$11)</t>
  </si>
  <si>
    <t>=NF($I444,S$11)</t>
  </si>
  <si>
    <t>=NF($I448,P$11)</t>
  </si>
  <si>
    <t>=NF($I449,P$11)</t>
  </si>
  <si>
    <t>=NF($I450,P$11)</t>
  </si>
  <si>
    <t>=NF($I451,P$11)</t>
  </si>
  <si>
    <t>=NF($I452,P$11)</t>
  </si>
  <si>
    <t>=NF($I453,P$11)</t>
  </si>
  <si>
    <t>=NF($I454,P$11)</t>
  </si>
  <si>
    <t>=NF($I448,Q$11)</t>
  </si>
  <si>
    <t>=NF($I449,Q$11)</t>
  </si>
  <si>
    <t>=NF($I450,Q$11)</t>
  </si>
  <si>
    <t>=NF($I451,Q$11)</t>
  </si>
  <si>
    <t>=NF($I452,Q$11)</t>
  </si>
  <si>
    <t>=NF($I453,Q$11)</t>
  </si>
  <si>
    <t>=NF($I454,Q$11)</t>
  </si>
  <si>
    <t>=NF($I448,R$11)</t>
  </si>
  <si>
    <t>=NF($I449,R$11)</t>
  </si>
  <si>
    <t>=NF($I450,R$11)</t>
  </si>
  <si>
    <t>=NF($I451,R$11)</t>
  </si>
  <si>
    <t>=NF($I452,R$11)</t>
  </si>
  <si>
    <t>=NF($I453,R$11)</t>
  </si>
  <si>
    <t>=NF($I454,R$11)</t>
  </si>
  <si>
    <t>=NF($I448,S$11)</t>
  </si>
  <si>
    <t>=NF($I449,S$11)</t>
  </si>
  <si>
    <t>=NF($I450,S$11)</t>
  </si>
  <si>
    <t>=NF($I451,S$11)</t>
  </si>
  <si>
    <t>=NF($I452,S$11)</t>
  </si>
  <si>
    <t>=NF($I453,S$11)</t>
  </si>
  <si>
    <t>=NF($I454,S$11)</t>
  </si>
  <si>
    <t>=NF($I412,P$11)</t>
  </si>
  <si>
    <t>=NF($I413,P$11)</t>
  </si>
  <si>
    <t>=NF($I414,P$11)</t>
  </si>
  <si>
    <t>=NF($I415,P$11)</t>
  </si>
  <si>
    <t>=NF($I416,P$11)</t>
  </si>
  <si>
    <t>=NF($I417,P$11)</t>
  </si>
  <si>
    <t>=NF($I412,Q$11)</t>
  </si>
  <si>
    <t>=NF($I413,Q$11)</t>
  </si>
  <si>
    <t>=NF($I414,Q$11)</t>
  </si>
  <si>
    <t>=NF($I415,Q$11)</t>
  </si>
  <si>
    <t>=NF($I416,Q$11)</t>
  </si>
  <si>
    <t>=NF($I417,Q$11)</t>
  </si>
  <si>
    <t>=NF($I412,R$11)</t>
  </si>
  <si>
    <t>=NF($I413,R$11)</t>
  </si>
  <si>
    <t>=NF($I414,R$11)</t>
  </si>
  <si>
    <t>=NF($I415,R$11)</t>
  </si>
  <si>
    <t>=NF($I416,R$11)</t>
  </si>
  <si>
    <t>=NF($I417,R$11)</t>
  </si>
  <si>
    <t>=NF($I412,S$11)</t>
  </si>
  <si>
    <t>=NF($I413,S$11)</t>
  </si>
  <si>
    <t>=NF($I414,S$11)</t>
  </si>
  <si>
    <t>=NF($I415,S$11)</t>
  </si>
  <si>
    <t>=NF($I416,S$11)</t>
  </si>
  <si>
    <t>=NF($I417,S$11)</t>
  </si>
  <si>
    <t>=NF($I421,P$11)</t>
  </si>
  <si>
    <t>=NF($I422,P$11)</t>
  </si>
  <si>
    <t>=NF($I423,P$11)</t>
  </si>
  <si>
    <t>=NF($I424,P$11)</t>
  </si>
  <si>
    <t>=NF($I425,P$11)</t>
  </si>
  <si>
    <t>=NF($I426,P$11)</t>
  </si>
  <si>
    <t>=NF($I421,Q$11)</t>
  </si>
  <si>
    <t>=NF($I422,Q$11)</t>
  </si>
  <si>
    <t>=NF($I423,Q$11)</t>
  </si>
  <si>
    <t>=NF($I424,Q$11)</t>
  </si>
  <si>
    <t>=NF($I425,Q$11)</t>
  </si>
  <si>
    <t>=NF($I426,Q$11)</t>
  </si>
  <si>
    <t>=NF($I421,R$11)</t>
  </si>
  <si>
    <t>=NF($I422,R$11)</t>
  </si>
  <si>
    <t>=NF($I423,R$11)</t>
  </si>
  <si>
    <t>=NF($I424,R$11)</t>
  </si>
  <si>
    <t>=NF($I425,R$11)</t>
  </si>
  <si>
    <t>=NF($I426,R$11)</t>
  </si>
  <si>
    <t>=NF($I421,S$11)</t>
  </si>
  <si>
    <t>=NF($I422,S$11)</t>
  </si>
  <si>
    <t>=NF($I423,S$11)</t>
  </si>
  <si>
    <t>=NF($I424,S$11)</t>
  </si>
  <si>
    <t>=NF($I425,S$11)</t>
  </si>
  <si>
    <t>=NF($I426,S$11)</t>
  </si>
  <si>
    <t>=NF($I390,P$11)</t>
  </si>
  <si>
    <t>=NF($I391,P$11)</t>
  </si>
  <si>
    <t>=NF($I392,P$11)</t>
  </si>
  <si>
    <t>=NF($I393,P$11)</t>
  </si>
  <si>
    <t>=NF($I394,P$11)</t>
  </si>
  <si>
    <t>=NF($I395,P$11)</t>
  </si>
  <si>
    <t>=NF($I396,P$11)</t>
  </si>
  <si>
    <t>=NF($I390,Q$11)</t>
  </si>
  <si>
    <t>=NF($I391,Q$11)</t>
  </si>
  <si>
    <t>=NF($I392,Q$11)</t>
  </si>
  <si>
    <t>=NF($I393,Q$11)</t>
  </si>
  <si>
    <t>=NF($I394,Q$11)</t>
  </si>
  <si>
    <t>=NF($I395,Q$11)</t>
  </si>
  <si>
    <t>=NF($I396,Q$11)</t>
  </si>
  <si>
    <t>=NF($I390,R$11)</t>
  </si>
  <si>
    <t>=NF($I391,R$11)</t>
  </si>
  <si>
    <t>=NF($I392,R$11)</t>
  </si>
  <si>
    <t>=NF($I393,R$11)</t>
  </si>
  <si>
    <t>=NF($I394,R$11)</t>
  </si>
  <si>
    <t>=NF($I395,R$11)</t>
  </si>
  <si>
    <t>=NF($I396,R$11)</t>
  </si>
  <si>
    <t>=NF($I390,S$11)</t>
  </si>
  <si>
    <t>=NF($I391,S$11)</t>
  </si>
  <si>
    <t>=NF($I392,S$11)</t>
  </si>
  <si>
    <t>=NF($I393,S$11)</t>
  </si>
  <si>
    <t>=NF($I394,S$11)</t>
  </si>
  <si>
    <t>=NF($I395,S$11)</t>
  </si>
  <si>
    <t>=NF($I396,S$11)</t>
  </si>
  <si>
    <t>=NF($I400,P$11)</t>
  </si>
  <si>
    <t>=NF($I401,P$11)</t>
  </si>
  <si>
    <t>=NF($I402,P$11)</t>
  </si>
  <si>
    <t>=NF($I403,P$11)</t>
  </si>
  <si>
    <t>=NF($I404,P$11)</t>
  </si>
  <si>
    <t>=NF($I405,P$11)</t>
  </si>
  <si>
    <t>=NF($I400,Q$11)</t>
  </si>
  <si>
    <t>=NF($I401,Q$11)</t>
  </si>
  <si>
    <t>=NF($I402,Q$11)</t>
  </si>
  <si>
    <t>=NF($I403,Q$11)</t>
  </si>
  <si>
    <t>=NF($I404,Q$11)</t>
  </si>
  <si>
    <t>=NF($I405,Q$11)</t>
  </si>
  <si>
    <t>=NF($I400,R$11)</t>
  </si>
  <si>
    <t>=NF($I401,R$11)</t>
  </si>
  <si>
    <t>=NF($I402,R$11)</t>
  </si>
  <si>
    <t>=NF($I403,R$11)</t>
  </si>
  <si>
    <t>=NF($I404,R$11)</t>
  </si>
  <si>
    <t>=NF($I405,R$11)</t>
  </si>
  <si>
    <t>=NF($I400,S$11)</t>
  </si>
  <si>
    <t>=NF($I401,S$11)</t>
  </si>
  <si>
    <t>=NF($I402,S$11)</t>
  </si>
  <si>
    <t>=NF($I403,S$11)</t>
  </si>
  <si>
    <t>=NF($I404,S$11)</t>
  </si>
  <si>
    <t>=NF($I405,S$11)</t>
  </si>
  <si>
    <t>=NF($I363,P$11)</t>
  </si>
  <si>
    <t>=NF($I364,P$11)</t>
  </si>
  <si>
    <t>=NF($I365,P$11)</t>
  </si>
  <si>
    <t>=NF($I366,P$11)</t>
  </si>
  <si>
    <t>=NF($I367,P$11)</t>
  </si>
  <si>
    <t>=NF($I368,P$11)</t>
  </si>
  <si>
    <t>=NF($I369,P$11)</t>
  </si>
  <si>
    <t>=NF($I363,Q$11)</t>
  </si>
  <si>
    <t>=NF($I364,Q$11)</t>
  </si>
  <si>
    <t>=NF($I365,Q$11)</t>
  </si>
  <si>
    <t>=NF($I366,Q$11)</t>
  </si>
  <si>
    <t>=NF($I367,Q$11)</t>
  </si>
  <si>
    <t>=NF($I368,Q$11)</t>
  </si>
  <si>
    <t>=NF($I369,Q$11)</t>
  </si>
  <si>
    <t>=NF($I363,R$11)</t>
  </si>
  <si>
    <t>=NF($I364,R$11)</t>
  </si>
  <si>
    <t>=NF($I365,R$11)</t>
  </si>
  <si>
    <t>=NF($I366,R$11)</t>
  </si>
  <si>
    <t>=NF($I367,R$11)</t>
  </si>
  <si>
    <t>=NF($I368,R$11)</t>
  </si>
  <si>
    <t>=NF($I369,R$11)</t>
  </si>
  <si>
    <t>=NF($I363,S$11)</t>
  </si>
  <si>
    <t>=NF($I364,S$11)</t>
  </si>
  <si>
    <t>=NF($I365,S$11)</t>
  </si>
  <si>
    <t>=NF($I366,S$11)</t>
  </si>
  <si>
    <t>=NF($I367,S$11)</t>
  </si>
  <si>
    <t>=NF($I368,S$11)</t>
  </si>
  <si>
    <t>=NF($I369,S$11)</t>
  </si>
  <si>
    <t>=NF($I373,P$11)</t>
  </si>
  <si>
    <t>=NF($I374,P$11)</t>
  </si>
  <si>
    <t>=NF($I375,P$11)</t>
  </si>
  <si>
    <t>=NF($I376,P$11)</t>
  </si>
  <si>
    <t>=NF($I377,P$11)</t>
  </si>
  <si>
    <t>=NF($I378,P$11)</t>
  </si>
  <si>
    <t>=NF($I373,Q$11)</t>
  </si>
  <si>
    <t>=NF($I374,Q$11)</t>
  </si>
  <si>
    <t>=NF($I375,Q$11)</t>
  </si>
  <si>
    <t>=NF($I376,Q$11)</t>
  </si>
  <si>
    <t>=NF($I377,Q$11)</t>
  </si>
  <si>
    <t>=NF($I378,Q$11)</t>
  </si>
  <si>
    <t>=NF($I373,R$11)</t>
  </si>
  <si>
    <t>=NF($I374,R$11)</t>
  </si>
  <si>
    <t>=NF($I375,R$11)</t>
  </si>
  <si>
    <t>=NF($I376,R$11)</t>
  </si>
  <si>
    <t>=NF($I377,R$11)</t>
  </si>
  <si>
    <t>=NF($I378,R$11)</t>
  </si>
  <si>
    <t>=NF($I373,S$11)</t>
  </si>
  <si>
    <t>=NF($I374,S$11)</t>
  </si>
  <si>
    <t>=NF($I375,S$11)</t>
  </si>
  <si>
    <t>=NF($I376,S$11)</t>
  </si>
  <si>
    <t>=NF($I377,S$11)</t>
  </si>
  <si>
    <t>=NF($I378,S$11)</t>
  </si>
  <si>
    <t>=NF($I192,P$11)</t>
  </si>
  <si>
    <t>=NF($I193,P$11)</t>
  </si>
  <si>
    <t>=NF($I194,P$11)</t>
  </si>
  <si>
    <t>=NF($I195,P$11)</t>
  </si>
  <si>
    <t>=NF($I192,Q$11)</t>
  </si>
  <si>
    <t>=NF($I193,Q$11)</t>
  </si>
  <si>
    <t>=NF($I194,Q$11)</t>
  </si>
  <si>
    <t>=NF($I195,Q$11)</t>
  </si>
  <si>
    <t>=NF($I192,R$11)</t>
  </si>
  <si>
    <t>=NF($I193,R$11)</t>
  </si>
  <si>
    <t>=NF($I194,R$11)</t>
  </si>
  <si>
    <t>=NF($I195,R$11)</t>
  </si>
  <si>
    <t>=NF($I192,S$11)</t>
  </si>
  <si>
    <t>=NF($I193,S$11)</t>
  </si>
  <si>
    <t>=NF($I194,S$11)</t>
  </si>
  <si>
    <t>=NF($I195,S$11)</t>
  </si>
  <si>
    <t>=NF($I199,P$11)</t>
  </si>
  <si>
    <t>=NF($I200,P$11)</t>
  </si>
  <si>
    <t>=NF($I201,P$11)</t>
  </si>
  <si>
    <t>=NF($I202,P$11)</t>
  </si>
  <si>
    <t>=NF($I203,P$11)</t>
  </si>
  <si>
    <t>=NF($I199,Q$11)</t>
  </si>
  <si>
    <t>=NF($I200,Q$11)</t>
  </si>
  <si>
    <t>=NF($I201,Q$11)</t>
  </si>
  <si>
    <t>=NF($I202,Q$11)</t>
  </si>
  <si>
    <t>=NF($I203,Q$11)</t>
  </si>
  <si>
    <t>=NF($I199,R$11)</t>
  </si>
  <si>
    <t>=NF($I200,R$11)</t>
  </si>
  <si>
    <t>=NF($I201,R$11)</t>
  </si>
  <si>
    <t>=NF($I202,R$11)</t>
  </si>
  <si>
    <t>=NF($I203,R$11)</t>
  </si>
  <si>
    <t>=NF($I199,S$11)</t>
  </si>
  <si>
    <t>=NF($I200,S$11)</t>
  </si>
  <si>
    <t>=NF($I201,S$11)</t>
  </si>
  <si>
    <t>=NF($I202,S$11)</t>
  </si>
  <si>
    <t>=NF($I203,S$11)</t>
  </si>
  <si>
    <t>=NF($I315,P$11)</t>
  </si>
  <si>
    <t>=NF($I316,P$11)</t>
  </si>
  <si>
    <t>=NF($I317,P$11)</t>
  </si>
  <si>
    <t>=NF($I318,P$11)</t>
  </si>
  <si>
    <t>=NF($I315,Q$11)</t>
  </si>
  <si>
    <t>=NF($I316,Q$11)</t>
  </si>
  <si>
    <t>=NF($I317,Q$11)</t>
  </si>
  <si>
    <t>=NF($I318,Q$11)</t>
  </si>
  <si>
    <t>=NF($I315,R$11)</t>
  </si>
  <si>
    <t>=NF($I316,R$11)</t>
  </si>
  <si>
    <t>=NF($I317,R$11)</t>
  </si>
  <si>
    <t>=NF($I318,R$11)</t>
  </si>
  <si>
    <t>=NF($I315,S$11)</t>
  </si>
  <si>
    <t>=NF($I316,S$11)</t>
  </si>
  <si>
    <t>=NF($I317,S$11)</t>
  </si>
  <si>
    <t>=NF($I318,S$11)</t>
  </si>
  <si>
    <t>=NF($I322,P$11)</t>
  </si>
  <si>
    <t>=NF($I323,P$11)</t>
  </si>
  <si>
    <t>=NF($I324,P$11)</t>
  </si>
  <si>
    <t>=NF($I325,P$11)</t>
  </si>
  <si>
    <t>=NF($I322,Q$11)</t>
  </si>
  <si>
    <t>=NF($I323,Q$11)</t>
  </si>
  <si>
    <t>=NF($I324,Q$11)</t>
  </si>
  <si>
    <t>=NF($I325,Q$11)</t>
  </si>
  <si>
    <t>=NF($I322,R$11)</t>
  </si>
  <si>
    <t>=NF($I323,R$11)</t>
  </si>
  <si>
    <t>=NF($I324,R$11)</t>
  </si>
  <si>
    <t>=NF($I325,R$11)</t>
  </si>
  <si>
    <t>=NF($I322,S$11)</t>
  </si>
  <si>
    <t>=NF($I323,S$11)</t>
  </si>
  <si>
    <t>=NF($I324,S$11)</t>
  </si>
  <si>
    <t>=NF($I325,S$11)</t>
  </si>
  <si>
    <t>=NF($I292,P$11)</t>
  </si>
  <si>
    <t>=NF($I293,P$11)</t>
  </si>
  <si>
    <t>=NF($I294,P$11)</t>
  </si>
  <si>
    <t>=NF($I295,P$11)</t>
  </si>
  <si>
    <t>=NF($I292,Q$11)</t>
  </si>
  <si>
    <t>=NF($I293,Q$11)</t>
  </si>
  <si>
    <t>=NF($I294,Q$11)</t>
  </si>
  <si>
    <t>=NF($I295,Q$11)</t>
  </si>
  <si>
    <t>=NF($I292,R$11)</t>
  </si>
  <si>
    <t>=NF($I293,R$11)</t>
  </si>
  <si>
    <t>=NF($I294,R$11)</t>
  </si>
  <si>
    <t>=NF($I295,R$11)</t>
  </si>
  <si>
    <t>=NF($I292,S$11)</t>
  </si>
  <si>
    <t>=NF($I293,S$11)</t>
  </si>
  <si>
    <t>=NF($I294,S$11)</t>
  </si>
  <si>
    <t>=NF($I295,S$11)</t>
  </si>
  <si>
    <t>=NF($I299,P$11)</t>
  </si>
  <si>
    <t>=NF($I300,P$11)</t>
  </si>
  <si>
    <t>=NF($I301,P$11)</t>
  </si>
  <si>
    <t>=NF($I302,P$11)</t>
  </si>
  <si>
    <t>=NF($I303,P$11)</t>
  </si>
  <si>
    <t>=NF($I299,Q$11)</t>
  </si>
  <si>
    <t>=NF($I300,Q$11)</t>
  </si>
  <si>
    <t>=NF($I301,Q$11)</t>
  </si>
  <si>
    <t>=NF($I302,Q$11)</t>
  </si>
  <si>
    <t>=NF($I303,Q$11)</t>
  </si>
  <si>
    <t>=NF($I299,R$11)</t>
  </si>
  <si>
    <t>=NF($I300,R$11)</t>
  </si>
  <si>
    <t>=NF($I301,R$11)</t>
  </si>
  <si>
    <t>=NF($I302,R$11)</t>
  </si>
  <si>
    <t>=NF($I303,R$11)</t>
  </si>
  <si>
    <t>=NF($I299,S$11)</t>
  </si>
  <si>
    <t>=NF($I300,S$11)</t>
  </si>
  <si>
    <t>=NF($I301,S$11)</t>
  </si>
  <si>
    <t>=NF($I302,S$11)</t>
  </si>
  <si>
    <t>=NF($I303,S$11)</t>
  </si>
  <si>
    <t>=NF($I265,P$11)</t>
  </si>
  <si>
    <t>=NF($I266,P$11)</t>
  </si>
  <si>
    <t>=NF($I267,P$11)</t>
  </si>
  <si>
    <t>=NF($I268,P$11)</t>
  </si>
  <si>
    <t>=NF($I269,P$11)</t>
  </si>
  <si>
    <t>=NF($I270,P$11)</t>
  </si>
  <si>
    <t>=NF($I265,Q$11)</t>
  </si>
  <si>
    <t>=NF($I266,Q$11)</t>
  </si>
  <si>
    <t>=NF($I267,Q$11)</t>
  </si>
  <si>
    <t>=NF($I268,Q$11)</t>
  </si>
  <si>
    <t>=NF($I269,Q$11)</t>
  </si>
  <si>
    <t>=NF($I270,Q$11)</t>
  </si>
  <si>
    <t>=NF($I265,R$11)</t>
  </si>
  <si>
    <t>=NF($I266,R$11)</t>
  </si>
  <si>
    <t>=NF($I267,R$11)</t>
  </si>
  <si>
    <t>=NF($I268,R$11)</t>
  </si>
  <si>
    <t>=NF($I269,R$11)</t>
  </si>
  <si>
    <t>=NF($I270,R$11)</t>
  </si>
  <si>
    <t>=NF($I265,S$11)</t>
  </si>
  <si>
    <t>=NF($I266,S$11)</t>
  </si>
  <si>
    <t>=NF($I267,S$11)</t>
  </si>
  <si>
    <t>=NF($I268,S$11)</t>
  </si>
  <si>
    <t>=NF($I269,S$11)</t>
  </si>
  <si>
    <t>=NF($I270,S$11)</t>
  </si>
  <si>
    <t>=NF($I274,P$11)</t>
  </si>
  <si>
    <t>=NF($I275,P$11)</t>
  </si>
  <si>
    <t>=NF($I276,P$11)</t>
  </si>
  <si>
    <t>=NF($I277,P$11)</t>
  </si>
  <si>
    <t>=NF($I278,P$11)</t>
  </si>
  <si>
    <t>=NF($I279,P$11)</t>
  </si>
  <si>
    <t>=NF($I280,P$11)</t>
  </si>
  <si>
    <t>=NF($I274,Q$11)</t>
  </si>
  <si>
    <t>=NF($I275,Q$11)</t>
  </si>
  <si>
    <t>=NF($I276,Q$11)</t>
  </si>
  <si>
    <t>=NF($I277,Q$11)</t>
  </si>
  <si>
    <t>=NF($I278,Q$11)</t>
  </si>
  <si>
    <t>=NF($I279,Q$11)</t>
  </si>
  <si>
    <t>=NF($I280,Q$11)</t>
  </si>
  <si>
    <t>=NF($I274,R$11)</t>
  </si>
  <si>
    <t>=NF($I275,R$11)</t>
  </si>
  <si>
    <t>=NF($I276,R$11)</t>
  </si>
  <si>
    <t>=NF($I277,R$11)</t>
  </si>
  <si>
    <t>=NF($I278,R$11)</t>
  </si>
  <si>
    <t>=NF($I279,R$11)</t>
  </si>
  <si>
    <t>=NF($I280,R$11)</t>
  </si>
  <si>
    <t>=NF($I274,S$11)</t>
  </si>
  <si>
    <t>=NF($I275,S$11)</t>
  </si>
  <si>
    <t>=NF($I276,S$11)</t>
  </si>
  <si>
    <t>=NF($I277,S$11)</t>
  </si>
  <si>
    <t>=NF($I278,S$11)</t>
  </si>
  <si>
    <t>=NF($I279,S$11)</t>
  </si>
  <si>
    <t>=NF($I280,S$11)</t>
  </si>
  <si>
    <t>=NF($I242,P$11)</t>
  </si>
  <si>
    <t>=NF($I243,P$11)</t>
  </si>
  <si>
    <t>=NF($I244,P$11)</t>
  </si>
  <si>
    <t>=NF($I245,P$11)</t>
  </si>
  <si>
    <t>=NF($I246,P$11)</t>
  </si>
  <si>
    <t>=NF($I247,P$11)</t>
  </si>
  <si>
    <t>=NF($I248,P$11)</t>
  </si>
  <si>
    <t>=NF($I242,Q$11)</t>
  </si>
  <si>
    <t>=NF($I243,Q$11)</t>
  </si>
  <si>
    <t>=NF($I244,Q$11)</t>
  </si>
  <si>
    <t>=NF($I245,Q$11)</t>
  </si>
  <si>
    <t>=NF($I246,Q$11)</t>
  </si>
  <si>
    <t>=NF($I247,Q$11)</t>
  </si>
  <si>
    <t>=NF($I248,Q$11)</t>
  </si>
  <si>
    <t>=NF($I242,R$11)</t>
  </si>
  <si>
    <t>=NF($I243,R$11)</t>
  </si>
  <si>
    <t>=NF($I244,R$11)</t>
  </si>
  <si>
    <t>=NF($I245,R$11)</t>
  </si>
  <si>
    <t>=NF($I246,R$11)</t>
  </si>
  <si>
    <t>=NF($I247,R$11)</t>
  </si>
  <si>
    <t>=NF($I248,R$11)</t>
  </si>
  <si>
    <t>=NF($I242,S$11)</t>
  </si>
  <si>
    <t>=NF($I243,S$11)</t>
  </si>
  <si>
    <t>=NF($I244,S$11)</t>
  </si>
  <si>
    <t>=NF($I245,S$11)</t>
  </si>
  <si>
    <t>=NF($I246,S$11)</t>
  </si>
  <si>
    <t>=NF($I247,S$11)</t>
  </si>
  <si>
    <t>=NF($I248,S$11)</t>
  </si>
  <si>
    <t>=NF($I252,P$11)</t>
  </si>
  <si>
    <t>=NF($I253,P$11)</t>
  </si>
  <si>
    <t>=NF($I254,P$11)</t>
  </si>
  <si>
    <t>=NF($I255,P$11)</t>
  </si>
  <si>
    <t>=NF($I256,P$11)</t>
  </si>
  <si>
    <t>=NF($I257,P$11)</t>
  </si>
  <si>
    <t>=NF($I258,P$11)</t>
  </si>
  <si>
    <t>=NF($I252,Q$11)</t>
  </si>
  <si>
    <t>=NF($I253,Q$11)</t>
  </si>
  <si>
    <t>=NF($I254,Q$11)</t>
  </si>
  <si>
    <t>=NF($I255,Q$11)</t>
  </si>
  <si>
    <t>=NF($I256,Q$11)</t>
  </si>
  <si>
    <t>=NF($I257,Q$11)</t>
  </si>
  <si>
    <t>=NF($I258,Q$11)</t>
  </si>
  <si>
    <t>=NF($I252,R$11)</t>
  </si>
  <si>
    <t>=NF($I253,R$11)</t>
  </si>
  <si>
    <t>=NF($I254,R$11)</t>
  </si>
  <si>
    <t>=NF($I255,R$11)</t>
  </si>
  <si>
    <t>=NF($I256,R$11)</t>
  </si>
  <si>
    <t>=NF($I257,R$11)</t>
  </si>
  <si>
    <t>=NF($I258,R$11)</t>
  </si>
  <si>
    <t>=NF($I252,S$11)</t>
  </si>
  <si>
    <t>=NF($I253,S$11)</t>
  </si>
  <si>
    <t>=NF($I254,S$11)</t>
  </si>
  <si>
    <t>=NF($I255,S$11)</t>
  </si>
  <si>
    <t>=NF($I256,S$11)</t>
  </si>
  <si>
    <t>=NF($I257,S$11)</t>
  </si>
  <si>
    <t>=NF($I258,S$11)</t>
  </si>
  <si>
    <t>=NF($I215,P$11)</t>
  </si>
  <si>
    <t>=NF($I216,P$11)</t>
  </si>
  <si>
    <t>=NF($I217,P$11)</t>
  </si>
  <si>
    <t>=NF($I218,P$11)</t>
  </si>
  <si>
    <t>=NF($I219,P$11)</t>
  </si>
  <si>
    <t>=NF($I220,P$11)</t>
  </si>
  <si>
    <t>=NF($I215,Q$11)</t>
  </si>
  <si>
    <t>=NF($I216,Q$11)</t>
  </si>
  <si>
    <t>=NF($I217,Q$11)</t>
  </si>
  <si>
    <t>=NF($I218,Q$11)</t>
  </si>
  <si>
    <t>=NF($I219,Q$11)</t>
  </si>
  <si>
    <t>=NF($I220,Q$11)</t>
  </si>
  <si>
    <t>=NF($I215,R$11)</t>
  </si>
  <si>
    <t>=NF($I216,R$11)</t>
  </si>
  <si>
    <t>=NF($I217,R$11)</t>
  </si>
  <si>
    <t>=NF($I218,R$11)</t>
  </si>
  <si>
    <t>=NF($I219,R$11)</t>
  </si>
  <si>
    <t>=NF($I220,R$11)</t>
  </si>
  <si>
    <t>=NF($I215,S$11)</t>
  </si>
  <si>
    <t>=NF($I216,S$11)</t>
  </si>
  <si>
    <t>=NF($I217,S$11)</t>
  </si>
  <si>
    <t>=NF($I218,S$11)</t>
  </si>
  <si>
    <t>=NF($I219,S$11)</t>
  </si>
  <si>
    <t>=NF($I220,S$11)</t>
  </si>
  <si>
    <t>=NF($I224,P$11)</t>
  </si>
  <si>
    <t>=NF($I225,P$11)</t>
  </si>
  <si>
    <t>=NF($I226,P$11)</t>
  </si>
  <si>
    <t>=NF($I227,P$11)</t>
  </si>
  <si>
    <t>=NF($I228,P$11)</t>
  </si>
  <si>
    <t>=NF($I229,P$11)</t>
  </si>
  <si>
    <t>=NF($I230,P$11)</t>
  </si>
  <si>
    <t>=NF($I224,Q$11)</t>
  </si>
  <si>
    <t>=NF($I225,Q$11)</t>
  </si>
  <si>
    <t>=NF($I226,Q$11)</t>
  </si>
  <si>
    <t>=NF($I227,Q$11)</t>
  </si>
  <si>
    <t>=NF($I228,Q$11)</t>
  </si>
  <si>
    <t>=NF($I229,Q$11)</t>
  </si>
  <si>
    <t>=NF($I230,Q$11)</t>
  </si>
  <si>
    <t>=NF($I224,R$11)</t>
  </si>
  <si>
    <t>=NF($I225,R$11)</t>
  </si>
  <si>
    <t>=NF($I226,R$11)</t>
  </si>
  <si>
    <t>=NF($I227,R$11)</t>
  </si>
  <si>
    <t>=NF($I228,R$11)</t>
  </si>
  <si>
    <t>=NF($I229,R$11)</t>
  </si>
  <si>
    <t>=NF($I230,R$11)</t>
  </si>
  <si>
    <t>=NF($I224,S$11)</t>
  </si>
  <si>
    <t>=NF($I225,S$11)</t>
  </si>
  <si>
    <t>=NF($I226,S$11)</t>
  </si>
  <si>
    <t>=NF($I227,S$11)</t>
  </si>
  <si>
    <t>=NF($I228,S$11)</t>
  </si>
  <si>
    <t>=NF($I229,S$11)</t>
  </si>
  <si>
    <t>=NF($I230,S$11)</t>
  </si>
  <si>
    <t>=NF($I105,P$11)</t>
  </si>
  <si>
    <t>=NF($I106,P$11)</t>
  </si>
  <si>
    <t>=NF($I107,P$11)</t>
  </si>
  <si>
    <t>=NF($I108,P$11)</t>
  </si>
  <si>
    <t>=NF($I109,P$11)</t>
  </si>
  <si>
    <t>=NF($I110,P$11)</t>
  </si>
  <si>
    <t>=NF($I105,Q$11)</t>
  </si>
  <si>
    <t>=NF($I106,Q$11)</t>
  </si>
  <si>
    <t>=NF($I107,Q$11)</t>
  </si>
  <si>
    <t>=NF($I108,Q$11)</t>
  </si>
  <si>
    <t>=NF($I109,Q$11)</t>
  </si>
  <si>
    <t>=NF($I110,Q$11)</t>
  </si>
  <si>
    <t>=NF($I105,R$11)</t>
  </si>
  <si>
    <t>=NF($I106,R$11)</t>
  </si>
  <si>
    <t>=NF($I107,R$11)</t>
  </si>
  <si>
    <t>=NF($I108,R$11)</t>
  </si>
  <si>
    <t>=NF($I109,R$11)</t>
  </si>
  <si>
    <t>=NF($I110,R$11)</t>
  </si>
  <si>
    <t>=NF($I105,S$11)</t>
  </si>
  <si>
    <t>=NF($I106,S$11)</t>
  </si>
  <si>
    <t>=NF($I107,S$11)</t>
  </si>
  <si>
    <t>=NF($I108,S$11)</t>
  </si>
  <si>
    <t>=NF($I109,S$11)</t>
  </si>
  <si>
    <t>=NF($I110,S$11)</t>
  </si>
  <si>
    <t>=NF($I114,P$11)</t>
  </si>
  <si>
    <t>=NF($I115,P$11)</t>
  </si>
  <si>
    <t>=NF($I116,P$11)</t>
  </si>
  <si>
    <t>=NF($I117,P$11)</t>
  </si>
  <si>
    <t>=NF($I118,P$11)</t>
  </si>
  <si>
    <t>=NF($I119,P$11)</t>
  </si>
  <si>
    <t>=NF($I114,Q$11)</t>
  </si>
  <si>
    <t>=NF($I115,Q$11)</t>
  </si>
  <si>
    <t>=NF($I116,Q$11)</t>
  </si>
  <si>
    <t>=NF($I117,Q$11)</t>
  </si>
  <si>
    <t>=NF($I118,Q$11)</t>
  </si>
  <si>
    <t>=NF($I119,Q$11)</t>
  </si>
  <si>
    <t>=NF($I114,R$11)</t>
  </si>
  <si>
    <t>=NF($I115,R$11)</t>
  </si>
  <si>
    <t>=NF($I116,R$11)</t>
  </si>
  <si>
    <t>=NF($I117,R$11)</t>
  </si>
  <si>
    <t>=NF($I118,R$11)</t>
  </si>
  <si>
    <t>=NF($I119,R$11)</t>
  </si>
  <si>
    <t>=NF($I114,S$11)</t>
  </si>
  <si>
    <t>=NF($I115,S$11)</t>
  </si>
  <si>
    <t>=NF($I116,S$11)</t>
  </si>
  <si>
    <t>=NF($I117,S$11)</t>
  </si>
  <si>
    <t>=NF($I118,S$11)</t>
  </si>
  <si>
    <t>=NF($I119,S$11)</t>
  </si>
  <si>
    <t>=NF($I165,P$11)</t>
  </si>
  <si>
    <t>=NF($I166,P$11)</t>
  </si>
  <si>
    <t>=NF($I167,P$11)</t>
  </si>
  <si>
    <t>=NF($I168,P$11)</t>
  </si>
  <si>
    <t>=NF($I169,P$11)</t>
  </si>
  <si>
    <t>=NF($I170,P$11)</t>
  </si>
  <si>
    <t>=NF($I171,P$11)</t>
  </si>
  <si>
    <t>=NF($I165,Q$11)</t>
  </si>
  <si>
    <t>=NF($I166,Q$11)</t>
  </si>
  <si>
    <t>=NF($I167,Q$11)</t>
  </si>
  <si>
    <t>=NF($I168,Q$11)</t>
  </si>
  <si>
    <t>=NF($I169,Q$11)</t>
  </si>
  <si>
    <t>=NF($I170,Q$11)</t>
  </si>
  <si>
    <t>=NF($I171,Q$11)</t>
  </si>
  <si>
    <t>=NF($I165,R$11)</t>
  </si>
  <si>
    <t>=NF($I166,R$11)</t>
  </si>
  <si>
    <t>=NF($I167,R$11)</t>
  </si>
  <si>
    <t>=NF($I168,R$11)</t>
  </si>
  <si>
    <t>=NF($I169,R$11)</t>
  </si>
  <si>
    <t>=NF($I170,R$11)</t>
  </si>
  <si>
    <t>=NF($I171,R$11)</t>
  </si>
  <si>
    <t>=NF($I165,S$11)</t>
  </si>
  <si>
    <t>=NF($I166,S$11)</t>
  </si>
  <si>
    <t>=NF($I167,S$11)</t>
  </si>
  <si>
    <t>=NF($I168,S$11)</t>
  </si>
  <si>
    <t>=NF($I169,S$11)</t>
  </si>
  <si>
    <t>=NF($I170,S$11)</t>
  </si>
  <si>
    <t>=NF($I171,S$11)</t>
  </si>
  <si>
    <t>=NF($I175,P$11)</t>
  </si>
  <si>
    <t>=NF($I176,P$11)</t>
  </si>
  <si>
    <t>=NF($I177,P$11)</t>
  </si>
  <si>
    <t>=NF($I178,P$11)</t>
  </si>
  <si>
    <t>=NF($I179,P$11)</t>
  </si>
  <si>
    <t>=NF($I180,P$11)</t>
  </si>
  <si>
    <t>=NF($I181,P$11)</t>
  </si>
  <si>
    <t>=NF($I175,Q$11)</t>
  </si>
  <si>
    <t>=NF($I176,Q$11)</t>
  </si>
  <si>
    <t>=NF($I177,Q$11)</t>
  </si>
  <si>
    <t>=NF($I178,Q$11)</t>
  </si>
  <si>
    <t>=NF($I179,Q$11)</t>
  </si>
  <si>
    <t>=NF($I180,Q$11)</t>
  </si>
  <si>
    <t>=NF($I181,Q$11)</t>
  </si>
  <si>
    <t>=NF($I175,R$11)</t>
  </si>
  <si>
    <t>=NF($I176,R$11)</t>
  </si>
  <si>
    <t>=NF($I177,R$11)</t>
  </si>
  <si>
    <t>=NF($I178,R$11)</t>
  </si>
  <si>
    <t>=NF($I179,R$11)</t>
  </si>
  <si>
    <t>=NF($I180,R$11)</t>
  </si>
  <si>
    <t>=NF($I181,R$11)</t>
  </si>
  <si>
    <t>=NF($I175,S$11)</t>
  </si>
  <si>
    <t>=NF($I176,S$11)</t>
  </si>
  <si>
    <t>=NF($I177,S$11)</t>
  </si>
  <si>
    <t>=NF($I178,S$11)</t>
  </si>
  <si>
    <t>=NF($I179,S$11)</t>
  </si>
  <si>
    <t>=NF($I180,S$11)</t>
  </si>
  <si>
    <t>=NF($I181,S$11)</t>
  </si>
  <si>
    <t>=NF($I148,P$11)</t>
  </si>
  <si>
    <t>=NF($I149,P$11)</t>
  </si>
  <si>
    <t>=NF($I150,P$11)</t>
  </si>
  <si>
    <t>=NF($I151,P$11)</t>
  </si>
  <si>
    <t>=NF($I148,Q$11)</t>
  </si>
  <si>
    <t>=NF($I149,Q$11)</t>
  </si>
  <si>
    <t>=NF($I150,Q$11)</t>
  </si>
  <si>
    <t>=NF($I151,Q$11)</t>
  </si>
  <si>
    <t>=NF($I148,R$11)</t>
  </si>
  <si>
    <t>=NF($I149,R$11)</t>
  </si>
  <si>
    <t>=NF($I150,R$11)</t>
  </si>
  <si>
    <t>=NF($I151,R$11)</t>
  </si>
  <si>
    <t>=NF($I148,S$11)</t>
  </si>
  <si>
    <t>=NF($I149,S$11)</t>
  </si>
  <si>
    <t>=NF($I150,S$11)</t>
  </si>
  <si>
    <t>=NF($I151,S$11)</t>
  </si>
  <si>
    <t>=NF($I155,P$11)</t>
  </si>
  <si>
    <t>=NF($I156,P$11)</t>
  </si>
  <si>
    <t>=NF($I157,P$11)</t>
  </si>
  <si>
    <t>=NF($I158,P$11)</t>
  </si>
  <si>
    <t>=NF($I155,Q$11)</t>
  </si>
  <si>
    <t>=NF($I156,Q$11)</t>
  </si>
  <si>
    <t>=NF($I157,Q$11)</t>
  </si>
  <si>
    <t>=NF($I158,Q$11)</t>
  </si>
  <si>
    <t>=NF($I155,R$11)</t>
  </si>
  <si>
    <t>=NF($I156,R$11)</t>
  </si>
  <si>
    <t>=NF($I157,R$11)</t>
  </si>
  <si>
    <t>=NF($I158,R$11)</t>
  </si>
  <si>
    <t>=NF($I155,S$11)</t>
  </si>
  <si>
    <t>=NF($I156,S$11)</t>
  </si>
  <si>
    <t>=NF($I157,S$11)</t>
  </si>
  <si>
    <t>=NF($I158,S$11)</t>
  </si>
  <si>
    <t>=NF($I126,P$11)</t>
  </si>
  <si>
    <t>=NF($I127,P$11)</t>
  </si>
  <si>
    <t>=NF($I128,P$11)</t>
  </si>
  <si>
    <t>=NF($I129,P$11)</t>
  </si>
  <si>
    <t>=NF($I126,Q$11)</t>
  </si>
  <si>
    <t>=NF($I127,Q$11)</t>
  </si>
  <si>
    <t>=NF($I128,Q$11)</t>
  </si>
  <si>
    <t>=NF($I129,Q$11)</t>
  </si>
  <si>
    <t>=NF($I126,R$11)</t>
  </si>
  <si>
    <t>=NF($I127,R$11)</t>
  </si>
  <si>
    <t>=NF($I128,R$11)</t>
  </si>
  <si>
    <t>=NF($I129,R$11)</t>
  </si>
  <si>
    <t>=NF($I126,S$11)</t>
  </si>
  <si>
    <t>=NF($I127,S$11)</t>
  </si>
  <si>
    <t>=NF($I128,S$11)</t>
  </si>
  <si>
    <t>=NF($I129,S$11)</t>
  </si>
  <si>
    <t>=NF($I133,P$11)</t>
  </si>
  <si>
    <t>=NF($I134,P$11)</t>
  </si>
  <si>
    <t>=NF($I135,P$11)</t>
  </si>
  <si>
    <t>=NF($I136,P$11)</t>
  </si>
  <si>
    <t>=NF($I133,Q$11)</t>
  </si>
  <si>
    <t>=NF($I134,Q$11)</t>
  </si>
  <si>
    <t>=NF($I135,Q$11)</t>
  </si>
  <si>
    <t>=NF($I136,Q$11)</t>
  </si>
  <si>
    <t>=NF($I133,R$11)</t>
  </si>
  <si>
    <t>=NF($I134,R$11)</t>
  </si>
  <si>
    <t>=NF($I135,R$11)</t>
  </si>
  <si>
    <t>=NF($I136,R$11)</t>
  </si>
  <si>
    <t>=NF($I133,S$11)</t>
  </si>
  <si>
    <t>=NF($I134,S$11)</t>
  </si>
  <si>
    <t>=NF($I135,S$11)</t>
  </si>
  <si>
    <t>=NF($I136,S$11)</t>
  </si>
  <si>
    <t>Auto+Hide+HideSheet+Values+Formulas=Sheet1,Sheet2,Sheet3</t>
  </si>
  <si>
    <t>Auto+Hide+HideSheet+Values+Formulas=Sheet1,Sheet2,Sheet3+FormulasOnly</t>
  </si>
  <si>
    <t>Auto+Hide+Values+Formulas=Sheet6,Sheet4,Sheet5</t>
  </si>
  <si>
    <t>Auto+Hide+Values+Formulas=Sheet6,Sheet4,Sheet5+FormulasOnly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</si>
</sst>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32">
    <font>
      <sz val="10"/>
      <name val="Arial"/>
    </font>
    <font>
      <sz val="11"/>
      <color theme="1"/>
      <name val="Calibri"/>
      <family val="2"/>
      <scheme val="minor"/>
    </font>
    <font>
      <sz val="10"/>
      <name val="Arial"/>
      <family val="2"/>
    </font>
    <font>
      <sz val="8"/>
      <name val="Arial"/>
      <family val="2"/>
    </font>
    <font>
      <sz val="10"/>
      <name val="Arial"/>
      <family val="2"/>
    </font>
    <font>
      <sz val="9"/>
      <name val="Arial"/>
      <family val="2"/>
    </font>
    <font>
      <b/>
      <sz val="9"/>
      <name val="Arial"/>
      <family val="2"/>
    </font>
    <font>
      <u/>
      <sz val="10"/>
      <color indexed="12"/>
      <name val="Arial"/>
      <family val="2"/>
    </font>
    <font>
      <sz val="10"/>
      <name val="Arial"/>
      <family val="2"/>
    </font>
    <font>
      <sz val="10"/>
      <name val="Arial"/>
      <family val="2"/>
    </font>
    <font>
      <sz val="9"/>
      <color indexed="22"/>
      <name val="Kalinga"/>
      <family val="2"/>
    </font>
    <font>
      <sz val="9"/>
      <name val="Kalinga"/>
      <family val="2"/>
    </font>
    <font>
      <b/>
      <sz val="9"/>
      <color indexed="9"/>
      <name val="Kalinga"/>
      <family val="2"/>
    </font>
    <font>
      <b/>
      <sz val="9"/>
      <name val="Kalinga"/>
      <family val="2"/>
    </font>
    <font>
      <b/>
      <sz val="9"/>
      <color indexed="22"/>
      <name val="Kalinga"/>
      <family val="2"/>
    </font>
    <font>
      <b/>
      <sz val="10"/>
      <color indexed="9"/>
      <name val="Kalinga"/>
      <family val="2"/>
    </font>
    <font>
      <sz val="9"/>
      <color indexed="55"/>
      <name val="Kalinga"/>
      <family val="2"/>
    </font>
    <font>
      <b/>
      <sz val="16"/>
      <color theme="2" tint="-0.749992370372631"/>
      <name val="Kalinga"/>
      <family val="2"/>
    </font>
    <font>
      <b/>
      <sz val="11"/>
      <name val="Arial"/>
      <family val="2"/>
    </font>
    <font>
      <sz val="9"/>
      <color theme="0" tint="-0.34998626667073579"/>
      <name val="Arial"/>
      <family val="2"/>
    </font>
    <font>
      <sz val="8"/>
      <color theme="0" tint="-0.34998626667073579"/>
      <name val="Arial"/>
      <family val="2"/>
    </font>
    <font>
      <b/>
      <sz val="10"/>
      <name val="Kalinga"/>
      <family val="2"/>
    </font>
    <font>
      <b/>
      <sz val="16"/>
      <color indexed="9"/>
      <name val="Kalinga"/>
      <family val="2"/>
    </font>
    <font>
      <sz val="10"/>
      <color indexed="48"/>
      <name val="Kalinga"/>
      <family val="2"/>
    </font>
    <font>
      <sz val="10"/>
      <name val="Kalinga"/>
      <family val="2"/>
    </font>
    <font>
      <b/>
      <sz val="11"/>
      <name val="Kalinga"/>
      <family val="2"/>
    </font>
    <font>
      <b/>
      <sz val="10"/>
      <color theme="0"/>
      <name val="Kalinga"/>
      <family val="2"/>
    </font>
    <font>
      <b/>
      <sz val="12"/>
      <color indexed="9"/>
      <name val="Kalinga"/>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8">
    <fill>
      <patternFill patternType="none"/>
    </fill>
    <fill>
      <patternFill patternType="gray125"/>
    </fill>
    <fill>
      <patternFill patternType="solid">
        <fgColor theme="0" tint="-0.249977111117893"/>
        <bgColor indexed="64"/>
      </patternFill>
    </fill>
    <fill>
      <patternFill patternType="solid">
        <fgColor theme="2" tint="-0.249977111117893"/>
        <bgColor indexed="64"/>
      </patternFill>
    </fill>
    <fill>
      <patternFill patternType="solid">
        <fgColor theme="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0" tint="-0.14999847407452621"/>
        <bgColor indexed="64"/>
      </patternFill>
    </fill>
  </fills>
  <borders count="5">
    <border>
      <left/>
      <right/>
      <top/>
      <bottom/>
      <diagonal/>
    </border>
    <border>
      <left/>
      <right/>
      <top style="thin">
        <color indexed="64"/>
      </top>
      <bottom style="double">
        <color indexed="64"/>
      </bottom>
      <diagonal/>
    </border>
    <border>
      <left/>
      <right/>
      <top style="thin">
        <color indexed="64"/>
      </top>
      <bottom style="thin">
        <color indexed="64"/>
      </bottom>
      <diagonal/>
    </border>
    <border>
      <left/>
      <right/>
      <top/>
      <bottom style="thin">
        <color indexed="64"/>
      </bottom>
      <diagonal/>
    </border>
    <border>
      <left/>
      <right/>
      <top/>
      <bottom style="medium">
        <color indexed="64"/>
      </bottom>
      <diagonal/>
    </border>
  </borders>
  <cellStyleXfs count="8">
    <xf numFmtId="0" fontId="0" fillId="0" borderId="0"/>
    <xf numFmtId="43" fontId="2" fillId="0" borderId="0" applyFont="0" applyFill="0" applyBorder="0" applyAlignment="0" applyProtection="0"/>
    <xf numFmtId="0" fontId="4" fillId="0" borderId="0"/>
    <xf numFmtId="0" fontId="8" fillId="0" borderId="0"/>
    <xf numFmtId="0" fontId="9" fillId="0" borderId="0"/>
    <xf numFmtId="0" fontId="4" fillId="0" borderId="0"/>
    <xf numFmtId="0" fontId="1" fillId="0" borderId="0"/>
    <xf numFmtId="0" fontId="7" fillId="0" borderId="0" applyNumberFormat="0" applyFill="0" applyBorder="0" applyAlignment="0" applyProtection="0">
      <alignment vertical="top"/>
      <protection locked="0"/>
    </xf>
  </cellStyleXfs>
  <cellXfs count="60">
    <xf numFmtId="0" fontId="0" fillId="0" borderId="0" xfId="0"/>
    <xf numFmtId="0" fontId="5" fillId="0" borderId="0" xfId="0" applyFont="1"/>
    <xf numFmtId="0" fontId="6" fillId="0" borderId="0" xfId="0" applyFont="1" applyFill="1" applyAlignment="1"/>
    <xf numFmtId="0" fontId="0" fillId="0" borderId="0" xfId="0" quotePrefix="1"/>
    <xf numFmtId="0" fontId="10" fillId="0" borderId="0" xfId="0" applyFont="1"/>
    <xf numFmtId="0" fontId="11" fillId="0" borderId="0" xfId="0" applyFont="1"/>
    <xf numFmtId="0" fontId="12" fillId="0" borderId="0" xfId="0" applyFont="1" applyFill="1" applyAlignment="1"/>
    <xf numFmtId="0" fontId="13" fillId="0" borderId="0" xfId="0" applyFont="1" applyFill="1" applyAlignment="1"/>
    <xf numFmtId="0" fontId="11" fillId="0" borderId="0" xfId="0" applyFont="1" applyFill="1" applyAlignment="1"/>
    <xf numFmtId="43" fontId="11" fillId="0" borderId="0" xfId="1" applyFont="1"/>
    <xf numFmtId="0" fontId="13" fillId="0" borderId="0" xfId="0" applyFont="1" applyFill="1" applyAlignment="1">
      <alignment horizontal="left"/>
    </xf>
    <xf numFmtId="14" fontId="11" fillId="0" borderId="0" xfId="0" applyNumberFormat="1" applyFont="1" applyFill="1" applyAlignment="1"/>
    <xf numFmtId="0" fontId="13" fillId="0" borderId="0" xfId="0" applyFont="1"/>
    <xf numFmtId="0" fontId="14" fillId="0" borderId="0" xfId="0" applyFont="1"/>
    <xf numFmtId="0" fontId="16" fillId="0" borderId="0" xfId="0" applyFont="1"/>
    <xf numFmtId="14" fontId="16" fillId="0" borderId="0" xfId="0" applyNumberFormat="1" applyFont="1" applyFill="1"/>
    <xf numFmtId="43" fontId="11" fillId="0" borderId="0" xfId="1" applyNumberFormat="1" applyFont="1"/>
    <xf numFmtId="0" fontId="17" fillId="0" borderId="0" xfId="0" applyFont="1" applyFill="1" applyAlignment="1"/>
    <xf numFmtId="0" fontId="18" fillId="2" borderId="0" xfId="0" applyFont="1" applyFill="1"/>
    <xf numFmtId="0" fontId="19" fillId="0" borderId="0" xfId="0" applyFont="1"/>
    <xf numFmtId="0" fontId="20" fillId="0" borderId="0" xfId="0" applyFont="1"/>
    <xf numFmtId="0" fontId="21" fillId="4" borderId="0" xfId="0" applyFont="1" applyFill="1"/>
    <xf numFmtId="0" fontId="15" fillId="3" borderId="0" xfId="0" applyFont="1" applyFill="1" applyAlignment="1">
      <alignment horizontal="left"/>
    </xf>
    <xf numFmtId="0" fontId="22" fillId="0" borderId="0" xfId="0" applyFont="1" applyFill="1" applyAlignment="1"/>
    <xf numFmtId="0" fontId="10" fillId="6" borderId="0" xfId="0" applyFont="1" applyFill="1"/>
    <xf numFmtId="0" fontId="11" fillId="6" borderId="0" xfId="0" applyFont="1" applyFill="1"/>
    <xf numFmtId="0" fontId="13" fillId="6" borderId="0" xfId="0" applyFont="1" applyFill="1"/>
    <xf numFmtId="0" fontId="16" fillId="7" borderId="0" xfId="0" applyFont="1" applyFill="1"/>
    <xf numFmtId="0" fontId="11" fillId="0" borderId="0" xfId="0" applyFont="1" applyAlignment="1">
      <alignment horizontal="right"/>
    </xf>
    <xf numFmtId="0" fontId="23" fillId="0" borderId="0" xfId="0" applyFont="1" applyFill="1"/>
    <xf numFmtId="43" fontId="23" fillId="0" borderId="0" xfId="1" applyFont="1" applyFill="1"/>
    <xf numFmtId="0" fontId="21" fillId="0" borderId="0" xfId="0" applyFont="1" applyFill="1"/>
    <xf numFmtId="0" fontId="24" fillId="0" borderId="0" xfId="0" applyFont="1" applyFill="1"/>
    <xf numFmtId="0" fontId="24" fillId="0" borderId="0" xfId="0" applyFont="1"/>
    <xf numFmtId="0" fontId="24" fillId="0" borderId="0" xfId="0" applyFont="1" applyAlignment="1">
      <alignment horizontal="right"/>
    </xf>
    <xf numFmtId="43" fontId="24" fillId="0" borderId="0" xfId="1" applyFont="1"/>
    <xf numFmtId="14" fontId="24" fillId="0" borderId="0" xfId="0" applyNumberFormat="1" applyFont="1" applyFill="1" applyAlignment="1">
      <alignment horizontal="right"/>
    </xf>
    <xf numFmtId="43" fontId="13" fillId="4" borderId="0" xfId="0" applyNumberFormat="1" applyFont="1" applyFill="1"/>
    <xf numFmtId="0" fontId="13" fillId="4" borderId="0" xfId="0" applyFont="1" applyFill="1"/>
    <xf numFmtId="0" fontId="13" fillId="4" borderId="0" xfId="0" applyFont="1" applyFill="1" applyAlignment="1">
      <alignment horizontal="right"/>
    </xf>
    <xf numFmtId="43" fontId="24" fillId="0" borderId="0" xfId="1" applyNumberFormat="1" applyFont="1"/>
    <xf numFmtId="0" fontId="25" fillId="5" borderId="1" xfId="0" applyFont="1" applyFill="1" applyBorder="1"/>
    <xf numFmtId="43" fontId="25" fillId="5" borderId="1" xfId="1" applyNumberFormat="1" applyFont="1" applyFill="1" applyBorder="1"/>
    <xf numFmtId="0" fontId="24" fillId="4" borderId="0" xfId="0" applyFont="1" applyFill="1"/>
    <xf numFmtId="0" fontId="24" fillId="0" borderId="3" xfId="0" applyFont="1" applyFill="1" applyBorder="1"/>
    <xf numFmtId="14" fontId="24" fillId="0" borderId="3" xfId="0" applyNumberFormat="1" applyFont="1" applyFill="1" applyBorder="1"/>
    <xf numFmtId="0" fontId="21" fillId="4" borderId="2" xfId="0" applyFont="1" applyFill="1" applyBorder="1"/>
    <xf numFmtId="43" fontId="21" fillId="4" borderId="2" xfId="1" applyNumberFormat="1" applyFont="1" applyFill="1" applyBorder="1"/>
    <xf numFmtId="0" fontId="26" fillId="3" borderId="2" xfId="0" applyFont="1" applyFill="1" applyBorder="1"/>
    <xf numFmtId="43" fontId="26" fillId="3" borderId="2" xfId="1" applyNumberFormat="1" applyFont="1" applyFill="1" applyBorder="1"/>
    <xf numFmtId="0" fontId="27" fillId="3" borderId="4" xfId="0" applyFont="1" applyFill="1" applyBorder="1" applyAlignment="1">
      <alignment horizontal="left"/>
    </xf>
    <xf numFmtId="0" fontId="27" fillId="3" borderId="4" xfId="0" applyFont="1" applyFill="1" applyBorder="1" applyAlignment="1">
      <alignment horizontal="right"/>
    </xf>
    <xf numFmtId="43" fontId="27" fillId="3" borderId="4" xfId="1" applyFont="1" applyFill="1" applyBorder="1" applyAlignment="1">
      <alignment horizontal="right"/>
    </xf>
    <xf numFmtId="0" fontId="28" fillId="0" borderId="0" xfId="6" applyFont="1"/>
    <xf numFmtId="0" fontId="28" fillId="0" borderId="0" xfId="6" applyFont="1" applyAlignment="1">
      <alignment vertical="top"/>
    </xf>
    <xf numFmtId="0" fontId="28" fillId="0" borderId="0" xfId="6" applyFont="1" applyAlignment="1">
      <alignment vertical="top" wrapText="1"/>
    </xf>
    <xf numFmtId="0" fontId="29" fillId="0" borderId="0" xfId="6" applyFont="1" applyAlignment="1">
      <alignment vertical="top"/>
    </xf>
    <xf numFmtId="0" fontId="30" fillId="0" borderId="0" xfId="6" applyFont="1" applyAlignment="1">
      <alignment vertical="top"/>
    </xf>
    <xf numFmtId="0" fontId="31" fillId="0" borderId="0" xfId="6" applyFont="1" applyAlignment="1">
      <alignment vertical="top"/>
    </xf>
    <xf numFmtId="0" fontId="7" fillId="0" borderId="0" xfId="7" applyAlignment="1" applyProtection="1">
      <alignment vertical="top"/>
    </xf>
  </cellXfs>
  <cellStyles count="8">
    <cellStyle name="Comma" xfId="1" builtinId="3"/>
    <cellStyle name="Hyperlink 3" xfId="7"/>
    <cellStyle name="Normal" xfId="0" builtinId="0"/>
    <cellStyle name="Normal 2" xfId="2"/>
    <cellStyle name="Normal 2 2" xfId="3"/>
    <cellStyle name="Normal 2 3" xfId="4"/>
    <cellStyle name="Normal 2 4" xfId="5"/>
    <cellStyle name="Normal 3" xfId="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E3EAF1"/>
      <rgbColor rgb="00CCFFFF"/>
      <rgbColor rgb="00CCFFCC"/>
      <rgbColor rgb="00E1E1D1"/>
      <rgbColor rgb="0099CCFF"/>
      <rgbColor rgb="00FF99CC"/>
      <rgbColor rgb="00CC99FF"/>
      <rgbColor rgb="00FFCC99"/>
      <rgbColor rgb="000074AB"/>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showGridLines="0" tabSelected="1" workbookViewId="0"/>
  </sheetViews>
  <sheetFormatPr defaultColWidth="9.140625" defaultRowHeight="14.25"/>
  <cols>
    <col min="1" max="1" width="3.42578125" style="53" hidden="1" customWidth="1"/>
    <col min="2" max="2" width="10.28515625" style="53" customWidth="1"/>
    <col min="3" max="3" width="27.140625" style="54" customWidth="1"/>
    <col min="4" max="4" width="77.28515625" style="55" customWidth="1"/>
    <col min="5" max="5" width="36.42578125" style="53" customWidth="1"/>
    <col min="6" max="16384" width="9.140625" style="53"/>
  </cols>
  <sheetData>
    <row r="1" spans="1:5" hidden="1">
      <c r="A1" s="53" t="s">
        <v>3851</v>
      </c>
    </row>
    <row r="7" spans="1:5" ht="30.75">
      <c r="C7" s="56" t="s">
        <v>0</v>
      </c>
    </row>
    <row r="9" spans="1:5">
      <c r="C9" s="57"/>
    </row>
    <row r="10" spans="1:5" ht="114">
      <c r="C10" s="58" t="s">
        <v>1</v>
      </c>
      <c r="D10" s="55" t="s">
        <v>3867</v>
      </c>
    </row>
    <row r="11" spans="1:5">
      <c r="C11" s="58"/>
    </row>
    <row r="12" spans="1:5">
      <c r="C12" s="58" t="s">
        <v>3852</v>
      </c>
      <c r="D12" s="55" t="s">
        <v>3853</v>
      </c>
    </row>
    <row r="13" spans="1:5">
      <c r="C13" s="58"/>
    </row>
    <row r="14" spans="1:5" ht="57">
      <c r="C14" s="58" t="s">
        <v>2</v>
      </c>
      <c r="D14" s="55" t="s">
        <v>3868</v>
      </c>
      <c r="E14" s="59" t="s">
        <v>3854</v>
      </c>
    </row>
    <row r="15" spans="1:5">
      <c r="C15" s="58"/>
      <c r="E15" s="54"/>
    </row>
    <row r="16" spans="1:5" ht="28.5">
      <c r="C16" s="58" t="s">
        <v>3855</v>
      </c>
      <c r="D16" s="55" t="s">
        <v>3856</v>
      </c>
      <c r="E16" s="59" t="s">
        <v>3857</v>
      </c>
    </row>
    <row r="17" spans="3:5">
      <c r="C17" s="58"/>
      <c r="E17" s="54"/>
    </row>
    <row r="18" spans="3:5" ht="57">
      <c r="C18" s="58" t="s">
        <v>3858</v>
      </c>
      <c r="D18" s="55" t="s">
        <v>3869</v>
      </c>
      <c r="E18" s="59" t="s">
        <v>3859</v>
      </c>
    </row>
    <row r="19" spans="3:5">
      <c r="C19" s="58"/>
      <c r="E19" s="54"/>
    </row>
    <row r="20" spans="3:5" ht="30.75" customHeight="1">
      <c r="C20" s="58" t="s">
        <v>3</v>
      </c>
      <c r="D20" s="55" t="s">
        <v>3860</v>
      </c>
      <c r="E20" s="59" t="s">
        <v>3861</v>
      </c>
    </row>
    <row r="21" spans="3:5">
      <c r="C21" s="58"/>
      <c r="E21" s="54"/>
    </row>
    <row r="22" spans="3:5" ht="14.25" customHeight="1">
      <c r="C22" s="58" t="s">
        <v>4</v>
      </c>
      <c r="D22" s="55" t="s">
        <v>3862</v>
      </c>
      <c r="E22" s="59" t="s">
        <v>3863</v>
      </c>
    </row>
    <row r="23" spans="3:5">
      <c r="C23" s="58"/>
      <c r="E23" s="54"/>
    </row>
    <row r="24" spans="3:5" ht="15" customHeight="1">
      <c r="C24" s="58" t="s">
        <v>5</v>
      </c>
      <c r="D24" s="55" t="s">
        <v>3864</v>
      </c>
      <c r="E24" s="59" t="s">
        <v>3865</v>
      </c>
    </row>
    <row r="25" spans="3:5">
      <c r="C25" s="58"/>
    </row>
    <row r="26" spans="3:5" ht="71.25">
      <c r="C26" s="58" t="s">
        <v>6</v>
      </c>
      <c r="D26" s="55" t="s">
        <v>3870</v>
      </c>
    </row>
    <row r="27" spans="3:5">
      <c r="C27" s="58"/>
    </row>
    <row r="28" spans="3:5" ht="17.25" customHeight="1">
      <c r="C28" s="58" t="s">
        <v>7</v>
      </c>
      <c r="D28" s="55" t="s">
        <v>3866</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workbookViewId="0"/>
  </sheetViews>
  <sheetFormatPr defaultRowHeight="12.75"/>
  <cols>
    <col min="1" max="1" width="9.140625" hidden="1" customWidth="1"/>
    <col min="2" max="2" width="16.7109375" bestFit="1" customWidth="1"/>
    <col min="3" max="3" width="16.5703125" bestFit="1" customWidth="1"/>
  </cols>
  <sheetData>
    <row r="1" spans="1:4" hidden="1">
      <c r="A1" s="20" t="s">
        <v>5410</v>
      </c>
      <c r="B1" s="20" t="s">
        <v>21</v>
      </c>
      <c r="C1" s="20" t="s">
        <v>20</v>
      </c>
      <c r="D1" s="20" t="s">
        <v>18</v>
      </c>
    </row>
    <row r="2" spans="1:4">
      <c r="A2" s="20"/>
      <c r="B2" s="20"/>
      <c r="C2" s="20"/>
      <c r="D2" s="20"/>
    </row>
    <row r="3" spans="1:4" ht="15">
      <c r="A3" s="19"/>
      <c r="B3" s="18" t="s">
        <v>2811</v>
      </c>
    </row>
    <row r="4" spans="1:4">
      <c r="A4" s="19" t="s">
        <v>22</v>
      </c>
      <c r="B4" s="2" t="s">
        <v>26</v>
      </c>
      <c r="C4" t="str">
        <f>"1/1/2014..3/31/2014"</f>
        <v>1/1/2014..3/31/2014</v>
      </c>
      <c r="D4" t="str">
        <f>"Lookup"</f>
        <v>Lookup</v>
      </c>
    </row>
    <row r="5" spans="1:4">
      <c r="A5" s="19" t="s">
        <v>22</v>
      </c>
      <c r="B5" s="2" t="s">
        <v>27</v>
      </c>
      <c r="C5" t="s">
        <v>19</v>
      </c>
      <c r="D5" t="str">
        <f>"Lookup"</f>
        <v>Lookup</v>
      </c>
    </row>
    <row r="6" spans="1:4">
      <c r="A6" s="19" t="s">
        <v>22</v>
      </c>
      <c r="B6" s="2" t="s">
        <v>28</v>
      </c>
      <c r="C6" t="s">
        <v>19</v>
      </c>
      <c r="D6" t="str">
        <f>"Lookup"</f>
        <v>Lookup</v>
      </c>
    </row>
    <row r="7" spans="1:4">
      <c r="A7" s="19" t="s">
        <v>22</v>
      </c>
      <c r="B7" s="2" t="s">
        <v>29</v>
      </c>
      <c r="C7" t="s">
        <v>19</v>
      </c>
      <c r="D7" t="str">
        <f>"Lookup"</f>
        <v>Lookup</v>
      </c>
    </row>
    <row r="8" spans="1:4">
      <c r="A8" s="19" t="s">
        <v>22</v>
      </c>
      <c r="B8" s="2" t="s">
        <v>30</v>
      </c>
      <c r="C8" t="s">
        <v>19</v>
      </c>
      <c r="D8" t="str">
        <f>"Lookup"</f>
        <v>Lookup</v>
      </c>
    </row>
    <row r="9" spans="1:4">
      <c r="A9" s="19"/>
    </row>
    <row r="10" spans="1:4">
      <c r="A10" s="1"/>
    </row>
    <row r="11" spans="1:4">
      <c r="A11" s="1"/>
    </row>
  </sheetData>
  <phoneticPr fontId="3"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78"/>
  <sheetViews>
    <sheetView showGridLines="0" topLeftCell="B3" zoomScale="90" zoomScaleNormal="90" workbookViewId="0"/>
  </sheetViews>
  <sheetFormatPr defaultColWidth="9.140625" defaultRowHeight="12" outlineLevelRow="3"/>
  <cols>
    <col min="1" max="1" width="9.140625" style="5" hidden="1" customWidth="1"/>
    <col min="2" max="2" width="9.140625" style="5"/>
    <col min="3" max="4" width="9.140625" style="5" hidden="1" customWidth="1"/>
    <col min="5" max="9" width="9.140625" style="4" hidden="1" customWidth="1"/>
    <col min="10" max="10" width="60.28515625" style="5" bestFit="1" customWidth="1"/>
    <col min="11" max="11" width="19.140625" style="5" bestFit="1" customWidth="1"/>
    <col min="12" max="12" width="13" style="5" bestFit="1" customWidth="1"/>
    <col min="13" max="13" width="12.85546875" style="5" bestFit="1" customWidth="1"/>
    <col min="14" max="14" width="32" style="5" bestFit="1" customWidth="1"/>
    <col min="15" max="15" width="14" style="5" bestFit="1" customWidth="1"/>
    <col min="16" max="16" width="11.42578125" style="5" bestFit="1" customWidth="1"/>
    <col min="17" max="17" width="15.42578125" style="5" bestFit="1" customWidth="1"/>
    <col min="18" max="18" width="11.42578125" style="5" bestFit="1" customWidth="1"/>
    <col min="19" max="19" width="16.85546875" style="9" bestFit="1" customWidth="1"/>
    <col min="20" max="16384" width="9.140625" style="5"/>
  </cols>
  <sheetData>
    <row r="1" spans="1:19" hidden="1">
      <c r="A1" s="24" t="s">
        <v>5412</v>
      </c>
      <c r="B1" s="25"/>
      <c r="C1" s="24" t="s">
        <v>24</v>
      </c>
      <c r="D1" s="24" t="s">
        <v>24</v>
      </c>
      <c r="E1" s="24" t="s">
        <v>24</v>
      </c>
      <c r="F1" s="24" t="s">
        <v>24</v>
      </c>
      <c r="G1" s="24" t="s">
        <v>24</v>
      </c>
      <c r="H1" s="24" t="s">
        <v>24</v>
      </c>
      <c r="I1" s="24" t="s">
        <v>24</v>
      </c>
      <c r="J1" s="24" t="s">
        <v>23</v>
      </c>
      <c r="K1" s="24" t="s">
        <v>23</v>
      </c>
      <c r="L1" s="24" t="s">
        <v>23</v>
      </c>
      <c r="M1" s="24" t="s">
        <v>23</v>
      </c>
      <c r="N1" s="24" t="s">
        <v>23</v>
      </c>
      <c r="O1" s="24" t="s">
        <v>23</v>
      </c>
      <c r="P1" s="24" t="s">
        <v>23</v>
      </c>
      <c r="Q1" s="24" t="s">
        <v>23</v>
      </c>
      <c r="R1" s="24" t="s">
        <v>23</v>
      </c>
      <c r="S1" s="24" t="s">
        <v>23</v>
      </c>
    </row>
    <row r="2" spans="1:19" hidden="1">
      <c r="A2" s="24" t="s">
        <v>24</v>
      </c>
      <c r="B2" s="25"/>
      <c r="C2" s="25"/>
      <c r="D2" s="25"/>
      <c r="E2" s="24"/>
      <c r="F2" s="24"/>
      <c r="G2" s="24"/>
      <c r="H2" s="24"/>
      <c r="I2" s="24"/>
      <c r="J2" s="25"/>
      <c r="K2" s="25"/>
      <c r="L2" s="25"/>
      <c r="M2" s="25"/>
      <c r="N2" s="25"/>
      <c r="O2" s="24" t="s">
        <v>2789</v>
      </c>
      <c r="P2" s="24" t="s">
        <v>2789</v>
      </c>
      <c r="Q2" s="24" t="s">
        <v>2789</v>
      </c>
      <c r="R2" s="24" t="s">
        <v>2789</v>
      </c>
      <c r="S2" s="24" t="s">
        <v>2789</v>
      </c>
    </row>
    <row r="3" spans="1:19">
      <c r="A3" s="25"/>
    </row>
    <row r="4" spans="1:19" ht="20.25">
      <c r="A4" s="25"/>
      <c r="J4" s="17" t="s">
        <v>17</v>
      </c>
      <c r="K4" s="23"/>
      <c r="L4" s="23"/>
      <c r="M4" s="23"/>
      <c r="N4" s="6"/>
      <c r="O4" s="6"/>
      <c r="P4" s="6"/>
      <c r="Q4" s="6"/>
      <c r="R4" s="6"/>
      <c r="S4" s="6"/>
    </row>
    <row r="5" spans="1:19">
      <c r="A5" s="25"/>
      <c r="J5" s="7" t="s">
        <v>26</v>
      </c>
      <c r="K5" s="8" t="str">
        <f>chkdte</f>
        <v>1/1/2014..3/31/2014</v>
      </c>
      <c r="L5" s="6"/>
      <c r="M5" s="6"/>
      <c r="N5" s="6"/>
      <c r="O5" s="6"/>
      <c r="P5" s="6"/>
      <c r="Q5" s="6"/>
      <c r="R5" s="6"/>
      <c r="S5" s="6"/>
    </row>
    <row r="6" spans="1:19">
      <c r="A6" s="25"/>
      <c r="J6" s="7" t="s">
        <v>27</v>
      </c>
      <c r="K6" s="7" t="str">
        <f>empclss</f>
        <v>*</v>
      </c>
      <c r="L6" s="6"/>
      <c r="M6" s="6"/>
      <c r="N6" s="6"/>
      <c r="O6" s="6"/>
      <c r="P6" s="6"/>
      <c r="Q6" s="6"/>
      <c r="R6" s="6"/>
      <c r="S6" s="6"/>
    </row>
    <row r="7" spans="1:19">
      <c r="A7" s="25"/>
      <c r="J7" s="7" t="s">
        <v>28</v>
      </c>
      <c r="K7" s="7" t="str">
        <f>empID</f>
        <v>*</v>
      </c>
      <c r="L7" s="6"/>
      <c r="M7" s="6"/>
      <c r="N7" s="6"/>
      <c r="O7" s="6"/>
      <c r="P7" s="6"/>
      <c r="Q7" s="6"/>
      <c r="R7" s="6"/>
      <c r="S7" s="6"/>
    </row>
    <row r="8" spans="1:19">
      <c r="A8" s="25"/>
      <c r="J8" s="7" t="s">
        <v>29</v>
      </c>
      <c r="K8" s="7" t="str">
        <f>PACde</f>
        <v>*</v>
      </c>
      <c r="L8" s="6"/>
      <c r="M8" s="6"/>
      <c r="N8" s="6"/>
      <c r="O8" s="6"/>
      <c r="P8" s="6"/>
      <c r="Q8" s="6"/>
      <c r="R8" s="6"/>
      <c r="S8" s="6"/>
    </row>
    <row r="9" spans="1:19">
      <c r="A9" s="25"/>
      <c r="J9" s="7" t="s">
        <v>30</v>
      </c>
      <c r="K9" s="7" t="str">
        <f>StCd</f>
        <v>*</v>
      </c>
      <c r="L9" s="6"/>
      <c r="M9" s="6"/>
      <c r="N9" s="6"/>
      <c r="O9" s="6"/>
      <c r="P9" s="6"/>
    </row>
    <row r="10" spans="1:19">
      <c r="A10" s="25"/>
      <c r="J10" s="10" t="s">
        <v>31</v>
      </c>
      <c r="K10" s="11">
        <v>43370</v>
      </c>
    </row>
    <row r="11" spans="1:19" hidden="1">
      <c r="A11" s="24" t="s">
        <v>24</v>
      </c>
      <c r="P11" s="4" t="s">
        <v>32</v>
      </c>
      <c r="Q11" s="4" t="s">
        <v>33</v>
      </c>
      <c r="R11" s="4" t="s">
        <v>14</v>
      </c>
      <c r="S11" s="4" t="s">
        <v>34</v>
      </c>
    </row>
    <row r="12" spans="1:19" s="12" customFormat="1" ht="16.5" thickBot="1">
      <c r="A12" s="26"/>
      <c r="E12" s="13"/>
      <c r="F12" s="13"/>
      <c r="G12" s="13"/>
      <c r="H12" s="13"/>
      <c r="I12" s="13"/>
      <c r="J12" s="50" t="s">
        <v>11</v>
      </c>
      <c r="K12" s="50" t="s">
        <v>10</v>
      </c>
      <c r="L12" s="50" t="s">
        <v>8</v>
      </c>
      <c r="M12" s="50" t="s">
        <v>9</v>
      </c>
      <c r="N12" s="50" t="s">
        <v>12</v>
      </c>
      <c r="O12" s="51" t="s">
        <v>15</v>
      </c>
      <c r="P12" s="51" t="s">
        <v>13</v>
      </c>
      <c r="Q12" s="51" t="s">
        <v>33</v>
      </c>
      <c r="R12" s="51" t="s">
        <v>14</v>
      </c>
      <c r="S12" s="52" t="s">
        <v>16</v>
      </c>
    </row>
    <row r="13" spans="1:19" ht="12.75" hidden="1" outlineLevel="1">
      <c r="A13" s="25"/>
      <c r="E13" s="27" t="str">
        <f>J13</f>
        <v>ACCT</v>
      </c>
      <c r="F13" s="14"/>
      <c r="G13" s="14"/>
      <c r="J13" s="22" t="str">
        <f>"ACCT"</f>
        <v>ACCT</v>
      </c>
      <c r="K13" s="22"/>
      <c r="L13" s="22"/>
      <c r="M13" s="22"/>
      <c r="N13" s="22"/>
      <c r="O13" s="29"/>
      <c r="P13" s="29"/>
      <c r="Q13" s="29"/>
      <c r="R13" s="29"/>
      <c r="S13" s="30"/>
    </row>
    <row r="14" spans="1:19" ht="12.75" hidden="1" outlineLevel="2">
      <c r="A14" s="25"/>
      <c r="C14" s="4" t="str">
        <f>L14</f>
        <v>Aidan</v>
      </c>
      <c r="D14" s="4" t="str">
        <f>M14</f>
        <v>Delaney</v>
      </c>
      <c r="E14" s="27" t="str">
        <f>E13</f>
        <v>ACCT</v>
      </c>
      <c r="F14" s="27" t="str">
        <f>K14</f>
        <v>DELA0001</v>
      </c>
      <c r="G14" s="14"/>
      <c r="J14" s="31"/>
      <c r="K14" s="21" t="str">
        <f>"DELA0001"</f>
        <v>DELA0001</v>
      </c>
      <c r="L14" s="43" t="str">
        <f>"Aidan"</f>
        <v>Aidan</v>
      </c>
      <c r="M14" s="43" t="str">
        <f>"Delaney"</f>
        <v>Delaney</v>
      </c>
      <c r="N14" s="43"/>
      <c r="O14" s="34"/>
      <c r="P14" s="33"/>
      <c r="Q14" s="33"/>
      <c r="R14" s="33"/>
      <c r="S14" s="35"/>
    </row>
    <row r="15" spans="1:19" ht="12.75" hidden="1" outlineLevel="3">
      <c r="A15" s="25"/>
      <c r="C15" s="4" t="str">
        <f>C14</f>
        <v>Aidan</v>
      </c>
      <c r="D15" s="4" t="str">
        <f>D14</f>
        <v>Delaney</v>
      </c>
      <c r="E15" s="27" t="str">
        <f>E14</f>
        <v>ACCT</v>
      </c>
      <c r="F15" s="27" t="str">
        <f>F14</f>
        <v>DELA0001</v>
      </c>
      <c r="G15" s="15">
        <f>O15</f>
        <v>41671</v>
      </c>
      <c r="H15" s="27" t="str">
        <f>N15</f>
        <v>10085</v>
      </c>
      <c r="J15" s="33"/>
      <c r="K15" s="33"/>
      <c r="L15" s="33"/>
      <c r="M15" s="33"/>
      <c r="N15" s="32" t="str">
        <f>"10085"</f>
        <v>10085</v>
      </c>
      <c r="O15" s="36">
        <v>41671</v>
      </c>
      <c r="P15" s="33"/>
      <c r="Q15" s="33"/>
      <c r="R15" s="33"/>
      <c r="S15" s="33"/>
    </row>
    <row r="16" spans="1:19" hidden="1" outlineLevel="3">
      <c r="A16" s="25"/>
      <c r="C16" s="4" t="str">
        <f>C15</f>
        <v>Aidan</v>
      </c>
      <c r="D16" s="4" t="str">
        <f>D15</f>
        <v>Delaney</v>
      </c>
      <c r="E16" s="27" t="str">
        <f>E15</f>
        <v>ACCT</v>
      </c>
      <c r="F16" s="27" t="str">
        <f>F15</f>
        <v>DELA0001</v>
      </c>
      <c r="G16" s="15">
        <f>G15</f>
        <v>41671</v>
      </c>
      <c r="H16" s="27" t="str">
        <f>H15</f>
        <v>10085</v>
      </c>
      <c r="I16" s="27" t="str">
        <f>"""GP Direct"",""Fabrikam, Inc."",""Jet Payroll Transactions"",""Pay Rate"",""0.00000"",""Payroll Code"",""401K"",""State"","""",""Transaction Amount"",""1.65000"""</f>
        <v>"GP Direct","Fabrikam, Inc.","Jet Payroll Transactions","Pay Rate","0.00000","Payroll Code","401K","State","","Transaction Amount","1.65000"</v>
      </c>
      <c r="O16" s="28"/>
      <c r="P16" s="37">
        <v>0</v>
      </c>
      <c r="Q16" s="38" t="str">
        <f>"401K"</f>
        <v>401K</v>
      </c>
      <c r="R16" s="39"/>
      <c r="S16" s="37">
        <v>1.65</v>
      </c>
    </row>
    <row r="17" spans="1:19" hidden="1" outlineLevel="3">
      <c r="A17" s="25" t="s">
        <v>91</v>
      </c>
      <c r="C17" s="4" t="str">
        <f t="shared" ref="C17:C23" si="0">C16</f>
        <v>Aidan</v>
      </c>
      <c r="D17" s="4" t="str">
        <f t="shared" ref="D17:D23" si="1">D16</f>
        <v>Delaney</v>
      </c>
      <c r="E17" s="27" t="str">
        <f t="shared" ref="E17:E23" si="2">E16</f>
        <v>ACCT</v>
      </c>
      <c r="F17" s="27" t="str">
        <f t="shared" ref="F17:F23" si="3">F16</f>
        <v>DELA0001</v>
      </c>
      <c r="G17" s="15">
        <f t="shared" ref="G17:G23" si="4">G16</f>
        <v>41671</v>
      </c>
      <c r="H17" s="27" t="str">
        <f t="shared" ref="H17:H23" si="5">H16</f>
        <v>10085</v>
      </c>
      <c r="I17" s="27" t="str">
        <f>"""GP Direct"",""Fabrikam, Inc."",""Jet Payroll Transactions"",""Pay Rate"",""0.00000"",""Payroll Code"",""401K"",""State"","""",""Transaction Amount"",""33.00000"""</f>
        <v>"GP Direct","Fabrikam, Inc.","Jet Payroll Transactions","Pay Rate","0.00000","Payroll Code","401K","State","","Transaction Amount","33.00000"</v>
      </c>
      <c r="O17" s="28"/>
      <c r="P17" s="37">
        <v>0</v>
      </c>
      <c r="Q17" s="38" t="str">
        <f>"401K"</f>
        <v>401K</v>
      </c>
      <c r="R17" s="39"/>
      <c r="S17" s="37">
        <v>33</v>
      </c>
    </row>
    <row r="18" spans="1:19" hidden="1" outlineLevel="3">
      <c r="A18" s="25" t="s">
        <v>91</v>
      </c>
      <c r="C18" s="4" t="str">
        <f t="shared" si="0"/>
        <v>Aidan</v>
      </c>
      <c r="D18" s="4" t="str">
        <f t="shared" si="1"/>
        <v>Delaney</v>
      </c>
      <c r="E18" s="27" t="str">
        <f t="shared" si="2"/>
        <v>ACCT</v>
      </c>
      <c r="F18" s="27" t="str">
        <f t="shared" si="3"/>
        <v>DELA0001</v>
      </c>
      <c r="G18" s="15">
        <f t="shared" si="4"/>
        <v>41671</v>
      </c>
      <c r="H18" s="27" t="str">
        <f t="shared" si="5"/>
        <v>10085</v>
      </c>
      <c r="I18" s="27" t="str">
        <f>"""GP Direct"",""Fabrikam, Inc."",""Jet Payroll Transactions"",""Pay Rate"",""0.00000"",""Payroll Code"",""HOLI"",""State"",""IL"",""Transaction Amount"",""0.00000"""</f>
        <v>"GP Direct","Fabrikam, Inc.","Jet Payroll Transactions","Pay Rate","0.00000","Payroll Code","HOLI","State","IL","Transaction Amount","0.00000"</v>
      </c>
      <c r="O18" s="28"/>
      <c r="P18" s="37">
        <v>0</v>
      </c>
      <c r="Q18" s="38" t="str">
        <f>"HOLI"</f>
        <v>HOLI</v>
      </c>
      <c r="R18" s="39" t="str">
        <f>"IL"</f>
        <v>IL</v>
      </c>
      <c r="S18" s="37">
        <v>0</v>
      </c>
    </row>
    <row r="19" spans="1:19" hidden="1" outlineLevel="3">
      <c r="A19" s="25" t="s">
        <v>91</v>
      </c>
      <c r="C19" s="4" t="str">
        <f t="shared" si="0"/>
        <v>Aidan</v>
      </c>
      <c r="D19" s="4" t="str">
        <f t="shared" si="1"/>
        <v>Delaney</v>
      </c>
      <c r="E19" s="27" t="str">
        <f t="shared" si="2"/>
        <v>ACCT</v>
      </c>
      <c r="F19" s="27" t="str">
        <f t="shared" si="3"/>
        <v>DELA0001</v>
      </c>
      <c r="G19" s="15">
        <f t="shared" si="4"/>
        <v>41671</v>
      </c>
      <c r="H19" s="27" t="str">
        <f t="shared" si="5"/>
        <v>10085</v>
      </c>
      <c r="I19" s="27" t="str">
        <f>"""GP Direct"",""Fabrikam, Inc."",""Jet Payroll Transactions"",""Pay Rate"",""0.00000"",""Payroll Code"",""IL"",""State"","""",""Transaction Amount"",""10.97000"""</f>
        <v>"GP Direct","Fabrikam, Inc.","Jet Payroll Transactions","Pay Rate","0.00000","Payroll Code","IL","State","","Transaction Amount","10.97000"</v>
      </c>
      <c r="O19" s="28"/>
      <c r="P19" s="37">
        <v>0</v>
      </c>
      <c r="Q19" s="38" t="str">
        <f>"IL"</f>
        <v>IL</v>
      </c>
      <c r="R19" s="39"/>
      <c r="S19" s="37">
        <v>10.97</v>
      </c>
    </row>
    <row r="20" spans="1:19" hidden="1" outlineLevel="3">
      <c r="A20" s="25" t="s">
        <v>91</v>
      </c>
      <c r="C20" s="4" t="str">
        <f t="shared" si="0"/>
        <v>Aidan</v>
      </c>
      <c r="D20" s="4" t="str">
        <f t="shared" si="1"/>
        <v>Delaney</v>
      </c>
      <c r="E20" s="27" t="str">
        <f t="shared" si="2"/>
        <v>ACCT</v>
      </c>
      <c r="F20" s="27" t="str">
        <f t="shared" si="3"/>
        <v>DELA0001</v>
      </c>
      <c r="G20" s="15">
        <f t="shared" si="4"/>
        <v>41671</v>
      </c>
      <c r="H20" s="27" t="str">
        <f t="shared" si="5"/>
        <v>10085</v>
      </c>
      <c r="I20" s="27" t="str">
        <f>"""GP Direct"",""Fabrikam, Inc."",""Jet Payroll Transactions"",""Pay Rate"",""0.00000"",""Payroll Code"",""INS"",""State"","""",""Transaction Amount"",""49.36000"""</f>
        <v>"GP Direct","Fabrikam, Inc.","Jet Payroll Transactions","Pay Rate","0.00000","Payroll Code","INS","State","","Transaction Amount","49.36000"</v>
      </c>
      <c r="O20" s="28"/>
      <c r="P20" s="37">
        <v>0</v>
      </c>
      <c r="Q20" s="38" t="str">
        <f>"INS"</f>
        <v>INS</v>
      </c>
      <c r="R20" s="39"/>
      <c r="S20" s="37">
        <v>49.36</v>
      </c>
    </row>
    <row r="21" spans="1:19" hidden="1" outlineLevel="3">
      <c r="A21" s="25" t="s">
        <v>91</v>
      </c>
      <c r="C21" s="4" t="str">
        <f t="shared" si="0"/>
        <v>Aidan</v>
      </c>
      <c r="D21" s="4" t="str">
        <f t="shared" si="1"/>
        <v>Delaney</v>
      </c>
      <c r="E21" s="27" t="str">
        <f t="shared" si="2"/>
        <v>ACCT</v>
      </c>
      <c r="F21" s="27" t="str">
        <f t="shared" si="3"/>
        <v>DELA0001</v>
      </c>
      <c r="G21" s="15">
        <f t="shared" si="4"/>
        <v>41671</v>
      </c>
      <c r="H21" s="27" t="str">
        <f t="shared" si="5"/>
        <v>10085</v>
      </c>
      <c r="I21" s="27" t="str">
        <f>"""GP Direct"",""Fabrikam, Inc."",""Jet Payroll Transactions"",""Pay Rate"",""0.00000"",""Payroll Code"",""INS2"",""State"","""",""Transaction Amount"",""72.95000"""</f>
        <v>"GP Direct","Fabrikam, Inc.","Jet Payroll Transactions","Pay Rate","0.00000","Payroll Code","INS2","State","","Transaction Amount","72.95000"</v>
      </c>
      <c r="O21" s="28"/>
      <c r="P21" s="37">
        <v>0</v>
      </c>
      <c r="Q21" s="38" t="str">
        <f>"INS2"</f>
        <v>INS2</v>
      </c>
      <c r="R21" s="39"/>
      <c r="S21" s="37">
        <v>72.95</v>
      </c>
    </row>
    <row r="22" spans="1:19" hidden="1" outlineLevel="3">
      <c r="A22" s="25" t="s">
        <v>91</v>
      </c>
      <c r="C22" s="4" t="str">
        <f t="shared" si="0"/>
        <v>Aidan</v>
      </c>
      <c r="D22" s="4" t="str">
        <f t="shared" si="1"/>
        <v>Delaney</v>
      </c>
      <c r="E22" s="27" t="str">
        <f t="shared" si="2"/>
        <v>ACCT</v>
      </c>
      <c r="F22" s="27" t="str">
        <f t="shared" si="3"/>
        <v>DELA0001</v>
      </c>
      <c r="G22" s="15">
        <f t="shared" si="4"/>
        <v>41671</v>
      </c>
      <c r="H22" s="27" t="str">
        <f t="shared" si="5"/>
        <v>10085</v>
      </c>
      <c r="I22" s="27" t="str">
        <f>"""GP Direct"",""Fabrikam, Inc."",""Jet Payroll Transactions"",""Pay Rate"",""0.00000"",""Payroll Code"",""MED"",""State"","""",""Transaction Amount"",""20.00000"""</f>
        <v>"GP Direct","Fabrikam, Inc.","Jet Payroll Transactions","Pay Rate","0.00000","Payroll Code","MED","State","","Transaction Amount","20.00000"</v>
      </c>
      <c r="O22" s="28"/>
      <c r="P22" s="37">
        <v>0</v>
      </c>
      <c r="Q22" s="38" t="str">
        <f>"MED"</f>
        <v>MED</v>
      </c>
      <c r="R22" s="39"/>
      <c r="S22" s="37">
        <v>20</v>
      </c>
    </row>
    <row r="23" spans="1:19" hidden="1" outlineLevel="3">
      <c r="A23" s="25" t="s">
        <v>91</v>
      </c>
      <c r="C23" s="4" t="str">
        <f t="shared" si="0"/>
        <v>Aidan</v>
      </c>
      <c r="D23" s="4" t="str">
        <f t="shared" si="1"/>
        <v>Delaney</v>
      </c>
      <c r="E23" s="27" t="str">
        <f t="shared" si="2"/>
        <v>ACCT</v>
      </c>
      <c r="F23" s="27" t="str">
        <f t="shared" si="3"/>
        <v>DELA0001</v>
      </c>
      <c r="G23" s="15">
        <f t="shared" si="4"/>
        <v>41671</v>
      </c>
      <c r="H23" s="27" t="str">
        <f t="shared" si="5"/>
        <v>10085</v>
      </c>
      <c r="I23" s="27" t="str">
        <f>"""GP Direct"",""Fabrikam, Inc."",""Jet Payroll Transactions"",""Pay Rate"",""10.48604"",""Payroll Code"",""SALY"",""State"",""IL"",""Transaction Amount"",""824.90000"""</f>
        <v>"GP Direct","Fabrikam, Inc.","Jet Payroll Transactions","Pay Rate","10.48604","Payroll Code","SALY","State","IL","Transaction Amount","824.90000"</v>
      </c>
      <c r="O23" s="28"/>
      <c r="P23" s="37">
        <v>10.486039999999999</v>
      </c>
      <c r="Q23" s="38" t="str">
        <f>"SALY"</f>
        <v>SALY</v>
      </c>
      <c r="R23" s="39" t="str">
        <f>"IL"</f>
        <v>IL</v>
      </c>
      <c r="S23" s="37">
        <v>824.9</v>
      </c>
    </row>
    <row r="24" spans="1:19" hidden="1" outlineLevel="3">
      <c r="A24" s="24" t="s">
        <v>24</v>
      </c>
      <c r="C24" s="4" t="str">
        <f>C16</f>
        <v>Aidan</v>
      </c>
      <c r="D24" s="4" t="str">
        <f>D16</f>
        <v>Delaney</v>
      </c>
      <c r="E24" s="27" t="str">
        <f>E16</f>
        <v>ACCT</v>
      </c>
      <c r="F24" s="27" t="str">
        <f>F16</f>
        <v>DELA0001</v>
      </c>
      <c r="G24" s="15">
        <f>G16</f>
        <v>41671</v>
      </c>
      <c r="H24" s="27" t="str">
        <f>H16</f>
        <v>10085</v>
      </c>
      <c r="O24" s="28"/>
      <c r="S24" s="16"/>
    </row>
    <row r="25" spans="1:19" ht="12.75" hidden="1" outlineLevel="2" collapsed="1">
      <c r="A25" s="25"/>
      <c r="C25" s="4" t="str">
        <f>C24</f>
        <v>Aidan</v>
      </c>
      <c r="D25" s="4" t="str">
        <f>D24</f>
        <v>Delaney</v>
      </c>
      <c r="E25" s="27" t="str">
        <f>E24</f>
        <v>ACCT</v>
      </c>
      <c r="F25" s="27" t="str">
        <f>F24</f>
        <v>DELA0001</v>
      </c>
      <c r="G25" s="15">
        <f>G24</f>
        <v>41671</v>
      </c>
      <c r="H25" s="27" t="str">
        <f>H24</f>
        <v>10085</v>
      </c>
      <c r="N25" s="44" t="str">
        <f>"Total for " &amp; $H25</f>
        <v>Total for 10085</v>
      </c>
      <c r="O25" s="45">
        <f>G25</f>
        <v>41671</v>
      </c>
      <c r="P25" s="44"/>
      <c r="Q25" s="44"/>
      <c r="R25" s="44"/>
      <c r="S25" s="44">
        <f>SUBTOTAL(9,S16:S24)</f>
        <v>1012.8299999999999</v>
      </c>
    </row>
    <row r="26" spans="1:19" ht="12.75" hidden="1" outlineLevel="3">
      <c r="A26" s="25" t="s">
        <v>91</v>
      </c>
      <c r="C26" s="4" t="str">
        <f>C25</f>
        <v>Aidan</v>
      </c>
      <c r="D26" s="4" t="str">
        <f>D25</f>
        <v>Delaney</v>
      </c>
      <c r="E26" s="27" t="str">
        <f>E25</f>
        <v>ACCT</v>
      </c>
      <c r="F26" s="27" t="str">
        <f>F25</f>
        <v>DELA0001</v>
      </c>
      <c r="G26" s="15">
        <f>O26</f>
        <v>41699</v>
      </c>
      <c r="H26" s="27" t="str">
        <f>N26</f>
        <v>10110</v>
      </c>
      <c r="J26" s="33"/>
      <c r="K26" s="33"/>
      <c r="L26" s="33"/>
      <c r="M26" s="33"/>
      <c r="N26" s="32" t="str">
        <f>"10110"</f>
        <v>10110</v>
      </c>
      <c r="O26" s="36">
        <v>41699</v>
      </c>
      <c r="P26" s="33"/>
      <c r="Q26" s="33"/>
      <c r="R26" s="33"/>
      <c r="S26" s="33"/>
    </row>
    <row r="27" spans="1:19" hidden="1" outlineLevel="3">
      <c r="A27" s="25" t="s">
        <v>91</v>
      </c>
      <c r="C27" s="4" t="str">
        <f>C26</f>
        <v>Aidan</v>
      </c>
      <c r="D27" s="4" t="str">
        <f>D26</f>
        <v>Delaney</v>
      </c>
      <c r="E27" s="27" t="str">
        <f>E26</f>
        <v>ACCT</v>
      </c>
      <c r="F27" s="27" t="str">
        <f>F26</f>
        <v>DELA0001</v>
      </c>
      <c r="G27" s="15">
        <f>G26</f>
        <v>41699</v>
      </c>
      <c r="H27" s="27" t="str">
        <f>H26</f>
        <v>10110</v>
      </c>
      <c r="I27" s="27" t="str">
        <f>"""GP Direct"",""Fabrikam, Inc."",""Jet Payroll Transactions"",""Pay Rate"",""0.00000"",""Payroll Code"",""401K"",""State"","""",""Transaction Amount"",""1.82000"""</f>
        <v>"GP Direct","Fabrikam, Inc.","Jet Payroll Transactions","Pay Rate","0.00000","Payroll Code","401K","State","","Transaction Amount","1.82000"</v>
      </c>
      <c r="O27" s="28"/>
      <c r="P27" s="37">
        <v>0</v>
      </c>
      <c r="Q27" s="38" t="str">
        <f>"401K"</f>
        <v>401K</v>
      </c>
      <c r="R27" s="39"/>
      <c r="S27" s="37">
        <v>1.82</v>
      </c>
    </row>
    <row r="28" spans="1:19" hidden="1" outlineLevel="3">
      <c r="A28" s="25" t="s">
        <v>91</v>
      </c>
      <c r="C28" s="4" t="str">
        <f t="shared" ref="C28:C33" si="6">C27</f>
        <v>Aidan</v>
      </c>
      <c r="D28" s="4" t="str">
        <f t="shared" ref="D28:D33" si="7">D27</f>
        <v>Delaney</v>
      </c>
      <c r="E28" s="27" t="str">
        <f t="shared" ref="E28:E33" si="8">E27</f>
        <v>ACCT</v>
      </c>
      <c r="F28" s="27" t="str">
        <f t="shared" ref="F28:F33" si="9">F27</f>
        <v>DELA0001</v>
      </c>
      <c r="G28" s="15">
        <f t="shared" ref="G28:G33" si="10">G27</f>
        <v>41699</v>
      </c>
      <c r="H28" s="27" t="str">
        <f t="shared" ref="H28:H33" si="11">H27</f>
        <v>10110</v>
      </c>
      <c r="I28" s="27" t="str">
        <f>"""GP Direct"",""Fabrikam, Inc."",""Jet Payroll Transactions"",""Pay Rate"",""0.00000"",""Payroll Code"",""401K"",""State"","""",""Transaction Amount"",""36.35000"""</f>
        <v>"GP Direct","Fabrikam, Inc.","Jet Payroll Transactions","Pay Rate","0.00000","Payroll Code","401K","State","","Transaction Amount","36.35000"</v>
      </c>
      <c r="O28" s="28"/>
      <c r="P28" s="37">
        <v>0</v>
      </c>
      <c r="Q28" s="38" t="str">
        <f>"401K"</f>
        <v>401K</v>
      </c>
      <c r="R28" s="39"/>
      <c r="S28" s="37">
        <v>36.35</v>
      </c>
    </row>
    <row r="29" spans="1:19" hidden="1" outlineLevel="3">
      <c r="A29" s="25" t="s">
        <v>91</v>
      </c>
      <c r="C29" s="4" t="str">
        <f t="shared" si="6"/>
        <v>Aidan</v>
      </c>
      <c r="D29" s="4" t="str">
        <f t="shared" si="7"/>
        <v>Delaney</v>
      </c>
      <c r="E29" s="27" t="str">
        <f t="shared" si="8"/>
        <v>ACCT</v>
      </c>
      <c r="F29" s="27" t="str">
        <f t="shared" si="9"/>
        <v>DELA0001</v>
      </c>
      <c r="G29" s="15">
        <f t="shared" si="10"/>
        <v>41699</v>
      </c>
      <c r="H29" s="27" t="str">
        <f t="shared" si="11"/>
        <v>10110</v>
      </c>
      <c r="I29" s="27" t="str">
        <f>"""GP Direct"",""Fabrikam, Inc."",""Jet Payroll Transactions"",""Pay Rate"",""0.00000"",""Payroll Code"",""IL"",""State"","""",""Transaction Amount"",""13.38000"""</f>
        <v>"GP Direct","Fabrikam, Inc.","Jet Payroll Transactions","Pay Rate","0.00000","Payroll Code","IL","State","","Transaction Amount","13.38000"</v>
      </c>
      <c r="O29" s="28"/>
      <c r="P29" s="37">
        <v>0</v>
      </c>
      <c r="Q29" s="38" t="str">
        <f>"IL"</f>
        <v>IL</v>
      </c>
      <c r="R29" s="39"/>
      <c r="S29" s="37">
        <v>13.38</v>
      </c>
    </row>
    <row r="30" spans="1:19" hidden="1" outlineLevel="3">
      <c r="A30" s="25" t="s">
        <v>91</v>
      </c>
      <c r="C30" s="4" t="str">
        <f t="shared" si="6"/>
        <v>Aidan</v>
      </c>
      <c r="D30" s="4" t="str">
        <f t="shared" si="7"/>
        <v>Delaney</v>
      </c>
      <c r="E30" s="27" t="str">
        <f t="shared" si="8"/>
        <v>ACCT</v>
      </c>
      <c r="F30" s="27" t="str">
        <f t="shared" si="9"/>
        <v>DELA0001</v>
      </c>
      <c r="G30" s="15">
        <f t="shared" si="10"/>
        <v>41699</v>
      </c>
      <c r="H30" s="27" t="str">
        <f t="shared" si="11"/>
        <v>10110</v>
      </c>
      <c r="I30" s="27" t="str">
        <f>"""GP Direct"",""Fabrikam, Inc."",""Jet Payroll Transactions"",""Pay Rate"",""0.00000"",""Payroll Code"",""INS"",""State"","""",""Transaction Amount"",""49.36000"""</f>
        <v>"GP Direct","Fabrikam, Inc.","Jet Payroll Transactions","Pay Rate","0.00000","Payroll Code","INS","State","","Transaction Amount","49.36000"</v>
      </c>
      <c r="O30" s="28"/>
      <c r="P30" s="37">
        <v>0</v>
      </c>
      <c r="Q30" s="38" t="str">
        <f>"INS"</f>
        <v>INS</v>
      </c>
      <c r="R30" s="39"/>
      <c r="S30" s="37">
        <v>49.36</v>
      </c>
    </row>
    <row r="31" spans="1:19" hidden="1" outlineLevel="3">
      <c r="A31" s="25" t="s">
        <v>91</v>
      </c>
      <c r="C31" s="4" t="str">
        <f t="shared" si="6"/>
        <v>Aidan</v>
      </c>
      <c r="D31" s="4" t="str">
        <f t="shared" si="7"/>
        <v>Delaney</v>
      </c>
      <c r="E31" s="27" t="str">
        <f t="shared" si="8"/>
        <v>ACCT</v>
      </c>
      <c r="F31" s="27" t="str">
        <f t="shared" si="9"/>
        <v>DELA0001</v>
      </c>
      <c r="G31" s="15">
        <f t="shared" si="10"/>
        <v>41699</v>
      </c>
      <c r="H31" s="27" t="str">
        <f t="shared" si="11"/>
        <v>10110</v>
      </c>
      <c r="I31" s="27" t="str">
        <f>"""GP Direct"",""Fabrikam, Inc."",""Jet Payroll Transactions"",""Pay Rate"",""0.00000"",""Payroll Code"",""INS2"",""State"","""",""Transaction Amount"",""72.95000"""</f>
        <v>"GP Direct","Fabrikam, Inc.","Jet Payroll Transactions","Pay Rate","0.00000","Payroll Code","INS2","State","","Transaction Amount","72.95000"</v>
      </c>
      <c r="O31" s="28"/>
      <c r="P31" s="37">
        <v>0</v>
      </c>
      <c r="Q31" s="38" t="str">
        <f>"INS2"</f>
        <v>INS2</v>
      </c>
      <c r="R31" s="39"/>
      <c r="S31" s="37">
        <v>72.95</v>
      </c>
    </row>
    <row r="32" spans="1:19" hidden="1" outlineLevel="3">
      <c r="A32" s="25" t="s">
        <v>91</v>
      </c>
      <c r="C32" s="4" t="str">
        <f t="shared" si="6"/>
        <v>Aidan</v>
      </c>
      <c r="D32" s="4" t="str">
        <f t="shared" si="7"/>
        <v>Delaney</v>
      </c>
      <c r="E32" s="27" t="str">
        <f t="shared" si="8"/>
        <v>ACCT</v>
      </c>
      <c r="F32" s="27" t="str">
        <f t="shared" si="9"/>
        <v>DELA0001</v>
      </c>
      <c r="G32" s="15">
        <f t="shared" si="10"/>
        <v>41699</v>
      </c>
      <c r="H32" s="27" t="str">
        <f t="shared" si="11"/>
        <v>10110</v>
      </c>
      <c r="I32" s="27" t="str">
        <f>"""GP Direct"",""Fabrikam, Inc."",""Jet Payroll Transactions"",""Pay Rate"",""0.00000"",""Payroll Code"",""MED"",""State"","""",""Transaction Amount"",""20.00000"""</f>
        <v>"GP Direct","Fabrikam, Inc.","Jet Payroll Transactions","Pay Rate","0.00000","Payroll Code","MED","State","","Transaction Amount","20.00000"</v>
      </c>
      <c r="O32" s="28"/>
      <c r="P32" s="37">
        <v>0</v>
      </c>
      <c r="Q32" s="38" t="str">
        <f>"MED"</f>
        <v>MED</v>
      </c>
      <c r="R32" s="39"/>
      <c r="S32" s="37">
        <v>20</v>
      </c>
    </row>
    <row r="33" spans="1:19" hidden="1" outlineLevel="3">
      <c r="A33" s="25" t="s">
        <v>91</v>
      </c>
      <c r="C33" s="4" t="str">
        <f t="shared" si="6"/>
        <v>Aidan</v>
      </c>
      <c r="D33" s="4" t="str">
        <f t="shared" si="7"/>
        <v>Delaney</v>
      </c>
      <c r="E33" s="27" t="str">
        <f t="shared" si="8"/>
        <v>ACCT</v>
      </c>
      <c r="F33" s="27" t="str">
        <f t="shared" si="9"/>
        <v>DELA0001</v>
      </c>
      <c r="G33" s="15">
        <f t="shared" si="10"/>
        <v>41699</v>
      </c>
      <c r="H33" s="27" t="str">
        <f t="shared" si="11"/>
        <v>10110</v>
      </c>
      <c r="I33" s="27" t="str">
        <f>"""GP Direct"",""Fabrikam, Inc."",""Jet Payroll Transactions"",""Pay Rate"",""21811.00000"",""Payroll Code"",""SALY"",""State"",""IL"",""Transaction Amount"",""908.79000"""</f>
        <v>"GP Direct","Fabrikam, Inc.","Jet Payroll Transactions","Pay Rate","21811.00000","Payroll Code","SALY","State","IL","Transaction Amount","908.79000"</v>
      </c>
      <c r="O33" s="28"/>
      <c r="P33" s="37">
        <v>21811</v>
      </c>
      <c r="Q33" s="38" t="str">
        <f>"SALY"</f>
        <v>SALY</v>
      </c>
      <c r="R33" s="39" t="str">
        <f>"IL"</f>
        <v>IL</v>
      </c>
      <c r="S33" s="37">
        <v>908.79</v>
      </c>
    </row>
    <row r="34" spans="1:19" hidden="1" outlineLevel="3">
      <c r="A34" s="24" t="s">
        <v>2812</v>
      </c>
      <c r="C34" s="4" t="str">
        <f>C27</f>
        <v>Aidan</v>
      </c>
      <c r="D34" s="4" t="str">
        <f>D27</f>
        <v>Delaney</v>
      </c>
      <c r="E34" s="27" t="str">
        <f>E27</f>
        <v>ACCT</v>
      </c>
      <c r="F34" s="27" t="str">
        <f>F27</f>
        <v>DELA0001</v>
      </c>
      <c r="G34" s="15">
        <f>G27</f>
        <v>41699</v>
      </c>
      <c r="H34" s="27" t="str">
        <f>H27</f>
        <v>10110</v>
      </c>
      <c r="O34" s="28"/>
      <c r="S34" s="16"/>
    </row>
    <row r="35" spans="1:19" ht="12.75" hidden="1" outlineLevel="2" collapsed="1">
      <c r="A35" s="25" t="s">
        <v>91</v>
      </c>
      <c r="C35" s="4" t="str">
        <f>C34</f>
        <v>Aidan</v>
      </c>
      <c r="D35" s="4" t="str">
        <f>D34</f>
        <v>Delaney</v>
      </c>
      <c r="E35" s="27" t="str">
        <f>E34</f>
        <v>ACCT</v>
      </c>
      <c r="F35" s="27" t="str">
        <f>F34</f>
        <v>DELA0001</v>
      </c>
      <c r="G35" s="15">
        <f>G34</f>
        <v>41699</v>
      </c>
      <c r="H35" s="27" t="str">
        <f>H34</f>
        <v>10110</v>
      </c>
      <c r="N35" s="44" t="str">
        <f>"Total for " &amp; $H35</f>
        <v>Total for 10110</v>
      </c>
      <c r="O35" s="45">
        <f>G35</f>
        <v>41699</v>
      </c>
      <c r="P35" s="44"/>
      <c r="Q35" s="44"/>
      <c r="R35" s="44"/>
      <c r="S35" s="44">
        <f>SUBTOTAL(9,S27:S34)</f>
        <v>1102.6500000000001</v>
      </c>
    </row>
    <row r="36" spans="1:19" ht="12.75" hidden="1" outlineLevel="2">
      <c r="A36" s="24" t="s">
        <v>24</v>
      </c>
      <c r="C36" s="4" t="str">
        <f>C25</f>
        <v>Aidan</v>
      </c>
      <c r="D36" s="4" t="str">
        <f>D25</f>
        <v>Delaney</v>
      </c>
      <c r="E36" s="27" t="str">
        <f>E25</f>
        <v>ACCT</v>
      </c>
      <c r="F36" s="27" t="str">
        <f>F25</f>
        <v>DELA0001</v>
      </c>
      <c r="G36" s="14"/>
      <c r="J36" s="33"/>
      <c r="K36" s="33"/>
      <c r="L36" s="33"/>
      <c r="M36" s="33"/>
      <c r="N36" s="33"/>
      <c r="O36" s="33"/>
      <c r="P36" s="33"/>
      <c r="Q36" s="33"/>
      <c r="R36" s="33"/>
      <c r="S36" s="40"/>
    </row>
    <row r="37" spans="1:19" ht="12.75" hidden="1" outlineLevel="1" collapsed="1">
      <c r="A37" s="25"/>
      <c r="C37" s="4" t="str">
        <f>C36</f>
        <v>Aidan</v>
      </c>
      <c r="D37" s="4" t="str">
        <f>D36</f>
        <v>Delaney</v>
      </c>
      <c r="E37" s="27" t="str">
        <f>E36</f>
        <v>ACCT</v>
      </c>
      <c r="F37" s="27" t="str">
        <f>F36</f>
        <v>DELA0001</v>
      </c>
      <c r="G37" s="14"/>
      <c r="J37" s="33"/>
      <c r="K37" s="46" t="str">
        <f>"Total for " &amp; $F37</f>
        <v>Total for DELA0001</v>
      </c>
      <c r="L37" s="46" t="str">
        <f>C37</f>
        <v>Aidan</v>
      </c>
      <c r="M37" s="46" t="str">
        <f>D37</f>
        <v>Delaney</v>
      </c>
      <c r="N37" s="46"/>
      <c r="O37" s="46"/>
      <c r="P37" s="46"/>
      <c r="Q37" s="46"/>
      <c r="R37" s="46"/>
      <c r="S37" s="47">
        <f>SUBTOTAL(9,S16:S36)</f>
        <v>2115.48</v>
      </c>
    </row>
    <row r="38" spans="1:19" ht="12.75" hidden="1" outlineLevel="2">
      <c r="A38" s="25" t="s">
        <v>91</v>
      </c>
      <c r="C38" s="4" t="str">
        <f t="shared" ref="C38" si="12">L38</f>
        <v>Jenny</v>
      </c>
      <c r="D38" s="4" t="str">
        <f t="shared" ref="D38" si="13">M38</f>
        <v>Doyle</v>
      </c>
      <c r="E38" s="27" t="str">
        <f t="shared" ref="E38:E98" si="14">E37</f>
        <v>ACCT</v>
      </c>
      <c r="F38" s="27" t="str">
        <f t="shared" ref="F38" si="15">K38</f>
        <v>DOYL0001</v>
      </c>
      <c r="G38" s="14"/>
      <c r="J38" s="31"/>
      <c r="K38" s="21" t="str">
        <f>"DOYL0001"</f>
        <v>DOYL0001</v>
      </c>
      <c r="L38" s="43" t="str">
        <f>"Jenny"</f>
        <v>Jenny</v>
      </c>
      <c r="M38" s="43" t="str">
        <f>"Doyle"</f>
        <v>Doyle</v>
      </c>
      <c r="N38" s="43"/>
      <c r="O38" s="34"/>
      <c r="P38" s="33"/>
      <c r="Q38" s="33"/>
      <c r="R38" s="33"/>
      <c r="S38" s="35"/>
    </row>
    <row r="39" spans="1:19" ht="12.75" hidden="1" outlineLevel="3">
      <c r="A39" s="25" t="s">
        <v>91</v>
      </c>
      <c r="C39" s="4" t="str">
        <f t="shared" ref="C39:C54" si="16">C38</f>
        <v>Jenny</v>
      </c>
      <c r="D39" s="4" t="str">
        <f t="shared" ref="D39:D54" si="17">D38</f>
        <v>Doyle</v>
      </c>
      <c r="E39" s="27" t="str">
        <f t="shared" si="14"/>
        <v>ACCT</v>
      </c>
      <c r="F39" s="27" t="str">
        <f t="shared" ref="F39:F54" si="18">F38</f>
        <v>DOYL0001</v>
      </c>
      <c r="G39" s="15">
        <f t="shared" ref="G39" si="19">O39</f>
        <v>41671</v>
      </c>
      <c r="H39" s="27" t="str">
        <f t="shared" ref="H39" si="20">N39</f>
        <v>10087</v>
      </c>
      <c r="J39" s="33"/>
      <c r="K39" s="33"/>
      <c r="L39" s="33"/>
      <c r="M39" s="33"/>
      <c r="N39" s="32" t="str">
        <f>"10087"</f>
        <v>10087</v>
      </c>
      <c r="O39" s="36">
        <v>41671</v>
      </c>
      <c r="P39" s="33"/>
      <c r="Q39" s="33"/>
      <c r="R39" s="33"/>
      <c r="S39" s="33"/>
    </row>
    <row r="40" spans="1:19" hidden="1" outlineLevel="3">
      <c r="A40" s="25" t="s">
        <v>91</v>
      </c>
      <c r="C40" s="4" t="str">
        <f t="shared" si="16"/>
        <v>Jenny</v>
      </c>
      <c r="D40" s="4" t="str">
        <f t="shared" si="17"/>
        <v>Doyle</v>
      </c>
      <c r="E40" s="27" t="str">
        <f t="shared" si="14"/>
        <v>ACCT</v>
      </c>
      <c r="F40" s="27" t="str">
        <f t="shared" si="18"/>
        <v>DOYL0001</v>
      </c>
      <c r="G40" s="15">
        <f t="shared" ref="G40:G45" si="21">G39</f>
        <v>41671</v>
      </c>
      <c r="H40" s="27" t="str">
        <f t="shared" ref="H40:H45" si="22">H39</f>
        <v>10087</v>
      </c>
      <c r="I40" s="27" t="str">
        <f>"""GP Direct"",""Fabrikam, Inc."",""Jet Payroll Transactions"",""Pay Rate"",""0.00000"",""Payroll Code"",""IL"",""State"","""",""Transaction Amount"",""25.33000"""</f>
        <v>"GP Direct","Fabrikam, Inc.","Jet Payroll Transactions","Pay Rate","0.00000","Payroll Code","IL","State","","Transaction Amount","25.33000"</v>
      </c>
      <c r="O40" s="28"/>
      <c r="P40" s="37">
        <v>0</v>
      </c>
      <c r="Q40" s="38" t="str">
        <f>"IL"</f>
        <v>IL</v>
      </c>
      <c r="R40" s="39"/>
      <c r="S40" s="37">
        <v>25.33</v>
      </c>
    </row>
    <row r="41" spans="1:19" hidden="1" outlineLevel="3">
      <c r="A41" s="25" t="s">
        <v>91</v>
      </c>
      <c r="C41" s="4" t="str">
        <f t="shared" ref="C41:C43" si="23">C40</f>
        <v>Jenny</v>
      </c>
      <c r="D41" s="4" t="str">
        <f t="shared" ref="D41:D43" si="24">D40</f>
        <v>Doyle</v>
      </c>
      <c r="E41" s="27" t="str">
        <f t="shared" ref="E41:E43" si="25">E40</f>
        <v>ACCT</v>
      </c>
      <c r="F41" s="27" t="str">
        <f t="shared" ref="F41:F43" si="26">F40</f>
        <v>DOYL0001</v>
      </c>
      <c r="G41" s="15">
        <f t="shared" ref="G41:G43" si="27">G40</f>
        <v>41671</v>
      </c>
      <c r="H41" s="27" t="str">
        <f t="shared" ref="H41:H43" si="28">H40</f>
        <v>10087</v>
      </c>
      <c r="I41" s="27" t="str">
        <f>"""GP Direct"",""Fabrikam, Inc."",""Jet Payroll Transactions"",""Pay Rate"",""0.00000"",""Payroll Code"",""INS"",""State"","""",""Transaction Amount"",""49.36000"""</f>
        <v>"GP Direct","Fabrikam, Inc.","Jet Payroll Transactions","Pay Rate","0.00000","Payroll Code","INS","State","","Transaction Amount","49.36000"</v>
      </c>
      <c r="O41" s="28"/>
      <c r="P41" s="37">
        <v>0</v>
      </c>
      <c r="Q41" s="38" t="str">
        <f>"INS"</f>
        <v>INS</v>
      </c>
      <c r="R41" s="39"/>
      <c r="S41" s="37">
        <v>49.36</v>
      </c>
    </row>
    <row r="42" spans="1:19" hidden="1" outlineLevel="3">
      <c r="A42" s="25" t="s">
        <v>91</v>
      </c>
      <c r="C42" s="4" t="str">
        <f t="shared" si="23"/>
        <v>Jenny</v>
      </c>
      <c r="D42" s="4" t="str">
        <f t="shared" si="24"/>
        <v>Doyle</v>
      </c>
      <c r="E42" s="27" t="str">
        <f t="shared" si="25"/>
        <v>ACCT</v>
      </c>
      <c r="F42" s="27" t="str">
        <f t="shared" si="26"/>
        <v>DOYL0001</v>
      </c>
      <c r="G42" s="15">
        <f t="shared" si="27"/>
        <v>41671</v>
      </c>
      <c r="H42" s="27" t="str">
        <f t="shared" si="28"/>
        <v>10087</v>
      </c>
      <c r="I42" s="27" t="str">
        <f>"""GP Direct"",""Fabrikam, Inc."",""Jet Payroll Transactions"",""Pay Rate"",""0.00000"",""Payroll Code"",""MED"",""State"","""",""Transaction Amount"",""5.00000"""</f>
        <v>"GP Direct","Fabrikam, Inc.","Jet Payroll Transactions","Pay Rate","0.00000","Payroll Code","MED","State","","Transaction Amount","5.00000"</v>
      </c>
      <c r="O42" s="28"/>
      <c r="P42" s="37">
        <v>0</v>
      </c>
      <c r="Q42" s="38" t="str">
        <f>"MED"</f>
        <v>MED</v>
      </c>
      <c r="R42" s="39"/>
      <c r="S42" s="37">
        <v>5</v>
      </c>
    </row>
    <row r="43" spans="1:19" hidden="1" outlineLevel="3">
      <c r="A43" s="25" t="s">
        <v>91</v>
      </c>
      <c r="C43" s="4" t="str">
        <f t="shared" si="23"/>
        <v>Jenny</v>
      </c>
      <c r="D43" s="4" t="str">
        <f t="shared" si="24"/>
        <v>Doyle</v>
      </c>
      <c r="E43" s="27" t="str">
        <f t="shared" si="25"/>
        <v>ACCT</v>
      </c>
      <c r="F43" s="27" t="str">
        <f t="shared" si="26"/>
        <v>DOYL0001</v>
      </c>
      <c r="G43" s="15">
        <f t="shared" si="27"/>
        <v>41671</v>
      </c>
      <c r="H43" s="27" t="str">
        <f t="shared" si="28"/>
        <v>10087</v>
      </c>
      <c r="I43" s="27" t="str">
        <f>"""GP Direct"",""Fabrikam, Inc."",""Jet Payroll Transactions"",""Pay Rate"",""21384.00000"",""Payroll Code"",""SALY"",""State"",""IL"",""Transaction Amount"",""891.00000"""</f>
        <v>"GP Direct","Fabrikam, Inc.","Jet Payroll Transactions","Pay Rate","21384.00000","Payroll Code","SALY","State","IL","Transaction Amount","891.00000"</v>
      </c>
      <c r="O43" s="28"/>
      <c r="P43" s="37">
        <v>21384</v>
      </c>
      <c r="Q43" s="38" t="str">
        <f>"SALY"</f>
        <v>SALY</v>
      </c>
      <c r="R43" s="39" t="str">
        <f>"IL"</f>
        <v>IL</v>
      </c>
      <c r="S43" s="37">
        <v>891</v>
      </c>
    </row>
    <row r="44" spans="1:19" hidden="1" outlineLevel="3">
      <c r="A44" s="24" t="s">
        <v>2812</v>
      </c>
      <c r="C44" s="4" t="str">
        <f>C40</f>
        <v>Jenny</v>
      </c>
      <c r="D44" s="4" t="str">
        <f>D40</f>
        <v>Doyle</v>
      </c>
      <c r="E44" s="27" t="str">
        <f>E40</f>
        <v>ACCT</v>
      </c>
      <c r="F44" s="27" t="str">
        <f>F40</f>
        <v>DOYL0001</v>
      </c>
      <c r="G44" s="15">
        <f>G40</f>
        <v>41671</v>
      </c>
      <c r="H44" s="27" t="str">
        <f>H40</f>
        <v>10087</v>
      </c>
      <c r="O44" s="28"/>
      <c r="S44" s="16"/>
    </row>
    <row r="45" spans="1:19" ht="12.75" hidden="1" outlineLevel="2" collapsed="1">
      <c r="A45" s="25" t="s">
        <v>91</v>
      </c>
      <c r="C45" s="4" t="str">
        <f t="shared" si="16"/>
        <v>Jenny</v>
      </c>
      <c r="D45" s="4" t="str">
        <f t="shared" si="17"/>
        <v>Doyle</v>
      </c>
      <c r="E45" s="27" t="str">
        <f t="shared" si="14"/>
        <v>ACCT</v>
      </c>
      <c r="F45" s="27" t="str">
        <f t="shared" si="18"/>
        <v>DOYL0001</v>
      </c>
      <c r="G45" s="15">
        <f t="shared" si="21"/>
        <v>41671</v>
      </c>
      <c r="H45" s="27" t="str">
        <f t="shared" si="22"/>
        <v>10087</v>
      </c>
      <c r="N45" s="44" t="str">
        <f>"Total for " &amp; $H45</f>
        <v>Total for 10087</v>
      </c>
      <c r="O45" s="45">
        <f>G45</f>
        <v>41671</v>
      </c>
      <c r="P45" s="44"/>
      <c r="Q45" s="44"/>
      <c r="R45" s="44"/>
      <c r="S45" s="44">
        <f>SUBTOTAL(9,S40:S44)</f>
        <v>970.69</v>
      </c>
    </row>
    <row r="46" spans="1:19" ht="12.75" hidden="1" outlineLevel="3">
      <c r="A46" s="25" t="s">
        <v>91</v>
      </c>
      <c r="C46" s="4" t="str">
        <f t="shared" ref="C46:C52" si="29">C45</f>
        <v>Jenny</v>
      </c>
      <c r="D46" s="4" t="str">
        <f t="shared" ref="D46:D52" si="30">D45</f>
        <v>Doyle</v>
      </c>
      <c r="E46" s="27" t="str">
        <f t="shared" ref="E46:E52" si="31">E45</f>
        <v>ACCT</v>
      </c>
      <c r="F46" s="27" t="str">
        <f t="shared" ref="F46:F52" si="32">F45</f>
        <v>DOYL0001</v>
      </c>
      <c r="G46" s="15">
        <f t="shared" ref="G46" si="33">O46</f>
        <v>41699</v>
      </c>
      <c r="H46" s="27" t="str">
        <f t="shared" ref="H46" si="34">N46</f>
        <v>10112</v>
      </c>
      <c r="J46" s="33"/>
      <c r="K46" s="33"/>
      <c r="L46" s="33"/>
      <c r="M46" s="33"/>
      <c r="N46" s="32" t="str">
        <f>"10112"</f>
        <v>10112</v>
      </c>
      <c r="O46" s="36">
        <v>41699</v>
      </c>
      <c r="P46" s="33"/>
      <c r="Q46" s="33"/>
      <c r="R46" s="33"/>
      <c r="S46" s="33"/>
    </row>
    <row r="47" spans="1:19" hidden="1" outlineLevel="3">
      <c r="A47" s="25" t="s">
        <v>91</v>
      </c>
      <c r="C47" s="4" t="str">
        <f t="shared" si="29"/>
        <v>Jenny</v>
      </c>
      <c r="D47" s="4" t="str">
        <f t="shared" si="30"/>
        <v>Doyle</v>
      </c>
      <c r="E47" s="27" t="str">
        <f t="shared" si="31"/>
        <v>ACCT</v>
      </c>
      <c r="F47" s="27" t="str">
        <f t="shared" si="32"/>
        <v>DOYL0001</v>
      </c>
      <c r="G47" s="15">
        <f t="shared" ref="G47:G52" si="35">G46</f>
        <v>41699</v>
      </c>
      <c r="H47" s="27" t="str">
        <f t="shared" ref="H47:H52" si="36">H46</f>
        <v>10112</v>
      </c>
      <c r="I47" s="27" t="str">
        <f>"""GP Direct"",""Fabrikam, Inc."",""Jet Payroll Transactions"",""Pay Rate"",""0.00000"",""Payroll Code"",""IL"",""State"","""",""Transaction Amount"",""25.33000"""</f>
        <v>"GP Direct","Fabrikam, Inc.","Jet Payroll Transactions","Pay Rate","0.00000","Payroll Code","IL","State","","Transaction Amount","25.33000"</v>
      </c>
      <c r="O47" s="28"/>
      <c r="P47" s="37">
        <v>0</v>
      </c>
      <c r="Q47" s="38" t="str">
        <f>"IL"</f>
        <v>IL</v>
      </c>
      <c r="R47" s="39"/>
      <c r="S47" s="37">
        <v>25.33</v>
      </c>
    </row>
    <row r="48" spans="1:19" hidden="1" outlineLevel="3">
      <c r="A48" s="25" t="s">
        <v>91</v>
      </c>
      <c r="C48" s="4" t="str">
        <f t="shared" ref="C48:C50" si="37">C47</f>
        <v>Jenny</v>
      </c>
      <c r="D48" s="4" t="str">
        <f t="shared" ref="D48:D50" si="38">D47</f>
        <v>Doyle</v>
      </c>
      <c r="E48" s="27" t="str">
        <f t="shared" ref="E48:E50" si="39">E47</f>
        <v>ACCT</v>
      </c>
      <c r="F48" s="27" t="str">
        <f t="shared" ref="F48:F50" si="40">F47</f>
        <v>DOYL0001</v>
      </c>
      <c r="G48" s="15">
        <f t="shared" ref="G48:G50" si="41">G47</f>
        <v>41699</v>
      </c>
      <c r="H48" s="27" t="str">
        <f t="shared" ref="H48:H50" si="42">H47</f>
        <v>10112</v>
      </c>
      <c r="I48" s="27" t="str">
        <f>"""GP Direct"",""Fabrikam, Inc."",""Jet Payroll Transactions"",""Pay Rate"",""0.00000"",""Payroll Code"",""INS"",""State"","""",""Transaction Amount"",""49.36000"""</f>
        <v>"GP Direct","Fabrikam, Inc.","Jet Payroll Transactions","Pay Rate","0.00000","Payroll Code","INS","State","","Transaction Amount","49.36000"</v>
      </c>
      <c r="O48" s="28"/>
      <c r="P48" s="37">
        <v>0</v>
      </c>
      <c r="Q48" s="38" t="str">
        <f>"INS"</f>
        <v>INS</v>
      </c>
      <c r="R48" s="39"/>
      <c r="S48" s="37">
        <v>49.36</v>
      </c>
    </row>
    <row r="49" spans="1:19" hidden="1" outlineLevel="3">
      <c r="A49" s="25" t="s">
        <v>91</v>
      </c>
      <c r="C49" s="4" t="str">
        <f t="shared" si="37"/>
        <v>Jenny</v>
      </c>
      <c r="D49" s="4" t="str">
        <f t="shared" si="38"/>
        <v>Doyle</v>
      </c>
      <c r="E49" s="27" t="str">
        <f t="shared" si="39"/>
        <v>ACCT</v>
      </c>
      <c r="F49" s="27" t="str">
        <f t="shared" si="40"/>
        <v>DOYL0001</v>
      </c>
      <c r="G49" s="15">
        <f t="shared" si="41"/>
        <v>41699</v>
      </c>
      <c r="H49" s="27" t="str">
        <f t="shared" si="42"/>
        <v>10112</v>
      </c>
      <c r="I49" s="27" t="str">
        <f>"""GP Direct"",""Fabrikam, Inc."",""Jet Payroll Transactions"",""Pay Rate"",""0.00000"",""Payroll Code"",""MED"",""State"","""",""Transaction Amount"",""5.00000"""</f>
        <v>"GP Direct","Fabrikam, Inc.","Jet Payroll Transactions","Pay Rate","0.00000","Payroll Code","MED","State","","Transaction Amount","5.00000"</v>
      </c>
      <c r="O49" s="28"/>
      <c r="P49" s="37">
        <v>0</v>
      </c>
      <c r="Q49" s="38" t="str">
        <f>"MED"</f>
        <v>MED</v>
      </c>
      <c r="R49" s="39"/>
      <c r="S49" s="37">
        <v>5</v>
      </c>
    </row>
    <row r="50" spans="1:19" hidden="1" outlineLevel="3">
      <c r="A50" s="25" t="s">
        <v>91</v>
      </c>
      <c r="C50" s="4" t="str">
        <f t="shared" si="37"/>
        <v>Jenny</v>
      </c>
      <c r="D50" s="4" t="str">
        <f t="shared" si="38"/>
        <v>Doyle</v>
      </c>
      <c r="E50" s="27" t="str">
        <f t="shared" si="39"/>
        <v>ACCT</v>
      </c>
      <c r="F50" s="27" t="str">
        <f t="shared" si="40"/>
        <v>DOYL0001</v>
      </c>
      <c r="G50" s="15">
        <f t="shared" si="41"/>
        <v>41699</v>
      </c>
      <c r="H50" s="27" t="str">
        <f t="shared" si="42"/>
        <v>10112</v>
      </c>
      <c r="I50" s="27" t="str">
        <f>"""GP Direct"",""Fabrikam, Inc."",""Jet Payroll Transactions"",""Pay Rate"",""21384.00000"",""Payroll Code"",""SALY"",""State"",""IL"",""Transaction Amount"",""891.00000"""</f>
        <v>"GP Direct","Fabrikam, Inc.","Jet Payroll Transactions","Pay Rate","21384.00000","Payroll Code","SALY","State","IL","Transaction Amount","891.00000"</v>
      </c>
      <c r="O50" s="28"/>
      <c r="P50" s="37">
        <v>21384</v>
      </c>
      <c r="Q50" s="38" t="str">
        <f>"SALY"</f>
        <v>SALY</v>
      </c>
      <c r="R50" s="39" t="str">
        <f>"IL"</f>
        <v>IL</v>
      </c>
      <c r="S50" s="37">
        <v>891</v>
      </c>
    </row>
    <row r="51" spans="1:19" hidden="1" outlineLevel="3">
      <c r="A51" s="24" t="s">
        <v>2812</v>
      </c>
      <c r="C51" s="4" t="str">
        <f>C47</f>
        <v>Jenny</v>
      </c>
      <c r="D51" s="4" t="str">
        <f>D47</f>
        <v>Doyle</v>
      </c>
      <c r="E51" s="27" t="str">
        <f>E47</f>
        <v>ACCT</v>
      </c>
      <c r="F51" s="27" t="str">
        <f>F47</f>
        <v>DOYL0001</v>
      </c>
      <c r="G51" s="15">
        <f>G47</f>
        <v>41699</v>
      </c>
      <c r="H51" s="27" t="str">
        <f>H47</f>
        <v>10112</v>
      </c>
      <c r="O51" s="28"/>
      <c r="S51" s="16"/>
    </row>
    <row r="52" spans="1:19" ht="12.75" hidden="1" outlineLevel="2" collapsed="1">
      <c r="A52" s="25" t="s">
        <v>91</v>
      </c>
      <c r="C52" s="4" t="str">
        <f t="shared" si="29"/>
        <v>Jenny</v>
      </c>
      <c r="D52" s="4" t="str">
        <f t="shared" si="30"/>
        <v>Doyle</v>
      </c>
      <c r="E52" s="27" t="str">
        <f t="shared" si="31"/>
        <v>ACCT</v>
      </c>
      <c r="F52" s="27" t="str">
        <f t="shared" si="32"/>
        <v>DOYL0001</v>
      </c>
      <c r="G52" s="15">
        <f t="shared" si="35"/>
        <v>41699</v>
      </c>
      <c r="H52" s="27" t="str">
        <f t="shared" si="36"/>
        <v>10112</v>
      </c>
      <c r="N52" s="44" t="str">
        <f>"Total for " &amp; $H52</f>
        <v>Total for 10112</v>
      </c>
      <c r="O52" s="45">
        <f>G52</f>
        <v>41699</v>
      </c>
      <c r="P52" s="44"/>
      <c r="Q52" s="44"/>
      <c r="R52" s="44"/>
      <c r="S52" s="44">
        <f>SUBTOTAL(9,S47:S51)</f>
        <v>970.69</v>
      </c>
    </row>
    <row r="53" spans="1:19" ht="12.75" hidden="1" outlineLevel="2">
      <c r="A53" s="24" t="s">
        <v>2812</v>
      </c>
      <c r="C53" s="4" t="str">
        <f>C45</f>
        <v>Jenny</v>
      </c>
      <c r="D53" s="4" t="str">
        <f>D45</f>
        <v>Doyle</v>
      </c>
      <c r="E53" s="27" t="str">
        <f>E45</f>
        <v>ACCT</v>
      </c>
      <c r="F53" s="27" t="str">
        <f>F45</f>
        <v>DOYL0001</v>
      </c>
      <c r="G53" s="14"/>
      <c r="J53" s="33"/>
      <c r="K53" s="33"/>
      <c r="L53" s="33"/>
      <c r="M53" s="33"/>
      <c r="N53" s="33"/>
      <c r="O53" s="33"/>
      <c r="P53" s="33"/>
      <c r="Q53" s="33"/>
      <c r="R53" s="33"/>
      <c r="S53" s="40"/>
    </row>
    <row r="54" spans="1:19" ht="12.75" hidden="1" outlineLevel="1" collapsed="1">
      <c r="A54" s="25" t="s">
        <v>91</v>
      </c>
      <c r="C54" s="4" t="str">
        <f t="shared" si="16"/>
        <v>Jenny</v>
      </c>
      <c r="D54" s="4" t="str">
        <f t="shared" si="17"/>
        <v>Doyle</v>
      </c>
      <c r="E54" s="27" t="str">
        <f t="shared" si="14"/>
        <v>ACCT</v>
      </c>
      <c r="F54" s="27" t="str">
        <f t="shared" si="18"/>
        <v>DOYL0001</v>
      </c>
      <c r="G54" s="14"/>
      <c r="J54" s="33"/>
      <c r="K54" s="46" t="str">
        <f>"Total for " &amp; $F54</f>
        <v>Total for DOYL0001</v>
      </c>
      <c r="L54" s="46" t="str">
        <f>C54</f>
        <v>Jenny</v>
      </c>
      <c r="M54" s="46" t="str">
        <f>D54</f>
        <v>Doyle</v>
      </c>
      <c r="N54" s="46"/>
      <c r="O54" s="46"/>
      <c r="P54" s="46"/>
      <c r="Q54" s="46"/>
      <c r="R54" s="46"/>
      <c r="S54" s="47">
        <f>SUBTOTAL(9,S40:S53)</f>
        <v>1941.38</v>
      </c>
    </row>
    <row r="55" spans="1:19" ht="12.75" hidden="1" outlineLevel="2">
      <c r="A55" s="25" t="s">
        <v>91</v>
      </c>
      <c r="C55" s="4" t="str">
        <f t="shared" ref="C55" si="43">L55</f>
        <v>Steven</v>
      </c>
      <c r="D55" s="4" t="str">
        <f t="shared" ref="D55" si="44">M55</f>
        <v>Levy</v>
      </c>
      <c r="E55" s="27" t="str">
        <f t="shared" si="14"/>
        <v>ACCT</v>
      </c>
      <c r="F55" s="27" t="str">
        <f t="shared" ref="F55" si="45">K55</f>
        <v>LEVY0001</v>
      </c>
      <c r="G55" s="14"/>
      <c r="J55" s="31"/>
      <c r="K55" s="21" t="str">
        <f>"LEVY0001"</f>
        <v>LEVY0001</v>
      </c>
      <c r="L55" s="43" t="str">
        <f>"Steven"</f>
        <v>Steven</v>
      </c>
      <c r="M55" s="43" t="str">
        <f>"Levy"</f>
        <v>Levy</v>
      </c>
      <c r="N55" s="43"/>
      <c r="O55" s="34"/>
      <c r="P55" s="33"/>
      <c r="Q55" s="33"/>
      <c r="R55" s="33"/>
      <c r="S55" s="35"/>
    </row>
    <row r="56" spans="1:19" ht="12.75" hidden="1" outlineLevel="3">
      <c r="A56" s="25" t="s">
        <v>91</v>
      </c>
      <c r="C56" s="4" t="str">
        <f t="shared" ref="C56:C77" si="46">C55</f>
        <v>Steven</v>
      </c>
      <c r="D56" s="4" t="str">
        <f t="shared" ref="D56:D77" si="47">D55</f>
        <v>Levy</v>
      </c>
      <c r="E56" s="27" t="str">
        <f t="shared" si="14"/>
        <v>ACCT</v>
      </c>
      <c r="F56" s="27" t="str">
        <f t="shared" ref="F56:F77" si="48">F55</f>
        <v>LEVY0001</v>
      </c>
      <c r="G56" s="15">
        <f t="shared" ref="G56" si="49">O56</f>
        <v>41671</v>
      </c>
      <c r="H56" s="27" t="str">
        <f t="shared" ref="H56" si="50">N56</f>
        <v>10094</v>
      </c>
      <c r="J56" s="33"/>
      <c r="K56" s="33"/>
      <c r="L56" s="33"/>
      <c r="M56" s="33"/>
      <c r="N56" s="32" t="str">
        <f>"10094"</f>
        <v>10094</v>
      </c>
      <c r="O56" s="36">
        <v>41671</v>
      </c>
      <c r="P56" s="33"/>
      <c r="Q56" s="33"/>
      <c r="R56" s="33"/>
      <c r="S56" s="33"/>
    </row>
    <row r="57" spans="1:19" hidden="1" outlineLevel="3">
      <c r="A57" s="25" t="s">
        <v>91</v>
      </c>
      <c r="C57" s="4" t="str">
        <f t="shared" si="46"/>
        <v>Steven</v>
      </c>
      <c r="D57" s="4" t="str">
        <f t="shared" si="47"/>
        <v>Levy</v>
      </c>
      <c r="E57" s="27" t="str">
        <f t="shared" si="14"/>
        <v>ACCT</v>
      </c>
      <c r="F57" s="27" t="str">
        <f t="shared" si="48"/>
        <v>LEVY0001</v>
      </c>
      <c r="G57" s="15">
        <f t="shared" ref="G57:G65" si="51">G56</f>
        <v>41671</v>
      </c>
      <c r="H57" s="27" t="str">
        <f t="shared" ref="H57:H65" si="52">H56</f>
        <v>10094</v>
      </c>
      <c r="I57" s="27" t="str">
        <f>"""GP Direct"",""Fabrikam, Inc."",""Jet Payroll Transactions"",""Pay Rate"",""0.00000"",""Payroll Code"",""401K"",""State"","""",""Transaction Amount"",""2.53000"""</f>
        <v>"GP Direct","Fabrikam, Inc.","Jet Payroll Transactions","Pay Rate","0.00000","Payroll Code","401K","State","","Transaction Amount","2.53000"</v>
      </c>
      <c r="O57" s="28"/>
      <c r="P57" s="37">
        <v>0</v>
      </c>
      <c r="Q57" s="38" t="str">
        <f>"401K"</f>
        <v>401K</v>
      </c>
      <c r="R57" s="39"/>
      <c r="S57" s="37">
        <v>2.5299999999999998</v>
      </c>
    </row>
    <row r="58" spans="1:19" hidden="1" outlineLevel="3">
      <c r="A58" s="25" t="s">
        <v>91</v>
      </c>
      <c r="C58" s="4" t="str">
        <f t="shared" ref="C58:C63" si="53">C57</f>
        <v>Steven</v>
      </c>
      <c r="D58" s="4" t="str">
        <f t="shared" ref="D58:D63" si="54">D57</f>
        <v>Levy</v>
      </c>
      <c r="E58" s="27" t="str">
        <f t="shared" ref="E58:E63" si="55">E57</f>
        <v>ACCT</v>
      </c>
      <c r="F58" s="27" t="str">
        <f t="shared" ref="F58:F63" si="56">F57</f>
        <v>LEVY0001</v>
      </c>
      <c r="G58" s="15">
        <f t="shared" ref="G58:G63" si="57">G57</f>
        <v>41671</v>
      </c>
      <c r="H58" s="27" t="str">
        <f t="shared" ref="H58:H63" si="58">H57</f>
        <v>10094</v>
      </c>
      <c r="I58" s="27" t="str">
        <f>"""GP Direct"",""Fabrikam, Inc."",""Jet Payroll Transactions"",""Pay Rate"",""0.00000"",""Payroll Code"",""401K"",""State"","""",""Transaction Amount"",""50.52000"""</f>
        <v>"GP Direct","Fabrikam, Inc.","Jet Payroll Transactions","Pay Rate","0.00000","Payroll Code","401K","State","","Transaction Amount","50.52000"</v>
      </c>
      <c r="O58" s="28"/>
      <c r="P58" s="37">
        <v>0</v>
      </c>
      <c r="Q58" s="38" t="str">
        <f>"401K"</f>
        <v>401K</v>
      </c>
      <c r="R58" s="39"/>
      <c r="S58" s="37">
        <v>50.52</v>
      </c>
    </row>
    <row r="59" spans="1:19" hidden="1" outlineLevel="3">
      <c r="A59" s="25" t="s">
        <v>91</v>
      </c>
      <c r="C59" s="4" t="str">
        <f t="shared" si="53"/>
        <v>Steven</v>
      </c>
      <c r="D59" s="4" t="str">
        <f t="shared" si="54"/>
        <v>Levy</v>
      </c>
      <c r="E59" s="27" t="str">
        <f t="shared" si="55"/>
        <v>ACCT</v>
      </c>
      <c r="F59" s="27" t="str">
        <f t="shared" si="56"/>
        <v>LEVY0001</v>
      </c>
      <c r="G59" s="15">
        <f t="shared" si="57"/>
        <v>41671</v>
      </c>
      <c r="H59" s="27" t="str">
        <f t="shared" si="58"/>
        <v>10094</v>
      </c>
      <c r="I59" s="27" t="str">
        <f>"""GP Direct"",""Fabrikam, Inc."",""Jet Payroll Transactions"",""Pay Rate"",""0.00000"",""Payroll Code"",""IL"",""State"","""",""Transaction Amount"",""21.09000"""</f>
        <v>"GP Direct","Fabrikam, Inc.","Jet Payroll Transactions","Pay Rate","0.00000","Payroll Code","IL","State","","Transaction Amount","21.09000"</v>
      </c>
      <c r="O59" s="28"/>
      <c r="P59" s="37">
        <v>0</v>
      </c>
      <c r="Q59" s="38" t="str">
        <f>"IL"</f>
        <v>IL</v>
      </c>
      <c r="R59" s="39"/>
      <c r="S59" s="37">
        <v>21.09</v>
      </c>
    </row>
    <row r="60" spans="1:19" hidden="1" outlineLevel="3">
      <c r="A60" s="25" t="s">
        <v>91</v>
      </c>
      <c r="C60" s="4" t="str">
        <f t="shared" si="53"/>
        <v>Steven</v>
      </c>
      <c r="D60" s="4" t="str">
        <f t="shared" si="54"/>
        <v>Levy</v>
      </c>
      <c r="E60" s="27" t="str">
        <f t="shared" si="55"/>
        <v>ACCT</v>
      </c>
      <c r="F60" s="27" t="str">
        <f t="shared" si="56"/>
        <v>LEVY0001</v>
      </c>
      <c r="G60" s="15">
        <f t="shared" si="57"/>
        <v>41671</v>
      </c>
      <c r="H60" s="27" t="str">
        <f t="shared" si="58"/>
        <v>10094</v>
      </c>
      <c r="I60" s="27" t="str">
        <f>"""GP Direct"",""Fabrikam, Inc."",""Jet Payroll Transactions"",""Pay Rate"",""0.00000"",""Payroll Code"",""INS"",""State"","""",""Transaction Amount"",""49.36000"""</f>
        <v>"GP Direct","Fabrikam, Inc.","Jet Payroll Transactions","Pay Rate","0.00000","Payroll Code","INS","State","","Transaction Amount","49.36000"</v>
      </c>
      <c r="O60" s="28"/>
      <c r="P60" s="37">
        <v>0</v>
      </c>
      <c r="Q60" s="38" t="str">
        <f>"INS"</f>
        <v>INS</v>
      </c>
      <c r="R60" s="39"/>
      <c r="S60" s="37">
        <v>49.36</v>
      </c>
    </row>
    <row r="61" spans="1:19" hidden="1" outlineLevel="3">
      <c r="A61" s="25" t="s">
        <v>91</v>
      </c>
      <c r="C61" s="4" t="str">
        <f t="shared" si="53"/>
        <v>Steven</v>
      </c>
      <c r="D61" s="4" t="str">
        <f t="shared" si="54"/>
        <v>Levy</v>
      </c>
      <c r="E61" s="27" t="str">
        <f t="shared" si="55"/>
        <v>ACCT</v>
      </c>
      <c r="F61" s="27" t="str">
        <f t="shared" si="56"/>
        <v>LEVY0001</v>
      </c>
      <c r="G61" s="15">
        <f t="shared" si="57"/>
        <v>41671</v>
      </c>
      <c r="H61" s="27" t="str">
        <f t="shared" si="58"/>
        <v>10094</v>
      </c>
      <c r="I61" s="27" t="str">
        <f>"""GP Direct"",""Fabrikam, Inc."",""Jet Payroll Transactions"",""Pay Rate"",""0.00000"",""Payroll Code"",""INS2"",""State"","""",""Transaction Amount"",""72.95000"""</f>
        <v>"GP Direct","Fabrikam, Inc.","Jet Payroll Transactions","Pay Rate","0.00000","Payroll Code","INS2","State","","Transaction Amount","72.95000"</v>
      </c>
      <c r="O61" s="28"/>
      <c r="P61" s="37">
        <v>0</v>
      </c>
      <c r="Q61" s="38" t="str">
        <f>"INS2"</f>
        <v>INS2</v>
      </c>
      <c r="R61" s="39"/>
      <c r="S61" s="37">
        <v>72.95</v>
      </c>
    </row>
    <row r="62" spans="1:19" hidden="1" outlineLevel="3">
      <c r="A62" s="25" t="s">
        <v>91</v>
      </c>
      <c r="C62" s="4" t="str">
        <f t="shared" si="53"/>
        <v>Steven</v>
      </c>
      <c r="D62" s="4" t="str">
        <f t="shared" si="54"/>
        <v>Levy</v>
      </c>
      <c r="E62" s="27" t="str">
        <f t="shared" si="55"/>
        <v>ACCT</v>
      </c>
      <c r="F62" s="27" t="str">
        <f t="shared" si="56"/>
        <v>LEVY0001</v>
      </c>
      <c r="G62" s="15">
        <f t="shared" si="57"/>
        <v>41671</v>
      </c>
      <c r="H62" s="27" t="str">
        <f t="shared" si="58"/>
        <v>10094</v>
      </c>
      <c r="I62" s="27" t="str">
        <f>"""GP Direct"",""Fabrikam, Inc."",""Jet Payroll Transactions"",""Pay Rate"",""0.00000"",""Payroll Code"",""MED"",""State"","""",""Transaction Amount"",""20.00000"""</f>
        <v>"GP Direct","Fabrikam, Inc.","Jet Payroll Transactions","Pay Rate","0.00000","Payroll Code","MED","State","","Transaction Amount","20.00000"</v>
      </c>
      <c r="O62" s="28"/>
      <c r="P62" s="37">
        <v>0</v>
      </c>
      <c r="Q62" s="38" t="str">
        <f>"MED"</f>
        <v>MED</v>
      </c>
      <c r="R62" s="39"/>
      <c r="S62" s="37">
        <v>20</v>
      </c>
    </row>
    <row r="63" spans="1:19" hidden="1" outlineLevel="3">
      <c r="A63" s="25" t="s">
        <v>91</v>
      </c>
      <c r="C63" s="4" t="str">
        <f t="shared" si="53"/>
        <v>Steven</v>
      </c>
      <c r="D63" s="4" t="str">
        <f t="shared" si="54"/>
        <v>Levy</v>
      </c>
      <c r="E63" s="27" t="str">
        <f t="shared" si="55"/>
        <v>ACCT</v>
      </c>
      <c r="F63" s="27" t="str">
        <f t="shared" si="56"/>
        <v>LEVY0001</v>
      </c>
      <c r="G63" s="15">
        <f t="shared" si="57"/>
        <v>41671</v>
      </c>
      <c r="H63" s="27" t="str">
        <f t="shared" si="58"/>
        <v>10094</v>
      </c>
      <c r="I63" s="27" t="str">
        <f>"""GP Direct"",""Fabrikam, Inc."",""Jet Payroll Transactions"",""Pay Rate"",""30314.00000"",""Payroll Code"",""SALY"",""State"",""IL"",""Transaction Amount"",""1263.08000"""</f>
        <v>"GP Direct","Fabrikam, Inc.","Jet Payroll Transactions","Pay Rate","30314.00000","Payroll Code","SALY","State","IL","Transaction Amount","1263.08000"</v>
      </c>
      <c r="O63" s="28"/>
      <c r="P63" s="37">
        <v>30314</v>
      </c>
      <c r="Q63" s="38" t="str">
        <f>"SALY"</f>
        <v>SALY</v>
      </c>
      <c r="R63" s="39" t="str">
        <f>"IL"</f>
        <v>IL</v>
      </c>
      <c r="S63" s="37">
        <v>1263.08</v>
      </c>
    </row>
    <row r="64" spans="1:19" hidden="1" outlineLevel="3">
      <c r="A64" s="24" t="s">
        <v>2812</v>
      </c>
      <c r="C64" s="4" t="str">
        <f>C57</f>
        <v>Steven</v>
      </c>
      <c r="D64" s="4" t="str">
        <f>D57</f>
        <v>Levy</v>
      </c>
      <c r="E64" s="27" t="str">
        <f>E57</f>
        <v>ACCT</v>
      </c>
      <c r="F64" s="27" t="str">
        <f>F57</f>
        <v>LEVY0001</v>
      </c>
      <c r="G64" s="15">
        <f>G57</f>
        <v>41671</v>
      </c>
      <c r="H64" s="27" t="str">
        <f>H57</f>
        <v>10094</v>
      </c>
      <c r="O64" s="28"/>
      <c r="S64" s="16"/>
    </row>
    <row r="65" spans="1:19" ht="12.75" hidden="1" outlineLevel="2" collapsed="1">
      <c r="A65" s="25" t="s">
        <v>91</v>
      </c>
      <c r="C65" s="4" t="str">
        <f t="shared" si="46"/>
        <v>Steven</v>
      </c>
      <c r="D65" s="4" t="str">
        <f t="shared" si="47"/>
        <v>Levy</v>
      </c>
      <c r="E65" s="27" t="str">
        <f t="shared" si="14"/>
        <v>ACCT</v>
      </c>
      <c r="F65" s="27" t="str">
        <f t="shared" si="48"/>
        <v>LEVY0001</v>
      </c>
      <c r="G65" s="15">
        <f t="shared" si="51"/>
        <v>41671</v>
      </c>
      <c r="H65" s="27" t="str">
        <f t="shared" si="52"/>
        <v>10094</v>
      </c>
      <c r="N65" s="44" t="str">
        <f>"Total for " &amp; $H65</f>
        <v>Total for 10094</v>
      </c>
      <c r="O65" s="45">
        <f>G65</f>
        <v>41671</v>
      </c>
      <c r="P65" s="44"/>
      <c r="Q65" s="44"/>
      <c r="R65" s="44"/>
      <c r="S65" s="44">
        <f>SUBTOTAL(9,S57:S64)</f>
        <v>1479.53</v>
      </c>
    </row>
    <row r="66" spans="1:19" ht="12.75" hidden="1" outlineLevel="3">
      <c r="A66" s="25" t="s">
        <v>91</v>
      </c>
      <c r="C66" s="4" t="str">
        <f t="shared" ref="C66:C75" si="59">C65</f>
        <v>Steven</v>
      </c>
      <c r="D66" s="4" t="str">
        <f t="shared" ref="D66:D75" si="60">D65</f>
        <v>Levy</v>
      </c>
      <c r="E66" s="27" t="str">
        <f t="shared" ref="E66:E75" si="61">E65</f>
        <v>ACCT</v>
      </c>
      <c r="F66" s="27" t="str">
        <f t="shared" ref="F66:F75" si="62">F65</f>
        <v>LEVY0001</v>
      </c>
      <c r="G66" s="15">
        <f t="shared" ref="G66" si="63">O66</f>
        <v>41699</v>
      </c>
      <c r="H66" s="27" t="str">
        <f t="shared" ref="H66" si="64">N66</f>
        <v>10119</v>
      </c>
      <c r="J66" s="33"/>
      <c r="K66" s="33"/>
      <c r="L66" s="33"/>
      <c r="M66" s="33"/>
      <c r="N66" s="32" t="str">
        <f>"10119"</f>
        <v>10119</v>
      </c>
      <c r="O66" s="36">
        <v>41699</v>
      </c>
      <c r="P66" s="33"/>
      <c r="Q66" s="33"/>
      <c r="R66" s="33"/>
      <c r="S66" s="33"/>
    </row>
    <row r="67" spans="1:19" hidden="1" outlineLevel="3">
      <c r="A67" s="25" t="s">
        <v>91</v>
      </c>
      <c r="C67" s="4" t="str">
        <f t="shared" si="59"/>
        <v>Steven</v>
      </c>
      <c r="D67" s="4" t="str">
        <f t="shared" si="60"/>
        <v>Levy</v>
      </c>
      <c r="E67" s="27" t="str">
        <f t="shared" si="61"/>
        <v>ACCT</v>
      </c>
      <c r="F67" s="27" t="str">
        <f t="shared" si="62"/>
        <v>LEVY0001</v>
      </c>
      <c r="G67" s="15">
        <f t="shared" ref="G67:G75" si="65">G66</f>
        <v>41699</v>
      </c>
      <c r="H67" s="27" t="str">
        <f t="shared" ref="H67:H75" si="66">H66</f>
        <v>10119</v>
      </c>
      <c r="I67" s="27" t="str">
        <f>"""GP Direct"",""Fabrikam, Inc."",""Jet Payroll Transactions"",""Pay Rate"",""0.00000"",""Payroll Code"",""401K"",""State"","""",""Transaction Amount"",""2.53000"""</f>
        <v>"GP Direct","Fabrikam, Inc.","Jet Payroll Transactions","Pay Rate","0.00000","Payroll Code","401K","State","","Transaction Amount","2.53000"</v>
      </c>
      <c r="O67" s="28"/>
      <c r="P67" s="37">
        <v>0</v>
      </c>
      <c r="Q67" s="38" t="str">
        <f>"401K"</f>
        <v>401K</v>
      </c>
      <c r="R67" s="39"/>
      <c r="S67" s="37">
        <v>2.5299999999999998</v>
      </c>
    </row>
    <row r="68" spans="1:19" hidden="1" outlineLevel="3">
      <c r="A68" s="25" t="s">
        <v>91</v>
      </c>
      <c r="C68" s="4" t="str">
        <f t="shared" ref="C68:C73" si="67">C67</f>
        <v>Steven</v>
      </c>
      <c r="D68" s="4" t="str">
        <f t="shared" ref="D68:D73" si="68">D67</f>
        <v>Levy</v>
      </c>
      <c r="E68" s="27" t="str">
        <f t="shared" ref="E68:E73" si="69">E67</f>
        <v>ACCT</v>
      </c>
      <c r="F68" s="27" t="str">
        <f t="shared" ref="F68:F73" si="70">F67</f>
        <v>LEVY0001</v>
      </c>
      <c r="G68" s="15">
        <f t="shared" ref="G68:G73" si="71">G67</f>
        <v>41699</v>
      </c>
      <c r="H68" s="27" t="str">
        <f t="shared" ref="H68:H73" si="72">H67</f>
        <v>10119</v>
      </c>
      <c r="I68" s="27" t="str">
        <f>"""GP Direct"",""Fabrikam, Inc."",""Jet Payroll Transactions"",""Pay Rate"",""0.00000"",""Payroll Code"",""401K"",""State"","""",""Transaction Amount"",""50.52000"""</f>
        <v>"GP Direct","Fabrikam, Inc.","Jet Payroll Transactions","Pay Rate","0.00000","Payroll Code","401K","State","","Transaction Amount","50.52000"</v>
      </c>
      <c r="O68" s="28"/>
      <c r="P68" s="37">
        <v>0</v>
      </c>
      <c r="Q68" s="38" t="str">
        <f>"401K"</f>
        <v>401K</v>
      </c>
      <c r="R68" s="39"/>
      <c r="S68" s="37">
        <v>50.52</v>
      </c>
    </row>
    <row r="69" spans="1:19" hidden="1" outlineLevel="3">
      <c r="A69" s="25" t="s">
        <v>91</v>
      </c>
      <c r="C69" s="4" t="str">
        <f t="shared" si="67"/>
        <v>Steven</v>
      </c>
      <c r="D69" s="4" t="str">
        <f t="shared" si="68"/>
        <v>Levy</v>
      </c>
      <c r="E69" s="27" t="str">
        <f t="shared" si="69"/>
        <v>ACCT</v>
      </c>
      <c r="F69" s="27" t="str">
        <f t="shared" si="70"/>
        <v>LEVY0001</v>
      </c>
      <c r="G69" s="15">
        <f t="shared" si="71"/>
        <v>41699</v>
      </c>
      <c r="H69" s="27" t="str">
        <f t="shared" si="72"/>
        <v>10119</v>
      </c>
      <c r="I69" s="27" t="str">
        <f>"""GP Direct"",""Fabrikam, Inc."",""Jet Payroll Transactions"",""Pay Rate"",""0.00000"",""Payroll Code"",""IL"",""State"","""",""Transaction Amount"",""21.09000"""</f>
        <v>"GP Direct","Fabrikam, Inc.","Jet Payroll Transactions","Pay Rate","0.00000","Payroll Code","IL","State","","Transaction Amount","21.09000"</v>
      </c>
      <c r="O69" s="28"/>
      <c r="P69" s="37">
        <v>0</v>
      </c>
      <c r="Q69" s="38" t="str">
        <f>"IL"</f>
        <v>IL</v>
      </c>
      <c r="R69" s="39"/>
      <c r="S69" s="37">
        <v>21.09</v>
      </c>
    </row>
    <row r="70" spans="1:19" hidden="1" outlineLevel="3">
      <c r="A70" s="25" t="s">
        <v>91</v>
      </c>
      <c r="C70" s="4" t="str">
        <f t="shared" si="67"/>
        <v>Steven</v>
      </c>
      <c r="D70" s="4" t="str">
        <f t="shared" si="68"/>
        <v>Levy</v>
      </c>
      <c r="E70" s="27" t="str">
        <f t="shared" si="69"/>
        <v>ACCT</v>
      </c>
      <c r="F70" s="27" t="str">
        <f t="shared" si="70"/>
        <v>LEVY0001</v>
      </c>
      <c r="G70" s="15">
        <f t="shared" si="71"/>
        <v>41699</v>
      </c>
      <c r="H70" s="27" t="str">
        <f t="shared" si="72"/>
        <v>10119</v>
      </c>
      <c r="I70" s="27" t="str">
        <f>"""GP Direct"",""Fabrikam, Inc."",""Jet Payroll Transactions"",""Pay Rate"",""0.00000"",""Payroll Code"",""INS"",""State"","""",""Transaction Amount"",""49.36000"""</f>
        <v>"GP Direct","Fabrikam, Inc.","Jet Payroll Transactions","Pay Rate","0.00000","Payroll Code","INS","State","","Transaction Amount","49.36000"</v>
      </c>
      <c r="O70" s="28"/>
      <c r="P70" s="37">
        <v>0</v>
      </c>
      <c r="Q70" s="38" t="str">
        <f>"INS"</f>
        <v>INS</v>
      </c>
      <c r="R70" s="39"/>
      <c r="S70" s="37">
        <v>49.36</v>
      </c>
    </row>
    <row r="71" spans="1:19" hidden="1" outlineLevel="3">
      <c r="A71" s="25" t="s">
        <v>91</v>
      </c>
      <c r="C71" s="4" t="str">
        <f t="shared" si="67"/>
        <v>Steven</v>
      </c>
      <c r="D71" s="4" t="str">
        <f t="shared" si="68"/>
        <v>Levy</v>
      </c>
      <c r="E71" s="27" t="str">
        <f t="shared" si="69"/>
        <v>ACCT</v>
      </c>
      <c r="F71" s="27" t="str">
        <f t="shared" si="70"/>
        <v>LEVY0001</v>
      </c>
      <c r="G71" s="15">
        <f t="shared" si="71"/>
        <v>41699</v>
      </c>
      <c r="H71" s="27" t="str">
        <f t="shared" si="72"/>
        <v>10119</v>
      </c>
      <c r="I71" s="27" t="str">
        <f>"""GP Direct"",""Fabrikam, Inc."",""Jet Payroll Transactions"",""Pay Rate"",""0.00000"",""Payroll Code"",""INS2"",""State"","""",""Transaction Amount"",""72.95000"""</f>
        <v>"GP Direct","Fabrikam, Inc.","Jet Payroll Transactions","Pay Rate","0.00000","Payroll Code","INS2","State","","Transaction Amount","72.95000"</v>
      </c>
      <c r="O71" s="28"/>
      <c r="P71" s="37">
        <v>0</v>
      </c>
      <c r="Q71" s="38" t="str">
        <f>"INS2"</f>
        <v>INS2</v>
      </c>
      <c r="R71" s="39"/>
      <c r="S71" s="37">
        <v>72.95</v>
      </c>
    </row>
    <row r="72" spans="1:19" hidden="1" outlineLevel="3">
      <c r="A72" s="25" t="s">
        <v>91</v>
      </c>
      <c r="C72" s="4" t="str">
        <f t="shared" si="67"/>
        <v>Steven</v>
      </c>
      <c r="D72" s="4" t="str">
        <f t="shared" si="68"/>
        <v>Levy</v>
      </c>
      <c r="E72" s="27" t="str">
        <f t="shared" si="69"/>
        <v>ACCT</v>
      </c>
      <c r="F72" s="27" t="str">
        <f t="shared" si="70"/>
        <v>LEVY0001</v>
      </c>
      <c r="G72" s="15">
        <f t="shared" si="71"/>
        <v>41699</v>
      </c>
      <c r="H72" s="27" t="str">
        <f t="shared" si="72"/>
        <v>10119</v>
      </c>
      <c r="I72" s="27" t="str">
        <f>"""GP Direct"",""Fabrikam, Inc."",""Jet Payroll Transactions"",""Pay Rate"",""0.00000"",""Payroll Code"",""MED"",""State"","""",""Transaction Amount"",""20.00000"""</f>
        <v>"GP Direct","Fabrikam, Inc.","Jet Payroll Transactions","Pay Rate","0.00000","Payroll Code","MED","State","","Transaction Amount","20.00000"</v>
      </c>
      <c r="O72" s="28"/>
      <c r="P72" s="37">
        <v>0</v>
      </c>
      <c r="Q72" s="38" t="str">
        <f>"MED"</f>
        <v>MED</v>
      </c>
      <c r="R72" s="39"/>
      <c r="S72" s="37">
        <v>20</v>
      </c>
    </row>
    <row r="73" spans="1:19" hidden="1" outlineLevel="3">
      <c r="A73" s="25" t="s">
        <v>91</v>
      </c>
      <c r="C73" s="4" t="str">
        <f t="shared" si="67"/>
        <v>Steven</v>
      </c>
      <c r="D73" s="4" t="str">
        <f t="shared" si="68"/>
        <v>Levy</v>
      </c>
      <c r="E73" s="27" t="str">
        <f t="shared" si="69"/>
        <v>ACCT</v>
      </c>
      <c r="F73" s="27" t="str">
        <f t="shared" si="70"/>
        <v>LEVY0001</v>
      </c>
      <c r="G73" s="15">
        <f t="shared" si="71"/>
        <v>41699</v>
      </c>
      <c r="H73" s="27" t="str">
        <f t="shared" si="72"/>
        <v>10119</v>
      </c>
      <c r="I73" s="27" t="str">
        <f>"""GP Direct"",""Fabrikam, Inc."",""Jet Payroll Transactions"",""Pay Rate"",""30314.00000"",""Payroll Code"",""SALY"",""State"",""IL"",""Transaction Amount"",""1263.08000"""</f>
        <v>"GP Direct","Fabrikam, Inc.","Jet Payroll Transactions","Pay Rate","30314.00000","Payroll Code","SALY","State","IL","Transaction Amount","1263.08000"</v>
      </c>
      <c r="O73" s="28"/>
      <c r="P73" s="37">
        <v>30314</v>
      </c>
      <c r="Q73" s="38" t="str">
        <f>"SALY"</f>
        <v>SALY</v>
      </c>
      <c r="R73" s="39" t="str">
        <f>"IL"</f>
        <v>IL</v>
      </c>
      <c r="S73" s="37">
        <v>1263.08</v>
      </c>
    </row>
    <row r="74" spans="1:19" hidden="1" outlineLevel="3">
      <c r="A74" s="24" t="s">
        <v>2812</v>
      </c>
      <c r="C74" s="4" t="str">
        <f>C67</f>
        <v>Steven</v>
      </c>
      <c r="D74" s="4" t="str">
        <f>D67</f>
        <v>Levy</v>
      </c>
      <c r="E74" s="27" t="str">
        <f>E67</f>
        <v>ACCT</v>
      </c>
      <c r="F74" s="27" t="str">
        <f>F67</f>
        <v>LEVY0001</v>
      </c>
      <c r="G74" s="15">
        <f>G67</f>
        <v>41699</v>
      </c>
      <c r="H74" s="27" t="str">
        <f>H67</f>
        <v>10119</v>
      </c>
      <c r="O74" s="28"/>
      <c r="S74" s="16"/>
    </row>
    <row r="75" spans="1:19" ht="12.75" hidden="1" outlineLevel="2" collapsed="1">
      <c r="A75" s="25" t="s">
        <v>91</v>
      </c>
      <c r="C75" s="4" t="str">
        <f t="shared" si="59"/>
        <v>Steven</v>
      </c>
      <c r="D75" s="4" t="str">
        <f t="shared" si="60"/>
        <v>Levy</v>
      </c>
      <c r="E75" s="27" t="str">
        <f t="shared" si="61"/>
        <v>ACCT</v>
      </c>
      <c r="F75" s="27" t="str">
        <f t="shared" si="62"/>
        <v>LEVY0001</v>
      </c>
      <c r="G75" s="15">
        <f t="shared" si="65"/>
        <v>41699</v>
      </c>
      <c r="H75" s="27" t="str">
        <f t="shared" si="66"/>
        <v>10119</v>
      </c>
      <c r="N75" s="44" t="str">
        <f>"Total for " &amp; $H75</f>
        <v>Total for 10119</v>
      </c>
      <c r="O75" s="45">
        <f>G75</f>
        <v>41699</v>
      </c>
      <c r="P75" s="44"/>
      <c r="Q75" s="44"/>
      <c r="R75" s="44"/>
      <c r="S75" s="44">
        <f>SUBTOTAL(9,S67:S74)</f>
        <v>1479.53</v>
      </c>
    </row>
    <row r="76" spans="1:19" ht="12.75" hidden="1" outlineLevel="2">
      <c r="A76" s="24" t="s">
        <v>2812</v>
      </c>
      <c r="C76" s="4" t="str">
        <f>C65</f>
        <v>Steven</v>
      </c>
      <c r="D76" s="4" t="str">
        <f>D65</f>
        <v>Levy</v>
      </c>
      <c r="E76" s="27" t="str">
        <f>E65</f>
        <v>ACCT</v>
      </c>
      <c r="F76" s="27" t="str">
        <f>F65</f>
        <v>LEVY0001</v>
      </c>
      <c r="G76" s="14"/>
      <c r="J76" s="33"/>
      <c r="K76" s="33"/>
      <c r="L76" s="33"/>
      <c r="M76" s="33"/>
      <c r="N76" s="33"/>
      <c r="O76" s="33"/>
      <c r="P76" s="33"/>
      <c r="Q76" s="33"/>
      <c r="R76" s="33"/>
      <c r="S76" s="40"/>
    </row>
    <row r="77" spans="1:19" ht="12.75" hidden="1" outlineLevel="1" collapsed="1">
      <c r="A77" s="25" t="s">
        <v>91</v>
      </c>
      <c r="C77" s="4" t="str">
        <f t="shared" si="46"/>
        <v>Steven</v>
      </c>
      <c r="D77" s="4" t="str">
        <f t="shared" si="47"/>
        <v>Levy</v>
      </c>
      <c r="E77" s="27" t="str">
        <f t="shared" si="14"/>
        <v>ACCT</v>
      </c>
      <c r="F77" s="27" t="str">
        <f t="shared" si="48"/>
        <v>LEVY0001</v>
      </c>
      <c r="G77" s="14"/>
      <c r="J77" s="33"/>
      <c r="K77" s="46" t="str">
        <f>"Total for " &amp; $F77</f>
        <v>Total for LEVY0001</v>
      </c>
      <c r="L77" s="46" t="str">
        <f>C77</f>
        <v>Steven</v>
      </c>
      <c r="M77" s="46" t="str">
        <f>D77</f>
        <v>Levy</v>
      </c>
      <c r="N77" s="46"/>
      <c r="O77" s="46"/>
      <c r="P77" s="46"/>
      <c r="Q77" s="46"/>
      <c r="R77" s="46"/>
      <c r="S77" s="47">
        <f>SUBTOTAL(9,S57:S76)</f>
        <v>2959.0599999999995</v>
      </c>
    </row>
    <row r="78" spans="1:19" ht="12.75" hidden="1" outlineLevel="2">
      <c r="A78" s="25" t="s">
        <v>91</v>
      </c>
      <c r="C78" s="4" t="str">
        <f t="shared" ref="C78" si="73">L78</f>
        <v>Suanne</v>
      </c>
      <c r="D78" s="4" t="str">
        <f t="shared" ref="D78" si="74">M78</f>
        <v>Nagata</v>
      </c>
      <c r="E78" s="27" t="str">
        <f t="shared" si="14"/>
        <v>ACCT</v>
      </c>
      <c r="F78" s="27" t="str">
        <f t="shared" ref="F78" si="75">K78</f>
        <v>NAGA0001</v>
      </c>
      <c r="G78" s="14"/>
      <c r="J78" s="31"/>
      <c r="K78" s="21" t="str">
        <f>"NAGA0001"</f>
        <v>NAGA0001</v>
      </c>
      <c r="L78" s="43" t="str">
        <f>"Suanne"</f>
        <v>Suanne</v>
      </c>
      <c r="M78" s="43" t="str">
        <f>"Nagata"</f>
        <v>Nagata</v>
      </c>
      <c r="N78" s="43"/>
      <c r="O78" s="34"/>
      <c r="P78" s="33"/>
      <c r="Q78" s="33"/>
      <c r="R78" s="33"/>
      <c r="S78" s="35"/>
    </row>
    <row r="79" spans="1:19" ht="12.75" hidden="1" outlineLevel="3">
      <c r="A79" s="25" t="s">
        <v>91</v>
      </c>
      <c r="C79" s="4" t="str">
        <f t="shared" ref="C79:C98" si="76">C78</f>
        <v>Suanne</v>
      </c>
      <c r="D79" s="4" t="str">
        <f t="shared" ref="D79:D98" si="77">D78</f>
        <v>Nagata</v>
      </c>
      <c r="E79" s="27" t="str">
        <f t="shared" si="14"/>
        <v>ACCT</v>
      </c>
      <c r="F79" s="27" t="str">
        <f t="shared" ref="F79:F98" si="78">F78</f>
        <v>NAGA0001</v>
      </c>
      <c r="G79" s="15">
        <f t="shared" ref="G79" si="79">O79</f>
        <v>41671</v>
      </c>
      <c r="H79" s="27" t="str">
        <f t="shared" ref="H79" si="80">N79</f>
        <v>10099</v>
      </c>
      <c r="J79" s="33"/>
      <c r="K79" s="33"/>
      <c r="L79" s="33"/>
      <c r="M79" s="33"/>
      <c r="N79" s="32" t="str">
        <f>"10099"</f>
        <v>10099</v>
      </c>
      <c r="O79" s="36">
        <v>41671</v>
      </c>
      <c r="P79" s="33"/>
      <c r="Q79" s="33"/>
      <c r="R79" s="33"/>
      <c r="S79" s="33"/>
    </row>
    <row r="80" spans="1:19" hidden="1" outlineLevel="3">
      <c r="A80" s="25" t="s">
        <v>91</v>
      </c>
      <c r="C80" s="4" t="str">
        <f t="shared" si="76"/>
        <v>Suanne</v>
      </c>
      <c r="D80" s="4" t="str">
        <f t="shared" si="77"/>
        <v>Nagata</v>
      </c>
      <c r="E80" s="27" t="str">
        <f t="shared" si="14"/>
        <v>ACCT</v>
      </c>
      <c r="F80" s="27" t="str">
        <f t="shared" si="78"/>
        <v>NAGA0001</v>
      </c>
      <c r="G80" s="15">
        <f t="shared" ref="G80:G87" si="81">G79</f>
        <v>41671</v>
      </c>
      <c r="H80" s="27" t="str">
        <f t="shared" ref="H80:H87" si="82">H79</f>
        <v>10099</v>
      </c>
      <c r="I80" s="27" t="str">
        <f>"""GP Direct"",""Fabrikam, Inc."",""Jet Payroll Transactions"",""Pay Rate"",""0.00000"",""Payroll Code"",""401K"",""State"","""",""Transaction Amount"",""1.27000"""</f>
        <v>"GP Direct","Fabrikam, Inc.","Jet Payroll Transactions","Pay Rate","0.00000","Payroll Code","401K","State","","Transaction Amount","1.27000"</v>
      </c>
      <c r="O80" s="28"/>
      <c r="P80" s="37">
        <v>0</v>
      </c>
      <c r="Q80" s="38" t="str">
        <f>"401K"</f>
        <v>401K</v>
      </c>
      <c r="R80" s="39"/>
      <c r="S80" s="37">
        <v>1.27</v>
      </c>
    </row>
    <row r="81" spans="1:19" hidden="1" outlineLevel="3">
      <c r="A81" s="25" t="s">
        <v>91</v>
      </c>
      <c r="C81" s="4" t="str">
        <f t="shared" ref="C81:C85" si="83">C80</f>
        <v>Suanne</v>
      </c>
      <c r="D81" s="4" t="str">
        <f t="shared" ref="D81:D85" si="84">D80</f>
        <v>Nagata</v>
      </c>
      <c r="E81" s="27" t="str">
        <f t="shared" ref="E81:E85" si="85">E80</f>
        <v>ACCT</v>
      </c>
      <c r="F81" s="27" t="str">
        <f t="shared" ref="F81:F85" si="86">F80</f>
        <v>NAGA0001</v>
      </c>
      <c r="G81" s="15">
        <f t="shared" ref="G81:G85" si="87">G80</f>
        <v>41671</v>
      </c>
      <c r="H81" s="27" t="str">
        <f t="shared" ref="H81:H85" si="88">H80</f>
        <v>10099</v>
      </c>
      <c r="I81" s="27" t="str">
        <f>"""GP Direct"",""Fabrikam, Inc."",""Jet Payroll Transactions"",""Pay Rate"",""0.00000"",""Payroll Code"",""401K"",""State"","""",""Transaction Amount"",""25.46000"""</f>
        <v>"GP Direct","Fabrikam, Inc.","Jet Payroll Transactions","Pay Rate","0.00000","Payroll Code","401K","State","","Transaction Amount","25.46000"</v>
      </c>
      <c r="O81" s="28"/>
      <c r="P81" s="37">
        <v>0</v>
      </c>
      <c r="Q81" s="38" t="str">
        <f>"401K"</f>
        <v>401K</v>
      </c>
      <c r="R81" s="39"/>
      <c r="S81" s="37">
        <v>25.46</v>
      </c>
    </row>
    <row r="82" spans="1:19" hidden="1" outlineLevel="3">
      <c r="A82" s="25" t="s">
        <v>91</v>
      </c>
      <c r="C82" s="4" t="str">
        <f t="shared" si="83"/>
        <v>Suanne</v>
      </c>
      <c r="D82" s="4" t="str">
        <f t="shared" si="84"/>
        <v>Nagata</v>
      </c>
      <c r="E82" s="27" t="str">
        <f t="shared" si="85"/>
        <v>ACCT</v>
      </c>
      <c r="F82" s="27" t="str">
        <f t="shared" si="86"/>
        <v>NAGA0001</v>
      </c>
      <c r="G82" s="15">
        <f t="shared" si="87"/>
        <v>41671</v>
      </c>
      <c r="H82" s="27" t="str">
        <f t="shared" si="88"/>
        <v>10099</v>
      </c>
      <c r="I82" s="27" t="str">
        <f>"""GP Direct"",""Fabrikam, Inc."",""Jet Payroll Transactions"",""Pay Rate"",""0.00000"",""Payroll Code"",""IL"",""State"","""",""Transaction Amount"",""23.29000"""</f>
        <v>"GP Direct","Fabrikam, Inc.","Jet Payroll Transactions","Pay Rate","0.00000","Payroll Code","IL","State","","Transaction Amount","23.29000"</v>
      </c>
      <c r="O82" s="28"/>
      <c r="P82" s="37">
        <v>0</v>
      </c>
      <c r="Q82" s="38" t="str">
        <f>"IL"</f>
        <v>IL</v>
      </c>
      <c r="R82" s="39"/>
      <c r="S82" s="37">
        <v>23.29</v>
      </c>
    </row>
    <row r="83" spans="1:19" hidden="1" outlineLevel="3">
      <c r="A83" s="25" t="s">
        <v>91</v>
      </c>
      <c r="C83" s="4" t="str">
        <f t="shared" si="83"/>
        <v>Suanne</v>
      </c>
      <c r="D83" s="4" t="str">
        <f t="shared" si="84"/>
        <v>Nagata</v>
      </c>
      <c r="E83" s="27" t="str">
        <f t="shared" si="85"/>
        <v>ACCT</v>
      </c>
      <c r="F83" s="27" t="str">
        <f t="shared" si="86"/>
        <v>NAGA0001</v>
      </c>
      <c r="G83" s="15">
        <f t="shared" si="87"/>
        <v>41671</v>
      </c>
      <c r="H83" s="27" t="str">
        <f t="shared" si="88"/>
        <v>10099</v>
      </c>
      <c r="I83" s="27" t="str">
        <f>"""GP Direct"",""Fabrikam, Inc."",""Jet Payroll Transactions"",""Pay Rate"",""0.00000"",""Payroll Code"",""INS"",""State"","""",""Transaction Amount"",""49.36000"""</f>
        <v>"GP Direct","Fabrikam, Inc.","Jet Payroll Transactions","Pay Rate","0.00000","Payroll Code","INS","State","","Transaction Amount","49.36000"</v>
      </c>
      <c r="O83" s="28"/>
      <c r="P83" s="37">
        <v>0</v>
      </c>
      <c r="Q83" s="38" t="str">
        <f>"INS"</f>
        <v>INS</v>
      </c>
      <c r="R83" s="39"/>
      <c r="S83" s="37">
        <v>49.36</v>
      </c>
    </row>
    <row r="84" spans="1:19" hidden="1" outlineLevel="3">
      <c r="A84" s="25" t="s">
        <v>91</v>
      </c>
      <c r="C84" s="4" t="str">
        <f t="shared" si="83"/>
        <v>Suanne</v>
      </c>
      <c r="D84" s="4" t="str">
        <f t="shared" si="84"/>
        <v>Nagata</v>
      </c>
      <c r="E84" s="27" t="str">
        <f t="shared" si="85"/>
        <v>ACCT</v>
      </c>
      <c r="F84" s="27" t="str">
        <f t="shared" si="86"/>
        <v>NAGA0001</v>
      </c>
      <c r="G84" s="15">
        <f t="shared" si="87"/>
        <v>41671</v>
      </c>
      <c r="H84" s="27" t="str">
        <f t="shared" si="88"/>
        <v>10099</v>
      </c>
      <c r="I84" s="27" t="str">
        <f>"""GP Direct"",""Fabrikam, Inc."",""Jet Payroll Transactions"",""Pay Rate"",""0.00000"",""Payroll Code"",""MED"",""State"","""",""Transaction Amount"",""5.00000"""</f>
        <v>"GP Direct","Fabrikam, Inc.","Jet Payroll Transactions","Pay Rate","0.00000","Payroll Code","MED","State","","Transaction Amount","5.00000"</v>
      </c>
      <c r="O84" s="28"/>
      <c r="P84" s="37">
        <v>0</v>
      </c>
      <c r="Q84" s="38" t="str">
        <f>"MED"</f>
        <v>MED</v>
      </c>
      <c r="R84" s="39"/>
      <c r="S84" s="37">
        <v>5</v>
      </c>
    </row>
    <row r="85" spans="1:19" hidden="1" outlineLevel="3">
      <c r="A85" s="25" t="s">
        <v>91</v>
      </c>
      <c r="C85" s="4" t="str">
        <f t="shared" si="83"/>
        <v>Suanne</v>
      </c>
      <c r="D85" s="4" t="str">
        <f t="shared" si="84"/>
        <v>Nagata</v>
      </c>
      <c r="E85" s="27" t="str">
        <f t="shared" si="85"/>
        <v>ACCT</v>
      </c>
      <c r="F85" s="27" t="str">
        <f t="shared" si="86"/>
        <v>NAGA0001</v>
      </c>
      <c r="G85" s="15">
        <f t="shared" si="87"/>
        <v>41671</v>
      </c>
      <c r="H85" s="27" t="str">
        <f t="shared" si="88"/>
        <v>10099</v>
      </c>
      <c r="I85" s="27" t="str">
        <f>"""GP Direct"",""Fabrikam, Inc."",""Jet Payroll Transactions"",""Pay Rate"",""20366.00000"",""Payroll Code"",""SALY"",""State"",""IL"",""Transaction Amount"",""848.58000"""</f>
        <v>"GP Direct","Fabrikam, Inc.","Jet Payroll Transactions","Pay Rate","20366.00000","Payroll Code","SALY","State","IL","Transaction Amount","848.58000"</v>
      </c>
      <c r="O85" s="28"/>
      <c r="P85" s="37">
        <v>20366</v>
      </c>
      <c r="Q85" s="38" t="str">
        <f>"SALY"</f>
        <v>SALY</v>
      </c>
      <c r="R85" s="39" t="str">
        <f>"IL"</f>
        <v>IL</v>
      </c>
      <c r="S85" s="37">
        <v>848.58</v>
      </c>
    </row>
    <row r="86" spans="1:19" hidden="1" outlineLevel="3">
      <c r="A86" s="24" t="s">
        <v>2812</v>
      </c>
      <c r="C86" s="4" t="str">
        <f>C80</f>
        <v>Suanne</v>
      </c>
      <c r="D86" s="4" t="str">
        <f>D80</f>
        <v>Nagata</v>
      </c>
      <c r="E86" s="27" t="str">
        <f>E80</f>
        <v>ACCT</v>
      </c>
      <c r="F86" s="27" t="str">
        <f>F80</f>
        <v>NAGA0001</v>
      </c>
      <c r="G86" s="15">
        <f>G80</f>
        <v>41671</v>
      </c>
      <c r="H86" s="27" t="str">
        <f>H80</f>
        <v>10099</v>
      </c>
      <c r="O86" s="28"/>
      <c r="S86" s="16"/>
    </row>
    <row r="87" spans="1:19" ht="12.75" hidden="1" outlineLevel="2" collapsed="1">
      <c r="A87" s="25" t="s">
        <v>91</v>
      </c>
      <c r="C87" s="4" t="str">
        <f t="shared" si="76"/>
        <v>Suanne</v>
      </c>
      <c r="D87" s="4" t="str">
        <f t="shared" si="77"/>
        <v>Nagata</v>
      </c>
      <c r="E87" s="27" t="str">
        <f t="shared" si="14"/>
        <v>ACCT</v>
      </c>
      <c r="F87" s="27" t="str">
        <f t="shared" si="78"/>
        <v>NAGA0001</v>
      </c>
      <c r="G87" s="15">
        <f t="shared" si="81"/>
        <v>41671</v>
      </c>
      <c r="H87" s="27" t="str">
        <f t="shared" si="82"/>
        <v>10099</v>
      </c>
      <c r="N87" s="44" t="str">
        <f>"Total for " &amp; $H87</f>
        <v>Total for 10099</v>
      </c>
      <c r="O87" s="45">
        <f>G87</f>
        <v>41671</v>
      </c>
      <c r="P87" s="44"/>
      <c r="Q87" s="44"/>
      <c r="R87" s="44"/>
      <c r="S87" s="44">
        <f>SUBTOTAL(9,S80:S86)</f>
        <v>952.96</v>
      </c>
    </row>
    <row r="88" spans="1:19" ht="12.75" hidden="1" outlineLevel="3">
      <c r="A88" s="25" t="s">
        <v>91</v>
      </c>
      <c r="C88" s="4" t="str">
        <f t="shared" ref="C88:C96" si="89">C87</f>
        <v>Suanne</v>
      </c>
      <c r="D88" s="4" t="str">
        <f t="shared" ref="D88:D96" si="90">D87</f>
        <v>Nagata</v>
      </c>
      <c r="E88" s="27" t="str">
        <f t="shared" ref="E88:E96" si="91">E87</f>
        <v>ACCT</v>
      </c>
      <c r="F88" s="27" t="str">
        <f t="shared" ref="F88:F96" si="92">F87</f>
        <v>NAGA0001</v>
      </c>
      <c r="G88" s="15">
        <f t="shared" ref="G88" si="93">O88</f>
        <v>41699</v>
      </c>
      <c r="H88" s="27" t="str">
        <f t="shared" ref="H88" si="94">N88</f>
        <v>10124</v>
      </c>
      <c r="J88" s="33"/>
      <c r="K88" s="33"/>
      <c r="L88" s="33"/>
      <c r="M88" s="33"/>
      <c r="N88" s="32" t="str">
        <f>"10124"</f>
        <v>10124</v>
      </c>
      <c r="O88" s="36">
        <v>41699</v>
      </c>
      <c r="P88" s="33"/>
      <c r="Q88" s="33"/>
      <c r="R88" s="33"/>
      <c r="S88" s="33"/>
    </row>
    <row r="89" spans="1:19" hidden="1" outlineLevel="3">
      <c r="A89" s="25" t="s">
        <v>91</v>
      </c>
      <c r="C89" s="4" t="str">
        <f t="shared" si="89"/>
        <v>Suanne</v>
      </c>
      <c r="D89" s="4" t="str">
        <f t="shared" si="90"/>
        <v>Nagata</v>
      </c>
      <c r="E89" s="27" t="str">
        <f t="shared" si="91"/>
        <v>ACCT</v>
      </c>
      <c r="F89" s="27" t="str">
        <f t="shared" si="92"/>
        <v>NAGA0001</v>
      </c>
      <c r="G89" s="15">
        <f t="shared" ref="G89:G96" si="95">G88</f>
        <v>41699</v>
      </c>
      <c r="H89" s="27" t="str">
        <f t="shared" ref="H89:H96" si="96">H88</f>
        <v>10124</v>
      </c>
      <c r="I89" s="27" t="str">
        <f>"""GP Direct"",""Fabrikam, Inc."",""Jet Payroll Transactions"",""Pay Rate"",""0.00000"",""Payroll Code"",""401K"",""State"","""",""Transaction Amount"",""1.27000"""</f>
        <v>"GP Direct","Fabrikam, Inc.","Jet Payroll Transactions","Pay Rate","0.00000","Payroll Code","401K","State","","Transaction Amount","1.27000"</v>
      </c>
      <c r="O89" s="28"/>
      <c r="P89" s="37">
        <v>0</v>
      </c>
      <c r="Q89" s="38" t="str">
        <f>"401K"</f>
        <v>401K</v>
      </c>
      <c r="R89" s="39"/>
      <c r="S89" s="37">
        <v>1.27</v>
      </c>
    </row>
    <row r="90" spans="1:19" hidden="1" outlineLevel="3">
      <c r="A90" s="25" t="s">
        <v>91</v>
      </c>
      <c r="C90" s="4" t="str">
        <f t="shared" ref="C90:C94" si="97">C89</f>
        <v>Suanne</v>
      </c>
      <c r="D90" s="4" t="str">
        <f t="shared" ref="D90:D94" si="98">D89</f>
        <v>Nagata</v>
      </c>
      <c r="E90" s="27" t="str">
        <f t="shared" ref="E90:E94" si="99">E89</f>
        <v>ACCT</v>
      </c>
      <c r="F90" s="27" t="str">
        <f t="shared" ref="F90:F94" si="100">F89</f>
        <v>NAGA0001</v>
      </c>
      <c r="G90" s="15">
        <f t="shared" ref="G90:G94" si="101">G89</f>
        <v>41699</v>
      </c>
      <c r="H90" s="27" t="str">
        <f t="shared" ref="H90:H94" si="102">H89</f>
        <v>10124</v>
      </c>
      <c r="I90" s="27" t="str">
        <f>"""GP Direct"",""Fabrikam, Inc."",""Jet Payroll Transactions"",""Pay Rate"",""0.00000"",""Payroll Code"",""401K"",""State"","""",""Transaction Amount"",""25.46000"""</f>
        <v>"GP Direct","Fabrikam, Inc.","Jet Payroll Transactions","Pay Rate","0.00000","Payroll Code","401K","State","","Transaction Amount","25.46000"</v>
      </c>
      <c r="O90" s="28"/>
      <c r="P90" s="37">
        <v>0</v>
      </c>
      <c r="Q90" s="38" t="str">
        <f>"401K"</f>
        <v>401K</v>
      </c>
      <c r="R90" s="39"/>
      <c r="S90" s="37">
        <v>25.46</v>
      </c>
    </row>
    <row r="91" spans="1:19" hidden="1" outlineLevel="3">
      <c r="A91" s="25" t="s">
        <v>91</v>
      </c>
      <c r="C91" s="4" t="str">
        <f t="shared" si="97"/>
        <v>Suanne</v>
      </c>
      <c r="D91" s="4" t="str">
        <f t="shared" si="98"/>
        <v>Nagata</v>
      </c>
      <c r="E91" s="27" t="str">
        <f t="shared" si="99"/>
        <v>ACCT</v>
      </c>
      <c r="F91" s="27" t="str">
        <f t="shared" si="100"/>
        <v>NAGA0001</v>
      </c>
      <c r="G91" s="15">
        <f t="shared" si="101"/>
        <v>41699</v>
      </c>
      <c r="H91" s="27" t="str">
        <f t="shared" si="102"/>
        <v>10124</v>
      </c>
      <c r="I91" s="27" t="str">
        <f>"""GP Direct"",""Fabrikam, Inc."",""Jet Payroll Transactions"",""Pay Rate"",""0.00000"",""Payroll Code"",""IL"",""State"","""",""Transaction Amount"",""23.29000"""</f>
        <v>"GP Direct","Fabrikam, Inc.","Jet Payroll Transactions","Pay Rate","0.00000","Payroll Code","IL","State","","Transaction Amount","23.29000"</v>
      </c>
      <c r="O91" s="28"/>
      <c r="P91" s="37">
        <v>0</v>
      </c>
      <c r="Q91" s="38" t="str">
        <f>"IL"</f>
        <v>IL</v>
      </c>
      <c r="R91" s="39"/>
      <c r="S91" s="37">
        <v>23.29</v>
      </c>
    </row>
    <row r="92" spans="1:19" hidden="1" outlineLevel="3">
      <c r="A92" s="25" t="s">
        <v>91</v>
      </c>
      <c r="C92" s="4" t="str">
        <f t="shared" si="97"/>
        <v>Suanne</v>
      </c>
      <c r="D92" s="4" t="str">
        <f t="shared" si="98"/>
        <v>Nagata</v>
      </c>
      <c r="E92" s="27" t="str">
        <f t="shared" si="99"/>
        <v>ACCT</v>
      </c>
      <c r="F92" s="27" t="str">
        <f t="shared" si="100"/>
        <v>NAGA0001</v>
      </c>
      <c r="G92" s="15">
        <f t="shared" si="101"/>
        <v>41699</v>
      </c>
      <c r="H92" s="27" t="str">
        <f t="shared" si="102"/>
        <v>10124</v>
      </c>
      <c r="I92" s="27" t="str">
        <f>"""GP Direct"",""Fabrikam, Inc."",""Jet Payroll Transactions"",""Pay Rate"",""0.00000"",""Payroll Code"",""INS"",""State"","""",""Transaction Amount"",""49.36000"""</f>
        <v>"GP Direct","Fabrikam, Inc.","Jet Payroll Transactions","Pay Rate","0.00000","Payroll Code","INS","State","","Transaction Amount","49.36000"</v>
      </c>
      <c r="O92" s="28"/>
      <c r="P92" s="37">
        <v>0</v>
      </c>
      <c r="Q92" s="38" t="str">
        <f>"INS"</f>
        <v>INS</v>
      </c>
      <c r="R92" s="39"/>
      <c r="S92" s="37">
        <v>49.36</v>
      </c>
    </row>
    <row r="93" spans="1:19" hidden="1" outlineLevel="3">
      <c r="A93" s="25" t="s">
        <v>91</v>
      </c>
      <c r="C93" s="4" t="str">
        <f t="shared" si="97"/>
        <v>Suanne</v>
      </c>
      <c r="D93" s="4" t="str">
        <f t="shared" si="98"/>
        <v>Nagata</v>
      </c>
      <c r="E93" s="27" t="str">
        <f t="shared" si="99"/>
        <v>ACCT</v>
      </c>
      <c r="F93" s="27" t="str">
        <f t="shared" si="100"/>
        <v>NAGA0001</v>
      </c>
      <c r="G93" s="15">
        <f t="shared" si="101"/>
        <v>41699</v>
      </c>
      <c r="H93" s="27" t="str">
        <f t="shared" si="102"/>
        <v>10124</v>
      </c>
      <c r="I93" s="27" t="str">
        <f>"""GP Direct"",""Fabrikam, Inc."",""Jet Payroll Transactions"",""Pay Rate"",""0.00000"",""Payroll Code"",""MED"",""State"","""",""Transaction Amount"",""5.00000"""</f>
        <v>"GP Direct","Fabrikam, Inc.","Jet Payroll Transactions","Pay Rate","0.00000","Payroll Code","MED","State","","Transaction Amount","5.00000"</v>
      </c>
      <c r="O93" s="28"/>
      <c r="P93" s="37">
        <v>0</v>
      </c>
      <c r="Q93" s="38" t="str">
        <f>"MED"</f>
        <v>MED</v>
      </c>
      <c r="R93" s="39"/>
      <c r="S93" s="37">
        <v>5</v>
      </c>
    </row>
    <row r="94" spans="1:19" hidden="1" outlineLevel="3">
      <c r="A94" s="25" t="s">
        <v>91</v>
      </c>
      <c r="C94" s="4" t="str">
        <f t="shared" si="97"/>
        <v>Suanne</v>
      </c>
      <c r="D94" s="4" t="str">
        <f t="shared" si="98"/>
        <v>Nagata</v>
      </c>
      <c r="E94" s="27" t="str">
        <f t="shared" si="99"/>
        <v>ACCT</v>
      </c>
      <c r="F94" s="27" t="str">
        <f t="shared" si="100"/>
        <v>NAGA0001</v>
      </c>
      <c r="G94" s="15">
        <f t="shared" si="101"/>
        <v>41699</v>
      </c>
      <c r="H94" s="27" t="str">
        <f t="shared" si="102"/>
        <v>10124</v>
      </c>
      <c r="I94" s="27" t="str">
        <f>"""GP Direct"",""Fabrikam, Inc."",""Jet Payroll Transactions"",""Pay Rate"",""20366.00000"",""Payroll Code"",""SALY"",""State"",""IL"",""Transaction Amount"",""848.58000"""</f>
        <v>"GP Direct","Fabrikam, Inc.","Jet Payroll Transactions","Pay Rate","20366.00000","Payroll Code","SALY","State","IL","Transaction Amount","848.58000"</v>
      </c>
      <c r="O94" s="28"/>
      <c r="P94" s="37">
        <v>20366</v>
      </c>
      <c r="Q94" s="38" t="str">
        <f>"SALY"</f>
        <v>SALY</v>
      </c>
      <c r="R94" s="39" t="str">
        <f>"IL"</f>
        <v>IL</v>
      </c>
      <c r="S94" s="37">
        <v>848.58</v>
      </c>
    </row>
    <row r="95" spans="1:19" hidden="1" outlineLevel="3">
      <c r="A95" s="24" t="s">
        <v>2812</v>
      </c>
      <c r="C95" s="4" t="str">
        <f>C89</f>
        <v>Suanne</v>
      </c>
      <c r="D95" s="4" t="str">
        <f>D89</f>
        <v>Nagata</v>
      </c>
      <c r="E95" s="27" t="str">
        <f>E89</f>
        <v>ACCT</v>
      </c>
      <c r="F95" s="27" t="str">
        <f>F89</f>
        <v>NAGA0001</v>
      </c>
      <c r="G95" s="15">
        <f>G89</f>
        <v>41699</v>
      </c>
      <c r="H95" s="27" t="str">
        <f>H89</f>
        <v>10124</v>
      </c>
      <c r="O95" s="28"/>
      <c r="S95" s="16"/>
    </row>
    <row r="96" spans="1:19" ht="12.75" hidden="1" outlineLevel="2" collapsed="1">
      <c r="A96" s="25" t="s">
        <v>91</v>
      </c>
      <c r="C96" s="4" t="str">
        <f t="shared" si="89"/>
        <v>Suanne</v>
      </c>
      <c r="D96" s="4" t="str">
        <f t="shared" si="90"/>
        <v>Nagata</v>
      </c>
      <c r="E96" s="27" t="str">
        <f t="shared" si="91"/>
        <v>ACCT</v>
      </c>
      <c r="F96" s="27" t="str">
        <f t="shared" si="92"/>
        <v>NAGA0001</v>
      </c>
      <c r="G96" s="15">
        <f t="shared" si="95"/>
        <v>41699</v>
      </c>
      <c r="H96" s="27" t="str">
        <f t="shared" si="96"/>
        <v>10124</v>
      </c>
      <c r="N96" s="44" t="str">
        <f>"Total for " &amp; $H96</f>
        <v>Total for 10124</v>
      </c>
      <c r="O96" s="45">
        <f>G96</f>
        <v>41699</v>
      </c>
      <c r="P96" s="44"/>
      <c r="Q96" s="44"/>
      <c r="R96" s="44"/>
      <c r="S96" s="44">
        <f>SUBTOTAL(9,S89:S95)</f>
        <v>952.96</v>
      </c>
    </row>
    <row r="97" spans="1:19" ht="12.75" hidden="1" outlineLevel="2">
      <c r="A97" s="24" t="s">
        <v>2812</v>
      </c>
      <c r="C97" s="4" t="str">
        <f>C87</f>
        <v>Suanne</v>
      </c>
      <c r="D97" s="4" t="str">
        <f>D87</f>
        <v>Nagata</v>
      </c>
      <c r="E97" s="27" t="str">
        <f>E87</f>
        <v>ACCT</v>
      </c>
      <c r="F97" s="27" t="str">
        <f>F87</f>
        <v>NAGA0001</v>
      </c>
      <c r="G97" s="14"/>
      <c r="J97" s="33"/>
      <c r="K97" s="33"/>
      <c r="L97" s="33"/>
      <c r="M97" s="33"/>
      <c r="N97" s="33"/>
      <c r="O97" s="33"/>
      <c r="P97" s="33"/>
      <c r="Q97" s="33"/>
      <c r="R97" s="33"/>
      <c r="S97" s="40"/>
    </row>
    <row r="98" spans="1:19" ht="12.75" hidden="1" outlineLevel="1" collapsed="1">
      <c r="A98" s="25" t="s">
        <v>91</v>
      </c>
      <c r="C98" s="4" t="str">
        <f t="shared" si="76"/>
        <v>Suanne</v>
      </c>
      <c r="D98" s="4" t="str">
        <f t="shared" si="77"/>
        <v>Nagata</v>
      </c>
      <c r="E98" s="27" t="str">
        <f t="shared" si="14"/>
        <v>ACCT</v>
      </c>
      <c r="F98" s="27" t="str">
        <f t="shared" si="78"/>
        <v>NAGA0001</v>
      </c>
      <c r="G98" s="14"/>
      <c r="J98" s="33"/>
      <c r="K98" s="46" t="str">
        <f>"Total for " &amp; $F98</f>
        <v>Total for NAGA0001</v>
      </c>
      <c r="L98" s="46" t="str">
        <f>C98</f>
        <v>Suanne</v>
      </c>
      <c r="M98" s="46" t="str">
        <f>D98</f>
        <v>Nagata</v>
      </c>
      <c r="N98" s="46"/>
      <c r="O98" s="46"/>
      <c r="P98" s="46"/>
      <c r="Q98" s="46"/>
      <c r="R98" s="46"/>
      <c r="S98" s="47">
        <f>SUBTOTAL(9,S80:S97)</f>
        <v>1905.92</v>
      </c>
    </row>
    <row r="99" spans="1:19" ht="12.75" hidden="1" outlineLevel="1">
      <c r="A99" s="25"/>
      <c r="E99" s="27" t="str">
        <f>E37</f>
        <v>ACCT</v>
      </c>
      <c r="F99" s="14"/>
      <c r="G99" s="14"/>
      <c r="J99" s="33"/>
      <c r="K99" s="33"/>
      <c r="L99" s="33"/>
      <c r="M99" s="33"/>
      <c r="N99" s="33"/>
      <c r="O99" s="33"/>
      <c r="P99" s="33"/>
      <c r="Q99" s="33"/>
      <c r="R99" s="33"/>
      <c r="S99" s="40"/>
    </row>
    <row r="100" spans="1:19" ht="12.75" collapsed="1">
      <c r="A100" s="25"/>
      <c r="E100" s="27" t="str">
        <f>E99</f>
        <v>ACCT</v>
      </c>
      <c r="F100" s="14"/>
      <c r="G100" s="14"/>
      <c r="J100" s="48" t="str">
        <f>"Total for " &amp; $E100</f>
        <v>Total for ACCT</v>
      </c>
      <c r="K100" s="48"/>
      <c r="L100" s="48"/>
      <c r="M100" s="48"/>
      <c r="N100" s="48"/>
      <c r="O100" s="48"/>
      <c r="P100" s="48"/>
      <c r="Q100" s="48"/>
      <c r="R100" s="48"/>
      <c r="S100" s="49">
        <f>SUBTOTAL(9,S16:S99)</f>
        <v>8921.84</v>
      </c>
    </row>
    <row r="101" spans="1:19" ht="12.75">
      <c r="A101" s="25"/>
      <c r="E101" s="27"/>
      <c r="F101" s="14"/>
      <c r="G101" s="14"/>
      <c r="J101" s="33"/>
      <c r="K101" s="33"/>
      <c r="L101" s="33"/>
      <c r="M101" s="33"/>
      <c r="N101" s="33"/>
      <c r="O101" s="33"/>
      <c r="P101" s="33"/>
      <c r="Q101" s="33"/>
      <c r="R101" s="33"/>
      <c r="S101" s="40"/>
    </row>
    <row r="102" spans="1:19" ht="12.75" hidden="1" outlineLevel="1">
      <c r="A102" s="25" t="s">
        <v>91</v>
      </c>
      <c r="E102" s="27" t="str">
        <f t="shared" ref="E102" si="103">J102</f>
        <v>ADMN</v>
      </c>
      <c r="F102" s="14"/>
      <c r="G102" s="14"/>
      <c r="J102" s="22" t="str">
        <f>"ADMN"</f>
        <v>ADMN</v>
      </c>
      <c r="K102" s="22"/>
      <c r="L102" s="22"/>
      <c r="M102" s="22"/>
      <c r="N102" s="22"/>
      <c r="O102" s="29"/>
      <c r="P102" s="29"/>
      <c r="Q102" s="29"/>
      <c r="R102" s="29"/>
      <c r="S102" s="30"/>
    </row>
    <row r="103" spans="1:19" ht="12.75" hidden="1" outlineLevel="2">
      <c r="A103" s="25" t="s">
        <v>91</v>
      </c>
      <c r="C103" s="4" t="str">
        <f t="shared" ref="C103" si="104">L103</f>
        <v>Jay</v>
      </c>
      <c r="D103" s="4" t="str">
        <f t="shared" ref="D103" si="105">M103</f>
        <v>Jamison</v>
      </c>
      <c r="E103" s="27" t="str">
        <f t="shared" ref="E103:E187" si="106">E102</f>
        <v>ADMN</v>
      </c>
      <c r="F103" s="27" t="str">
        <f t="shared" ref="F103" si="107">K103</f>
        <v>JAMI0001</v>
      </c>
      <c r="G103" s="14"/>
      <c r="J103" s="31"/>
      <c r="K103" s="21" t="str">
        <f>"JAMI0001"</f>
        <v>JAMI0001</v>
      </c>
      <c r="L103" s="43" t="str">
        <f>"Jay"</f>
        <v>Jay</v>
      </c>
      <c r="M103" s="43" t="str">
        <f>"Jamison"</f>
        <v>Jamison</v>
      </c>
      <c r="N103" s="43"/>
      <c r="O103" s="34"/>
      <c r="P103" s="33"/>
      <c r="Q103" s="33"/>
      <c r="R103" s="33"/>
      <c r="S103" s="35"/>
    </row>
    <row r="104" spans="1:19" ht="12.75" hidden="1" outlineLevel="3">
      <c r="A104" s="25" t="s">
        <v>91</v>
      </c>
      <c r="C104" s="4" t="str">
        <f t="shared" ref="C104:C123" si="108">C103</f>
        <v>Jay</v>
      </c>
      <c r="D104" s="4" t="str">
        <f t="shared" ref="D104:D123" si="109">D103</f>
        <v>Jamison</v>
      </c>
      <c r="E104" s="27" t="str">
        <f t="shared" si="106"/>
        <v>ADMN</v>
      </c>
      <c r="F104" s="27" t="str">
        <f t="shared" ref="F104:F123" si="110">F103</f>
        <v>JAMI0001</v>
      </c>
      <c r="G104" s="15">
        <f t="shared" ref="G104" si="111">O104</f>
        <v>41671</v>
      </c>
      <c r="H104" s="27" t="str">
        <f t="shared" ref="H104" si="112">N104</f>
        <v>10091</v>
      </c>
      <c r="J104" s="33"/>
      <c r="K104" s="33"/>
      <c r="L104" s="33"/>
      <c r="M104" s="33"/>
      <c r="N104" s="32" t="str">
        <f>"10091"</f>
        <v>10091</v>
      </c>
      <c r="O104" s="36">
        <v>41671</v>
      </c>
      <c r="P104" s="33"/>
      <c r="Q104" s="33"/>
      <c r="R104" s="33"/>
      <c r="S104" s="33"/>
    </row>
    <row r="105" spans="1:19" hidden="1" outlineLevel="3">
      <c r="A105" s="25" t="s">
        <v>91</v>
      </c>
      <c r="C105" s="4" t="str">
        <f t="shared" si="108"/>
        <v>Jay</v>
      </c>
      <c r="D105" s="4" t="str">
        <f t="shared" si="109"/>
        <v>Jamison</v>
      </c>
      <c r="E105" s="27" t="str">
        <f t="shared" si="106"/>
        <v>ADMN</v>
      </c>
      <c r="F105" s="27" t="str">
        <f t="shared" si="110"/>
        <v>JAMI0001</v>
      </c>
      <c r="G105" s="15">
        <f t="shared" ref="G105:G112" si="113">G104</f>
        <v>41671</v>
      </c>
      <c r="H105" s="27" t="str">
        <f t="shared" ref="H105:H112" si="114">H104</f>
        <v>10091</v>
      </c>
      <c r="I105" s="27" t="str">
        <f>"""GP Direct"",""Fabrikam, Inc."",""Jet Payroll Transactions"",""Pay Rate"",""0.00000"",""Payroll Code"",""401K"",""State"","""",""Transaction Amount"",""2.03000"""</f>
        <v>"GP Direct","Fabrikam, Inc.","Jet Payroll Transactions","Pay Rate","0.00000","Payroll Code","401K","State","","Transaction Amount","2.03000"</v>
      </c>
      <c r="O105" s="28"/>
      <c r="P105" s="37">
        <v>0</v>
      </c>
      <c r="Q105" s="38" t="str">
        <f>"401K"</f>
        <v>401K</v>
      </c>
      <c r="R105" s="39"/>
      <c r="S105" s="37">
        <v>2.0299999999999998</v>
      </c>
    </row>
    <row r="106" spans="1:19" hidden="1" outlineLevel="3">
      <c r="A106" s="25" t="s">
        <v>91</v>
      </c>
      <c r="C106" s="4" t="str">
        <f t="shared" ref="C106:C110" si="115">C105</f>
        <v>Jay</v>
      </c>
      <c r="D106" s="4" t="str">
        <f t="shared" ref="D106:D110" si="116">D105</f>
        <v>Jamison</v>
      </c>
      <c r="E106" s="27" t="str">
        <f t="shared" ref="E106:E110" si="117">E105</f>
        <v>ADMN</v>
      </c>
      <c r="F106" s="27" t="str">
        <f t="shared" ref="F106:F110" si="118">F105</f>
        <v>JAMI0001</v>
      </c>
      <c r="G106" s="15">
        <f t="shared" ref="G106:G110" si="119">G105</f>
        <v>41671</v>
      </c>
      <c r="H106" s="27" t="str">
        <f t="shared" ref="H106:H110" si="120">H105</f>
        <v>10091</v>
      </c>
      <c r="I106" s="27" t="str">
        <f>"""GP Direct"",""Fabrikam, Inc."",""Jet Payroll Transactions"",""Pay Rate"",""0.00000"",""Payroll Code"",""401K"",""State"","""",""Transaction Amount"",""40.63000"""</f>
        <v>"GP Direct","Fabrikam, Inc.","Jet Payroll Transactions","Pay Rate","0.00000","Payroll Code","401K","State","","Transaction Amount","40.63000"</v>
      </c>
      <c r="O106" s="28"/>
      <c r="P106" s="37">
        <v>0</v>
      </c>
      <c r="Q106" s="38" t="str">
        <f>"401K"</f>
        <v>401K</v>
      </c>
      <c r="R106" s="39"/>
      <c r="S106" s="37">
        <v>40.630000000000003</v>
      </c>
    </row>
    <row r="107" spans="1:19" hidden="1" outlineLevel="3">
      <c r="A107" s="25" t="s">
        <v>91</v>
      </c>
      <c r="C107" s="4" t="str">
        <f t="shared" si="115"/>
        <v>Jay</v>
      </c>
      <c r="D107" s="4" t="str">
        <f t="shared" si="116"/>
        <v>Jamison</v>
      </c>
      <c r="E107" s="27" t="str">
        <f t="shared" si="117"/>
        <v>ADMN</v>
      </c>
      <c r="F107" s="27" t="str">
        <f t="shared" si="118"/>
        <v>JAMI0001</v>
      </c>
      <c r="G107" s="15">
        <f t="shared" si="119"/>
        <v>41671</v>
      </c>
      <c r="H107" s="27" t="str">
        <f t="shared" si="120"/>
        <v>10091</v>
      </c>
      <c r="I107" s="27" t="str">
        <f>"""GP Direct"",""Fabrikam, Inc."",""Jet Payroll Transactions"",""Pay Rate"",""0.00000"",""Payroll Code"",""IL"",""State"","""",""Transaction Amount"",""38.01000"""</f>
        <v>"GP Direct","Fabrikam, Inc.","Jet Payroll Transactions","Pay Rate","0.00000","Payroll Code","IL","State","","Transaction Amount","38.01000"</v>
      </c>
      <c r="O107" s="28"/>
      <c r="P107" s="37">
        <v>0</v>
      </c>
      <c r="Q107" s="38" t="str">
        <f>"IL"</f>
        <v>IL</v>
      </c>
      <c r="R107" s="39"/>
      <c r="S107" s="37">
        <v>38.01</v>
      </c>
    </row>
    <row r="108" spans="1:19" hidden="1" outlineLevel="3">
      <c r="A108" s="25" t="s">
        <v>91</v>
      </c>
      <c r="C108" s="4" t="str">
        <f t="shared" si="115"/>
        <v>Jay</v>
      </c>
      <c r="D108" s="4" t="str">
        <f t="shared" si="116"/>
        <v>Jamison</v>
      </c>
      <c r="E108" s="27" t="str">
        <f t="shared" si="117"/>
        <v>ADMN</v>
      </c>
      <c r="F108" s="27" t="str">
        <f t="shared" si="118"/>
        <v>JAMI0001</v>
      </c>
      <c r="G108" s="15">
        <f t="shared" si="119"/>
        <v>41671</v>
      </c>
      <c r="H108" s="27" t="str">
        <f t="shared" si="120"/>
        <v>10091</v>
      </c>
      <c r="I108" s="27" t="str">
        <f>"""GP Direct"",""Fabrikam, Inc."",""Jet Payroll Transactions"",""Pay Rate"",""0.00000"",""Payroll Code"",""INS"",""State"","""",""Transaction Amount"",""49.36000"""</f>
        <v>"GP Direct","Fabrikam, Inc.","Jet Payroll Transactions","Pay Rate","0.00000","Payroll Code","INS","State","","Transaction Amount","49.36000"</v>
      </c>
      <c r="O108" s="28"/>
      <c r="P108" s="37">
        <v>0</v>
      </c>
      <c r="Q108" s="38" t="str">
        <f>"INS"</f>
        <v>INS</v>
      </c>
      <c r="R108" s="39"/>
      <c r="S108" s="37">
        <v>49.36</v>
      </c>
    </row>
    <row r="109" spans="1:19" hidden="1" outlineLevel="3">
      <c r="A109" s="25" t="s">
        <v>91</v>
      </c>
      <c r="C109" s="4" t="str">
        <f t="shared" si="115"/>
        <v>Jay</v>
      </c>
      <c r="D109" s="4" t="str">
        <f t="shared" si="116"/>
        <v>Jamison</v>
      </c>
      <c r="E109" s="27" t="str">
        <f t="shared" si="117"/>
        <v>ADMN</v>
      </c>
      <c r="F109" s="27" t="str">
        <f t="shared" si="118"/>
        <v>JAMI0001</v>
      </c>
      <c r="G109" s="15">
        <f t="shared" si="119"/>
        <v>41671</v>
      </c>
      <c r="H109" s="27" t="str">
        <f t="shared" si="120"/>
        <v>10091</v>
      </c>
      <c r="I109" s="27" t="str">
        <f>"""GP Direct"",""Fabrikam, Inc."",""Jet Payroll Transactions"",""Pay Rate"",""0.00000"",""Payroll Code"",""MED"",""State"","""",""Transaction Amount"",""5.00000"""</f>
        <v>"GP Direct","Fabrikam, Inc.","Jet Payroll Transactions","Pay Rate","0.00000","Payroll Code","MED","State","","Transaction Amount","5.00000"</v>
      </c>
      <c r="O109" s="28"/>
      <c r="P109" s="37">
        <v>0</v>
      </c>
      <c r="Q109" s="38" t="str">
        <f>"MED"</f>
        <v>MED</v>
      </c>
      <c r="R109" s="39"/>
      <c r="S109" s="37">
        <v>5</v>
      </c>
    </row>
    <row r="110" spans="1:19" hidden="1" outlineLevel="3">
      <c r="A110" s="25" t="s">
        <v>91</v>
      </c>
      <c r="C110" s="4" t="str">
        <f t="shared" si="115"/>
        <v>Jay</v>
      </c>
      <c r="D110" s="4" t="str">
        <f t="shared" si="116"/>
        <v>Jamison</v>
      </c>
      <c r="E110" s="27" t="str">
        <f t="shared" si="117"/>
        <v>ADMN</v>
      </c>
      <c r="F110" s="27" t="str">
        <f t="shared" si="118"/>
        <v>JAMI0001</v>
      </c>
      <c r="G110" s="15">
        <f t="shared" si="119"/>
        <v>41671</v>
      </c>
      <c r="H110" s="27" t="str">
        <f t="shared" si="120"/>
        <v>10091</v>
      </c>
      <c r="I110" s="27" t="str">
        <f>"""GP Direct"",""Fabrikam, Inc."",""Jet Payroll Transactions"",""Pay Rate"",""32500.00000"",""Payroll Code"",""SALY"",""State"",""IL"",""Transaction Amount"",""1354.17000"""</f>
        <v>"GP Direct","Fabrikam, Inc.","Jet Payroll Transactions","Pay Rate","32500.00000","Payroll Code","SALY","State","IL","Transaction Amount","1354.17000"</v>
      </c>
      <c r="O110" s="28"/>
      <c r="P110" s="37">
        <v>32500</v>
      </c>
      <c r="Q110" s="38" t="str">
        <f>"SALY"</f>
        <v>SALY</v>
      </c>
      <c r="R110" s="39" t="str">
        <f>"IL"</f>
        <v>IL</v>
      </c>
      <c r="S110" s="37">
        <v>1354.17</v>
      </c>
    </row>
    <row r="111" spans="1:19" hidden="1" outlineLevel="3">
      <c r="A111" s="24" t="s">
        <v>2812</v>
      </c>
      <c r="C111" s="4" t="str">
        <f>C105</f>
        <v>Jay</v>
      </c>
      <c r="D111" s="4" t="str">
        <f>D105</f>
        <v>Jamison</v>
      </c>
      <c r="E111" s="27" t="str">
        <f>E105</f>
        <v>ADMN</v>
      </c>
      <c r="F111" s="27" t="str">
        <f>F105</f>
        <v>JAMI0001</v>
      </c>
      <c r="G111" s="15">
        <f>G105</f>
        <v>41671</v>
      </c>
      <c r="H111" s="27" t="str">
        <f>H105</f>
        <v>10091</v>
      </c>
      <c r="O111" s="28"/>
      <c r="S111" s="16"/>
    </row>
    <row r="112" spans="1:19" ht="12.75" hidden="1" outlineLevel="2" collapsed="1">
      <c r="A112" s="25" t="s">
        <v>91</v>
      </c>
      <c r="C112" s="4" t="str">
        <f t="shared" si="108"/>
        <v>Jay</v>
      </c>
      <c r="D112" s="4" t="str">
        <f t="shared" si="109"/>
        <v>Jamison</v>
      </c>
      <c r="E112" s="27" t="str">
        <f t="shared" si="106"/>
        <v>ADMN</v>
      </c>
      <c r="F112" s="27" t="str">
        <f t="shared" si="110"/>
        <v>JAMI0001</v>
      </c>
      <c r="G112" s="15">
        <f t="shared" si="113"/>
        <v>41671</v>
      </c>
      <c r="H112" s="27" t="str">
        <f t="shared" si="114"/>
        <v>10091</v>
      </c>
      <c r="N112" s="44" t="str">
        <f>"Total for " &amp; $H112</f>
        <v>Total for 10091</v>
      </c>
      <c r="O112" s="45">
        <f>G112</f>
        <v>41671</v>
      </c>
      <c r="P112" s="44"/>
      <c r="Q112" s="44"/>
      <c r="R112" s="44"/>
      <c r="S112" s="44">
        <f>SUBTOTAL(9,S105:S111)</f>
        <v>1489.2</v>
      </c>
    </row>
    <row r="113" spans="1:19" ht="12.75" hidden="1" outlineLevel="3">
      <c r="A113" s="25" t="s">
        <v>91</v>
      </c>
      <c r="C113" s="4" t="str">
        <f t="shared" ref="C113:C121" si="121">C112</f>
        <v>Jay</v>
      </c>
      <c r="D113" s="4" t="str">
        <f t="shared" ref="D113:D121" si="122">D112</f>
        <v>Jamison</v>
      </c>
      <c r="E113" s="27" t="str">
        <f t="shared" ref="E113:E121" si="123">E112</f>
        <v>ADMN</v>
      </c>
      <c r="F113" s="27" t="str">
        <f t="shared" ref="F113:F121" si="124">F112</f>
        <v>JAMI0001</v>
      </c>
      <c r="G113" s="15">
        <f t="shared" ref="G113" si="125">O113</f>
        <v>41699</v>
      </c>
      <c r="H113" s="27" t="str">
        <f t="shared" ref="H113" si="126">N113</f>
        <v>10116</v>
      </c>
      <c r="J113" s="33"/>
      <c r="K113" s="33"/>
      <c r="L113" s="33"/>
      <c r="M113" s="33"/>
      <c r="N113" s="32" t="str">
        <f>"10116"</f>
        <v>10116</v>
      </c>
      <c r="O113" s="36">
        <v>41699</v>
      </c>
      <c r="P113" s="33"/>
      <c r="Q113" s="33"/>
      <c r="R113" s="33"/>
      <c r="S113" s="33"/>
    </row>
    <row r="114" spans="1:19" hidden="1" outlineLevel="3">
      <c r="A114" s="25" t="s">
        <v>91</v>
      </c>
      <c r="C114" s="4" t="str">
        <f t="shared" si="121"/>
        <v>Jay</v>
      </c>
      <c r="D114" s="4" t="str">
        <f t="shared" si="122"/>
        <v>Jamison</v>
      </c>
      <c r="E114" s="27" t="str">
        <f t="shared" si="123"/>
        <v>ADMN</v>
      </c>
      <c r="F114" s="27" t="str">
        <f t="shared" si="124"/>
        <v>JAMI0001</v>
      </c>
      <c r="G114" s="15">
        <f t="shared" ref="G114:G121" si="127">G113</f>
        <v>41699</v>
      </c>
      <c r="H114" s="27" t="str">
        <f t="shared" ref="H114:H121" si="128">H113</f>
        <v>10116</v>
      </c>
      <c r="I114" s="27" t="str">
        <f>"""GP Direct"",""Fabrikam, Inc."",""Jet Payroll Transactions"",""Pay Rate"",""0.00000"",""Payroll Code"",""401K"",""State"","""",""Transaction Amount"",""2.03000"""</f>
        <v>"GP Direct","Fabrikam, Inc.","Jet Payroll Transactions","Pay Rate","0.00000","Payroll Code","401K","State","","Transaction Amount","2.03000"</v>
      </c>
      <c r="O114" s="28"/>
      <c r="P114" s="37">
        <v>0</v>
      </c>
      <c r="Q114" s="38" t="str">
        <f>"401K"</f>
        <v>401K</v>
      </c>
      <c r="R114" s="39"/>
      <c r="S114" s="37">
        <v>2.0299999999999998</v>
      </c>
    </row>
    <row r="115" spans="1:19" hidden="1" outlineLevel="3">
      <c r="A115" s="25" t="s">
        <v>91</v>
      </c>
      <c r="C115" s="4" t="str">
        <f t="shared" ref="C115:C119" si="129">C114</f>
        <v>Jay</v>
      </c>
      <c r="D115" s="4" t="str">
        <f t="shared" ref="D115:D119" si="130">D114</f>
        <v>Jamison</v>
      </c>
      <c r="E115" s="27" t="str">
        <f t="shared" ref="E115:E119" si="131">E114</f>
        <v>ADMN</v>
      </c>
      <c r="F115" s="27" t="str">
        <f t="shared" ref="F115:F119" si="132">F114</f>
        <v>JAMI0001</v>
      </c>
      <c r="G115" s="15">
        <f t="shared" ref="G115:G119" si="133">G114</f>
        <v>41699</v>
      </c>
      <c r="H115" s="27" t="str">
        <f t="shared" ref="H115:H119" si="134">H114</f>
        <v>10116</v>
      </c>
      <c r="I115" s="27" t="str">
        <f>"""GP Direct"",""Fabrikam, Inc."",""Jet Payroll Transactions"",""Pay Rate"",""0.00000"",""Payroll Code"",""401K"",""State"","""",""Transaction Amount"",""40.63000"""</f>
        <v>"GP Direct","Fabrikam, Inc.","Jet Payroll Transactions","Pay Rate","0.00000","Payroll Code","401K","State","","Transaction Amount","40.63000"</v>
      </c>
      <c r="O115" s="28"/>
      <c r="P115" s="37">
        <v>0</v>
      </c>
      <c r="Q115" s="38" t="str">
        <f>"401K"</f>
        <v>401K</v>
      </c>
      <c r="R115" s="39"/>
      <c r="S115" s="37">
        <v>40.630000000000003</v>
      </c>
    </row>
    <row r="116" spans="1:19" hidden="1" outlineLevel="3">
      <c r="A116" s="25" t="s">
        <v>91</v>
      </c>
      <c r="C116" s="4" t="str">
        <f t="shared" si="129"/>
        <v>Jay</v>
      </c>
      <c r="D116" s="4" t="str">
        <f t="shared" si="130"/>
        <v>Jamison</v>
      </c>
      <c r="E116" s="27" t="str">
        <f t="shared" si="131"/>
        <v>ADMN</v>
      </c>
      <c r="F116" s="27" t="str">
        <f t="shared" si="132"/>
        <v>JAMI0001</v>
      </c>
      <c r="G116" s="15">
        <f t="shared" si="133"/>
        <v>41699</v>
      </c>
      <c r="H116" s="27" t="str">
        <f t="shared" si="134"/>
        <v>10116</v>
      </c>
      <c r="I116" s="27" t="str">
        <f>"""GP Direct"",""Fabrikam, Inc."",""Jet Payroll Transactions"",""Pay Rate"",""0.00000"",""Payroll Code"",""IL"",""State"","""",""Transaction Amount"",""38.01000"""</f>
        <v>"GP Direct","Fabrikam, Inc.","Jet Payroll Transactions","Pay Rate","0.00000","Payroll Code","IL","State","","Transaction Amount","38.01000"</v>
      </c>
      <c r="O116" s="28"/>
      <c r="P116" s="37">
        <v>0</v>
      </c>
      <c r="Q116" s="38" t="str">
        <f>"IL"</f>
        <v>IL</v>
      </c>
      <c r="R116" s="39"/>
      <c r="S116" s="37">
        <v>38.01</v>
      </c>
    </row>
    <row r="117" spans="1:19" hidden="1" outlineLevel="3">
      <c r="A117" s="25" t="s">
        <v>91</v>
      </c>
      <c r="C117" s="4" t="str">
        <f t="shared" si="129"/>
        <v>Jay</v>
      </c>
      <c r="D117" s="4" t="str">
        <f t="shared" si="130"/>
        <v>Jamison</v>
      </c>
      <c r="E117" s="27" t="str">
        <f t="shared" si="131"/>
        <v>ADMN</v>
      </c>
      <c r="F117" s="27" t="str">
        <f t="shared" si="132"/>
        <v>JAMI0001</v>
      </c>
      <c r="G117" s="15">
        <f t="shared" si="133"/>
        <v>41699</v>
      </c>
      <c r="H117" s="27" t="str">
        <f t="shared" si="134"/>
        <v>10116</v>
      </c>
      <c r="I117" s="27" t="str">
        <f>"""GP Direct"",""Fabrikam, Inc."",""Jet Payroll Transactions"",""Pay Rate"",""0.00000"",""Payroll Code"",""INS"",""State"","""",""Transaction Amount"",""49.36000"""</f>
        <v>"GP Direct","Fabrikam, Inc.","Jet Payroll Transactions","Pay Rate","0.00000","Payroll Code","INS","State","","Transaction Amount","49.36000"</v>
      </c>
      <c r="O117" s="28"/>
      <c r="P117" s="37">
        <v>0</v>
      </c>
      <c r="Q117" s="38" t="str">
        <f>"INS"</f>
        <v>INS</v>
      </c>
      <c r="R117" s="39"/>
      <c r="S117" s="37">
        <v>49.36</v>
      </c>
    </row>
    <row r="118" spans="1:19" hidden="1" outlineLevel="3">
      <c r="A118" s="25" t="s">
        <v>91</v>
      </c>
      <c r="C118" s="4" t="str">
        <f t="shared" si="129"/>
        <v>Jay</v>
      </c>
      <c r="D118" s="4" t="str">
        <f t="shared" si="130"/>
        <v>Jamison</v>
      </c>
      <c r="E118" s="27" t="str">
        <f t="shared" si="131"/>
        <v>ADMN</v>
      </c>
      <c r="F118" s="27" t="str">
        <f t="shared" si="132"/>
        <v>JAMI0001</v>
      </c>
      <c r="G118" s="15">
        <f t="shared" si="133"/>
        <v>41699</v>
      </c>
      <c r="H118" s="27" t="str">
        <f t="shared" si="134"/>
        <v>10116</v>
      </c>
      <c r="I118" s="27" t="str">
        <f>"""GP Direct"",""Fabrikam, Inc."",""Jet Payroll Transactions"",""Pay Rate"",""0.00000"",""Payroll Code"",""MED"",""State"","""",""Transaction Amount"",""5.00000"""</f>
        <v>"GP Direct","Fabrikam, Inc.","Jet Payroll Transactions","Pay Rate","0.00000","Payroll Code","MED","State","","Transaction Amount","5.00000"</v>
      </c>
      <c r="O118" s="28"/>
      <c r="P118" s="37">
        <v>0</v>
      </c>
      <c r="Q118" s="38" t="str">
        <f>"MED"</f>
        <v>MED</v>
      </c>
      <c r="R118" s="39"/>
      <c r="S118" s="37">
        <v>5</v>
      </c>
    </row>
    <row r="119" spans="1:19" hidden="1" outlineLevel="3">
      <c r="A119" s="25" t="s">
        <v>91</v>
      </c>
      <c r="C119" s="4" t="str">
        <f t="shared" si="129"/>
        <v>Jay</v>
      </c>
      <c r="D119" s="4" t="str">
        <f t="shared" si="130"/>
        <v>Jamison</v>
      </c>
      <c r="E119" s="27" t="str">
        <f t="shared" si="131"/>
        <v>ADMN</v>
      </c>
      <c r="F119" s="27" t="str">
        <f t="shared" si="132"/>
        <v>JAMI0001</v>
      </c>
      <c r="G119" s="15">
        <f t="shared" si="133"/>
        <v>41699</v>
      </c>
      <c r="H119" s="27" t="str">
        <f t="shared" si="134"/>
        <v>10116</v>
      </c>
      <c r="I119" s="27" t="str">
        <f>"""GP Direct"",""Fabrikam, Inc."",""Jet Payroll Transactions"",""Pay Rate"",""32500.00000"",""Payroll Code"",""SALY"",""State"",""IL"",""Transaction Amount"",""1354.17000"""</f>
        <v>"GP Direct","Fabrikam, Inc.","Jet Payroll Transactions","Pay Rate","32500.00000","Payroll Code","SALY","State","IL","Transaction Amount","1354.17000"</v>
      </c>
      <c r="O119" s="28"/>
      <c r="P119" s="37">
        <v>32500</v>
      </c>
      <c r="Q119" s="38" t="str">
        <f>"SALY"</f>
        <v>SALY</v>
      </c>
      <c r="R119" s="39" t="str">
        <f>"IL"</f>
        <v>IL</v>
      </c>
      <c r="S119" s="37">
        <v>1354.17</v>
      </c>
    </row>
    <row r="120" spans="1:19" hidden="1" outlineLevel="3">
      <c r="A120" s="24" t="s">
        <v>2812</v>
      </c>
      <c r="C120" s="4" t="str">
        <f>C114</f>
        <v>Jay</v>
      </c>
      <c r="D120" s="4" t="str">
        <f>D114</f>
        <v>Jamison</v>
      </c>
      <c r="E120" s="27" t="str">
        <f>E114</f>
        <v>ADMN</v>
      </c>
      <c r="F120" s="27" t="str">
        <f>F114</f>
        <v>JAMI0001</v>
      </c>
      <c r="G120" s="15">
        <f>G114</f>
        <v>41699</v>
      </c>
      <c r="H120" s="27" t="str">
        <f>H114</f>
        <v>10116</v>
      </c>
      <c r="O120" s="28"/>
      <c r="S120" s="16"/>
    </row>
    <row r="121" spans="1:19" ht="12.75" hidden="1" outlineLevel="2" collapsed="1">
      <c r="A121" s="25" t="s">
        <v>91</v>
      </c>
      <c r="C121" s="4" t="str">
        <f t="shared" si="121"/>
        <v>Jay</v>
      </c>
      <c r="D121" s="4" t="str">
        <f t="shared" si="122"/>
        <v>Jamison</v>
      </c>
      <c r="E121" s="27" t="str">
        <f t="shared" si="123"/>
        <v>ADMN</v>
      </c>
      <c r="F121" s="27" t="str">
        <f t="shared" si="124"/>
        <v>JAMI0001</v>
      </c>
      <c r="G121" s="15">
        <f t="shared" si="127"/>
        <v>41699</v>
      </c>
      <c r="H121" s="27" t="str">
        <f t="shared" si="128"/>
        <v>10116</v>
      </c>
      <c r="N121" s="44" t="str">
        <f>"Total for " &amp; $H121</f>
        <v>Total for 10116</v>
      </c>
      <c r="O121" s="45">
        <f>G121</f>
        <v>41699</v>
      </c>
      <c r="P121" s="44"/>
      <c r="Q121" s="44"/>
      <c r="R121" s="44"/>
      <c r="S121" s="44">
        <f>SUBTOTAL(9,S114:S120)</f>
        <v>1489.2</v>
      </c>
    </row>
    <row r="122" spans="1:19" ht="12.75" hidden="1" outlineLevel="2">
      <c r="A122" s="24" t="s">
        <v>2812</v>
      </c>
      <c r="C122" s="4" t="str">
        <f>C112</f>
        <v>Jay</v>
      </c>
      <c r="D122" s="4" t="str">
        <f>D112</f>
        <v>Jamison</v>
      </c>
      <c r="E122" s="27" t="str">
        <f>E112</f>
        <v>ADMN</v>
      </c>
      <c r="F122" s="27" t="str">
        <f>F112</f>
        <v>JAMI0001</v>
      </c>
      <c r="G122" s="14"/>
      <c r="J122" s="33"/>
      <c r="K122" s="33"/>
      <c r="L122" s="33"/>
      <c r="M122" s="33"/>
      <c r="N122" s="33"/>
      <c r="O122" s="33"/>
      <c r="P122" s="33"/>
      <c r="Q122" s="33"/>
      <c r="R122" s="33"/>
      <c r="S122" s="40"/>
    </row>
    <row r="123" spans="1:19" ht="12.75" hidden="1" outlineLevel="1" collapsed="1">
      <c r="A123" s="25" t="s">
        <v>91</v>
      </c>
      <c r="C123" s="4" t="str">
        <f t="shared" si="108"/>
        <v>Jay</v>
      </c>
      <c r="D123" s="4" t="str">
        <f t="shared" si="109"/>
        <v>Jamison</v>
      </c>
      <c r="E123" s="27" t="str">
        <f t="shared" si="106"/>
        <v>ADMN</v>
      </c>
      <c r="F123" s="27" t="str">
        <f t="shared" si="110"/>
        <v>JAMI0001</v>
      </c>
      <c r="G123" s="14"/>
      <c r="J123" s="33"/>
      <c r="K123" s="46" t="str">
        <f>"Total for " &amp; $F123</f>
        <v>Total for JAMI0001</v>
      </c>
      <c r="L123" s="46" t="str">
        <f>C123</f>
        <v>Jay</v>
      </c>
      <c r="M123" s="46" t="str">
        <f>D123</f>
        <v>Jamison</v>
      </c>
      <c r="N123" s="46"/>
      <c r="O123" s="46"/>
      <c r="P123" s="46"/>
      <c r="Q123" s="46"/>
      <c r="R123" s="46"/>
      <c r="S123" s="47">
        <f>SUBTOTAL(9,S105:S122)</f>
        <v>2978.4</v>
      </c>
    </row>
    <row r="124" spans="1:19" ht="12.75" hidden="1" outlineLevel="2">
      <c r="A124" s="25" t="s">
        <v>91</v>
      </c>
      <c r="C124" s="4" t="str">
        <f t="shared" ref="C124" si="135">L124</f>
        <v>Wendy</v>
      </c>
      <c r="D124" s="4" t="str">
        <f t="shared" ref="D124" si="136">M124</f>
        <v>Kahn</v>
      </c>
      <c r="E124" s="27" t="str">
        <f t="shared" ref="E124:E185" si="137">E123</f>
        <v>ADMN</v>
      </c>
      <c r="F124" s="27" t="str">
        <f t="shared" ref="F124" si="138">K124</f>
        <v>KAHN0001</v>
      </c>
      <c r="G124" s="14"/>
      <c r="J124" s="31"/>
      <c r="K124" s="21" t="str">
        <f>"KAHN0001"</f>
        <v>KAHN0001</v>
      </c>
      <c r="L124" s="43" t="str">
        <f>"Wendy"</f>
        <v>Wendy</v>
      </c>
      <c r="M124" s="43" t="str">
        <f>"Kahn"</f>
        <v>Kahn</v>
      </c>
      <c r="N124" s="43"/>
      <c r="O124" s="34"/>
      <c r="P124" s="33"/>
      <c r="Q124" s="33"/>
      <c r="R124" s="33"/>
      <c r="S124" s="35"/>
    </row>
    <row r="125" spans="1:19" ht="12.75" hidden="1" outlineLevel="3">
      <c r="A125" s="25" t="s">
        <v>91</v>
      </c>
      <c r="C125" s="4" t="str">
        <f t="shared" ref="C125:C145" si="139">C124</f>
        <v>Wendy</v>
      </c>
      <c r="D125" s="4" t="str">
        <f t="shared" ref="D125:D145" si="140">D124</f>
        <v>Kahn</v>
      </c>
      <c r="E125" s="27" t="str">
        <f t="shared" si="137"/>
        <v>ADMN</v>
      </c>
      <c r="F125" s="27" t="str">
        <f t="shared" ref="F125:F145" si="141">F124</f>
        <v>KAHN0001</v>
      </c>
      <c r="G125" s="15">
        <f t="shared" ref="G125" si="142">O125</f>
        <v>41671</v>
      </c>
      <c r="H125" s="27" t="str">
        <f t="shared" ref="H125" si="143">N125</f>
        <v>10092</v>
      </c>
      <c r="J125" s="33"/>
      <c r="K125" s="33"/>
      <c r="L125" s="33"/>
      <c r="M125" s="33"/>
      <c r="N125" s="32" t="str">
        <f>"10092"</f>
        <v>10092</v>
      </c>
      <c r="O125" s="36">
        <v>41671</v>
      </c>
      <c r="P125" s="33"/>
      <c r="Q125" s="33"/>
      <c r="R125" s="33"/>
      <c r="S125" s="33"/>
    </row>
    <row r="126" spans="1:19" hidden="1" outlineLevel="3">
      <c r="A126" s="25" t="s">
        <v>91</v>
      </c>
      <c r="C126" s="4" t="str">
        <f t="shared" si="139"/>
        <v>Wendy</v>
      </c>
      <c r="D126" s="4" t="str">
        <f t="shared" si="140"/>
        <v>Kahn</v>
      </c>
      <c r="E126" s="27" t="str">
        <f t="shared" si="137"/>
        <v>ADMN</v>
      </c>
      <c r="F126" s="27" t="str">
        <f t="shared" si="141"/>
        <v>KAHN0001</v>
      </c>
      <c r="G126" s="15">
        <f t="shared" ref="G126:G131" si="144">G125</f>
        <v>41671</v>
      </c>
      <c r="H126" s="27" t="str">
        <f t="shared" ref="H126:H131" si="145">H125</f>
        <v>10092</v>
      </c>
      <c r="I126" s="27" t="str">
        <f>"""GP Direct"",""Fabrikam, Inc."",""Jet Payroll Transactions"",""Pay Rate"",""0.00000"",""Payroll Code"",""IL"",""State"","""",""Transaction Amount"",""19.14000"""</f>
        <v>"GP Direct","Fabrikam, Inc.","Jet Payroll Transactions","Pay Rate","0.00000","Payroll Code","IL","State","","Transaction Amount","19.14000"</v>
      </c>
      <c r="O126" s="28"/>
      <c r="P126" s="37">
        <v>0</v>
      </c>
      <c r="Q126" s="38" t="str">
        <f>"IL"</f>
        <v>IL</v>
      </c>
      <c r="R126" s="39"/>
      <c r="S126" s="37">
        <v>19.14</v>
      </c>
    </row>
    <row r="127" spans="1:19" hidden="1" outlineLevel="3">
      <c r="A127" s="25" t="s">
        <v>91</v>
      </c>
      <c r="C127" s="4" t="str">
        <f t="shared" ref="C127:C129" si="146">C126</f>
        <v>Wendy</v>
      </c>
      <c r="D127" s="4" t="str">
        <f t="shared" ref="D127:D129" si="147">D126</f>
        <v>Kahn</v>
      </c>
      <c r="E127" s="27" t="str">
        <f t="shared" ref="E127:E129" si="148">E126</f>
        <v>ADMN</v>
      </c>
      <c r="F127" s="27" t="str">
        <f t="shared" ref="F127:F129" si="149">F126</f>
        <v>KAHN0001</v>
      </c>
      <c r="G127" s="15">
        <f t="shared" ref="G127:G129" si="150">G126</f>
        <v>41671</v>
      </c>
      <c r="H127" s="27" t="str">
        <f t="shared" ref="H127:H129" si="151">H126</f>
        <v>10092</v>
      </c>
      <c r="I127" s="27" t="str">
        <f>"""GP Direct"",""Fabrikam, Inc."",""Jet Payroll Transactions"",""Pay Rate"",""0.00000"",""Payroll Code"",""INS"",""State"","""",""Transaction Amount"",""49.36000"""</f>
        <v>"GP Direct","Fabrikam, Inc.","Jet Payroll Transactions","Pay Rate","0.00000","Payroll Code","INS","State","","Transaction Amount","49.36000"</v>
      </c>
      <c r="O127" s="28"/>
      <c r="P127" s="37">
        <v>0</v>
      </c>
      <c r="Q127" s="38" t="str">
        <f>"INS"</f>
        <v>INS</v>
      </c>
      <c r="R127" s="39"/>
      <c r="S127" s="37">
        <v>49.36</v>
      </c>
    </row>
    <row r="128" spans="1:19" hidden="1" outlineLevel="3">
      <c r="A128" s="25" t="s">
        <v>91</v>
      </c>
      <c r="C128" s="4" t="str">
        <f t="shared" si="146"/>
        <v>Wendy</v>
      </c>
      <c r="D128" s="4" t="str">
        <f t="shared" si="147"/>
        <v>Kahn</v>
      </c>
      <c r="E128" s="27" t="str">
        <f t="shared" si="148"/>
        <v>ADMN</v>
      </c>
      <c r="F128" s="27" t="str">
        <f t="shared" si="149"/>
        <v>KAHN0001</v>
      </c>
      <c r="G128" s="15">
        <f t="shared" si="150"/>
        <v>41671</v>
      </c>
      <c r="H128" s="27" t="str">
        <f t="shared" si="151"/>
        <v>10092</v>
      </c>
      <c r="I128" s="27" t="str">
        <f>"""GP Direct"",""Fabrikam, Inc."",""Jet Payroll Transactions"",""Pay Rate"",""0.00000"",""Payroll Code"",""MED"",""State"","""",""Transaction Amount"",""5.00000"""</f>
        <v>"GP Direct","Fabrikam, Inc.","Jet Payroll Transactions","Pay Rate","0.00000","Payroll Code","MED","State","","Transaction Amount","5.00000"</v>
      </c>
      <c r="O128" s="28"/>
      <c r="P128" s="37">
        <v>0</v>
      </c>
      <c r="Q128" s="38" t="str">
        <f>"MED"</f>
        <v>MED</v>
      </c>
      <c r="R128" s="39"/>
      <c r="S128" s="37">
        <v>5</v>
      </c>
    </row>
    <row r="129" spans="1:19" hidden="1" outlineLevel="3">
      <c r="A129" s="25" t="s">
        <v>91</v>
      </c>
      <c r="C129" s="4" t="str">
        <f t="shared" si="146"/>
        <v>Wendy</v>
      </c>
      <c r="D129" s="4" t="str">
        <f t="shared" si="147"/>
        <v>Kahn</v>
      </c>
      <c r="E129" s="27" t="str">
        <f t="shared" si="148"/>
        <v>ADMN</v>
      </c>
      <c r="F129" s="27" t="str">
        <f t="shared" si="149"/>
        <v>KAHN0001</v>
      </c>
      <c r="G129" s="15">
        <f t="shared" si="150"/>
        <v>41671</v>
      </c>
      <c r="H129" s="27" t="str">
        <f t="shared" si="151"/>
        <v>10092</v>
      </c>
      <c r="I129" s="27" t="str">
        <f>"""GP Direct"",""Fabrikam, Inc."",""Jet Payroll Transactions"",""Pay Rate"",""7.90000"",""Payroll Code"",""HOUR"",""State"",""IL"",""Transaction Amount"",""684.69000"""</f>
        <v>"GP Direct","Fabrikam, Inc.","Jet Payroll Transactions","Pay Rate","7.90000","Payroll Code","HOUR","State","IL","Transaction Amount","684.69000"</v>
      </c>
      <c r="O129" s="28"/>
      <c r="P129" s="37">
        <v>7.9</v>
      </c>
      <c r="Q129" s="38" t="str">
        <f>"HOUR"</f>
        <v>HOUR</v>
      </c>
      <c r="R129" s="39" t="str">
        <f>"IL"</f>
        <v>IL</v>
      </c>
      <c r="S129" s="37">
        <v>684.69</v>
      </c>
    </row>
    <row r="130" spans="1:19" hidden="1" outlineLevel="3">
      <c r="A130" s="24" t="s">
        <v>2812</v>
      </c>
      <c r="C130" s="4" t="str">
        <f>C126</f>
        <v>Wendy</v>
      </c>
      <c r="D130" s="4" t="str">
        <f>D126</f>
        <v>Kahn</v>
      </c>
      <c r="E130" s="27" t="str">
        <f>E126</f>
        <v>ADMN</v>
      </c>
      <c r="F130" s="27" t="str">
        <f>F126</f>
        <v>KAHN0001</v>
      </c>
      <c r="G130" s="15">
        <f>G126</f>
        <v>41671</v>
      </c>
      <c r="H130" s="27" t="str">
        <f>H126</f>
        <v>10092</v>
      </c>
      <c r="O130" s="28"/>
      <c r="S130" s="16"/>
    </row>
    <row r="131" spans="1:19" ht="12.75" hidden="1" outlineLevel="2" collapsed="1">
      <c r="A131" s="25" t="s">
        <v>91</v>
      </c>
      <c r="C131" s="4" t="str">
        <f t="shared" si="139"/>
        <v>Wendy</v>
      </c>
      <c r="D131" s="4" t="str">
        <f t="shared" si="140"/>
        <v>Kahn</v>
      </c>
      <c r="E131" s="27" t="str">
        <f t="shared" si="137"/>
        <v>ADMN</v>
      </c>
      <c r="F131" s="27" t="str">
        <f t="shared" si="141"/>
        <v>KAHN0001</v>
      </c>
      <c r="G131" s="15">
        <f t="shared" si="144"/>
        <v>41671</v>
      </c>
      <c r="H131" s="27" t="str">
        <f t="shared" si="145"/>
        <v>10092</v>
      </c>
      <c r="N131" s="44" t="str">
        <f>"Total for " &amp; $H131</f>
        <v>Total for 10092</v>
      </c>
      <c r="O131" s="45">
        <f>G131</f>
        <v>41671</v>
      </c>
      <c r="P131" s="44"/>
      <c r="Q131" s="44"/>
      <c r="R131" s="44"/>
      <c r="S131" s="44">
        <f>SUBTOTAL(9,S126:S130)</f>
        <v>758.19</v>
      </c>
    </row>
    <row r="132" spans="1:19" ht="12.75" hidden="1" outlineLevel="3">
      <c r="A132" s="25" t="s">
        <v>91</v>
      </c>
      <c r="C132" s="4" t="str">
        <f t="shared" ref="C132:C143" si="152">C131</f>
        <v>Wendy</v>
      </c>
      <c r="D132" s="4" t="str">
        <f t="shared" ref="D132:D143" si="153">D131</f>
        <v>Kahn</v>
      </c>
      <c r="E132" s="27" t="str">
        <f t="shared" ref="E132:E143" si="154">E131</f>
        <v>ADMN</v>
      </c>
      <c r="F132" s="27" t="str">
        <f t="shared" ref="F132:F143" si="155">F131</f>
        <v>KAHN0001</v>
      </c>
      <c r="G132" s="15">
        <f t="shared" ref="G132" si="156">O132</f>
        <v>41699</v>
      </c>
      <c r="H132" s="27" t="str">
        <f t="shared" ref="H132" si="157">N132</f>
        <v>10117</v>
      </c>
      <c r="J132" s="33"/>
      <c r="K132" s="33"/>
      <c r="L132" s="33"/>
      <c r="M132" s="33"/>
      <c r="N132" s="32" t="str">
        <f>"10117"</f>
        <v>10117</v>
      </c>
      <c r="O132" s="36">
        <v>41699</v>
      </c>
      <c r="P132" s="33"/>
      <c r="Q132" s="33"/>
      <c r="R132" s="33"/>
      <c r="S132" s="33"/>
    </row>
    <row r="133" spans="1:19" hidden="1" outlineLevel="3">
      <c r="A133" s="25" t="s">
        <v>91</v>
      </c>
      <c r="C133" s="4" t="str">
        <f t="shared" si="152"/>
        <v>Wendy</v>
      </c>
      <c r="D133" s="4" t="str">
        <f t="shared" si="153"/>
        <v>Kahn</v>
      </c>
      <c r="E133" s="27" t="str">
        <f t="shared" si="154"/>
        <v>ADMN</v>
      </c>
      <c r="F133" s="27" t="str">
        <f t="shared" si="155"/>
        <v>KAHN0001</v>
      </c>
      <c r="G133" s="15">
        <f t="shared" ref="G133:G138" si="158">G132</f>
        <v>41699</v>
      </c>
      <c r="H133" s="27" t="str">
        <f t="shared" ref="H133:H138" si="159">H132</f>
        <v>10117</v>
      </c>
      <c r="I133" s="27" t="str">
        <f>"""GP Direct"",""Fabrikam, Inc."",""Jet Payroll Transactions"",""Pay Rate"",""0.00000"",""Payroll Code"",""IL"",""State"","""",""Transaction Amount"",""19.14000"""</f>
        <v>"GP Direct","Fabrikam, Inc.","Jet Payroll Transactions","Pay Rate","0.00000","Payroll Code","IL","State","","Transaction Amount","19.14000"</v>
      </c>
      <c r="O133" s="28"/>
      <c r="P133" s="37">
        <v>0</v>
      </c>
      <c r="Q133" s="38" t="str">
        <f>"IL"</f>
        <v>IL</v>
      </c>
      <c r="R133" s="39"/>
      <c r="S133" s="37">
        <v>19.14</v>
      </c>
    </row>
    <row r="134" spans="1:19" hidden="1" outlineLevel="3">
      <c r="A134" s="25" t="s">
        <v>91</v>
      </c>
      <c r="C134" s="4" t="str">
        <f t="shared" ref="C134:C136" si="160">C133</f>
        <v>Wendy</v>
      </c>
      <c r="D134" s="4" t="str">
        <f t="shared" ref="D134:D136" si="161">D133</f>
        <v>Kahn</v>
      </c>
      <c r="E134" s="27" t="str">
        <f t="shared" ref="E134:E136" si="162">E133</f>
        <v>ADMN</v>
      </c>
      <c r="F134" s="27" t="str">
        <f t="shared" ref="F134:F136" si="163">F133</f>
        <v>KAHN0001</v>
      </c>
      <c r="G134" s="15">
        <f t="shared" ref="G134:G136" si="164">G133</f>
        <v>41699</v>
      </c>
      <c r="H134" s="27" t="str">
        <f t="shared" ref="H134:H136" si="165">H133</f>
        <v>10117</v>
      </c>
      <c r="I134" s="27" t="str">
        <f>"""GP Direct"",""Fabrikam, Inc."",""Jet Payroll Transactions"",""Pay Rate"",""0.00000"",""Payroll Code"",""INS"",""State"","""",""Transaction Amount"",""49.36000"""</f>
        <v>"GP Direct","Fabrikam, Inc.","Jet Payroll Transactions","Pay Rate","0.00000","Payroll Code","INS","State","","Transaction Amount","49.36000"</v>
      </c>
      <c r="O134" s="28"/>
      <c r="P134" s="37">
        <v>0</v>
      </c>
      <c r="Q134" s="38" t="str">
        <f>"INS"</f>
        <v>INS</v>
      </c>
      <c r="R134" s="39"/>
      <c r="S134" s="37">
        <v>49.36</v>
      </c>
    </row>
    <row r="135" spans="1:19" hidden="1" outlineLevel="3">
      <c r="A135" s="25" t="s">
        <v>91</v>
      </c>
      <c r="C135" s="4" t="str">
        <f t="shared" si="160"/>
        <v>Wendy</v>
      </c>
      <c r="D135" s="4" t="str">
        <f t="shared" si="161"/>
        <v>Kahn</v>
      </c>
      <c r="E135" s="27" t="str">
        <f t="shared" si="162"/>
        <v>ADMN</v>
      </c>
      <c r="F135" s="27" t="str">
        <f t="shared" si="163"/>
        <v>KAHN0001</v>
      </c>
      <c r="G135" s="15">
        <f t="shared" si="164"/>
        <v>41699</v>
      </c>
      <c r="H135" s="27" t="str">
        <f t="shared" si="165"/>
        <v>10117</v>
      </c>
      <c r="I135" s="27" t="str">
        <f>"""GP Direct"",""Fabrikam, Inc."",""Jet Payroll Transactions"",""Pay Rate"",""0.00000"",""Payroll Code"",""MED"",""State"","""",""Transaction Amount"",""5.00000"""</f>
        <v>"GP Direct","Fabrikam, Inc.","Jet Payroll Transactions","Pay Rate","0.00000","Payroll Code","MED","State","","Transaction Amount","5.00000"</v>
      </c>
      <c r="O135" s="28"/>
      <c r="P135" s="37">
        <v>0</v>
      </c>
      <c r="Q135" s="38" t="str">
        <f>"MED"</f>
        <v>MED</v>
      </c>
      <c r="R135" s="39"/>
      <c r="S135" s="37">
        <v>5</v>
      </c>
    </row>
    <row r="136" spans="1:19" hidden="1" outlineLevel="3">
      <c r="A136" s="25" t="s">
        <v>91</v>
      </c>
      <c r="C136" s="4" t="str">
        <f t="shared" si="160"/>
        <v>Wendy</v>
      </c>
      <c r="D136" s="4" t="str">
        <f t="shared" si="161"/>
        <v>Kahn</v>
      </c>
      <c r="E136" s="27" t="str">
        <f t="shared" si="162"/>
        <v>ADMN</v>
      </c>
      <c r="F136" s="27" t="str">
        <f t="shared" si="163"/>
        <v>KAHN0001</v>
      </c>
      <c r="G136" s="15">
        <f t="shared" si="164"/>
        <v>41699</v>
      </c>
      <c r="H136" s="27" t="str">
        <f t="shared" si="165"/>
        <v>10117</v>
      </c>
      <c r="I136" s="27" t="str">
        <f>"""GP Direct"",""Fabrikam, Inc."",""Jet Payroll Transactions"",""Pay Rate"",""7.90000"",""Payroll Code"",""HOUR"",""State"",""IL"",""Transaction Amount"",""684.69000"""</f>
        <v>"GP Direct","Fabrikam, Inc.","Jet Payroll Transactions","Pay Rate","7.90000","Payroll Code","HOUR","State","IL","Transaction Amount","684.69000"</v>
      </c>
      <c r="O136" s="28"/>
      <c r="P136" s="37">
        <v>7.9</v>
      </c>
      <c r="Q136" s="38" t="str">
        <f>"HOUR"</f>
        <v>HOUR</v>
      </c>
      <c r="R136" s="39" t="str">
        <f>"IL"</f>
        <v>IL</v>
      </c>
      <c r="S136" s="37">
        <v>684.69</v>
      </c>
    </row>
    <row r="137" spans="1:19" hidden="1" outlineLevel="3">
      <c r="A137" s="24" t="s">
        <v>2812</v>
      </c>
      <c r="C137" s="4" t="str">
        <f>C133</f>
        <v>Wendy</v>
      </c>
      <c r="D137" s="4" t="str">
        <f>D133</f>
        <v>Kahn</v>
      </c>
      <c r="E137" s="27" t="str">
        <f>E133</f>
        <v>ADMN</v>
      </c>
      <c r="F137" s="27" t="str">
        <f>F133</f>
        <v>KAHN0001</v>
      </c>
      <c r="G137" s="15">
        <f>G133</f>
        <v>41699</v>
      </c>
      <c r="H137" s="27" t="str">
        <f>H133</f>
        <v>10117</v>
      </c>
      <c r="O137" s="28"/>
      <c r="S137" s="16"/>
    </row>
    <row r="138" spans="1:19" ht="12.75" hidden="1" outlineLevel="2" collapsed="1">
      <c r="A138" s="25" t="s">
        <v>91</v>
      </c>
      <c r="C138" s="4" t="str">
        <f t="shared" si="152"/>
        <v>Wendy</v>
      </c>
      <c r="D138" s="4" t="str">
        <f t="shared" si="153"/>
        <v>Kahn</v>
      </c>
      <c r="E138" s="27" t="str">
        <f t="shared" si="154"/>
        <v>ADMN</v>
      </c>
      <c r="F138" s="27" t="str">
        <f t="shared" si="155"/>
        <v>KAHN0001</v>
      </c>
      <c r="G138" s="15">
        <f t="shared" si="158"/>
        <v>41699</v>
      </c>
      <c r="H138" s="27" t="str">
        <f t="shared" si="159"/>
        <v>10117</v>
      </c>
      <c r="N138" s="44" t="str">
        <f>"Total for " &amp; $H138</f>
        <v>Total for 10117</v>
      </c>
      <c r="O138" s="45">
        <f>G138</f>
        <v>41699</v>
      </c>
      <c r="P138" s="44"/>
      <c r="Q138" s="44"/>
      <c r="R138" s="44"/>
      <c r="S138" s="44">
        <f>SUBTOTAL(9,S133:S137)</f>
        <v>758.19</v>
      </c>
    </row>
    <row r="139" spans="1:19" ht="12.75" hidden="1" outlineLevel="3">
      <c r="A139" s="25" t="s">
        <v>91</v>
      </c>
      <c r="C139" s="4" t="str">
        <f t="shared" si="152"/>
        <v>Wendy</v>
      </c>
      <c r="D139" s="4" t="str">
        <f t="shared" si="153"/>
        <v>Kahn</v>
      </c>
      <c r="E139" s="27" t="str">
        <f t="shared" si="154"/>
        <v>ADMN</v>
      </c>
      <c r="F139" s="27" t="str">
        <f t="shared" si="155"/>
        <v>KAHN0001</v>
      </c>
      <c r="G139" s="15">
        <f t="shared" ref="G139" si="166">O139</f>
        <v>41640</v>
      </c>
      <c r="H139" s="27" t="str">
        <f t="shared" ref="H139" si="167">N139</f>
        <v>11557</v>
      </c>
      <c r="J139" s="33"/>
      <c r="K139" s="33"/>
      <c r="L139" s="33"/>
      <c r="M139" s="33"/>
      <c r="N139" s="32" t="str">
        <f>"11557"</f>
        <v>11557</v>
      </c>
      <c r="O139" s="36">
        <v>41640</v>
      </c>
      <c r="P139" s="33"/>
      <c r="Q139" s="33"/>
      <c r="R139" s="33"/>
      <c r="S139" s="33"/>
    </row>
    <row r="140" spans="1:19" hidden="1" outlineLevel="3">
      <c r="A140" s="25" t="s">
        <v>91</v>
      </c>
      <c r="C140" s="4" t="str">
        <f t="shared" si="152"/>
        <v>Wendy</v>
      </c>
      <c r="D140" s="4" t="str">
        <f t="shared" si="153"/>
        <v>Kahn</v>
      </c>
      <c r="E140" s="27" t="str">
        <f t="shared" si="154"/>
        <v>ADMN</v>
      </c>
      <c r="F140" s="27" t="str">
        <f t="shared" si="155"/>
        <v>KAHN0001</v>
      </c>
      <c r="G140" s="15">
        <f t="shared" ref="G140:G143" si="168">G139</f>
        <v>41640</v>
      </c>
      <c r="H140" s="27" t="str">
        <f t="shared" ref="H140:H143" si="169">H139</f>
        <v>11557</v>
      </c>
      <c r="I140" s="27" t="str">
        <f>"""GP Direct"",""Fabrikam, Inc."",""Jet Payroll Transactions"",""Pay Rate"",""0.00000"",""Payroll Code"",""IL"",""State"","""",""Transaction Amount"",""10.38000"""</f>
        <v>"GP Direct","Fabrikam, Inc.","Jet Payroll Transactions","Pay Rate","0.00000","Payroll Code","IL","State","","Transaction Amount","10.38000"</v>
      </c>
      <c r="O140" s="28"/>
      <c r="P140" s="37">
        <v>0</v>
      </c>
      <c r="Q140" s="38" t="str">
        <f>"IL"</f>
        <v>IL</v>
      </c>
      <c r="R140" s="39"/>
      <c r="S140" s="37">
        <v>10.38</v>
      </c>
    </row>
    <row r="141" spans="1:19" hidden="1" outlineLevel="3">
      <c r="A141" s="25" t="s">
        <v>91</v>
      </c>
      <c r="C141" s="4" t="str">
        <f t="shared" ref="C141" si="170">C140</f>
        <v>Wendy</v>
      </c>
      <c r="D141" s="4" t="str">
        <f t="shared" ref="D141" si="171">D140</f>
        <v>Kahn</v>
      </c>
      <c r="E141" s="27" t="str">
        <f t="shared" ref="E141" si="172">E140</f>
        <v>ADMN</v>
      </c>
      <c r="F141" s="27" t="str">
        <f t="shared" ref="F141" si="173">F140</f>
        <v>KAHN0001</v>
      </c>
      <c r="G141" s="15">
        <f t="shared" ref="G141" si="174">G140</f>
        <v>41640</v>
      </c>
      <c r="H141" s="27" t="str">
        <f t="shared" ref="H141" si="175">H140</f>
        <v>11557</v>
      </c>
      <c r="I141" s="27" t="str">
        <f>"""GP Direct"",""Fabrikam, Inc."",""Jet Payroll Transactions"",""Pay Rate"",""350.00000"",""Payroll Code"",""BONS"",""State"",""IL"",""Transaction Amount"",""350.00000"""</f>
        <v>"GP Direct","Fabrikam, Inc.","Jet Payroll Transactions","Pay Rate","350.00000","Payroll Code","BONS","State","IL","Transaction Amount","350.00000"</v>
      </c>
      <c r="O141" s="28"/>
      <c r="P141" s="37">
        <v>350</v>
      </c>
      <c r="Q141" s="38" t="str">
        <f>"BONS"</f>
        <v>BONS</v>
      </c>
      <c r="R141" s="39" t="str">
        <f>"IL"</f>
        <v>IL</v>
      </c>
      <c r="S141" s="37">
        <v>350</v>
      </c>
    </row>
    <row r="142" spans="1:19" hidden="1" outlineLevel="3">
      <c r="A142" s="24" t="s">
        <v>2812</v>
      </c>
      <c r="C142" s="4" t="str">
        <f>C140</f>
        <v>Wendy</v>
      </c>
      <c r="D142" s="4" t="str">
        <f>D140</f>
        <v>Kahn</v>
      </c>
      <c r="E142" s="27" t="str">
        <f>E140</f>
        <v>ADMN</v>
      </c>
      <c r="F142" s="27" t="str">
        <f>F140</f>
        <v>KAHN0001</v>
      </c>
      <c r="G142" s="15">
        <f>G140</f>
        <v>41640</v>
      </c>
      <c r="H142" s="27" t="str">
        <f>H140</f>
        <v>11557</v>
      </c>
      <c r="O142" s="28"/>
      <c r="S142" s="16"/>
    </row>
    <row r="143" spans="1:19" ht="12.75" hidden="1" outlineLevel="2" collapsed="1">
      <c r="A143" s="25" t="s">
        <v>91</v>
      </c>
      <c r="C143" s="4" t="str">
        <f t="shared" si="152"/>
        <v>Wendy</v>
      </c>
      <c r="D143" s="4" t="str">
        <f t="shared" si="153"/>
        <v>Kahn</v>
      </c>
      <c r="E143" s="27" t="str">
        <f t="shared" si="154"/>
        <v>ADMN</v>
      </c>
      <c r="F143" s="27" t="str">
        <f t="shared" si="155"/>
        <v>KAHN0001</v>
      </c>
      <c r="G143" s="15">
        <f t="shared" si="168"/>
        <v>41640</v>
      </c>
      <c r="H143" s="27" t="str">
        <f t="shared" si="169"/>
        <v>11557</v>
      </c>
      <c r="N143" s="44" t="str">
        <f>"Total for " &amp; $H143</f>
        <v>Total for 11557</v>
      </c>
      <c r="O143" s="45">
        <f>G143</f>
        <v>41640</v>
      </c>
      <c r="P143" s="44"/>
      <c r="Q143" s="44"/>
      <c r="R143" s="44"/>
      <c r="S143" s="44">
        <f>SUBTOTAL(9,S140:S142)</f>
        <v>360.38</v>
      </c>
    </row>
    <row r="144" spans="1:19" ht="12.75" hidden="1" outlineLevel="2">
      <c r="A144" s="24" t="s">
        <v>2812</v>
      </c>
      <c r="C144" s="4" t="str">
        <f>C131</f>
        <v>Wendy</v>
      </c>
      <c r="D144" s="4" t="str">
        <f>D131</f>
        <v>Kahn</v>
      </c>
      <c r="E144" s="27" t="str">
        <f>E131</f>
        <v>ADMN</v>
      </c>
      <c r="F144" s="27" t="str">
        <f>F131</f>
        <v>KAHN0001</v>
      </c>
      <c r="G144" s="14"/>
      <c r="J144" s="33"/>
      <c r="K144" s="33"/>
      <c r="L144" s="33"/>
      <c r="M144" s="33"/>
      <c r="N144" s="33"/>
      <c r="O144" s="33"/>
      <c r="P144" s="33"/>
      <c r="Q144" s="33"/>
      <c r="R144" s="33"/>
      <c r="S144" s="40"/>
    </row>
    <row r="145" spans="1:19" ht="12.75" hidden="1" outlineLevel="1" collapsed="1">
      <c r="A145" s="25" t="s">
        <v>91</v>
      </c>
      <c r="C145" s="4" t="str">
        <f t="shared" si="139"/>
        <v>Wendy</v>
      </c>
      <c r="D145" s="4" t="str">
        <f t="shared" si="140"/>
        <v>Kahn</v>
      </c>
      <c r="E145" s="27" t="str">
        <f t="shared" si="137"/>
        <v>ADMN</v>
      </c>
      <c r="F145" s="27" t="str">
        <f t="shared" si="141"/>
        <v>KAHN0001</v>
      </c>
      <c r="G145" s="14"/>
      <c r="J145" s="33"/>
      <c r="K145" s="46" t="str">
        <f>"Total for " &amp; $F145</f>
        <v>Total for KAHN0001</v>
      </c>
      <c r="L145" s="46" t="str">
        <f>C145</f>
        <v>Wendy</v>
      </c>
      <c r="M145" s="46" t="str">
        <f>D145</f>
        <v>Kahn</v>
      </c>
      <c r="N145" s="46"/>
      <c r="O145" s="46"/>
      <c r="P145" s="46"/>
      <c r="Q145" s="46"/>
      <c r="R145" s="46"/>
      <c r="S145" s="47">
        <f>SUBTOTAL(9,S126:S144)</f>
        <v>1876.7600000000002</v>
      </c>
    </row>
    <row r="146" spans="1:19" ht="12.75" hidden="1" outlineLevel="2">
      <c r="A146" s="25" t="s">
        <v>91</v>
      </c>
      <c r="C146" s="4" t="str">
        <f t="shared" ref="C146" si="176">L146</f>
        <v>Randy</v>
      </c>
      <c r="D146" s="4" t="str">
        <f t="shared" ref="D146" si="177">M146</f>
        <v>Reeves</v>
      </c>
      <c r="E146" s="27" t="str">
        <f t="shared" si="137"/>
        <v>ADMN</v>
      </c>
      <c r="F146" s="27" t="str">
        <f t="shared" ref="F146" si="178">K146</f>
        <v>REEV0001</v>
      </c>
      <c r="G146" s="14"/>
      <c r="J146" s="31"/>
      <c r="K146" s="21" t="str">
        <f>"REEV0001"</f>
        <v>REEV0001</v>
      </c>
      <c r="L146" s="43" t="str">
        <f>"Randy"</f>
        <v>Randy</v>
      </c>
      <c r="M146" s="43" t="str">
        <f>"Reeves"</f>
        <v>Reeves</v>
      </c>
      <c r="N146" s="43"/>
      <c r="O146" s="34"/>
      <c r="P146" s="33"/>
      <c r="Q146" s="33"/>
      <c r="R146" s="33"/>
      <c r="S146" s="35"/>
    </row>
    <row r="147" spans="1:19" ht="12.75" hidden="1" outlineLevel="3">
      <c r="A147" s="25" t="s">
        <v>91</v>
      </c>
      <c r="C147" s="4" t="str">
        <f t="shared" ref="C147:C162" si="179">C146</f>
        <v>Randy</v>
      </c>
      <c r="D147" s="4" t="str">
        <f t="shared" ref="D147:D162" si="180">D146</f>
        <v>Reeves</v>
      </c>
      <c r="E147" s="27" t="str">
        <f t="shared" si="137"/>
        <v>ADMN</v>
      </c>
      <c r="F147" s="27" t="str">
        <f t="shared" ref="F147:F162" si="181">F146</f>
        <v>REEV0001</v>
      </c>
      <c r="G147" s="15">
        <f t="shared" ref="G147" si="182">O147</f>
        <v>41671</v>
      </c>
      <c r="H147" s="27" t="str">
        <f t="shared" ref="H147" si="183">N147</f>
        <v>10100</v>
      </c>
      <c r="J147" s="33"/>
      <c r="K147" s="33"/>
      <c r="L147" s="33"/>
      <c r="M147" s="33"/>
      <c r="N147" s="32" t="str">
        <f>"10100"</f>
        <v>10100</v>
      </c>
      <c r="O147" s="36">
        <v>41671</v>
      </c>
      <c r="P147" s="33"/>
      <c r="Q147" s="33"/>
      <c r="R147" s="33"/>
      <c r="S147" s="33"/>
    </row>
    <row r="148" spans="1:19" hidden="1" outlineLevel="3">
      <c r="A148" s="25" t="s">
        <v>91</v>
      </c>
      <c r="C148" s="4" t="str">
        <f t="shared" si="179"/>
        <v>Randy</v>
      </c>
      <c r="D148" s="4" t="str">
        <f t="shared" si="180"/>
        <v>Reeves</v>
      </c>
      <c r="E148" s="27" t="str">
        <f t="shared" si="137"/>
        <v>ADMN</v>
      </c>
      <c r="F148" s="27" t="str">
        <f t="shared" si="181"/>
        <v>REEV0001</v>
      </c>
      <c r="G148" s="15">
        <f t="shared" ref="G148:G153" si="184">G147</f>
        <v>41671</v>
      </c>
      <c r="H148" s="27" t="str">
        <f t="shared" ref="H148:H153" si="185">H147</f>
        <v>10100</v>
      </c>
      <c r="I148" s="27" t="str">
        <f>"""GP Direct"",""Fabrikam, Inc."",""Jet Payroll Transactions"",""Pay Rate"",""0.00000"",""Payroll Code"",""IL"",""State"","""",""Transaction Amount"",""31.17000"""</f>
        <v>"GP Direct","Fabrikam, Inc.","Jet Payroll Transactions","Pay Rate","0.00000","Payroll Code","IL","State","","Transaction Amount","31.17000"</v>
      </c>
      <c r="O148" s="28"/>
      <c r="P148" s="37">
        <v>0</v>
      </c>
      <c r="Q148" s="38" t="str">
        <f>"IL"</f>
        <v>IL</v>
      </c>
      <c r="R148" s="39"/>
      <c r="S148" s="37">
        <v>31.17</v>
      </c>
    </row>
    <row r="149" spans="1:19" hidden="1" outlineLevel="3">
      <c r="A149" s="25" t="s">
        <v>91</v>
      </c>
      <c r="C149" s="4" t="str">
        <f t="shared" ref="C149:C151" si="186">C148</f>
        <v>Randy</v>
      </c>
      <c r="D149" s="4" t="str">
        <f t="shared" ref="D149:D151" si="187">D148</f>
        <v>Reeves</v>
      </c>
      <c r="E149" s="27" t="str">
        <f t="shared" ref="E149:E151" si="188">E148</f>
        <v>ADMN</v>
      </c>
      <c r="F149" s="27" t="str">
        <f t="shared" ref="F149:F151" si="189">F148</f>
        <v>REEV0001</v>
      </c>
      <c r="G149" s="15">
        <f t="shared" ref="G149:G151" si="190">G148</f>
        <v>41671</v>
      </c>
      <c r="H149" s="27" t="str">
        <f t="shared" ref="H149:H151" si="191">H148</f>
        <v>10100</v>
      </c>
      <c r="I149" s="27" t="str">
        <f>"""GP Direct"",""Fabrikam, Inc."",""Jet Payroll Transactions"",""Pay Rate"",""0.00000"",""Payroll Code"",""INS"",""State"","""",""Transaction Amount"",""49.36000"""</f>
        <v>"GP Direct","Fabrikam, Inc.","Jet Payroll Transactions","Pay Rate","0.00000","Payroll Code","INS","State","","Transaction Amount","49.36000"</v>
      </c>
      <c r="O149" s="28"/>
      <c r="P149" s="37">
        <v>0</v>
      </c>
      <c r="Q149" s="38" t="str">
        <f>"INS"</f>
        <v>INS</v>
      </c>
      <c r="R149" s="39"/>
      <c r="S149" s="37">
        <v>49.36</v>
      </c>
    </row>
    <row r="150" spans="1:19" hidden="1" outlineLevel="3">
      <c r="A150" s="25" t="s">
        <v>91</v>
      </c>
      <c r="C150" s="4" t="str">
        <f t="shared" si="186"/>
        <v>Randy</v>
      </c>
      <c r="D150" s="4" t="str">
        <f t="shared" si="187"/>
        <v>Reeves</v>
      </c>
      <c r="E150" s="27" t="str">
        <f t="shared" si="188"/>
        <v>ADMN</v>
      </c>
      <c r="F150" s="27" t="str">
        <f t="shared" si="189"/>
        <v>REEV0001</v>
      </c>
      <c r="G150" s="15">
        <f t="shared" si="190"/>
        <v>41671</v>
      </c>
      <c r="H150" s="27" t="str">
        <f t="shared" si="191"/>
        <v>10100</v>
      </c>
      <c r="I150" s="27" t="str">
        <f>"""GP Direct"",""Fabrikam, Inc."",""Jet Payroll Transactions"",""Pay Rate"",""0.00000"",""Payroll Code"",""MED"",""State"","""",""Transaction Amount"",""5.00000"""</f>
        <v>"GP Direct","Fabrikam, Inc.","Jet Payroll Transactions","Pay Rate","0.00000","Payroll Code","MED","State","","Transaction Amount","5.00000"</v>
      </c>
      <c r="O150" s="28"/>
      <c r="P150" s="37">
        <v>0</v>
      </c>
      <c r="Q150" s="38" t="str">
        <f>"MED"</f>
        <v>MED</v>
      </c>
      <c r="R150" s="39"/>
      <c r="S150" s="37">
        <v>5</v>
      </c>
    </row>
    <row r="151" spans="1:19" hidden="1" outlineLevel="3">
      <c r="A151" s="25" t="s">
        <v>91</v>
      </c>
      <c r="C151" s="4" t="str">
        <f t="shared" si="186"/>
        <v>Randy</v>
      </c>
      <c r="D151" s="4" t="str">
        <f t="shared" si="187"/>
        <v>Reeves</v>
      </c>
      <c r="E151" s="27" t="str">
        <f t="shared" si="188"/>
        <v>ADMN</v>
      </c>
      <c r="F151" s="27" t="str">
        <f t="shared" si="189"/>
        <v>REEV0001</v>
      </c>
      <c r="G151" s="15">
        <f t="shared" si="190"/>
        <v>41671</v>
      </c>
      <c r="H151" s="27" t="str">
        <f t="shared" si="191"/>
        <v>10100</v>
      </c>
      <c r="I151" s="27" t="str">
        <f>"""GP Direct"",""Fabrikam, Inc."",""Jet Payroll Transactions"",""Pay Rate"",""26057.00000"",""Payroll Code"",""SALY"",""State"",""IL"",""Transaction Amount"",""1085.71000"""</f>
        <v>"GP Direct","Fabrikam, Inc.","Jet Payroll Transactions","Pay Rate","26057.00000","Payroll Code","SALY","State","IL","Transaction Amount","1085.71000"</v>
      </c>
      <c r="O151" s="28"/>
      <c r="P151" s="37">
        <v>26057</v>
      </c>
      <c r="Q151" s="38" t="str">
        <f>"SALY"</f>
        <v>SALY</v>
      </c>
      <c r="R151" s="39" t="str">
        <f>"IL"</f>
        <v>IL</v>
      </c>
      <c r="S151" s="37">
        <v>1085.71</v>
      </c>
    </row>
    <row r="152" spans="1:19" hidden="1" outlineLevel="3">
      <c r="A152" s="24" t="s">
        <v>2812</v>
      </c>
      <c r="C152" s="4" t="str">
        <f>C148</f>
        <v>Randy</v>
      </c>
      <c r="D152" s="4" t="str">
        <f>D148</f>
        <v>Reeves</v>
      </c>
      <c r="E152" s="27" t="str">
        <f>E148</f>
        <v>ADMN</v>
      </c>
      <c r="F152" s="27" t="str">
        <f>F148</f>
        <v>REEV0001</v>
      </c>
      <c r="G152" s="15">
        <f>G148</f>
        <v>41671</v>
      </c>
      <c r="H152" s="27" t="str">
        <f>H148</f>
        <v>10100</v>
      </c>
      <c r="O152" s="28"/>
      <c r="S152" s="16"/>
    </row>
    <row r="153" spans="1:19" ht="12.75" hidden="1" outlineLevel="2" collapsed="1">
      <c r="A153" s="25" t="s">
        <v>91</v>
      </c>
      <c r="C153" s="4" t="str">
        <f t="shared" si="179"/>
        <v>Randy</v>
      </c>
      <c r="D153" s="4" t="str">
        <f t="shared" si="180"/>
        <v>Reeves</v>
      </c>
      <c r="E153" s="27" t="str">
        <f t="shared" si="137"/>
        <v>ADMN</v>
      </c>
      <c r="F153" s="27" t="str">
        <f t="shared" si="181"/>
        <v>REEV0001</v>
      </c>
      <c r="G153" s="15">
        <f t="shared" si="184"/>
        <v>41671</v>
      </c>
      <c r="H153" s="27" t="str">
        <f t="shared" si="185"/>
        <v>10100</v>
      </c>
      <c r="N153" s="44" t="str">
        <f>"Total for " &amp; $H153</f>
        <v>Total for 10100</v>
      </c>
      <c r="O153" s="45">
        <f>G153</f>
        <v>41671</v>
      </c>
      <c r="P153" s="44"/>
      <c r="Q153" s="44"/>
      <c r="R153" s="44"/>
      <c r="S153" s="44">
        <f>SUBTOTAL(9,S148:S152)</f>
        <v>1171.24</v>
      </c>
    </row>
    <row r="154" spans="1:19" ht="12.75" hidden="1" outlineLevel="3">
      <c r="A154" s="25" t="s">
        <v>91</v>
      </c>
      <c r="C154" s="4" t="str">
        <f t="shared" ref="C154:C160" si="192">C153</f>
        <v>Randy</v>
      </c>
      <c r="D154" s="4" t="str">
        <f t="shared" ref="D154:D160" si="193">D153</f>
        <v>Reeves</v>
      </c>
      <c r="E154" s="27" t="str">
        <f t="shared" ref="E154:E160" si="194">E153</f>
        <v>ADMN</v>
      </c>
      <c r="F154" s="27" t="str">
        <f t="shared" ref="F154:F160" si="195">F153</f>
        <v>REEV0001</v>
      </c>
      <c r="G154" s="15">
        <f t="shared" ref="G154" si="196">O154</f>
        <v>41699</v>
      </c>
      <c r="H154" s="27" t="str">
        <f t="shared" ref="H154" si="197">N154</f>
        <v>10125</v>
      </c>
      <c r="J154" s="33"/>
      <c r="K154" s="33"/>
      <c r="L154" s="33"/>
      <c r="M154" s="33"/>
      <c r="N154" s="32" t="str">
        <f>"10125"</f>
        <v>10125</v>
      </c>
      <c r="O154" s="36">
        <v>41699</v>
      </c>
      <c r="P154" s="33"/>
      <c r="Q154" s="33"/>
      <c r="R154" s="33"/>
      <c r="S154" s="33"/>
    </row>
    <row r="155" spans="1:19" hidden="1" outlineLevel="3">
      <c r="A155" s="25" t="s">
        <v>91</v>
      </c>
      <c r="C155" s="4" t="str">
        <f t="shared" si="192"/>
        <v>Randy</v>
      </c>
      <c r="D155" s="4" t="str">
        <f t="shared" si="193"/>
        <v>Reeves</v>
      </c>
      <c r="E155" s="27" t="str">
        <f t="shared" si="194"/>
        <v>ADMN</v>
      </c>
      <c r="F155" s="27" t="str">
        <f t="shared" si="195"/>
        <v>REEV0001</v>
      </c>
      <c r="G155" s="15">
        <f t="shared" ref="G155:G160" si="198">G154</f>
        <v>41699</v>
      </c>
      <c r="H155" s="27" t="str">
        <f t="shared" ref="H155:H160" si="199">H154</f>
        <v>10125</v>
      </c>
      <c r="I155" s="27" t="str">
        <f>"""GP Direct"",""Fabrikam, Inc."",""Jet Payroll Transactions"",""Pay Rate"",""0.00000"",""Payroll Code"",""IL"",""State"","""",""Transaction Amount"",""31.17000"""</f>
        <v>"GP Direct","Fabrikam, Inc.","Jet Payroll Transactions","Pay Rate","0.00000","Payroll Code","IL","State","","Transaction Amount","31.17000"</v>
      </c>
      <c r="O155" s="28"/>
      <c r="P155" s="37">
        <v>0</v>
      </c>
      <c r="Q155" s="38" t="str">
        <f>"IL"</f>
        <v>IL</v>
      </c>
      <c r="R155" s="39"/>
      <c r="S155" s="37">
        <v>31.17</v>
      </c>
    </row>
    <row r="156" spans="1:19" hidden="1" outlineLevel="3">
      <c r="A156" s="25" t="s">
        <v>91</v>
      </c>
      <c r="C156" s="4" t="str">
        <f t="shared" ref="C156:C158" si="200">C155</f>
        <v>Randy</v>
      </c>
      <c r="D156" s="4" t="str">
        <f t="shared" ref="D156:D158" si="201">D155</f>
        <v>Reeves</v>
      </c>
      <c r="E156" s="27" t="str">
        <f t="shared" ref="E156:E158" si="202">E155</f>
        <v>ADMN</v>
      </c>
      <c r="F156" s="27" t="str">
        <f t="shared" ref="F156:F158" si="203">F155</f>
        <v>REEV0001</v>
      </c>
      <c r="G156" s="15">
        <f t="shared" ref="G156:G158" si="204">G155</f>
        <v>41699</v>
      </c>
      <c r="H156" s="27" t="str">
        <f t="shared" ref="H156:H158" si="205">H155</f>
        <v>10125</v>
      </c>
      <c r="I156" s="27" t="str">
        <f>"""GP Direct"",""Fabrikam, Inc."",""Jet Payroll Transactions"",""Pay Rate"",""0.00000"",""Payroll Code"",""INS"",""State"","""",""Transaction Amount"",""49.36000"""</f>
        <v>"GP Direct","Fabrikam, Inc.","Jet Payroll Transactions","Pay Rate","0.00000","Payroll Code","INS","State","","Transaction Amount","49.36000"</v>
      </c>
      <c r="O156" s="28"/>
      <c r="P156" s="37">
        <v>0</v>
      </c>
      <c r="Q156" s="38" t="str">
        <f>"INS"</f>
        <v>INS</v>
      </c>
      <c r="R156" s="39"/>
      <c r="S156" s="37">
        <v>49.36</v>
      </c>
    </row>
    <row r="157" spans="1:19" hidden="1" outlineLevel="3">
      <c r="A157" s="25" t="s">
        <v>91</v>
      </c>
      <c r="C157" s="4" t="str">
        <f t="shared" si="200"/>
        <v>Randy</v>
      </c>
      <c r="D157" s="4" t="str">
        <f t="shared" si="201"/>
        <v>Reeves</v>
      </c>
      <c r="E157" s="27" t="str">
        <f t="shared" si="202"/>
        <v>ADMN</v>
      </c>
      <c r="F157" s="27" t="str">
        <f t="shared" si="203"/>
        <v>REEV0001</v>
      </c>
      <c r="G157" s="15">
        <f t="shared" si="204"/>
        <v>41699</v>
      </c>
      <c r="H157" s="27" t="str">
        <f t="shared" si="205"/>
        <v>10125</v>
      </c>
      <c r="I157" s="27" t="str">
        <f>"""GP Direct"",""Fabrikam, Inc."",""Jet Payroll Transactions"",""Pay Rate"",""0.00000"",""Payroll Code"",""MED"",""State"","""",""Transaction Amount"",""5.00000"""</f>
        <v>"GP Direct","Fabrikam, Inc.","Jet Payroll Transactions","Pay Rate","0.00000","Payroll Code","MED","State","","Transaction Amount","5.00000"</v>
      </c>
      <c r="O157" s="28"/>
      <c r="P157" s="37">
        <v>0</v>
      </c>
      <c r="Q157" s="38" t="str">
        <f>"MED"</f>
        <v>MED</v>
      </c>
      <c r="R157" s="39"/>
      <c r="S157" s="37">
        <v>5</v>
      </c>
    </row>
    <row r="158" spans="1:19" hidden="1" outlineLevel="3">
      <c r="A158" s="25" t="s">
        <v>91</v>
      </c>
      <c r="C158" s="4" t="str">
        <f t="shared" si="200"/>
        <v>Randy</v>
      </c>
      <c r="D158" s="4" t="str">
        <f t="shared" si="201"/>
        <v>Reeves</v>
      </c>
      <c r="E158" s="27" t="str">
        <f t="shared" si="202"/>
        <v>ADMN</v>
      </c>
      <c r="F158" s="27" t="str">
        <f t="shared" si="203"/>
        <v>REEV0001</v>
      </c>
      <c r="G158" s="15">
        <f t="shared" si="204"/>
        <v>41699</v>
      </c>
      <c r="H158" s="27" t="str">
        <f t="shared" si="205"/>
        <v>10125</v>
      </c>
      <c r="I158" s="27" t="str">
        <f>"""GP Direct"",""Fabrikam, Inc."",""Jet Payroll Transactions"",""Pay Rate"",""26057.00000"",""Payroll Code"",""SALY"",""State"",""IL"",""Transaction Amount"",""1085.71000"""</f>
        <v>"GP Direct","Fabrikam, Inc.","Jet Payroll Transactions","Pay Rate","26057.00000","Payroll Code","SALY","State","IL","Transaction Amount","1085.71000"</v>
      </c>
      <c r="O158" s="28"/>
      <c r="P158" s="37">
        <v>26057</v>
      </c>
      <c r="Q158" s="38" t="str">
        <f>"SALY"</f>
        <v>SALY</v>
      </c>
      <c r="R158" s="39" t="str">
        <f>"IL"</f>
        <v>IL</v>
      </c>
      <c r="S158" s="37">
        <v>1085.71</v>
      </c>
    </row>
    <row r="159" spans="1:19" hidden="1" outlineLevel="3">
      <c r="A159" s="24" t="s">
        <v>2812</v>
      </c>
      <c r="C159" s="4" t="str">
        <f>C155</f>
        <v>Randy</v>
      </c>
      <c r="D159" s="4" t="str">
        <f>D155</f>
        <v>Reeves</v>
      </c>
      <c r="E159" s="27" t="str">
        <f>E155</f>
        <v>ADMN</v>
      </c>
      <c r="F159" s="27" t="str">
        <f>F155</f>
        <v>REEV0001</v>
      </c>
      <c r="G159" s="15">
        <f>G155</f>
        <v>41699</v>
      </c>
      <c r="H159" s="27" t="str">
        <f>H155</f>
        <v>10125</v>
      </c>
      <c r="O159" s="28"/>
      <c r="S159" s="16"/>
    </row>
    <row r="160" spans="1:19" ht="12.75" hidden="1" outlineLevel="2" collapsed="1">
      <c r="A160" s="25" t="s">
        <v>91</v>
      </c>
      <c r="C160" s="4" t="str">
        <f t="shared" si="192"/>
        <v>Randy</v>
      </c>
      <c r="D160" s="4" t="str">
        <f t="shared" si="193"/>
        <v>Reeves</v>
      </c>
      <c r="E160" s="27" t="str">
        <f t="shared" si="194"/>
        <v>ADMN</v>
      </c>
      <c r="F160" s="27" t="str">
        <f t="shared" si="195"/>
        <v>REEV0001</v>
      </c>
      <c r="G160" s="15">
        <f t="shared" si="198"/>
        <v>41699</v>
      </c>
      <c r="H160" s="27" t="str">
        <f t="shared" si="199"/>
        <v>10125</v>
      </c>
      <c r="N160" s="44" t="str">
        <f>"Total for " &amp; $H160</f>
        <v>Total for 10125</v>
      </c>
      <c r="O160" s="45">
        <f>G160</f>
        <v>41699</v>
      </c>
      <c r="P160" s="44"/>
      <c r="Q160" s="44"/>
      <c r="R160" s="44"/>
      <c r="S160" s="44">
        <f>SUBTOTAL(9,S155:S159)</f>
        <v>1171.24</v>
      </c>
    </row>
    <row r="161" spans="1:19" ht="12.75" hidden="1" outlineLevel="2">
      <c r="A161" s="24" t="s">
        <v>2812</v>
      </c>
      <c r="C161" s="4" t="str">
        <f>C153</f>
        <v>Randy</v>
      </c>
      <c r="D161" s="4" t="str">
        <f>D153</f>
        <v>Reeves</v>
      </c>
      <c r="E161" s="27" t="str">
        <f>E153</f>
        <v>ADMN</v>
      </c>
      <c r="F161" s="27" t="str">
        <f>F153</f>
        <v>REEV0001</v>
      </c>
      <c r="G161" s="14"/>
      <c r="J161" s="33"/>
      <c r="K161" s="33"/>
      <c r="L161" s="33"/>
      <c r="M161" s="33"/>
      <c r="N161" s="33"/>
      <c r="O161" s="33"/>
      <c r="P161" s="33"/>
      <c r="Q161" s="33"/>
      <c r="R161" s="33"/>
      <c r="S161" s="40"/>
    </row>
    <row r="162" spans="1:19" ht="12.75" hidden="1" outlineLevel="1" collapsed="1">
      <c r="A162" s="25" t="s">
        <v>91</v>
      </c>
      <c r="C162" s="4" t="str">
        <f t="shared" si="179"/>
        <v>Randy</v>
      </c>
      <c r="D162" s="4" t="str">
        <f t="shared" si="180"/>
        <v>Reeves</v>
      </c>
      <c r="E162" s="27" t="str">
        <f t="shared" si="137"/>
        <v>ADMN</v>
      </c>
      <c r="F162" s="27" t="str">
        <f t="shared" si="181"/>
        <v>REEV0001</v>
      </c>
      <c r="G162" s="14"/>
      <c r="J162" s="33"/>
      <c r="K162" s="46" t="str">
        <f>"Total for " &amp; $F162</f>
        <v>Total for REEV0001</v>
      </c>
      <c r="L162" s="46" t="str">
        <f>C162</f>
        <v>Randy</v>
      </c>
      <c r="M162" s="46" t="str">
        <f>D162</f>
        <v>Reeves</v>
      </c>
      <c r="N162" s="46"/>
      <c r="O162" s="46"/>
      <c r="P162" s="46"/>
      <c r="Q162" s="46"/>
      <c r="R162" s="46"/>
      <c r="S162" s="47">
        <f>SUBTOTAL(9,S148:S161)</f>
        <v>2342.48</v>
      </c>
    </row>
    <row r="163" spans="1:19" ht="12.75" hidden="1" outlineLevel="2">
      <c r="A163" s="25" t="s">
        <v>91</v>
      </c>
      <c r="C163" s="4" t="str">
        <f t="shared" ref="C163" si="206">L163</f>
        <v>Jim</v>
      </c>
      <c r="D163" s="4" t="str">
        <f t="shared" ref="D163" si="207">M163</f>
        <v>Stewart</v>
      </c>
      <c r="E163" s="27" t="str">
        <f t="shared" si="137"/>
        <v>ADMN</v>
      </c>
      <c r="F163" s="27" t="str">
        <f t="shared" ref="F163" si="208">K163</f>
        <v>STEW0001</v>
      </c>
      <c r="G163" s="14"/>
      <c r="J163" s="31"/>
      <c r="K163" s="21" t="str">
        <f>"STEW0001"</f>
        <v>STEW0001</v>
      </c>
      <c r="L163" s="43" t="str">
        <f>"Jim"</f>
        <v>Jim</v>
      </c>
      <c r="M163" s="43" t="str">
        <f>"Stewart"</f>
        <v>Stewart</v>
      </c>
      <c r="N163" s="43"/>
      <c r="O163" s="34"/>
      <c r="P163" s="33"/>
      <c r="Q163" s="33"/>
      <c r="R163" s="33"/>
      <c r="S163" s="35"/>
    </row>
    <row r="164" spans="1:19" ht="12.75" hidden="1" outlineLevel="3">
      <c r="A164" s="25" t="s">
        <v>91</v>
      </c>
      <c r="C164" s="4" t="str">
        <f t="shared" ref="C164:C185" si="209">C163</f>
        <v>Jim</v>
      </c>
      <c r="D164" s="4" t="str">
        <f t="shared" ref="D164:D185" si="210">D163</f>
        <v>Stewart</v>
      </c>
      <c r="E164" s="27" t="str">
        <f t="shared" si="137"/>
        <v>ADMN</v>
      </c>
      <c r="F164" s="27" t="str">
        <f t="shared" ref="F164:F185" si="211">F163</f>
        <v>STEW0001</v>
      </c>
      <c r="G164" s="15">
        <f t="shared" ref="G164" si="212">O164</f>
        <v>41671</v>
      </c>
      <c r="H164" s="27" t="str">
        <f t="shared" ref="H164" si="213">N164</f>
        <v>10101</v>
      </c>
      <c r="J164" s="33"/>
      <c r="K164" s="33"/>
      <c r="L164" s="33"/>
      <c r="M164" s="33"/>
      <c r="N164" s="32" t="str">
        <f>"10101"</f>
        <v>10101</v>
      </c>
      <c r="O164" s="36">
        <v>41671</v>
      </c>
      <c r="P164" s="33"/>
      <c r="Q164" s="33"/>
      <c r="R164" s="33"/>
      <c r="S164" s="33"/>
    </row>
    <row r="165" spans="1:19" hidden="1" outlineLevel="3">
      <c r="A165" s="25" t="s">
        <v>91</v>
      </c>
      <c r="C165" s="4" t="str">
        <f t="shared" si="209"/>
        <v>Jim</v>
      </c>
      <c r="D165" s="4" t="str">
        <f t="shared" si="210"/>
        <v>Stewart</v>
      </c>
      <c r="E165" s="27" t="str">
        <f t="shared" si="137"/>
        <v>ADMN</v>
      </c>
      <c r="F165" s="27" t="str">
        <f t="shared" si="211"/>
        <v>STEW0001</v>
      </c>
      <c r="G165" s="15">
        <f t="shared" ref="G165:G173" si="214">G164</f>
        <v>41671</v>
      </c>
      <c r="H165" s="27" t="str">
        <f t="shared" ref="H165:H173" si="215">H164</f>
        <v>10101</v>
      </c>
      <c r="I165" s="27" t="str">
        <f>"""GP Direct"",""Fabrikam, Inc."",""Jet Payroll Transactions"",""Pay Rate"",""0.00000"",""Payroll Code"",""401K"",""State"","""",""Transaction Amount"",""5.07000"""</f>
        <v>"GP Direct","Fabrikam, Inc.","Jet Payroll Transactions","Pay Rate","0.00000","Payroll Code","401K","State","","Transaction Amount","5.07000"</v>
      </c>
      <c r="O165" s="28"/>
      <c r="P165" s="37">
        <v>0</v>
      </c>
      <c r="Q165" s="38" t="str">
        <f>"401K"</f>
        <v>401K</v>
      </c>
      <c r="R165" s="39"/>
      <c r="S165" s="37">
        <v>5.07</v>
      </c>
    </row>
    <row r="166" spans="1:19" hidden="1" outlineLevel="3">
      <c r="A166" s="25" t="s">
        <v>91</v>
      </c>
      <c r="C166" s="4" t="str">
        <f t="shared" ref="C166:C171" si="216">C165</f>
        <v>Jim</v>
      </c>
      <c r="D166" s="4" t="str">
        <f t="shared" ref="D166:D171" si="217">D165</f>
        <v>Stewart</v>
      </c>
      <c r="E166" s="27" t="str">
        <f t="shared" ref="E166:E171" si="218">E165</f>
        <v>ADMN</v>
      </c>
      <c r="F166" s="27" t="str">
        <f t="shared" ref="F166:F171" si="219">F165</f>
        <v>STEW0001</v>
      </c>
      <c r="G166" s="15">
        <f t="shared" ref="G166:G171" si="220">G165</f>
        <v>41671</v>
      </c>
      <c r="H166" s="27" t="str">
        <f t="shared" ref="H166:H171" si="221">H165</f>
        <v>10101</v>
      </c>
      <c r="I166" s="27" t="str">
        <f>"""GP Direct"",""Fabrikam, Inc."",""Jet Payroll Transactions"",""Pay Rate"",""0.00000"",""Payroll Code"",""401K"",""State"","""",""Transaction Amount"",""101.36000"""</f>
        <v>"GP Direct","Fabrikam, Inc.","Jet Payroll Transactions","Pay Rate","0.00000","Payroll Code","401K","State","","Transaction Amount","101.36000"</v>
      </c>
      <c r="O166" s="28"/>
      <c r="P166" s="37">
        <v>0</v>
      </c>
      <c r="Q166" s="38" t="str">
        <f>"401K"</f>
        <v>401K</v>
      </c>
      <c r="R166" s="39"/>
      <c r="S166" s="37">
        <v>101.36</v>
      </c>
    </row>
    <row r="167" spans="1:19" hidden="1" outlineLevel="3">
      <c r="A167" s="25" t="s">
        <v>91</v>
      </c>
      <c r="C167" s="4" t="str">
        <f t="shared" si="216"/>
        <v>Jim</v>
      </c>
      <c r="D167" s="4" t="str">
        <f t="shared" si="217"/>
        <v>Stewart</v>
      </c>
      <c r="E167" s="27" t="str">
        <f t="shared" si="218"/>
        <v>ADMN</v>
      </c>
      <c r="F167" s="27" t="str">
        <f t="shared" si="219"/>
        <v>STEW0001</v>
      </c>
      <c r="G167" s="15">
        <f t="shared" si="220"/>
        <v>41671</v>
      </c>
      <c r="H167" s="27" t="str">
        <f t="shared" si="221"/>
        <v>10101</v>
      </c>
      <c r="I167" s="27" t="str">
        <f>"""GP Direct"",""Fabrikam, Inc."",""Jet Payroll Transactions"",""Pay Rate"",""0.00000"",""Payroll Code"",""IL"",""State"","""",""Transaction Amount"",""47.49000"""</f>
        <v>"GP Direct","Fabrikam, Inc.","Jet Payroll Transactions","Pay Rate","0.00000","Payroll Code","IL","State","","Transaction Amount","47.49000"</v>
      </c>
      <c r="O167" s="28"/>
      <c r="P167" s="37">
        <v>0</v>
      </c>
      <c r="Q167" s="38" t="str">
        <f>"IL"</f>
        <v>IL</v>
      </c>
      <c r="R167" s="39"/>
      <c r="S167" s="37">
        <v>47.49</v>
      </c>
    </row>
    <row r="168" spans="1:19" hidden="1" outlineLevel="3">
      <c r="A168" s="25" t="s">
        <v>91</v>
      </c>
      <c r="C168" s="4" t="str">
        <f t="shared" si="216"/>
        <v>Jim</v>
      </c>
      <c r="D168" s="4" t="str">
        <f t="shared" si="217"/>
        <v>Stewart</v>
      </c>
      <c r="E168" s="27" t="str">
        <f t="shared" si="218"/>
        <v>ADMN</v>
      </c>
      <c r="F168" s="27" t="str">
        <f t="shared" si="219"/>
        <v>STEW0001</v>
      </c>
      <c r="G168" s="15">
        <f t="shared" si="220"/>
        <v>41671</v>
      </c>
      <c r="H168" s="27" t="str">
        <f t="shared" si="221"/>
        <v>10101</v>
      </c>
      <c r="I168" s="27" t="str">
        <f>"""GP Direct"",""Fabrikam, Inc."",""Jet Payroll Transactions"",""Pay Rate"",""0.00000"",""Payroll Code"",""INS"",""State"","""",""Transaction Amount"",""49.36000"""</f>
        <v>"GP Direct","Fabrikam, Inc.","Jet Payroll Transactions","Pay Rate","0.00000","Payroll Code","INS","State","","Transaction Amount","49.36000"</v>
      </c>
      <c r="O168" s="28"/>
      <c r="P168" s="37">
        <v>0</v>
      </c>
      <c r="Q168" s="38" t="str">
        <f>"INS"</f>
        <v>INS</v>
      </c>
      <c r="R168" s="39"/>
      <c r="S168" s="37">
        <v>49.36</v>
      </c>
    </row>
    <row r="169" spans="1:19" hidden="1" outlineLevel="3">
      <c r="A169" s="25" t="s">
        <v>91</v>
      </c>
      <c r="C169" s="4" t="str">
        <f t="shared" si="216"/>
        <v>Jim</v>
      </c>
      <c r="D169" s="4" t="str">
        <f t="shared" si="217"/>
        <v>Stewart</v>
      </c>
      <c r="E169" s="27" t="str">
        <f t="shared" si="218"/>
        <v>ADMN</v>
      </c>
      <c r="F169" s="27" t="str">
        <f t="shared" si="219"/>
        <v>STEW0001</v>
      </c>
      <c r="G169" s="15">
        <f t="shared" si="220"/>
        <v>41671</v>
      </c>
      <c r="H169" s="27" t="str">
        <f t="shared" si="221"/>
        <v>10101</v>
      </c>
      <c r="I169" s="27" t="str">
        <f>"""GP Direct"",""Fabrikam, Inc."",""Jet Payroll Transactions"",""Pay Rate"",""0.00000"",""Payroll Code"",""INS2"",""State"","""",""Transaction Amount"",""72.95000"""</f>
        <v>"GP Direct","Fabrikam, Inc.","Jet Payroll Transactions","Pay Rate","0.00000","Payroll Code","INS2","State","","Transaction Amount","72.95000"</v>
      </c>
      <c r="O169" s="28"/>
      <c r="P169" s="37">
        <v>0</v>
      </c>
      <c r="Q169" s="38" t="str">
        <f>"INS2"</f>
        <v>INS2</v>
      </c>
      <c r="R169" s="39"/>
      <c r="S169" s="37">
        <v>72.95</v>
      </c>
    </row>
    <row r="170" spans="1:19" hidden="1" outlineLevel="3">
      <c r="A170" s="25" t="s">
        <v>91</v>
      </c>
      <c r="C170" s="4" t="str">
        <f t="shared" si="216"/>
        <v>Jim</v>
      </c>
      <c r="D170" s="4" t="str">
        <f t="shared" si="217"/>
        <v>Stewart</v>
      </c>
      <c r="E170" s="27" t="str">
        <f t="shared" si="218"/>
        <v>ADMN</v>
      </c>
      <c r="F170" s="27" t="str">
        <f t="shared" si="219"/>
        <v>STEW0001</v>
      </c>
      <c r="G170" s="15">
        <f t="shared" si="220"/>
        <v>41671</v>
      </c>
      <c r="H170" s="27" t="str">
        <f t="shared" si="221"/>
        <v>10101</v>
      </c>
      <c r="I170" s="27" t="str">
        <f>"""GP Direct"",""Fabrikam, Inc."",""Jet Payroll Transactions"",""Pay Rate"",""0.00000"",""Payroll Code"",""MED"",""State"","""",""Transaction Amount"",""20.00000"""</f>
        <v>"GP Direct","Fabrikam, Inc.","Jet Payroll Transactions","Pay Rate","0.00000","Payroll Code","MED","State","","Transaction Amount","20.00000"</v>
      </c>
      <c r="O170" s="28"/>
      <c r="P170" s="37">
        <v>0</v>
      </c>
      <c r="Q170" s="38" t="str">
        <f>"MED"</f>
        <v>MED</v>
      </c>
      <c r="R170" s="39"/>
      <c r="S170" s="37">
        <v>20</v>
      </c>
    </row>
    <row r="171" spans="1:19" hidden="1" outlineLevel="3">
      <c r="A171" s="25" t="s">
        <v>91</v>
      </c>
      <c r="C171" s="4" t="str">
        <f t="shared" si="216"/>
        <v>Jim</v>
      </c>
      <c r="D171" s="4" t="str">
        <f t="shared" si="217"/>
        <v>Stewart</v>
      </c>
      <c r="E171" s="27" t="str">
        <f t="shared" si="218"/>
        <v>ADMN</v>
      </c>
      <c r="F171" s="27" t="str">
        <f t="shared" si="219"/>
        <v>STEW0001</v>
      </c>
      <c r="G171" s="15">
        <f t="shared" si="220"/>
        <v>41671</v>
      </c>
      <c r="H171" s="27" t="str">
        <f t="shared" si="221"/>
        <v>10101</v>
      </c>
      <c r="I171" s="27" t="str">
        <f>"""GP Direct"",""Fabrikam, Inc."",""Jet Payroll Transactions"",""Pay Rate"",""48654.00000"",""Payroll Code"",""SALY"",""State"",""IL"",""Transaction Amount"",""2027.25000"""</f>
        <v>"GP Direct","Fabrikam, Inc.","Jet Payroll Transactions","Pay Rate","48654.00000","Payroll Code","SALY","State","IL","Transaction Amount","2027.25000"</v>
      </c>
      <c r="O171" s="28"/>
      <c r="P171" s="37">
        <v>48654</v>
      </c>
      <c r="Q171" s="38" t="str">
        <f>"SALY"</f>
        <v>SALY</v>
      </c>
      <c r="R171" s="39" t="str">
        <f>"IL"</f>
        <v>IL</v>
      </c>
      <c r="S171" s="37">
        <v>2027.25</v>
      </c>
    </row>
    <row r="172" spans="1:19" hidden="1" outlineLevel="3">
      <c r="A172" s="24" t="s">
        <v>2812</v>
      </c>
      <c r="C172" s="4" t="str">
        <f>C165</f>
        <v>Jim</v>
      </c>
      <c r="D172" s="4" t="str">
        <f>D165</f>
        <v>Stewart</v>
      </c>
      <c r="E172" s="27" t="str">
        <f>E165</f>
        <v>ADMN</v>
      </c>
      <c r="F172" s="27" t="str">
        <f>F165</f>
        <v>STEW0001</v>
      </c>
      <c r="G172" s="15">
        <f>G165</f>
        <v>41671</v>
      </c>
      <c r="H172" s="27" t="str">
        <f>H165</f>
        <v>10101</v>
      </c>
      <c r="O172" s="28"/>
      <c r="S172" s="16"/>
    </row>
    <row r="173" spans="1:19" ht="12.75" hidden="1" outlineLevel="2" collapsed="1">
      <c r="A173" s="25" t="s">
        <v>91</v>
      </c>
      <c r="C173" s="4" t="str">
        <f t="shared" si="209"/>
        <v>Jim</v>
      </c>
      <c r="D173" s="4" t="str">
        <f t="shared" si="210"/>
        <v>Stewart</v>
      </c>
      <c r="E173" s="27" t="str">
        <f t="shared" si="137"/>
        <v>ADMN</v>
      </c>
      <c r="F173" s="27" t="str">
        <f t="shared" si="211"/>
        <v>STEW0001</v>
      </c>
      <c r="G173" s="15">
        <f t="shared" si="214"/>
        <v>41671</v>
      </c>
      <c r="H173" s="27" t="str">
        <f t="shared" si="215"/>
        <v>10101</v>
      </c>
      <c r="N173" s="44" t="str">
        <f>"Total for " &amp; $H173</f>
        <v>Total for 10101</v>
      </c>
      <c r="O173" s="45">
        <f>G173</f>
        <v>41671</v>
      </c>
      <c r="P173" s="44"/>
      <c r="Q173" s="44"/>
      <c r="R173" s="44"/>
      <c r="S173" s="44">
        <f>SUBTOTAL(9,S165:S172)</f>
        <v>2323.48</v>
      </c>
    </row>
    <row r="174" spans="1:19" ht="12.75" hidden="1" outlineLevel="3">
      <c r="A174" s="25" t="s">
        <v>91</v>
      </c>
      <c r="C174" s="4" t="str">
        <f t="shared" ref="C174:C183" si="222">C173</f>
        <v>Jim</v>
      </c>
      <c r="D174" s="4" t="str">
        <f t="shared" ref="D174:D183" si="223">D173</f>
        <v>Stewart</v>
      </c>
      <c r="E174" s="27" t="str">
        <f t="shared" ref="E174:E183" si="224">E173</f>
        <v>ADMN</v>
      </c>
      <c r="F174" s="27" t="str">
        <f t="shared" ref="F174:F183" si="225">F173</f>
        <v>STEW0001</v>
      </c>
      <c r="G174" s="15">
        <f t="shared" ref="G174" si="226">O174</f>
        <v>41699</v>
      </c>
      <c r="H174" s="27" t="str">
        <f t="shared" ref="H174" si="227">N174</f>
        <v>10126</v>
      </c>
      <c r="J174" s="33"/>
      <c r="K174" s="33"/>
      <c r="L174" s="33"/>
      <c r="M174" s="33"/>
      <c r="N174" s="32" t="str">
        <f>"10126"</f>
        <v>10126</v>
      </c>
      <c r="O174" s="36">
        <v>41699</v>
      </c>
      <c r="P174" s="33"/>
      <c r="Q174" s="33"/>
      <c r="R174" s="33"/>
      <c r="S174" s="33"/>
    </row>
    <row r="175" spans="1:19" hidden="1" outlineLevel="3">
      <c r="A175" s="25" t="s">
        <v>91</v>
      </c>
      <c r="C175" s="4" t="str">
        <f t="shared" si="222"/>
        <v>Jim</v>
      </c>
      <c r="D175" s="4" t="str">
        <f t="shared" si="223"/>
        <v>Stewart</v>
      </c>
      <c r="E175" s="27" t="str">
        <f t="shared" si="224"/>
        <v>ADMN</v>
      </c>
      <c r="F175" s="27" t="str">
        <f t="shared" si="225"/>
        <v>STEW0001</v>
      </c>
      <c r="G175" s="15">
        <f t="shared" ref="G175:G183" si="228">G174</f>
        <v>41699</v>
      </c>
      <c r="H175" s="27" t="str">
        <f t="shared" ref="H175:H183" si="229">H174</f>
        <v>10126</v>
      </c>
      <c r="I175" s="27" t="str">
        <f>"""GP Direct"",""Fabrikam, Inc."",""Jet Payroll Transactions"",""Pay Rate"",""0.00000"",""Payroll Code"",""401K"",""State"","""",""Transaction Amount"",""5.07000"""</f>
        <v>"GP Direct","Fabrikam, Inc.","Jet Payroll Transactions","Pay Rate","0.00000","Payroll Code","401K","State","","Transaction Amount","5.07000"</v>
      </c>
      <c r="O175" s="28"/>
      <c r="P175" s="37">
        <v>0</v>
      </c>
      <c r="Q175" s="38" t="str">
        <f>"401K"</f>
        <v>401K</v>
      </c>
      <c r="R175" s="39"/>
      <c r="S175" s="37">
        <v>5.07</v>
      </c>
    </row>
    <row r="176" spans="1:19" hidden="1" outlineLevel="3">
      <c r="A176" s="25" t="s">
        <v>91</v>
      </c>
      <c r="C176" s="4" t="str">
        <f t="shared" ref="C176:C181" si="230">C175</f>
        <v>Jim</v>
      </c>
      <c r="D176" s="4" t="str">
        <f t="shared" ref="D176:D181" si="231">D175</f>
        <v>Stewart</v>
      </c>
      <c r="E176" s="27" t="str">
        <f t="shared" ref="E176:E181" si="232">E175</f>
        <v>ADMN</v>
      </c>
      <c r="F176" s="27" t="str">
        <f t="shared" ref="F176:F181" si="233">F175</f>
        <v>STEW0001</v>
      </c>
      <c r="G176" s="15">
        <f t="shared" ref="G176:G181" si="234">G175</f>
        <v>41699</v>
      </c>
      <c r="H176" s="27" t="str">
        <f t="shared" ref="H176:H181" si="235">H175</f>
        <v>10126</v>
      </c>
      <c r="I176" s="27" t="str">
        <f>"""GP Direct"",""Fabrikam, Inc."",""Jet Payroll Transactions"",""Pay Rate"",""0.00000"",""Payroll Code"",""401K"",""State"","""",""Transaction Amount"",""101.36000"""</f>
        <v>"GP Direct","Fabrikam, Inc.","Jet Payroll Transactions","Pay Rate","0.00000","Payroll Code","401K","State","","Transaction Amount","101.36000"</v>
      </c>
      <c r="O176" s="28"/>
      <c r="P176" s="37">
        <v>0</v>
      </c>
      <c r="Q176" s="38" t="str">
        <f>"401K"</f>
        <v>401K</v>
      </c>
      <c r="R176" s="39"/>
      <c r="S176" s="37">
        <v>101.36</v>
      </c>
    </row>
    <row r="177" spans="1:19" hidden="1" outlineLevel="3">
      <c r="A177" s="25" t="s">
        <v>91</v>
      </c>
      <c r="C177" s="4" t="str">
        <f t="shared" si="230"/>
        <v>Jim</v>
      </c>
      <c r="D177" s="4" t="str">
        <f t="shared" si="231"/>
        <v>Stewart</v>
      </c>
      <c r="E177" s="27" t="str">
        <f t="shared" si="232"/>
        <v>ADMN</v>
      </c>
      <c r="F177" s="27" t="str">
        <f t="shared" si="233"/>
        <v>STEW0001</v>
      </c>
      <c r="G177" s="15">
        <f t="shared" si="234"/>
        <v>41699</v>
      </c>
      <c r="H177" s="27" t="str">
        <f t="shared" si="235"/>
        <v>10126</v>
      </c>
      <c r="I177" s="27" t="str">
        <f>"""GP Direct"",""Fabrikam, Inc."",""Jet Payroll Transactions"",""Pay Rate"",""0.00000"",""Payroll Code"",""IL"",""State"","""",""Transaction Amount"",""47.49000"""</f>
        <v>"GP Direct","Fabrikam, Inc.","Jet Payroll Transactions","Pay Rate","0.00000","Payroll Code","IL","State","","Transaction Amount","47.49000"</v>
      </c>
      <c r="O177" s="28"/>
      <c r="P177" s="37">
        <v>0</v>
      </c>
      <c r="Q177" s="38" t="str">
        <f>"IL"</f>
        <v>IL</v>
      </c>
      <c r="R177" s="39"/>
      <c r="S177" s="37">
        <v>47.49</v>
      </c>
    </row>
    <row r="178" spans="1:19" hidden="1" outlineLevel="3">
      <c r="A178" s="25" t="s">
        <v>91</v>
      </c>
      <c r="C178" s="4" t="str">
        <f t="shared" si="230"/>
        <v>Jim</v>
      </c>
      <c r="D178" s="4" t="str">
        <f t="shared" si="231"/>
        <v>Stewart</v>
      </c>
      <c r="E178" s="27" t="str">
        <f t="shared" si="232"/>
        <v>ADMN</v>
      </c>
      <c r="F178" s="27" t="str">
        <f t="shared" si="233"/>
        <v>STEW0001</v>
      </c>
      <c r="G178" s="15">
        <f t="shared" si="234"/>
        <v>41699</v>
      </c>
      <c r="H178" s="27" t="str">
        <f t="shared" si="235"/>
        <v>10126</v>
      </c>
      <c r="I178" s="27" t="str">
        <f>"""GP Direct"",""Fabrikam, Inc."",""Jet Payroll Transactions"",""Pay Rate"",""0.00000"",""Payroll Code"",""INS"",""State"","""",""Transaction Amount"",""49.36000"""</f>
        <v>"GP Direct","Fabrikam, Inc.","Jet Payroll Transactions","Pay Rate","0.00000","Payroll Code","INS","State","","Transaction Amount","49.36000"</v>
      </c>
      <c r="O178" s="28"/>
      <c r="P178" s="37">
        <v>0</v>
      </c>
      <c r="Q178" s="38" t="str">
        <f>"INS"</f>
        <v>INS</v>
      </c>
      <c r="R178" s="39"/>
      <c r="S178" s="37">
        <v>49.36</v>
      </c>
    </row>
    <row r="179" spans="1:19" hidden="1" outlineLevel="3">
      <c r="A179" s="25" t="s">
        <v>91</v>
      </c>
      <c r="C179" s="4" t="str">
        <f t="shared" si="230"/>
        <v>Jim</v>
      </c>
      <c r="D179" s="4" t="str">
        <f t="shared" si="231"/>
        <v>Stewart</v>
      </c>
      <c r="E179" s="27" t="str">
        <f t="shared" si="232"/>
        <v>ADMN</v>
      </c>
      <c r="F179" s="27" t="str">
        <f t="shared" si="233"/>
        <v>STEW0001</v>
      </c>
      <c r="G179" s="15">
        <f t="shared" si="234"/>
        <v>41699</v>
      </c>
      <c r="H179" s="27" t="str">
        <f t="shared" si="235"/>
        <v>10126</v>
      </c>
      <c r="I179" s="27" t="str">
        <f>"""GP Direct"",""Fabrikam, Inc."",""Jet Payroll Transactions"",""Pay Rate"",""0.00000"",""Payroll Code"",""INS2"",""State"","""",""Transaction Amount"",""72.95000"""</f>
        <v>"GP Direct","Fabrikam, Inc.","Jet Payroll Transactions","Pay Rate","0.00000","Payroll Code","INS2","State","","Transaction Amount","72.95000"</v>
      </c>
      <c r="O179" s="28"/>
      <c r="P179" s="37">
        <v>0</v>
      </c>
      <c r="Q179" s="38" t="str">
        <f>"INS2"</f>
        <v>INS2</v>
      </c>
      <c r="R179" s="39"/>
      <c r="S179" s="37">
        <v>72.95</v>
      </c>
    </row>
    <row r="180" spans="1:19" hidden="1" outlineLevel="3">
      <c r="A180" s="25" t="s">
        <v>91</v>
      </c>
      <c r="C180" s="4" t="str">
        <f t="shared" si="230"/>
        <v>Jim</v>
      </c>
      <c r="D180" s="4" t="str">
        <f t="shared" si="231"/>
        <v>Stewart</v>
      </c>
      <c r="E180" s="27" t="str">
        <f t="shared" si="232"/>
        <v>ADMN</v>
      </c>
      <c r="F180" s="27" t="str">
        <f t="shared" si="233"/>
        <v>STEW0001</v>
      </c>
      <c r="G180" s="15">
        <f t="shared" si="234"/>
        <v>41699</v>
      </c>
      <c r="H180" s="27" t="str">
        <f t="shared" si="235"/>
        <v>10126</v>
      </c>
      <c r="I180" s="27" t="str">
        <f>"""GP Direct"",""Fabrikam, Inc."",""Jet Payroll Transactions"",""Pay Rate"",""0.00000"",""Payroll Code"",""MED"",""State"","""",""Transaction Amount"",""20.00000"""</f>
        <v>"GP Direct","Fabrikam, Inc.","Jet Payroll Transactions","Pay Rate","0.00000","Payroll Code","MED","State","","Transaction Amount","20.00000"</v>
      </c>
      <c r="O180" s="28"/>
      <c r="P180" s="37">
        <v>0</v>
      </c>
      <c r="Q180" s="38" t="str">
        <f>"MED"</f>
        <v>MED</v>
      </c>
      <c r="R180" s="39"/>
      <c r="S180" s="37">
        <v>20</v>
      </c>
    </row>
    <row r="181" spans="1:19" hidden="1" outlineLevel="3">
      <c r="A181" s="25" t="s">
        <v>91</v>
      </c>
      <c r="C181" s="4" t="str">
        <f t="shared" si="230"/>
        <v>Jim</v>
      </c>
      <c r="D181" s="4" t="str">
        <f t="shared" si="231"/>
        <v>Stewart</v>
      </c>
      <c r="E181" s="27" t="str">
        <f t="shared" si="232"/>
        <v>ADMN</v>
      </c>
      <c r="F181" s="27" t="str">
        <f t="shared" si="233"/>
        <v>STEW0001</v>
      </c>
      <c r="G181" s="15">
        <f t="shared" si="234"/>
        <v>41699</v>
      </c>
      <c r="H181" s="27" t="str">
        <f t="shared" si="235"/>
        <v>10126</v>
      </c>
      <c r="I181" s="27" t="str">
        <f>"""GP Direct"",""Fabrikam, Inc."",""Jet Payroll Transactions"",""Pay Rate"",""48654.00000"",""Payroll Code"",""SALY"",""State"",""IL"",""Transaction Amount"",""2027.25000"""</f>
        <v>"GP Direct","Fabrikam, Inc.","Jet Payroll Transactions","Pay Rate","48654.00000","Payroll Code","SALY","State","IL","Transaction Amount","2027.25000"</v>
      </c>
      <c r="O181" s="28"/>
      <c r="P181" s="37">
        <v>48654</v>
      </c>
      <c r="Q181" s="38" t="str">
        <f>"SALY"</f>
        <v>SALY</v>
      </c>
      <c r="R181" s="39" t="str">
        <f>"IL"</f>
        <v>IL</v>
      </c>
      <c r="S181" s="37">
        <v>2027.25</v>
      </c>
    </row>
    <row r="182" spans="1:19" hidden="1" outlineLevel="3">
      <c r="A182" s="24" t="s">
        <v>2812</v>
      </c>
      <c r="C182" s="4" t="str">
        <f>C175</f>
        <v>Jim</v>
      </c>
      <c r="D182" s="4" t="str">
        <f>D175</f>
        <v>Stewart</v>
      </c>
      <c r="E182" s="27" t="str">
        <f>E175</f>
        <v>ADMN</v>
      </c>
      <c r="F182" s="27" t="str">
        <f>F175</f>
        <v>STEW0001</v>
      </c>
      <c r="G182" s="15">
        <f>G175</f>
        <v>41699</v>
      </c>
      <c r="H182" s="27" t="str">
        <f>H175</f>
        <v>10126</v>
      </c>
      <c r="O182" s="28"/>
      <c r="S182" s="16"/>
    </row>
    <row r="183" spans="1:19" ht="12.75" hidden="1" outlineLevel="2" collapsed="1">
      <c r="A183" s="25" t="s">
        <v>91</v>
      </c>
      <c r="C183" s="4" t="str">
        <f t="shared" si="222"/>
        <v>Jim</v>
      </c>
      <c r="D183" s="4" t="str">
        <f t="shared" si="223"/>
        <v>Stewart</v>
      </c>
      <c r="E183" s="27" t="str">
        <f t="shared" si="224"/>
        <v>ADMN</v>
      </c>
      <c r="F183" s="27" t="str">
        <f t="shared" si="225"/>
        <v>STEW0001</v>
      </c>
      <c r="G183" s="15">
        <f t="shared" si="228"/>
        <v>41699</v>
      </c>
      <c r="H183" s="27" t="str">
        <f t="shared" si="229"/>
        <v>10126</v>
      </c>
      <c r="N183" s="44" t="str">
        <f>"Total for " &amp; $H183</f>
        <v>Total for 10126</v>
      </c>
      <c r="O183" s="45">
        <f>G183</f>
        <v>41699</v>
      </c>
      <c r="P183" s="44"/>
      <c r="Q183" s="44"/>
      <c r="R183" s="44"/>
      <c r="S183" s="44">
        <f>SUBTOTAL(9,S175:S182)</f>
        <v>2323.48</v>
      </c>
    </row>
    <row r="184" spans="1:19" ht="12.75" hidden="1" outlineLevel="2">
      <c r="A184" s="24" t="s">
        <v>2812</v>
      </c>
      <c r="C184" s="4" t="str">
        <f>C173</f>
        <v>Jim</v>
      </c>
      <c r="D184" s="4" t="str">
        <f>D173</f>
        <v>Stewart</v>
      </c>
      <c r="E184" s="27" t="str">
        <f>E173</f>
        <v>ADMN</v>
      </c>
      <c r="F184" s="27" t="str">
        <f>F173</f>
        <v>STEW0001</v>
      </c>
      <c r="G184" s="14"/>
      <c r="J184" s="33"/>
      <c r="K184" s="33"/>
      <c r="L184" s="33"/>
      <c r="M184" s="33"/>
      <c r="N184" s="33"/>
      <c r="O184" s="33"/>
      <c r="P184" s="33"/>
      <c r="Q184" s="33"/>
      <c r="R184" s="33"/>
      <c r="S184" s="40"/>
    </row>
    <row r="185" spans="1:19" ht="12.75" hidden="1" outlineLevel="1" collapsed="1">
      <c r="A185" s="25" t="s">
        <v>91</v>
      </c>
      <c r="C185" s="4" t="str">
        <f t="shared" si="209"/>
        <v>Jim</v>
      </c>
      <c r="D185" s="4" t="str">
        <f t="shared" si="210"/>
        <v>Stewart</v>
      </c>
      <c r="E185" s="27" t="str">
        <f t="shared" si="137"/>
        <v>ADMN</v>
      </c>
      <c r="F185" s="27" t="str">
        <f t="shared" si="211"/>
        <v>STEW0001</v>
      </c>
      <c r="G185" s="14"/>
      <c r="J185" s="33"/>
      <c r="K185" s="46" t="str">
        <f>"Total for " &amp; $F185</f>
        <v>Total for STEW0001</v>
      </c>
      <c r="L185" s="46" t="str">
        <f>C185</f>
        <v>Jim</v>
      </c>
      <c r="M185" s="46" t="str">
        <f>D185</f>
        <v>Stewart</v>
      </c>
      <c r="N185" s="46"/>
      <c r="O185" s="46"/>
      <c r="P185" s="46"/>
      <c r="Q185" s="46"/>
      <c r="R185" s="46"/>
      <c r="S185" s="47">
        <f>SUBTOTAL(9,S165:S184)</f>
        <v>4646.96</v>
      </c>
    </row>
    <row r="186" spans="1:19" ht="12.75" hidden="1" outlineLevel="1">
      <c r="A186" s="25" t="s">
        <v>91</v>
      </c>
      <c r="E186" s="27" t="str">
        <f>E123</f>
        <v>ADMN</v>
      </c>
      <c r="F186" s="14"/>
      <c r="G186" s="14"/>
      <c r="J186" s="33"/>
      <c r="K186" s="33"/>
      <c r="L186" s="33"/>
      <c r="M186" s="33"/>
      <c r="N186" s="33"/>
      <c r="O186" s="33"/>
      <c r="P186" s="33"/>
      <c r="Q186" s="33"/>
      <c r="R186" s="33"/>
      <c r="S186" s="40"/>
    </row>
    <row r="187" spans="1:19" ht="12.75" collapsed="1">
      <c r="A187" s="25" t="s">
        <v>91</v>
      </c>
      <c r="E187" s="27" t="str">
        <f t="shared" si="106"/>
        <v>ADMN</v>
      </c>
      <c r="F187" s="14"/>
      <c r="G187" s="14"/>
      <c r="J187" s="48" t="str">
        <f>"Total for " &amp; $E187</f>
        <v>Total for ADMN</v>
      </c>
      <c r="K187" s="48"/>
      <c r="L187" s="48"/>
      <c r="M187" s="48"/>
      <c r="N187" s="48"/>
      <c r="O187" s="48"/>
      <c r="P187" s="48"/>
      <c r="Q187" s="48"/>
      <c r="R187" s="48"/>
      <c r="S187" s="49">
        <f>SUBTOTAL(9,S105:S186)</f>
        <v>11844.6</v>
      </c>
    </row>
    <row r="188" spans="1:19" ht="12.75">
      <c r="A188" s="25" t="s">
        <v>91</v>
      </c>
      <c r="E188" s="27"/>
      <c r="F188" s="14"/>
      <c r="G188" s="14"/>
      <c r="J188" s="33"/>
      <c r="K188" s="33"/>
      <c r="L188" s="33"/>
      <c r="M188" s="33"/>
      <c r="N188" s="33"/>
      <c r="O188" s="33"/>
      <c r="P188" s="33"/>
      <c r="Q188" s="33"/>
      <c r="R188" s="33"/>
      <c r="S188" s="40"/>
    </row>
    <row r="189" spans="1:19" ht="12.75" hidden="1" outlineLevel="1">
      <c r="A189" s="25" t="s">
        <v>91</v>
      </c>
      <c r="E189" s="27" t="str">
        <f t="shared" ref="E189" si="236">J189</f>
        <v>INST</v>
      </c>
      <c r="F189" s="14"/>
      <c r="G189" s="14"/>
      <c r="J189" s="22" t="str">
        <f>"INST"</f>
        <v>INST</v>
      </c>
      <c r="K189" s="22"/>
      <c r="L189" s="22"/>
      <c r="M189" s="22"/>
      <c r="N189" s="22"/>
      <c r="O189" s="29"/>
      <c r="P189" s="29"/>
      <c r="Q189" s="29"/>
      <c r="R189" s="29"/>
      <c r="S189" s="30"/>
    </row>
    <row r="190" spans="1:19" ht="12.75" hidden="1" outlineLevel="2">
      <c r="A190" s="25" t="s">
        <v>91</v>
      </c>
      <c r="C190" s="4" t="str">
        <f t="shared" ref="C190" si="237">L190</f>
        <v>Angela</v>
      </c>
      <c r="D190" s="4" t="str">
        <f t="shared" ref="D190" si="238">M190</f>
        <v>Barbariol</v>
      </c>
      <c r="E190" s="27" t="str">
        <f t="shared" ref="E190:E336" si="239">E189</f>
        <v>INST</v>
      </c>
      <c r="F190" s="27" t="str">
        <f t="shared" ref="F190" si="240">K190</f>
        <v>BARB0001</v>
      </c>
      <c r="G190" s="14"/>
      <c r="J190" s="31"/>
      <c r="K190" s="21" t="str">
        <f>"BARB0001"</f>
        <v>BARB0001</v>
      </c>
      <c r="L190" s="43" t="str">
        <f>"Angela"</f>
        <v>Angela</v>
      </c>
      <c r="M190" s="43" t="str">
        <f>"Barbariol"</f>
        <v>Barbariol</v>
      </c>
      <c r="N190" s="43"/>
      <c r="O190" s="34"/>
      <c r="P190" s="33"/>
      <c r="Q190" s="33"/>
      <c r="R190" s="33"/>
      <c r="S190" s="35"/>
    </row>
    <row r="191" spans="1:19" ht="12.75" hidden="1" outlineLevel="3">
      <c r="A191" s="25" t="s">
        <v>91</v>
      </c>
      <c r="C191" s="4" t="str">
        <f t="shared" ref="C191:C212" si="241">C190</f>
        <v>Angela</v>
      </c>
      <c r="D191" s="4" t="str">
        <f t="shared" ref="D191:D212" si="242">D190</f>
        <v>Barbariol</v>
      </c>
      <c r="E191" s="27" t="str">
        <f t="shared" si="239"/>
        <v>INST</v>
      </c>
      <c r="F191" s="27" t="str">
        <f t="shared" ref="F191:F212" si="243">F190</f>
        <v>BARB0001</v>
      </c>
      <c r="G191" s="15">
        <f t="shared" ref="G191" si="244">O191</f>
        <v>41671</v>
      </c>
      <c r="H191" s="27" t="str">
        <f t="shared" ref="H191" si="245">N191</f>
        <v>DD000000000000000005</v>
      </c>
      <c r="J191" s="33"/>
      <c r="K191" s="33"/>
      <c r="L191" s="33"/>
      <c r="M191" s="33"/>
      <c r="N191" s="32" t="str">
        <f>"DD000000000000000005"</f>
        <v>DD000000000000000005</v>
      </c>
      <c r="O191" s="36">
        <v>41671</v>
      </c>
      <c r="P191" s="33"/>
      <c r="Q191" s="33"/>
      <c r="R191" s="33"/>
      <c r="S191" s="33"/>
    </row>
    <row r="192" spans="1:19" hidden="1" outlineLevel="3">
      <c r="A192" s="25" t="s">
        <v>91</v>
      </c>
      <c r="C192" s="4" t="str">
        <f t="shared" si="241"/>
        <v>Angela</v>
      </c>
      <c r="D192" s="4" t="str">
        <f t="shared" si="242"/>
        <v>Barbariol</v>
      </c>
      <c r="E192" s="27" t="str">
        <f t="shared" si="239"/>
        <v>INST</v>
      </c>
      <c r="F192" s="27" t="str">
        <f t="shared" si="243"/>
        <v>BARB0001</v>
      </c>
      <c r="G192" s="15">
        <f t="shared" ref="G192:G197" si="246">G191</f>
        <v>41671</v>
      </c>
      <c r="H192" s="27" t="str">
        <f t="shared" ref="H192:H197" si="247">H191</f>
        <v>DD000000000000000005</v>
      </c>
      <c r="I192" s="27" t="str">
        <f>"""GP Direct"",""Fabrikam, Inc."",""Jet Payroll Transactions"",""Pay Rate"",""0.00000"",""Payroll Code"",""IN"",""State"","""",""Transaction Amount"",""41.49000"""</f>
        <v>"GP Direct","Fabrikam, Inc.","Jet Payroll Transactions","Pay Rate","0.00000","Payroll Code","IN","State","","Transaction Amount","41.49000"</v>
      </c>
      <c r="O192" s="28"/>
      <c r="P192" s="37">
        <v>0</v>
      </c>
      <c r="Q192" s="38" t="str">
        <f>"IN"</f>
        <v>IN</v>
      </c>
      <c r="R192" s="39"/>
      <c r="S192" s="37">
        <v>41.49</v>
      </c>
    </row>
    <row r="193" spans="1:19" hidden="1" outlineLevel="3">
      <c r="A193" s="25" t="s">
        <v>91</v>
      </c>
      <c r="C193" s="4" t="str">
        <f t="shared" ref="C193:C195" si="248">C192</f>
        <v>Angela</v>
      </c>
      <c r="D193" s="4" t="str">
        <f t="shared" ref="D193:D195" si="249">D192</f>
        <v>Barbariol</v>
      </c>
      <c r="E193" s="27" t="str">
        <f t="shared" ref="E193:E195" si="250">E192</f>
        <v>INST</v>
      </c>
      <c r="F193" s="27" t="str">
        <f t="shared" ref="F193:F195" si="251">F192</f>
        <v>BARB0001</v>
      </c>
      <c r="G193" s="15">
        <f t="shared" ref="G193:G195" si="252">G192</f>
        <v>41671</v>
      </c>
      <c r="H193" s="27" t="str">
        <f t="shared" ref="H193:H195" si="253">H192</f>
        <v>DD000000000000000005</v>
      </c>
      <c r="I193" s="27" t="str">
        <f>"""GP Direct"",""Fabrikam, Inc."",""Jet Payroll Transactions"",""Pay Rate"",""0.00000"",""Payroll Code"",""INS"",""State"","""",""Transaction Amount"",""49.36000"""</f>
        <v>"GP Direct","Fabrikam, Inc.","Jet Payroll Transactions","Pay Rate","0.00000","Payroll Code","INS","State","","Transaction Amount","49.36000"</v>
      </c>
      <c r="O193" s="28"/>
      <c r="P193" s="37">
        <v>0</v>
      </c>
      <c r="Q193" s="38" t="str">
        <f>"INS"</f>
        <v>INS</v>
      </c>
      <c r="R193" s="39"/>
      <c r="S193" s="37">
        <v>49.36</v>
      </c>
    </row>
    <row r="194" spans="1:19" hidden="1" outlineLevel="3">
      <c r="A194" s="25" t="s">
        <v>91</v>
      </c>
      <c r="C194" s="4" t="str">
        <f t="shared" si="248"/>
        <v>Angela</v>
      </c>
      <c r="D194" s="4" t="str">
        <f t="shared" si="249"/>
        <v>Barbariol</v>
      </c>
      <c r="E194" s="27" t="str">
        <f t="shared" si="250"/>
        <v>INST</v>
      </c>
      <c r="F194" s="27" t="str">
        <f t="shared" si="251"/>
        <v>BARB0001</v>
      </c>
      <c r="G194" s="15">
        <f t="shared" si="252"/>
        <v>41671</v>
      </c>
      <c r="H194" s="27" t="str">
        <f t="shared" si="253"/>
        <v>DD000000000000000005</v>
      </c>
      <c r="I194" s="27" t="str">
        <f>"""GP Direct"",""Fabrikam, Inc."",""Jet Payroll Transactions"",""Pay Rate"",""0.00000"",""Payroll Code"",""MED"",""State"","""",""Transaction Amount"",""5.00000"""</f>
        <v>"GP Direct","Fabrikam, Inc.","Jet Payroll Transactions","Pay Rate","0.00000","Payroll Code","MED","State","","Transaction Amount","5.00000"</v>
      </c>
      <c r="O194" s="28"/>
      <c r="P194" s="37">
        <v>0</v>
      </c>
      <c r="Q194" s="38" t="str">
        <f>"MED"</f>
        <v>MED</v>
      </c>
      <c r="R194" s="39"/>
      <c r="S194" s="37">
        <v>5</v>
      </c>
    </row>
    <row r="195" spans="1:19" hidden="1" outlineLevel="3">
      <c r="A195" s="25" t="s">
        <v>91</v>
      </c>
      <c r="C195" s="4" t="str">
        <f t="shared" si="248"/>
        <v>Angela</v>
      </c>
      <c r="D195" s="4" t="str">
        <f t="shared" si="249"/>
        <v>Barbariol</v>
      </c>
      <c r="E195" s="27" t="str">
        <f t="shared" si="250"/>
        <v>INST</v>
      </c>
      <c r="F195" s="27" t="str">
        <f t="shared" si="251"/>
        <v>BARB0001</v>
      </c>
      <c r="G195" s="15">
        <f t="shared" si="252"/>
        <v>41671</v>
      </c>
      <c r="H195" s="27" t="str">
        <f t="shared" si="253"/>
        <v>DD000000000000000005</v>
      </c>
      <c r="I195" s="27" t="str">
        <f>"""GP Direct"",""Fabrikam, Inc."",""Jet Payroll Transactions"",""Pay Rate"",""15.10000"",""Payroll Code"",""HOUR"",""State"",""IN"",""Transaction Amount"",""1308.72000"""</f>
        <v>"GP Direct","Fabrikam, Inc.","Jet Payroll Transactions","Pay Rate","15.10000","Payroll Code","HOUR","State","IN","Transaction Amount","1308.72000"</v>
      </c>
      <c r="O195" s="28"/>
      <c r="P195" s="37">
        <v>15.1</v>
      </c>
      <c r="Q195" s="38" t="str">
        <f>"HOUR"</f>
        <v>HOUR</v>
      </c>
      <c r="R195" s="39" t="str">
        <f>"IN"</f>
        <v>IN</v>
      </c>
      <c r="S195" s="37">
        <v>1308.72</v>
      </c>
    </row>
    <row r="196" spans="1:19" hidden="1" outlineLevel="3">
      <c r="A196" s="24" t="s">
        <v>2812</v>
      </c>
      <c r="C196" s="4" t="str">
        <f>C192</f>
        <v>Angela</v>
      </c>
      <c r="D196" s="4" t="str">
        <f>D192</f>
        <v>Barbariol</v>
      </c>
      <c r="E196" s="27" t="str">
        <f>E192</f>
        <v>INST</v>
      </c>
      <c r="F196" s="27" t="str">
        <f>F192</f>
        <v>BARB0001</v>
      </c>
      <c r="G196" s="15">
        <f>G192</f>
        <v>41671</v>
      </c>
      <c r="H196" s="27" t="str">
        <f>H192</f>
        <v>DD000000000000000005</v>
      </c>
      <c r="O196" s="28"/>
      <c r="S196" s="16"/>
    </row>
    <row r="197" spans="1:19" ht="12.75" hidden="1" outlineLevel="2" collapsed="1">
      <c r="A197" s="25" t="s">
        <v>91</v>
      </c>
      <c r="C197" s="4" t="str">
        <f t="shared" si="241"/>
        <v>Angela</v>
      </c>
      <c r="D197" s="4" t="str">
        <f t="shared" si="242"/>
        <v>Barbariol</v>
      </c>
      <c r="E197" s="27" t="str">
        <f t="shared" si="239"/>
        <v>INST</v>
      </c>
      <c r="F197" s="27" t="str">
        <f t="shared" si="243"/>
        <v>BARB0001</v>
      </c>
      <c r="G197" s="15">
        <f t="shared" si="246"/>
        <v>41671</v>
      </c>
      <c r="H197" s="27" t="str">
        <f t="shared" si="247"/>
        <v>DD000000000000000005</v>
      </c>
      <c r="N197" s="44" t="str">
        <f>"Total for " &amp; $H197</f>
        <v>Total for DD000000000000000005</v>
      </c>
      <c r="O197" s="45">
        <f>G197</f>
        <v>41671</v>
      </c>
      <c r="P197" s="44"/>
      <c r="Q197" s="44"/>
      <c r="R197" s="44"/>
      <c r="S197" s="44">
        <f>SUBTOTAL(9,S192:S196)</f>
        <v>1404.57</v>
      </c>
    </row>
    <row r="198" spans="1:19" ht="12.75" hidden="1" outlineLevel="3">
      <c r="A198" s="25" t="s">
        <v>91</v>
      </c>
      <c r="C198" s="4" t="str">
        <f t="shared" ref="C198:C210" si="254">C197</f>
        <v>Angela</v>
      </c>
      <c r="D198" s="4" t="str">
        <f t="shared" ref="D198:D210" si="255">D197</f>
        <v>Barbariol</v>
      </c>
      <c r="E198" s="27" t="str">
        <f t="shared" ref="E198:E210" si="256">E197</f>
        <v>INST</v>
      </c>
      <c r="F198" s="27" t="str">
        <f t="shared" ref="F198:F210" si="257">F197</f>
        <v>BARB0001</v>
      </c>
      <c r="G198" s="15">
        <f t="shared" ref="G198" si="258">O198</f>
        <v>41699</v>
      </c>
      <c r="H198" s="27" t="str">
        <f t="shared" ref="H198" si="259">N198</f>
        <v>DD000000000000000008</v>
      </c>
      <c r="J198" s="33"/>
      <c r="K198" s="33"/>
      <c r="L198" s="33"/>
      <c r="M198" s="33"/>
      <c r="N198" s="32" t="str">
        <f>"DD000000000000000008"</f>
        <v>DD000000000000000008</v>
      </c>
      <c r="O198" s="36">
        <v>41699</v>
      </c>
      <c r="P198" s="33"/>
      <c r="Q198" s="33"/>
      <c r="R198" s="33"/>
      <c r="S198" s="33"/>
    </row>
    <row r="199" spans="1:19" hidden="1" outlineLevel="3">
      <c r="A199" s="25" t="s">
        <v>91</v>
      </c>
      <c r="C199" s="4" t="str">
        <f t="shared" si="254"/>
        <v>Angela</v>
      </c>
      <c r="D199" s="4" t="str">
        <f t="shared" si="255"/>
        <v>Barbariol</v>
      </c>
      <c r="E199" s="27" t="str">
        <f t="shared" si="256"/>
        <v>INST</v>
      </c>
      <c r="F199" s="27" t="str">
        <f t="shared" si="257"/>
        <v>BARB0001</v>
      </c>
      <c r="G199" s="15">
        <f t="shared" ref="G199:G205" si="260">G198</f>
        <v>41699</v>
      </c>
      <c r="H199" s="27" t="str">
        <f t="shared" ref="H199:H205" si="261">H198</f>
        <v>DD000000000000000008</v>
      </c>
      <c r="I199" s="27" t="str">
        <f>"""GP Direct"",""Fabrikam, Inc."",""Jet Payroll Transactions"",""Pay Rate"",""0.00000"",""Payroll Code"",""IN"",""State"","""",""Transaction Amount"",""41.49000"""</f>
        <v>"GP Direct","Fabrikam, Inc.","Jet Payroll Transactions","Pay Rate","0.00000","Payroll Code","IN","State","","Transaction Amount","41.49000"</v>
      </c>
      <c r="O199" s="28"/>
      <c r="P199" s="37">
        <v>0</v>
      </c>
      <c r="Q199" s="38" t="str">
        <f>"IN"</f>
        <v>IN</v>
      </c>
      <c r="R199" s="39"/>
      <c r="S199" s="37">
        <v>41.49</v>
      </c>
    </row>
    <row r="200" spans="1:19" hidden="1" outlineLevel="3">
      <c r="A200" s="25" t="s">
        <v>91</v>
      </c>
      <c r="C200" s="4" t="str">
        <f t="shared" ref="C200:C203" si="262">C199</f>
        <v>Angela</v>
      </c>
      <c r="D200" s="4" t="str">
        <f t="shared" ref="D200:D203" si="263">D199</f>
        <v>Barbariol</v>
      </c>
      <c r="E200" s="27" t="str">
        <f t="shared" ref="E200:E203" si="264">E199</f>
        <v>INST</v>
      </c>
      <c r="F200" s="27" t="str">
        <f t="shared" ref="F200:F203" si="265">F199</f>
        <v>BARB0001</v>
      </c>
      <c r="G200" s="15">
        <f t="shared" ref="G200:G203" si="266">G199</f>
        <v>41699</v>
      </c>
      <c r="H200" s="27" t="str">
        <f t="shared" ref="H200:H203" si="267">H199</f>
        <v>DD000000000000000008</v>
      </c>
      <c r="I200" s="27" t="str">
        <f>"""GP Direct"",""Fabrikam, Inc."",""Jet Payroll Transactions"",""Pay Rate"",""0.00000"",""Payroll Code"",""INS"",""State"","""",""Transaction Amount"",""49.36000"""</f>
        <v>"GP Direct","Fabrikam, Inc.","Jet Payroll Transactions","Pay Rate","0.00000","Payroll Code","INS","State","","Transaction Amount","49.36000"</v>
      </c>
      <c r="O200" s="28"/>
      <c r="P200" s="37">
        <v>0</v>
      </c>
      <c r="Q200" s="38" t="str">
        <f>"INS"</f>
        <v>INS</v>
      </c>
      <c r="R200" s="39"/>
      <c r="S200" s="37">
        <v>49.36</v>
      </c>
    </row>
    <row r="201" spans="1:19" hidden="1" outlineLevel="3">
      <c r="A201" s="25" t="s">
        <v>91</v>
      </c>
      <c r="C201" s="4" t="str">
        <f t="shared" si="262"/>
        <v>Angela</v>
      </c>
      <c r="D201" s="4" t="str">
        <f t="shared" si="263"/>
        <v>Barbariol</v>
      </c>
      <c r="E201" s="27" t="str">
        <f t="shared" si="264"/>
        <v>INST</v>
      </c>
      <c r="F201" s="27" t="str">
        <f t="shared" si="265"/>
        <v>BARB0001</v>
      </c>
      <c r="G201" s="15">
        <f t="shared" si="266"/>
        <v>41699</v>
      </c>
      <c r="H201" s="27" t="str">
        <f t="shared" si="267"/>
        <v>DD000000000000000008</v>
      </c>
      <c r="I201" s="27" t="str">
        <f>"""GP Direct"",""Fabrikam, Inc."",""Jet Payroll Transactions"",""Pay Rate"",""0.00000"",""Payroll Code"",""MED"",""State"","""",""Transaction Amount"",""5.00000"""</f>
        <v>"GP Direct","Fabrikam, Inc.","Jet Payroll Transactions","Pay Rate","0.00000","Payroll Code","MED","State","","Transaction Amount","5.00000"</v>
      </c>
      <c r="O201" s="28"/>
      <c r="P201" s="37">
        <v>0</v>
      </c>
      <c r="Q201" s="38" t="str">
        <f>"MED"</f>
        <v>MED</v>
      </c>
      <c r="R201" s="39"/>
      <c r="S201" s="37">
        <v>5</v>
      </c>
    </row>
    <row r="202" spans="1:19" hidden="1" outlineLevel="3">
      <c r="A202" s="25" t="s">
        <v>91</v>
      </c>
      <c r="C202" s="4" t="str">
        <f t="shared" si="262"/>
        <v>Angela</v>
      </c>
      <c r="D202" s="4" t="str">
        <f t="shared" si="263"/>
        <v>Barbariol</v>
      </c>
      <c r="E202" s="27" t="str">
        <f t="shared" si="264"/>
        <v>INST</v>
      </c>
      <c r="F202" s="27" t="str">
        <f t="shared" si="265"/>
        <v>BARB0001</v>
      </c>
      <c r="G202" s="15">
        <f t="shared" si="266"/>
        <v>41699</v>
      </c>
      <c r="H202" s="27" t="str">
        <f t="shared" si="267"/>
        <v>DD000000000000000008</v>
      </c>
      <c r="I202" s="27" t="str">
        <f>"""GP Direct"",""Fabrikam, Inc."",""Jet Payroll Transactions"",""Pay Rate"",""15.10000"",""Payroll Code"",""HOLI"",""State"",""IN"",""Transaction Amount"",""120.80000"""</f>
        <v>"GP Direct","Fabrikam, Inc.","Jet Payroll Transactions","Pay Rate","15.10000","Payroll Code","HOLI","State","IN","Transaction Amount","120.80000"</v>
      </c>
      <c r="O202" s="28"/>
      <c r="P202" s="37">
        <v>15.1</v>
      </c>
      <c r="Q202" s="38" t="str">
        <f>"HOLI"</f>
        <v>HOLI</v>
      </c>
      <c r="R202" s="39" t="str">
        <f>"IN"</f>
        <v>IN</v>
      </c>
      <c r="S202" s="37">
        <v>120.8</v>
      </c>
    </row>
    <row r="203" spans="1:19" hidden="1" outlineLevel="3">
      <c r="A203" s="25" t="s">
        <v>91</v>
      </c>
      <c r="C203" s="4" t="str">
        <f t="shared" si="262"/>
        <v>Angela</v>
      </c>
      <c r="D203" s="4" t="str">
        <f t="shared" si="263"/>
        <v>Barbariol</v>
      </c>
      <c r="E203" s="27" t="str">
        <f t="shared" si="264"/>
        <v>INST</v>
      </c>
      <c r="F203" s="27" t="str">
        <f t="shared" si="265"/>
        <v>BARB0001</v>
      </c>
      <c r="G203" s="15">
        <f t="shared" si="266"/>
        <v>41699</v>
      </c>
      <c r="H203" s="27" t="str">
        <f t="shared" si="267"/>
        <v>DD000000000000000008</v>
      </c>
      <c r="I203" s="27" t="str">
        <f>"""GP Direct"",""Fabrikam, Inc."",""Jet Payroll Transactions"",""Pay Rate"",""15.10000"",""Payroll Code"",""HOUR"",""State"",""IN"",""Transaction Amount"",""1187.92000"""</f>
        <v>"GP Direct","Fabrikam, Inc.","Jet Payroll Transactions","Pay Rate","15.10000","Payroll Code","HOUR","State","IN","Transaction Amount","1187.92000"</v>
      </c>
      <c r="O203" s="28"/>
      <c r="P203" s="37">
        <v>15.1</v>
      </c>
      <c r="Q203" s="38" t="str">
        <f>"HOUR"</f>
        <v>HOUR</v>
      </c>
      <c r="R203" s="39" t="str">
        <f>"IN"</f>
        <v>IN</v>
      </c>
      <c r="S203" s="37">
        <v>1187.92</v>
      </c>
    </row>
    <row r="204" spans="1:19" hidden="1" outlineLevel="3">
      <c r="A204" s="24" t="s">
        <v>2812</v>
      </c>
      <c r="C204" s="4" t="str">
        <f>C199</f>
        <v>Angela</v>
      </c>
      <c r="D204" s="4" t="str">
        <f>D199</f>
        <v>Barbariol</v>
      </c>
      <c r="E204" s="27" t="str">
        <f>E199</f>
        <v>INST</v>
      </c>
      <c r="F204" s="27" t="str">
        <f>F199</f>
        <v>BARB0001</v>
      </c>
      <c r="G204" s="15">
        <f>G199</f>
        <v>41699</v>
      </c>
      <c r="H204" s="27" t="str">
        <f>H199</f>
        <v>DD000000000000000008</v>
      </c>
      <c r="O204" s="28"/>
      <c r="S204" s="16"/>
    </row>
    <row r="205" spans="1:19" ht="12.75" hidden="1" outlineLevel="2" collapsed="1">
      <c r="A205" s="25" t="s">
        <v>91</v>
      </c>
      <c r="C205" s="4" t="str">
        <f t="shared" si="254"/>
        <v>Angela</v>
      </c>
      <c r="D205" s="4" t="str">
        <f t="shared" si="255"/>
        <v>Barbariol</v>
      </c>
      <c r="E205" s="27" t="str">
        <f t="shared" si="256"/>
        <v>INST</v>
      </c>
      <c r="F205" s="27" t="str">
        <f t="shared" si="257"/>
        <v>BARB0001</v>
      </c>
      <c r="G205" s="15">
        <f t="shared" si="260"/>
        <v>41699</v>
      </c>
      <c r="H205" s="27" t="str">
        <f t="shared" si="261"/>
        <v>DD000000000000000008</v>
      </c>
      <c r="N205" s="44" t="str">
        <f>"Total for " &amp; $H205</f>
        <v>Total for DD000000000000000008</v>
      </c>
      <c r="O205" s="45">
        <f>G205</f>
        <v>41699</v>
      </c>
      <c r="P205" s="44"/>
      <c r="Q205" s="44"/>
      <c r="R205" s="44"/>
      <c r="S205" s="44">
        <f>SUBTOTAL(9,S199:S204)</f>
        <v>1404.5700000000002</v>
      </c>
    </row>
    <row r="206" spans="1:19" ht="12.75" hidden="1" outlineLevel="3">
      <c r="A206" s="25" t="s">
        <v>91</v>
      </c>
      <c r="C206" s="4" t="str">
        <f t="shared" si="254"/>
        <v>Angela</v>
      </c>
      <c r="D206" s="4" t="str">
        <f t="shared" si="255"/>
        <v>Barbariol</v>
      </c>
      <c r="E206" s="27" t="str">
        <f t="shared" si="256"/>
        <v>INST</v>
      </c>
      <c r="F206" s="27" t="str">
        <f t="shared" si="257"/>
        <v>BARB0001</v>
      </c>
      <c r="G206" s="15">
        <f t="shared" ref="G206" si="268">O206</f>
        <v>41640</v>
      </c>
      <c r="H206" s="27" t="str">
        <f t="shared" ref="H206" si="269">N206</f>
        <v>DD000000000000000182</v>
      </c>
      <c r="J206" s="33"/>
      <c r="K206" s="33"/>
      <c r="L206" s="33"/>
      <c r="M206" s="33"/>
      <c r="N206" s="32" t="str">
        <f>"DD000000000000000182"</f>
        <v>DD000000000000000182</v>
      </c>
      <c r="O206" s="36">
        <v>41640</v>
      </c>
      <c r="P206" s="33"/>
      <c r="Q206" s="33"/>
      <c r="R206" s="33"/>
      <c r="S206" s="33"/>
    </row>
    <row r="207" spans="1:19" hidden="1" outlineLevel="3">
      <c r="A207" s="25" t="s">
        <v>91</v>
      </c>
      <c r="C207" s="4" t="str">
        <f t="shared" si="254"/>
        <v>Angela</v>
      </c>
      <c r="D207" s="4" t="str">
        <f t="shared" si="255"/>
        <v>Barbariol</v>
      </c>
      <c r="E207" s="27" t="str">
        <f t="shared" si="256"/>
        <v>INST</v>
      </c>
      <c r="F207" s="27" t="str">
        <f t="shared" si="257"/>
        <v>BARB0001</v>
      </c>
      <c r="G207" s="15">
        <f t="shared" ref="G207:G210" si="270">G206</f>
        <v>41640</v>
      </c>
      <c r="H207" s="27" t="str">
        <f t="shared" ref="H207:H210" si="271">H206</f>
        <v>DD000000000000000182</v>
      </c>
      <c r="I207" s="27" t="str">
        <f>"""GP Direct"",""Fabrikam, Inc."",""Jet Payroll Transactions"",""Pay Rate"",""0.00000"",""Payroll Code"",""IN"",""State"","""",""Transaction Amount"",""9.94000"""</f>
        <v>"GP Direct","Fabrikam, Inc.","Jet Payroll Transactions","Pay Rate","0.00000","Payroll Code","IN","State","","Transaction Amount","9.94000"</v>
      </c>
      <c r="O207" s="28"/>
      <c r="P207" s="37">
        <v>0</v>
      </c>
      <c r="Q207" s="38" t="str">
        <f>"IN"</f>
        <v>IN</v>
      </c>
      <c r="R207" s="39"/>
      <c r="S207" s="37">
        <v>9.94</v>
      </c>
    </row>
    <row r="208" spans="1:19" hidden="1" outlineLevel="3">
      <c r="A208" s="25" t="s">
        <v>91</v>
      </c>
      <c r="C208" s="4" t="str">
        <f t="shared" ref="C208" si="272">C207</f>
        <v>Angela</v>
      </c>
      <c r="D208" s="4" t="str">
        <f t="shared" ref="D208" si="273">D207</f>
        <v>Barbariol</v>
      </c>
      <c r="E208" s="27" t="str">
        <f t="shared" ref="E208" si="274">E207</f>
        <v>INST</v>
      </c>
      <c r="F208" s="27" t="str">
        <f t="shared" ref="F208" si="275">F207</f>
        <v>BARB0001</v>
      </c>
      <c r="G208" s="15">
        <f t="shared" ref="G208" si="276">G207</f>
        <v>41640</v>
      </c>
      <c r="H208" s="27" t="str">
        <f t="shared" ref="H208" si="277">H207</f>
        <v>DD000000000000000182</v>
      </c>
      <c r="I208" s="27" t="str">
        <f>"""GP Direct"",""Fabrikam, Inc."",""Jet Payroll Transactions"",""Pay Rate"",""300.00000"",""Payroll Code"",""BONS"",""State"",""IN"",""Transaction Amount"",""300.00000"""</f>
        <v>"GP Direct","Fabrikam, Inc.","Jet Payroll Transactions","Pay Rate","300.00000","Payroll Code","BONS","State","IN","Transaction Amount","300.00000"</v>
      </c>
      <c r="O208" s="28"/>
      <c r="P208" s="37">
        <v>300</v>
      </c>
      <c r="Q208" s="38" t="str">
        <f>"BONS"</f>
        <v>BONS</v>
      </c>
      <c r="R208" s="39" t="str">
        <f>"IN"</f>
        <v>IN</v>
      </c>
      <c r="S208" s="37">
        <v>300</v>
      </c>
    </row>
    <row r="209" spans="1:19" hidden="1" outlineLevel="3">
      <c r="A209" s="24" t="s">
        <v>2812</v>
      </c>
      <c r="C209" s="4" t="str">
        <f>C207</f>
        <v>Angela</v>
      </c>
      <c r="D209" s="4" t="str">
        <f>D207</f>
        <v>Barbariol</v>
      </c>
      <c r="E209" s="27" t="str">
        <f>E207</f>
        <v>INST</v>
      </c>
      <c r="F209" s="27" t="str">
        <f>F207</f>
        <v>BARB0001</v>
      </c>
      <c r="G209" s="15">
        <f>G207</f>
        <v>41640</v>
      </c>
      <c r="H209" s="27" t="str">
        <f>H207</f>
        <v>DD000000000000000182</v>
      </c>
      <c r="O209" s="28"/>
      <c r="S209" s="16"/>
    </row>
    <row r="210" spans="1:19" ht="12.75" hidden="1" outlineLevel="2" collapsed="1">
      <c r="A210" s="25" t="s">
        <v>91</v>
      </c>
      <c r="C210" s="4" t="str">
        <f t="shared" si="254"/>
        <v>Angela</v>
      </c>
      <c r="D210" s="4" t="str">
        <f t="shared" si="255"/>
        <v>Barbariol</v>
      </c>
      <c r="E210" s="27" t="str">
        <f t="shared" si="256"/>
        <v>INST</v>
      </c>
      <c r="F210" s="27" t="str">
        <f t="shared" si="257"/>
        <v>BARB0001</v>
      </c>
      <c r="G210" s="15">
        <f t="shared" si="270"/>
        <v>41640</v>
      </c>
      <c r="H210" s="27" t="str">
        <f t="shared" si="271"/>
        <v>DD000000000000000182</v>
      </c>
      <c r="N210" s="44" t="str">
        <f>"Total for " &amp; $H210</f>
        <v>Total for DD000000000000000182</v>
      </c>
      <c r="O210" s="45">
        <f>G210</f>
        <v>41640</v>
      </c>
      <c r="P210" s="44"/>
      <c r="Q210" s="44"/>
      <c r="R210" s="44"/>
      <c r="S210" s="44">
        <f>SUBTOTAL(9,S207:S209)</f>
        <v>309.94</v>
      </c>
    </row>
    <row r="211" spans="1:19" ht="12.75" hidden="1" outlineLevel="2">
      <c r="A211" s="24" t="s">
        <v>2812</v>
      </c>
      <c r="C211" s="4" t="str">
        <f>C197</f>
        <v>Angela</v>
      </c>
      <c r="D211" s="4" t="str">
        <f>D197</f>
        <v>Barbariol</v>
      </c>
      <c r="E211" s="27" t="str">
        <f>E197</f>
        <v>INST</v>
      </c>
      <c r="F211" s="27" t="str">
        <f>F197</f>
        <v>BARB0001</v>
      </c>
      <c r="G211" s="14"/>
      <c r="J211" s="33"/>
      <c r="K211" s="33"/>
      <c r="L211" s="33"/>
      <c r="M211" s="33"/>
      <c r="N211" s="33"/>
      <c r="O211" s="33"/>
      <c r="P211" s="33"/>
      <c r="Q211" s="33"/>
      <c r="R211" s="33"/>
      <c r="S211" s="40"/>
    </row>
    <row r="212" spans="1:19" ht="12.75" hidden="1" outlineLevel="1" collapsed="1">
      <c r="A212" s="25" t="s">
        <v>91</v>
      </c>
      <c r="C212" s="4" t="str">
        <f t="shared" si="241"/>
        <v>Angela</v>
      </c>
      <c r="D212" s="4" t="str">
        <f t="shared" si="242"/>
        <v>Barbariol</v>
      </c>
      <c r="E212" s="27" t="str">
        <f t="shared" si="239"/>
        <v>INST</v>
      </c>
      <c r="F212" s="27" t="str">
        <f t="shared" si="243"/>
        <v>BARB0001</v>
      </c>
      <c r="G212" s="14"/>
      <c r="J212" s="33"/>
      <c r="K212" s="46" t="str">
        <f>"Total for " &amp; $F212</f>
        <v>Total for BARB0001</v>
      </c>
      <c r="L212" s="46" t="str">
        <f>C212</f>
        <v>Angela</v>
      </c>
      <c r="M212" s="46" t="str">
        <f>D212</f>
        <v>Barbariol</v>
      </c>
      <c r="N212" s="46"/>
      <c r="O212" s="46"/>
      <c r="P212" s="46"/>
      <c r="Q212" s="46"/>
      <c r="R212" s="46"/>
      <c r="S212" s="47">
        <f>SUBTOTAL(9,S192:S211)</f>
        <v>3119.08</v>
      </c>
    </row>
    <row r="213" spans="1:19" ht="12.75" hidden="1" outlineLevel="2">
      <c r="A213" s="25" t="s">
        <v>91</v>
      </c>
      <c r="C213" s="4" t="str">
        <f t="shared" ref="C213" si="278">L213</f>
        <v>Adam</v>
      </c>
      <c r="D213" s="4" t="str">
        <f t="shared" ref="D213" si="279">M213</f>
        <v>Barr</v>
      </c>
      <c r="E213" s="27" t="str">
        <f t="shared" ref="E213:E334" si="280">E212</f>
        <v>INST</v>
      </c>
      <c r="F213" s="27" t="str">
        <f t="shared" ref="F213" si="281">K213</f>
        <v>BARR0001</v>
      </c>
      <c r="G213" s="14"/>
      <c r="J213" s="31"/>
      <c r="K213" s="21" t="str">
        <f>"BARR0001"</f>
        <v>BARR0001</v>
      </c>
      <c r="L213" s="43" t="str">
        <f>"Adam"</f>
        <v>Adam</v>
      </c>
      <c r="M213" s="43" t="str">
        <f>"Barr"</f>
        <v>Barr</v>
      </c>
      <c r="N213" s="43"/>
      <c r="O213" s="34"/>
      <c r="P213" s="33"/>
      <c r="Q213" s="33"/>
      <c r="R213" s="33"/>
      <c r="S213" s="35"/>
    </row>
    <row r="214" spans="1:19" ht="12.75" hidden="1" outlineLevel="3">
      <c r="A214" s="25" t="s">
        <v>91</v>
      </c>
      <c r="C214" s="4" t="str">
        <f t="shared" ref="C214:C239" si="282">C213</f>
        <v>Adam</v>
      </c>
      <c r="D214" s="4" t="str">
        <f t="shared" ref="D214:D239" si="283">D213</f>
        <v>Barr</v>
      </c>
      <c r="E214" s="27" t="str">
        <f t="shared" si="280"/>
        <v>INST</v>
      </c>
      <c r="F214" s="27" t="str">
        <f t="shared" ref="F214:F239" si="284">F213</f>
        <v>BARR0001</v>
      </c>
      <c r="G214" s="15">
        <f t="shared" ref="G214" si="285">O214</f>
        <v>41671</v>
      </c>
      <c r="H214" s="27" t="str">
        <f t="shared" ref="H214" si="286">N214</f>
        <v>10081</v>
      </c>
      <c r="J214" s="33"/>
      <c r="K214" s="33"/>
      <c r="L214" s="33"/>
      <c r="M214" s="33"/>
      <c r="N214" s="32" t="str">
        <f>"10081"</f>
        <v>10081</v>
      </c>
      <c r="O214" s="36">
        <v>41671</v>
      </c>
      <c r="P214" s="33"/>
      <c r="Q214" s="33"/>
      <c r="R214" s="33"/>
      <c r="S214" s="33"/>
    </row>
    <row r="215" spans="1:19" hidden="1" outlineLevel="3">
      <c r="A215" s="25" t="s">
        <v>91</v>
      </c>
      <c r="C215" s="4" t="str">
        <f t="shared" si="282"/>
        <v>Adam</v>
      </c>
      <c r="D215" s="4" t="str">
        <f t="shared" si="283"/>
        <v>Barr</v>
      </c>
      <c r="E215" s="27" t="str">
        <f t="shared" si="280"/>
        <v>INST</v>
      </c>
      <c r="F215" s="27" t="str">
        <f t="shared" si="284"/>
        <v>BARR0001</v>
      </c>
      <c r="G215" s="15">
        <f t="shared" ref="G215:G222" si="287">G214</f>
        <v>41671</v>
      </c>
      <c r="H215" s="27" t="str">
        <f t="shared" ref="H215:H222" si="288">H214</f>
        <v>10081</v>
      </c>
      <c r="I215" s="27" t="str">
        <f>"""GP Direct"",""Fabrikam, Inc."",""Jet Payroll Transactions"",""Pay Rate"",""0.00000"",""Payroll Code"",""401K"",""State"","""",""Transaction Amount"",""2.79000"""</f>
        <v>"GP Direct","Fabrikam, Inc.","Jet Payroll Transactions","Pay Rate","0.00000","Payroll Code","401K","State","","Transaction Amount","2.79000"</v>
      </c>
      <c r="O215" s="28"/>
      <c r="P215" s="37">
        <v>0</v>
      </c>
      <c r="Q215" s="38" t="str">
        <f>"401K"</f>
        <v>401K</v>
      </c>
      <c r="R215" s="39"/>
      <c r="S215" s="37">
        <v>2.79</v>
      </c>
    </row>
    <row r="216" spans="1:19" hidden="1" outlineLevel="3">
      <c r="A216" s="25" t="s">
        <v>91</v>
      </c>
      <c r="C216" s="4" t="str">
        <f t="shared" ref="C216:C220" si="289">C215</f>
        <v>Adam</v>
      </c>
      <c r="D216" s="4" t="str">
        <f t="shared" ref="D216:D220" si="290">D215</f>
        <v>Barr</v>
      </c>
      <c r="E216" s="27" t="str">
        <f t="shared" ref="E216:E220" si="291">E215</f>
        <v>INST</v>
      </c>
      <c r="F216" s="27" t="str">
        <f t="shared" ref="F216:F220" si="292">F215</f>
        <v>BARR0001</v>
      </c>
      <c r="G216" s="15">
        <f t="shared" ref="G216:G220" si="293">G215</f>
        <v>41671</v>
      </c>
      <c r="H216" s="27" t="str">
        <f t="shared" ref="H216:H220" si="294">H215</f>
        <v>10081</v>
      </c>
      <c r="I216" s="27" t="str">
        <f>"""GP Direct"",""Fabrikam, Inc."",""Jet Payroll Transactions"",""Pay Rate"",""0.00000"",""Payroll Code"",""401K"",""State"","""",""Transaction Amount"",""55.82000"""</f>
        <v>"GP Direct","Fabrikam, Inc.","Jet Payroll Transactions","Pay Rate","0.00000","Payroll Code","401K","State","","Transaction Amount","55.82000"</v>
      </c>
      <c r="O216" s="28"/>
      <c r="P216" s="37">
        <v>0</v>
      </c>
      <c r="Q216" s="38" t="str">
        <f>"401K"</f>
        <v>401K</v>
      </c>
      <c r="R216" s="39"/>
      <c r="S216" s="37">
        <v>55.82</v>
      </c>
    </row>
    <row r="217" spans="1:19" hidden="1" outlineLevel="3">
      <c r="A217" s="25" t="s">
        <v>91</v>
      </c>
      <c r="C217" s="4" t="str">
        <f t="shared" si="289"/>
        <v>Adam</v>
      </c>
      <c r="D217" s="4" t="str">
        <f t="shared" si="290"/>
        <v>Barr</v>
      </c>
      <c r="E217" s="27" t="str">
        <f t="shared" si="291"/>
        <v>INST</v>
      </c>
      <c r="F217" s="27" t="str">
        <f t="shared" si="292"/>
        <v>BARR0001</v>
      </c>
      <c r="G217" s="15">
        <f t="shared" si="293"/>
        <v>41671</v>
      </c>
      <c r="H217" s="27" t="str">
        <f t="shared" si="294"/>
        <v>10081</v>
      </c>
      <c r="I217" s="27" t="str">
        <f>"""GP Direct"",""Fabrikam, Inc."",""Jet Payroll Transactions"",""Pay Rate"",""0.00000"",""Payroll Code"",""INS"",""State"","""",""Transaction Amount"",""49.36000"""</f>
        <v>"GP Direct","Fabrikam, Inc.","Jet Payroll Transactions","Pay Rate","0.00000","Payroll Code","INS","State","","Transaction Amount","49.36000"</v>
      </c>
      <c r="O217" s="28"/>
      <c r="P217" s="37">
        <v>0</v>
      </c>
      <c r="Q217" s="38" t="str">
        <f>"INS"</f>
        <v>INS</v>
      </c>
      <c r="R217" s="39"/>
      <c r="S217" s="37">
        <v>49.36</v>
      </c>
    </row>
    <row r="218" spans="1:19" hidden="1" outlineLevel="3">
      <c r="A218" s="25" t="s">
        <v>91</v>
      </c>
      <c r="C218" s="4" t="str">
        <f t="shared" si="289"/>
        <v>Adam</v>
      </c>
      <c r="D218" s="4" t="str">
        <f t="shared" si="290"/>
        <v>Barr</v>
      </c>
      <c r="E218" s="27" t="str">
        <f t="shared" si="291"/>
        <v>INST</v>
      </c>
      <c r="F218" s="27" t="str">
        <f t="shared" si="292"/>
        <v>BARR0001</v>
      </c>
      <c r="G218" s="15">
        <f t="shared" si="293"/>
        <v>41671</v>
      </c>
      <c r="H218" s="27" t="str">
        <f t="shared" si="294"/>
        <v>10081</v>
      </c>
      <c r="I218" s="27" t="str">
        <f>"""GP Direct"",""Fabrikam, Inc."",""Jet Payroll Transactions"",""Pay Rate"",""0.00000"",""Payroll Code"",""MED"",""State"","""",""Transaction Amount"",""5.00000"""</f>
        <v>"GP Direct","Fabrikam, Inc.","Jet Payroll Transactions","Pay Rate","0.00000","Payroll Code","MED","State","","Transaction Amount","5.00000"</v>
      </c>
      <c r="O218" s="28"/>
      <c r="P218" s="37">
        <v>0</v>
      </c>
      <c r="Q218" s="38" t="str">
        <f>"MED"</f>
        <v>MED</v>
      </c>
      <c r="R218" s="39"/>
      <c r="S218" s="37">
        <v>5</v>
      </c>
    </row>
    <row r="219" spans="1:19" hidden="1" outlineLevel="3">
      <c r="A219" s="25" t="s">
        <v>91</v>
      </c>
      <c r="C219" s="4" t="str">
        <f t="shared" si="289"/>
        <v>Adam</v>
      </c>
      <c r="D219" s="4" t="str">
        <f t="shared" si="290"/>
        <v>Barr</v>
      </c>
      <c r="E219" s="27" t="str">
        <f t="shared" si="291"/>
        <v>INST</v>
      </c>
      <c r="F219" s="27" t="str">
        <f t="shared" si="292"/>
        <v>BARR0001</v>
      </c>
      <c r="G219" s="15">
        <f t="shared" si="293"/>
        <v>41671</v>
      </c>
      <c r="H219" s="27" t="str">
        <f t="shared" si="294"/>
        <v>10081</v>
      </c>
      <c r="I219" s="27" t="str">
        <f>"""GP Direct"",""Fabrikam, Inc."",""Jet Payroll Transactions"",""Pay Rate"",""0.00000"",""Payroll Code"",""WI"",""State"","""",""Transaction Amount"",""71.88000"""</f>
        <v>"GP Direct","Fabrikam, Inc.","Jet Payroll Transactions","Pay Rate","0.00000","Payroll Code","WI","State","","Transaction Amount","71.88000"</v>
      </c>
      <c r="O219" s="28"/>
      <c r="P219" s="37">
        <v>0</v>
      </c>
      <c r="Q219" s="38" t="str">
        <f>"WI"</f>
        <v>WI</v>
      </c>
      <c r="R219" s="39"/>
      <c r="S219" s="37">
        <v>71.88</v>
      </c>
    </row>
    <row r="220" spans="1:19" hidden="1" outlineLevel="3">
      <c r="A220" s="25" t="s">
        <v>91</v>
      </c>
      <c r="C220" s="4" t="str">
        <f t="shared" si="289"/>
        <v>Adam</v>
      </c>
      <c r="D220" s="4" t="str">
        <f t="shared" si="290"/>
        <v>Barr</v>
      </c>
      <c r="E220" s="27" t="str">
        <f t="shared" si="291"/>
        <v>INST</v>
      </c>
      <c r="F220" s="27" t="str">
        <f t="shared" si="292"/>
        <v>BARR0001</v>
      </c>
      <c r="G220" s="15">
        <f t="shared" si="293"/>
        <v>41671</v>
      </c>
      <c r="H220" s="27" t="str">
        <f t="shared" si="294"/>
        <v>10081</v>
      </c>
      <c r="I220" s="27" t="str">
        <f>"""GP Direct"",""Fabrikam, Inc."",""Jet Payroll Transactions"",""Pay Rate"",""16.10000"",""Payroll Code"",""HOUR"",""State"",""WI"",""Transaction Amount"",""1395.39000"""</f>
        <v>"GP Direct","Fabrikam, Inc.","Jet Payroll Transactions","Pay Rate","16.10000","Payroll Code","HOUR","State","WI","Transaction Amount","1395.39000"</v>
      </c>
      <c r="O220" s="28"/>
      <c r="P220" s="37">
        <v>16.100000000000001</v>
      </c>
      <c r="Q220" s="38" t="str">
        <f>"HOUR"</f>
        <v>HOUR</v>
      </c>
      <c r="R220" s="39" t="str">
        <f>"WI"</f>
        <v>WI</v>
      </c>
      <c r="S220" s="37">
        <v>1395.39</v>
      </c>
    </row>
    <row r="221" spans="1:19" hidden="1" outlineLevel="3">
      <c r="A221" s="24" t="s">
        <v>2812</v>
      </c>
      <c r="C221" s="4" t="str">
        <f>C215</f>
        <v>Adam</v>
      </c>
      <c r="D221" s="4" t="str">
        <f>D215</f>
        <v>Barr</v>
      </c>
      <c r="E221" s="27" t="str">
        <f>E215</f>
        <v>INST</v>
      </c>
      <c r="F221" s="27" t="str">
        <f>F215</f>
        <v>BARR0001</v>
      </c>
      <c r="G221" s="15">
        <f>G215</f>
        <v>41671</v>
      </c>
      <c r="H221" s="27" t="str">
        <f>H215</f>
        <v>10081</v>
      </c>
      <c r="O221" s="28"/>
      <c r="S221" s="16"/>
    </row>
    <row r="222" spans="1:19" ht="12.75" hidden="1" outlineLevel="2" collapsed="1">
      <c r="A222" s="25" t="s">
        <v>91</v>
      </c>
      <c r="C222" s="4" t="str">
        <f t="shared" si="282"/>
        <v>Adam</v>
      </c>
      <c r="D222" s="4" t="str">
        <f t="shared" si="283"/>
        <v>Barr</v>
      </c>
      <c r="E222" s="27" t="str">
        <f t="shared" si="280"/>
        <v>INST</v>
      </c>
      <c r="F222" s="27" t="str">
        <f t="shared" si="284"/>
        <v>BARR0001</v>
      </c>
      <c r="G222" s="15">
        <f t="shared" si="287"/>
        <v>41671</v>
      </c>
      <c r="H222" s="27" t="str">
        <f t="shared" si="288"/>
        <v>10081</v>
      </c>
      <c r="N222" s="44" t="str">
        <f>"Total for " &amp; $H222</f>
        <v>Total for 10081</v>
      </c>
      <c r="O222" s="45">
        <f>G222</f>
        <v>41671</v>
      </c>
      <c r="P222" s="44"/>
      <c r="Q222" s="44"/>
      <c r="R222" s="44"/>
      <c r="S222" s="44">
        <f>SUBTOTAL(9,S215:S221)</f>
        <v>1580.24</v>
      </c>
    </row>
    <row r="223" spans="1:19" ht="12.75" hidden="1" outlineLevel="3">
      <c r="A223" s="25" t="s">
        <v>91</v>
      </c>
      <c r="C223" s="4" t="str">
        <f t="shared" ref="C223:C237" si="295">C222</f>
        <v>Adam</v>
      </c>
      <c r="D223" s="4" t="str">
        <f t="shared" ref="D223:D237" si="296">D222</f>
        <v>Barr</v>
      </c>
      <c r="E223" s="27" t="str">
        <f t="shared" ref="E223:E237" si="297">E222</f>
        <v>INST</v>
      </c>
      <c r="F223" s="27" t="str">
        <f t="shared" ref="F223:F237" si="298">F222</f>
        <v>BARR0001</v>
      </c>
      <c r="G223" s="15">
        <f t="shared" ref="G223" si="299">O223</f>
        <v>41699</v>
      </c>
      <c r="H223" s="27" t="str">
        <f t="shared" ref="H223" si="300">N223</f>
        <v>10106</v>
      </c>
      <c r="J223" s="33"/>
      <c r="K223" s="33"/>
      <c r="L223" s="33"/>
      <c r="M223" s="33"/>
      <c r="N223" s="32" t="str">
        <f>"10106"</f>
        <v>10106</v>
      </c>
      <c r="O223" s="36">
        <v>41699</v>
      </c>
      <c r="P223" s="33"/>
      <c r="Q223" s="33"/>
      <c r="R223" s="33"/>
      <c r="S223" s="33"/>
    </row>
    <row r="224" spans="1:19" hidden="1" outlineLevel="3">
      <c r="A224" s="25" t="s">
        <v>91</v>
      </c>
      <c r="C224" s="4" t="str">
        <f t="shared" si="295"/>
        <v>Adam</v>
      </c>
      <c r="D224" s="4" t="str">
        <f t="shared" si="296"/>
        <v>Barr</v>
      </c>
      <c r="E224" s="27" t="str">
        <f t="shared" si="297"/>
        <v>INST</v>
      </c>
      <c r="F224" s="27" t="str">
        <f t="shared" si="298"/>
        <v>BARR0001</v>
      </c>
      <c r="G224" s="15">
        <f t="shared" ref="G224:G232" si="301">G223</f>
        <v>41699</v>
      </c>
      <c r="H224" s="27" t="str">
        <f t="shared" ref="H224:H232" si="302">H223</f>
        <v>10106</v>
      </c>
      <c r="I224" s="27" t="str">
        <f>"""GP Direct"",""Fabrikam, Inc."",""Jet Payroll Transactions"",""Pay Rate"",""0.00000"",""Payroll Code"",""401K"",""State"","""",""Transaction Amount"",""2.79000"""</f>
        <v>"GP Direct","Fabrikam, Inc.","Jet Payroll Transactions","Pay Rate","0.00000","Payroll Code","401K","State","","Transaction Amount","2.79000"</v>
      </c>
      <c r="O224" s="28"/>
      <c r="P224" s="37">
        <v>0</v>
      </c>
      <c r="Q224" s="38" t="str">
        <f>"401K"</f>
        <v>401K</v>
      </c>
      <c r="R224" s="39"/>
      <c r="S224" s="37">
        <v>2.79</v>
      </c>
    </row>
    <row r="225" spans="1:19" hidden="1" outlineLevel="3">
      <c r="A225" s="25" t="s">
        <v>91</v>
      </c>
      <c r="C225" s="4" t="str">
        <f t="shared" ref="C225:C230" si="303">C224</f>
        <v>Adam</v>
      </c>
      <c r="D225" s="4" t="str">
        <f t="shared" ref="D225:D230" si="304">D224</f>
        <v>Barr</v>
      </c>
      <c r="E225" s="27" t="str">
        <f t="shared" ref="E225:E230" si="305">E224</f>
        <v>INST</v>
      </c>
      <c r="F225" s="27" t="str">
        <f t="shared" ref="F225:F230" si="306">F224</f>
        <v>BARR0001</v>
      </c>
      <c r="G225" s="15">
        <f t="shared" ref="G225:G230" si="307">G224</f>
        <v>41699</v>
      </c>
      <c r="H225" s="27" t="str">
        <f t="shared" ref="H225:H230" si="308">H224</f>
        <v>10106</v>
      </c>
      <c r="I225" s="27" t="str">
        <f>"""GP Direct"",""Fabrikam, Inc."",""Jet Payroll Transactions"",""Pay Rate"",""0.00000"",""Payroll Code"",""401K"",""State"","""",""Transaction Amount"",""55.82000"""</f>
        <v>"GP Direct","Fabrikam, Inc.","Jet Payroll Transactions","Pay Rate","0.00000","Payroll Code","401K","State","","Transaction Amount","55.82000"</v>
      </c>
      <c r="O225" s="28"/>
      <c r="P225" s="37">
        <v>0</v>
      </c>
      <c r="Q225" s="38" t="str">
        <f>"401K"</f>
        <v>401K</v>
      </c>
      <c r="R225" s="39"/>
      <c r="S225" s="37">
        <v>55.82</v>
      </c>
    </row>
    <row r="226" spans="1:19" hidden="1" outlineLevel="3">
      <c r="A226" s="25" t="s">
        <v>91</v>
      </c>
      <c r="C226" s="4" t="str">
        <f t="shared" si="303"/>
        <v>Adam</v>
      </c>
      <c r="D226" s="4" t="str">
        <f t="shared" si="304"/>
        <v>Barr</v>
      </c>
      <c r="E226" s="27" t="str">
        <f t="shared" si="305"/>
        <v>INST</v>
      </c>
      <c r="F226" s="27" t="str">
        <f t="shared" si="306"/>
        <v>BARR0001</v>
      </c>
      <c r="G226" s="15">
        <f t="shared" si="307"/>
        <v>41699</v>
      </c>
      <c r="H226" s="27" t="str">
        <f t="shared" si="308"/>
        <v>10106</v>
      </c>
      <c r="I226" s="27" t="str">
        <f>"""GP Direct"",""Fabrikam, Inc."",""Jet Payroll Transactions"",""Pay Rate"",""0.00000"",""Payroll Code"",""INS"",""State"","""",""Transaction Amount"",""49.36000"""</f>
        <v>"GP Direct","Fabrikam, Inc.","Jet Payroll Transactions","Pay Rate","0.00000","Payroll Code","INS","State","","Transaction Amount","49.36000"</v>
      </c>
      <c r="O226" s="28"/>
      <c r="P226" s="37">
        <v>0</v>
      </c>
      <c r="Q226" s="38" t="str">
        <f>"INS"</f>
        <v>INS</v>
      </c>
      <c r="R226" s="39"/>
      <c r="S226" s="37">
        <v>49.36</v>
      </c>
    </row>
    <row r="227" spans="1:19" hidden="1" outlineLevel="3">
      <c r="A227" s="25" t="s">
        <v>91</v>
      </c>
      <c r="C227" s="4" t="str">
        <f t="shared" si="303"/>
        <v>Adam</v>
      </c>
      <c r="D227" s="4" t="str">
        <f t="shared" si="304"/>
        <v>Barr</v>
      </c>
      <c r="E227" s="27" t="str">
        <f t="shared" si="305"/>
        <v>INST</v>
      </c>
      <c r="F227" s="27" t="str">
        <f t="shared" si="306"/>
        <v>BARR0001</v>
      </c>
      <c r="G227" s="15">
        <f t="shared" si="307"/>
        <v>41699</v>
      </c>
      <c r="H227" s="27" t="str">
        <f t="shared" si="308"/>
        <v>10106</v>
      </c>
      <c r="I227" s="27" t="str">
        <f>"""GP Direct"",""Fabrikam, Inc."",""Jet Payroll Transactions"",""Pay Rate"",""0.00000"",""Payroll Code"",""MED"",""State"","""",""Transaction Amount"",""5.00000"""</f>
        <v>"GP Direct","Fabrikam, Inc.","Jet Payroll Transactions","Pay Rate","0.00000","Payroll Code","MED","State","","Transaction Amount","5.00000"</v>
      </c>
      <c r="O227" s="28"/>
      <c r="P227" s="37">
        <v>0</v>
      </c>
      <c r="Q227" s="38" t="str">
        <f>"MED"</f>
        <v>MED</v>
      </c>
      <c r="R227" s="39"/>
      <c r="S227" s="37">
        <v>5</v>
      </c>
    </row>
    <row r="228" spans="1:19" hidden="1" outlineLevel="3">
      <c r="A228" s="25" t="s">
        <v>91</v>
      </c>
      <c r="C228" s="4" t="str">
        <f t="shared" si="303"/>
        <v>Adam</v>
      </c>
      <c r="D228" s="4" t="str">
        <f t="shared" si="304"/>
        <v>Barr</v>
      </c>
      <c r="E228" s="27" t="str">
        <f t="shared" si="305"/>
        <v>INST</v>
      </c>
      <c r="F228" s="27" t="str">
        <f t="shared" si="306"/>
        <v>BARR0001</v>
      </c>
      <c r="G228" s="15">
        <f t="shared" si="307"/>
        <v>41699</v>
      </c>
      <c r="H228" s="27" t="str">
        <f t="shared" si="308"/>
        <v>10106</v>
      </c>
      <c r="I228" s="27" t="str">
        <f>"""GP Direct"",""Fabrikam, Inc."",""Jet Payroll Transactions"",""Pay Rate"",""0.00000"",""Payroll Code"",""WI"",""State"","""",""Transaction Amount"",""71.88000"""</f>
        <v>"GP Direct","Fabrikam, Inc.","Jet Payroll Transactions","Pay Rate","0.00000","Payroll Code","WI","State","","Transaction Amount","71.88000"</v>
      </c>
      <c r="O228" s="28"/>
      <c r="P228" s="37">
        <v>0</v>
      </c>
      <c r="Q228" s="38" t="str">
        <f>"WI"</f>
        <v>WI</v>
      </c>
      <c r="R228" s="39"/>
      <c r="S228" s="37">
        <v>71.88</v>
      </c>
    </row>
    <row r="229" spans="1:19" hidden="1" outlineLevel="3">
      <c r="A229" s="25" t="s">
        <v>91</v>
      </c>
      <c r="C229" s="4" t="str">
        <f t="shared" si="303"/>
        <v>Adam</v>
      </c>
      <c r="D229" s="4" t="str">
        <f t="shared" si="304"/>
        <v>Barr</v>
      </c>
      <c r="E229" s="27" t="str">
        <f t="shared" si="305"/>
        <v>INST</v>
      </c>
      <c r="F229" s="27" t="str">
        <f t="shared" si="306"/>
        <v>BARR0001</v>
      </c>
      <c r="G229" s="15">
        <f t="shared" si="307"/>
        <v>41699</v>
      </c>
      <c r="H229" s="27" t="str">
        <f t="shared" si="308"/>
        <v>10106</v>
      </c>
      <c r="I229" s="27" t="str">
        <f>"""GP Direct"",""Fabrikam, Inc."",""Jet Payroll Transactions"",""Pay Rate"",""16.10000"",""Payroll Code"",""HOLI"",""State"",""WI"",""Transaction Amount"",""257.60000"""</f>
        <v>"GP Direct","Fabrikam, Inc.","Jet Payroll Transactions","Pay Rate","16.10000","Payroll Code","HOLI","State","WI","Transaction Amount","257.60000"</v>
      </c>
      <c r="O229" s="28"/>
      <c r="P229" s="37">
        <v>16.100000000000001</v>
      </c>
      <c r="Q229" s="38" t="str">
        <f>"HOLI"</f>
        <v>HOLI</v>
      </c>
      <c r="R229" s="39" t="str">
        <f>"WI"</f>
        <v>WI</v>
      </c>
      <c r="S229" s="37">
        <v>257.60000000000002</v>
      </c>
    </row>
    <row r="230" spans="1:19" hidden="1" outlineLevel="3">
      <c r="A230" s="25" t="s">
        <v>91</v>
      </c>
      <c r="C230" s="4" t="str">
        <f t="shared" si="303"/>
        <v>Adam</v>
      </c>
      <c r="D230" s="4" t="str">
        <f t="shared" si="304"/>
        <v>Barr</v>
      </c>
      <c r="E230" s="27" t="str">
        <f t="shared" si="305"/>
        <v>INST</v>
      </c>
      <c r="F230" s="27" t="str">
        <f t="shared" si="306"/>
        <v>BARR0001</v>
      </c>
      <c r="G230" s="15">
        <f t="shared" si="307"/>
        <v>41699</v>
      </c>
      <c r="H230" s="27" t="str">
        <f t="shared" si="308"/>
        <v>10106</v>
      </c>
      <c r="I230" s="27" t="str">
        <f>"""GP Direct"",""Fabrikam, Inc."",""Jet Payroll Transactions"",""Pay Rate"",""16.10000"",""Payroll Code"",""HOUR"",""State"",""WI"",""Transaction Amount"",""1137.79000"""</f>
        <v>"GP Direct","Fabrikam, Inc.","Jet Payroll Transactions","Pay Rate","16.10000","Payroll Code","HOUR","State","WI","Transaction Amount","1137.79000"</v>
      </c>
      <c r="O230" s="28"/>
      <c r="P230" s="37">
        <v>16.100000000000001</v>
      </c>
      <c r="Q230" s="38" t="str">
        <f>"HOUR"</f>
        <v>HOUR</v>
      </c>
      <c r="R230" s="39" t="str">
        <f>"WI"</f>
        <v>WI</v>
      </c>
      <c r="S230" s="37">
        <v>1137.79</v>
      </c>
    </row>
    <row r="231" spans="1:19" hidden="1" outlineLevel="3">
      <c r="A231" s="24" t="s">
        <v>2812</v>
      </c>
      <c r="C231" s="4" t="str">
        <f>C224</f>
        <v>Adam</v>
      </c>
      <c r="D231" s="4" t="str">
        <f>D224</f>
        <v>Barr</v>
      </c>
      <c r="E231" s="27" t="str">
        <f>E224</f>
        <v>INST</v>
      </c>
      <c r="F231" s="27" t="str">
        <f>F224</f>
        <v>BARR0001</v>
      </c>
      <c r="G231" s="15">
        <f>G224</f>
        <v>41699</v>
      </c>
      <c r="H231" s="27" t="str">
        <f>H224</f>
        <v>10106</v>
      </c>
      <c r="O231" s="28"/>
      <c r="S231" s="16"/>
    </row>
    <row r="232" spans="1:19" ht="12.75" hidden="1" outlineLevel="2" collapsed="1">
      <c r="A232" s="25" t="s">
        <v>91</v>
      </c>
      <c r="C232" s="4" t="str">
        <f t="shared" si="295"/>
        <v>Adam</v>
      </c>
      <c r="D232" s="4" t="str">
        <f t="shared" si="296"/>
        <v>Barr</v>
      </c>
      <c r="E232" s="27" t="str">
        <f t="shared" si="297"/>
        <v>INST</v>
      </c>
      <c r="F232" s="27" t="str">
        <f t="shared" si="298"/>
        <v>BARR0001</v>
      </c>
      <c r="G232" s="15">
        <f t="shared" si="301"/>
        <v>41699</v>
      </c>
      <c r="H232" s="27" t="str">
        <f t="shared" si="302"/>
        <v>10106</v>
      </c>
      <c r="N232" s="44" t="str">
        <f>"Total for " &amp; $H232</f>
        <v>Total for 10106</v>
      </c>
      <c r="O232" s="45">
        <f>G232</f>
        <v>41699</v>
      </c>
      <c r="P232" s="44"/>
      <c r="Q232" s="44"/>
      <c r="R232" s="44"/>
      <c r="S232" s="44">
        <f>SUBTOTAL(9,S224:S231)</f>
        <v>1580.24</v>
      </c>
    </row>
    <row r="233" spans="1:19" ht="12.75" hidden="1" outlineLevel="3">
      <c r="A233" s="25" t="s">
        <v>91</v>
      </c>
      <c r="C233" s="4" t="str">
        <f t="shared" si="295"/>
        <v>Adam</v>
      </c>
      <c r="D233" s="4" t="str">
        <f t="shared" si="296"/>
        <v>Barr</v>
      </c>
      <c r="E233" s="27" t="str">
        <f t="shared" si="297"/>
        <v>INST</v>
      </c>
      <c r="F233" s="27" t="str">
        <f t="shared" si="298"/>
        <v>BARR0001</v>
      </c>
      <c r="G233" s="15">
        <f t="shared" ref="G233" si="309">O233</f>
        <v>41640</v>
      </c>
      <c r="H233" s="27" t="str">
        <f t="shared" ref="H233" si="310">N233</f>
        <v>11554</v>
      </c>
      <c r="J233" s="33"/>
      <c r="K233" s="33"/>
      <c r="L233" s="33"/>
      <c r="M233" s="33"/>
      <c r="N233" s="32" t="str">
        <f>"11554"</f>
        <v>11554</v>
      </c>
      <c r="O233" s="36">
        <v>41640</v>
      </c>
      <c r="P233" s="33"/>
      <c r="Q233" s="33"/>
      <c r="R233" s="33"/>
      <c r="S233" s="33"/>
    </row>
    <row r="234" spans="1:19" hidden="1" outlineLevel="3">
      <c r="A234" s="25" t="s">
        <v>91</v>
      </c>
      <c r="C234" s="4" t="str">
        <f t="shared" si="295"/>
        <v>Adam</v>
      </c>
      <c r="D234" s="4" t="str">
        <f t="shared" si="296"/>
        <v>Barr</v>
      </c>
      <c r="E234" s="27" t="str">
        <f t="shared" si="297"/>
        <v>INST</v>
      </c>
      <c r="F234" s="27" t="str">
        <f t="shared" si="298"/>
        <v>BARR0001</v>
      </c>
      <c r="G234" s="15">
        <f t="shared" ref="G234:G237" si="311">G233</f>
        <v>41640</v>
      </c>
      <c r="H234" s="27" t="str">
        <f t="shared" ref="H234:H237" si="312">H233</f>
        <v>11554</v>
      </c>
      <c r="I234" s="27" t="str">
        <f>"""GP Direct"",""Fabrikam, Inc."",""Jet Payroll Transactions"",""Pay Rate"",""0.00000"",""Payroll Code"",""WI"",""State"","""",""Transaction Amount"",""12.15000"""</f>
        <v>"GP Direct","Fabrikam, Inc.","Jet Payroll Transactions","Pay Rate","0.00000","Payroll Code","WI","State","","Transaction Amount","12.15000"</v>
      </c>
      <c r="O234" s="28"/>
      <c r="P234" s="37">
        <v>0</v>
      </c>
      <c r="Q234" s="38" t="str">
        <f>"WI"</f>
        <v>WI</v>
      </c>
      <c r="R234" s="39"/>
      <c r="S234" s="37">
        <v>12.15</v>
      </c>
    </row>
    <row r="235" spans="1:19" hidden="1" outlineLevel="3">
      <c r="A235" s="25" t="s">
        <v>91</v>
      </c>
      <c r="C235" s="4" t="str">
        <f t="shared" ref="C235" si="313">C234</f>
        <v>Adam</v>
      </c>
      <c r="D235" s="4" t="str">
        <f t="shared" ref="D235" si="314">D234</f>
        <v>Barr</v>
      </c>
      <c r="E235" s="27" t="str">
        <f t="shared" ref="E235" si="315">E234</f>
        <v>INST</v>
      </c>
      <c r="F235" s="27" t="str">
        <f t="shared" ref="F235" si="316">F234</f>
        <v>BARR0001</v>
      </c>
      <c r="G235" s="15">
        <f t="shared" ref="G235" si="317">G234</f>
        <v>41640</v>
      </c>
      <c r="H235" s="27" t="str">
        <f t="shared" ref="H235" si="318">H234</f>
        <v>11554</v>
      </c>
      <c r="I235" s="27" t="str">
        <f>"""GP Direct"",""Fabrikam, Inc."",""Jet Payroll Transactions"",""Pay Rate"",""200.00000"",""Payroll Code"",""BONS"",""State"",""WI"",""Transaction Amount"",""200.00000"""</f>
        <v>"GP Direct","Fabrikam, Inc.","Jet Payroll Transactions","Pay Rate","200.00000","Payroll Code","BONS","State","WI","Transaction Amount","200.00000"</v>
      </c>
      <c r="O235" s="28"/>
      <c r="P235" s="37">
        <v>200</v>
      </c>
      <c r="Q235" s="38" t="str">
        <f>"BONS"</f>
        <v>BONS</v>
      </c>
      <c r="R235" s="39" t="str">
        <f>"WI"</f>
        <v>WI</v>
      </c>
      <c r="S235" s="37">
        <v>200</v>
      </c>
    </row>
    <row r="236" spans="1:19" hidden="1" outlineLevel="3">
      <c r="A236" s="24" t="s">
        <v>2812</v>
      </c>
      <c r="C236" s="4" t="str">
        <f>C234</f>
        <v>Adam</v>
      </c>
      <c r="D236" s="4" t="str">
        <f>D234</f>
        <v>Barr</v>
      </c>
      <c r="E236" s="27" t="str">
        <f>E234</f>
        <v>INST</v>
      </c>
      <c r="F236" s="27" t="str">
        <f>F234</f>
        <v>BARR0001</v>
      </c>
      <c r="G236" s="15">
        <f>G234</f>
        <v>41640</v>
      </c>
      <c r="H236" s="27" t="str">
        <f>H234</f>
        <v>11554</v>
      </c>
      <c r="O236" s="28"/>
      <c r="S236" s="16"/>
    </row>
    <row r="237" spans="1:19" ht="12.75" hidden="1" outlineLevel="2" collapsed="1">
      <c r="A237" s="25" t="s">
        <v>91</v>
      </c>
      <c r="C237" s="4" t="str">
        <f t="shared" si="295"/>
        <v>Adam</v>
      </c>
      <c r="D237" s="4" t="str">
        <f t="shared" si="296"/>
        <v>Barr</v>
      </c>
      <c r="E237" s="27" t="str">
        <f t="shared" si="297"/>
        <v>INST</v>
      </c>
      <c r="F237" s="27" t="str">
        <f t="shared" si="298"/>
        <v>BARR0001</v>
      </c>
      <c r="G237" s="15">
        <f t="shared" si="311"/>
        <v>41640</v>
      </c>
      <c r="H237" s="27" t="str">
        <f t="shared" si="312"/>
        <v>11554</v>
      </c>
      <c r="N237" s="44" t="str">
        <f>"Total for " &amp; $H237</f>
        <v>Total for 11554</v>
      </c>
      <c r="O237" s="45">
        <f>G237</f>
        <v>41640</v>
      </c>
      <c r="P237" s="44"/>
      <c r="Q237" s="44"/>
      <c r="R237" s="44"/>
      <c r="S237" s="44">
        <f>SUBTOTAL(9,S234:S236)</f>
        <v>212.15</v>
      </c>
    </row>
    <row r="238" spans="1:19" ht="12.75" hidden="1" outlineLevel="2">
      <c r="A238" s="24" t="s">
        <v>2812</v>
      </c>
      <c r="C238" s="4" t="str">
        <f>C222</f>
        <v>Adam</v>
      </c>
      <c r="D238" s="4" t="str">
        <f>D222</f>
        <v>Barr</v>
      </c>
      <c r="E238" s="27" t="str">
        <f>E222</f>
        <v>INST</v>
      </c>
      <c r="F238" s="27" t="str">
        <f>F222</f>
        <v>BARR0001</v>
      </c>
      <c r="G238" s="14"/>
      <c r="J238" s="33"/>
      <c r="K238" s="33"/>
      <c r="L238" s="33"/>
      <c r="M238" s="33"/>
      <c r="N238" s="33"/>
      <c r="O238" s="33"/>
      <c r="P238" s="33"/>
      <c r="Q238" s="33"/>
      <c r="R238" s="33"/>
      <c r="S238" s="40"/>
    </row>
    <row r="239" spans="1:19" ht="12.75" hidden="1" outlineLevel="1" collapsed="1">
      <c r="A239" s="25" t="s">
        <v>91</v>
      </c>
      <c r="C239" s="4" t="str">
        <f t="shared" si="282"/>
        <v>Adam</v>
      </c>
      <c r="D239" s="4" t="str">
        <f t="shared" si="283"/>
        <v>Barr</v>
      </c>
      <c r="E239" s="27" t="str">
        <f t="shared" si="280"/>
        <v>INST</v>
      </c>
      <c r="F239" s="27" t="str">
        <f t="shared" si="284"/>
        <v>BARR0001</v>
      </c>
      <c r="G239" s="14"/>
      <c r="J239" s="33"/>
      <c r="K239" s="46" t="str">
        <f>"Total for " &amp; $F239</f>
        <v>Total for BARR0001</v>
      </c>
      <c r="L239" s="46" t="str">
        <f>C239</f>
        <v>Adam</v>
      </c>
      <c r="M239" s="46" t="str">
        <f>D239</f>
        <v>Barr</v>
      </c>
      <c r="N239" s="46"/>
      <c r="O239" s="46"/>
      <c r="P239" s="46"/>
      <c r="Q239" s="46"/>
      <c r="R239" s="46"/>
      <c r="S239" s="47">
        <f>SUBTOTAL(9,S215:S238)</f>
        <v>3372.6299999999997</v>
      </c>
    </row>
    <row r="240" spans="1:19" ht="12.75" hidden="1" outlineLevel="2">
      <c r="A240" s="25" t="s">
        <v>91</v>
      </c>
      <c r="C240" s="4" t="str">
        <f t="shared" ref="C240" si="319">L240</f>
        <v>Jane</v>
      </c>
      <c r="D240" s="4" t="str">
        <f t="shared" ref="D240" si="320">M240</f>
        <v>Clayton</v>
      </c>
      <c r="E240" s="27" t="str">
        <f t="shared" si="280"/>
        <v>INST</v>
      </c>
      <c r="F240" s="27" t="str">
        <f t="shared" ref="F240" si="321">K240</f>
        <v>CLAY0001</v>
      </c>
      <c r="G240" s="14"/>
      <c r="J240" s="31"/>
      <c r="K240" s="21" t="str">
        <f>"CLAY0001"</f>
        <v>CLAY0001</v>
      </c>
      <c r="L240" s="43" t="str">
        <f>"Jane"</f>
        <v>Jane</v>
      </c>
      <c r="M240" s="43" t="str">
        <f>"Clayton"</f>
        <v>Clayton</v>
      </c>
      <c r="N240" s="43"/>
      <c r="O240" s="34"/>
      <c r="P240" s="33"/>
      <c r="Q240" s="33"/>
      <c r="R240" s="33"/>
      <c r="S240" s="35"/>
    </row>
    <row r="241" spans="1:19" ht="12.75" hidden="1" outlineLevel="3">
      <c r="A241" s="25" t="s">
        <v>91</v>
      </c>
      <c r="C241" s="4" t="str">
        <f t="shared" ref="C241:C262" si="322">C240</f>
        <v>Jane</v>
      </c>
      <c r="D241" s="4" t="str">
        <f t="shared" ref="D241:D262" si="323">D240</f>
        <v>Clayton</v>
      </c>
      <c r="E241" s="27" t="str">
        <f t="shared" si="280"/>
        <v>INST</v>
      </c>
      <c r="F241" s="27" t="str">
        <f t="shared" ref="F241:F262" si="324">F240</f>
        <v>CLAY0001</v>
      </c>
      <c r="G241" s="15">
        <f t="shared" ref="G241" si="325">O241</f>
        <v>41671</v>
      </c>
      <c r="H241" s="27" t="str">
        <f t="shared" ref="H241" si="326">N241</f>
        <v>10084</v>
      </c>
      <c r="J241" s="33"/>
      <c r="K241" s="33"/>
      <c r="L241" s="33"/>
      <c r="M241" s="33"/>
      <c r="N241" s="32" t="str">
        <f>"10084"</f>
        <v>10084</v>
      </c>
      <c r="O241" s="36">
        <v>41671</v>
      </c>
      <c r="P241" s="33"/>
      <c r="Q241" s="33"/>
      <c r="R241" s="33"/>
      <c r="S241" s="33"/>
    </row>
    <row r="242" spans="1:19" hidden="1" outlineLevel="3">
      <c r="A242" s="25" t="s">
        <v>91</v>
      </c>
      <c r="C242" s="4" t="str">
        <f t="shared" si="322"/>
        <v>Jane</v>
      </c>
      <c r="D242" s="4" t="str">
        <f t="shared" si="323"/>
        <v>Clayton</v>
      </c>
      <c r="E242" s="27" t="str">
        <f t="shared" si="280"/>
        <v>INST</v>
      </c>
      <c r="F242" s="27" t="str">
        <f t="shared" si="324"/>
        <v>CLAY0001</v>
      </c>
      <c r="G242" s="15">
        <f t="shared" ref="G242:G250" si="327">G241</f>
        <v>41671</v>
      </c>
      <c r="H242" s="27" t="str">
        <f t="shared" ref="H242:H250" si="328">H241</f>
        <v>10084</v>
      </c>
      <c r="I242" s="27" t="str">
        <f>"""GP Direct"",""Fabrikam, Inc."",""Jet Payroll Transactions"",""Pay Rate"",""0.00000"",""Payroll Code"",""401K"",""State"","""",""Transaction Amount"",""2.63000"""</f>
        <v>"GP Direct","Fabrikam, Inc.","Jet Payroll Transactions","Pay Rate","0.00000","Payroll Code","401K","State","","Transaction Amount","2.63000"</v>
      </c>
      <c r="O242" s="28"/>
      <c r="P242" s="37">
        <v>0</v>
      </c>
      <c r="Q242" s="38" t="str">
        <f>"401K"</f>
        <v>401K</v>
      </c>
      <c r="R242" s="39"/>
      <c r="S242" s="37">
        <v>2.63</v>
      </c>
    </row>
    <row r="243" spans="1:19" hidden="1" outlineLevel="3">
      <c r="A243" s="25" t="s">
        <v>91</v>
      </c>
      <c r="C243" s="4" t="str">
        <f t="shared" ref="C243:C248" si="329">C242</f>
        <v>Jane</v>
      </c>
      <c r="D243" s="4" t="str">
        <f t="shared" ref="D243:D248" si="330">D242</f>
        <v>Clayton</v>
      </c>
      <c r="E243" s="27" t="str">
        <f t="shared" ref="E243:E248" si="331">E242</f>
        <v>INST</v>
      </c>
      <c r="F243" s="27" t="str">
        <f t="shared" ref="F243:F248" si="332">F242</f>
        <v>CLAY0001</v>
      </c>
      <c r="G243" s="15">
        <f t="shared" ref="G243:G248" si="333">G242</f>
        <v>41671</v>
      </c>
      <c r="H243" s="27" t="str">
        <f t="shared" ref="H243:H248" si="334">H242</f>
        <v>10084</v>
      </c>
      <c r="I243" s="27" t="str">
        <f>"""GP Direct"",""Fabrikam, Inc."",""Jet Payroll Transactions"",""Pay Rate"",""0.00000"",""Payroll Code"",""401K"",""State"","""",""Transaction Amount"",""52.50000"""</f>
        <v>"GP Direct","Fabrikam, Inc.","Jet Payroll Transactions","Pay Rate","0.00000","Payroll Code","401K","State","","Transaction Amount","52.50000"</v>
      </c>
      <c r="O243" s="28"/>
      <c r="P243" s="37">
        <v>0</v>
      </c>
      <c r="Q243" s="38" t="str">
        <f>"401K"</f>
        <v>401K</v>
      </c>
      <c r="R243" s="39"/>
      <c r="S243" s="37">
        <v>52.5</v>
      </c>
    </row>
    <row r="244" spans="1:19" hidden="1" outlineLevel="3">
      <c r="A244" s="25" t="s">
        <v>91</v>
      </c>
      <c r="C244" s="4" t="str">
        <f t="shared" si="329"/>
        <v>Jane</v>
      </c>
      <c r="D244" s="4" t="str">
        <f t="shared" si="330"/>
        <v>Clayton</v>
      </c>
      <c r="E244" s="27" t="str">
        <f t="shared" si="331"/>
        <v>INST</v>
      </c>
      <c r="F244" s="27" t="str">
        <f t="shared" si="332"/>
        <v>CLAY0001</v>
      </c>
      <c r="G244" s="15">
        <f t="shared" si="333"/>
        <v>41671</v>
      </c>
      <c r="H244" s="27" t="str">
        <f t="shared" si="334"/>
        <v>10084</v>
      </c>
      <c r="I244" s="27" t="str">
        <f>"""GP Direct"",""Fabrikam, Inc."",""Jet Payroll Transactions"",""Pay Rate"",""0.00000"",""Payroll Code"",""INS"",""State"","""",""Transaction Amount"",""49.36000"""</f>
        <v>"GP Direct","Fabrikam, Inc.","Jet Payroll Transactions","Pay Rate","0.00000","Payroll Code","INS","State","","Transaction Amount","49.36000"</v>
      </c>
      <c r="O244" s="28"/>
      <c r="P244" s="37">
        <v>0</v>
      </c>
      <c r="Q244" s="38" t="str">
        <f>"INS"</f>
        <v>INS</v>
      </c>
      <c r="R244" s="39"/>
      <c r="S244" s="37">
        <v>49.36</v>
      </c>
    </row>
    <row r="245" spans="1:19" hidden="1" outlineLevel="3">
      <c r="A245" s="25" t="s">
        <v>91</v>
      </c>
      <c r="C245" s="4" t="str">
        <f t="shared" si="329"/>
        <v>Jane</v>
      </c>
      <c r="D245" s="4" t="str">
        <f t="shared" si="330"/>
        <v>Clayton</v>
      </c>
      <c r="E245" s="27" t="str">
        <f t="shared" si="331"/>
        <v>INST</v>
      </c>
      <c r="F245" s="27" t="str">
        <f t="shared" si="332"/>
        <v>CLAY0001</v>
      </c>
      <c r="G245" s="15">
        <f t="shared" si="333"/>
        <v>41671</v>
      </c>
      <c r="H245" s="27" t="str">
        <f t="shared" si="334"/>
        <v>10084</v>
      </c>
      <c r="I245" s="27" t="str">
        <f>"""GP Direct"",""Fabrikam, Inc."",""Jet Payroll Transactions"",""Pay Rate"",""0.00000"",""Payroll Code"",""INS1"",""State"","""",""Transaction Amount"",""47.95000"""</f>
        <v>"GP Direct","Fabrikam, Inc.","Jet Payroll Transactions","Pay Rate","0.00000","Payroll Code","INS1","State","","Transaction Amount","47.95000"</v>
      </c>
      <c r="O245" s="28"/>
      <c r="P245" s="37">
        <v>0</v>
      </c>
      <c r="Q245" s="38" t="str">
        <f>"INS1"</f>
        <v>INS1</v>
      </c>
      <c r="R245" s="39"/>
      <c r="S245" s="37">
        <v>47.95</v>
      </c>
    </row>
    <row r="246" spans="1:19" hidden="1" outlineLevel="3">
      <c r="A246" s="25" t="s">
        <v>91</v>
      </c>
      <c r="C246" s="4" t="str">
        <f t="shared" si="329"/>
        <v>Jane</v>
      </c>
      <c r="D246" s="4" t="str">
        <f t="shared" si="330"/>
        <v>Clayton</v>
      </c>
      <c r="E246" s="27" t="str">
        <f t="shared" si="331"/>
        <v>INST</v>
      </c>
      <c r="F246" s="27" t="str">
        <f t="shared" si="332"/>
        <v>CLAY0001</v>
      </c>
      <c r="G246" s="15">
        <f t="shared" si="333"/>
        <v>41671</v>
      </c>
      <c r="H246" s="27" t="str">
        <f t="shared" si="334"/>
        <v>10084</v>
      </c>
      <c r="I246" s="27" t="str">
        <f>"""GP Direct"",""Fabrikam, Inc."",""Jet Payroll Transactions"",""Pay Rate"",""0.00000"",""Payroll Code"",""MED"",""State"","""",""Transaction Amount"",""5.00000"""</f>
        <v>"GP Direct","Fabrikam, Inc.","Jet Payroll Transactions","Pay Rate","0.00000","Payroll Code","MED","State","","Transaction Amount","5.00000"</v>
      </c>
      <c r="O246" s="28"/>
      <c r="P246" s="37">
        <v>0</v>
      </c>
      <c r="Q246" s="38" t="str">
        <f>"MED"</f>
        <v>MED</v>
      </c>
      <c r="R246" s="39"/>
      <c r="S246" s="37">
        <v>5</v>
      </c>
    </row>
    <row r="247" spans="1:19" hidden="1" outlineLevel="3">
      <c r="A247" s="25" t="s">
        <v>91</v>
      </c>
      <c r="C247" s="4" t="str">
        <f t="shared" si="329"/>
        <v>Jane</v>
      </c>
      <c r="D247" s="4" t="str">
        <f t="shared" si="330"/>
        <v>Clayton</v>
      </c>
      <c r="E247" s="27" t="str">
        <f t="shared" si="331"/>
        <v>INST</v>
      </c>
      <c r="F247" s="27" t="str">
        <f t="shared" si="332"/>
        <v>CLAY0001</v>
      </c>
      <c r="G247" s="15">
        <f t="shared" si="333"/>
        <v>41671</v>
      </c>
      <c r="H247" s="27" t="str">
        <f t="shared" si="334"/>
        <v>10084</v>
      </c>
      <c r="I247" s="27" t="str">
        <f>"""GP Direct"",""Fabrikam, Inc."",""Jet Payroll Transactions"",""Pay Rate"",""0.00000"",""Payroll Code"",""NE"",""State"","""",""Transaction Amount"",""28.22000"""</f>
        <v>"GP Direct","Fabrikam, Inc.","Jet Payroll Transactions","Pay Rate","0.00000","Payroll Code","NE","State","","Transaction Amount","28.22000"</v>
      </c>
      <c r="O247" s="28"/>
      <c r="P247" s="37">
        <v>0</v>
      </c>
      <c r="Q247" s="38" t="str">
        <f>"NE"</f>
        <v>NE</v>
      </c>
      <c r="R247" s="39"/>
      <c r="S247" s="37">
        <v>28.22</v>
      </c>
    </row>
    <row r="248" spans="1:19" hidden="1" outlineLevel="3">
      <c r="A248" s="25" t="s">
        <v>91</v>
      </c>
      <c r="C248" s="4" t="str">
        <f t="shared" si="329"/>
        <v>Jane</v>
      </c>
      <c r="D248" s="4" t="str">
        <f t="shared" si="330"/>
        <v>Clayton</v>
      </c>
      <c r="E248" s="27" t="str">
        <f t="shared" si="331"/>
        <v>INST</v>
      </c>
      <c r="F248" s="27" t="str">
        <f t="shared" si="332"/>
        <v>CLAY0001</v>
      </c>
      <c r="G248" s="15">
        <f t="shared" si="333"/>
        <v>41671</v>
      </c>
      <c r="H248" s="27" t="str">
        <f t="shared" si="334"/>
        <v>10084</v>
      </c>
      <c r="I248" s="27" t="str">
        <f>"""GP Direct"",""Fabrikam, Inc."",""Jet Payroll Transactions"",""Pay Rate"",""31500.00000"",""Payroll Code"",""SALY"",""State"",""NE"",""Transaction Amount"",""1312.50000"""</f>
        <v>"GP Direct","Fabrikam, Inc.","Jet Payroll Transactions","Pay Rate","31500.00000","Payroll Code","SALY","State","NE","Transaction Amount","1312.50000"</v>
      </c>
      <c r="O248" s="28"/>
      <c r="P248" s="37">
        <v>31500</v>
      </c>
      <c r="Q248" s="38" t="str">
        <f>"SALY"</f>
        <v>SALY</v>
      </c>
      <c r="R248" s="39" t="str">
        <f>"NE"</f>
        <v>NE</v>
      </c>
      <c r="S248" s="37">
        <v>1312.5</v>
      </c>
    </row>
    <row r="249" spans="1:19" hidden="1" outlineLevel="3">
      <c r="A249" s="24" t="s">
        <v>2812</v>
      </c>
      <c r="C249" s="4" t="str">
        <f>C242</f>
        <v>Jane</v>
      </c>
      <c r="D249" s="4" t="str">
        <f>D242</f>
        <v>Clayton</v>
      </c>
      <c r="E249" s="27" t="str">
        <f>E242</f>
        <v>INST</v>
      </c>
      <c r="F249" s="27" t="str">
        <f>F242</f>
        <v>CLAY0001</v>
      </c>
      <c r="G249" s="15">
        <f>G242</f>
        <v>41671</v>
      </c>
      <c r="H249" s="27" t="str">
        <f>H242</f>
        <v>10084</v>
      </c>
      <c r="O249" s="28"/>
      <c r="S249" s="16"/>
    </row>
    <row r="250" spans="1:19" ht="12.75" hidden="1" outlineLevel="2" collapsed="1">
      <c r="A250" s="25" t="s">
        <v>91</v>
      </c>
      <c r="C250" s="4" t="str">
        <f t="shared" si="322"/>
        <v>Jane</v>
      </c>
      <c r="D250" s="4" t="str">
        <f t="shared" si="323"/>
        <v>Clayton</v>
      </c>
      <c r="E250" s="27" t="str">
        <f t="shared" si="280"/>
        <v>INST</v>
      </c>
      <c r="F250" s="27" t="str">
        <f t="shared" si="324"/>
        <v>CLAY0001</v>
      </c>
      <c r="G250" s="15">
        <f t="shared" si="327"/>
        <v>41671</v>
      </c>
      <c r="H250" s="27" t="str">
        <f t="shared" si="328"/>
        <v>10084</v>
      </c>
      <c r="N250" s="44" t="str">
        <f>"Total for " &amp; $H250</f>
        <v>Total for 10084</v>
      </c>
      <c r="O250" s="45">
        <f>G250</f>
        <v>41671</v>
      </c>
      <c r="P250" s="44"/>
      <c r="Q250" s="44"/>
      <c r="R250" s="44"/>
      <c r="S250" s="44">
        <f>SUBTOTAL(9,S242:S249)</f>
        <v>1498.16</v>
      </c>
    </row>
    <row r="251" spans="1:19" ht="12.75" hidden="1" outlineLevel="3">
      <c r="A251" s="25" t="s">
        <v>91</v>
      </c>
      <c r="C251" s="4" t="str">
        <f t="shared" ref="C251:C260" si="335">C250</f>
        <v>Jane</v>
      </c>
      <c r="D251" s="4" t="str">
        <f t="shared" ref="D251:D260" si="336">D250</f>
        <v>Clayton</v>
      </c>
      <c r="E251" s="27" t="str">
        <f t="shared" ref="E251:E260" si="337">E250</f>
        <v>INST</v>
      </c>
      <c r="F251" s="27" t="str">
        <f t="shared" ref="F251:F260" si="338">F250</f>
        <v>CLAY0001</v>
      </c>
      <c r="G251" s="15">
        <f t="shared" ref="G251" si="339">O251</f>
        <v>41699</v>
      </c>
      <c r="H251" s="27" t="str">
        <f t="shared" ref="H251" si="340">N251</f>
        <v>10109</v>
      </c>
      <c r="J251" s="33"/>
      <c r="K251" s="33"/>
      <c r="L251" s="33"/>
      <c r="M251" s="33"/>
      <c r="N251" s="32" t="str">
        <f>"10109"</f>
        <v>10109</v>
      </c>
      <c r="O251" s="36">
        <v>41699</v>
      </c>
      <c r="P251" s="33"/>
      <c r="Q251" s="33"/>
      <c r="R251" s="33"/>
      <c r="S251" s="33"/>
    </row>
    <row r="252" spans="1:19" hidden="1" outlineLevel="3">
      <c r="A252" s="25" t="s">
        <v>91</v>
      </c>
      <c r="C252" s="4" t="str">
        <f t="shared" si="335"/>
        <v>Jane</v>
      </c>
      <c r="D252" s="4" t="str">
        <f t="shared" si="336"/>
        <v>Clayton</v>
      </c>
      <c r="E252" s="27" t="str">
        <f t="shared" si="337"/>
        <v>INST</v>
      </c>
      <c r="F252" s="27" t="str">
        <f t="shared" si="338"/>
        <v>CLAY0001</v>
      </c>
      <c r="G252" s="15">
        <f t="shared" ref="G252:G260" si="341">G251</f>
        <v>41699</v>
      </c>
      <c r="H252" s="27" t="str">
        <f t="shared" ref="H252:H260" si="342">H251</f>
        <v>10109</v>
      </c>
      <c r="I252" s="27" t="str">
        <f>"""GP Direct"",""Fabrikam, Inc."",""Jet Payroll Transactions"",""Pay Rate"",""0.00000"",""Payroll Code"",""401K"",""State"","""",""Transaction Amount"",""2.63000"""</f>
        <v>"GP Direct","Fabrikam, Inc.","Jet Payroll Transactions","Pay Rate","0.00000","Payroll Code","401K","State","","Transaction Amount","2.63000"</v>
      </c>
      <c r="O252" s="28"/>
      <c r="P252" s="37">
        <v>0</v>
      </c>
      <c r="Q252" s="38" t="str">
        <f>"401K"</f>
        <v>401K</v>
      </c>
      <c r="R252" s="39"/>
      <c r="S252" s="37">
        <v>2.63</v>
      </c>
    </row>
    <row r="253" spans="1:19" hidden="1" outlineLevel="3">
      <c r="A253" s="25" t="s">
        <v>91</v>
      </c>
      <c r="C253" s="4" t="str">
        <f t="shared" ref="C253:C258" si="343">C252</f>
        <v>Jane</v>
      </c>
      <c r="D253" s="4" t="str">
        <f t="shared" ref="D253:D258" si="344">D252</f>
        <v>Clayton</v>
      </c>
      <c r="E253" s="27" t="str">
        <f t="shared" ref="E253:E258" si="345">E252</f>
        <v>INST</v>
      </c>
      <c r="F253" s="27" t="str">
        <f t="shared" ref="F253:F258" si="346">F252</f>
        <v>CLAY0001</v>
      </c>
      <c r="G253" s="15">
        <f t="shared" ref="G253:G258" si="347">G252</f>
        <v>41699</v>
      </c>
      <c r="H253" s="27" t="str">
        <f t="shared" ref="H253:H258" si="348">H252</f>
        <v>10109</v>
      </c>
      <c r="I253" s="27" t="str">
        <f>"""GP Direct"",""Fabrikam, Inc."",""Jet Payroll Transactions"",""Pay Rate"",""0.00000"",""Payroll Code"",""401K"",""State"","""",""Transaction Amount"",""52.50000"""</f>
        <v>"GP Direct","Fabrikam, Inc.","Jet Payroll Transactions","Pay Rate","0.00000","Payroll Code","401K","State","","Transaction Amount","52.50000"</v>
      </c>
      <c r="O253" s="28"/>
      <c r="P253" s="37">
        <v>0</v>
      </c>
      <c r="Q253" s="38" t="str">
        <f>"401K"</f>
        <v>401K</v>
      </c>
      <c r="R253" s="39"/>
      <c r="S253" s="37">
        <v>52.5</v>
      </c>
    </row>
    <row r="254" spans="1:19" hidden="1" outlineLevel="3">
      <c r="A254" s="25" t="s">
        <v>91</v>
      </c>
      <c r="C254" s="4" t="str">
        <f t="shared" si="343"/>
        <v>Jane</v>
      </c>
      <c r="D254" s="4" t="str">
        <f t="shared" si="344"/>
        <v>Clayton</v>
      </c>
      <c r="E254" s="27" t="str">
        <f t="shared" si="345"/>
        <v>INST</v>
      </c>
      <c r="F254" s="27" t="str">
        <f t="shared" si="346"/>
        <v>CLAY0001</v>
      </c>
      <c r="G254" s="15">
        <f t="shared" si="347"/>
        <v>41699</v>
      </c>
      <c r="H254" s="27" t="str">
        <f t="shared" si="348"/>
        <v>10109</v>
      </c>
      <c r="I254" s="27" t="str">
        <f>"""GP Direct"",""Fabrikam, Inc."",""Jet Payroll Transactions"",""Pay Rate"",""0.00000"",""Payroll Code"",""INS"",""State"","""",""Transaction Amount"",""49.36000"""</f>
        <v>"GP Direct","Fabrikam, Inc.","Jet Payroll Transactions","Pay Rate","0.00000","Payroll Code","INS","State","","Transaction Amount","49.36000"</v>
      </c>
      <c r="O254" s="28"/>
      <c r="P254" s="37">
        <v>0</v>
      </c>
      <c r="Q254" s="38" t="str">
        <f>"INS"</f>
        <v>INS</v>
      </c>
      <c r="R254" s="39"/>
      <c r="S254" s="37">
        <v>49.36</v>
      </c>
    </row>
    <row r="255" spans="1:19" hidden="1" outlineLevel="3">
      <c r="A255" s="25" t="s">
        <v>91</v>
      </c>
      <c r="C255" s="4" t="str">
        <f t="shared" si="343"/>
        <v>Jane</v>
      </c>
      <c r="D255" s="4" t="str">
        <f t="shared" si="344"/>
        <v>Clayton</v>
      </c>
      <c r="E255" s="27" t="str">
        <f t="shared" si="345"/>
        <v>INST</v>
      </c>
      <c r="F255" s="27" t="str">
        <f t="shared" si="346"/>
        <v>CLAY0001</v>
      </c>
      <c r="G255" s="15">
        <f t="shared" si="347"/>
        <v>41699</v>
      </c>
      <c r="H255" s="27" t="str">
        <f t="shared" si="348"/>
        <v>10109</v>
      </c>
      <c r="I255" s="27" t="str">
        <f>"""GP Direct"",""Fabrikam, Inc."",""Jet Payroll Transactions"",""Pay Rate"",""0.00000"",""Payroll Code"",""INS1"",""State"","""",""Transaction Amount"",""47.95000"""</f>
        <v>"GP Direct","Fabrikam, Inc.","Jet Payroll Transactions","Pay Rate","0.00000","Payroll Code","INS1","State","","Transaction Amount","47.95000"</v>
      </c>
      <c r="O255" s="28"/>
      <c r="P255" s="37">
        <v>0</v>
      </c>
      <c r="Q255" s="38" t="str">
        <f>"INS1"</f>
        <v>INS1</v>
      </c>
      <c r="R255" s="39"/>
      <c r="S255" s="37">
        <v>47.95</v>
      </c>
    </row>
    <row r="256" spans="1:19" hidden="1" outlineLevel="3">
      <c r="A256" s="25" t="s">
        <v>91</v>
      </c>
      <c r="C256" s="4" t="str">
        <f t="shared" si="343"/>
        <v>Jane</v>
      </c>
      <c r="D256" s="4" t="str">
        <f t="shared" si="344"/>
        <v>Clayton</v>
      </c>
      <c r="E256" s="27" t="str">
        <f t="shared" si="345"/>
        <v>INST</v>
      </c>
      <c r="F256" s="27" t="str">
        <f t="shared" si="346"/>
        <v>CLAY0001</v>
      </c>
      <c r="G256" s="15">
        <f t="shared" si="347"/>
        <v>41699</v>
      </c>
      <c r="H256" s="27" t="str">
        <f t="shared" si="348"/>
        <v>10109</v>
      </c>
      <c r="I256" s="27" t="str">
        <f>"""GP Direct"",""Fabrikam, Inc."",""Jet Payroll Transactions"",""Pay Rate"",""0.00000"",""Payroll Code"",""MED"",""State"","""",""Transaction Amount"",""5.00000"""</f>
        <v>"GP Direct","Fabrikam, Inc.","Jet Payroll Transactions","Pay Rate","0.00000","Payroll Code","MED","State","","Transaction Amount","5.00000"</v>
      </c>
      <c r="O256" s="28"/>
      <c r="P256" s="37">
        <v>0</v>
      </c>
      <c r="Q256" s="38" t="str">
        <f>"MED"</f>
        <v>MED</v>
      </c>
      <c r="R256" s="39"/>
      <c r="S256" s="37">
        <v>5</v>
      </c>
    </row>
    <row r="257" spans="1:19" hidden="1" outlineLevel="3">
      <c r="A257" s="25" t="s">
        <v>91</v>
      </c>
      <c r="C257" s="4" t="str">
        <f t="shared" si="343"/>
        <v>Jane</v>
      </c>
      <c r="D257" s="4" t="str">
        <f t="shared" si="344"/>
        <v>Clayton</v>
      </c>
      <c r="E257" s="27" t="str">
        <f t="shared" si="345"/>
        <v>INST</v>
      </c>
      <c r="F257" s="27" t="str">
        <f t="shared" si="346"/>
        <v>CLAY0001</v>
      </c>
      <c r="G257" s="15">
        <f t="shared" si="347"/>
        <v>41699</v>
      </c>
      <c r="H257" s="27" t="str">
        <f t="shared" si="348"/>
        <v>10109</v>
      </c>
      <c r="I257" s="27" t="str">
        <f>"""GP Direct"",""Fabrikam, Inc."",""Jet Payroll Transactions"",""Pay Rate"",""0.00000"",""Payroll Code"",""NE"",""State"","""",""Transaction Amount"",""28.22000"""</f>
        <v>"GP Direct","Fabrikam, Inc.","Jet Payroll Transactions","Pay Rate","0.00000","Payroll Code","NE","State","","Transaction Amount","28.22000"</v>
      </c>
      <c r="O257" s="28"/>
      <c r="P257" s="37">
        <v>0</v>
      </c>
      <c r="Q257" s="38" t="str">
        <f>"NE"</f>
        <v>NE</v>
      </c>
      <c r="R257" s="39"/>
      <c r="S257" s="37">
        <v>28.22</v>
      </c>
    </row>
    <row r="258" spans="1:19" hidden="1" outlineLevel="3">
      <c r="A258" s="25" t="s">
        <v>91</v>
      </c>
      <c r="C258" s="4" t="str">
        <f t="shared" si="343"/>
        <v>Jane</v>
      </c>
      <c r="D258" s="4" t="str">
        <f t="shared" si="344"/>
        <v>Clayton</v>
      </c>
      <c r="E258" s="27" t="str">
        <f t="shared" si="345"/>
        <v>INST</v>
      </c>
      <c r="F258" s="27" t="str">
        <f t="shared" si="346"/>
        <v>CLAY0001</v>
      </c>
      <c r="G258" s="15">
        <f t="shared" si="347"/>
        <v>41699</v>
      </c>
      <c r="H258" s="27" t="str">
        <f t="shared" si="348"/>
        <v>10109</v>
      </c>
      <c r="I258" s="27" t="str">
        <f>"""GP Direct"",""Fabrikam, Inc."",""Jet Payroll Transactions"",""Pay Rate"",""31500.00000"",""Payroll Code"",""SALY"",""State"",""NE"",""Transaction Amount"",""1312.50000"""</f>
        <v>"GP Direct","Fabrikam, Inc.","Jet Payroll Transactions","Pay Rate","31500.00000","Payroll Code","SALY","State","NE","Transaction Amount","1312.50000"</v>
      </c>
      <c r="O258" s="28"/>
      <c r="P258" s="37">
        <v>31500</v>
      </c>
      <c r="Q258" s="38" t="str">
        <f>"SALY"</f>
        <v>SALY</v>
      </c>
      <c r="R258" s="39" t="str">
        <f>"NE"</f>
        <v>NE</v>
      </c>
      <c r="S258" s="37">
        <v>1312.5</v>
      </c>
    </row>
    <row r="259" spans="1:19" hidden="1" outlineLevel="3">
      <c r="A259" s="24" t="s">
        <v>2812</v>
      </c>
      <c r="C259" s="4" t="str">
        <f>C252</f>
        <v>Jane</v>
      </c>
      <c r="D259" s="4" t="str">
        <f>D252</f>
        <v>Clayton</v>
      </c>
      <c r="E259" s="27" t="str">
        <f>E252</f>
        <v>INST</v>
      </c>
      <c r="F259" s="27" t="str">
        <f>F252</f>
        <v>CLAY0001</v>
      </c>
      <c r="G259" s="15">
        <f>G252</f>
        <v>41699</v>
      </c>
      <c r="H259" s="27" t="str">
        <f>H252</f>
        <v>10109</v>
      </c>
      <c r="O259" s="28"/>
      <c r="S259" s="16"/>
    </row>
    <row r="260" spans="1:19" ht="12.75" hidden="1" outlineLevel="2" collapsed="1">
      <c r="A260" s="25" t="s">
        <v>91</v>
      </c>
      <c r="C260" s="4" t="str">
        <f t="shared" si="335"/>
        <v>Jane</v>
      </c>
      <c r="D260" s="4" t="str">
        <f t="shared" si="336"/>
        <v>Clayton</v>
      </c>
      <c r="E260" s="27" t="str">
        <f t="shared" si="337"/>
        <v>INST</v>
      </c>
      <c r="F260" s="27" t="str">
        <f t="shared" si="338"/>
        <v>CLAY0001</v>
      </c>
      <c r="G260" s="15">
        <f t="shared" si="341"/>
        <v>41699</v>
      </c>
      <c r="H260" s="27" t="str">
        <f t="shared" si="342"/>
        <v>10109</v>
      </c>
      <c r="N260" s="44" t="str">
        <f>"Total for " &amp; $H260</f>
        <v>Total for 10109</v>
      </c>
      <c r="O260" s="45">
        <f>G260</f>
        <v>41699</v>
      </c>
      <c r="P260" s="44"/>
      <c r="Q260" s="44"/>
      <c r="R260" s="44"/>
      <c r="S260" s="44">
        <f>SUBTOTAL(9,S252:S259)</f>
        <v>1498.16</v>
      </c>
    </row>
    <row r="261" spans="1:19" ht="12.75" hidden="1" outlineLevel="2">
      <c r="A261" s="24" t="s">
        <v>2812</v>
      </c>
      <c r="C261" s="4" t="str">
        <f>C250</f>
        <v>Jane</v>
      </c>
      <c r="D261" s="4" t="str">
        <f>D250</f>
        <v>Clayton</v>
      </c>
      <c r="E261" s="27" t="str">
        <f>E250</f>
        <v>INST</v>
      </c>
      <c r="F261" s="27" t="str">
        <f>F250</f>
        <v>CLAY0001</v>
      </c>
      <c r="G261" s="14"/>
      <c r="J261" s="33"/>
      <c r="K261" s="33"/>
      <c r="L261" s="33"/>
      <c r="M261" s="33"/>
      <c r="N261" s="33"/>
      <c r="O261" s="33"/>
      <c r="P261" s="33"/>
      <c r="Q261" s="33"/>
      <c r="R261" s="33"/>
      <c r="S261" s="40"/>
    </row>
    <row r="262" spans="1:19" ht="12.75" hidden="1" outlineLevel="1" collapsed="1">
      <c r="A262" s="25" t="s">
        <v>91</v>
      </c>
      <c r="C262" s="4" t="str">
        <f t="shared" si="322"/>
        <v>Jane</v>
      </c>
      <c r="D262" s="4" t="str">
        <f t="shared" si="323"/>
        <v>Clayton</v>
      </c>
      <c r="E262" s="27" t="str">
        <f t="shared" si="280"/>
        <v>INST</v>
      </c>
      <c r="F262" s="27" t="str">
        <f t="shared" si="324"/>
        <v>CLAY0001</v>
      </c>
      <c r="G262" s="14"/>
      <c r="J262" s="33"/>
      <c r="K262" s="46" t="str">
        <f>"Total for " &amp; $F262</f>
        <v>Total for CLAY0001</v>
      </c>
      <c r="L262" s="46" t="str">
        <f>C262</f>
        <v>Jane</v>
      </c>
      <c r="M262" s="46" t="str">
        <f>D262</f>
        <v>Clayton</v>
      </c>
      <c r="N262" s="46"/>
      <c r="O262" s="46"/>
      <c r="P262" s="46"/>
      <c r="Q262" s="46"/>
      <c r="R262" s="46"/>
      <c r="S262" s="47">
        <f>SUBTOTAL(9,S242:S261)</f>
        <v>2996.32</v>
      </c>
    </row>
    <row r="263" spans="1:19" ht="12.75" hidden="1" outlineLevel="2">
      <c r="A263" s="25" t="s">
        <v>91</v>
      </c>
      <c r="C263" s="4" t="str">
        <f t="shared" ref="C263" si="349">L263</f>
        <v>Brenda</v>
      </c>
      <c r="D263" s="4" t="str">
        <f t="shared" ref="D263" si="350">M263</f>
        <v>Diaz</v>
      </c>
      <c r="E263" s="27" t="str">
        <f t="shared" si="280"/>
        <v>INST</v>
      </c>
      <c r="F263" s="27" t="str">
        <f t="shared" ref="F263" si="351">K263</f>
        <v>DIAZ0001</v>
      </c>
      <c r="G263" s="14"/>
      <c r="J263" s="31"/>
      <c r="K263" s="21" t="str">
        <f>"DIAZ0001"</f>
        <v>DIAZ0001</v>
      </c>
      <c r="L263" s="43" t="str">
        <f>"Brenda"</f>
        <v>Brenda</v>
      </c>
      <c r="M263" s="43" t="str">
        <f>"Diaz"</f>
        <v>Diaz</v>
      </c>
      <c r="N263" s="43"/>
      <c r="O263" s="34"/>
      <c r="P263" s="33"/>
      <c r="Q263" s="33"/>
      <c r="R263" s="33"/>
      <c r="S263" s="35"/>
    </row>
    <row r="264" spans="1:19" ht="12.75" hidden="1" outlineLevel="3">
      <c r="A264" s="25" t="s">
        <v>91</v>
      </c>
      <c r="C264" s="4" t="str">
        <f t="shared" ref="C264:C289" si="352">C263</f>
        <v>Brenda</v>
      </c>
      <c r="D264" s="4" t="str">
        <f t="shared" ref="D264:D289" si="353">D263</f>
        <v>Diaz</v>
      </c>
      <c r="E264" s="27" t="str">
        <f t="shared" si="280"/>
        <v>INST</v>
      </c>
      <c r="F264" s="27" t="str">
        <f t="shared" ref="F264:F289" si="354">F263</f>
        <v>DIAZ0001</v>
      </c>
      <c r="G264" s="15">
        <f t="shared" ref="G264" si="355">O264</f>
        <v>41671</v>
      </c>
      <c r="H264" s="27" t="str">
        <f t="shared" ref="H264" si="356">N264</f>
        <v>10086</v>
      </c>
      <c r="J264" s="33"/>
      <c r="K264" s="33"/>
      <c r="L264" s="33"/>
      <c r="M264" s="33"/>
      <c r="N264" s="32" t="str">
        <f>"10086"</f>
        <v>10086</v>
      </c>
      <c r="O264" s="36">
        <v>41671</v>
      </c>
      <c r="P264" s="33"/>
      <c r="Q264" s="33"/>
      <c r="R264" s="33"/>
      <c r="S264" s="33"/>
    </row>
    <row r="265" spans="1:19" hidden="1" outlineLevel="3">
      <c r="A265" s="25" t="s">
        <v>91</v>
      </c>
      <c r="C265" s="4" t="str">
        <f t="shared" si="352"/>
        <v>Brenda</v>
      </c>
      <c r="D265" s="4" t="str">
        <f t="shared" si="353"/>
        <v>Diaz</v>
      </c>
      <c r="E265" s="27" t="str">
        <f t="shared" si="280"/>
        <v>INST</v>
      </c>
      <c r="F265" s="27" t="str">
        <f t="shared" si="354"/>
        <v>DIAZ0001</v>
      </c>
      <c r="G265" s="15">
        <f t="shared" ref="G265:G272" si="357">G264</f>
        <v>41671</v>
      </c>
      <c r="H265" s="27" t="str">
        <f t="shared" ref="H265:H272" si="358">H264</f>
        <v>10086</v>
      </c>
      <c r="I265" s="27" t="str">
        <f>"""GP Direct"",""Fabrikam, Inc."",""Jet Payroll Transactions"",""Pay Rate"",""0.00000"",""Payroll Code"",""401K"",""State"","""",""Transaction Amount"",""2.22000"""</f>
        <v>"GP Direct","Fabrikam, Inc.","Jet Payroll Transactions","Pay Rate","0.00000","Payroll Code","401K","State","","Transaction Amount","2.22000"</v>
      </c>
      <c r="O265" s="28"/>
      <c r="P265" s="37">
        <v>0</v>
      </c>
      <c r="Q265" s="38" t="str">
        <f>"401K"</f>
        <v>401K</v>
      </c>
      <c r="R265" s="39"/>
      <c r="S265" s="37">
        <v>2.2200000000000002</v>
      </c>
    </row>
    <row r="266" spans="1:19" hidden="1" outlineLevel="3">
      <c r="A266" s="25" t="s">
        <v>91</v>
      </c>
      <c r="C266" s="4" t="str">
        <f t="shared" ref="C266:C270" si="359">C265</f>
        <v>Brenda</v>
      </c>
      <c r="D266" s="4" t="str">
        <f t="shared" ref="D266:D270" si="360">D265</f>
        <v>Diaz</v>
      </c>
      <c r="E266" s="27" t="str">
        <f t="shared" ref="E266:E270" si="361">E265</f>
        <v>INST</v>
      </c>
      <c r="F266" s="27" t="str">
        <f t="shared" ref="F266:F270" si="362">F265</f>
        <v>DIAZ0001</v>
      </c>
      <c r="G266" s="15">
        <f t="shared" ref="G266:G270" si="363">G265</f>
        <v>41671</v>
      </c>
      <c r="H266" s="27" t="str">
        <f t="shared" ref="H266:H270" si="364">H265</f>
        <v>10086</v>
      </c>
      <c r="I266" s="27" t="str">
        <f>"""GP Direct"",""Fabrikam, Inc."",""Jet Payroll Transactions"",""Pay Rate"",""0.00000"",""Payroll Code"",""401K"",""State"","""",""Transaction Amount"",""44.46000"""</f>
        <v>"GP Direct","Fabrikam, Inc.","Jet Payroll Transactions","Pay Rate","0.00000","Payroll Code","401K","State","","Transaction Amount","44.46000"</v>
      </c>
      <c r="O266" s="28"/>
      <c r="P266" s="37">
        <v>0</v>
      </c>
      <c r="Q266" s="38" t="str">
        <f>"401K"</f>
        <v>401K</v>
      </c>
      <c r="R266" s="39"/>
      <c r="S266" s="37">
        <v>44.46</v>
      </c>
    </row>
    <row r="267" spans="1:19" hidden="1" outlineLevel="3">
      <c r="A267" s="25" t="s">
        <v>91</v>
      </c>
      <c r="C267" s="4" t="str">
        <f t="shared" si="359"/>
        <v>Brenda</v>
      </c>
      <c r="D267" s="4" t="str">
        <f t="shared" si="360"/>
        <v>Diaz</v>
      </c>
      <c r="E267" s="27" t="str">
        <f t="shared" si="361"/>
        <v>INST</v>
      </c>
      <c r="F267" s="27" t="str">
        <f t="shared" si="362"/>
        <v>DIAZ0001</v>
      </c>
      <c r="G267" s="15">
        <f t="shared" si="363"/>
        <v>41671</v>
      </c>
      <c r="H267" s="27" t="str">
        <f t="shared" si="364"/>
        <v>10086</v>
      </c>
      <c r="I267" s="27" t="str">
        <f>"""GP Direct"",""Fabrikam, Inc."",""Jet Payroll Transactions"",""Pay Rate"",""0.00000"",""Payroll Code"",""INS"",""State"","""",""Transaction Amount"",""49.36000"""</f>
        <v>"GP Direct","Fabrikam, Inc.","Jet Payroll Transactions","Pay Rate","0.00000","Payroll Code","INS","State","","Transaction Amount","49.36000"</v>
      </c>
      <c r="O267" s="28"/>
      <c r="P267" s="37">
        <v>0</v>
      </c>
      <c r="Q267" s="38" t="str">
        <f>"INS"</f>
        <v>INS</v>
      </c>
      <c r="R267" s="39"/>
      <c r="S267" s="37">
        <v>49.36</v>
      </c>
    </row>
    <row r="268" spans="1:19" hidden="1" outlineLevel="3">
      <c r="A268" s="25" t="s">
        <v>91</v>
      </c>
      <c r="C268" s="4" t="str">
        <f t="shared" si="359"/>
        <v>Brenda</v>
      </c>
      <c r="D268" s="4" t="str">
        <f t="shared" si="360"/>
        <v>Diaz</v>
      </c>
      <c r="E268" s="27" t="str">
        <f t="shared" si="361"/>
        <v>INST</v>
      </c>
      <c r="F268" s="27" t="str">
        <f t="shared" si="362"/>
        <v>DIAZ0001</v>
      </c>
      <c r="G268" s="15">
        <f t="shared" si="363"/>
        <v>41671</v>
      </c>
      <c r="H268" s="27" t="str">
        <f t="shared" si="364"/>
        <v>10086</v>
      </c>
      <c r="I268" s="27" t="str">
        <f>"""GP Direct"",""Fabrikam, Inc."",""Jet Payroll Transactions"",""Pay Rate"",""0.00000"",""Payroll Code"",""MED"",""State"","""",""Transaction Amount"",""5.00000"""</f>
        <v>"GP Direct","Fabrikam, Inc.","Jet Payroll Transactions","Pay Rate","0.00000","Payroll Code","MED","State","","Transaction Amount","5.00000"</v>
      </c>
      <c r="O268" s="28"/>
      <c r="P268" s="37">
        <v>0</v>
      </c>
      <c r="Q268" s="38" t="str">
        <f>"MED"</f>
        <v>MED</v>
      </c>
      <c r="R268" s="39"/>
      <c r="S268" s="37">
        <v>5</v>
      </c>
    </row>
    <row r="269" spans="1:19" hidden="1" outlineLevel="3">
      <c r="A269" s="25" t="s">
        <v>91</v>
      </c>
      <c r="C269" s="4" t="str">
        <f t="shared" si="359"/>
        <v>Brenda</v>
      </c>
      <c r="D269" s="4" t="str">
        <f t="shared" si="360"/>
        <v>Diaz</v>
      </c>
      <c r="E269" s="27" t="str">
        <f t="shared" si="361"/>
        <v>INST</v>
      </c>
      <c r="F269" s="27" t="str">
        <f t="shared" si="362"/>
        <v>DIAZ0001</v>
      </c>
      <c r="G269" s="15">
        <f t="shared" si="363"/>
        <v>41671</v>
      </c>
      <c r="H269" s="27" t="str">
        <f t="shared" si="364"/>
        <v>10086</v>
      </c>
      <c r="I269" s="27" t="str">
        <f>"""GP Direct"",""Fabrikam, Inc."",""Jet Payroll Transactions"",""Pay Rate"",""0.00000"",""Payroll Code"",""MI"",""State"","""",""Transaction Amount"",""52.14000"""</f>
        <v>"GP Direct","Fabrikam, Inc.","Jet Payroll Transactions","Pay Rate","0.00000","Payroll Code","MI","State","","Transaction Amount","52.14000"</v>
      </c>
      <c r="O269" s="28"/>
      <c r="P269" s="37">
        <v>0</v>
      </c>
      <c r="Q269" s="38" t="str">
        <f>"MI"</f>
        <v>MI</v>
      </c>
      <c r="R269" s="39"/>
      <c r="S269" s="37">
        <v>52.14</v>
      </c>
    </row>
    <row r="270" spans="1:19" hidden="1" outlineLevel="3">
      <c r="A270" s="25" t="s">
        <v>91</v>
      </c>
      <c r="C270" s="4" t="str">
        <f t="shared" si="359"/>
        <v>Brenda</v>
      </c>
      <c r="D270" s="4" t="str">
        <f t="shared" si="360"/>
        <v>Diaz</v>
      </c>
      <c r="E270" s="27" t="str">
        <f t="shared" si="361"/>
        <v>INST</v>
      </c>
      <c r="F270" s="27" t="str">
        <f t="shared" si="362"/>
        <v>DIAZ0001</v>
      </c>
      <c r="G270" s="15">
        <f t="shared" si="363"/>
        <v>41671</v>
      </c>
      <c r="H270" s="27" t="str">
        <f t="shared" si="364"/>
        <v>10086</v>
      </c>
      <c r="I270" s="27" t="str">
        <f>"""GP Direct"",""Fabrikam, Inc."",""Jet Payroll Transactions"",""Pay Rate"",""17.10000"",""Payroll Code"",""HOUR"",""State"",""MI"",""Transaction Amount"",""1482.06000"""</f>
        <v>"GP Direct","Fabrikam, Inc.","Jet Payroll Transactions","Pay Rate","17.10000","Payroll Code","HOUR","State","MI","Transaction Amount","1482.06000"</v>
      </c>
      <c r="O270" s="28"/>
      <c r="P270" s="37">
        <v>17.100000000000001</v>
      </c>
      <c r="Q270" s="38" t="str">
        <f>"HOUR"</f>
        <v>HOUR</v>
      </c>
      <c r="R270" s="39" t="str">
        <f>"MI"</f>
        <v>MI</v>
      </c>
      <c r="S270" s="37">
        <v>1482.06</v>
      </c>
    </row>
    <row r="271" spans="1:19" hidden="1" outlineLevel="3">
      <c r="A271" s="24" t="s">
        <v>2812</v>
      </c>
      <c r="C271" s="4" t="str">
        <f>C265</f>
        <v>Brenda</v>
      </c>
      <c r="D271" s="4" t="str">
        <f>D265</f>
        <v>Diaz</v>
      </c>
      <c r="E271" s="27" t="str">
        <f>E265</f>
        <v>INST</v>
      </c>
      <c r="F271" s="27" t="str">
        <f>F265</f>
        <v>DIAZ0001</v>
      </c>
      <c r="G271" s="15">
        <f>G265</f>
        <v>41671</v>
      </c>
      <c r="H271" s="27" t="str">
        <f>H265</f>
        <v>10086</v>
      </c>
      <c r="O271" s="28"/>
      <c r="S271" s="16"/>
    </row>
    <row r="272" spans="1:19" ht="12.75" hidden="1" outlineLevel="2" collapsed="1">
      <c r="A272" s="25" t="s">
        <v>91</v>
      </c>
      <c r="C272" s="4" t="str">
        <f t="shared" si="352"/>
        <v>Brenda</v>
      </c>
      <c r="D272" s="4" t="str">
        <f t="shared" si="353"/>
        <v>Diaz</v>
      </c>
      <c r="E272" s="27" t="str">
        <f t="shared" si="280"/>
        <v>INST</v>
      </c>
      <c r="F272" s="27" t="str">
        <f t="shared" si="354"/>
        <v>DIAZ0001</v>
      </c>
      <c r="G272" s="15">
        <f t="shared" si="357"/>
        <v>41671</v>
      </c>
      <c r="H272" s="27" t="str">
        <f t="shared" si="358"/>
        <v>10086</v>
      </c>
      <c r="N272" s="44" t="str">
        <f>"Total for " &amp; $H272</f>
        <v>Total for 10086</v>
      </c>
      <c r="O272" s="45">
        <f>G272</f>
        <v>41671</v>
      </c>
      <c r="P272" s="44"/>
      <c r="Q272" s="44"/>
      <c r="R272" s="44"/>
      <c r="S272" s="44">
        <f>SUBTOTAL(9,S265:S271)</f>
        <v>1635.24</v>
      </c>
    </row>
    <row r="273" spans="1:19" ht="12.75" hidden="1" outlineLevel="3">
      <c r="A273" s="25" t="s">
        <v>91</v>
      </c>
      <c r="C273" s="4" t="str">
        <f t="shared" ref="C273:C287" si="365">C272</f>
        <v>Brenda</v>
      </c>
      <c r="D273" s="4" t="str">
        <f t="shared" ref="D273:D287" si="366">D272</f>
        <v>Diaz</v>
      </c>
      <c r="E273" s="27" t="str">
        <f t="shared" ref="E273:E287" si="367">E272</f>
        <v>INST</v>
      </c>
      <c r="F273" s="27" t="str">
        <f t="shared" ref="F273:F287" si="368">F272</f>
        <v>DIAZ0001</v>
      </c>
      <c r="G273" s="15">
        <f t="shared" ref="G273" si="369">O273</f>
        <v>41699</v>
      </c>
      <c r="H273" s="27" t="str">
        <f t="shared" ref="H273" si="370">N273</f>
        <v>10111</v>
      </c>
      <c r="J273" s="33"/>
      <c r="K273" s="33"/>
      <c r="L273" s="33"/>
      <c r="M273" s="33"/>
      <c r="N273" s="32" t="str">
        <f>"10111"</f>
        <v>10111</v>
      </c>
      <c r="O273" s="36">
        <v>41699</v>
      </c>
      <c r="P273" s="33"/>
      <c r="Q273" s="33"/>
      <c r="R273" s="33"/>
      <c r="S273" s="33"/>
    </row>
    <row r="274" spans="1:19" hidden="1" outlineLevel="3">
      <c r="A274" s="25" t="s">
        <v>91</v>
      </c>
      <c r="C274" s="4" t="str">
        <f t="shared" si="365"/>
        <v>Brenda</v>
      </c>
      <c r="D274" s="4" t="str">
        <f t="shared" si="366"/>
        <v>Diaz</v>
      </c>
      <c r="E274" s="27" t="str">
        <f t="shared" si="367"/>
        <v>INST</v>
      </c>
      <c r="F274" s="27" t="str">
        <f t="shared" si="368"/>
        <v>DIAZ0001</v>
      </c>
      <c r="G274" s="15">
        <f t="shared" ref="G274:G282" si="371">G273</f>
        <v>41699</v>
      </c>
      <c r="H274" s="27" t="str">
        <f t="shared" ref="H274:H282" si="372">H273</f>
        <v>10111</v>
      </c>
      <c r="I274" s="27" t="str">
        <f>"""GP Direct"",""Fabrikam, Inc."",""Jet Payroll Transactions"",""Pay Rate"",""0.00000"",""Payroll Code"",""401K"",""State"","""",""Transaction Amount"",""2.22000"""</f>
        <v>"GP Direct","Fabrikam, Inc.","Jet Payroll Transactions","Pay Rate","0.00000","Payroll Code","401K","State","","Transaction Amount","2.22000"</v>
      </c>
      <c r="O274" s="28"/>
      <c r="P274" s="37">
        <v>0</v>
      </c>
      <c r="Q274" s="38" t="str">
        <f>"401K"</f>
        <v>401K</v>
      </c>
      <c r="R274" s="39"/>
      <c r="S274" s="37">
        <v>2.2200000000000002</v>
      </c>
    </row>
    <row r="275" spans="1:19" hidden="1" outlineLevel="3">
      <c r="A275" s="25" t="s">
        <v>91</v>
      </c>
      <c r="C275" s="4" t="str">
        <f t="shared" ref="C275:C280" si="373">C274</f>
        <v>Brenda</v>
      </c>
      <c r="D275" s="4" t="str">
        <f t="shared" ref="D275:D280" si="374">D274</f>
        <v>Diaz</v>
      </c>
      <c r="E275" s="27" t="str">
        <f t="shared" ref="E275:E280" si="375">E274</f>
        <v>INST</v>
      </c>
      <c r="F275" s="27" t="str">
        <f t="shared" ref="F275:F280" si="376">F274</f>
        <v>DIAZ0001</v>
      </c>
      <c r="G275" s="15">
        <f t="shared" ref="G275:G280" si="377">G274</f>
        <v>41699</v>
      </c>
      <c r="H275" s="27" t="str">
        <f t="shared" ref="H275:H280" si="378">H274</f>
        <v>10111</v>
      </c>
      <c r="I275" s="27" t="str">
        <f>"""GP Direct"",""Fabrikam, Inc."",""Jet Payroll Transactions"",""Pay Rate"",""0.00000"",""Payroll Code"",""401K"",""State"","""",""Transaction Amount"",""44.46000"""</f>
        <v>"GP Direct","Fabrikam, Inc.","Jet Payroll Transactions","Pay Rate","0.00000","Payroll Code","401K","State","","Transaction Amount","44.46000"</v>
      </c>
      <c r="O275" s="28"/>
      <c r="P275" s="37">
        <v>0</v>
      </c>
      <c r="Q275" s="38" t="str">
        <f>"401K"</f>
        <v>401K</v>
      </c>
      <c r="R275" s="39"/>
      <c r="S275" s="37">
        <v>44.46</v>
      </c>
    </row>
    <row r="276" spans="1:19" hidden="1" outlineLevel="3">
      <c r="A276" s="25" t="s">
        <v>91</v>
      </c>
      <c r="C276" s="4" t="str">
        <f t="shared" si="373"/>
        <v>Brenda</v>
      </c>
      <c r="D276" s="4" t="str">
        <f t="shared" si="374"/>
        <v>Diaz</v>
      </c>
      <c r="E276" s="27" t="str">
        <f t="shared" si="375"/>
        <v>INST</v>
      </c>
      <c r="F276" s="27" t="str">
        <f t="shared" si="376"/>
        <v>DIAZ0001</v>
      </c>
      <c r="G276" s="15">
        <f t="shared" si="377"/>
        <v>41699</v>
      </c>
      <c r="H276" s="27" t="str">
        <f t="shared" si="378"/>
        <v>10111</v>
      </c>
      <c r="I276" s="27" t="str">
        <f>"""GP Direct"",""Fabrikam, Inc."",""Jet Payroll Transactions"",""Pay Rate"",""0.00000"",""Payroll Code"",""INS"",""State"","""",""Transaction Amount"",""49.36000"""</f>
        <v>"GP Direct","Fabrikam, Inc.","Jet Payroll Transactions","Pay Rate","0.00000","Payroll Code","INS","State","","Transaction Amount","49.36000"</v>
      </c>
      <c r="O276" s="28"/>
      <c r="P276" s="37">
        <v>0</v>
      </c>
      <c r="Q276" s="38" t="str">
        <f>"INS"</f>
        <v>INS</v>
      </c>
      <c r="R276" s="39"/>
      <c r="S276" s="37">
        <v>49.36</v>
      </c>
    </row>
    <row r="277" spans="1:19" hidden="1" outlineLevel="3">
      <c r="A277" s="25" t="s">
        <v>91</v>
      </c>
      <c r="C277" s="4" t="str">
        <f t="shared" si="373"/>
        <v>Brenda</v>
      </c>
      <c r="D277" s="4" t="str">
        <f t="shared" si="374"/>
        <v>Diaz</v>
      </c>
      <c r="E277" s="27" t="str">
        <f t="shared" si="375"/>
        <v>INST</v>
      </c>
      <c r="F277" s="27" t="str">
        <f t="shared" si="376"/>
        <v>DIAZ0001</v>
      </c>
      <c r="G277" s="15">
        <f t="shared" si="377"/>
        <v>41699</v>
      </c>
      <c r="H277" s="27" t="str">
        <f t="shared" si="378"/>
        <v>10111</v>
      </c>
      <c r="I277" s="27" t="str">
        <f>"""GP Direct"",""Fabrikam, Inc."",""Jet Payroll Transactions"",""Pay Rate"",""0.00000"",""Payroll Code"",""MED"",""State"","""",""Transaction Amount"",""5.00000"""</f>
        <v>"GP Direct","Fabrikam, Inc.","Jet Payroll Transactions","Pay Rate","0.00000","Payroll Code","MED","State","","Transaction Amount","5.00000"</v>
      </c>
      <c r="O277" s="28"/>
      <c r="P277" s="37">
        <v>0</v>
      </c>
      <c r="Q277" s="38" t="str">
        <f>"MED"</f>
        <v>MED</v>
      </c>
      <c r="R277" s="39"/>
      <c r="S277" s="37">
        <v>5</v>
      </c>
    </row>
    <row r="278" spans="1:19" hidden="1" outlineLevel="3">
      <c r="A278" s="25" t="s">
        <v>91</v>
      </c>
      <c r="C278" s="4" t="str">
        <f t="shared" si="373"/>
        <v>Brenda</v>
      </c>
      <c r="D278" s="4" t="str">
        <f t="shared" si="374"/>
        <v>Diaz</v>
      </c>
      <c r="E278" s="27" t="str">
        <f t="shared" si="375"/>
        <v>INST</v>
      </c>
      <c r="F278" s="27" t="str">
        <f t="shared" si="376"/>
        <v>DIAZ0001</v>
      </c>
      <c r="G278" s="15">
        <f t="shared" si="377"/>
        <v>41699</v>
      </c>
      <c r="H278" s="27" t="str">
        <f t="shared" si="378"/>
        <v>10111</v>
      </c>
      <c r="I278" s="27" t="str">
        <f>"""GP Direct"",""Fabrikam, Inc."",""Jet Payroll Transactions"",""Pay Rate"",""0.00000"",""Payroll Code"",""MI"",""State"","""",""Transaction Amount"",""52.14000"""</f>
        <v>"GP Direct","Fabrikam, Inc.","Jet Payroll Transactions","Pay Rate","0.00000","Payroll Code","MI","State","","Transaction Amount","52.14000"</v>
      </c>
      <c r="O278" s="28"/>
      <c r="P278" s="37">
        <v>0</v>
      </c>
      <c r="Q278" s="38" t="str">
        <f>"MI"</f>
        <v>MI</v>
      </c>
      <c r="R278" s="39"/>
      <c r="S278" s="37">
        <v>52.14</v>
      </c>
    </row>
    <row r="279" spans="1:19" hidden="1" outlineLevel="3">
      <c r="A279" s="25" t="s">
        <v>91</v>
      </c>
      <c r="C279" s="4" t="str">
        <f t="shared" si="373"/>
        <v>Brenda</v>
      </c>
      <c r="D279" s="4" t="str">
        <f t="shared" si="374"/>
        <v>Diaz</v>
      </c>
      <c r="E279" s="27" t="str">
        <f t="shared" si="375"/>
        <v>INST</v>
      </c>
      <c r="F279" s="27" t="str">
        <f t="shared" si="376"/>
        <v>DIAZ0001</v>
      </c>
      <c r="G279" s="15">
        <f t="shared" si="377"/>
        <v>41699</v>
      </c>
      <c r="H279" s="27" t="str">
        <f t="shared" si="378"/>
        <v>10111</v>
      </c>
      <c r="I279" s="27" t="str">
        <f>"""GP Direct"",""Fabrikam, Inc."",""Jet Payroll Transactions"",""Pay Rate"",""17.10000"",""Payroll Code"",""HOLI"",""State"",""MI"",""Transaction Amount"",""136.80000"""</f>
        <v>"GP Direct","Fabrikam, Inc.","Jet Payroll Transactions","Pay Rate","17.10000","Payroll Code","HOLI","State","MI","Transaction Amount","136.80000"</v>
      </c>
      <c r="O279" s="28"/>
      <c r="P279" s="37">
        <v>17.100000000000001</v>
      </c>
      <c r="Q279" s="38" t="str">
        <f>"HOLI"</f>
        <v>HOLI</v>
      </c>
      <c r="R279" s="39" t="str">
        <f>"MI"</f>
        <v>MI</v>
      </c>
      <c r="S279" s="37">
        <v>136.80000000000001</v>
      </c>
    </row>
    <row r="280" spans="1:19" hidden="1" outlineLevel="3">
      <c r="A280" s="25" t="s">
        <v>91</v>
      </c>
      <c r="C280" s="4" t="str">
        <f t="shared" si="373"/>
        <v>Brenda</v>
      </c>
      <c r="D280" s="4" t="str">
        <f t="shared" si="374"/>
        <v>Diaz</v>
      </c>
      <c r="E280" s="27" t="str">
        <f t="shared" si="375"/>
        <v>INST</v>
      </c>
      <c r="F280" s="27" t="str">
        <f t="shared" si="376"/>
        <v>DIAZ0001</v>
      </c>
      <c r="G280" s="15">
        <f t="shared" si="377"/>
        <v>41699</v>
      </c>
      <c r="H280" s="27" t="str">
        <f t="shared" si="378"/>
        <v>10111</v>
      </c>
      <c r="I280" s="27" t="str">
        <f>"""GP Direct"",""Fabrikam, Inc."",""Jet Payroll Transactions"",""Pay Rate"",""17.10000"",""Payroll Code"",""HOUR"",""State"",""MI"",""Transaction Amount"",""1345.26000"""</f>
        <v>"GP Direct","Fabrikam, Inc.","Jet Payroll Transactions","Pay Rate","17.10000","Payroll Code","HOUR","State","MI","Transaction Amount","1345.26000"</v>
      </c>
      <c r="O280" s="28"/>
      <c r="P280" s="37">
        <v>17.100000000000001</v>
      </c>
      <c r="Q280" s="38" t="str">
        <f>"HOUR"</f>
        <v>HOUR</v>
      </c>
      <c r="R280" s="39" t="str">
        <f>"MI"</f>
        <v>MI</v>
      </c>
      <c r="S280" s="37">
        <v>1345.26</v>
      </c>
    </row>
    <row r="281" spans="1:19" hidden="1" outlineLevel="3">
      <c r="A281" s="24" t="s">
        <v>2812</v>
      </c>
      <c r="C281" s="4" t="str">
        <f>C274</f>
        <v>Brenda</v>
      </c>
      <c r="D281" s="4" t="str">
        <f>D274</f>
        <v>Diaz</v>
      </c>
      <c r="E281" s="27" t="str">
        <f>E274</f>
        <v>INST</v>
      </c>
      <c r="F281" s="27" t="str">
        <f>F274</f>
        <v>DIAZ0001</v>
      </c>
      <c r="G281" s="15">
        <f>G274</f>
        <v>41699</v>
      </c>
      <c r="H281" s="27" t="str">
        <f>H274</f>
        <v>10111</v>
      </c>
      <c r="O281" s="28"/>
      <c r="S281" s="16"/>
    </row>
    <row r="282" spans="1:19" ht="12.75" hidden="1" outlineLevel="2" collapsed="1">
      <c r="A282" s="25" t="s">
        <v>91</v>
      </c>
      <c r="C282" s="4" t="str">
        <f t="shared" si="365"/>
        <v>Brenda</v>
      </c>
      <c r="D282" s="4" t="str">
        <f t="shared" si="366"/>
        <v>Diaz</v>
      </c>
      <c r="E282" s="27" t="str">
        <f t="shared" si="367"/>
        <v>INST</v>
      </c>
      <c r="F282" s="27" t="str">
        <f t="shared" si="368"/>
        <v>DIAZ0001</v>
      </c>
      <c r="G282" s="15">
        <f t="shared" si="371"/>
        <v>41699</v>
      </c>
      <c r="H282" s="27" t="str">
        <f t="shared" si="372"/>
        <v>10111</v>
      </c>
      <c r="N282" s="44" t="str">
        <f>"Total for " &amp; $H282</f>
        <v>Total for 10111</v>
      </c>
      <c r="O282" s="45">
        <f>G282</f>
        <v>41699</v>
      </c>
      <c r="P282" s="44"/>
      <c r="Q282" s="44"/>
      <c r="R282" s="44"/>
      <c r="S282" s="44">
        <f>SUBTOTAL(9,S274:S281)</f>
        <v>1635.24</v>
      </c>
    </row>
    <row r="283" spans="1:19" ht="12.75" hidden="1" outlineLevel="3">
      <c r="A283" s="25" t="s">
        <v>91</v>
      </c>
      <c r="C283" s="4" t="str">
        <f t="shared" si="365"/>
        <v>Brenda</v>
      </c>
      <c r="D283" s="4" t="str">
        <f t="shared" si="366"/>
        <v>Diaz</v>
      </c>
      <c r="E283" s="27" t="str">
        <f t="shared" si="367"/>
        <v>INST</v>
      </c>
      <c r="F283" s="27" t="str">
        <f t="shared" si="368"/>
        <v>DIAZ0001</v>
      </c>
      <c r="G283" s="15">
        <f t="shared" ref="G283" si="379">O283</f>
        <v>41640</v>
      </c>
      <c r="H283" s="27" t="str">
        <f t="shared" ref="H283" si="380">N283</f>
        <v>11555</v>
      </c>
      <c r="J283" s="33"/>
      <c r="K283" s="33"/>
      <c r="L283" s="33"/>
      <c r="M283" s="33"/>
      <c r="N283" s="32" t="str">
        <f>"11555"</f>
        <v>11555</v>
      </c>
      <c r="O283" s="36">
        <v>41640</v>
      </c>
      <c r="P283" s="33"/>
      <c r="Q283" s="33"/>
      <c r="R283" s="33"/>
      <c r="S283" s="33"/>
    </row>
    <row r="284" spans="1:19" hidden="1" outlineLevel="3">
      <c r="A284" s="25" t="s">
        <v>91</v>
      </c>
      <c r="C284" s="4" t="str">
        <f t="shared" si="365"/>
        <v>Brenda</v>
      </c>
      <c r="D284" s="4" t="str">
        <f t="shared" si="366"/>
        <v>Diaz</v>
      </c>
      <c r="E284" s="27" t="str">
        <f t="shared" si="367"/>
        <v>INST</v>
      </c>
      <c r="F284" s="27" t="str">
        <f t="shared" si="368"/>
        <v>DIAZ0001</v>
      </c>
      <c r="G284" s="15">
        <f t="shared" ref="G284:G287" si="381">G283</f>
        <v>41640</v>
      </c>
      <c r="H284" s="27" t="str">
        <f t="shared" ref="H284:H287" si="382">H283</f>
        <v>11555</v>
      </c>
      <c r="I284" s="27" t="str">
        <f>"""GP Direct"",""Fabrikam, Inc."",""Jet Payroll Transactions"",""Pay Rate"",""0.00000"",""Payroll Code"",""MI"",""State"","""",""Transaction Amount"",""23.52000"""</f>
        <v>"GP Direct","Fabrikam, Inc.","Jet Payroll Transactions","Pay Rate","0.00000","Payroll Code","MI","State","","Transaction Amount","23.52000"</v>
      </c>
      <c r="O284" s="28"/>
      <c r="P284" s="37">
        <v>0</v>
      </c>
      <c r="Q284" s="38" t="str">
        <f>"MI"</f>
        <v>MI</v>
      </c>
      <c r="R284" s="39"/>
      <c r="S284" s="37">
        <v>23.52</v>
      </c>
    </row>
    <row r="285" spans="1:19" hidden="1" outlineLevel="3">
      <c r="A285" s="25" t="s">
        <v>91</v>
      </c>
      <c r="C285" s="4" t="str">
        <f t="shared" ref="C285" si="383">C284</f>
        <v>Brenda</v>
      </c>
      <c r="D285" s="4" t="str">
        <f t="shared" ref="D285" si="384">D284</f>
        <v>Diaz</v>
      </c>
      <c r="E285" s="27" t="str">
        <f t="shared" ref="E285" si="385">E284</f>
        <v>INST</v>
      </c>
      <c r="F285" s="27" t="str">
        <f t="shared" ref="F285" si="386">F284</f>
        <v>DIAZ0001</v>
      </c>
      <c r="G285" s="15">
        <f t="shared" ref="G285" si="387">G284</f>
        <v>41640</v>
      </c>
      <c r="H285" s="27" t="str">
        <f t="shared" ref="H285" si="388">H284</f>
        <v>11555</v>
      </c>
      <c r="I285" s="27" t="str">
        <f>"""GP Direct"",""Fabrikam, Inc."",""Jet Payroll Transactions"",""Pay Rate"",""600.00000"",""Payroll Code"",""BONS"",""State"",""MI"",""Transaction Amount"",""600.00000"""</f>
        <v>"GP Direct","Fabrikam, Inc.","Jet Payroll Transactions","Pay Rate","600.00000","Payroll Code","BONS","State","MI","Transaction Amount","600.00000"</v>
      </c>
      <c r="O285" s="28"/>
      <c r="P285" s="37">
        <v>600</v>
      </c>
      <c r="Q285" s="38" t="str">
        <f>"BONS"</f>
        <v>BONS</v>
      </c>
      <c r="R285" s="39" t="str">
        <f>"MI"</f>
        <v>MI</v>
      </c>
      <c r="S285" s="37">
        <v>600</v>
      </c>
    </row>
    <row r="286" spans="1:19" hidden="1" outlineLevel="3">
      <c r="A286" s="24" t="s">
        <v>2812</v>
      </c>
      <c r="C286" s="4" t="str">
        <f>C284</f>
        <v>Brenda</v>
      </c>
      <c r="D286" s="4" t="str">
        <f>D284</f>
        <v>Diaz</v>
      </c>
      <c r="E286" s="27" t="str">
        <f>E284</f>
        <v>INST</v>
      </c>
      <c r="F286" s="27" t="str">
        <f>F284</f>
        <v>DIAZ0001</v>
      </c>
      <c r="G286" s="15">
        <f>G284</f>
        <v>41640</v>
      </c>
      <c r="H286" s="27" t="str">
        <f>H284</f>
        <v>11555</v>
      </c>
      <c r="O286" s="28"/>
      <c r="S286" s="16"/>
    </row>
    <row r="287" spans="1:19" ht="12.75" hidden="1" outlineLevel="2" collapsed="1">
      <c r="A287" s="25" t="s">
        <v>91</v>
      </c>
      <c r="C287" s="4" t="str">
        <f t="shared" si="365"/>
        <v>Brenda</v>
      </c>
      <c r="D287" s="4" t="str">
        <f t="shared" si="366"/>
        <v>Diaz</v>
      </c>
      <c r="E287" s="27" t="str">
        <f t="shared" si="367"/>
        <v>INST</v>
      </c>
      <c r="F287" s="27" t="str">
        <f t="shared" si="368"/>
        <v>DIAZ0001</v>
      </c>
      <c r="G287" s="15">
        <f t="shared" si="381"/>
        <v>41640</v>
      </c>
      <c r="H287" s="27" t="str">
        <f t="shared" si="382"/>
        <v>11555</v>
      </c>
      <c r="N287" s="44" t="str">
        <f>"Total for " &amp; $H287</f>
        <v>Total for 11555</v>
      </c>
      <c r="O287" s="45">
        <f>G287</f>
        <v>41640</v>
      </c>
      <c r="P287" s="44"/>
      <c r="Q287" s="44"/>
      <c r="R287" s="44"/>
      <c r="S287" s="44">
        <f>SUBTOTAL(9,S284:S286)</f>
        <v>623.52</v>
      </c>
    </row>
    <row r="288" spans="1:19" ht="12.75" hidden="1" outlineLevel="2">
      <c r="A288" s="24" t="s">
        <v>2812</v>
      </c>
      <c r="C288" s="4" t="str">
        <f>C272</f>
        <v>Brenda</v>
      </c>
      <c r="D288" s="4" t="str">
        <f>D272</f>
        <v>Diaz</v>
      </c>
      <c r="E288" s="27" t="str">
        <f>E272</f>
        <v>INST</v>
      </c>
      <c r="F288" s="27" t="str">
        <f>F272</f>
        <v>DIAZ0001</v>
      </c>
      <c r="G288" s="14"/>
      <c r="J288" s="33"/>
      <c r="K288" s="33"/>
      <c r="L288" s="33"/>
      <c r="M288" s="33"/>
      <c r="N288" s="33"/>
      <c r="O288" s="33"/>
      <c r="P288" s="33"/>
      <c r="Q288" s="33"/>
      <c r="R288" s="33"/>
      <c r="S288" s="40"/>
    </row>
    <row r="289" spans="1:19" ht="12.75" hidden="1" outlineLevel="1" collapsed="1">
      <c r="A289" s="25" t="s">
        <v>91</v>
      </c>
      <c r="C289" s="4" t="str">
        <f t="shared" si="352"/>
        <v>Brenda</v>
      </c>
      <c r="D289" s="4" t="str">
        <f t="shared" si="353"/>
        <v>Diaz</v>
      </c>
      <c r="E289" s="27" t="str">
        <f t="shared" si="280"/>
        <v>INST</v>
      </c>
      <c r="F289" s="27" t="str">
        <f t="shared" si="354"/>
        <v>DIAZ0001</v>
      </c>
      <c r="G289" s="14"/>
      <c r="J289" s="33"/>
      <c r="K289" s="46" t="str">
        <f>"Total for " &amp; $F289</f>
        <v>Total for DIAZ0001</v>
      </c>
      <c r="L289" s="46" t="str">
        <f>C289</f>
        <v>Brenda</v>
      </c>
      <c r="M289" s="46" t="str">
        <f>D289</f>
        <v>Diaz</v>
      </c>
      <c r="N289" s="46"/>
      <c r="O289" s="46"/>
      <c r="P289" s="46"/>
      <c r="Q289" s="46"/>
      <c r="R289" s="46"/>
      <c r="S289" s="47">
        <f>SUBTOTAL(9,S265:S288)</f>
        <v>3894</v>
      </c>
    </row>
    <row r="290" spans="1:19" ht="12.75" hidden="1" outlineLevel="2">
      <c r="A290" s="25" t="s">
        <v>91</v>
      </c>
      <c r="C290" s="4" t="str">
        <f t="shared" ref="C290" si="389">L290</f>
        <v>Roger</v>
      </c>
      <c r="D290" s="4" t="str">
        <f t="shared" ref="D290" si="390">M290</f>
        <v>Harui</v>
      </c>
      <c r="E290" s="27" t="str">
        <f t="shared" si="280"/>
        <v>INST</v>
      </c>
      <c r="F290" s="27" t="str">
        <f t="shared" ref="F290" si="391">K290</f>
        <v>HARU0001</v>
      </c>
      <c r="G290" s="14"/>
      <c r="J290" s="31"/>
      <c r="K290" s="21" t="str">
        <f>"HARU0001"</f>
        <v>HARU0001</v>
      </c>
      <c r="L290" s="43" t="str">
        <f>"Roger"</f>
        <v>Roger</v>
      </c>
      <c r="M290" s="43" t="str">
        <f>"Harui"</f>
        <v>Harui</v>
      </c>
      <c r="N290" s="43"/>
      <c r="O290" s="34"/>
      <c r="P290" s="33"/>
      <c r="Q290" s="33"/>
      <c r="R290" s="33"/>
      <c r="S290" s="35"/>
    </row>
    <row r="291" spans="1:19" ht="12.75" hidden="1" outlineLevel="3">
      <c r="A291" s="25" t="s">
        <v>91</v>
      </c>
      <c r="C291" s="4" t="str">
        <f t="shared" ref="C291:C312" si="392">C290</f>
        <v>Roger</v>
      </c>
      <c r="D291" s="4" t="str">
        <f t="shared" ref="D291:D312" si="393">D290</f>
        <v>Harui</v>
      </c>
      <c r="E291" s="27" t="str">
        <f t="shared" si="280"/>
        <v>INST</v>
      </c>
      <c r="F291" s="27" t="str">
        <f t="shared" ref="F291:F312" si="394">F290</f>
        <v>HARU0001</v>
      </c>
      <c r="G291" s="15">
        <f t="shared" ref="G291" si="395">O291</f>
        <v>41671</v>
      </c>
      <c r="H291" s="27" t="str">
        <f t="shared" ref="H291" si="396">N291</f>
        <v>10090</v>
      </c>
      <c r="J291" s="33"/>
      <c r="K291" s="33"/>
      <c r="L291" s="33"/>
      <c r="M291" s="33"/>
      <c r="N291" s="32" t="str">
        <f>"10090"</f>
        <v>10090</v>
      </c>
      <c r="O291" s="36">
        <v>41671</v>
      </c>
      <c r="P291" s="33"/>
      <c r="Q291" s="33"/>
      <c r="R291" s="33"/>
      <c r="S291" s="33"/>
    </row>
    <row r="292" spans="1:19" hidden="1" outlineLevel="3">
      <c r="A292" s="25" t="s">
        <v>91</v>
      </c>
      <c r="C292" s="4" t="str">
        <f t="shared" si="392"/>
        <v>Roger</v>
      </c>
      <c r="D292" s="4" t="str">
        <f t="shared" si="393"/>
        <v>Harui</v>
      </c>
      <c r="E292" s="27" t="str">
        <f t="shared" si="280"/>
        <v>INST</v>
      </c>
      <c r="F292" s="27" t="str">
        <f t="shared" si="394"/>
        <v>HARU0001</v>
      </c>
      <c r="G292" s="15">
        <f t="shared" ref="G292:G297" si="397">G291</f>
        <v>41671</v>
      </c>
      <c r="H292" s="27" t="str">
        <f t="shared" ref="H292:H297" si="398">H291</f>
        <v>10090</v>
      </c>
      <c r="I292" s="27" t="str">
        <f>"""GP Direct"",""Fabrikam, Inc."",""Jet Payroll Transactions"",""Pay Rate"",""0.00000"",""Payroll Code"",""IA"",""State"","""",""Transaction Amount"",""55.00000"""</f>
        <v>"GP Direct","Fabrikam, Inc.","Jet Payroll Transactions","Pay Rate","0.00000","Payroll Code","IA","State","","Transaction Amount","55.00000"</v>
      </c>
      <c r="O292" s="28"/>
      <c r="P292" s="37">
        <v>0</v>
      </c>
      <c r="Q292" s="38" t="str">
        <f>"IA"</f>
        <v>IA</v>
      </c>
      <c r="R292" s="39"/>
      <c r="S292" s="37">
        <v>55</v>
      </c>
    </row>
    <row r="293" spans="1:19" hidden="1" outlineLevel="3">
      <c r="A293" s="25" t="s">
        <v>91</v>
      </c>
      <c r="C293" s="4" t="str">
        <f t="shared" ref="C293:C295" si="399">C292</f>
        <v>Roger</v>
      </c>
      <c r="D293" s="4" t="str">
        <f t="shared" ref="D293:D295" si="400">D292</f>
        <v>Harui</v>
      </c>
      <c r="E293" s="27" t="str">
        <f t="shared" ref="E293:E295" si="401">E292</f>
        <v>INST</v>
      </c>
      <c r="F293" s="27" t="str">
        <f t="shared" ref="F293:F295" si="402">F292</f>
        <v>HARU0001</v>
      </c>
      <c r="G293" s="15">
        <f t="shared" ref="G293:G295" si="403">G292</f>
        <v>41671</v>
      </c>
      <c r="H293" s="27" t="str">
        <f t="shared" ref="H293:H295" si="404">H292</f>
        <v>10090</v>
      </c>
      <c r="I293" s="27" t="str">
        <f>"""GP Direct"",""Fabrikam, Inc."",""Jet Payroll Transactions"",""Pay Rate"",""0.00000"",""Payroll Code"",""INS"",""State"","""",""Transaction Amount"",""49.36000"""</f>
        <v>"GP Direct","Fabrikam, Inc.","Jet Payroll Transactions","Pay Rate","0.00000","Payroll Code","INS","State","","Transaction Amount","49.36000"</v>
      </c>
      <c r="O293" s="28"/>
      <c r="P293" s="37">
        <v>0</v>
      </c>
      <c r="Q293" s="38" t="str">
        <f>"INS"</f>
        <v>INS</v>
      </c>
      <c r="R293" s="39"/>
      <c r="S293" s="37">
        <v>49.36</v>
      </c>
    </row>
    <row r="294" spans="1:19" hidden="1" outlineLevel="3">
      <c r="A294" s="25" t="s">
        <v>91</v>
      </c>
      <c r="C294" s="4" t="str">
        <f t="shared" si="399"/>
        <v>Roger</v>
      </c>
      <c r="D294" s="4" t="str">
        <f t="shared" si="400"/>
        <v>Harui</v>
      </c>
      <c r="E294" s="27" t="str">
        <f t="shared" si="401"/>
        <v>INST</v>
      </c>
      <c r="F294" s="27" t="str">
        <f t="shared" si="402"/>
        <v>HARU0001</v>
      </c>
      <c r="G294" s="15">
        <f t="shared" si="403"/>
        <v>41671</v>
      </c>
      <c r="H294" s="27" t="str">
        <f t="shared" si="404"/>
        <v>10090</v>
      </c>
      <c r="I294" s="27" t="str">
        <f>"""GP Direct"",""Fabrikam, Inc."",""Jet Payroll Transactions"",""Pay Rate"",""0.00000"",""Payroll Code"",""MED"",""State"","""",""Transaction Amount"",""5.00000"""</f>
        <v>"GP Direct","Fabrikam, Inc.","Jet Payroll Transactions","Pay Rate","0.00000","Payroll Code","MED","State","","Transaction Amount","5.00000"</v>
      </c>
      <c r="O294" s="28"/>
      <c r="P294" s="37">
        <v>0</v>
      </c>
      <c r="Q294" s="38" t="str">
        <f>"MED"</f>
        <v>MED</v>
      </c>
      <c r="R294" s="39"/>
      <c r="S294" s="37">
        <v>5</v>
      </c>
    </row>
    <row r="295" spans="1:19" hidden="1" outlineLevel="3">
      <c r="A295" s="25" t="s">
        <v>91</v>
      </c>
      <c r="C295" s="4" t="str">
        <f t="shared" si="399"/>
        <v>Roger</v>
      </c>
      <c r="D295" s="4" t="str">
        <f t="shared" si="400"/>
        <v>Harui</v>
      </c>
      <c r="E295" s="27" t="str">
        <f t="shared" si="401"/>
        <v>INST</v>
      </c>
      <c r="F295" s="27" t="str">
        <f t="shared" si="402"/>
        <v>HARU0001</v>
      </c>
      <c r="G295" s="15">
        <f t="shared" si="403"/>
        <v>41671</v>
      </c>
      <c r="H295" s="27" t="str">
        <f t="shared" si="404"/>
        <v>10090</v>
      </c>
      <c r="I295" s="27" t="str">
        <f>"""GP Direct"",""Fabrikam, Inc."",""Jet Payroll Transactions"",""Pay Rate"",""15.70000"",""Payroll Code"",""HOUR"",""State"",""IA"",""Transaction Amount"",""1360.72000"""</f>
        <v>"GP Direct","Fabrikam, Inc.","Jet Payroll Transactions","Pay Rate","15.70000","Payroll Code","HOUR","State","IA","Transaction Amount","1360.72000"</v>
      </c>
      <c r="O295" s="28"/>
      <c r="P295" s="37">
        <v>15.7</v>
      </c>
      <c r="Q295" s="38" t="str">
        <f>"HOUR"</f>
        <v>HOUR</v>
      </c>
      <c r="R295" s="39" t="str">
        <f>"IA"</f>
        <v>IA</v>
      </c>
      <c r="S295" s="37">
        <v>1360.72</v>
      </c>
    </row>
    <row r="296" spans="1:19" hidden="1" outlineLevel="3">
      <c r="A296" s="24" t="s">
        <v>2812</v>
      </c>
      <c r="C296" s="4" t="str">
        <f>C292</f>
        <v>Roger</v>
      </c>
      <c r="D296" s="4" t="str">
        <f>D292</f>
        <v>Harui</v>
      </c>
      <c r="E296" s="27" t="str">
        <f>E292</f>
        <v>INST</v>
      </c>
      <c r="F296" s="27" t="str">
        <f>F292</f>
        <v>HARU0001</v>
      </c>
      <c r="G296" s="15">
        <f>G292</f>
        <v>41671</v>
      </c>
      <c r="H296" s="27" t="str">
        <f>H292</f>
        <v>10090</v>
      </c>
      <c r="O296" s="28"/>
      <c r="S296" s="16"/>
    </row>
    <row r="297" spans="1:19" ht="12.75" hidden="1" outlineLevel="2" collapsed="1">
      <c r="A297" s="25" t="s">
        <v>91</v>
      </c>
      <c r="C297" s="4" t="str">
        <f t="shared" si="392"/>
        <v>Roger</v>
      </c>
      <c r="D297" s="4" t="str">
        <f t="shared" si="393"/>
        <v>Harui</v>
      </c>
      <c r="E297" s="27" t="str">
        <f t="shared" si="280"/>
        <v>INST</v>
      </c>
      <c r="F297" s="27" t="str">
        <f t="shared" si="394"/>
        <v>HARU0001</v>
      </c>
      <c r="G297" s="15">
        <f t="shared" si="397"/>
        <v>41671</v>
      </c>
      <c r="H297" s="27" t="str">
        <f t="shared" si="398"/>
        <v>10090</v>
      </c>
      <c r="N297" s="44" t="str">
        <f>"Total for " &amp; $H297</f>
        <v>Total for 10090</v>
      </c>
      <c r="O297" s="45">
        <f>G297</f>
        <v>41671</v>
      </c>
      <c r="P297" s="44"/>
      <c r="Q297" s="44"/>
      <c r="R297" s="44"/>
      <c r="S297" s="44">
        <f>SUBTOTAL(9,S292:S296)</f>
        <v>1470.08</v>
      </c>
    </row>
    <row r="298" spans="1:19" ht="12.75" hidden="1" outlineLevel="3">
      <c r="A298" s="25" t="s">
        <v>91</v>
      </c>
      <c r="C298" s="4" t="str">
        <f t="shared" ref="C298:C310" si="405">C297</f>
        <v>Roger</v>
      </c>
      <c r="D298" s="4" t="str">
        <f t="shared" ref="D298:D310" si="406">D297</f>
        <v>Harui</v>
      </c>
      <c r="E298" s="27" t="str">
        <f t="shared" ref="E298:E310" si="407">E297</f>
        <v>INST</v>
      </c>
      <c r="F298" s="27" t="str">
        <f t="shared" ref="F298:F310" si="408">F297</f>
        <v>HARU0001</v>
      </c>
      <c r="G298" s="15">
        <f t="shared" ref="G298" si="409">O298</f>
        <v>41699</v>
      </c>
      <c r="H298" s="27" t="str">
        <f t="shared" ref="H298" si="410">N298</f>
        <v>10115</v>
      </c>
      <c r="J298" s="33"/>
      <c r="K298" s="33"/>
      <c r="L298" s="33"/>
      <c r="M298" s="33"/>
      <c r="N298" s="32" t="str">
        <f>"10115"</f>
        <v>10115</v>
      </c>
      <c r="O298" s="36">
        <v>41699</v>
      </c>
      <c r="P298" s="33"/>
      <c r="Q298" s="33"/>
      <c r="R298" s="33"/>
      <c r="S298" s="33"/>
    </row>
    <row r="299" spans="1:19" hidden="1" outlineLevel="3">
      <c r="A299" s="25" t="s">
        <v>91</v>
      </c>
      <c r="C299" s="4" t="str">
        <f t="shared" si="405"/>
        <v>Roger</v>
      </c>
      <c r="D299" s="4" t="str">
        <f t="shared" si="406"/>
        <v>Harui</v>
      </c>
      <c r="E299" s="27" t="str">
        <f t="shared" si="407"/>
        <v>INST</v>
      </c>
      <c r="F299" s="27" t="str">
        <f t="shared" si="408"/>
        <v>HARU0001</v>
      </c>
      <c r="G299" s="15">
        <f t="shared" ref="G299:G305" si="411">G298</f>
        <v>41699</v>
      </c>
      <c r="H299" s="27" t="str">
        <f t="shared" ref="H299:H305" si="412">H298</f>
        <v>10115</v>
      </c>
      <c r="I299" s="27" t="str">
        <f>"""GP Direct"",""Fabrikam, Inc."",""Jet Payroll Transactions"",""Pay Rate"",""0.00000"",""Payroll Code"",""IA"",""State"","""",""Transaction Amount"",""55.00000"""</f>
        <v>"GP Direct","Fabrikam, Inc.","Jet Payroll Transactions","Pay Rate","0.00000","Payroll Code","IA","State","","Transaction Amount","55.00000"</v>
      </c>
      <c r="O299" s="28"/>
      <c r="P299" s="37">
        <v>0</v>
      </c>
      <c r="Q299" s="38" t="str">
        <f>"IA"</f>
        <v>IA</v>
      </c>
      <c r="R299" s="39"/>
      <c r="S299" s="37">
        <v>55</v>
      </c>
    </row>
    <row r="300" spans="1:19" hidden="1" outlineLevel="3">
      <c r="A300" s="25" t="s">
        <v>91</v>
      </c>
      <c r="C300" s="4" t="str">
        <f t="shared" ref="C300:C303" si="413">C299</f>
        <v>Roger</v>
      </c>
      <c r="D300" s="4" t="str">
        <f t="shared" ref="D300:D303" si="414">D299</f>
        <v>Harui</v>
      </c>
      <c r="E300" s="27" t="str">
        <f t="shared" ref="E300:E303" si="415">E299</f>
        <v>INST</v>
      </c>
      <c r="F300" s="27" t="str">
        <f t="shared" ref="F300:F303" si="416">F299</f>
        <v>HARU0001</v>
      </c>
      <c r="G300" s="15">
        <f t="shared" ref="G300:G303" si="417">G299</f>
        <v>41699</v>
      </c>
      <c r="H300" s="27" t="str">
        <f t="shared" ref="H300:H303" si="418">H299</f>
        <v>10115</v>
      </c>
      <c r="I300" s="27" t="str">
        <f>"""GP Direct"",""Fabrikam, Inc."",""Jet Payroll Transactions"",""Pay Rate"",""0.00000"",""Payroll Code"",""INS"",""State"","""",""Transaction Amount"",""49.36000"""</f>
        <v>"GP Direct","Fabrikam, Inc.","Jet Payroll Transactions","Pay Rate","0.00000","Payroll Code","INS","State","","Transaction Amount","49.36000"</v>
      </c>
      <c r="O300" s="28"/>
      <c r="P300" s="37">
        <v>0</v>
      </c>
      <c r="Q300" s="38" t="str">
        <f>"INS"</f>
        <v>INS</v>
      </c>
      <c r="R300" s="39"/>
      <c r="S300" s="37">
        <v>49.36</v>
      </c>
    </row>
    <row r="301" spans="1:19" hidden="1" outlineLevel="3">
      <c r="A301" s="25" t="s">
        <v>91</v>
      </c>
      <c r="C301" s="4" t="str">
        <f t="shared" si="413"/>
        <v>Roger</v>
      </c>
      <c r="D301" s="4" t="str">
        <f t="shared" si="414"/>
        <v>Harui</v>
      </c>
      <c r="E301" s="27" t="str">
        <f t="shared" si="415"/>
        <v>INST</v>
      </c>
      <c r="F301" s="27" t="str">
        <f t="shared" si="416"/>
        <v>HARU0001</v>
      </c>
      <c r="G301" s="15">
        <f t="shared" si="417"/>
        <v>41699</v>
      </c>
      <c r="H301" s="27" t="str">
        <f t="shared" si="418"/>
        <v>10115</v>
      </c>
      <c r="I301" s="27" t="str">
        <f>"""GP Direct"",""Fabrikam, Inc."",""Jet Payroll Transactions"",""Pay Rate"",""0.00000"",""Payroll Code"",""MED"",""State"","""",""Transaction Amount"",""5.00000"""</f>
        <v>"GP Direct","Fabrikam, Inc.","Jet Payroll Transactions","Pay Rate","0.00000","Payroll Code","MED","State","","Transaction Amount","5.00000"</v>
      </c>
      <c r="O301" s="28"/>
      <c r="P301" s="37">
        <v>0</v>
      </c>
      <c r="Q301" s="38" t="str">
        <f>"MED"</f>
        <v>MED</v>
      </c>
      <c r="R301" s="39"/>
      <c r="S301" s="37">
        <v>5</v>
      </c>
    </row>
    <row r="302" spans="1:19" hidden="1" outlineLevel="3">
      <c r="A302" s="25" t="s">
        <v>91</v>
      </c>
      <c r="C302" s="4" t="str">
        <f t="shared" si="413"/>
        <v>Roger</v>
      </c>
      <c r="D302" s="4" t="str">
        <f t="shared" si="414"/>
        <v>Harui</v>
      </c>
      <c r="E302" s="27" t="str">
        <f t="shared" si="415"/>
        <v>INST</v>
      </c>
      <c r="F302" s="27" t="str">
        <f t="shared" si="416"/>
        <v>HARU0001</v>
      </c>
      <c r="G302" s="15">
        <f t="shared" si="417"/>
        <v>41699</v>
      </c>
      <c r="H302" s="27" t="str">
        <f t="shared" si="418"/>
        <v>10115</v>
      </c>
      <c r="I302" s="27" t="str">
        <f>"""GP Direct"",""Fabrikam, Inc."",""Jet Payroll Transactions"",""Pay Rate"",""15.70000"",""Payroll Code"",""HOLI"",""State"",""IA"",""Transaction Amount"",""125.60000"""</f>
        <v>"GP Direct","Fabrikam, Inc.","Jet Payroll Transactions","Pay Rate","15.70000","Payroll Code","HOLI","State","IA","Transaction Amount","125.60000"</v>
      </c>
      <c r="O302" s="28"/>
      <c r="P302" s="37">
        <v>15.7</v>
      </c>
      <c r="Q302" s="38" t="str">
        <f>"HOLI"</f>
        <v>HOLI</v>
      </c>
      <c r="R302" s="39" t="str">
        <f>"IA"</f>
        <v>IA</v>
      </c>
      <c r="S302" s="37">
        <v>125.6</v>
      </c>
    </row>
    <row r="303" spans="1:19" hidden="1" outlineLevel="3">
      <c r="A303" s="25" t="s">
        <v>91</v>
      </c>
      <c r="C303" s="4" t="str">
        <f t="shared" si="413"/>
        <v>Roger</v>
      </c>
      <c r="D303" s="4" t="str">
        <f t="shared" si="414"/>
        <v>Harui</v>
      </c>
      <c r="E303" s="27" t="str">
        <f t="shared" si="415"/>
        <v>INST</v>
      </c>
      <c r="F303" s="27" t="str">
        <f t="shared" si="416"/>
        <v>HARU0001</v>
      </c>
      <c r="G303" s="15">
        <f t="shared" si="417"/>
        <v>41699</v>
      </c>
      <c r="H303" s="27" t="str">
        <f t="shared" si="418"/>
        <v>10115</v>
      </c>
      <c r="I303" s="27" t="str">
        <f>"""GP Direct"",""Fabrikam, Inc."",""Jet Payroll Transactions"",""Pay Rate"",""15.70000"",""Payroll Code"",""HOUR"",""State"",""IA"",""Transaction Amount"",""1235.12000"""</f>
        <v>"GP Direct","Fabrikam, Inc.","Jet Payroll Transactions","Pay Rate","15.70000","Payroll Code","HOUR","State","IA","Transaction Amount","1235.12000"</v>
      </c>
      <c r="O303" s="28"/>
      <c r="P303" s="37">
        <v>15.7</v>
      </c>
      <c r="Q303" s="38" t="str">
        <f>"HOUR"</f>
        <v>HOUR</v>
      </c>
      <c r="R303" s="39" t="str">
        <f>"IA"</f>
        <v>IA</v>
      </c>
      <c r="S303" s="37">
        <v>1235.1199999999999</v>
      </c>
    </row>
    <row r="304" spans="1:19" hidden="1" outlineLevel="3">
      <c r="A304" s="24" t="s">
        <v>2812</v>
      </c>
      <c r="C304" s="4" t="str">
        <f>C299</f>
        <v>Roger</v>
      </c>
      <c r="D304" s="4" t="str">
        <f>D299</f>
        <v>Harui</v>
      </c>
      <c r="E304" s="27" t="str">
        <f>E299</f>
        <v>INST</v>
      </c>
      <c r="F304" s="27" t="str">
        <f>F299</f>
        <v>HARU0001</v>
      </c>
      <c r="G304" s="15">
        <f>G299</f>
        <v>41699</v>
      </c>
      <c r="H304" s="27" t="str">
        <f>H299</f>
        <v>10115</v>
      </c>
      <c r="O304" s="28"/>
      <c r="S304" s="16"/>
    </row>
    <row r="305" spans="1:19" ht="12.75" hidden="1" outlineLevel="2" collapsed="1">
      <c r="A305" s="25" t="s">
        <v>91</v>
      </c>
      <c r="C305" s="4" t="str">
        <f t="shared" si="405"/>
        <v>Roger</v>
      </c>
      <c r="D305" s="4" t="str">
        <f t="shared" si="406"/>
        <v>Harui</v>
      </c>
      <c r="E305" s="27" t="str">
        <f t="shared" si="407"/>
        <v>INST</v>
      </c>
      <c r="F305" s="27" t="str">
        <f t="shared" si="408"/>
        <v>HARU0001</v>
      </c>
      <c r="G305" s="15">
        <f t="shared" si="411"/>
        <v>41699</v>
      </c>
      <c r="H305" s="27" t="str">
        <f t="shared" si="412"/>
        <v>10115</v>
      </c>
      <c r="N305" s="44" t="str">
        <f>"Total for " &amp; $H305</f>
        <v>Total for 10115</v>
      </c>
      <c r="O305" s="45">
        <f>G305</f>
        <v>41699</v>
      </c>
      <c r="P305" s="44"/>
      <c r="Q305" s="44"/>
      <c r="R305" s="44"/>
      <c r="S305" s="44">
        <f>SUBTOTAL(9,S299:S304)</f>
        <v>1470.08</v>
      </c>
    </row>
    <row r="306" spans="1:19" ht="12.75" hidden="1" outlineLevel="3">
      <c r="A306" s="25" t="s">
        <v>91</v>
      </c>
      <c r="C306" s="4" t="str">
        <f t="shared" si="405"/>
        <v>Roger</v>
      </c>
      <c r="D306" s="4" t="str">
        <f t="shared" si="406"/>
        <v>Harui</v>
      </c>
      <c r="E306" s="27" t="str">
        <f t="shared" si="407"/>
        <v>INST</v>
      </c>
      <c r="F306" s="27" t="str">
        <f t="shared" si="408"/>
        <v>HARU0001</v>
      </c>
      <c r="G306" s="15">
        <f t="shared" ref="G306" si="419">O306</f>
        <v>41640</v>
      </c>
      <c r="H306" s="27" t="str">
        <f t="shared" ref="H306" si="420">N306</f>
        <v>11556</v>
      </c>
      <c r="J306" s="33"/>
      <c r="K306" s="33"/>
      <c r="L306" s="33"/>
      <c r="M306" s="33"/>
      <c r="N306" s="32" t="str">
        <f>"11556"</f>
        <v>11556</v>
      </c>
      <c r="O306" s="36">
        <v>41640</v>
      </c>
      <c r="P306" s="33"/>
      <c r="Q306" s="33"/>
      <c r="R306" s="33"/>
      <c r="S306" s="33"/>
    </row>
    <row r="307" spans="1:19" hidden="1" outlineLevel="3">
      <c r="A307" s="25" t="s">
        <v>91</v>
      </c>
      <c r="C307" s="4" t="str">
        <f t="shared" si="405"/>
        <v>Roger</v>
      </c>
      <c r="D307" s="4" t="str">
        <f t="shared" si="406"/>
        <v>Harui</v>
      </c>
      <c r="E307" s="27" t="str">
        <f t="shared" si="407"/>
        <v>INST</v>
      </c>
      <c r="F307" s="27" t="str">
        <f t="shared" si="408"/>
        <v>HARU0001</v>
      </c>
      <c r="G307" s="15">
        <f t="shared" ref="G307:G310" si="421">G306</f>
        <v>41640</v>
      </c>
      <c r="H307" s="27" t="str">
        <f t="shared" ref="H307:H310" si="422">H306</f>
        <v>11556</v>
      </c>
      <c r="I307" s="27" t="str">
        <f>"""GP Direct"",""Fabrikam, Inc."",""Jet Payroll Transactions"",""Pay Rate"",""0.00000"",""Payroll Code"",""IA"",""State"","""",""Transaction Amount"",""22.00000"""</f>
        <v>"GP Direct","Fabrikam, Inc.","Jet Payroll Transactions","Pay Rate","0.00000","Payroll Code","IA","State","","Transaction Amount","22.00000"</v>
      </c>
      <c r="O307" s="28"/>
      <c r="P307" s="37">
        <v>0</v>
      </c>
      <c r="Q307" s="38" t="str">
        <f>"IA"</f>
        <v>IA</v>
      </c>
      <c r="R307" s="39"/>
      <c r="S307" s="37">
        <v>22</v>
      </c>
    </row>
    <row r="308" spans="1:19" hidden="1" outlineLevel="3">
      <c r="A308" s="25" t="s">
        <v>91</v>
      </c>
      <c r="C308" s="4" t="str">
        <f t="shared" ref="C308" si="423">C307</f>
        <v>Roger</v>
      </c>
      <c r="D308" s="4" t="str">
        <f t="shared" ref="D308" si="424">D307</f>
        <v>Harui</v>
      </c>
      <c r="E308" s="27" t="str">
        <f t="shared" ref="E308" si="425">E307</f>
        <v>INST</v>
      </c>
      <c r="F308" s="27" t="str">
        <f t="shared" ref="F308" si="426">F307</f>
        <v>HARU0001</v>
      </c>
      <c r="G308" s="15">
        <f t="shared" ref="G308" si="427">G307</f>
        <v>41640</v>
      </c>
      <c r="H308" s="27" t="str">
        <f t="shared" ref="H308" si="428">H307</f>
        <v>11556</v>
      </c>
      <c r="I308" s="27" t="str">
        <f>"""GP Direct"",""Fabrikam, Inc."",""Jet Payroll Transactions"",""Pay Rate"",""400.00000"",""Payroll Code"",""BONS"",""State"",""IA"",""Transaction Amount"",""400.00000"""</f>
        <v>"GP Direct","Fabrikam, Inc.","Jet Payroll Transactions","Pay Rate","400.00000","Payroll Code","BONS","State","IA","Transaction Amount","400.00000"</v>
      </c>
      <c r="O308" s="28"/>
      <c r="P308" s="37">
        <v>400</v>
      </c>
      <c r="Q308" s="38" t="str">
        <f>"BONS"</f>
        <v>BONS</v>
      </c>
      <c r="R308" s="39" t="str">
        <f>"IA"</f>
        <v>IA</v>
      </c>
      <c r="S308" s="37">
        <v>400</v>
      </c>
    </row>
    <row r="309" spans="1:19" hidden="1" outlineLevel="3">
      <c r="A309" s="24" t="s">
        <v>2812</v>
      </c>
      <c r="C309" s="4" t="str">
        <f>C307</f>
        <v>Roger</v>
      </c>
      <c r="D309" s="4" t="str">
        <f>D307</f>
        <v>Harui</v>
      </c>
      <c r="E309" s="27" t="str">
        <f>E307</f>
        <v>INST</v>
      </c>
      <c r="F309" s="27" t="str">
        <f>F307</f>
        <v>HARU0001</v>
      </c>
      <c r="G309" s="15">
        <f>G307</f>
        <v>41640</v>
      </c>
      <c r="H309" s="27" t="str">
        <f>H307</f>
        <v>11556</v>
      </c>
      <c r="O309" s="28"/>
      <c r="S309" s="16"/>
    </row>
    <row r="310" spans="1:19" ht="12.75" hidden="1" outlineLevel="2" collapsed="1">
      <c r="A310" s="25" t="s">
        <v>91</v>
      </c>
      <c r="C310" s="4" t="str">
        <f t="shared" si="405"/>
        <v>Roger</v>
      </c>
      <c r="D310" s="4" t="str">
        <f t="shared" si="406"/>
        <v>Harui</v>
      </c>
      <c r="E310" s="27" t="str">
        <f t="shared" si="407"/>
        <v>INST</v>
      </c>
      <c r="F310" s="27" t="str">
        <f t="shared" si="408"/>
        <v>HARU0001</v>
      </c>
      <c r="G310" s="15">
        <f t="shared" si="421"/>
        <v>41640</v>
      </c>
      <c r="H310" s="27" t="str">
        <f t="shared" si="422"/>
        <v>11556</v>
      </c>
      <c r="N310" s="44" t="str">
        <f>"Total for " &amp; $H310</f>
        <v>Total for 11556</v>
      </c>
      <c r="O310" s="45">
        <f>G310</f>
        <v>41640</v>
      </c>
      <c r="P310" s="44"/>
      <c r="Q310" s="44"/>
      <c r="R310" s="44"/>
      <c r="S310" s="44">
        <f>SUBTOTAL(9,S307:S309)</f>
        <v>422</v>
      </c>
    </row>
    <row r="311" spans="1:19" ht="12.75" hidden="1" outlineLevel="2">
      <c r="A311" s="24" t="s">
        <v>2812</v>
      </c>
      <c r="C311" s="4" t="str">
        <f>C297</f>
        <v>Roger</v>
      </c>
      <c r="D311" s="4" t="str">
        <f>D297</f>
        <v>Harui</v>
      </c>
      <c r="E311" s="27" t="str">
        <f>E297</f>
        <v>INST</v>
      </c>
      <c r="F311" s="27" t="str">
        <f>F297</f>
        <v>HARU0001</v>
      </c>
      <c r="G311" s="14"/>
      <c r="J311" s="33"/>
      <c r="K311" s="33"/>
      <c r="L311" s="33"/>
      <c r="M311" s="33"/>
      <c r="N311" s="33"/>
      <c r="O311" s="33"/>
      <c r="P311" s="33"/>
      <c r="Q311" s="33"/>
      <c r="R311" s="33"/>
      <c r="S311" s="40"/>
    </row>
    <row r="312" spans="1:19" ht="12.75" hidden="1" outlineLevel="1" collapsed="1">
      <c r="A312" s="25" t="s">
        <v>91</v>
      </c>
      <c r="C312" s="4" t="str">
        <f t="shared" si="392"/>
        <v>Roger</v>
      </c>
      <c r="D312" s="4" t="str">
        <f t="shared" si="393"/>
        <v>Harui</v>
      </c>
      <c r="E312" s="27" t="str">
        <f t="shared" si="280"/>
        <v>INST</v>
      </c>
      <c r="F312" s="27" t="str">
        <f t="shared" si="394"/>
        <v>HARU0001</v>
      </c>
      <c r="G312" s="14"/>
      <c r="J312" s="33"/>
      <c r="K312" s="46" t="str">
        <f>"Total for " &amp; $F312</f>
        <v>Total for HARU0001</v>
      </c>
      <c r="L312" s="46" t="str">
        <f>C312</f>
        <v>Roger</v>
      </c>
      <c r="M312" s="46" t="str">
        <f>D312</f>
        <v>Harui</v>
      </c>
      <c r="N312" s="46"/>
      <c r="O312" s="46"/>
      <c r="P312" s="46"/>
      <c r="Q312" s="46"/>
      <c r="R312" s="46"/>
      <c r="S312" s="47">
        <f>SUBTOTAL(9,S292:S311)</f>
        <v>3362.16</v>
      </c>
    </row>
    <row r="313" spans="1:19" ht="12.75" hidden="1" outlineLevel="2">
      <c r="A313" s="25" t="s">
        <v>91</v>
      </c>
      <c r="C313" s="4" t="str">
        <f t="shared" ref="C313" si="429">L313</f>
        <v>Mike</v>
      </c>
      <c r="D313" s="4" t="str">
        <f t="shared" ref="D313" si="430">M313</f>
        <v>Tiano</v>
      </c>
      <c r="E313" s="27" t="str">
        <f t="shared" si="280"/>
        <v>INST</v>
      </c>
      <c r="F313" s="27" t="str">
        <f t="shared" ref="F313" si="431">K313</f>
        <v>TIAN0001</v>
      </c>
      <c r="G313" s="14"/>
      <c r="J313" s="31"/>
      <c r="K313" s="21" t="str">
        <f>"TIAN0001"</f>
        <v>TIAN0001</v>
      </c>
      <c r="L313" s="43" t="str">
        <f>"Mike"</f>
        <v>Mike</v>
      </c>
      <c r="M313" s="43" t="str">
        <f>"Tiano"</f>
        <v>Tiano</v>
      </c>
      <c r="N313" s="43"/>
      <c r="O313" s="34"/>
      <c r="P313" s="33"/>
      <c r="Q313" s="33"/>
      <c r="R313" s="33"/>
      <c r="S313" s="35"/>
    </row>
    <row r="314" spans="1:19" ht="12.75" hidden="1" outlineLevel="3">
      <c r="A314" s="25" t="s">
        <v>91</v>
      </c>
      <c r="C314" s="4" t="str">
        <f t="shared" ref="C314:C334" si="432">C313</f>
        <v>Mike</v>
      </c>
      <c r="D314" s="4" t="str">
        <f t="shared" ref="D314:D334" si="433">D313</f>
        <v>Tiano</v>
      </c>
      <c r="E314" s="27" t="str">
        <f t="shared" si="280"/>
        <v>INST</v>
      </c>
      <c r="F314" s="27" t="str">
        <f t="shared" ref="F314:F334" si="434">F313</f>
        <v>TIAN0001</v>
      </c>
      <c r="G314" s="15">
        <f t="shared" ref="G314" si="435">O314</f>
        <v>41671</v>
      </c>
      <c r="H314" s="27" t="str">
        <f t="shared" ref="H314" si="436">N314</f>
        <v>10102</v>
      </c>
      <c r="J314" s="33"/>
      <c r="K314" s="33"/>
      <c r="L314" s="33"/>
      <c r="M314" s="33"/>
      <c r="N314" s="32" t="str">
        <f>"10102"</f>
        <v>10102</v>
      </c>
      <c r="O314" s="36">
        <v>41671</v>
      </c>
      <c r="P314" s="33"/>
      <c r="Q314" s="33"/>
      <c r="R314" s="33"/>
      <c r="S314" s="33"/>
    </row>
    <row r="315" spans="1:19" hidden="1" outlineLevel="3">
      <c r="A315" s="25" t="s">
        <v>91</v>
      </c>
      <c r="C315" s="4" t="str">
        <f t="shared" si="432"/>
        <v>Mike</v>
      </c>
      <c r="D315" s="4" t="str">
        <f t="shared" si="433"/>
        <v>Tiano</v>
      </c>
      <c r="E315" s="27" t="str">
        <f t="shared" si="280"/>
        <v>INST</v>
      </c>
      <c r="F315" s="27" t="str">
        <f t="shared" si="434"/>
        <v>TIAN0001</v>
      </c>
      <c r="G315" s="15">
        <f t="shared" ref="G315:G320" si="437">G314</f>
        <v>41671</v>
      </c>
      <c r="H315" s="27" t="str">
        <f t="shared" ref="H315:H320" si="438">H314</f>
        <v>10102</v>
      </c>
      <c r="I315" s="27" t="str">
        <f>"""GP Direct"",""Fabrikam, Inc."",""Jet Payroll Transactions"",""Pay Rate"",""0.00000"",""Payroll Code"",""INS"",""State"","""",""Transaction Amount"",""49.36000"""</f>
        <v>"GP Direct","Fabrikam, Inc.","Jet Payroll Transactions","Pay Rate","0.00000","Payroll Code","INS","State","","Transaction Amount","49.36000"</v>
      </c>
      <c r="O315" s="28"/>
      <c r="P315" s="37">
        <v>0</v>
      </c>
      <c r="Q315" s="38" t="str">
        <f>"INS"</f>
        <v>INS</v>
      </c>
      <c r="R315" s="39"/>
      <c r="S315" s="37">
        <v>49.36</v>
      </c>
    </row>
    <row r="316" spans="1:19" hidden="1" outlineLevel="3">
      <c r="A316" s="25" t="s">
        <v>91</v>
      </c>
      <c r="C316" s="4" t="str">
        <f t="shared" ref="C316:C318" si="439">C315</f>
        <v>Mike</v>
      </c>
      <c r="D316" s="4" t="str">
        <f t="shared" ref="D316:D318" si="440">D315</f>
        <v>Tiano</v>
      </c>
      <c r="E316" s="27" t="str">
        <f t="shared" ref="E316:E318" si="441">E315</f>
        <v>INST</v>
      </c>
      <c r="F316" s="27" t="str">
        <f t="shared" ref="F316:F318" si="442">F315</f>
        <v>TIAN0001</v>
      </c>
      <c r="G316" s="15">
        <f t="shared" ref="G316:G318" si="443">G315</f>
        <v>41671</v>
      </c>
      <c r="H316" s="27" t="str">
        <f t="shared" ref="H316:H318" si="444">H315</f>
        <v>10102</v>
      </c>
      <c r="I316" s="27" t="str">
        <f>"""GP Direct"",""Fabrikam, Inc."",""Jet Payroll Transactions"",""Pay Rate"",""0.00000"",""Payroll Code"",""MED"",""State"","""",""Transaction Amount"",""5.00000"""</f>
        <v>"GP Direct","Fabrikam, Inc.","Jet Payroll Transactions","Pay Rate","0.00000","Payroll Code","MED","State","","Transaction Amount","5.00000"</v>
      </c>
      <c r="O316" s="28"/>
      <c r="P316" s="37">
        <v>0</v>
      </c>
      <c r="Q316" s="38" t="str">
        <f>"MED"</f>
        <v>MED</v>
      </c>
      <c r="R316" s="39"/>
      <c r="S316" s="37">
        <v>5</v>
      </c>
    </row>
    <row r="317" spans="1:19" hidden="1" outlineLevel="3">
      <c r="A317" s="25" t="s">
        <v>91</v>
      </c>
      <c r="C317" s="4" t="str">
        <f t="shared" si="439"/>
        <v>Mike</v>
      </c>
      <c r="D317" s="4" t="str">
        <f t="shared" si="440"/>
        <v>Tiano</v>
      </c>
      <c r="E317" s="27" t="str">
        <f t="shared" si="441"/>
        <v>INST</v>
      </c>
      <c r="F317" s="27" t="str">
        <f t="shared" si="442"/>
        <v>TIAN0001</v>
      </c>
      <c r="G317" s="15">
        <f t="shared" si="443"/>
        <v>41671</v>
      </c>
      <c r="H317" s="27" t="str">
        <f t="shared" si="444"/>
        <v>10102</v>
      </c>
      <c r="I317" s="27" t="str">
        <f>"""GP Direct"",""Fabrikam, Inc."",""Jet Payroll Transactions"",""Pay Rate"",""0.00000"",""Payroll Code"",""MO"",""State"","""",""Transaction Amount"",""29.00000"""</f>
        <v>"GP Direct","Fabrikam, Inc.","Jet Payroll Transactions","Pay Rate","0.00000","Payroll Code","MO","State","","Transaction Amount","29.00000"</v>
      </c>
      <c r="O317" s="28"/>
      <c r="P317" s="37">
        <v>0</v>
      </c>
      <c r="Q317" s="38" t="str">
        <f>"MO"</f>
        <v>MO</v>
      </c>
      <c r="R317" s="39"/>
      <c r="S317" s="37">
        <v>29</v>
      </c>
    </row>
    <row r="318" spans="1:19" hidden="1" outlineLevel="3">
      <c r="A318" s="25" t="s">
        <v>91</v>
      </c>
      <c r="C318" s="4" t="str">
        <f t="shared" si="439"/>
        <v>Mike</v>
      </c>
      <c r="D318" s="4" t="str">
        <f t="shared" si="440"/>
        <v>Tiano</v>
      </c>
      <c r="E318" s="27" t="str">
        <f t="shared" si="441"/>
        <v>INST</v>
      </c>
      <c r="F318" s="27" t="str">
        <f t="shared" si="442"/>
        <v>TIAN0001</v>
      </c>
      <c r="G318" s="15">
        <f t="shared" si="443"/>
        <v>41671</v>
      </c>
      <c r="H318" s="27" t="str">
        <f t="shared" si="444"/>
        <v>10102</v>
      </c>
      <c r="I318" s="27" t="str">
        <f>"""GP Direct"",""Fabrikam, Inc."",""Jet Payroll Transactions"",""Pay Rate"",""14.10000"",""Payroll Code"",""HOUR"",""State"",""MO"",""Transaction Amount"",""1222.05000"""</f>
        <v>"GP Direct","Fabrikam, Inc.","Jet Payroll Transactions","Pay Rate","14.10000","Payroll Code","HOUR","State","MO","Transaction Amount","1222.05000"</v>
      </c>
      <c r="O318" s="28"/>
      <c r="P318" s="37">
        <v>14.1</v>
      </c>
      <c r="Q318" s="38" t="str">
        <f>"HOUR"</f>
        <v>HOUR</v>
      </c>
      <c r="R318" s="39" t="str">
        <f>"MO"</f>
        <v>MO</v>
      </c>
      <c r="S318" s="37">
        <v>1222.05</v>
      </c>
    </row>
    <row r="319" spans="1:19" hidden="1" outlineLevel="3">
      <c r="A319" s="24" t="s">
        <v>2812</v>
      </c>
      <c r="C319" s="4" t="str">
        <f>C315</f>
        <v>Mike</v>
      </c>
      <c r="D319" s="4" t="str">
        <f>D315</f>
        <v>Tiano</v>
      </c>
      <c r="E319" s="27" t="str">
        <f>E315</f>
        <v>INST</v>
      </c>
      <c r="F319" s="27" t="str">
        <f>F315</f>
        <v>TIAN0001</v>
      </c>
      <c r="G319" s="15">
        <f>G315</f>
        <v>41671</v>
      </c>
      <c r="H319" s="27" t="str">
        <f>H315</f>
        <v>10102</v>
      </c>
      <c r="O319" s="28"/>
      <c r="S319" s="16"/>
    </row>
    <row r="320" spans="1:19" ht="12.75" hidden="1" outlineLevel="2" collapsed="1">
      <c r="A320" s="25" t="s">
        <v>91</v>
      </c>
      <c r="C320" s="4" t="str">
        <f t="shared" si="432"/>
        <v>Mike</v>
      </c>
      <c r="D320" s="4" t="str">
        <f t="shared" si="433"/>
        <v>Tiano</v>
      </c>
      <c r="E320" s="27" t="str">
        <f t="shared" si="280"/>
        <v>INST</v>
      </c>
      <c r="F320" s="27" t="str">
        <f t="shared" si="434"/>
        <v>TIAN0001</v>
      </c>
      <c r="G320" s="15">
        <f t="shared" si="437"/>
        <v>41671</v>
      </c>
      <c r="H320" s="27" t="str">
        <f t="shared" si="438"/>
        <v>10102</v>
      </c>
      <c r="N320" s="44" t="str">
        <f>"Total for " &amp; $H320</f>
        <v>Total for 10102</v>
      </c>
      <c r="O320" s="45">
        <f>G320</f>
        <v>41671</v>
      </c>
      <c r="P320" s="44"/>
      <c r="Q320" s="44"/>
      <c r="R320" s="44"/>
      <c r="S320" s="44">
        <f>SUBTOTAL(9,S315:S319)</f>
        <v>1305.4099999999999</v>
      </c>
    </row>
    <row r="321" spans="1:19" ht="12.75" hidden="1" outlineLevel="3">
      <c r="A321" s="25" t="s">
        <v>91</v>
      </c>
      <c r="C321" s="4" t="str">
        <f t="shared" ref="C321:C332" si="445">C320</f>
        <v>Mike</v>
      </c>
      <c r="D321" s="4" t="str">
        <f t="shared" ref="D321:D332" si="446">D320</f>
        <v>Tiano</v>
      </c>
      <c r="E321" s="27" t="str">
        <f t="shared" ref="E321:E332" si="447">E320</f>
        <v>INST</v>
      </c>
      <c r="F321" s="27" t="str">
        <f t="shared" ref="F321:F332" si="448">F320</f>
        <v>TIAN0001</v>
      </c>
      <c r="G321" s="15">
        <f t="shared" ref="G321" si="449">O321</f>
        <v>41699</v>
      </c>
      <c r="H321" s="27" t="str">
        <f t="shared" ref="H321" si="450">N321</f>
        <v>10127</v>
      </c>
      <c r="J321" s="33"/>
      <c r="K321" s="33"/>
      <c r="L321" s="33"/>
      <c r="M321" s="33"/>
      <c r="N321" s="32" t="str">
        <f>"10127"</f>
        <v>10127</v>
      </c>
      <c r="O321" s="36">
        <v>41699</v>
      </c>
      <c r="P321" s="33"/>
      <c r="Q321" s="33"/>
      <c r="R321" s="33"/>
      <c r="S321" s="33"/>
    </row>
    <row r="322" spans="1:19" hidden="1" outlineLevel="3">
      <c r="A322" s="25" t="s">
        <v>91</v>
      </c>
      <c r="C322" s="4" t="str">
        <f t="shared" si="445"/>
        <v>Mike</v>
      </c>
      <c r="D322" s="4" t="str">
        <f t="shared" si="446"/>
        <v>Tiano</v>
      </c>
      <c r="E322" s="27" t="str">
        <f t="shared" si="447"/>
        <v>INST</v>
      </c>
      <c r="F322" s="27" t="str">
        <f t="shared" si="448"/>
        <v>TIAN0001</v>
      </c>
      <c r="G322" s="15">
        <f t="shared" ref="G322:G327" si="451">G321</f>
        <v>41699</v>
      </c>
      <c r="H322" s="27" t="str">
        <f t="shared" ref="H322:H327" si="452">H321</f>
        <v>10127</v>
      </c>
      <c r="I322" s="27" t="str">
        <f>"""GP Direct"",""Fabrikam, Inc."",""Jet Payroll Transactions"",""Pay Rate"",""0.00000"",""Payroll Code"",""INS"",""State"","""",""Transaction Amount"",""49.36000"""</f>
        <v>"GP Direct","Fabrikam, Inc.","Jet Payroll Transactions","Pay Rate","0.00000","Payroll Code","INS","State","","Transaction Amount","49.36000"</v>
      </c>
      <c r="O322" s="28"/>
      <c r="P322" s="37">
        <v>0</v>
      </c>
      <c r="Q322" s="38" t="str">
        <f>"INS"</f>
        <v>INS</v>
      </c>
      <c r="R322" s="39"/>
      <c r="S322" s="37">
        <v>49.36</v>
      </c>
    </row>
    <row r="323" spans="1:19" hidden="1" outlineLevel="3">
      <c r="A323" s="25" t="s">
        <v>91</v>
      </c>
      <c r="C323" s="4" t="str">
        <f t="shared" ref="C323:C325" si="453">C322</f>
        <v>Mike</v>
      </c>
      <c r="D323" s="4" t="str">
        <f t="shared" ref="D323:D325" si="454">D322</f>
        <v>Tiano</v>
      </c>
      <c r="E323" s="27" t="str">
        <f t="shared" ref="E323:E325" si="455">E322</f>
        <v>INST</v>
      </c>
      <c r="F323" s="27" t="str">
        <f t="shared" ref="F323:F325" si="456">F322</f>
        <v>TIAN0001</v>
      </c>
      <c r="G323" s="15">
        <f t="shared" ref="G323:G325" si="457">G322</f>
        <v>41699</v>
      </c>
      <c r="H323" s="27" t="str">
        <f t="shared" ref="H323:H325" si="458">H322</f>
        <v>10127</v>
      </c>
      <c r="I323" s="27" t="str">
        <f>"""GP Direct"",""Fabrikam, Inc."",""Jet Payroll Transactions"",""Pay Rate"",""0.00000"",""Payroll Code"",""MED"",""State"","""",""Transaction Amount"",""5.00000"""</f>
        <v>"GP Direct","Fabrikam, Inc.","Jet Payroll Transactions","Pay Rate","0.00000","Payroll Code","MED","State","","Transaction Amount","5.00000"</v>
      </c>
      <c r="O323" s="28"/>
      <c r="P323" s="37">
        <v>0</v>
      </c>
      <c r="Q323" s="38" t="str">
        <f>"MED"</f>
        <v>MED</v>
      </c>
      <c r="R323" s="39"/>
      <c r="S323" s="37">
        <v>5</v>
      </c>
    </row>
    <row r="324" spans="1:19" hidden="1" outlineLevel="3">
      <c r="A324" s="25" t="s">
        <v>91</v>
      </c>
      <c r="C324" s="4" t="str">
        <f t="shared" si="453"/>
        <v>Mike</v>
      </c>
      <c r="D324" s="4" t="str">
        <f t="shared" si="454"/>
        <v>Tiano</v>
      </c>
      <c r="E324" s="27" t="str">
        <f t="shared" si="455"/>
        <v>INST</v>
      </c>
      <c r="F324" s="27" t="str">
        <f t="shared" si="456"/>
        <v>TIAN0001</v>
      </c>
      <c r="G324" s="15">
        <f t="shared" si="457"/>
        <v>41699</v>
      </c>
      <c r="H324" s="27" t="str">
        <f t="shared" si="458"/>
        <v>10127</v>
      </c>
      <c r="I324" s="27" t="str">
        <f>"""GP Direct"",""Fabrikam, Inc."",""Jet Payroll Transactions"",""Pay Rate"",""0.00000"",""Payroll Code"",""MO"",""State"","""",""Transaction Amount"",""29.00000"""</f>
        <v>"GP Direct","Fabrikam, Inc.","Jet Payroll Transactions","Pay Rate","0.00000","Payroll Code","MO","State","","Transaction Amount","29.00000"</v>
      </c>
      <c r="O324" s="28"/>
      <c r="P324" s="37">
        <v>0</v>
      </c>
      <c r="Q324" s="38" t="str">
        <f>"MO"</f>
        <v>MO</v>
      </c>
      <c r="R324" s="39"/>
      <c r="S324" s="37">
        <v>29</v>
      </c>
    </row>
    <row r="325" spans="1:19" hidden="1" outlineLevel="3">
      <c r="A325" s="25" t="s">
        <v>91</v>
      </c>
      <c r="C325" s="4" t="str">
        <f t="shared" si="453"/>
        <v>Mike</v>
      </c>
      <c r="D325" s="4" t="str">
        <f t="shared" si="454"/>
        <v>Tiano</v>
      </c>
      <c r="E325" s="27" t="str">
        <f t="shared" si="455"/>
        <v>INST</v>
      </c>
      <c r="F325" s="27" t="str">
        <f t="shared" si="456"/>
        <v>TIAN0001</v>
      </c>
      <c r="G325" s="15">
        <f t="shared" si="457"/>
        <v>41699</v>
      </c>
      <c r="H325" s="27" t="str">
        <f t="shared" si="458"/>
        <v>10127</v>
      </c>
      <c r="I325" s="27" t="str">
        <f>"""GP Direct"",""Fabrikam, Inc."",""Jet Payroll Transactions"",""Pay Rate"",""14.10000"",""Payroll Code"",""HOUR"",""State"",""MO"",""Transaction Amount"",""1222.05000"""</f>
        <v>"GP Direct","Fabrikam, Inc.","Jet Payroll Transactions","Pay Rate","14.10000","Payroll Code","HOUR","State","MO","Transaction Amount","1222.05000"</v>
      </c>
      <c r="O325" s="28"/>
      <c r="P325" s="37">
        <v>14.1</v>
      </c>
      <c r="Q325" s="38" t="str">
        <f>"HOUR"</f>
        <v>HOUR</v>
      </c>
      <c r="R325" s="39" t="str">
        <f>"MO"</f>
        <v>MO</v>
      </c>
      <c r="S325" s="37">
        <v>1222.05</v>
      </c>
    </row>
    <row r="326" spans="1:19" hidden="1" outlineLevel="3">
      <c r="A326" s="24" t="s">
        <v>2812</v>
      </c>
      <c r="C326" s="4" t="str">
        <f>C322</f>
        <v>Mike</v>
      </c>
      <c r="D326" s="4" t="str">
        <f>D322</f>
        <v>Tiano</v>
      </c>
      <c r="E326" s="27" t="str">
        <f>E322</f>
        <v>INST</v>
      </c>
      <c r="F326" s="27" t="str">
        <f>F322</f>
        <v>TIAN0001</v>
      </c>
      <c r="G326" s="15">
        <f>G322</f>
        <v>41699</v>
      </c>
      <c r="H326" s="27" t="str">
        <f>H322</f>
        <v>10127</v>
      </c>
      <c r="O326" s="28"/>
      <c r="S326" s="16"/>
    </row>
    <row r="327" spans="1:19" ht="12.75" hidden="1" outlineLevel="2" collapsed="1">
      <c r="A327" s="25" t="s">
        <v>91</v>
      </c>
      <c r="C327" s="4" t="str">
        <f t="shared" si="445"/>
        <v>Mike</v>
      </c>
      <c r="D327" s="4" t="str">
        <f t="shared" si="446"/>
        <v>Tiano</v>
      </c>
      <c r="E327" s="27" t="str">
        <f t="shared" si="447"/>
        <v>INST</v>
      </c>
      <c r="F327" s="27" t="str">
        <f t="shared" si="448"/>
        <v>TIAN0001</v>
      </c>
      <c r="G327" s="15">
        <f t="shared" si="451"/>
        <v>41699</v>
      </c>
      <c r="H327" s="27" t="str">
        <f t="shared" si="452"/>
        <v>10127</v>
      </c>
      <c r="N327" s="44" t="str">
        <f>"Total for " &amp; $H327</f>
        <v>Total for 10127</v>
      </c>
      <c r="O327" s="45">
        <f>G327</f>
        <v>41699</v>
      </c>
      <c r="P327" s="44"/>
      <c r="Q327" s="44"/>
      <c r="R327" s="44"/>
      <c r="S327" s="44">
        <f>SUBTOTAL(9,S322:S326)</f>
        <v>1305.4099999999999</v>
      </c>
    </row>
    <row r="328" spans="1:19" ht="12.75" hidden="1" outlineLevel="3">
      <c r="A328" s="25" t="s">
        <v>91</v>
      </c>
      <c r="C328" s="4" t="str">
        <f t="shared" si="445"/>
        <v>Mike</v>
      </c>
      <c r="D328" s="4" t="str">
        <f t="shared" si="446"/>
        <v>Tiano</v>
      </c>
      <c r="E328" s="27" t="str">
        <f t="shared" si="447"/>
        <v>INST</v>
      </c>
      <c r="F328" s="27" t="str">
        <f t="shared" si="448"/>
        <v>TIAN0001</v>
      </c>
      <c r="G328" s="15">
        <f t="shared" ref="G328" si="459">O328</f>
        <v>41640</v>
      </c>
      <c r="H328" s="27" t="str">
        <f t="shared" ref="H328" si="460">N328</f>
        <v>11558</v>
      </c>
      <c r="J328" s="33"/>
      <c r="K328" s="33"/>
      <c r="L328" s="33"/>
      <c r="M328" s="33"/>
      <c r="N328" s="32" t="str">
        <f>"11558"</f>
        <v>11558</v>
      </c>
      <c r="O328" s="36">
        <v>41640</v>
      </c>
      <c r="P328" s="33"/>
      <c r="Q328" s="33"/>
      <c r="R328" s="33"/>
      <c r="S328" s="33"/>
    </row>
    <row r="329" spans="1:19" hidden="1" outlineLevel="3">
      <c r="A329" s="25" t="s">
        <v>91</v>
      </c>
      <c r="C329" s="4" t="str">
        <f t="shared" si="445"/>
        <v>Mike</v>
      </c>
      <c r="D329" s="4" t="str">
        <f t="shared" si="446"/>
        <v>Tiano</v>
      </c>
      <c r="E329" s="27" t="str">
        <f t="shared" si="447"/>
        <v>INST</v>
      </c>
      <c r="F329" s="27" t="str">
        <f t="shared" si="448"/>
        <v>TIAN0001</v>
      </c>
      <c r="G329" s="15">
        <f t="shared" ref="G329:G332" si="461">G328</f>
        <v>41640</v>
      </c>
      <c r="H329" s="27" t="str">
        <f t="shared" ref="H329:H332" si="462">H328</f>
        <v>11558</v>
      </c>
      <c r="I329" s="27" t="str">
        <f>"""GP Direct"",""Fabrikam, Inc."",""Jet Payroll Transactions"",""Pay Rate"",""0.00000"",""Payroll Code"",""MO"",""State"","""",""Transaction Amount"",""44.00000"""</f>
        <v>"GP Direct","Fabrikam, Inc.","Jet Payroll Transactions","Pay Rate","0.00000","Payroll Code","MO","State","","Transaction Amount","44.00000"</v>
      </c>
      <c r="O329" s="28"/>
      <c r="P329" s="37">
        <v>0</v>
      </c>
      <c r="Q329" s="38" t="str">
        <f>"MO"</f>
        <v>MO</v>
      </c>
      <c r="R329" s="39"/>
      <c r="S329" s="37">
        <v>44</v>
      </c>
    </row>
    <row r="330" spans="1:19" hidden="1" outlineLevel="3">
      <c r="A330" s="25" t="s">
        <v>91</v>
      </c>
      <c r="C330" s="4" t="str">
        <f t="shared" ref="C330" si="463">C329</f>
        <v>Mike</v>
      </c>
      <c r="D330" s="4" t="str">
        <f t="shared" ref="D330" si="464">D329</f>
        <v>Tiano</v>
      </c>
      <c r="E330" s="27" t="str">
        <f t="shared" ref="E330" si="465">E329</f>
        <v>INST</v>
      </c>
      <c r="F330" s="27" t="str">
        <f t="shared" ref="F330" si="466">F329</f>
        <v>TIAN0001</v>
      </c>
      <c r="G330" s="15">
        <f t="shared" ref="G330" si="467">G329</f>
        <v>41640</v>
      </c>
      <c r="H330" s="27" t="str">
        <f t="shared" ref="H330" si="468">H329</f>
        <v>11558</v>
      </c>
      <c r="I330" s="27" t="str">
        <f>"""GP Direct"",""Fabrikam, Inc."",""Jet Payroll Transactions"",""Pay Rate"",""800.00000"",""Payroll Code"",""BONS"",""State"",""MO"",""Transaction Amount"",""800.00000"""</f>
        <v>"GP Direct","Fabrikam, Inc.","Jet Payroll Transactions","Pay Rate","800.00000","Payroll Code","BONS","State","MO","Transaction Amount","800.00000"</v>
      </c>
      <c r="O330" s="28"/>
      <c r="P330" s="37">
        <v>800</v>
      </c>
      <c r="Q330" s="38" t="str">
        <f>"BONS"</f>
        <v>BONS</v>
      </c>
      <c r="R330" s="39" t="str">
        <f>"MO"</f>
        <v>MO</v>
      </c>
      <c r="S330" s="37">
        <v>800</v>
      </c>
    </row>
    <row r="331" spans="1:19" hidden="1" outlineLevel="3">
      <c r="A331" s="24" t="s">
        <v>2812</v>
      </c>
      <c r="C331" s="4" t="str">
        <f>C329</f>
        <v>Mike</v>
      </c>
      <c r="D331" s="4" t="str">
        <f>D329</f>
        <v>Tiano</v>
      </c>
      <c r="E331" s="27" t="str">
        <f>E329</f>
        <v>INST</v>
      </c>
      <c r="F331" s="27" t="str">
        <f>F329</f>
        <v>TIAN0001</v>
      </c>
      <c r="G331" s="15">
        <f>G329</f>
        <v>41640</v>
      </c>
      <c r="H331" s="27" t="str">
        <f>H329</f>
        <v>11558</v>
      </c>
      <c r="O331" s="28"/>
      <c r="S331" s="16"/>
    </row>
    <row r="332" spans="1:19" ht="12.75" hidden="1" outlineLevel="2" collapsed="1">
      <c r="A332" s="25" t="s">
        <v>91</v>
      </c>
      <c r="C332" s="4" t="str">
        <f t="shared" si="445"/>
        <v>Mike</v>
      </c>
      <c r="D332" s="4" t="str">
        <f t="shared" si="446"/>
        <v>Tiano</v>
      </c>
      <c r="E332" s="27" t="str">
        <f t="shared" si="447"/>
        <v>INST</v>
      </c>
      <c r="F332" s="27" t="str">
        <f t="shared" si="448"/>
        <v>TIAN0001</v>
      </c>
      <c r="G332" s="15">
        <f t="shared" si="461"/>
        <v>41640</v>
      </c>
      <c r="H332" s="27" t="str">
        <f t="shared" si="462"/>
        <v>11558</v>
      </c>
      <c r="N332" s="44" t="str">
        <f>"Total for " &amp; $H332</f>
        <v>Total for 11558</v>
      </c>
      <c r="O332" s="45">
        <f>G332</f>
        <v>41640</v>
      </c>
      <c r="P332" s="44"/>
      <c r="Q332" s="44"/>
      <c r="R332" s="44"/>
      <c r="S332" s="44">
        <f>SUBTOTAL(9,S329:S331)</f>
        <v>844</v>
      </c>
    </row>
    <row r="333" spans="1:19" ht="12.75" hidden="1" outlineLevel="2">
      <c r="A333" s="24" t="s">
        <v>2812</v>
      </c>
      <c r="C333" s="4" t="str">
        <f>C320</f>
        <v>Mike</v>
      </c>
      <c r="D333" s="4" t="str">
        <f>D320</f>
        <v>Tiano</v>
      </c>
      <c r="E333" s="27" t="str">
        <f>E320</f>
        <v>INST</v>
      </c>
      <c r="F333" s="27" t="str">
        <f>F320</f>
        <v>TIAN0001</v>
      </c>
      <c r="G333" s="14"/>
      <c r="J333" s="33"/>
      <c r="K333" s="33"/>
      <c r="L333" s="33"/>
      <c r="M333" s="33"/>
      <c r="N333" s="33"/>
      <c r="O333" s="33"/>
      <c r="P333" s="33"/>
      <c r="Q333" s="33"/>
      <c r="R333" s="33"/>
      <c r="S333" s="40"/>
    </row>
    <row r="334" spans="1:19" ht="12.75" hidden="1" outlineLevel="1" collapsed="1">
      <c r="A334" s="25" t="s">
        <v>91</v>
      </c>
      <c r="C334" s="4" t="str">
        <f t="shared" si="432"/>
        <v>Mike</v>
      </c>
      <c r="D334" s="4" t="str">
        <f t="shared" si="433"/>
        <v>Tiano</v>
      </c>
      <c r="E334" s="27" t="str">
        <f t="shared" si="280"/>
        <v>INST</v>
      </c>
      <c r="F334" s="27" t="str">
        <f t="shared" si="434"/>
        <v>TIAN0001</v>
      </c>
      <c r="G334" s="14"/>
      <c r="J334" s="33"/>
      <c r="K334" s="46" t="str">
        <f>"Total for " &amp; $F334</f>
        <v>Total for TIAN0001</v>
      </c>
      <c r="L334" s="46" t="str">
        <f>C334</f>
        <v>Mike</v>
      </c>
      <c r="M334" s="46" t="str">
        <f>D334</f>
        <v>Tiano</v>
      </c>
      <c r="N334" s="46"/>
      <c r="O334" s="46"/>
      <c r="P334" s="46"/>
      <c r="Q334" s="46"/>
      <c r="R334" s="46"/>
      <c r="S334" s="47">
        <f>SUBTOTAL(9,S315:S333)</f>
        <v>3454.8199999999997</v>
      </c>
    </row>
    <row r="335" spans="1:19" ht="12.75" hidden="1" outlineLevel="1">
      <c r="A335" s="25" t="s">
        <v>91</v>
      </c>
      <c r="E335" s="27" t="str">
        <f>E212</f>
        <v>INST</v>
      </c>
      <c r="F335" s="14"/>
      <c r="G335" s="14"/>
      <c r="J335" s="33"/>
      <c r="K335" s="33"/>
      <c r="L335" s="33"/>
      <c r="M335" s="33"/>
      <c r="N335" s="33"/>
      <c r="O335" s="33"/>
      <c r="P335" s="33"/>
      <c r="Q335" s="33"/>
      <c r="R335" s="33"/>
      <c r="S335" s="40"/>
    </row>
    <row r="336" spans="1:19" ht="12.75" collapsed="1">
      <c r="A336" s="25" t="s">
        <v>91</v>
      </c>
      <c r="E336" s="27" t="str">
        <f t="shared" si="239"/>
        <v>INST</v>
      </c>
      <c r="F336" s="14"/>
      <c r="G336" s="14"/>
      <c r="J336" s="48" t="str">
        <f>"Total for " &amp; $E336</f>
        <v>Total for INST</v>
      </c>
      <c r="K336" s="48"/>
      <c r="L336" s="48"/>
      <c r="M336" s="48"/>
      <c r="N336" s="48"/>
      <c r="O336" s="48"/>
      <c r="P336" s="48"/>
      <c r="Q336" s="48"/>
      <c r="R336" s="48"/>
      <c r="S336" s="49">
        <f>SUBTOTAL(9,S192:S335)</f>
        <v>20199.009999999995</v>
      </c>
    </row>
    <row r="337" spans="1:19" ht="12.75">
      <c r="A337" s="25" t="s">
        <v>91</v>
      </c>
      <c r="E337" s="27"/>
      <c r="F337" s="14"/>
      <c r="G337" s="14"/>
      <c r="J337" s="33"/>
      <c r="K337" s="33"/>
      <c r="L337" s="33"/>
      <c r="M337" s="33"/>
      <c r="N337" s="33"/>
      <c r="O337" s="33"/>
      <c r="P337" s="33"/>
      <c r="Q337" s="33"/>
      <c r="R337" s="33"/>
      <c r="S337" s="40"/>
    </row>
    <row r="338" spans="1:19" ht="12.75" hidden="1" outlineLevel="1">
      <c r="A338" s="25" t="s">
        <v>91</v>
      </c>
      <c r="E338" s="27" t="str">
        <f t="shared" ref="E338" si="469">J338</f>
        <v>SALES</v>
      </c>
      <c r="F338" s="14"/>
      <c r="G338" s="14"/>
      <c r="J338" s="22" t="str">
        <f>"SALES"</f>
        <v>SALES</v>
      </c>
      <c r="K338" s="22"/>
      <c r="L338" s="22"/>
      <c r="M338" s="22"/>
      <c r="N338" s="22"/>
      <c r="O338" s="29"/>
      <c r="P338" s="29"/>
      <c r="Q338" s="29"/>
      <c r="R338" s="29"/>
      <c r="S338" s="30"/>
    </row>
    <row r="339" spans="1:19" ht="12.75" hidden="1" outlineLevel="2">
      <c r="A339" s="25" t="s">
        <v>91</v>
      </c>
      <c r="C339" s="4" t="str">
        <f t="shared" ref="C339" si="470">L339</f>
        <v>Luis</v>
      </c>
      <c r="D339" s="4" t="str">
        <f t="shared" ref="D339" si="471">M339</f>
        <v>Bonifaz</v>
      </c>
      <c r="E339" s="27" t="str">
        <f t="shared" ref="E339:E579" si="472">E338</f>
        <v>SALES</v>
      </c>
      <c r="F339" s="27" t="str">
        <f t="shared" ref="F339" si="473">K339</f>
        <v>BONI0001</v>
      </c>
      <c r="G339" s="14"/>
      <c r="J339" s="31"/>
      <c r="K339" s="21" t="str">
        <f>"BONI0001"</f>
        <v>BONI0001</v>
      </c>
      <c r="L339" s="43" t="str">
        <f>"Luis"</f>
        <v>Luis</v>
      </c>
      <c r="M339" s="43" t="str">
        <f>"Bonifaz"</f>
        <v>Bonifaz</v>
      </c>
      <c r="N339" s="43"/>
      <c r="O339" s="34"/>
      <c r="P339" s="33"/>
      <c r="Q339" s="33"/>
      <c r="R339" s="33"/>
      <c r="S339" s="35"/>
    </row>
    <row r="340" spans="1:19" ht="12.75" hidden="1" outlineLevel="3">
      <c r="A340" s="25" t="s">
        <v>91</v>
      </c>
      <c r="C340" s="4" t="str">
        <f t="shared" ref="C340:C360" si="474">C339</f>
        <v>Luis</v>
      </c>
      <c r="D340" s="4" t="str">
        <f t="shared" ref="D340:D360" si="475">D339</f>
        <v>Bonifaz</v>
      </c>
      <c r="E340" s="27" t="str">
        <f t="shared" si="472"/>
        <v>SALES</v>
      </c>
      <c r="F340" s="27" t="str">
        <f t="shared" ref="F340:F360" si="476">F339</f>
        <v>BONI0001</v>
      </c>
      <c r="G340" s="15">
        <f t="shared" ref="G340" si="477">O340</f>
        <v>41671</v>
      </c>
      <c r="H340" s="27" t="str">
        <f t="shared" ref="H340" si="478">N340</f>
        <v>DD000000000000000006</v>
      </c>
      <c r="J340" s="33"/>
      <c r="K340" s="33"/>
      <c r="L340" s="33"/>
      <c r="M340" s="33"/>
      <c r="N340" s="32" t="str">
        <f>"DD000000000000000006"</f>
        <v>DD000000000000000006</v>
      </c>
      <c r="O340" s="36">
        <v>41671</v>
      </c>
      <c r="P340" s="33"/>
      <c r="Q340" s="33"/>
      <c r="R340" s="33"/>
      <c r="S340" s="33"/>
    </row>
    <row r="341" spans="1:19" hidden="1" outlineLevel="3">
      <c r="A341" s="25" t="s">
        <v>91</v>
      </c>
      <c r="C341" s="4" t="str">
        <f t="shared" si="474"/>
        <v>Luis</v>
      </c>
      <c r="D341" s="4" t="str">
        <f t="shared" si="475"/>
        <v>Bonifaz</v>
      </c>
      <c r="E341" s="27" t="str">
        <f t="shared" si="472"/>
        <v>SALES</v>
      </c>
      <c r="F341" s="27" t="str">
        <f t="shared" si="476"/>
        <v>BONI0001</v>
      </c>
      <c r="G341" s="15">
        <f t="shared" ref="G341:G349" si="479">G340</f>
        <v>41671</v>
      </c>
      <c r="H341" s="27" t="str">
        <f t="shared" ref="H341:H349" si="480">H340</f>
        <v>DD000000000000000006</v>
      </c>
      <c r="I341" s="27" t="str">
        <f>"""GP Direct"",""Fabrikam, Inc."",""Jet Payroll Transactions"",""Pay Rate"",""0.00000"",""Payroll Code"",""401K"",""State"","""",""Transaction Amount"",""1.86000"""</f>
        <v>"GP Direct","Fabrikam, Inc.","Jet Payroll Transactions","Pay Rate","0.00000","Payroll Code","401K","State","","Transaction Amount","1.86000"</v>
      </c>
      <c r="O341" s="28"/>
      <c r="P341" s="37">
        <v>0</v>
      </c>
      <c r="Q341" s="38" t="str">
        <f>"401K"</f>
        <v>401K</v>
      </c>
      <c r="R341" s="39"/>
      <c r="S341" s="37">
        <v>1.86</v>
      </c>
    </row>
    <row r="342" spans="1:19" hidden="1" outlineLevel="3">
      <c r="A342" s="25" t="s">
        <v>91</v>
      </c>
      <c r="C342" s="4" t="str">
        <f t="shared" ref="C342:C347" si="481">C341</f>
        <v>Luis</v>
      </c>
      <c r="D342" s="4" t="str">
        <f t="shared" ref="D342:D347" si="482">D341</f>
        <v>Bonifaz</v>
      </c>
      <c r="E342" s="27" t="str">
        <f t="shared" ref="E342:E347" si="483">E341</f>
        <v>SALES</v>
      </c>
      <c r="F342" s="27" t="str">
        <f t="shared" ref="F342:F347" si="484">F341</f>
        <v>BONI0001</v>
      </c>
      <c r="G342" s="15">
        <f t="shared" ref="G342:G347" si="485">G341</f>
        <v>41671</v>
      </c>
      <c r="H342" s="27" t="str">
        <f t="shared" ref="H342:H347" si="486">H341</f>
        <v>DD000000000000000006</v>
      </c>
      <c r="I342" s="27" t="str">
        <f>"""GP Direct"",""Fabrikam, Inc."",""Jet Payroll Transactions"",""Pay Rate"",""0.00000"",""Payroll Code"",""401K"",""State"","""",""Transaction Amount"",""37.10000"""</f>
        <v>"GP Direct","Fabrikam, Inc.","Jet Payroll Transactions","Pay Rate","0.00000","Payroll Code","401K","State","","Transaction Amount","37.10000"</v>
      </c>
      <c r="O342" s="28"/>
      <c r="P342" s="37">
        <v>0</v>
      </c>
      <c r="Q342" s="38" t="str">
        <f>"401K"</f>
        <v>401K</v>
      </c>
      <c r="R342" s="39"/>
      <c r="S342" s="37">
        <v>37.1</v>
      </c>
    </row>
    <row r="343" spans="1:19" hidden="1" outlineLevel="3">
      <c r="A343" s="25" t="s">
        <v>91</v>
      </c>
      <c r="C343" s="4" t="str">
        <f t="shared" si="481"/>
        <v>Luis</v>
      </c>
      <c r="D343" s="4" t="str">
        <f t="shared" si="482"/>
        <v>Bonifaz</v>
      </c>
      <c r="E343" s="27" t="str">
        <f t="shared" si="483"/>
        <v>SALES</v>
      </c>
      <c r="F343" s="27" t="str">
        <f t="shared" si="484"/>
        <v>BONI0001</v>
      </c>
      <c r="G343" s="15">
        <f t="shared" si="485"/>
        <v>41671</v>
      </c>
      <c r="H343" s="27" t="str">
        <f t="shared" si="486"/>
        <v>DD000000000000000006</v>
      </c>
      <c r="I343" s="27" t="str">
        <f>"""GP Direct"",""Fabrikam, Inc."",""Jet Payroll Transactions"",""Pay Rate"",""0.00000"",""Payroll Code"",""HOLI"",""State"",""IL"",""Transaction Amount"",""0.00000"""</f>
        <v>"GP Direct","Fabrikam, Inc.","Jet Payroll Transactions","Pay Rate","0.00000","Payroll Code","HOLI","State","IL","Transaction Amount","0.00000"</v>
      </c>
      <c r="O343" s="28"/>
      <c r="P343" s="37">
        <v>0</v>
      </c>
      <c r="Q343" s="38" t="str">
        <f>"HOLI"</f>
        <v>HOLI</v>
      </c>
      <c r="R343" s="39" t="str">
        <f>"IL"</f>
        <v>IL</v>
      </c>
      <c r="S343" s="37">
        <v>0</v>
      </c>
    </row>
    <row r="344" spans="1:19" hidden="1" outlineLevel="3">
      <c r="A344" s="25" t="s">
        <v>91</v>
      </c>
      <c r="C344" s="4" t="str">
        <f t="shared" si="481"/>
        <v>Luis</v>
      </c>
      <c r="D344" s="4" t="str">
        <f t="shared" si="482"/>
        <v>Bonifaz</v>
      </c>
      <c r="E344" s="27" t="str">
        <f t="shared" si="483"/>
        <v>SALES</v>
      </c>
      <c r="F344" s="27" t="str">
        <f t="shared" si="484"/>
        <v>BONI0001</v>
      </c>
      <c r="G344" s="15">
        <f t="shared" si="485"/>
        <v>41671</v>
      </c>
      <c r="H344" s="27" t="str">
        <f t="shared" si="486"/>
        <v>DD000000000000000006</v>
      </c>
      <c r="I344" s="27" t="str">
        <f>"""GP Direct"",""Fabrikam, Inc."",""Jet Payroll Transactions"",""Pay Rate"",""0.00000"",""Payroll Code"",""IL"",""State"","""",""Transaction Amount"",""34.59000"""</f>
        <v>"GP Direct","Fabrikam, Inc.","Jet Payroll Transactions","Pay Rate","0.00000","Payroll Code","IL","State","","Transaction Amount","34.59000"</v>
      </c>
      <c r="O344" s="28"/>
      <c r="P344" s="37">
        <v>0</v>
      </c>
      <c r="Q344" s="38" t="str">
        <f>"IL"</f>
        <v>IL</v>
      </c>
      <c r="R344" s="39"/>
      <c r="S344" s="37">
        <v>34.590000000000003</v>
      </c>
    </row>
    <row r="345" spans="1:19" hidden="1" outlineLevel="3">
      <c r="A345" s="25" t="s">
        <v>91</v>
      </c>
      <c r="C345" s="4" t="str">
        <f t="shared" si="481"/>
        <v>Luis</v>
      </c>
      <c r="D345" s="4" t="str">
        <f t="shared" si="482"/>
        <v>Bonifaz</v>
      </c>
      <c r="E345" s="27" t="str">
        <f t="shared" si="483"/>
        <v>SALES</v>
      </c>
      <c r="F345" s="27" t="str">
        <f t="shared" si="484"/>
        <v>BONI0001</v>
      </c>
      <c r="G345" s="15">
        <f t="shared" si="485"/>
        <v>41671</v>
      </c>
      <c r="H345" s="27" t="str">
        <f t="shared" si="486"/>
        <v>DD000000000000000006</v>
      </c>
      <c r="I345" s="27" t="str">
        <f>"""GP Direct"",""Fabrikam, Inc."",""Jet Payroll Transactions"",""Pay Rate"",""0.00000"",""Payroll Code"",""INS"",""State"","""",""Transaction Amount"",""49.36000"""</f>
        <v>"GP Direct","Fabrikam, Inc.","Jet Payroll Transactions","Pay Rate","0.00000","Payroll Code","INS","State","","Transaction Amount","49.36000"</v>
      </c>
      <c r="O345" s="28"/>
      <c r="P345" s="37">
        <v>0</v>
      </c>
      <c r="Q345" s="38" t="str">
        <f>"INS"</f>
        <v>INS</v>
      </c>
      <c r="R345" s="39"/>
      <c r="S345" s="37">
        <v>49.36</v>
      </c>
    </row>
    <row r="346" spans="1:19" hidden="1" outlineLevel="3">
      <c r="A346" s="25" t="s">
        <v>91</v>
      </c>
      <c r="C346" s="4" t="str">
        <f t="shared" si="481"/>
        <v>Luis</v>
      </c>
      <c r="D346" s="4" t="str">
        <f t="shared" si="482"/>
        <v>Bonifaz</v>
      </c>
      <c r="E346" s="27" t="str">
        <f t="shared" si="483"/>
        <v>SALES</v>
      </c>
      <c r="F346" s="27" t="str">
        <f t="shared" si="484"/>
        <v>BONI0001</v>
      </c>
      <c r="G346" s="15">
        <f t="shared" si="485"/>
        <v>41671</v>
      </c>
      <c r="H346" s="27" t="str">
        <f t="shared" si="486"/>
        <v>DD000000000000000006</v>
      </c>
      <c r="I346" s="27" t="str">
        <f>"""GP Direct"",""Fabrikam, Inc."",""Jet Payroll Transactions"",""Pay Rate"",""0.00000"",""Payroll Code"",""MED"",""State"","""",""Transaction Amount"",""5.00000"""</f>
        <v>"GP Direct","Fabrikam, Inc.","Jet Payroll Transactions","Pay Rate","0.00000","Payroll Code","MED","State","","Transaction Amount","5.00000"</v>
      </c>
      <c r="O346" s="28"/>
      <c r="P346" s="37">
        <v>0</v>
      </c>
      <c r="Q346" s="38" t="str">
        <f>"MED"</f>
        <v>MED</v>
      </c>
      <c r="R346" s="39"/>
      <c r="S346" s="37">
        <v>5</v>
      </c>
    </row>
    <row r="347" spans="1:19" hidden="1" outlineLevel="3">
      <c r="A347" s="25" t="s">
        <v>91</v>
      </c>
      <c r="C347" s="4" t="str">
        <f t="shared" si="481"/>
        <v>Luis</v>
      </c>
      <c r="D347" s="4" t="str">
        <f t="shared" si="482"/>
        <v>Bonifaz</v>
      </c>
      <c r="E347" s="27" t="str">
        <f t="shared" si="483"/>
        <v>SALES</v>
      </c>
      <c r="F347" s="27" t="str">
        <f t="shared" si="484"/>
        <v>BONI0001</v>
      </c>
      <c r="G347" s="15">
        <f t="shared" si="485"/>
        <v>41671</v>
      </c>
      <c r="H347" s="27" t="str">
        <f t="shared" si="486"/>
        <v>DD000000000000000006</v>
      </c>
      <c r="I347" s="27" t="str">
        <f>"""GP Direct"",""Fabrikam, Inc."",""Jet Payroll Transactions"",""Pay Rate"",""15.14423"",""Payroll Code"",""SALY"",""State"",""IL"",""Transaction Amount"",""1236.78000"""</f>
        <v>"GP Direct","Fabrikam, Inc.","Jet Payroll Transactions","Pay Rate","15.14423","Payroll Code","SALY","State","IL","Transaction Amount","1236.78000"</v>
      </c>
      <c r="O347" s="28"/>
      <c r="P347" s="37">
        <v>15.14423</v>
      </c>
      <c r="Q347" s="38" t="str">
        <f>"SALY"</f>
        <v>SALY</v>
      </c>
      <c r="R347" s="39" t="str">
        <f>"IL"</f>
        <v>IL</v>
      </c>
      <c r="S347" s="37">
        <v>1236.78</v>
      </c>
    </row>
    <row r="348" spans="1:19" hidden="1" outlineLevel="3">
      <c r="A348" s="24" t="s">
        <v>2812</v>
      </c>
      <c r="C348" s="4" t="str">
        <f>C341</f>
        <v>Luis</v>
      </c>
      <c r="D348" s="4" t="str">
        <f>D341</f>
        <v>Bonifaz</v>
      </c>
      <c r="E348" s="27" t="str">
        <f>E341</f>
        <v>SALES</v>
      </c>
      <c r="F348" s="27" t="str">
        <f>F341</f>
        <v>BONI0001</v>
      </c>
      <c r="G348" s="15">
        <f>G341</f>
        <v>41671</v>
      </c>
      <c r="H348" s="27" t="str">
        <f>H341</f>
        <v>DD000000000000000006</v>
      </c>
      <c r="O348" s="28"/>
      <c r="S348" s="16"/>
    </row>
    <row r="349" spans="1:19" ht="12.75" hidden="1" outlineLevel="2" collapsed="1">
      <c r="A349" s="25" t="s">
        <v>91</v>
      </c>
      <c r="C349" s="4" t="str">
        <f t="shared" si="474"/>
        <v>Luis</v>
      </c>
      <c r="D349" s="4" t="str">
        <f t="shared" si="475"/>
        <v>Bonifaz</v>
      </c>
      <c r="E349" s="27" t="str">
        <f t="shared" si="472"/>
        <v>SALES</v>
      </c>
      <c r="F349" s="27" t="str">
        <f t="shared" si="476"/>
        <v>BONI0001</v>
      </c>
      <c r="G349" s="15">
        <f t="shared" si="479"/>
        <v>41671</v>
      </c>
      <c r="H349" s="27" t="str">
        <f t="shared" si="480"/>
        <v>DD000000000000000006</v>
      </c>
      <c r="N349" s="44" t="str">
        <f>"Total for " &amp; $H349</f>
        <v>Total for DD000000000000000006</v>
      </c>
      <c r="O349" s="45">
        <f>G349</f>
        <v>41671</v>
      </c>
      <c r="P349" s="44"/>
      <c r="Q349" s="44"/>
      <c r="R349" s="44"/>
      <c r="S349" s="44">
        <f>SUBTOTAL(9,S341:S348)</f>
        <v>1364.69</v>
      </c>
    </row>
    <row r="350" spans="1:19" ht="12.75" hidden="1" outlineLevel="3">
      <c r="A350" s="25" t="s">
        <v>91</v>
      </c>
      <c r="C350" s="4" t="str">
        <f t="shared" ref="C350:C358" si="487">C349</f>
        <v>Luis</v>
      </c>
      <c r="D350" s="4" t="str">
        <f t="shared" ref="D350:D358" si="488">D349</f>
        <v>Bonifaz</v>
      </c>
      <c r="E350" s="27" t="str">
        <f t="shared" ref="E350:E358" si="489">E349</f>
        <v>SALES</v>
      </c>
      <c r="F350" s="27" t="str">
        <f t="shared" ref="F350:F358" si="490">F349</f>
        <v>BONI0001</v>
      </c>
      <c r="G350" s="15">
        <f t="shared" ref="G350" si="491">O350</f>
        <v>41699</v>
      </c>
      <c r="H350" s="27" t="str">
        <f t="shared" ref="H350" si="492">N350</f>
        <v>DD000000000000000009</v>
      </c>
      <c r="J350" s="33"/>
      <c r="K350" s="33"/>
      <c r="L350" s="33"/>
      <c r="M350" s="33"/>
      <c r="N350" s="32" t="str">
        <f>"DD000000000000000009"</f>
        <v>DD000000000000000009</v>
      </c>
      <c r="O350" s="36">
        <v>41699</v>
      </c>
      <c r="P350" s="33"/>
      <c r="Q350" s="33"/>
      <c r="R350" s="33"/>
      <c r="S350" s="33"/>
    </row>
    <row r="351" spans="1:19" hidden="1" outlineLevel="3">
      <c r="A351" s="25" t="s">
        <v>91</v>
      </c>
      <c r="C351" s="4" t="str">
        <f t="shared" si="487"/>
        <v>Luis</v>
      </c>
      <c r="D351" s="4" t="str">
        <f t="shared" si="488"/>
        <v>Bonifaz</v>
      </c>
      <c r="E351" s="27" t="str">
        <f t="shared" si="489"/>
        <v>SALES</v>
      </c>
      <c r="F351" s="27" t="str">
        <f t="shared" si="490"/>
        <v>BONI0001</v>
      </c>
      <c r="G351" s="15">
        <f t="shared" ref="G351:G358" si="493">G350</f>
        <v>41699</v>
      </c>
      <c r="H351" s="27" t="str">
        <f t="shared" ref="H351:H358" si="494">H350</f>
        <v>DD000000000000000009</v>
      </c>
      <c r="I351" s="27" t="str">
        <f>"""GP Direct"",""Fabrikam, Inc."",""Jet Payroll Transactions"",""Pay Rate"",""0.00000"",""Payroll Code"",""401K"",""State"","""",""Transaction Amount"",""1.97000"""</f>
        <v>"GP Direct","Fabrikam, Inc.","Jet Payroll Transactions","Pay Rate","0.00000","Payroll Code","401K","State","","Transaction Amount","1.97000"</v>
      </c>
      <c r="O351" s="28"/>
      <c r="P351" s="37">
        <v>0</v>
      </c>
      <c r="Q351" s="38" t="str">
        <f>"401K"</f>
        <v>401K</v>
      </c>
      <c r="R351" s="39"/>
      <c r="S351" s="37">
        <v>1.97</v>
      </c>
    </row>
    <row r="352" spans="1:19" hidden="1" outlineLevel="3">
      <c r="A352" s="25" t="s">
        <v>91</v>
      </c>
      <c r="C352" s="4" t="str">
        <f t="shared" ref="C352:C356" si="495">C351</f>
        <v>Luis</v>
      </c>
      <c r="D352" s="4" t="str">
        <f t="shared" ref="D352:D356" si="496">D351</f>
        <v>Bonifaz</v>
      </c>
      <c r="E352" s="27" t="str">
        <f t="shared" ref="E352:E356" si="497">E351</f>
        <v>SALES</v>
      </c>
      <c r="F352" s="27" t="str">
        <f t="shared" ref="F352:F356" si="498">F351</f>
        <v>BONI0001</v>
      </c>
      <c r="G352" s="15">
        <f t="shared" ref="G352:G356" si="499">G351</f>
        <v>41699</v>
      </c>
      <c r="H352" s="27" t="str">
        <f t="shared" ref="H352:H356" si="500">H351</f>
        <v>DD000000000000000009</v>
      </c>
      <c r="I352" s="27" t="str">
        <f>"""GP Direct"",""Fabrikam, Inc."",""Jet Payroll Transactions"",""Pay Rate"",""0.00000"",""Payroll Code"",""401K"",""State"","""",""Transaction Amount"",""39.38000"""</f>
        <v>"GP Direct","Fabrikam, Inc.","Jet Payroll Transactions","Pay Rate","0.00000","Payroll Code","401K","State","","Transaction Amount","39.38000"</v>
      </c>
      <c r="O352" s="28"/>
      <c r="P352" s="37">
        <v>0</v>
      </c>
      <c r="Q352" s="38" t="str">
        <f>"401K"</f>
        <v>401K</v>
      </c>
      <c r="R352" s="39"/>
      <c r="S352" s="37">
        <v>39.380000000000003</v>
      </c>
    </row>
    <row r="353" spans="1:19" hidden="1" outlineLevel="3">
      <c r="A353" s="25" t="s">
        <v>91</v>
      </c>
      <c r="C353" s="4" t="str">
        <f t="shared" si="495"/>
        <v>Luis</v>
      </c>
      <c r="D353" s="4" t="str">
        <f t="shared" si="496"/>
        <v>Bonifaz</v>
      </c>
      <c r="E353" s="27" t="str">
        <f t="shared" si="497"/>
        <v>SALES</v>
      </c>
      <c r="F353" s="27" t="str">
        <f t="shared" si="498"/>
        <v>BONI0001</v>
      </c>
      <c r="G353" s="15">
        <f t="shared" si="499"/>
        <v>41699</v>
      </c>
      <c r="H353" s="27" t="str">
        <f t="shared" si="500"/>
        <v>DD000000000000000009</v>
      </c>
      <c r="I353" s="27" t="str">
        <f>"""GP Direct"",""Fabrikam, Inc."",""Jet Payroll Transactions"",""Pay Rate"",""0.00000"",""Payroll Code"",""IL"",""State"","""",""Transaction Amount"",""36.79000"""</f>
        <v>"GP Direct","Fabrikam, Inc.","Jet Payroll Transactions","Pay Rate","0.00000","Payroll Code","IL","State","","Transaction Amount","36.79000"</v>
      </c>
      <c r="O353" s="28"/>
      <c r="P353" s="37">
        <v>0</v>
      </c>
      <c r="Q353" s="38" t="str">
        <f>"IL"</f>
        <v>IL</v>
      </c>
      <c r="R353" s="39"/>
      <c r="S353" s="37">
        <v>36.79</v>
      </c>
    </row>
    <row r="354" spans="1:19" hidden="1" outlineLevel="3">
      <c r="A354" s="25" t="s">
        <v>91</v>
      </c>
      <c r="C354" s="4" t="str">
        <f t="shared" si="495"/>
        <v>Luis</v>
      </c>
      <c r="D354" s="4" t="str">
        <f t="shared" si="496"/>
        <v>Bonifaz</v>
      </c>
      <c r="E354" s="27" t="str">
        <f t="shared" si="497"/>
        <v>SALES</v>
      </c>
      <c r="F354" s="27" t="str">
        <f t="shared" si="498"/>
        <v>BONI0001</v>
      </c>
      <c r="G354" s="15">
        <f t="shared" si="499"/>
        <v>41699</v>
      </c>
      <c r="H354" s="27" t="str">
        <f t="shared" si="500"/>
        <v>DD000000000000000009</v>
      </c>
      <c r="I354" s="27" t="str">
        <f>"""GP Direct"",""Fabrikam, Inc."",""Jet Payroll Transactions"",""Pay Rate"",""0.00000"",""Payroll Code"",""INS"",""State"","""",""Transaction Amount"",""49.36000"""</f>
        <v>"GP Direct","Fabrikam, Inc.","Jet Payroll Transactions","Pay Rate","0.00000","Payroll Code","INS","State","","Transaction Amount","49.36000"</v>
      </c>
      <c r="O354" s="28"/>
      <c r="P354" s="37">
        <v>0</v>
      </c>
      <c r="Q354" s="38" t="str">
        <f>"INS"</f>
        <v>INS</v>
      </c>
      <c r="R354" s="39"/>
      <c r="S354" s="37">
        <v>49.36</v>
      </c>
    </row>
    <row r="355" spans="1:19" hidden="1" outlineLevel="3">
      <c r="A355" s="25" t="s">
        <v>91</v>
      </c>
      <c r="C355" s="4" t="str">
        <f t="shared" si="495"/>
        <v>Luis</v>
      </c>
      <c r="D355" s="4" t="str">
        <f t="shared" si="496"/>
        <v>Bonifaz</v>
      </c>
      <c r="E355" s="27" t="str">
        <f t="shared" si="497"/>
        <v>SALES</v>
      </c>
      <c r="F355" s="27" t="str">
        <f t="shared" si="498"/>
        <v>BONI0001</v>
      </c>
      <c r="G355" s="15">
        <f t="shared" si="499"/>
        <v>41699</v>
      </c>
      <c r="H355" s="27" t="str">
        <f t="shared" si="500"/>
        <v>DD000000000000000009</v>
      </c>
      <c r="I355" s="27" t="str">
        <f>"""GP Direct"",""Fabrikam, Inc."",""Jet Payroll Transactions"",""Pay Rate"",""0.00000"",""Payroll Code"",""MED"",""State"","""",""Transaction Amount"",""5.00000"""</f>
        <v>"GP Direct","Fabrikam, Inc.","Jet Payroll Transactions","Pay Rate","0.00000","Payroll Code","MED","State","","Transaction Amount","5.00000"</v>
      </c>
      <c r="O355" s="28"/>
      <c r="P355" s="37">
        <v>0</v>
      </c>
      <c r="Q355" s="38" t="str">
        <f>"MED"</f>
        <v>MED</v>
      </c>
      <c r="R355" s="39"/>
      <c r="S355" s="37">
        <v>5</v>
      </c>
    </row>
    <row r="356" spans="1:19" hidden="1" outlineLevel="3">
      <c r="A356" s="25" t="s">
        <v>91</v>
      </c>
      <c r="C356" s="4" t="str">
        <f t="shared" si="495"/>
        <v>Luis</v>
      </c>
      <c r="D356" s="4" t="str">
        <f t="shared" si="496"/>
        <v>Bonifaz</v>
      </c>
      <c r="E356" s="27" t="str">
        <f t="shared" si="497"/>
        <v>SALES</v>
      </c>
      <c r="F356" s="27" t="str">
        <f t="shared" si="498"/>
        <v>BONI0001</v>
      </c>
      <c r="G356" s="15">
        <f t="shared" si="499"/>
        <v>41699</v>
      </c>
      <c r="H356" s="27" t="str">
        <f t="shared" si="500"/>
        <v>DD000000000000000009</v>
      </c>
      <c r="I356" s="27" t="str">
        <f>"""GP Direct"",""Fabrikam, Inc."",""Jet Payroll Transactions"",""Pay Rate"",""31500.00000"",""Payroll Code"",""SALY"",""State"",""IL"",""Transaction Amount"",""1312.50000"""</f>
        <v>"GP Direct","Fabrikam, Inc.","Jet Payroll Transactions","Pay Rate","31500.00000","Payroll Code","SALY","State","IL","Transaction Amount","1312.50000"</v>
      </c>
      <c r="O356" s="28"/>
      <c r="P356" s="37">
        <v>31500</v>
      </c>
      <c r="Q356" s="38" t="str">
        <f>"SALY"</f>
        <v>SALY</v>
      </c>
      <c r="R356" s="39" t="str">
        <f>"IL"</f>
        <v>IL</v>
      </c>
      <c r="S356" s="37">
        <v>1312.5</v>
      </c>
    </row>
    <row r="357" spans="1:19" hidden="1" outlineLevel="3">
      <c r="A357" s="24" t="s">
        <v>2812</v>
      </c>
      <c r="C357" s="4" t="str">
        <f>C351</f>
        <v>Luis</v>
      </c>
      <c r="D357" s="4" t="str">
        <f>D351</f>
        <v>Bonifaz</v>
      </c>
      <c r="E357" s="27" t="str">
        <f>E351</f>
        <v>SALES</v>
      </c>
      <c r="F357" s="27" t="str">
        <f>F351</f>
        <v>BONI0001</v>
      </c>
      <c r="G357" s="15">
        <f>G351</f>
        <v>41699</v>
      </c>
      <c r="H357" s="27" t="str">
        <f>H351</f>
        <v>DD000000000000000009</v>
      </c>
      <c r="O357" s="28"/>
      <c r="S357" s="16"/>
    </row>
    <row r="358" spans="1:19" ht="12.75" hidden="1" outlineLevel="2" collapsed="1">
      <c r="A358" s="25" t="s">
        <v>91</v>
      </c>
      <c r="C358" s="4" t="str">
        <f t="shared" si="487"/>
        <v>Luis</v>
      </c>
      <c r="D358" s="4" t="str">
        <f t="shared" si="488"/>
        <v>Bonifaz</v>
      </c>
      <c r="E358" s="27" t="str">
        <f t="shared" si="489"/>
        <v>SALES</v>
      </c>
      <c r="F358" s="27" t="str">
        <f t="shared" si="490"/>
        <v>BONI0001</v>
      </c>
      <c r="G358" s="15">
        <f t="shared" si="493"/>
        <v>41699</v>
      </c>
      <c r="H358" s="27" t="str">
        <f t="shared" si="494"/>
        <v>DD000000000000000009</v>
      </c>
      <c r="N358" s="44" t="str">
        <f>"Total for " &amp; $H358</f>
        <v>Total for DD000000000000000009</v>
      </c>
      <c r="O358" s="45">
        <f>G358</f>
        <v>41699</v>
      </c>
      <c r="P358" s="44"/>
      <c r="Q358" s="44"/>
      <c r="R358" s="44"/>
      <c r="S358" s="44">
        <f>SUBTOTAL(9,S351:S357)</f>
        <v>1445</v>
      </c>
    </row>
    <row r="359" spans="1:19" ht="12.75" hidden="1" outlineLevel="2">
      <c r="A359" s="24" t="s">
        <v>2812</v>
      </c>
      <c r="C359" s="4" t="str">
        <f>C349</f>
        <v>Luis</v>
      </c>
      <c r="D359" s="4" t="str">
        <f>D349</f>
        <v>Bonifaz</v>
      </c>
      <c r="E359" s="27" t="str">
        <f>E349</f>
        <v>SALES</v>
      </c>
      <c r="F359" s="27" t="str">
        <f>F349</f>
        <v>BONI0001</v>
      </c>
      <c r="G359" s="14"/>
      <c r="J359" s="33"/>
      <c r="K359" s="33"/>
      <c r="L359" s="33"/>
      <c r="M359" s="33"/>
      <c r="N359" s="33"/>
      <c r="O359" s="33"/>
      <c r="P359" s="33"/>
      <c r="Q359" s="33"/>
      <c r="R359" s="33"/>
      <c r="S359" s="40"/>
    </row>
    <row r="360" spans="1:19" ht="12.75" hidden="1" outlineLevel="1" collapsed="1">
      <c r="A360" s="25" t="s">
        <v>91</v>
      </c>
      <c r="C360" s="4" t="str">
        <f t="shared" si="474"/>
        <v>Luis</v>
      </c>
      <c r="D360" s="4" t="str">
        <f t="shared" si="475"/>
        <v>Bonifaz</v>
      </c>
      <c r="E360" s="27" t="str">
        <f t="shared" si="472"/>
        <v>SALES</v>
      </c>
      <c r="F360" s="27" t="str">
        <f t="shared" si="476"/>
        <v>BONI0001</v>
      </c>
      <c r="G360" s="14"/>
      <c r="J360" s="33"/>
      <c r="K360" s="46" t="str">
        <f>"Total for " &amp; $F360</f>
        <v>Total for BONI0001</v>
      </c>
      <c r="L360" s="46" t="str">
        <f>C360</f>
        <v>Luis</v>
      </c>
      <c r="M360" s="46" t="str">
        <f>D360</f>
        <v>Bonifaz</v>
      </c>
      <c r="N360" s="46"/>
      <c r="O360" s="46"/>
      <c r="P360" s="46"/>
      <c r="Q360" s="46"/>
      <c r="R360" s="46"/>
      <c r="S360" s="47">
        <f>SUBTOTAL(9,S341:S359)</f>
        <v>2809.69</v>
      </c>
    </row>
    <row r="361" spans="1:19" ht="12.75" hidden="1" outlineLevel="2">
      <c r="A361" s="25" t="s">
        <v>91</v>
      </c>
      <c r="C361" s="4" t="str">
        <f t="shared" ref="C361" si="501">L361</f>
        <v>Nancy</v>
      </c>
      <c r="D361" s="4" t="str">
        <f t="shared" ref="D361" si="502">M361</f>
        <v>Buchanan</v>
      </c>
      <c r="E361" s="27" t="str">
        <f t="shared" ref="E361:E577" si="503">E360</f>
        <v>SALES</v>
      </c>
      <c r="F361" s="27" t="str">
        <f t="shared" ref="F361" si="504">K361</f>
        <v>BUCH0001</v>
      </c>
      <c r="G361" s="14"/>
      <c r="J361" s="31"/>
      <c r="K361" s="21" t="str">
        <f>"BUCH0001"</f>
        <v>BUCH0001</v>
      </c>
      <c r="L361" s="43" t="str">
        <f>"Nancy"</f>
        <v>Nancy</v>
      </c>
      <c r="M361" s="43" t="str">
        <f>"Buchanan"</f>
        <v>Buchanan</v>
      </c>
      <c r="N361" s="43"/>
      <c r="O361" s="34"/>
      <c r="P361" s="33"/>
      <c r="Q361" s="33"/>
      <c r="R361" s="33"/>
      <c r="S361" s="35"/>
    </row>
    <row r="362" spans="1:19" ht="12.75" hidden="1" outlineLevel="3">
      <c r="A362" s="25" t="s">
        <v>91</v>
      </c>
      <c r="C362" s="4" t="str">
        <f t="shared" ref="C362:C387" si="505">C361</f>
        <v>Nancy</v>
      </c>
      <c r="D362" s="4" t="str">
        <f t="shared" ref="D362:D387" si="506">D361</f>
        <v>Buchanan</v>
      </c>
      <c r="E362" s="27" t="str">
        <f t="shared" si="503"/>
        <v>SALES</v>
      </c>
      <c r="F362" s="27" t="str">
        <f t="shared" ref="F362:F387" si="507">F361</f>
        <v>BUCH0001</v>
      </c>
      <c r="G362" s="15">
        <f t="shared" ref="G362" si="508">O362</f>
        <v>41671</v>
      </c>
      <c r="H362" s="27" t="str">
        <f t="shared" ref="H362" si="509">N362</f>
        <v>10082</v>
      </c>
      <c r="J362" s="33"/>
      <c r="K362" s="33"/>
      <c r="L362" s="33"/>
      <c r="M362" s="33"/>
      <c r="N362" s="32" t="str">
        <f>"10082"</f>
        <v>10082</v>
      </c>
      <c r="O362" s="36">
        <v>41671</v>
      </c>
      <c r="P362" s="33"/>
      <c r="Q362" s="33"/>
      <c r="R362" s="33"/>
      <c r="S362" s="33"/>
    </row>
    <row r="363" spans="1:19" hidden="1" outlineLevel="3">
      <c r="A363" s="25" t="s">
        <v>91</v>
      </c>
      <c r="C363" s="4" t="str">
        <f t="shared" si="505"/>
        <v>Nancy</v>
      </c>
      <c r="D363" s="4" t="str">
        <f t="shared" si="506"/>
        <v>Buchanan</v>
      </c>
      <c r="E363" s="27" t="str">
        <f t="shared" si="503"/>
        <v>SALES</v>
      </c>
      <c r="F363" s="27" t="str">
        <f t="shared" si="507"/>
        <v>BUCH0001</v>
      </c>
      <c r="G363" s="15">
        <f t="shared" ref="G363:G371" si="510">G362</f>
        <v>41671</v>
      </c>
      <c r="H363" s="27" t="str">
        <f t="shared" ref="H363:H371" si="511">H362</f>
        <v>10082</v>
      </c>
      <c r="I363" s="27" t="str">
        <f>"""GP Direct"",""Fabrikam, Inc."",""Jet Payroll Transactions"",""Pay Rate"",""0.00000"",""Payroll Code"",""401K"",""State"","""",""Transaction Amount"",""1.02000"""</f>
        <v>"GP Direct","Fabrikam, Inc.","Jet Payroll Transactions","Pay Rate","0.00000","Payroll Code","401K","State","","Transaction Amount","1.02000"</v>
      </c>
      <c r="O363" s="28"/>
      <c r="P363" s="37">
        <v>0</v>
      </c>
      <c r="Q363" s="38" t="str">
        <f>"401K"</f>
        <v>401K</v>
      </c>
      <c r="R363" s="39"/>
      <c r="S363" s="37">
        <v>1.02</v>
      </c>
    </row>
    <row r="364" spans="1:19" hidden="1" outlineLevel="3">
      <c r="A364" s="25" t="s">
        <v>91</v>
      </c>
      <c r="C364" s="4" t="str">
        <f t="shared" ref="C364:C369" si="512">C363</f>
        <v>Nancy</v>
      </c>
      <c r="D364" s="4" t="str">
        <f t="shared" ref="D364:D369" si="513">D363</f>
        <v>Buchanan</v>
      </c>
      <c r="E364" s="27" t="str">
        <f t="shared" ref="E364:E369" si="514">E363</f>
        <v>SALES</v>
      </c>
      <c r="F364" s="27" t="str">
        <f t="shared" ref="F364:F369" si="515">F363</f>
        <v>BUCH0001</v>
      </c>
      <c r="G364" s="15">
        <f t="shared" ref="G364:G369" si="516">G363</f>
        <v>41671</v>
      </c>
      <c r="H364" s="27" t="str">
        <f t="shared" ref="H364:H369" si="517">H363</f>
        <v>10082</v>
      </c>
      <c r="I364" s="27" t="str">
        <f>"""GP Direct"",""Fabrikam, Inc."",""Jet Payroll Transactions"",""Pay Rate"",""0.00000"",""Payroll Code"",""401K"",""State"","""",""Transaction Amount"",""20.38000"""</f>
        <v>"GP Direct","Fabrikam, Inc.","Jet Payroll Transactions","Pay Rate","0.00000","Payroll Code","401K","State","","Transaction Amount","20.38000"</v>
      </c>
      <c r="O364" s="28"/>
      <c r="P364" s="37">
        <v>0</v>
      </c>
      <c r="Q364" s="38" t="str">
        <f>"401K"</f>
        <v>401K</v>
      </c>
      <c r="R364" s="39"/>
      <c r="S364" s="37">
        <v>20.38</v>
      </c>
    </row>
    <row r="365" spans="1:19" hidden="1" outlineLevel="3">
      <c r="A365" s="25" t="s">
        <v>91</v>
      </c>
      <c r="C365" s="4" t="str">
        <f t="shared" si="512"/>
        <v>Nancy</v>
      </c>
      <c r="D365" s="4" t="str">
        <f t="shared" si="513"/>
        <v>Buchanan</v>
      </c>
      <c r="E365" s="27" t="str">
        <f t="shared" si="514"/>
        <v>SALES</v>
      </c>
      <c r="F365" s="27" t="str">
        <f t="shared" si="515"/>
        <v>BUCH0001</v>
      </c>
      <c r="G365" s="15">
        <f t="shared" si="516"/>
        <v>41671</v>
      </c>
      <c r="H365" s="27" t="str">
        <f t="shared" si="517"/>
        <v>10082</v>
      </c>
      <c r="I365" s="27" t="str">
        <f>"""GP Direct"",""Fabrikam, Inc."",""Jet Payroll Transactions"",""Pay Rate"",""0.00000"",""Payroll Code"",""HOLI"",""State"",""NE"",""Transaction Amount"",""0.00000"""</f>
        <v>"GP Direct","Fabrikam, Inc.","Jet Payroll Transactions","Pay Rate","0.00000","Payroll Code","HOLI","State","NE","Transaction Amount","0.00000"</v>
      </c>
      <c r="O365" s="28"/>
      <c r="P365" s="37">
        <v>0</v>
      </c>
      <c r="Q365" s="38" t="str">
        <f>"HOLI"</f>
        <v>HOLI</v>
      </c>
      <c r="R365" s="39" t="str">
        <f>"NE"</f>
        <v>NE</v>
      </c>
      <c r="S365" s="37">
        <v>0</v>
      </c>
    </row>
    <row r="366" spans="1:19" hidden="1" outlineLevel="3">
      <c r="A366" s="25" t="s">
        <v>91</v>
      </c>
      <c r="C366" s="4" t="str">
        <f t="shared" si="512"/>
        <v>Nancy</v>
      </c>
      <c r="D366" s="4" t="str">
        <f t="shared" si="513"/>
        <v>Buchanan</v>
      </c>
      <c r="E366" s="27" t="str">
        <f t="shared" si="514"/>
        <v>SALES</v>
      </c>
      <c r="F366" s="27" t="str">
        <f t="shared" si="515"/>
        <v>BUCH0001</v>
      </c>
      <c r="G366" s="15">
        <f t="shared" si="516"/>
        <v>41671</v>
      </c>
      <c r="H366" s="27" t="str">
        <f t="shared" si="517"/>
        <v>10082</v>
      </c>
      <c r="I366" s="27" t="str">
        <f>"""GP Direct"",""Fabrikam, Inc."",""Jet Payroll Transactions"",""Pay Rate"",""0.00000"",""Payroll Code"",""INS"",""State"","""",""Transaction Amount"",""49.36000"""</f>
        <v>"GP Direct","Fabrikam, Inc.","Jet Payroll Transactions","Pay Rate","0.00000","Payroll Code","INS","State","","Transaction Amount","49.36000"</v>
      </c>
      <c r="O366" s="28"/>
      <c r="P366" s="37">
        <v>0</v>
      </c>
      <c r="Q366" s="38" t="str">
        <f>"INS"</f>
        <v>INS</v>
      </c>
      <c r="R366" s="39"/>
      <c r="S366" s="37">
        <v>49.36</v>
      </c>
    </row>
    <row r="367" spans="1:19" hidden="1" outlineLevel="3">
      <c r="A367" s="25" t="s">
        <v>91</v>
      </c>
      <c r="C367" s="4" t="str">
        <f t="shared" si="512"/>
        <v>Nancy</v>
      </c>
      <c r="D367" s="4" t="str">
        <f t="shared" si="513"/>
        <v>Buchanan</v>
      </c>
      <c r="E367" s="27" t="str">
        <f t="shared" si="514"/>
        <v>SALES</v>
      </c>
      <c r="F367" s="27" t="str">
        <f t="shared" si="515"/>
        <v>BUCH0001</v>
      </c>
      <c r="G367" s="15">
        <f t="shared" si="516"/>
        <v>41671</v>
      </c>
      <c r="H367" s="27" t="str">
        <f t="shared" si="517"/>
        <v>10082</v>
      </c>
      <c r="I367" s="27" t="str">
        <f>"""GP Direct"",""Fabrikam, Inc."",""Jet Payroll Transactions"",""Pay Rate"",""0.00000"",""Payroll Code"",""MED"",""State"","""",""Transaction Amount"",""5.00000"""</f>
        <v>"GP Direct","Fabrikam, Inc.","Jet Payroll Transactions","Pay Rate","0.00000","Payroll Code","MED","State","","Transaction Amount","5.00000"</v>
      </c>
      <c r="O367" s="28"/>
      <c r="P367" s="37">
        <v>0</v>
      </c>
      <c r="Q367" s="38" t="str">
        <f>"MED"</f>
        <v>MED</v>
      </c>
      <c r="R367" s="39"/>
      <c r="S367" s="37">
        <v>5</v>
      </c>
    </row>
    <row r="368" spans="1:19" hidden="1" outlineLevel="3">
      <c r="A368" s="25" t="s">
        <v>91</v>
      </c>
      <c r="C368" s="4" t="str">
        <f t="shared" si="512"/>
        <v>Nancy</v>
      </c>
      <c r="D368" s="4" t="str">
        <f t="shared" si="513"/>
        <v>Buchanan</v>
      </c>
      <c r="E368" s="27" t="str">
        <f t="shared" si="514"/>
        <v>SALES</v>
      </c>
      <c r="F368" s="27" t="str">
        <f t="shared" si="515"/>
        <v>BUCH0001</v>
      </c>
      <c r="G368" s="15">
        <f t="shared" si="516"/>
        <v>41671</v>
      </c>
      <c r="H368" s="27" t="str">
        <f t="shared" si="517"/>
        <v>10082</v>
      </c>
      <c r="I368" s="27" t="str">
        <f>"""GP Direct"",""Fabrikam, Inc."",""Jet Payroll Transactions"",""Pay Rate"",""0.00000"",""Payroll Code"",""NE"",""State"","""",""Transaction Amount"",""11.73000"""</f>
        <v>"GP Direct","Fabrikam, Inc.","Jet Payroll Transactions","Pay Rate","0.00000","Payroll Code","NE","State","","Transaction Amount","11.73000"</v>
      </c>
      <c r="O368" s="28"/>
      <c r="P368" s="37">
        <v>0</v>
      </c>
      <c r="Q368" s="38" t="str">
        <f>"NE"</f>
        <v>NE</v>
      </c>
      <c r="R368" s="39"/>
      <c r="S368" s="37">
        <v>11.73</v>
      </c>
    </row>
    <row r="369" spans="1:19" hidden="1" outlineLevel="3">
      <c r="A369" s="25" t="s">
        <v>91</v>
      </c>
      <c r="C369" s="4" t="str">
        <f t="shared" si="512"/>
        <v>Nancy</v>
      </c>
      <c r="D369" s="4" t="str">
        <f t="shared" si="513"/>
        <v>Buchanan</v>
      </c>
      <c r="E369" s="27" t="str">
        <f t="shared" si="514"/>
        <v>SALES</v>
      </c>
      <c r="F369" s="27" t="str">
        <f t="shared" si="515"/>
        <v>BUCH0001</v>
      </c>
      <c r="G369" s="15">
        <f t="shared" si="516"/>
        <v>41671</v>
      </c>
      <c r="H369" s="27" t="str">
        <f t="shared" si="517"/>
        <v>10082</v>
      </c>
      <c r="I369" s="27" t="str">
        <f>"""GP Direct"",""Fabrikam, Inc."",""Jet Payroll Transactions"",""Pay Rate"",""9.61535"",""Payroll Code"",""SALY"",""State"",""NE"",""Transaction Amount"",""679.48000"""</f>
        <v>"GP Direct","Fabrikam, Inc.","Jet Payroll Transactions","Pay Rate","9.61535","Payroll Code","SALY","State","NE","Transaction Amount","679.48000"</v>
      </c>
      <c r="O369" s="28"/>
      <c r="P369" s="37">
        <v>9.6153499999999994</v>
      </c>
      <c r="Q369" s="38" t="str">
        <f>"SALY"</f>
        <v>SALY</v>
      </c>
      <c r="R369" s="39" t="str">
        <f>"NE"</f>
        <v>NE</v>
      </c>
      <c r="S369" s="37">
        <v>679.48</v>
      </c>
    </row>
    <row r="370" spans="1:19" hidden="1" outlineLevel="3">
      <c r="A370" s="24" t="s">
        <v>2812</v>
      </c>
      <c r="C370" s="4" t="str">
        <f>C363</f>
        <v>Nancy</v>
      </c>
      <c r="D370" s="4" t="str">
        <f>D363</f>
        <v>Buchanan</v>
      </c>
      <c r="E370" s="27" t="str">
        <f>E363</f>
        <v>SALES</v>
      </c>
      <c r="F370" s="27" t="str">
        <f>F363</f>
        <v>BUCH0001</v>
      </c>
      <c r="G370" s="15">
        <f>G363</f>
        <v>41671</v>
      </c>
      <c r="H370" s="27" t="str">
        <f>H363</f>
        <v>10082</v>
      </c>
      <c r="O370" s="28"/>
      <c r="S370" s="16"/>
    </row>
    <row r="371" spans="1:19" ht="12.75" hidden="1" outlineLevel="2" collapsed="1">
      <c r="A371" s="25" t="s">
        <v>91</v>
      </c>
      <c r="C371" s="4" t="str">
        <f t="shared" si="505"/>
        <v>Nancy</v>
      </c>
      <c r="D371" s="4" t="str">
        <f t="shared" si="506"/>
        <v>Buchanan</v>
      </c>
      <c r="E371" s="27" t="str">
        <f t="shared" si="503"/>
        <v>SALES</v>
      </c>
      <c r="F371" s="27" t="str">
        <f t="shared" si="507"/>
        <v>BUCH0001</v>
      </c>
      <c r="G371" s="15">
        <f t="shared" si="510"/>
        <v>41671</v>
      </c>
      <c r="H371" s="27" t="str">
        <f t="shared" si="511"/>
        <v>10082</v>
      </c>
      <c r="N371" s="44" t="str">
        <f>"Total for " &amp; $H371</f>
        <v>Total for 10082</v>
      </c>
      <c r="O371" s="45">
        <f>G371</f>
        <v>41671</v>
      </c>
      <c r="P371" s="44"/>
      <c r="Q371" s="44"/>
      <c r="R371" s="44"/>
      <c r="S371" s="44">
        <f>SUBTOTAL(9,S363:S370)</f>
        <v>766.97</v>
      </c>
    </row>
    <row r="372" spans="1:19" ht="12.75" hidden="1" outlineLevel="3">
      <c r="A372" s="25" t="s">
        <v>91</v>
      </c>
      <c r="C372" s="4" t="str">
        <f t="shared" ref="C372:C385" si="518">C371</f>
        <v>Nancy</v>
      </c>
      <c r="D372" s="4" t="str">
        <f t="shared" ref="D372:D385" si="519">D371</f>
        <v>Buchanan</v>
      </c>
      <c r="E372" s="27" t="str">
        <f t="shared" ref="E372:E385" si="520">E371</f>
        <v>SALES</v>
      </c>
      <c r="F372" s="27" t="str">
        <f t="shared" ref="F372:F385" si="521">F371</f>
        <v>BUCH0001</v>
      </c>
      <c r="G372" s="15">
        <f t="shared" ref="G372" si="522">O372</f>
        <v>41699</v>
      </c>
      <c r="H372" s="27" t="str">
        <f t="shared" ref="H372" si="523">N372</f>
        <v>10107</v>
      </c>
      <c r="J372" s="33"/>
      <c r="K372" s="33"/>
      <c r="L372" s="33"/>
      <c r="M372" s="33"/>
      <c r="N372" s="32" t="str">
        <f>"10107"</f>
        <v>10107</v>
      </c>
      <c r="O372" s="36">
        <v>41699</v>
      </c>
      <c r="P372" s="33"/>
      <c r="Q372" s="33"/>
      <c r="R372" s="33"/>
      <c r="S372" s="33"/>
    </row>
    <row r="373" spans="1:19" hidden="1" outlineLevel="3">
      <c r="A373" s="25" t="s">
        <v>91</v>
      </c>
      <c r="C373" s="4" t="str">
        <f t="shared" si="518"/>
        <v>Nancy</v>
      </c>
      <c r="D373" s="4" t="str">
        <f t="shared" si="519"/>
        <v>Buchanan</v>
      </c>
      <c r="E373" s="27" t="str">
        <f t="shared" si="520"/>
        <v>SALES</v>
      </c>
      <c r="F373" s="27" t="str">
        <f t="shared" si="521"/>
        <v>BUCH0001</v>
      </c>
      <c r="G373" s="15">
        <f t="shared" ref="G373:G380" si="524">G372</f>
        <v>41699</v>
      </c>
      <c r="H373" s="27" t="str">
        <f t="shared" ref="H373:H380" si="525">H372</f>
        <v>10107</v>
      </c>
      <c r="I373" s="27" t="str">
        <f>"""GP Direct"",""Fabrikam, Inc."",""Jet Payroll Transactions"",""Pay Rate"",""0.00000"",""Payroll Code"",""401K"",""State"","""",""Transaction Amount"",""1.25000"""</f>
        <v>"GP Direct","Fabrikam, Inc.","Jet Payroll Transactions","Pay Rate","0.00000","Payroll Code","401K","State","","Transaction Amount","1.25000"</v>
      </c>
      <c r="O373" s="28"/>
      <c r="P373" s="37">
        <v>0</v>
      </c>
      <c r="Q373" s="38" t="str">
        <f>"401K"</f>
        <v>401K</v>
      </c>
      <c r="R373" s="39"/>
      <c r="S373" s="37">
        <v>1.25</v>
      </c>
    </row>
    <row r="374" spans="1:19" hidden="1" outlineLevel="3">
      <c r="A374" s="25" t="s">
        <v>91</v>
      </c>
      <c r="C374" s="4" t="str">
        <f t="shared" ref="C374:C378" si="526">C373</f>
        <v>Nancy</v>
      </c>
      <c r="D374" s="4" t="str">
        <f t="shared" ref="D374:D378" si="527">D373</f>
        <v>Buchanan</v>
      </c>
      <c r="E374" s="27" t="str">
        <f t="shared" ref="E374:E378" si="528">E373</f>
        <v>SALES</v>
      </c>
      <c r="F374" s="27" t="str">
        <f t="shared" ref="F374:F378" si="529">F373</f>
        <v>BUCH0001</v>
      </c>
      <c r="G374" s="15">
        <f t="shared" ref="G374:G378" si="530">G373</f>
        <v>41699</v>
      </c>
      <c r="H374" s="27" t="str">
        <f t="shared" ref="H374:H378" si="531">H373</f>
        <v>10107</v>
      </c>
      <c r="I374" s="27" t="str">
        <f>"""GP Direct"",""Fabrikam, Inc."",""Jet Payroll Transactions"",""Pay Rate"",""0.00000"",""Payroll Code"",""401K"",""State"","""",""Transaction Amount"",""25.00000"""</f>
        <v>"GP Direct","Fabrikam, Inc.","Jet Payroll Transactions","Pay Rate","0.00000","Payroll Code","401K","State","","Transaction Amount","25.00000"</v>
      </c>
      <c r="O374" s="28"/>
      <c r="P374" s="37">
        <v>0</v>
      </c>
      <c r="Q374" s="38" t="str">
        <f>"401K"</f>
        <v>401K</v>
      </c>
      <c r="R374" s="39"/>
      <c r="S374" s="37">
        <v>25</v>
      </c>
    </row>
    <row r="375" spans="1:19" hidden="1" outlineLevel="3">
      <c r="A375" s="25" t="s">
        <v>91</v>
      </c>
      <c r="C375" s="4" t="str">
        <f t="shared" si="526"/>
        <v>Nancy</v>
      </c>
      <c r="D375" s="4" t="str">
        <f t="shared" si="527"/>
        <v>Buchanan</v>
      </c>
      <c r="E375" s="27" t="str">
        <f t="shared" si="528"/>
        <v>SALES</v>
      </c>
      <c r="F375" s="27" t="str">
        <f t="shared" si="529"/>
        <v>BUCH0001</v>
      </c>
      <c r="G375" s="15">
        <f t="shared" si="530"/>
        <v>41699</v>
      </c>
      <c r="H375" s="27" t="str">
        <f t="shared" si="531"/>
        <v>10107</v>
      </c>
      <c r="I375" s="27" t="str">
        <f>"""GP Direct"",""Fabrikam, Inc."",""Jet Payroll Transactions"",""Pay Rate"",""0.00000"",""Payroll Code"",""INS"",""State"","""",""Transaction Amount"",""49.36000"""</f>
        <v>"GP Direct","Fabrikam, Inc.","Jet Payroll Transactions","Pay Rate","0.00000","Payroll Code","INS","State","","Transaction Amount","49.36000"</v>
      </c>
      <c r="O375" s="28"/>
      <c r="P375" s="37">
        <v>0</v>
      </c>
      <c r="Q375" s="38" t="str">
        <f>"INS"</f>
        <v>INS</v>
      </c>
      <c r="R375" s="39"/>
      <c r="S375" s="37">
        <v>49.36</v>
      </c>
    </row>
    <row r="376" spans="1:19" hidden="1" outlineLevel="3">
      <c r="A376" s="25" t="s">
        <v>91</v>
      </c>
      <c r="C376" s="4" t="str">
        <f t="shared" si="526"/>
        <v>Nancy</v>
      </c>
      <c r="D376" s="4" t="str">
        <f t="shared" si="527"/>
        <v>Buchanan</v>
      </c>
      <c r="E376" s="27" t="str">
        <f t="shared" si="528"/>
        <v>SALES</v>
      </c>
      <c r="F376" s="27" t="str">
        <f t="shared" si="529"/>
        <v>BUCH0001</v>
      </c>
      <c r="G376" s="15">
        <f t="shared" si="530"/>
        <v>41699</v>
      </c>
      <c r="H376" s="27" t="str">
        <f t="shared" si="531"/>
        <v>10107</v>
      </c>
      <c r="I376" s="27" t="str">
        <f>"""GP Direct"",""Fabrikam, Inc."",""Jet Payroll Transactions"",""Pay Rate"",""0.00000"",""Payroll Code"",""MED"",""State"","""",""Transaction Amount"",""5.00000"""</f>
        <v>"GP Direct","Fabrikam, Inc.","Jet Payroll Transactions","Pay Rate","0.00000","Payroll Code","MED","State","","Transaction Amount","5.00000"</v>
      </c>
      <c r="O376" s="28"/>
      <c r="P376" s="37">
        <v>0</v>
      </c>
      <c r="Q376" s="38" t="str">
        <f>"MED"</f>
        <v>MED</v>
      </c>
      <c r="R376" s="39"/>
      <c r="S376" s="37">
        <v>5</v>
      </c>
    </row>
    <row r="377" spans="1:19" hidden="1" outlineLevel="3">
      <c r="A377" s="25" t="s">
        <v>91</v>
      </c>
      <c r="C377" s="4" t="str">
        <f t="shared" si="526"/>
        <v>Nancy</v>
      </c>
      <c r="D377" s="4" t="str">
        <f t="shared" si="527"/>
        <v>Buchanan</v>
      </c>
      <c r="E377" s="27" t="str">
        <f t="shared" si="528"/>
        <v>SALES</v>
      </c>
      <c r="F377" s="27" t="str">
        <f t="shared" si="529"/>
        <v>BUCH0001</v>
      </c>
      <c r="G377" s="15">
        <f t="shared" si="530"/>
        <v>41699</v>
      </c>
      <c r="H377" s="27" t="str">
        <f t="shared" si="531"/>
        <v>10107</v>
      </c>
      <c r="I377" s="27" t="str">
        <f>"""GP Direct"",""Fabrikam, Inc."",""Jet Payroll Transactions"",""Pay Rate"",""0.00000"",""Payroll Code"",""NE"",""State"","""",""Transaction Amount"",""16.91000"""</f>
        <v>"GP Direct","Fabrikam, Inc.","Jet Payroll Transactions","Pay Rate","0.00000","Payroll Code","NE","State","","Transaction Amount","16.91000"</v>
      </c>
      <c r="O377" s="28"/>
      <c r="P377" s="37">
        <v>0</v>
      </c>
      <c r="Q377" s="38" t="str">
        <f>"NE"</f>
        <v>NE</v>
      </c>
      <c r="R377" s="39"/>
      <c r="S377" s="37">
        <v>16.91</v>
      </c>
    </row>
    <row r="378" spans="1:19" hidden="1" outlineLevel="3">
      <c r="A378" s="25" t="s">
        <v>91</v>
      </c>
      <c r="C378" s="4" t="str">
        <f t="shared" si="526"/>
        <v>Nancy</v>
      </c>
      <c r="D378" s="4" t="str">
        <f t="shared" si="527"/>
        <v>Buchanan</v>
      </c>
      <c r="E378" s="27" t="str">
        <f t="shared" si="528"/>
        <v>SALES</v>
      </c>
      <c r="F378" s="27" t="str">
        <f t="shared" si="529"/>
        <v>BUCH0001</v>
      </c>
      <c r="G378" s="15">
        <f t="shared" si="530"/>
        <v>41699</v>
      </c>
      <c r="H378" s="27" t="str">
        <f t="shared" si="531"/>
        <v>10107</v>
      </c>
      <c r="I378" s="27" t="str">
        <f>"""GP Direct"",""Fabrikam, Inc."",""Jet Payroll Transactions"",""Pay Rate"",""20000.00000"",""Payroll Code"",""SALY"",""State"",""NE"",""Transaction Amount"",""833.33000"""</f>
        <v>"GP Direct","Fabrikam, Inc.","Jet Payroll Transactions","Pay Rate","20000.00000","Payroll Code","SALY","State","NE","Transaction Amount","833.33000"</v>
      </c>
      <c r="O378" s="28"/>
      <c r="P378" s="37">
        <v>20000</v>
      </c>
      <c r="Q378" s="38" t="str">
        <f>"SALY"</f>
        <v>SALY</v>
      </c>
      <c r="R378" s="39" t="str">
        <f>"NE"</f>
        <v>NE</v>
      </c>
      <c r="S378" s="37">
        <v>833.33</v>
      </c>
    </row>
    <row r="379" spans="1:19" hidden="1" outlineLevel="3">
      <c r="A379" s="24" t="s">
        <v>2812</v>
      </c>
      <c r="C379" s="4" t="str">
        <f>C373</f>
        <v>Nancy</v>
      </c>
      <c r="D379" s="4" t="str">
        <f>D373</f>
        <v>Buchanan</v>
      </c>
      <c r="E379" s="27" t="str">
        <f>E373</f>
        <v>SALES</v>
      </c>
      <c r="F379" s="27" t="str">
        <f>F373</f>
        <v>BUCH0001</v>
      </c>
      <c r="G379" s="15">
        <f>G373</f>
        <v>41699</v>
      </c>
      <c r="H379" s="27" t="str">
        <f>H373</f>
        <v>10107</v>
      </c>
      <c r="O379" s="28"/>
      <c r="S379" s="16"/>
    </row>
    <row r="380" spans="1:19" ht="12.75" hidden="1" outlineLevel="2" collapsed="1">
      <c r="A380" s="25" t="s">
        <v>91</v>
      </c>
      <c r="C380" s="4" t="str">
        <f t="shared" si="518"/>
        <v>Nancy</v>
      </c>
      <c r="D380" s="4" t="str">
        <f t="shared" si="519"/>
        <v>Buchanan</v>
      </c>
      <c r="E380" s="27" t="str">
        <f t="shared" si="520"/>
        <v>SALES</v>
      </c>
      <c r="F380" s="27" t="str">
        <f t="shared" si="521"/>
        <v>BUCH0001</v>
      </c>
      <c r="G380" s="15">
        <f t="shared" si="524"/>
        <v>41699</v>
      </c>
      <c r="H380" s="27" t="str">
        <f t="shared" si="525"/>
        <v>10107</v>
      </c>
      <c r="N380" s="44" t="str">
        <f>"Total for " &amp; $H380</f>
        <v>Total for 10107</v>
      </c>
      <c r="O380" s="45">
        <f>G380</f>
        <v>41699</v>
      </c>
      <c r="P380" s="44"/>
      <c r="Q380" s="44"/>
      <c r="R380" s="44"/>
      <c r="S380" s="44">
        <f>SUBTOTAL(9,S373:S379)</f>
        <v>930.85</v>
      </c>
    </row>
    <row r="381" spans="1:19" ht="12.75" hidden="1" outlineLevel="3">
      <c r="A381" s="25" t="s">
        <v>91</v>
      </c>
      <c r="C381" s="4" t="str">
        <f t="shared" si="518"/>
        <v>Nancy</v>
      </c>
      <c r="D381" s="4" t="str">
        <f t="shared" si="519"/>
        <v>Buchanan</v>
      </c>
      <c r="E381" s="27" t="str">
        <f t="shared" si="520"/>
        <v>SALES</v>
      </c>
      <c r="F381" s="27" t="str">
        <f t="shared" si="521"/>
        <v>BUCH0001</v>
      </c>
      <c r="G381" s="15">
        <f t="shared" ref="G381" si="532">O381</f>
        <v>41640</v>
      </c>
      <c r="H381" s="27" t="str">
        <f t="shared" ref="H381" si="533">N381</f>
        <v>11599</v>
      </c>
      <c r="J381" s="33"/>
      <c r="K381" s="33"/>
      <c r="L381" s="33"/>
      <c r="M381" s="33"/>
      <c r="N381" s="32" t="str">
        <f>"11599"</f>
        <v>11599</v>
      </c>
      <c r="O381" s="36">
        <v>41640</v>
      </c>
      <c r="P381" s="33"/>
      <c r="Q381" s="33"/>
      <c r="R381" s="33"/>
      <c r="S381" s="33"/>
    </row>
    <row r="382" spans="1:19" hidden="1" outlineLevel="3">
      <c r="A382" s="25" t="s">
        <v>91</v>
      </c>
      <c r="C382" s="4" t="str">
        <f t="shared" si="518"/>
        <v>Nancy</v>
      </c>
      <c r="D382" s="4" t="str">
        <f t="shared" si="519"/>
        <v>Buchanan</v>
      </c>
      <c r="E382" s="27" t="str">
        <f t="shared" si="520"/>
        <v>SALES</v>
      </c>
      <c r="F382" s="27" t="str">
        <f t="shared" si="521"/>
        <v>BUCH0001</v>
      </c>
      <c r="G382" s="15">
        <f t="shared" ref="G382:G385" si="534">G381</f>
        <v>41640</v>
      </c>
      <c r="H382" s="27" t="str">
        <f t="shared" ref="H382:H385" si="535">H381</f>
        <v>11599</v>
      </c>
      <c r="I382" s="27" t="str">
        <f>"""GP Direct"",""Fabrikam, Inc."",""Jet Payroll Transactions"",""Pay Rate"",""0.00000"",""Payroll Code"",""NE"",""State"","""",""Transaction Amount"",""577.36000"""</f>
        <v>"GP Direct","Fabrikam, Inc.","Jet Payroll Transactions","Pay Rate","0.00000","Payroll Code","NE","State","","Transaction Amount","577.36000"</v>
      </c>
      <c r="O382" s="28"/>
      <c r="P382" s="37">
        <v>0</v>
      </c>
      <c r="Q382" s="38" t="str">
        <f>"NE"</f>
        <v>NE</v>
      </c>
      <c r="R382" s="39"/>
      <c r="S382" s="37">
        <v>577.36</v>
      </c>
    </row>
    <row r="383" spans="1:19" hidden="1" outlineLevel="3">
      <c r="A383" s="25" t="s">
        <v>91</v>
      </c>
      <c r="C383" s="4" t="str">
        <f t="shared" ref="C383" si="536">C382</f>
        <v>Nancy</v>
      </c>
      <c r="D383" s="4" t="str">
        <f t="shared" ref="D383" si="537">D382</f>
        <v>Buchanan</v>
      </c>
      <c r="E383" s="27" t="str">
        <f t="shared" ref="E383" si="538">E382</f>
        <v>SALES</v>
      </c>
      <c r="F383" s="27" t="str">
        <f t="shared" ref="F383" si="539">F382</f>
        <v>BUCH0001</v>
      </c>
      <c r="G383" s="15">
        <f t="shared" ref="G383" si="540">G382</f>
        <v>41640</v>
      </c>
      <c r="H383" s="27" t="str">
        <f t="shared" ref="H383" si="541">H382</f>
        <v>11599</v>
      </c>
      <c r="I383" s="27" t="str">
        <f>"""GP Direct"",""Fabrikam, Inc."",""Jet Payroll Transactions"",""Pay Rate"",""8750.00000"",""Payroll Code"",""COMM"",""State"",""NE"",""Transaction Amount"",""8750.00000"""</f>
        <v>"GP Direct","Fabrikam, Inc.","Jet Payroll Transactions","Pay Rate","8750.00000","Payroll Code","COMM","State","NE","Transaction Amount","8750.00000"</v>
      </c>
      <c r="O383" s="28"/>
      <c r="P383" s="37">
        <v>8750</v>
      </c>
      <c r="Q383" s="38" t="str">
        <f>"COMM"</f>
        <v>COMM</v>
      </c>
      <c r="R383" s="39" t="str">
        <f>"NE"</f>
        <v>NE</v>
      </c>
      <c r="S383" s="37">
        <v>8750</v>
      </c>
    </row>
    <row r="384" spans="1:19" hidden="1" outlineLevel="3">
      <c r="A384" s="24" t="s">
        <v>2812</v>
      </c>
      <c r="C384" s="4" t="str">
        <f>C382</f>
        <v>Nancy</v>
      </c>
      <c r="D384" s="4" t="str">
        <f>D382</f>
        <v>Buchanan</v>
      </c>
      <c r="E384" s="27" t="str">
        <f>E382</f>
        <v>SALES</v>
      </c>
      <c r="F384" s="27" t="str">
        <f>F382</f>
        <v>BUCH0001</v>
      </c>
      <c r="G384" s="15">
        <f>G382</f>
        <v>41640</v>
      </c>
      <c r="H384" s="27" t="str">
        <f>H382</f>
        <v>11599</v>
      </c>
      <c r="O384" s="28"/>
      <c r="S384" s="16"/>
    </row>
    <row r="385" spans="1:19" ht="12.75" hidden="1" outlineLevel="2" collapsed="1">
      <c r="A385" s="25" t="s">
        <v>91</v>
      </c>
      <c r="C385" s="4" t="str">
        <f t="shared" si="518"/>
        <v>Nancy</v>
      </c>
      <c r="D385" s="4" t="str">
        <f t="shared" si="519"/>
        <v>Buchanan</v>
      </c>
      <c r="E385" s="27" t="str">
        <f t="shared" si="520"/>
        <v>SALES</v>
      </c>
      <c r="F385" s="27" t="str">
        <f t="shared" si="521"/>
        <v>BUCH0001</v>
      </c>
      <c r="G385" s="15">
        <f t="shared" si="534"/>
        <v>41640</v>
      </c>
      <c r="H385" s="27" t="str">
        <f t="shared" si="535"/>
        <v>11599</v>
      </c>
      <c r="N385" s="44" t="str">
        <f>"Total for " &amp; $H385</f>
        <v>Total for 11599</v>
      </c>
      <c r="O385" s="45">
        <f>G385</f>
        <v>41640</v>
      </c>
      <c r="P385" s="44"/>
      <c r="Q385" s="44"/>
      <c r="R385" s="44"/>
      <c r="S385" s="44">
        <f>SUBTOTAL(9,S382:S384)</f>
        <v>9327.36</v>
      </c>
    </row>
    <row r="386" spans="1:19" ht="12.75" hidden="1" outlineLevel="2">
      <c r="A386" s="24" t="s">
        <v>2812</v>
      </c>
      <c r="C386" s="4" t="str">
        <f>C371</f>
        <v>Nancy</v>
      </c>
      <c r="D386" s="4" t="str">
        <f>D371</f>
        <v>Buchanan</v>
      </c>
      <c r="E386" s="27" t="str">
        <f>E371</f>
        <v>SALES</v>
      </c>
      <c r="F386" s="27" t="str">
        <f>F371</f>
        <v>BUCH0001</v>
      </c>
      <c r="G386" s="14"/>
      <c r="J386" s="33"/>
      <c r="K386" s="33"/>
      <c r="L386" s="33"/>
      <c r="M386" s="33"/>
      <c r="N386" s="33"/>
      <c r="O386" s="33"/>
      <c r="P386" s="33"/>
      <c r="Q386" s="33"/>
      <c r="R386" s="33"/>
      <c r="S386" s="40"/>
    </row>
    <row r="387" spans="1:19" ht="12.75" hidden="1" outlineLevel="1" collapsed="1">
      <c r="A387" s="25" t="s">
        <v>91</v>
      </c>
      <c r="C387" s="4" t="str">
        <f t="shared" si="505"/>
        <v>Nancy</v>
      </c>
      <c r="D387" s="4" t="str">
        <f t="shared" si="506"/>
        <v>Buchanan</v>
      </c>
      <c r="E387" s="27" t="str">
        <f t="shared" si="503"/>
        <v>SALES</v>
      </c>
      <c r="F387" s="27" t="str">
        <f t="shared" si="507"/>
        <v>BUCH0001</v>
      </c>
      <c r="G387" s="14"/>
      <c r="J387" s="33"/>
      <c r="K387" s="46" t="str">
        <f>"Total for " &amp; $F387</f>
        <v>Total for BUCH0001</v>
      </c>
      <c r="L387" s="46" t="str">
        <f>C387</f>
        <v>Nancy</v>
      </c>
      <c r="M387" s="46" t="str">
        <f>D387</f>
        <v>Buchanan</v>
      </c>
      <c r="N387" s="46"/>
      <c r="O387" s="46"/>
      <c r="P387" s="46"/>
      <c r="Q387" s="46"/>
      <c r="R387" s="46"/>
      <c r="S387" s="47">
        <f>SUBTOTAL(9,S363:S386)</f>
        <v>11025.18</v>
      </c>
    </row>
    <row r="388" spans="1:19" ht="12.75" hidden="1" outlineLevel="2">
      <c r="A388" s="25" t="s">
        <v>91</v>
      </c>
      <c r="C388" s="4" t="str">
        <f t="shared" ref="C388" si="542">L388</f>
        <v>John</v>
      </c>
      <c r="D388" s="4" t="str">
        <f t="shared" ref="D388" si="543">M388</f>
        <v>Chen</v>
      </c>
      <c r="E388" s="27" t="str">
        <f t="shared" si="503"/>
        <v>SALES</v>
      </c>
      <c r="F388" s="27" t="str">
        <f t="shared" ref="F388" si="544">K388</f>
        <v>CHEN0001</v>
      </c>
      <c r="G388" s="14"/>
      <c r="J388" s="31"/>
      <c r="K388" s="21" t="str">
        <f>"CHEN0001"</f>
        <v>CHEN0001</v>
      </c>
      <c r="L388" s="43" t="str">
        <f>"John"</f>
        <v>John</v>
      </c>
      <c r="M388" s="43" t="str">
        <f>"Chen"</f>
        <v>Chen</v>
      </c>
      <c r="N388" s="43"/>
      <c r="O388" s="34"/>
      <c r="P388" s="33"/>
      <c r="Q388" s="33"/>
      <c r="R388" s="33"/>
      <c r="S388" s="35"/>
    </row>
    <row r="389" spans="1:19" ht="12.75" hidden="1" outlineLevel="3">
      <c r="A389" s="25" t="s">
        <v>91</v>
      </c>
      <c r="C389" s="4" t="str">
        <f t="shared" ref="C389:C409" si="545">C388</f>
        <v>John</v>
      </c>
      <c r="D389" s="4" t="str">
        <f t="shared" ref="D389:D409" si="546">D388</f>
        <v>Chen</v>
      </c>
      <c r="E389" s="27" t="str">
        <f t="shared" si="503"/>
        <v>SALES</v>
      </c>
      <c r="F389" s="27" t="str">
        <f t="shared" ref="F389:F409" si="547">F388</f>
        <v>CHEN0001</v>
      </c>
      <c r="G389" s="15">
        <f t="shared" ref="G389" si="548">O389</f>
        <v>41671</v>
      </c>
      <c r="H389" s="27" t="str">
        <f t="shared" ref="H389" si="549">N389</f>
        <v>10083</v>
      </c>
      <c r="J389" s="33"/>
      <c r="K389" s="33"/>
      <c r="L389" s="33"/>
      <c r="M389" s="33"/>
      <c r="N389" s="32" t="str">
        <f>"10083"</f>
        <v>10083</v>
      </c>
      <c r="O389" s="36">
        <v>41671</v>
      </c>
      <c r="P389" s="33"/>
      <c r="Q389" s="33"/>
      <c r="R389" s="33"/>
      <c r="S389" s="33"/>
    </row>
    <row r="390" spans="1:19" hidden="1" outlineLevel="3">
      <c r="A390" s="25" t="s">
        <v>91</v>
      </c>
      <c r="C390" s="4" t="str">
        <f t="shared" si="545"/>
        <v>John</v>
      </c>
      <c r="D390" s="4" t="str">
        <f t="shared" si="546"/>
        <v>Chen</v>
      </c>
      <c r="E390" s="27" t="str">
        <f t="shared" si="503"/>
        <v>SALES</v>
      </c>
      <c r="F390" s="27" t="str">
        <f t="shared" si="547"/>
        <v>CHEN0001</v>
      </c>
      <c r="G390" s="15">
        <f t="shared" ref="G390:G398" si="550">G389</f>
        <v>41671</v>
      </c>
      <c r="H390" s="27" t="str">
        <f t="shared" ref="H390:H398" si="551">H389</f>
        <v>10083</v>
      </c>
      <c r="I390" s="27" t="str">
        <f>"""GP Direct"",""Fabrikam, Inc."",""Jet Payroll Transactions"",""Pay Rate"",""0.00000"",""Payroll Code"",""401K"",""State"","""",""Transaction Amount"",""1.04000"""</f>
        <v>"GP Direct","Fabrikam, Inc.","Jet Payroll Transactions","Pay Rate","0.00000","Payroll Code","401K","State","","Transaction Amount","1.04000"</v>
      </c>
      <c r="O390" s="28"/>
      <c r="P390" s="37">
        <v>0</v>
      </c>
      <c r="Q390" s="38" t="str">
        <f>"401K"</f>
        <v>401K</v>
      </c>
      <c r="R390" s="39"/>
      <c r="S390" s="37">
        <v>1.04</v>
      </c>
    </row>
    <row r="391" spans="1:19" hidden="1" outlineLevel="3">
      <c r="A391" s="25" t="s">
        <v>91</v>
      </c>
      <c r="C391" s="4" t="str">
        <f t="shared" ref="C391:C396" si="552">C390</f>
        <v>John</v>
      </c>
      <c r="D391" s="4" t="str">
        <f t="shared" ref="D391:D396" si="553">D390</f>
        <v>Chen</v>
      </c>
      <c r="E391" s="27" t="str">
        <f t="shared" ref="E391:E396" si="554">E390</f>
        <v>SALES</v>
      </c>
      <c r="F391" s="27" t="str">
        <f t="shared" ref="F391:F396" si="555">F390</f>
        <v>CHEN0001</v>
      </c>
      <c r="G391" s="15">
        <f t="shared" ref="G391:G396" si="556">G390</f>
        <v>41671</v>
      </c>
      <c r="H391" s="27" t="str">
        <f t="shared" ref="H391:H396" si="557">H390</f>
        <v>10083</v>
      </c>
      <c r="I391" s="27" t="str">
        <f>"""GP Direct"",""Fabrikam, Inc."",""Jet Payroll Transactions"",""Pay Rate"",""0.00000"",""Payroll Code"",""401K"",""State"","""",""Transaction Amount"",""20.73000"""</f>
        <v>"GP Direct","Fabrikam, Inc.","Jet Payroll Transactions","Pay Rate","0.00000","Payroll Code","401K","State","","Transaction Amount","20.73000"</v>
      </c>
      <c r="O391" s="28"/>
      <c r="P391" s="37">
        <v>0</v>
      </c>
      <c r="Q391" s="38" t="str">
        <f>"401K"</f>
        <v>401K</v>
      </c>
      <c r="R391" s="39"/>
      <c r="S391" s="37">
        <v>20.73</v>
      </c>
    </row>
    <row r="392" spans="1:19" hidden="1" outlineLevel="3">
      <c r="A392" s="25" t="s">
        <v>91</v>
      </c>
      <c r="C392" s="4" t="str">
        <f t="shared" si="552"/>
        <v>John</v>
      </c>
      <c r="D392" s="4" t="str">
        <f t="shared" si="553"/>
        <v>Chen</v>
      </c>
      <c r="E392" s="27" t="str">
        <f t="shared" si="554"/>
        <v>SALES</v>
      </c>
      <c r="F392" s="27" t="str">
        <f t="shared" si="555"/>
        <v>CHEN0001</v>
      </c>
      <c r="G392" s="15">
        <f t="shared" si="556"/>
        <v>41671</v>
      </c>
      <c r="H392" s="27" t="str">
        <f t="shared" si="557"/>
        <v>10083</v>
      </c>
      <c r="I392" s="27" t="str">
        <f>"""GP Direct"",""Fabrikam, Inc."",""Jet Payroll Transactions"",""Pay Rate"",""0.00000"",""Payroll Code"",""HOLI"",""State"",""IL"",""Transaction Amount"",""0.00000"""</f>
        <v>"GP Direct","Fabrikam, Inc.","Jet Payroll Transactions","Pay Rate","0.00000","Payroll Code","HOLI","State","IL","Transaction Amount","0.00000"</v>
      </c>
      <c r="O392" s="28"/>
      <c r="P392" s="37">
        <v>0</v>
      </c>
      <c r="Q392" s="38" t="str">
        <f>"HOLI"</f>
        <v>HOLI</v>
      </c>
      <c r="R392" s="39" t="str">
        <f>"IL"</f>
        <v>IL</v>
      </c>
      <c r="S392" s="37">
        <v>0</v>
      </c>
    </row>
    <row r="393" spans="1:19" hidden="1" outlineLevel="3">
      <c r="A393" s="25" t="s">
        <v>91</v>
      </c>
      <c r="C393" s="4" t="str">
        <f t="shared" si="552"/>
        <v>John</v>
      </c>
      <c r="D393" s="4" t="str">
        <f t="shared" si="553"/>
        <v>Chen</v>
      </c>
      <c r="E393" s="27" t="str">
        <f t="shared" si="554"/>
        <v>SALES</v>
      </c>
      <c r="F393" s="27" t="str">
        <f t="shared" si="555"/>
        <v>CHEN0001</v>
      </c>
      <c r="G393" s="15">
        <f t="shared" si="556"/>
        <v>41671</v>
      </c>
      <c r="H393" s="27" t="str">
        <f t="shared" si="557"/>
        <v>10083</v>
      </c>
      <c r="I393" s="27" t="str">
        <f>"""GP Direct"",""Fabrikam, Inc."",""Jet Payroll Transactions"",""Pay Rate"",""0.00000"",""Payroll Code"",""IL"",""State"","""",""Transaction Amount"",""18.70000"""</f>
        <v>"GP Direct","Fabrikam, Inc.","Jet Payroll Transactions","Pay Rate","0.00000","Payroll Code","IL","State","","Transaction Amount","18.70000"</v>
      </c>
      <c r="O393" s="28"/>
      <c r="P393" s="37">
        <v>0</v>
      </c>
      <c r="Q393" s="38" t="str">
        <f>"IL"</f>
        <v>IL</v>
      </c>
      <c r="R393" s="39"/>
      <c r="S393" s="37">
        <v>18.7</v>
      </c>
    </row>
    <row r="394" spans="1:19" hidden="1" outlineLevel="3">
      <c r="A394" s="25" t="s">
        <v>91</v>
      </c>
      <c r="C394" s="4" t="str">
        <f t="shared" si="552"/>
        <v>John</v>
      </c>
      <c r="D394" s="4" t="str">
        <f t="shared" si="553"/>
        <v>Chen</v>
      </c>
      <c r="E394" s="27" t="str">
        <f t="shared" si="554"/>
        <v>SALES</v>
      </c>
      <c r="F394" s="27" t="str">
        <f t="shared" si="555"/>
        <v>CHEN0001</v>
      </c>
      <c r="G394" s="15">
        <f t="shared" si="556"/>
        <v>41671</v>
      </c>
      <c r="H394" s="27" t="str">
        <f t="shared" si="557"/>
        <v>10083</v>
      </c>
      <c r="I394" s="27" t="str">
        <f>"""GP Direct"",""Fabrikam, Inc."",""Jet Payroll Transactions"",""Pay Rate"",""0.00000"",""Payroll Code"",""INS"",""State"","""",""Transaction Amount"",""49.36000"""</f>
        <v>"GP Direct","Fabrikam, Inc.","Jet Payroll Transactions","Pay Rate","0.00000","Payroll Code","INS","State","","Transaction Amount","49.36000"</v>
      </c>
      <c r="O394" s="28"/>
      <c r="P394" s="37">
        <v>0</v>
      </c>
      <c r="Q394" s="38" t="str">
        <f>"INS"</f>
        <v>INS</v>
      </c>
      <c r="R394" s="39"/>
      <c r="S394" s="37">
        <v>49.36</v>
      </c>
    </row>
    <row r="395" spans="1:19" hidden="1" outlineLevel="3">
      <c r="A395" s="25" t="s">
        <v>91</v>
      </c>
      <c r="C395" s="4" t="str">
        <f t="shared" si="552"/>
        <v>John</v>
      </c>
      <c r="D395" s="4" t="str">
        <f t="shared" si="553"/>
        <v>Chen</v>
      </c>
      <c r="E395" s="27" t="str">
        <f t="shared" si="554"/>
        <v>SALES</v>
      </c>
      <c r="F395" s="27" t="str">
        <f t="shared" si="555"/>
        <v>CHEN0001</v>
      </c>
      <c r="G395" s="15">
        <f t="shared" si="556"/>
        <v>41671</v>
      </c>
      <c r="H395" s="27" t="str">
        <f t="shared" si="557"/>
        <v>10083</v>
      </c>
      <c r="I395" s="27" t="str">
        <f>"""GP Direct"",""Fabrikam, Inc."",""Jet Payroll Transactions"",""Pay Rate"",""0.00000"",""Payroll Code"",""MED"",""State"","""",""Transaction Amount"",""5.00000"""</f>
        <v>"GP Direct","Fabrikam, Inc.","Jet Payroll Transactions","Pay Rate","0.00000","Payroll Code","MED","State","","Transaction Amount","5.00000"</v>
      </c>
      <c r="O395" s="28"/>
      <c r="P395" s="37">
        <v>0</v>
      </c>
      <c r="Q395" s="38" t="str">
        <f>"MED"</f>
        <v>MED</v>
      </c>
      <c r="R395" s="39"/>
      <c r="S395" s="37">
        <v>5</v>
      </c>
    </row>
    <row r="396" spans="1:19" hidden="1" outlineLevel="3">
      <c r="A396" s="25" t="s">
        <v>91</v>
      </c>
      <c r="C396" s="4" t="str">
        <f t="shared" si="552"/>
        <v>John</v>
      </c>
      <c r="D396" s="4" t="str">
        <f t="shared" si="553"/>
        <v>Chen</v>
      </c>
      <c r="E396" s="27" t="str">
        <f t="shared" si="554"/>
        <v>SALES</v>
      </c>
      <c r="F396" s="27" t="str">
        <f t="shared" si="555"/>
        <v>CHEN0001</v>
      </c>
      <c r="G396" s="15">
        <f t="shared" si="556"/>
        <v>41671</v>
      </c>
      <c r="H396" s="27" t="str">
        <f t="shared" si="557"/>
        <v>10083</v>
      </c>
      <c r="I396" s="27" t="str">
        <f>"""GP Direct"",""Fabrikam, Inc."",""Jet Payroll Transactions"",""Pay Rate"",""7.97885"",""Payroll Code"",""SALY"",""State"",""IL"",""Transaction Amount"",""690.86000"""</f>
        <v>"GP Direct","Fabrikam, Inc.","Jet Payroll Transactions","Pay Rate","7.97885","Payroll Code","SALY","State","IL","Transaction Amount","690.86000"</v>
      </c>
      <c r="O396" s="28"/>
      <c r="P396" s="37">
        <v>7.9788500000000004</v>
      </c>
      <c r="Q396" s="38" t="str">
        <f>"SALY"</f>
        <v>SALY</v>
      </c>
      <c r="R396" s="39" t="str">
        <f>"IL"</f>
        <v>IL</v>
      </c>
      <c r="S396" s="37">
        <v>690.86</v>
      </c>
    </row>
    <row r="397" spans="1:19" hidden="1" outlineLevel="3">
      <c r="A397" s="24" t="s">
        <v>2812</v>
      </c>
      <c r="C397" s="4" t="str">
        <f>C390</f>
        <v>John</v>
      </c>
      <c r="D397" s="4" t="str">
        <f>D390</f>
        <v>Chen</v>
      </c>
      <c r="E397" s="27" t="str">
        <f>E390</f>
        <v>SALES</v>
      </c>
      <c r="F397" s="27" t="str">
        <f>F390</f>
        <v>CHEN0001</v>
      </c>
      <c r="G397" s="15">
        <f>G390</f>
        <v>41671</v>
      </c>
      <c r="H397" s="27" t="str">
        <f>H390</f>
        <v>10083</v>
      </c>
      <c r="O397" s="28"/>
      <c r="S397" s="16"/>
    </row>
    <row r="398" spans="1:19" ht="12.75" hidden="1" outlineLevel="2" collapsed="1">
      <c r="A398" s="25" t="s">
        <v>91</v>
      </c>
      <c r="C398" s="4" t="str">
        <f t="shared" si="545"/>
        <v>John</v>
      </c>
      <c r="D398" s="4" t="str">
        <f t="shared" si="546"/>
        <v>Chen</v>
      </c>
      <c r="E398" s="27" t="str">
        <f t="shared" si="503"/>
        <v>SALES</v>
      </c>
      <c r="F398" s="27" t="str">
        <f t="shared" si="547"/>
        <v>CHEN0001</v>
      </c>
      <c r="G398" s="15">
        <f t="shared" si="550"/>
        <v>41671</v>
      </c>
      <c r="H398" s="27" t="str">
        <f t="shared" si="551"/>
        <v>10083</v>
      </c>
      <c r="N398" s="44" t="str">
        <f>"Total for " &amp; $H398</f>
        <v>Total for 10083</v>
      </c>
      <c r="O398" s="45">
        <f>G398</f>
        <v>41671</v>
      </c>
      <c r="P398" s="44"/>
      <c r="Q398" s="44"/>
      <c r="R398" s="44"/>
      <c r="S398" s="44">
        <f>SUBTOTAL(9,S390:S397)</f>
        <v>785.69</v>
      </c>
    </row>
    <row r="399" spans="1:19" ht="12.75" hidden="1" outlineLevel="3">
      <c r="A399" s="25" t="s">
        <v>91</v>
      </c>
      <c r="C399" s="4" t="str">
        <f t="shared" ref="C399:C407" si="558">C398</f>
        <v>John</v>
      </c>
      <c r="D399" s="4" t="str">
        <f t="shared" ref="D399:D407" si="559">D398</f>
        <v>Chen</v>
      </c>
      <c r="E399" s="27" t="str">
        <f t="shared" ref="E399:E407" si="560">E398</f>
        <v>SALES</v>
      </c>
      <c r="F399" s="27" t="str">
        <f t="shared" ref="F399:F407" si="561">F398</f>
        <v>CHEN0001</v>
      </c>
      <c r="G399" s="15">
        <f t="shared" ref="G399" si="562">O399</f>
        <v>41699</v>
      </c>
      <c r="H399" s="27" t="str">
        <f t="shared" ref="H399" si="563">N399</f>
        <v>10108</v>
      </c>
      <c r="J399" s="33"/>
      <c r="K399" s="33"/>
      <c r="L399" s="33"/>
      <c r="M399" s="33"/>
      <c r="N399" s="32" t="str">
        <f>"10108"</f>
        <v>10108</v>
      </c>
      <c r="O399" s="36">
        <v>41699</v>
      </c>
      <c r="P399" s="33"/>
      <c r="Q399" s="33"/>
      <c r="R399" s="33"/>
      <c r="S399" s="33"/>
    </row>
    <row r="400" spans="1:19" hidden="1" outlineLevel="3">
      <c r="A400" s="25" t="s">
        <v>91</v>
      </c>
      <c r="C400" s="4" t="str">
        <f t="shared" si="558"/>
        <v>John</v>
      </c>
      <c r="D400" s="4" t="str">
        <f t="shared" si="559"/>
        <v>Chen</v>
      </c>
      <c r="E400" s="27" t="str">
        <f t="shared" si="560"/>
        <v>SALES</v>
      </c>
      <c r="F400" s="27" t="str">
        <f t="shared" si="561"/>
        <v>CHEN0001</v>
      </c>
      <c r="G400" s="15">
        <f t="shared" ref="G400:G407" si="564">G399</f>
        <v>41699</v>
      </c>
      <c r="H400" s="27" t="str">
        <f t="shared" ref="H400:H407" si="565">H399</f>
        <v>10108</v>
      </c>
      <c r="I400" s="27" t="str">
        <f>"""GP Direct"",""Fabrikam, Inc."",""Jet Payroll Transactions"",""Pay Rate"",""0.00000"",""Payroll Code"",""401K"",""State"","""",""Transaction Amount"",""1.04000"""</f>
        <v>"GP Direct","Fabrikam, Inc.","Jet Payroll Transactions","Pay Rate","0.00000","Payroll Code","401K","State","","Transaction Amount","1.04000"</v>
      </c>
      <c r="O400" s="28"/>
      <c r="P400" s="37">
        <v>0</v>
      </c>
      <c r="Q400" s="38" t="str">
        <f>"401K"</f>
        <v>401K</v>
      </c>
      <c r="R400" s="39"/>
      <c r="S400" s="37">
        <v>1.04</v>
      </c>
    </row>
    <row r="401" spans="1:19" hidden="1" outlineLevel="3">
      <c r="A401" s="25" t="s">
        <v>91</v>
      </c>
      <c r="C401" s="4" t="str">
        <f t="shared" ref="C401:C405" si="566">C400</f>
        <v>John</v>
      </c>
      <c r="D401" s="4" t="str">
        <f t="shared" ref="D401:D405" si="567">D400</f>
        <v>Chen</v>
      </c>
      <c r="E401" s="27" t="str">
        <f t="shared" ref="E401:E405" si="568">E400</f>
        <v>SALES</v>
      </c>
      <c r="F401" s="27" t="str">
        <f t="shared" ref="F401:F405" si="569">F400</f>
        <v>CHEN0001</v>
      </c>
      <c r="G401" s="15">
        <f t="shared" ref="G401:G405" si="570">G400</f>
        <v>41699</v>
      </c>
      <c r="H401" s="27" t="str">
        <f t="shared" ref="H401:H405" si="571">H400</f>
        <v>10108</v>
      </c>
      <c r="I401" s="27" t="str">
        <f>"""GP Direct"",""Fabrikam, Inc."",""Jet Payroll Transactions"",""Pay Rate"",""0.00000"",""Payroll Code"",""401K"",""State"","""",""Transaction Amount"",""20.75000"""</f>
        <v>"GP Direct","Fabrikam, Inc.","Jet Payroll Transactions","Pay Rate","0.00000","Payroll Code","401K","State","","Transaction Amount","20.75000"</v>
      </c>
      <c r="O401" s="28"/>
      <c r="P401" s="37">
        <v>0</v>
      </c>
      <c r="Q401" s="38" t="str">
        <f>"401K"</f>
        <v>401K</v>
      </c>
      <c r="R401" s="39"/>
      <c r="S401" s="37">
        <v>20.75</v>
      </c>
    </row>
    <row r="402" spans="1:19" hidden="1" outlineLevel="3">
      <c r="A402" s="25" t="s">
        <v>91</v>
      </c>
      <c r="C402" s="4" t="str">
        <f t="shared" si="566"/>
        <v>John</v>
      </c>
      <c r="D402" s="4" t="str">
        <f t="shared" si="567"/>
        <v>Chen</v>
      </c>
      <c r="E402" s="27" t="str">
        <f t="shared" si="568"/>
        <v>SALES</v>
      </c>
      <c r="F402" s="27" t="str">
        <f t="shared" si="569"/>
        <v>CHEN0001</v>
      </c>
      <c r="G402" s="15">
        <f t="shared" si="570"/>
        <v>41699</v>
      </c>
      <c r="H402" s="27" t="str">
        <f t="shared" si="571"/>
        <v>10108</v>
      </c>
      <c r="I402" s="27" t="str">
        <f>"""GP Direct"",""Fabrikam, Inc."",""Jet Payroll Transactions"",""Pay Rate"",""0.00000"",""Payroll Code"",""IL"",""State"","""",""Transaction Amount"",""18.72000"""</f>
        <v>"GP Direct","Fabrikam, Inc.","Jet Payroll Transactions","Pay Rate","0.00000","Payroll Code","IL","State","","Transaction Amount","18.72000"</v>
      </c>
      <c r="O402" s="28"/>
      <c r="P402" s="37">
        <v>0</v>
      </c>
      <c r="Q402" s="38" t="str">
        <f>"IL"</f>
        <v>IL</v>
      </c>
      <c r="R402" s="39"/>
      <c r="S402" s="37">
        <v>18.72</v>
      </c>
    </row>
    <row r="403" spans="1:19" hidden="1" outlineLevel="3">
      <c r="A403" s="25" t="s">
        <v>91</v>
      </c>
      <c r="C403" s="4" t="str">
        <f t="shared" si="566"/>
        <v>John</v>
      </c>
      <c r="D403" s="4" t="str">
        <f t="shared" si="567"/>
        <v>Chen</v>
      </c>
      <c r="E403" s="27" t="str">
        <f t="shared" si="568"/>
        <v>SALES</v>
      </c>
      <c r="F403" s="27" t="str">
        <f t="shared" si="569"/>
        <v>CHEN0001</v>
      </c>
      <c r="G403" s="15">
        <f t="shared" si="570"/>
        <v>41699</v>
      </c>
      <c r="H403" s="27" t="str">
        <f t="shared" si="571"/>
        <v>10108</v>
      </c>
      <c r="I403" s="27" t="str">
        <f>"""GP Direct"",""Fabrikam, Inc."",""Jet Payroll Transactions"",""Pay Rate"",""0.00000"",""Payroll Code"",""INS"",""State"","""",""Transaction Amount"",""49.36000"""</f>
        <v>"GP Direct","Fabrikam, Inc.","Jet Payroll Transactions","Pay Rate","0.00000","Payroll Code","INS","State","","Transaction Amount","49.36000"</v>
      </c>
      <c r="O403" s="28"/>
      <c r="P403" s="37">
        <v>0</v>
      </c>
      <c r="Q403" s="38" t="str">
        <f>"INS"</f>
        <v>INS</v>
      </c>
      <c r="R403" s="39"/>
      <c r="S403" s="37">
        <v>49.36</v>
      </c>
    </row>
    <row r="404" spans="1:19" hidden="1" outlineLevel="3">
      <c r="A404" s="25" t="s">
        <v>91</v>
      </c>
      <c r="C404" s="4" t="str">
        <f t="shared" si="566"/>
        <v>John</v>
      </c>
      <c r="D404" s="4" t="str">
        <f t="shared" si="567"/>
        <v>Chen</v>
      </c>
      <c r="E404" s="27" t="str">
        <f t="shared" si="568"/>
        <v>SALES</v>
      </c>
      <c r="F404" s="27" t="str">
        <f t="shared" si="569"/>
        <v>CHEN0001</v>
      </c>
      <c r="G404" s="15">
        <f t="shared" si="570"/>
        <v>41699</v>
      </c>
      <c r="H404" s="27" t="str">
        <f t="shared" si="571"/>
        <v>10108</v>
      </c>
      <c r="I404" s="27" t="str">
        <f>"""GP Direct"",""Fabrikam, Inc."",""Jet Payroll Transactions"",""Pay Rate"",""0.00000"",""Payroll Code"",""MED"",""State"","""",""Transaction Amount"",""5.00000"""</f>
        <v>"GP Direct","Fabrikam, Inc.","Jet Payroll Transactions","Pay Rate","0.00000","Payroll Code","MED","State","","Transaction Amount","5.00000"</v>
      </c>
      <c r="O404" s="28"/>
      <c r="P404" s="37">
        <v>0</v>
      </c>
      <c r="Q404" s="38" t="str">
        <f>"MED"</f>
        <v>MED</v>
      </c>
      <c r="R404" s="39"/>
      <c r="S404" s="37">
        <v>5</v>
      </c>
    </row>
    <row r="405" spans="1:19" hidden="1" outlineLevel="3">
      <c r="A405" s="25" t="s">
        <v>91</v>
      </c>
      <c r="C405" s="4" t="str">
        <f t="shared" si="566"/>
        <v>John</v>
      </c>
      <c r="D405" s="4" t="str">
        <f t="shared" si="567"/>
        <v>Chen</v>
      </c>
      <c r="E405" s="27" t="str">
        <f t="shared" si="568"/>
        <v>SALES</v>
      </c>
      <c r="F405" s="27" t="str">
        <f t="shared" si="569"/>
        <v>CHEN0001</v>
      </c>
      <c r="G405" s="15">
        <f t="shared" si="570"/>
        <v>41699</v>
      </c>
      <c r="H405" s="27" t="str">
        <f t="shared" si="571"/>
        <v>10108</v>
      </c>
      <c r="I405" s="27" t="str">
        <f>"""GP Direct"",""Fabrikam, Inc."",""Jet Payroll Transactions"",""Pay Rate"",""16596.00000"",""Payroll Code"",""SALY"",""State"",""IL"",""Transaction Amount"",""691.50000"""</f>
        <v>"GP Direct","Fabrikam, Inc.","Jet Payroll Transactions","Pay Rate","16596.00000","Payroll Code","SALY","State","IL","Transaction Amount","691.50000"</v>
      </c>
      <c r="O405" s="28"/>
      <c r="P405" s="37">
        <v>16596</v>
      </c>
      <c r="Q405" s="38" t="str">
        <f>"SALY"</f>
        <v>SALY</v>
      </c>
      <c r="R405" s="39" t="str">
        <f>"IL"</f>
        <v>IL</v>
      </c>
      <c r="S405" s="37">
        <v>691.5</v>
      </c>
    </row>
    <row r="406" spans="1:19" hidden="1" outlineLevel="3">
      <c r="A406" s="24" t="s">
        <v>2812</v>
      </c>
      <c r="C406" s="4" t="str">
        <f>C400</f>
        <v>John</v>
      </c>
      <c r="D406" s="4" t="str">
        <f>D400</f>
        <v>Chen</v>
      </c>
      <c r="E406" s="27" t="str">
        <f>E400</f>
        <v>SALES</v>
      </c>
      <c r="F406" s="27" t="str">
        <f>F400</f>
        <v>CHEN0001</v>
      </c>
      <c r="G406" s="15">
        <f>G400</f>
        <v>41699</v>
      </c>
      <c r="H406" s="27" t="str">
        <f>H400</f>
        <v>10108</v>
      </c>
      <c r="O406" s="28"/>
      <c r="S406" s="16"/>
    </row>
    <row r="407" spans="1:19" ht="12.75" hidden="1" outlineLevel="2" collapsed="1">
      <c r="A407" s="25" t="s">
        <v>91</v>
      </c>
      <c r="C407" s="4" t="str">
        <f t="shared" si="558"/>
        <v>John</v>
      </c>
      <c r="D407" s="4" t="str">
        <f t="shared" si="559"/>
        <v>Chen</v>
      </c>
      <c r="E407" s="27" t="str">
        <f t="shared" si="560"/>
        <v>SALES</v>
      </c>
      <c r="F407" s="27" t="str">
        <f t="shared" si="561"/>
        <v>CHEN0001</v>
      </c>
      <c r="G407" s="15">
        <f t="shared" si="564"/>
        <v>41699</v>
      </c>
      <c r="H407" s="27" t="str">
        <f t="shared" si="565"/>
        <v>10108</v>
      </c>
      <c r="N407" s="44" t="str">
        <f>"Total for " &amp; $H407</f>
        <v>Total for 10108</v>
      </c>
      <c r="O407" s="45">
        <f>G407</f>
        <v>41699</v>
      </c>
      <c r="P407" s="44"/>
      <c r="Q407" s="44"/>
      <c r="R407" s="44"/>
      <c r="S407" s="44">
        <f>SUBTOTAL(9,S400:S406)</f>
        <v>786.37</v>
      </c>
    </row>
    <row r="408" spans="1:19" ht="12.75" hidden="1" outlineLevel="2">
      <c r="A408" s="24" t="s">
        <v>2812</v>
      </c>
      <c r="C408" s="4" t="str">
        <f>C398</f>
        <v>John</v>
      </c>
      <c r="D408" s="4" t="str">
        <f>D398</f>
        <v>Chen</v>
      </c>
      <c r="E408" s="27" t="str">
        <f>E398</f>
        <v>SALES</v>
      </c>
      <c r="F408" s="27" t="str">
        <f>F398</f>
        <v>CHEN0001</v>
      </c>
      <c r="G408" s="14"/>
      <c r="J408" s="33"/>
      <c r="K408" s="33"/>
      <c r="L408" s="33"/>
      <c r="M408" s="33"/>
      <c r="N408" s="33"/>
      <c r="O408" s="33"/>
      <c r="P408" s="33"/>
      <c r="Q408" s="33"/>
      <c r="R408" s="33"/>
      <c r="S408" s="40"/>
    </row>
    <row r="409" spans="1:19" ht="12.75" hidden="1" outlineLevel="1" collapsed="1">
      <c r="A409" s="25" t="s">
        <v>91</v>
      </c>
      <c r="C409" s="4" t="str">
        <f t="shared" si="545"/>
        <v>John</v>
      </c>
      <c r="D409" s="4" t="str">
        <f t="shared" si="546"/>
        <v>Chen</v>
      </c>
      <c r="E409" s="27" t="str">
        <f t="shared" si="503"/>
        <v>SALES</v>
      </c>
      <c r="F409" s="27" t="str">
        <f t="shared" si="547"/>
        <v>CHEN0001</v>
      </c>
      <c r="G409" s="14"/>
      <c r="J409" s="33"/>
      <c r="K409" s="46" t="str">
        <f>"Total for " &amp; $F409</f>
        <v>Total for CHEN0001</v>
      </c>
      <c r="L409" s="46" t="str">
        <f>C409</f>
        <v>John</v>
      </c>
      <c r="M409" s="46" t="str">
        <f>D409</f>
        <v>Chen</v>
      </c>
      <c r="N409" s="46"/>
      <c r="O409" s="46"/>
      <c r="P409" s="46"/>
      <c r="Q409" s="46"/>
      <c r="R409" s="46"/>
      <c r="S409" s="47">
        <f>SUBTOTAL(9,S390:S408)</f>
        <v>1572.06</v>
      </c>
    </row>
    <row r="410" spans="1:19" ht="12.75" hidden="1" outlineLevel="2">
      <c r="A410" s="25" t="s">
        <v>91</v>
      </c>
      <c r="C410" s="4" t="str">
        <f t="shared" ref="C410" si="572">L410</f>
        <v>Gregory</v>
      </c>
      <c r="D410" s="4" t="str">
        <f t="shared" ref="D410" si="573">M410</f>
        <v>Erickson</v>
      </c>
      <c r="E410" s="27" t="str">
        <f t="shared" si="503"/>
        <v>SALES</v>
      </c>
      <c r="F410" s="27" t="str">
        <f t="shared" ref="F410" si="574">K410</f>
        <v>ERIC0001</v>
      </c>
      <c r="G410" s="14"/>
      <c r="J410" s="31"/>
      <c r="K410" s="21" t="str">
        <f>"ERIC0001"</f>
        <v>ERIC0001</v>
      </c>
      <c r="L410" s="43" t="str">
        <f>"Gregory"</f>
        <v>Gregory</v>
      </c>
      <c r="M410" s="43" t="str">
        <f>"Erickson"</f>
        <v>Erickson</v>
      </c>
      <c r="N410" s="43"/>
      <c r="O410" s="34"/>
      <c r="P410" s="33"/>
      <c r="Q410" s="33"/>
      <c r="R410" s="33"/>
      <c r="S410" s="35"/>
    </row>
    <row r="411" spans="1:19" ht="12.75" hidden="1" outlineLevel="3">
      <c r="A411" s="25" t="s">
        <v>91</v>
      </c>
      <c r="C411" s="4" t="str">
        <f t="shared" ref="C411:C435" si="575">C410</f>
        <v>Gregory</v>
      </c>
      <c r="D411" s="4" t="str">
        <f t="shared" ref="D411:D435" si="576">D410</f>
        <v>Erickson</v>
      </c>
      <c r="E411" s="27" t="str">
        <f t="shared" si="503"/>
        <v>SALES</v>
      </c>
      <c r="F411" s="27" t="str">
        <f t="shared" ref="F411:F435" si="577">F410</f>
        <v>ERIC0001</v>
      </c>
      <c r="G411" s="15">
        <f t="shared" ref="G411" si="578">O411</f>
        <v>41671</v>
      </c>
      <c r="H411" s="27" t="str">
        <f t="shared" ref="H411" si="579">N411</f>
        <v>10088</v>
      </c>
      <c r="J411" s="33"/>
      <c r="K411" s="33"/>
      <c r="L411" s="33"/>
      <c r="M411" s="33"/>
      <c r="N411" s="32" t="str">
        <f>"10088"</f>
        <v>10088</v>
      </c>
      <c r="O411" s="36">
        <v>41671</v>
      </c>
      <c r="P411" s="33"/>
      <c r="Q411" s="33"/>
      <c r="R411" s="33"/>
      <c r="S411" s="33"/>
    </row>
    <row r="412" spans="1:19" hidden="1" outlineLevel="3">
      <c r="A412" s="25" t="s">
        <v>91</v>
      </c>
      <c r="C412" s="4" t="str">
        <f t="shared" si="575"/>
        <v>Gregory</v>
      </c>
      <c r="D412" s="4" t="str">
        <f t="shared" si="576"/>
        <v>Erickson</v>
      </c>
      <c r="E412" s="27" t="str">
        <f t="shared" si="503"/>
        <v>SALES</v>
      </c>
      <c r="F412" s="27" t="str">
        <f t="shared" si="577"/>
        <v>ERIC0001</v>
      </c>
      <c r="G412" s="15">
        <f t="shared" ref="G412:G419" si="580">G411</f>
        <v>41671</v>
      </c>
      <c r="H412" s="27" t="str">
        <f t="shared" ref="H412:H419" si="581">H411</f>
        <v>10088</v>
      </c>
      <c r="I412" s="27" t="str">
        <f>"""GP Direct"",""Fabrikam, Inc."",""Jet Payroll Transactions"",""Pay Rate"",""0.00000"",""Payroll Code"",""401K"",""State"","""",""Transaction Amount"",""1.50000"""</f>
        <v>"GP Direct","Fabrikam, Inc.","Jet Payroll Transactions","Pay Rate","0.00000","Payroll Code","401K","State","","Transaction Amount","1.50000"</v>
      </c>
      <c r="O412" s="28"/>
      <c r="P412" s="37">
        <v>0</v>
      </c>
      <c r="Q412" s="38" t="str">
        <f>"401K"</f>
        <v>401K</v>
      </c>
      <c r="R412" s="39"/>
      <c r="S412" s="37">
        <v>1.5</v>
      </c>
    </row>
    <row r="413" spans="1:19" hidden="1" outlineLevel="3">
      <c r="A413" s="25" t="s">
        <v>91</v>
      </c>
      <c r="C413" s="4" t="str">
        <f t="shared" ref="C413:C417" si="582">C412</f>
        <v>Gregory</v>
      </c>
      <c r="D413" s="4" t="str">
        <f t="shared" ref="D413:D417" si="583">D412</f>
        <v>Erickson</v>
      </c>
      <c r="E413" s="27" t="str">
        <f t="shared" ref="E413:E417" si="584">E412</f>
        <v>SALES</v>
      </c>
      <c r="F413" s="27" t="str">
        <f t="shared" ref="F413:F417" si="585">F412</f>
        <v>ERIC0001</v>
      </c>
      <c r="G413" s="15">
        <f t="shared" ref="G413:G417" si="586">G412</f>
        <v>41671</v>
      </c>
      <c r="H413" s="27" t="str">
        <f t="shared" ref="H413:H417" si="587">H412</f>
        <v>10088</v>
      </c>
      <c r="I413" s="27" t="str">
        <f>"""GP Direct"",""Fabrikam, Inc."",""Jet Payroll Transactions"",""Pay Rate"",""0.00000"",""Payroll Code"",""401K"",""State"","""",""Transaction Amount"",""30.00000"""</f>
        <v>"GP Direct","Fabrikam, Inc.","Jet Payroll Transactions","Pay Rate","0.00000","Payroll Code","401K","State","","Transaction Amount","30.00000"</v>
      </c>
      <c r="O413" s="28"/>
      <c r="P413" s="37">
        <v>0</v>
      </c>
      <c r="Q413" s="38" t="str">
        <f>"401K"</f>
        <v>401K</v>
      </c>
      <c r="R413" s="39"/>
      <c r="S413" s="37">
        <v>30</v>
      </c>
    </row>
    <row r="414" spans="1:19" hidden="1" outlineLevel="3">
      <c r="A414" s="25" t="s">
        <v>91</v>
      </c>
      <c r="C414" s="4" t="str">
        <f t="shared" si="582"/>
        <v>Gregory</v>
      </c>
      <c r="D414" s="4" t="str">
        <f t="shared" si="583"/>
        <v>Erickson</v>
      </c>
      <c r="E414" s="27" t="str">
        <f t="shared" si="584"/>
        <v>SALES</v>
      </c>
      <c r="F414" s="27" t="str">
        <f t="shared" si="585"/>
        <v>ERIC0001</v>
      </c>
      <c r="G414" s="15">
        <f t="shared" si="586"/>
        <v>41671</v>
      </c>
      <c r="H414" s="27" t="str">
        <f t="shared" si="587"/>
        <v>10088</v>
      </c>
      <c r="I414" s="27" t="str">
        <f>"""GP Direct"",""Fabrikam, Inc."",""Jet Payroll Transactions"",""Pay Rate"",""0.00000"",""Payroll Code"",""IN"",""State"","""",""Transaction Amount"",""31.39000"""</f>
        <v>"GP Direct","Fabrikam, Inc.","Jet Payroll Transactions","Pay Rate","0.00000","Payroll Code","IN","State","","Transaction Amount","31.39000"</v>
      </c>
      <c r="O414" s="28"/>
      <c r="P414" s="37">
        <v>0</v>
      </c>
      <c r="Q414" s="38" t="str">
        <f>"IN"</f>
        <v>IN</v>
      </c>
      <c r="R414" s="39"/>
      <c r="S414" s="37">
        <v>31.39</v>
      </c>
    </row>
    <row r="415" spans="1:19" hidden="1" outlineLevel="3">
      <c r="A415" s="25" t="s">
        <v>91</v>
      </c>
      <c r="C415" s="4" t="str">
        <f t="shared" si="582"/>
        <v>Gregory</v>
      </c>
      <c r="D415" s="4" t="str">
        <f t="shared" si="583"/>
        <v>Erickson</v>
      </c>
      <c r="E415" s="27" t="str">
        <f t="shared" si="584"/>
        <v>SALES</v>
      </c>
      <c r="F415" s="27" t="str">
        <f t="shared" si="585"/>
        <v>ERIC0001</v>
      </c>
      <c r="G415" s="15">
        <f t="shared" si="586"/>
        <v>41671</v>
      </c>
      <c r="H415" s="27" t="str">
        <f t="shared" si="587"/>
        <v>10088</v>
      </c>
      <c r="I415" s="27" t="str">
        <f>"""GP Direct"",""Fabrikam, Inc."",""Jet Payroll Transactions"",""Pay Rate"",""0.00000"",""Payroll Code"",""INS"",""State"","""",""Transaction Amount"",""49.36000"""</f>
        <v>"GP Direct","Fabrikam, Inc.","Jet Payroll Transactions","Pay Rate","0.00000","Payroll Code","INS","State","","Transaction Amount","49.36000"</v>
      </c>
      <c r="O415" s="28"/>
      <c r="P415" s="37">
        <v>0</v>
      </c>
      <c r="Q415" s="38" t="str">
        <f>"INS"</f>
        <v>INS</v>
      </c>
      <c r="R415" s="39"/>
      <c r="S415" s="37">
        <v>49.36</v>
      </c>
    </row>
    <row r="416" spans="1:19" hidden="1" outlineLevel="3">
      <c r="A416" s="25" t="s">
        <v>91</v>
      </c>
      <c r="C416" s="4" t="str">
        <f t="shared" si="582"/>
        <v>Gregory</v>
      </c>
      <c r="D416" s="4" t="str">
        <f t="shared" si="583"/>
        <v>Erickson</v>
      </c>
      <c r="E416" s="27" t="str">
        <f t="shared" si="584"/>
        <v>SALES</v>
      </c>
      <c r="F416" s="27" t="str">
        <f t="shared" si="585"/>
        <v>ERIC0001</v>
      </c>
      <c r="G416" s="15">
        <f t="shared" si="586"/>
        <v>41671</v>
      </c>
      <c r="H416" s="27" t="str">
        <f t="shared" si="587"/>
        <v>10088</v>
      </c>
      <c r="I416" s="27" t="str">
        <f>"""GP Direct"",""Fabrikam, Inc."",""Jet Payroll Transactions"",""Pay Rate"",""0.00000"",""Payroll Code"",""MED"",""State"","""",""Transaction Amount"",""5.00000"""</f>
        <v>"GP Direct","Fabrikam, Inc.","Jet Payroll Transactions","Pay Rate","0.00000","Payroll Code","MED","State","","Transaction Amount","5.00000"</v>
      </c>
      <c r="O416" s="28"/>
      <c r="P416" s="37">
        <v>0</v>
      </c>
      <c r="Q416" s="38" t="str">
        <f>"MED"</f>
        <v>MED</v>
      </c>
      <c r="R416" s="39"/>
      <c r="S416" s="37">
        <v>5</v>
      </c>
    </row>
    <row r="417" spans="1:19" hidden="1" outlineLevel="3">
      <c r="A417" s="25" t="s">
        <v>91</v>
      </c>
      <c r="C417" s="4" t="str">
        <f t="shared" si="582"/>
        <v>Gregory</v>
      </c>
      <c r="D417" s="4" t="str">
        <f t="shared" si="583"/>
        <v>Erickson</v>
      </c>
      <c r="E417" s="27" t="str">
        <f t="shared" si="584"/>
        <v>SALES</v>
      </c>
      <c r="F417" s="27" t="str">
        <f t="shared" si="585"/>
        <v>ERIC0001</v>
      </c>
      <c r="G417" s="15">
        <f t="shared" si="586"/>
        <v>41671</v>
      </c>
      <c r="H417" s="27" t="str">
        <f t="shared" si="587"/>
        <v>10088</v>
      </c>
      <c r="I417" s="27" t="str">
        <f>"""GP Direct"",""Fabrikam, Inc."",""Jet Payroll Transactions"",""Pay Rate"",""24000.00000"",""Payroll Code"",""SALY"",""State"",""IN"",""Transaction Amount"",""1000.00000"""</f>
        <v>"GP Direct","Fabrikam, Inc.","Jet Payroll Transactions","Pay Rate","24000.00000","Payroll Code","SALY","State","IN","Transaction Amount","1000.00000"</v>
      </c>
      <c r="O417" s="28"/>
      <c r="P417" s="37">
        <v>24000</v>
      </c>
      <c r="Q417" s="38" t="str">
        <f>"SALY"</f>
        <v>SALY</v>
      </c>
      <c r="R417" s="39" t="str">
        <f>"IN"</f>
        <v>IN</v>
      </c>
      <c r="S417" s="37">
        <v>1000</v>
      </c>
    </row>
    <row r="418" spans="1:19" hidden="1" outlineLevel="3">
      <c r="A418" s="24" t="s">
        <v>2812</v>
      </c>
      <c r="C418" s="4" t="str">
        <f>C412</f>
        <v>Gregory</v>
      </c>
      <c r="D418" s="4" t="str">
        <f>D412</f>
        <v>Erickson</v>
      </c>
      <c r="E418" s="27" t="str">
        <f>E412</f>
        <v>SALES</v>
      </c>
      <c r="F418" s="27" t="str">
        <f>F412</f>
        <v>ERIC0001</v>
      </c>
      <c r="G418" s="15">
        <f>G412</f>
        <v>41671</v>
      </c>
      <c r="H418" s="27" t="str">
        <f>H412</f>
        <v>10088</v>
      </c>
      <c r="O418" s="28"/>
      <c r="S418" s="16"/>
    </row>
    <row r="419" spans="1:19" ht="12.75" hidden="1" outlineLevel="2" collapsed="1">
      <c r="A419" s="25" t="s">
        <v>91</v>
      </c>
      <c r="C419" s="4" t="str">
        <f t="shared" si="575"/>
        <v>Gregory</v>
      </c>
      <c r="D419" s="4" t="str">
        <f t="shared" si="576"/>
        <v>Erickson</v>
      </c>
      <c r="E419" s="27" t="str">
        <f t="shared" si="503"/>
        <v>SALES</v>
      </c>
      <c r="F419" s="27" t="str">
        <f t="shared" si="577"/>
        <v>ERIC0001</v>
      </c>
      <c r="G419" s="15">
        <f t="shared" si="580"/>
        <v>41671</v>
      </c>
      <c r="H419" s="27" t="str">
        <f t="shared" si="581"/>
        <v>10088</v>
      </c>
      <c r="N419" s="44" t="str">
        <f>"Total for " &amp; $H419</f>
        <v>Total for 10088</v>
      </c>
      <c r="O419" s="45">
        <f>G419</f>
        <v>41671</v>
      </c>
      <c r="P419" s="44"/>
      <c r="Q419" s="44"/>
      <c r="R419" s="44"/>
      <c r="S419" s="44">
        <f>SUBTOTAL(9,S412:S418)</f>
        <v>1117.25</v>
      </c>
    </row>
    <row r="420" spans="1:19" ht="12.75" hidden="1" outlineLevel="3">
      <c r="A420" s="25" t="s">
        <v>91</v>
      </c>
      <c r="C420" s="4" t="str">
        <f t="shared" ref="C420:C433" si="588">C419</f>
        <v>Gregory</v>
      </c>
      <c r="D420" s="4" t="str">
        <f t="shared" ref="D420:D433" si="589">D419</f>
        <v>Erickson</v>
      </c>
      <c r="E420" s="27" t="str">
        <f t="shared" ref="E420:E433" si="590">E419</f>
        <v>SALES</v>
      </c>
      <c r="F420" s="27" t="str">
        <f t="shared" ref="F420:F433" si="591">F419</f>
        <v>ERIC0001</v>
      </c>
      <c r="G420" s="15">
        <f t="shared" ref="G420" si="592">O420</f>
        <v>41699</v>
      </c>
      <c r="H420" s="27" t="str">
        <f t="shared" ref="H420" si="593">N420</f>
        <v>10113</v>
      </c>
      <c r="J420" s="33"/>
      <c r="K420" s="33"/>
      <c r="L420" s="33"/>
      <c r="M420" s="33"/>
      <c r="N420" s="32" t="str">
        <f>"10113"</f>
        <v>10113</v>
      </c>
      <c r="O420" s="36">
        <v>41699</v>
      </c>
      <c r="P420" s="33"/>
      <c r="Q420" s="33"/>
      <c r="R420" s="33"/>
      <c r="S420" s="33"/>
    </row>
    <row r="421" spans="1:19" hidden="1" outlineLevel="3">
      <c r="A421" s="25" t="s">
        <v>91</v>
      </c>
      <c r="C421" s="4" t="str">
        <f t="shared" si="588"/>
        <v>Gregory</v>
      </c>
      <c r="D421" s="4" t="str">
        <f t="shared" si="589"/>
        <v>Erickson</v>
      </c>
      <c r="E421" s="27" t="str">
        <f t="shared" si="590"/>
        <v>SALES</v>
      </c>
      <c r="F421" s="27" t="str">
        <f t="shared" si="591"/>
        <v>ERIC0001</v>
      </c>
      <c r="G421" s="15">
        <f t="shared" ref="G421:G428" si="594">G420</f>
        <v>41699</v>
      </c>
      <c r="H421" s="27" t="str">
        <f t="shared" ref="H421:H428" si="595">H420</f>
        <v>10113</v>
      </c>
      <c r="I421" s="27" t="str">
        <f>"""GP Direct"",""Fabrikam, Inc."",""Jet Payroll Transactions"",""Pay Rate"",""0.00000"",""Payroll Code"",""401K"",""State"","""",""Transaction Amount"",""1.50000"""</f>
        <v>"GP Direct","Fabrikam, Inc.","Jet Payroll Transactions","Pay Rate","0.00000","Payroll Code","401K","State","","Transaction Amount","1.50000"</v>
      </c>
      <c r="O421" s="28"/>
      <c r="P421" s="37">
        <v>0</v>
      </c>
      <c r="Q421" s="38" t="str">
        <f>"401K"</f>
        <v>401K</v>
      </c>
      <c r="R421" s="39"/>
      <c r="S421" s="37">
        <v>1.5</v>
      </c>
    </row>
    <row r="422" spans="1:19" hidden="1" outlineLevel="3">
      <c r="A422" s="25" t="s">
        <v>91</v>
      </c>
      <c r="C422" s="4" t="str">
        <f t="shared" ref="C422:C426" si="596">C421</f>
        <v>Gregory</v>
      </c>
      <c r="D422" s="4" t="str">
        <f t="shared" ref="D422:D426" si="597">D421</f>
        <v>Erickson</v>
      </c>
      <c r="E422" s="27" t="str">
        <f t="shared" ref="E422:E426" si="598">E421</f>
        <v>SALES</v>
      </c>
      <c r="F422" s="27" t="str">
        <f t="shared" ref="F422:F426" si="599">F421</f>
        <v>ERIC0001</v>
      </c>
      <c r="G422" s="15">
        <f t="shared" ref="G422:G426" si="600">G421</f>
        <v>41699</v>
      </c>
      <c r="H422" s="27" t="str">
        <f t="shared" ref="H422:H426" si="601">H421</f>
        <v>10113</v>
      </c>
      <c r="I422" s="27" t="str">
        <f>"""GP Direct"",""Fabrikam, Inc."",""Jet Payroll Transactions"",""Pay Rate"",""0.00000"",""Payroll Code"",""401K"",""State"","""",""Transaction Amount"",""30.00000"""</f>
        <v>"GP Direct","Fabrikam, Inc.","Jet Payroll Transactions","Pay Rate","0.00000","Payroll Code","401K","State","","Transaction Amount","30.00000"</v>
      </c>
      <c r="O422" s="28"/>
      <c r="P422" s="37">
        <v>0</v>
      </c>
      <c r="Q422" s="38" t="str">
        <f>"401K"</f>
        <v>401K</v>
      </c>
      <c r="R422" s="39"/>
      <c r="S422" s="37">
        <v>30</v>
      </c>
    </row>
    <row r="423" spans="1:19" hidden="1" outlineLevel="3">
      <c r="A423" s="25" t="s">
        <v>91</v>
      </c>
      <c r="C423" s="4" t="str">
        <f t="shared" si="596"/>
        <v>Gregory</v>
      </c>
      <c r="D423" s="4" t="str">
        <f t="shared" si="597"/>
        <v>Erickson</v>
      </c>
      <c r="E423" s="27" t="str">
        <f t="shared" si="598"/>
        <v>SALES</v>
      </c>
      <c r="F423" s="27" t="str">
        <f t="shared" si="599"/>
        <v>ERIC0001</v>
      </c>
      <c r="G423" s="15">
        <f t="shared" si="600"/>
        <v>41699</v>
      </c>
      <c r="H423" s="27" t="str">
        <f t="shared" si="601"/>
        <v>10113</v>
      </c>
      <c r="I423" s="27" t="str">
        <f>"""GP Direct"",""Fabrikam, Inc."",""Jet Payroll Transactions"",""Pay Rate"",""0.00000"",""Payroll Code"",""IN"",""State"","""",""Transaction Amount"",""31.39000"""</f>
        <v>"GP Direct","Fabrikam, Inc.","Jet Payroll Transactions","Pay Rate","0.00000","Payroll Code","IN","State","","Transaction Amount","31.39000"</v>
      </c>
      <c r="O423" s="28"/>
      <c r="P423" s="37">
        <v>0</v>
      </c>
      <c r="Q423" s="38" t="str">
        <f>"IN"</f>
        <v>IN</v>
      </c>
      <c r="R423" s="39"/>
      <c r="S423" s="37">
        <v>31.39</v>
      </c>
    </row>
    <row r="424" spans="1:19" hidden="1" outlineLevel="3">
      <c r="A424" s="25" t="s">
        <v>91</v>
      </c>
      <c r="C424" s="4" t="str">
        <f t="shared" si="596"/>
        <v>Gregory</v>
      </c>
      <c r="D424" s="4" t="str">
        <f t="shared" si="597"/>
        <v>Erickson</v>
      </c>
      <c r="E424" s="27" t="str">
        <f t="shared" si="598"/>
        <v>SALES</v>
      </c>
      <c r="F424" s="27" t="str">
        <f t="shared" si="599"/>
        <v>ERIC0001</v>
      </c>
      <c r="G424" s="15">
        <f t="shared" si="600"/>
        <v>41699</v>
      </c>
      <c r="H424" s="27" t="str">
        <f t="shared" si="601"/>
        <v>10113</v>
      </c>
      <c r="I424" s="27" t="str">
        <f>"""GP Direct"",""Fabrikam, Inc."",""Jet Payroll Transactions"",""Pay Rate"",""0.00000"",""Payroll Code"",""INS"",""State"","""",""Transaction Amount"",""49.36000"""</f>
        <v>"GP Direct","Fabrikam, Inc.","Jet Payroll Transactions","Pay Rate","0.00000","Payroll Code","INS","State","","Transaction Amount","49.36000"</v>
      </c>
      <c r="O424" s="28"/>
      <c r="P424" s="37">
        <v>0</v>
      </c>
      <c r="Q424" s="38" t="str">
        <f>"INS"</f>
        <v>INS</v>
      </c>
      <c r="R424" s="39"/>
      <c r="S424" s="37">
        <v>49.36</v>
      </c>
    </row>
    <row r="425" spans="1:19" hidden="1" outlineLevel="3">
      <c r="A425" s="25" t="s">
        <v>91</v>
      </c>
      <c r="C425" s="4" t="str">
        <f t="shared" si="596"/>
        <v>Gregory</v>
      </c>
      <c r="D425" s="4" t="str">
        <f t="shared" si="597"/>
        <v>Erickson</v>
      </c>
      <c r="E425" s="27" t="str">
        <f t="shared" si="598"/>
        <v>SALES</v>
      </c>
      <c r="F425" s="27" t="str">
        <f t="shared" si="599"/>
        <v>ERIC0001</v>
      </c>
      <c r="G425" s="15">
        <f t="shared" si="600"/>
        <v>41699</v>
      </c>
      <c r="H425" s="27" t="str">
        <f t="shared" si="601"/>
        <v>10113</v>
      </c>
      <c r="I425" s="27" t="str">
        <f>"""GP Direct"",""Fabrikam, Inc."",""Jet Payroll Transactions"",""Pay Rate"",""0.00000"",""Payroll Code"",""MED"",""State"","""",""Transaction Amount"",""5.00000"""</f>
        <v>"GP Direct","Fabrikam, Inc.","Jet Payroll Transactions","Pay Rate","0.00000","Payroll Code","MED","State","","Transaction Amount","5.00000"</v>
      </c>
      <c r="O425" s="28"/>
      <c r="P425" s="37">
        <v>0</v>
      </c>
      <c r="Q425" s="38" t="str">
        <f>"MED"</f>
        <v>MED</v>
      </c>
      <c r="R425" s="39"/>
      <c r="S425" s="37">
        <v>5</v>
      </c>
    </row>
    <row r="426" spans="1:19" hidden="1" outlineLevel="3">
      <c r="A426" s="25" t="s">
        <v>91</v>
      </c>
      <c r="C426" s="4" t="str">
        <f t="shared" si="596"/>
        <v>Gregory</v>
      </c>
      <c r="D426" s="4" t="str">
        <f t="shared" si="597"/>
        <v>Erickson</v>
      </c>
      <c r="E426" s="27" t="str">
        <f t="shared" si="598"/>
        <v>SALES</v>
      </c>
      <c r="F426" s="27" t="str">
        <f t="shared" si="599"/>
        <v>ERIC0001</v>
      </c>
      <c r="G426" s="15">
        <f t="shared" si="600"/>
        <v>41699</v>
      </c>
      <c r="H426" s="27" t="str">
        <f t="shared" si="601"/>
        <v>10113</v>
      </c>
      <c r="I426" s="27" t="str">
        <f>"""GP Direct"",""Fabrikam, Inc."",""Jet Payroll Transactions"",""Pay Rate"",""24000.00000"",""Payroll Code"",""SALY"",""State"",""IN"",""Transaction Amount"",""1000.00000"""</f>
        <v>"GP Direct","Fabrikam, Inc.","Jet Payroll Transactions","Pay Rate","24000.00000","Payroll Code","SALY","State","IN","Transaction Amount","1000.00000"</v>
      </c>
      <c r="O426" s="28"/>
      <c r="P426" s="37">
        <v>24000</v>
      </c>
      <c r="Q426" s="38" t="str">
        <f>"SALY"</f>
        <v>SALY</v>
      </c>
      <c r="R426" s="39" t="str">
        <f>"IN"</f>
        <v>IN</v>
      </c>
      <c r="S426" s="37">
        <v>1000</v>
      </c>
    </row>
    <row r="427" spans="1:19" hidden="1" outlineLevel="3">
      <c r="A427" s="24" t="s">
        <v>2812</v>
      </c>
      <c r="C427" s="4" t="str">
        <f>C421</f>
        <v>Gregory</v>
      </c>
      <c r="D427" s="4" t="str">
        <f>D421</f>
        <v>Erickson</v>
      </c>
      <c r="E427" s="27" t="str">
        <f>E421</f>
        <v>SALES</v>
      </c>
      <c r="F427" s="27" t="str">
        <f>F421</f>
        <v>ERIC0001</v>
      </c>
      <c r="G427" s="15">
        <f>G421</f>
        <v>41699</v>
      </c>
      <c r="H427" s="27" t="str">
        <f>H421</f>
        <v>10113</v>
      </c>
      <c r="O427" s="28"/>
      <c r="S427" s="16"/>
    </row>
    <row r="428" spans="1:19" ht="12.75" hidden="1" outlineLevel="2" collapsed="1">
      <c r="A428" s="25" t="s">
        <v>91</v>
      </c>
      <c r="C428" s="4" t="str">
        <f t="shared" si="588"/>
        <v>Gregory</v>
      </c>
      <c r="D428" s="4" t="str">
        <f t="shared" si="589"/>
        <v>Erickson</v>
      </c>
      <c r="E428" s="27" t="str">
        <f t="shared" si="590"/>
        <v>SALES</v>
      </c>
      <c r="F428" s="27" t="str">
        <f t="shared" si="591"/>
        <v>ERIC0001</v>
      </c>
      <c r="G428" s="15">
        <f t="shared" si="594"/>
        <v>41699</v>
      </c>
      <c r="H428" s="27" t="str">
        <f t="shared" si="595"/>
        <v>10113</v>
      </c>
      <c r="N428" s="44" t="str">
        <f>"Total for " &amp; $H428</f>
        <v>Total for 10113</v>
      </c>
      <c r="O428" s="45">
        <f>G428</f>
        <v>41699</v>
      </c>
      <c r="P428" s="44"/>
      <c r="Q428" s="44"/>
      <c r="R428" s="44"/>
      <c r="S428" s="44">
        <f>SUBTOTAL(9,S421:S427)</f>
        <v>1117.25</v>
      </c>
    </row>
    <row r="429" spans="1:19" ht="12.75" hidden="1" outlineLevel="3">
      <c r="A429" s="25" t="s">
        <v>91</v>
      </c>
      <c r="C429" s="4" t="str">
        <f t="shared" si="588"/>
        <v>Gregory</v>
      </c>
      <c r="D429" s="4" t="str">
        <f t="shared" si="589"/>
        <v>Erickson</v>
      </c>
      <c r="E429" s="27" t="str">
        <f t="shared" si="590"/>
        <v>SALES</v>
      </c>
      <c r="F429" s="27" t="str">
        <f t="shared" si="591"/>
        <v>ERIC0001</v>
      </c>
      <c r="G429" s="15">
        <f t="shared" ref="G429" si="602">O429</f>
        <v>41640</v>
      </c>
      <c r="H429" s="27" t="str">
        <f t="shared" ref="H429" si="603">N429</f>
        <v>11600</v>
      </c>
      <c r="J429" s="33"/>
      <c r="K429" s="33"/>
      <c r="L429" s="33"/>
      <c r="M429" s="33"/>
      <c r="N429" s="32" t="str">
        <f>"11600"</f>
        <v>11600</v>
      </c>
      <c r="O429" s="36">
        <v>41640</v>
      </c>
      <c r="P429" s="33"/>
      <c r="Q429" s="33"/>
      <c r="R429" s="33"/>
      <c r="S429" s="33"/>
    </row>
    <row r="430" spans="1:19" hidden="1" outlineLevel="3">
      <c r="A430" s="25" t="s">
        <v>91</v>
      </c>
      <c r="C430" s="4" t="str">
        <f t="shared" si="588"/>
        <v>Gregory</v>
      </c>
      <c r="D430" s="4" t="str">
        <f t="shared" si="589"/>
        <v>Erickson</v>
      </c>
      <c r="E430" s="27" t="str">
        <f t="shared" si="590"/>
        <v>SALES</v>
      </c>
      <c r="F430" s="27" t="str">
        <f t="shared" si="591"/>
        <v>ERIC0001</v>
      </c>
      <c r="G430" s="15">
        <f t="shared" ref="G430:G433" si="604">G429</f>
        <v>41640</v>
      </c>
      <c r="H430" s="27" t="str">
        <f t="shared" ref="H430:H433" si="605">H429</f>
        <v>11600</v>
      </c>
      <c r="I430" s="27" t="str">
        <f>"""GP Direct"",""Fabrikam, Inc."",""Jet Payroll Transactions"",""Pay Rate"",""0.00000"",""Payroll Code"",""IN"",""State"","""",""Transaction Amount"",""187.28000"""</f>
        <v>"GP Direct","Fabrikam, Inc.","Jet Payroll Transactions","Pay Rate","0.00000","Payroll Code","IN","State","","Transaction Amount","187.28000"</v>
      </c>
      <c r="O430" s="28"/>
      <c r="P430" s="37">
        <v>0</v>
      </c>
      <c r="Q430" s="38" t="str">
        <f>"IN"</f>
        <v>IN</v>
      </c>
      <c r="R430" s="39"/>
      <c r="S430" s="37">
        <v>187.28</v>
      </c>
    </row>
    <row r="431" spans="1:19" hidden="1" outlineLevel="3">
      <c r="A431" s="25" t="s">
        <v>91</v>
      </c>
      <c r="C431" s="4" t="str">
        <f t="shared" ref="C431" si="606">C430</f>
        <v>Gregory</v>
      </c>
      <c r="D431" s="4" t="str">
        <f t="shared" ref="D431" si="607">D430</f>
        <v>Erickson</v>
      </c>
      <c r="E431" s="27" t="str">
        <f t="shared" ref="E431" si="608">E430</f>
        <v>SALES</v>
      </c>
      <c r="F431" s="27" t="str">
        <f t="shared" ref="F431" si="609">F430</f>
        <v>ERIC0001</v>
      </c>
      <c r="G431" s="15">
        <f t="shared" ref="G431" si="610">G430</f>
        <v>41640</v>
      </c>
      <c r="H431" s="27" t="str">
        <f t="shared" ref="H431" si="611">H430</f>
        <v>11600</v>
      </c>
      <c r="I431" s="27" t="str">
        <f>"""GP Direct"",""Fabrikam, Inc."",""Jet Payroll Transactions"",""Pay Rate"",""5550.00000"",""Payroll Code"",""COMM"",""State"",""IN"",""Transaction Amount"",""5550.00000"""</f>
        <v>"GP Direct","Fabrikam, Inc.","Jet Payroll Transactions","Pay Rate","5550.00000","Payroll Code","COMM","State","IN","Transaction Amount","5550.00000"</v>
      </c>
      <c r="O431" s="28"/>
      <c r="P431" s="37">
        <v>5550</v>
      </c>
      <c r="Q431" s="38" t="str">
        <f>"COMM"</f>
        <v>COMM</v>
      </c>
      <c r="R431" s="39" t="str">
        <f>"IN"</f>
        <v>IN</v>
      </c>
      <c r="S431" s="37">
        <v>5550</v>
      </c>
    </row>
    <row r="432" spans="1:19" hidden="1" outlineLevel="3">
      <c r="A432" s="24" t="s">
        <v>2812</v>
      </c>
      <c r="C432" s="4" t="str">
        <f>C430</f>
        <v>Gregory</v>
      </c>
      <c r="D432" s="4" t="str">
        <f>D430</f>
        <v>Erickson</v>
      </c>
      <c r="E432" s="27" t="str">
        <f>E430</f>
        <v>SALES</v>
      </c>
      <c r="F432" s="27" t="str">
        <f>F430</f>
        <v>ERIC0001</v>
      </c>
      <c r="G432" s="15">
        <f>G430</f>
        <v>41640</v>
      </c>
      <c r="H432" s="27" t="str">
        <f>H430</f>
        <v>11600</v>
      </c>
      <c r="O432" s="28"/>
      <c r="S432" s="16"/>
    </row>
    <row r="433" spans="1:19" ht="12.75" hidden="1" outlineLevel="2" collapsed="1">
      <c r="A433" s="25" t="s">
        <v>91</v>
      </c>
      <c r="C433" s="4" t="str">
        <f t="shared" si="588"/>
        <v>Gregory</v>
      </c>
      <c r="D433" s="4" t="str">
        <f t="shared" si="589"/>
        <v>Erickson</v>
      </c>
      <c r="E433" s="27" t="str">
        <f t="shared" si="590"/>
        <v>SALES</v>
      </c>
      <c r="F433" s="27" t="str">
        <f t="shared" si="591"/>
        <v>ERIC0001</v>
      </c>
      <c r="G433" s="15">
        <f t="shared" si="604"/>
        <v>41640</v>
      </c>
      <c r="H433" s="27" t="str">
        <f t="shared" si="605"/>
        <v>11600</v>
      </c>
      <c r="N433" s="44" t="str">
        <f>"Total for " &amp; $H433</f>
        <v>Total for 11600</v>
      </c>
      <c r="O433" s="45">
        <f>G433</f>
        <v>41640</v>
      </c>
      <c r="P433" s="44"/>
      <c r="Q433" s="44"/>
      <c r="R433" s="44"/>
      <c r="S433" s="44">
        <f>SUBTOTAL(9,S430:S432)</f>
        <v>5737.28</v>
      </c>
    </row>
    <row r="434" spans="1:19" ht="12.75" hidden="1" outlineLevel="2">
      <c r="A434" s="24" t="s">
        <v>2812</v>
      </c>
      <c r="C434" s="4" t="str">
        <f>C419</f>
        <v>Gregory</v>
      </c>
      <c r="D434" s="4" t="str">
        <f>D419</f>
        <v>Erickson</v>
      </c>
      <c r="E434" s="27" t="str">
        <f>E419</f>
        <v>SALES</v>
      </c>
      <c r="F434" s="27" t="str">
        <f>F419</f>
        <v>ERIC0001</v>
      </c>
      <c r="G434" s="14"/>
      <c r="J434" s="33"/>
      <c r="K434" s="33"/>
      <c r="L434" s="33"/>
      <c r="M434" s="33"/>
      <c r="N434" s="33"/>
      <c r="O434" s="33"/>
      <c r="P434" s="33"/>
      <c r="Q434" s="33"/>
      <c r="R434" s="33"/>
      <c r="S434" s="40"/>
    </row>
    <row r="435" spans="1:19" ht="12.75" hidden="1" outlineLevel="1" collapsed="1">
      <c r="A435" s="25" t="s">
        <v>91</v>
      </c>
      <c r="C435" s="4" t="str">
        <f t="shared" si="575"/>
        <v>Gregory</v>
      </c>
      <c r="D435" s="4" t="str">
        <f t="shared" si="576"/>
        <v>Erickson</v>
      </c>
      <c r="E435" s="27" t="str">
        <f t="shared" si="503"/>
        <v>SALES</v>
      </c>
      <c r="F435" s="27" t="str">
        <f t="shared" si="577"/>
        <v>ERIC0001</v>
      </c>
      <c r="G435" s="14"/>
      <c r="J435" s="33"/>
      <c r="K435" s="46" t="str">
        <f>"Total for " &amp; $F435</f>
        <v>Total for ERIC0001</v>
      </c>
      <c r="L435" s="46" t="str">
        <f>C435</f>
        <v>Gregory</v>
      </c>
      <c r="M435" s="46" t="str">
        <f>D435</f>
        <v>Erickson</v>
      </c>
      <c r="N435" s="46"/>
      <c r="O435" s="46"/>
      <c r="P435" s="46"/>
      <c r="Q435" s="46"/>
      <c r="R435" s="46"/>
      <c r="S435" s="47">
        <f>SUBTOTAL(9,S412:S434)</f>
        <v>7971.7800000000007</v>
      </c>
    </row>
    <row r="436" spans="1:19" ht="12.75" hidden="1" outlineLevel="2">
      <c r="A436" s="25" t="s">
        <v>91</v>
      </c>
      <c r="C436" s="4" t="str">
        <f t="shared" ref="C436" si="612">L436</f>
        <v>Kevin</v>
      </c>
      <c r="D436" s="4" t="str">
        <f t="shared" ref="D436" si="613">M436</f>
        <v>Kennedy</v>
      </c>
      <c r="E436" s="27" t="str">
        <f t="shared" si="503"/>
        <v>SALES</v>
      </c>
      <c r="F436" s="27" t="str">
        <f t="shared" ref="F436" si="614">K436</f>
        <v>KENN0001</v>
      </c>
      <c r="G436" s="14"/>
      <c r="J436" s="31"/>
      <c r="K436" s="21" t="str">
        <f>"KENN0001"</f>
        <v>KENN0001</v>
      </c>
      <c r="L436" s="43" t="str">
        <f>"Kevin"</f>
        <v>Kevin</v>
      </c>
      <c r="M436" s="43" t="str">
        <f>"Kennedy"</f>
        <v>Kennedy</v>
      </c>
      <c r="N436" s="43"/>
      <c r="O436" s="34"/>
      <c r="P436" s="33"/>
      <c r="Q436" s="33"/>
      <c r="R436" s="33"/>
      <c r="S436" s="35"/>
    </row>
    <row r="437" spans="1:19" ht="12.75" hidden="1" outlineLevel="3">
      <c r="A437" s="25" t="s">
        <v>91</v>
      </c>
      <c r="C437" s="4" t="str">
        <f t="shared" ref="C437:C458" si="615">C436</f>
        <v>Kevin</v>
      </c>
      <c r="D437" s="4" t="str">
        <f t="shared" ref="D437:D458" si="616">D436</f>
        <v>Kennedy</v>
      </c>
      <c r="E437" s="27" t="str">
        <f t="shared" si="503"/>
        <v>SALES</v>
      </c>
      <c r="F437" s="27" t="str">
        <f t="shared" ref="F437:F458" si="617">F436</f>
        <v>KENN0001</v>
      </c>
      <c r="G437" s="15">
        <f t="shared" ref="G437" si="618">O437</f>
        <v>41671</v>
      </c>
      <c r="H437" s="27" t="str">
        <f t="shared" ref="H437" si="619">N437</f>
        <v>10093</v>
      </c>
      <c r="J437" s="33"/>
      <c r="K437" s="33"/>
      <c r="L437" s="33"/>
      <c r="M437" s="33"/>
      <c r="N437" s="32" t="str">
        <f>"10093"</f>
        <v>10093</v>
      </c>
      <c r="O437" s="36">
        <v>41671</v>
      </c>
      <c r="P437" s="33"/>
      <c r="Q437" s="33"/>
      <c r="R437" s="33"/>
      <c r="S437" s="33"/>
    </row>
    <row r="438" spans="1:19" hidden="1" outlineLevel="3">
      <c r="A438" s="25" t="s">
        <v>91</v>
      </c>
      <c r="C438" s="4" t="str">
        <f t="shared" si="615"/>
        <v>Kevin</v>
      </c>
      <c r="D438" s="4" t="str">
        <f t="shared" si="616"/>
        <v>Kennedy</v>
      </c>
      <c r="E438" s="27" t="str">
        <f t="shared" si="503"/>
        <v>SALES</v>
      </c>
      <c r="F438" s="27" t="str">
        <f t="shared" si="617"/>
        <v>KENN0001</v>
      </c>
      <c r="G438" s="15">
        <f t="shared" ref="G438:G446" si="620">G437</f>
        <v>41671</v>
      </c>
      <c r="H438" s="27" t="str">
        <f t="shared" ref="H438:H446" si="621">H437</f>
        <v>10093</v>
      </c>
      <c r="I438" s="27" t="str">
        <f>"""GP Direct"",""Fabrikam, Inc."",""Jet Payroll Transactions"",""Pay Rate"",""0.00000"",""Payroll Code"",""401K"",""State"","""",""Transaction Amount"",""2.52000"""</f>
        <v>"GP Direct","Fabrikam, Inc.","Jet Payroll Transactions","Pay Rate","0.00000","Payroll Code","401K","State","","Transaction Amount","2.52000"</v>
      </c>
      <c r="O438" s="28"/>
      <c r="P438" s="37">
        <v>0</v>
      </c>
      <c r="Q438" s="38" t="str">
        <f>"401K"</f>
        <v>401K</v>
      </c>
      <c r="R438" s="39"/>
      <c r="S438" s="37">
        <v>2.52</v>
      </c>
    </row>
    <row r="439" spans="1:19" hidden="1" outlineLevel="3">
      <c r="A439" s="25" t="s">
        <v>91</v>
      </c>
      <c r="C439" s="4" t="str">
        <f t="shared" ref="C439:C444" si="622">C438</f>
        <v>Kevin</v>
      </c>
      <c r="D439" s="4" t="str">
        <f t="shared" ref="D439:D444" si="623">D438</f>
        <v>Kennedy</v>
      </c>
      <c r="E439" s="27" t="str">
        <f t="shared" ref="E439:E444" si="624">E438</f>
        <v>SALES</v>
      </c>
      <c r="F439" s="27" t="str">
        <f t="shared" ref="F439:F444" si="625">F438</f>
        <v>KENN0001</v>
      </c>
      <c r="G439" s="15">
        <f t="shared" ref="G439:G444" si="626">G438</f>
        <v>41671</v>
      </c>
      <c r="H439" s="27" t="str">
        <f t="shared" ref="H439:H444" si="627">H438</f>
        <v>10093</v>
      </c>
      <c r="I439" s="27" t="str">
        <f>"""GP Direct"",""Fabrikam, Inc."",""Jet Payroll Transactions"",""Pay Rate"",""0.00000"",""Payroll Code"",""401K"",""State"","""",""Transaction Amount"",""50.37000"""</f>
        <v>"GP Direct","Fabrikam, Inc.","Jet Payroll Transactions","Pay Rate","0.00000","Payroll Code","401K","State","","Transaction Amount","50.37000"</v>
      </c>
      <c r="O439" s="28"/>
      <c r="P439" s="37">
        <v>0</v>
      </c>
      <c r="Q439" s="38" t="str">
        <f>"401K"</f>
        <v>401K</v>
      </c>
      <c r="R439" s="39"/>
      <c r="S439" s="37">
        <v>50.37</v>
      </c>
    </row>
    <row r="440" spans="1:19" hidden="1" outlineLevel="3">
      <c r="A440" s="25" t="s">
        <v>91</v>
      </c>
      <c r="C440" s="4" t="str">
        <f t="shared" si="622"/>
        <v>Kevin</v>
      </c>
      <c r="D440" s="4" t="str">
        <f t="shared" si="623"/>
        <v>Kennedy</v>
      </c>
      <c r="E440" s="27" t="str">
        <f t="shared" si="624"/>
        <v>SALES</v>
      </c>
      <c r="F440" s="27" t="str">
        <f t="shared" si="625"/>
        <v>KENN0001</v>
      </c>
      <c r="G440" s="15">
        <f t="shared" si="626"/>
        <v>41671</v>
      </c>
      <c r="H440" s="27" t="str">
        <f t="shared" si="627"/>
        <v>10093</v>
      </c>
      <c r="I440" s="27" t="str">
        <f>"""GP Direct"",""Fabrikam, Inc."",""Jet Payroll Transactions"",""Pay Rate"",""0.00000"",""Payroll Code"",""IL"",""State"","""",""Transaction Amount"",""22.12000"""</f>
        <v>"GP Direct","Fabrikam, Inc.","Jet Payroll Transactions","Pay Rate","0.00000","Payroll Code","IL","State","","Transaction Amount","22.12000"</v>
      </c>
      <c r="O440" s="28"/>
      <c r="P440" s="37">
        <v>0</v>
      </c>
      <c r="Q440" s="38" t="str">
        <f>"IL"</f>
        <v>IL</v>
      </c>
      <c r="R440" s="39"/>
      <c r="S440" s="37">
        <v>22.12</v>
      </c>
    </row>
    <row r="441" spans="1:19" hidden="1" outlineLevel="3">
      <c r="A441" s="25" t="s">
        <v>91</v>
      </c>
      <c r="C441" s="4" t="str">
        <f t="shared" si="622"/>
        <v>Kevin</v>
      </c>
      <c r="D441" s="4" t="str">
        <f t="shared" si="623"/>
        <v>Kennedy</v>
      </c>
      <c r="E441" s="27" t="str">
        <f t="shared" si="624"/>
        <v>SALES</v>
      </c>
      <c r="F441" s="27" t="str">
        <f t="shared" si="625"/>
        <v>KENN0001</v>
      </c>
      <c r="G441" s="15">
        <f t="shared" si="626"/>
        <v>41671</v>
      </c>
      <c r="H441" s="27" t="str">
        <f t="shared" si="627"/>
        <v>10093</v>
      </c>
      <c r="I441" s="27" t="str">
        <f>"""GP Direct"",""Fabrikam, Inc."",""Jet Payroll Transactions"",""Pay Rate"",""0.00000"",""Payroll Code"",""INS"",""State"","""",""Transaction Amount"",""49.36000"""</f>
        <v>"GP Direct","Fabrikam, Inc.","Jet Payroll Transactions","Pay Rate","0.00000","Payroll Code","INS","State","","Transaction Amount","49.36000"</v>
      </c>
      <c r="O441" s="28"/>
      <c r="P441" s="37">
        <v>0</v>
      </c>
      <c r="Q441" s="38" t="str">
        <f>"INS"</f>
        <v>INS</v>
      </c>
      <c r="R441" s="39"/>
      <c r="S441" s="37">
        <v>49.36</v>
      </c>
    </row>
    <row r="442" spans="1:19" hidden="1" outlineLevel="3">
      <c r="A442" s="25" t="s">
        <v>91</v>
      </c>
      <c r="C442" s="4" t="str">
        <f t="shared" si="622"/>
        <v>Kevin</v>
      </c>
      <c r="D442" s="4" t="str">
        <f t="shared" si="623"/>
        <v>Kennedy</v>
      </c>
      <c r="E442" s="27" t="str">
        <f t="shared" si="624"/>
        <v>SALES</v>
      </c>
      <c r="F442" s="27" t="str">
        <f t="shared" si="625"/>
        <v>KENN0001</v>
      </c>
      <c r="G442" s="15">
        <f t="shared" si="626"/>
        <v>41671</v>
      </c>
      <c r="H442" s="27" t="str">
        <f t="shared" si="627"/>
        <v>10093</v>
      </c>
      <c r="I442" s="27" t="str">
        <f>"""GP Direct"",""Fabrikam, Inc."",""Jet Payroll Transactions"",""Pay Rate"",""0.00000"",""Payroll Code"",""INS1"",""State"","""",""Transaction Amount"",""47.95000"""</f>
        <v>"GP Direct","Fabrikam, Inc.","Jet Payroll Transactions","Pay Rate","0.00000","Payroll Code","INS1","State","","Transaction Amount","47.95000"</v>
      </c>
      <c r="O442" s="28"/>
      <c r="P442" s="37">
        <v>0</v>
      </c>
      <c r="Q442" s="38" t="str">
        <f>"INS1"</f>
        <v>INS1</v>
      </c>
      <c r="R442" s="39"/>
      <c r="S442" s="37">
        <v>47.95</v>
      </c>
    </row>
    <row r="443" spans="1:19" hidden="1" outlineLevel="3">
      <c r="A443" s="25" t="s">
        <v>91</v>
      </c>
      <c r="C443" s="4" t="str">
        <f t="shared" si="622"/>
        <v>Kevin</v>
      </c>
      <c r="D443" s="4" t="str">
        <f t="shared" si="623"/>
        <v>Kennedy</v>
      </c>
      <c r="E443" s="27" t="str">
        <f t="shared" si="624"/>
        <v>SALES</v>
      </c>
      <c r="F443" s="27" t="str">
        <f t="shared" si="625"/>
        <v>KENN0001</v>
      </c>
      <c r="G443" s="15">
        <f t="shared" si="626"/>
        <v>41671</v>
      </c>
      <c r="H443" s="27" t="str">
        <f t="shared" si="627"/>
        <v>10093</v>
      </c>
      <c r="I443" s="27" t="str">
        <f>"""GP Direct"",""Fabrikam, Inc."",""Jet Payroll Transactions"",""Pay Rate"",""0.00000"",""Payroll Code"",""MED"",""State"","""",""Transaction Amount"",""5.00000"""</f>
        <v>"GP Direct","Fabrikam, Inc.","Jet Payroll Transactions","Pay Rate","0.00000","Payroll Code","MED","State","","Transaction Amount","5.00000"</v>
      </c>
      <c r="O443" s="28"/>
      <c r="P443" s="37">
        <v>0</v>
      </c>
      <c r="Q443" s="38" t="str">
        <f>"MED"</f>
        <v>MED</v>
      </c>
      <c r="R443" s="39"/>
      <c r="S443" s="37">
        <v>5</v>
      </c>
    </row>
    <row r="444" spans="1:19" hidden="1" outlineLevel="3">
      <c r="A444" s="25" t="s">
        <v>91</v>
      </c>
      <c r="C444" s="4" t="str">
        <f t="shared" si="622"/>
        <v>Kevin</v>
      </c>
      <c r="D444" s="4" t="str">
        <f t="shared" si="623"/>
        <v>Kennedy</v>
      </c>
      <c r="E444" s="27" t="str">
        <f t="shared" si="624"/>
        <v>SALES</v>
      </c>
      <c r="F444" s="27" t="str">
        <f t="shared" si="625"/>
        <v>KENN0001</v>
      </c>
      <c r="G444" s="15">
        <f t="shared" si="626"/>
        <v>41671</v>
      </c>
      <c r="H444" s="27" t="str">
        <f t="shared" si="627"/>
        <v>10093</v>
      </c>
      <c r="I444" s="27" t="str">
        <f>"""GP Direct"",""Fabrikam, Inc."",""Jet Payroll Transactions"",""Pay Rate"",""24178.00000"",""Payroll Code"",""SALY"",""State"",""IL"",""Transaction Amount"",""1007.42000"""</f>
        <v>"GP Direct","Fabrikam, Inc.","Jet Payroll Transactions","Pay Rate","24178.00000","Payroll Code","SALY","State","IL","Transaction Amount","1007.42000"</v>
      </c>
      <c r="O444" s="28"/>
      <c r="P444" s="37">
        <v>24178</v>
      </c>
      <c r="Q444" s="38" t="str">
        <f>"SALY"</f>
        <v>SALY</v>
      </c>
      <c r="R444" s="39" t="str">
        <f>"IL"</f>
        <v>IL</v>
      </c>
      <c r="S444" s="37">
        <v>1007.42</v>
      </c>
    </row>
    <row r="445" spans="1:19" hidden="1" outlineLevel="3">
      <c r="A445" s="24" t="s">
        <v>2812</v>
      </c>
      <c r="C445" s="4" t="str">
        <f>C438</f>
        <v>Kevin</v>
      </c>
      <c r="D445" s="4" t="str">
        <f>D438</f>
        <v>Kennedy</v>
      </c>
      <c r="E445" s="27" t="str">
        <f>E438</f>
        <v>SALES</v>
      </c>
      <c r="F445" s="27" t="str">
        <f>F438</f>
        <v>KENN0001</v>
      </c>
      <c r="G445" s="15">
        <f>G438</f>
        <v>41671</v>
      </c>
      <c r="H445" s="27" t="str">
        <f>H438</f>
        <v>10093</v>
      </c>
      <c r="O445" s="28"/>
      <c r="S445" s="16"/>
    </row>
    <row r="446" spans="1:19" ht="12.75" hidden="1" outlineLevel="2" collapsed="1">
      <c r="A446" s="25" t="s">
        <v>91</v>
      </c>
      <c r="C446" s="4" t="str">
        <f t="shared" si="615"/>
        <v>Kevin</v>
      </c>
      <c r="D446" s="4" t="str">
        <f t="shared" si="616"/>
        <v>Kennedy</v>
      </c>
      <c r="E446" s="27" t="str">
        <f t="shared" si="503"/>
        <v>SALES</v>
      </c>
      <c r="F446" s="27" t="str">
        <f t="shared" si="617"/>
        <v>KENN0001</v>
      </c>
      <c r="G446" s="15">
        <f t="shared" si="620"/>
        <v>41671</v>
      </c>
      <c r="H446" s="27" t="str">
        <f t="shared" si="621"/>
        <v>10093</v>
      </c>
      <c r="N446" s="44" t="str">
        <f>"Total for " &amp; $H446</f>
        <v>Total for 10093</v>
      </c>
      <c r="O446" s="45">
        <f>G446</f>
        <v>41671</v>
      </c>
      <c r="P446" s="44"/>
      <c r="Q446" s="44"/>
      <c r="R446" s="44"/>
      <c r="S446" s="44">
        <f>SUBTOTAL(9,S438:S445)</f>
        <v>1184.74</v>
      </c>
    </row>
    <row r="447" spans="1:19" ht="12.75" hidden="1" outlineLevel="3">
      <c r="A447" s="25" t="s">
        <v>91</v>
      </c>
      <c r="C447" s="4" t="str">
        <f t="shared" ref="C447:C456" si="628">C446</f>
        <v>Kevin</v>
      </c>
      <c r="D447" s="4" t="str">
        <f t="shared" ref="D447:D456" si="629">D446</f>
        <v>Kennedy</v>
      </c>
      <c r="E447" s="27" t="str">
        <f t="shared" ref="E447:E456" si="630">E446</f>
        <v>SALES</v>
      </c>
      <c r="F447" s="27" t="str">
        <f t="shared" ref="F447:F456" si="631">F446</f>
        <v>KENN0001</v>
      </c>
      <c r="G447" s="15">
        <f t="shared" ref="G447" si="632">O447</f>
        <v>41699</v>
      </c>
      <c r="H447" s="27" t="str">
        <f t="shared" ref="H447" si="633">N447</f>
        <v>10118</v>
      </c>
      <c r="J447" s="33"/>
      <c r="K447" s="33"/>
      <c r="L447" s="33"/>
      <c r="M447" s="33"/>
      <c r="N447" s="32" t="str">
        <f>"10118"</f>
        <v>10118</v>
      </c>
      <c r="O447" s="36">
        <v>41699</v>
      </c>
      <c r="P447" s="33"/>
      <c r="Q447" s="33"/>
      <c r="R447" s="33"/>
      <c r="S447" s="33"/>
    </row>
    <row r="448" spans="1:19" hidden="1" outlineLevel="3">
      <c r="A448" s="25" t="s">
        <v>91</v>
      </c>
      <c r="C448" s="4" t="str">
        <f t="shared" si="628"/>
        <v>Kevin</v>
      </c>
      <c r="D448" s="4" t="str">
        <f t="shared" si="629"/>
        <v>Kennedy</v>
      </c>
      <c r="E448" s="27" t="str">
        <f t="shared" si="630"/>
        <v>SALES</v>
      </c>
      <c r="F448" s="27" t="str">
        <f t="shared" si="631"/>
        <v>KENN0001</v>
      </c>
      <c r="G448" s="15">
        <f t="shared" ref="G448:G456" si="634">G447</f>
        <v>41699</v>
      </c>
      <c r="H448" s="27" t="str">
        <f t="shared" ref="H448:H456" si="635">H447</f>
        <v>10118</v>
      </c>
      <c r="I448" s="27" t="str">
        <f>"""GP Direct"",""Fabrikam, Inc."",""Jet Payroll Transactions"",""Pay Rate"",""0.00000"",""Payroll Code"",""401K"",""State"","""",""Transaction Amount"",""2.52000"""</f>
        <v>"GP Direct","Fabrikam, Inc.","Jet Payroll Transactions","Pay Rate","0.00000","Payroll Code","401K","State","","Transaction Amount","2.52000"</v>
      </c>
      <c r="O448" s="28"/>
      <c r="P448" s="37">
        <v>0</v>
      </c>
      <c r="Q448" s="38" t="str">
        <f>"401K"</f>
        <v>401K</v>
      </c>
      <c r="R448" s="39"/>
      <c r="S448" s="37">
        <v>2.52</v>
      </c>
    </row>
    <row r="449" spans="1:19" hidden="1" outlineLevel="3">
      <c r="A449" s="25" t="s">
        <v>91</v>
      </c>
      <c r="C449" s="4" t="str">
        <f t="shared" ref="C449:C454" si="636">C448</f>
        <v>Kevin</v>
      </c>
      <c r="D449" s="4" t="str">
        <f t="shared" ref="D449:D454" si="637">D448</f>
        <v>Kennedy</v>
      </c>
      <c r="E449" s="27" t="str">
        <f t="shared" ref="E449:E454" si="638">E448</f>
        <v>SALES</v>
      </c>
      <c r="F449" s="27" t="str">
        <f t="shared" ref="F449:F454" si="639">F448</f>
        <v>KENN0001</v>
      </c>
      <c r="G449" s="15">
        <f t="shared" ref="G449:G454" si="640">G448</f>
        <v>41699</v>
      </c>
      <c r="H449" s="27" t="str">
        <f t="shared" ref="H449:H454" si="641">H448</f>
        <v>10118</v>
      </c>
      <c r="I449" s="27" t="str">
        <f>"""GP Direct"",""Fabrikam, Inc."",""Jet Payroll Transactions"",""Pay Rate"",""0.00000"",""Payroll Code"",""401K"",""State"","""",""Transaction Amount"",""50.37000"""</f>
        <v>"GP Direct","Fabrikam, Inc.","Jet Payroll Transactions","Pay Rate","0.00000","Payroll Code","401K","State","","Transaction Amount","50.37000"</v>
      </c>
      <c r="O449" s="28"/>
      <c r="P449" s="37">
        <v>0</v>
      </c>
      <c r="Q449" s="38" t="str">
        <f>"401K"</f>
        <v>401K</v>
      </c>
      <c r="R449" s="39"/>
      <c r="S449" s="37">
        <v>50.37</v>
      </c>
    </row>
    <row r="450" spans="1:19" hidden="1" outlineLevel="3">
      <c r="A450" s="25" t="s">
        <v>91</v>
      </c>
      <c r="C450" s="4" t="str">
        <f t="shared" si="636"/>
        <v>Kevin</v>
      </c>
      <c r="D450" s="4" t="str">
        <f t="shared" si="637"/>
        <v>Kennedy</v>
      </c>
      <c r="E450" s="27" t="str">
        <f t="shared" si="638"/>
        <v>SALES</v>
      </c>
      <c r="F450" s="27" t="str">
        <f t="shared" si="639"/>
        <v>KENN0001</v>
      </c>
      <c r="G450" s="15">
        <f t="shared" si="640"/>
        <v>41699</v>
      </c>
      <c r="H450" s="27" t="str">
        <f t="shared" si="641"/>
        <v>10118</v>
      </c>
      <c r="I450" s="27" t="str">
        <f>"""GP Direct"",""Fabrikam, Inc."",""Jet Payroll Transactions"",""Pay Rate"",""0.00000"",""Payroll Code"",""IL"",""State"","""",""Transaction Amount"",""22.12000"""</f>
        <v>"GP Direct","Fabrikam, Inc.","Jet Payroll Transactions","Pay Rate","0.00000","Payroll Code","IL","State","","Transaction Amount","22.12000"</v>
      </c>
      <c r="O450" s="28"/>
      <c r="P450" s="37">
        <v>0</v>
      </c>
      <c r="Q450" s="38" t="str">
        <f>"IL"</f>
        <v>IL</v>
      </c>
      <c r="R450" s="39"/>
      <c r="S450" s="37">
        <v>22.12</v>
      </c>
    </row>
    <row r="451" spans="1:19" hidden="1" outlineLevel="3">
      <c r="A451" s="25" t="s">
        <v>91</v>
      </c>
      <c r="C451" s="4" t="str">
        <f t="shared" si="636"/>
        <v>Kevin</v>
      </c>
      <c r="D451" s="4" t="str">
        <f t="shared" si="637"/>
        <v>Kennedy</v>
      </c>
      <c r="E451" s="27" t="str">
        <f t="shared" si="638"/>
        <v>SALES</v>
      </c>
      <c r="F451" s="27" t="str">
        <f t="shared" si="639"/>
        <v>KENN0001</v>
      </c>
      <c r="G451" s="15">
        <f t="shared" si="640"/>
        <v>41699</v>
      </c>
      <c r="H451" s="27" t="str">
        <f t="shared" si="641"/>
        <v>10118</v>
      </c>
      <c r="I451" s="27" t="str">
        <f>"""GP Direct"",""Fabrikam, Inc."",""Jet Payroll Transactions"",""Pay Rate"",""0.00000"",""Payroll Code"",""INS"",""State"","""",""Transaction Amount"",""49.36000"""</f>
        <v>"GP Direct","Fabrikam, Inc.","Jet Payroll Transactions","Pay Rate","0.00000","Payroll Code","INS","State","","Transaction Amount","49.36000"</v>
      </c>
      <c r="O451" s="28"/>
      <c r="P451" s="37">
        <v>0</v>
      </c>
      <c r="Q451" s="38" t="str">
        <f>"INS"</f>
        <v>INS</v>
      </c>
      <c r="R451" s="39"/>
      <c r="S451" s="37">
        <v>49.36</v>
      </c>
    </row>
    <row r="452" spans="1:19" hidden="1" outlineLevel="3">
      <c r="A452" s="25" t="s">
        <v>91</v>
      </c>
      <c r="C452" s="4" t="str">
        <f t="shared" si="636"/>
        <v>Kevin</v>
      </c>
      <c r="D452" s="4" t="str">
        <f t="shared" si="637"/>
        <v>Kennedy</v>
      </c>
      <c r="E452" s="27" t="str">
        <f t="shared" si="638"/>
        <v>SALES</v>
      </c>
      <c r="F452" s="27" t="str">
        <f t="shared" si="639"/>
        <v>KENN0001</v>
      </c>
      <c r="G452" s="15">
        <f t="shared" si="640"/>
        <v>41699</v>
      </c>
      <c r="H452" s="27" t="str">
        <f t="shared" si="641"/>
        <v>10118</v>
      </c>
      <c r="I452" s="27" t="str">
        <f>"""GP Direct"",""Fabrikam, Inc."",""Jet Payroll Transactions"",""Pay Rate"",""0.00000"",""Payroll Code"",""INS1"",""State"","""",""Transaction Amount"",""47.95000"""</f>
        <v>"GP Direct","Fabrikam, Inc.","Jet Payroll Transactions","Pay Rate","0.00000","Payroll Code","INS1","State","","Transaction Amount","47.95000"</v>
      </c>
      <c r="O452" s="28"/>
      <c r="P452" s="37">
        <v>0</v>
      </c>
      <c r="Q452" s="38" t="str">
        <f>"INS1"</f>
        <v>INS1</v>
      </c>
      <c r="R452" s="39"/>
      <c r="S452" s="37">
        <v>47.95</v>
      </c>
    </row>
    <row r="453" spans="1:19" hidden="1" outlineLevel="3">
      <c r="A453" s="25" t="s">
        <v>91</v>
      </c>
      <c r="C453" s="4" t="str">
        <f t="shared" si="636"/>
        <v>Kevin</v>
      </c>
      <c r="D453" s="4" t="str">
        <f t="shared" si="637"/>
        <v>Kennedy</v>
      </c>
      <c r="E453" s="27" t="str">
        <f t="shared" si="638"/>
        <v>SALES</v>
      </c>
      <c r="F453" s="27" t="str">
        <f t="shared" si="639"/>
        <v>KENN0001</v>
      </c>
      <c r="G453" s="15">
        <f t="shared" si="640"/>
        <v>41699</v>
      </c>
      <c r="H453" s="27" t="str">
        <f t="shared" si="641"/>
        <v>10118</v>
      </c>
      <c r="I453" s="27" t="str">
        <f>"""GP Direct"",""Fabrikam, Inc."",""Jet Payroll Transactions"",""Pay Rate"",""0.00000"",""Payroll Code"",""MED"",""State"","""",""Transaction Amount"",""5.00000"""</f>
        <v>"GP Direct","Fabrikam, Inc.","Jet Payroll Transactions","Pay Rate","0.00000","Payroll Code","MED","State","","Transaction Amount","5.00000"</v>
      </c>
      <c r="O453" s="28"/>
      <c r="P453" s="37">
        <v>0</v>
      </c>
      <c r="Q453" s="38" t="str">
        <f>"MED"</f>
        <v>MED</v>
      </c>
      <c r="R453" s="39"/>
      <c r="S453" s="37">
        <v>5</v>
      </c>
    </row>
    <row r="454" spans="1:19" hidden="1" outlineLevel="3">
      <c r="A454" s="25" t="s">
        <v>91</v>
      </c>
      <c r="C454" s="4" t="str">
        <f t="shared" si="636"/>
        <v>Kevin</v>
      </c>
      <c r="D454" s="4" t="str">
        <f t="shared" si="637"/>
        <v>Kennedy</v>
      </c>
      <c r="E454" s="27" t="str">
        <f t="shared" si="638"/>
        <v>SALES</v>
      </c>
      <c r="F454" s="27" t="str">
        <f t="shared" si="639"/>
        <v>KENN0001</v>
      </c>
      <c r="G454" s="15">
        <f t="shared" si="640"/>
        <v>41699</v>
      </c>
      <c r="H454" s="27" t="str">
        <f t="shared" si="641"/>
        <v>10118</v>
      </c>
      <c r="I454" s="27" t="str">
        <f>"""GP Direct"",""Fabrikam, Inc."",""Jet Payroll Transactions"",""Pay Rate"",""24178.00000"",""Payroll Code"",""SALY"",""State"",""IL"",""Transaction Amount"",""1007.42000"""</f>
        <v>"GP Direct","Fabrikam, Inc.","Jet Payroll Transactions","Pay Rate","24178.00000","Payroll Code","SALY","State","IL","Transaction Amount","1007.42000"</v>
      </c>
      <c r="O454" s="28"/>
      <c r="P454" s="37">
        <v>24178</v>
      </c>
      <c r="Q454" s="38" t="str">
        <f>"SALY"</f>
        <v>SALY</v>
      </c>
      <c r="R454" s="39" t="str">
        <f>"IL"</f>
        <v>IL</v>
      </c>
      <c r="S454" s="37">
        <v>1007.42</v>
      </c>
    </row>
    <row r="455" spans="1:19" hidden="1" outlineLevel="3">
      <c r="A455" s="24" t="s">
        <v>2812</v>
      </c>
      <c r="C455" s="4" t="str">
        <f>C448</f>
        <v>Kevin</v>
      </c>
      <c r="D455" s="4" t="str">
        <f>D448</f>
        <v>Kennedy</v>
      </c>
      <c r="E455" s="27" t="str">
        <f>E448</f>
        <v>SALES</v>
      </c>
      <c r="F455" s="27" t="str">
        <f>F448</f>
        <v>KENN0001</v>
      </c>
      <c r="G455" s="15">
        <f>G448</f>
        <v>41699</v>
      </c>
      <c r="H455" s="27" t="str">
        <f>H448</f>
        <v>10118</v>
      </c>
      <c r="O455" s="28"/>
      <c r="S455" s="16"/>
    </row>
    <row r="456" spans="1:19" ht="12.75" hidden="1" outlineLevel="2" collapsed="1">
      <c r="A456" s="25" t="s">
        <v>91</v>
      </c>
      <c r="C456" s="4" t="str">
        <f t="shared" si="628"/>
        <v>Kevin</v>
      </c>
      <c r="D456" s="4" t="str">
        <f t="shared" si="629"/>
        <v>Kennedy</v>
      </c>
      <c r="E456" s="27" t="str">
        <f t="shared" si="630"/>
        <v>SALES</v>
      </c>
      <c r="F456" s="27" t="str">
        <f t="shared" si="631"/>
        <v>KENN0001</v>
      </c>
      <c r="G456" s="15">
        <f t="shared" si="634"/>
        <v>41699</v>
      </c>
      <c r="H456" s="27" t="str">
        <f t="shared" si="635"/>
        <v>10118</v>
      </c>
      <c r="N456" s="44" t="str">
        <f>"Total for " &amp; $H456</f>
        <v>Total for 10118</v>
      </c>
      <c r="O456" s="45">
        <f>G456</f>
        <v>41699</v>
      </c>
      <c r="P456" s="44"/>
      <c r="Q456" s="44"/>
      <c r="R456" s="44"/>
      <c r="S456" s="44">
        <f>SUBTOTAL(9,S448:S455)</f>
        <v>1184.74</v>
      </c>
    </row>
    <row r="457" spans="1:19" ht="12.75" hidden="1" outlineLevel="2">
      <c r="A457" s="24" t="s">
        <v>2812</v>
      </c>
      <c r="C457" s="4" t="str">
        <f>C446</f>
        <v>Kevin</v>
      </c>
      <c r="D457" s="4" t="str">
        <f>D446</f>
        <v>Kennedy</v>
      </c>
      <c r="E457" s="27" t="str">
        <f>E446</f>
        <v>SALES</v>
      </c>
      <c r="F457" s="27" t="str">
        <f>F446</f>
        <v>KENN0001</v>
      </c>
      <c r="G457" s="14"/>
      <c r="J457" s="33"/>
      <c r="K457" s="33"/>
      <c r="L457" s="33"/>
      <c r="M457" s="33"/>
      <c r="N457" s="33"/>
      <c r="O457" s="33"/>
      <c r="P457" s="33"/>
      <c r="Q457" s="33"/>
      <c r="R457" s="33"/>
      <c r="S457" s="40"/>
    </row>
    <row r="458" spans="1:19" ht="12.75" hidden="1" outlineLevel="1" collapsed="1">
      <c r="A458" s="25" t="s">
        <v>91</v>
      </c>
      <c r="C458" s="4" t="str">
        <f t="shared" si="615"/>
        <v>Kevin</v>
      </c>
      <c r="D458" s="4" t="str">
        <f t="shared" si="616"/>
        <v>Kennedy</v>
      </c>
      <c r="E458" s="27" t="str">
        <f t="shared" si="503"/>
        <v>SALES</v>
      </c>
      <c r="F458" s="27" t="str">
        <f t="shared" si="617"/>
        <v>KENN0001</v>
      </c>
      <c r="G458" s="14"/>
      <c r="J458" s="33"/>
      <c r="K458" s="46" t="str">
        <f>"Total for " &amp; $F458</f>
        <v>Total for KENN0001</v>
      </c>
      <c r="L458" s="46" t="str">
        <f>C458</f>
        <v>Kevin</v>
      </c>
      <c r="M458" s="46" t="str">
        <f>D458</f>
        <v>Kennedy</v>
      </c>
      <c r="N458" s="46"/>
      <c r="O458" s="46"/>
      <c r="P458" s="46"/>
      <c r="Q458" s="46"/>
      <c r="R458" s="46"/>
      <c r="S458" s="47">
        <f>SUBTOTAL(9,S438:S457)</f>
        <v>2369.4799999999996</v>
      </c>
    </row>
    <row r="459" spans="1:19" ht="12.75" hidden="1" outlineLevel="2">
      <c r="A459" s="25" t="s">
        <v>91</v>
      </c>
      <c r="C459" s="4" t="str">
        <f t="shared" ref="C459" si="642">L459</f>
        <v>Robert</v>
      </c>
      <c r="D459" s="4" t="str">
        <f t="shared" ref="D459" si="643">M459</f>
        <v>Lyon</v>
      </c>
      <c r="E459" s="27" t="str">
        <f t="shared" si="503"/>
        <v>SALES</v>
      </c>
      <c r="F459" s="27" t="str">
        <f t="shared" ref="F459" si="644">K459</f>
        <v>LYON0001</v>
      </c>
      <c r="G459" s="14"/>
      <c r="J459" s="31"/>
      <c r="K459" s="21" t="str">
        <f>"LYON0001"</f>
        <v>LYON0001</v>
      </c>
      <c r="L459" s="43" t="str">
        <f>"Robert"</f>
        <v>Robert</v>
      </c>
      <c r="M459" s="43" t="str">
        <f>"Lyon"</f>
        <v>Lyon</v>
      </c>
      <c r="N459" s="43"/>
      <c r="O459" s="34"/>
      <c r="P459" s="33"/>
      <c r="Q459" s="33"/>
      <c r="R459" s="33"/>
      <c r="S459" s="35"/>
    </row>
    <row r="460" spans="1:19" ht="12.75" hidden="1" outlineLevel="3">
      <c r="A460" s="25" t="s">
        <v>91</v>
      </c>
      <c r="C460" s="4" t="str">
        <f t="shared" ref="C460:C479" si="645">C459</f>
        <v>Robert</v>
      </c>
      <c r="D460" s="4" t="str">
        <f t="shared" ref="D460:D479" si="646">D459</f>
        <v>Lyon</v>
      </c>
      <c r="E460" s="27" t="str">
        <f t="shared" si="503"/>
        <v>SALES</v>
      </c>
      <c r="F460" s="27" t="str">
        <f t="shared" ref="F460:F479" si="647">F459</f>
        <v>LYON0001</v>
      </c>
      <c r="G460" s="15">
        <f t="shared" ref="G460" si="648">O460</f>
        <v>41671</v>
      </c>
      <c r="H460" s="27" t="str">
        <f t="shared" ref="H460" si="649">N460</f>
        <v>10095</v>
      </c>
      <c r="J460" s="33"/>
      <c r="K460" s="33"/>
      <c r="L460" s="33"/>
      <c r="M460" s="33"/>
      <c r="N460" s="32" t="str">
        <f>"10095"</f>
        <v>10095</v>
      </c>
      <c r="O460" s="36">
        <v>41671</v>
      </c>
      <c r="P460" s="33"/>
      <c r="Q460" s="33"/>
      <c r="R460" s="33"/>
      <c r="S460" s="33"/>
    </row>
    <row r="461" spans="1:19" hidden="1" outlineLevel="3">
      <c r="A461" s="25" t="s">
        <v>91</v>
      </c>
      <c r="C461" s="4" t="str">
        <f t="shared" si="645"/>
        <v>Robert</v>
      </c>
      <c r="D461" s="4" t="str">
        <f t="shared" si="646"/>
        <v>Lyon</v>
      </c>
      <c r="E461" s="27" t="str">
        <f t="shared" si="503"/>
        <v>SALES</v>
      </c>
      <c r="F461" s="27" t="str">
        <f t="shared" si="647"/>
        <v>LYON0001</v>
      </c>
      <c r="G461" s="15">
        <f t="shared" ref="G461:G468" si="650">G460</f>
        <v>41671</v>
      </c>
      <c r="H461" s="27" t="str">
        <f t="shared" ref="H461:H468" si="651">H460</f>
        <v>10095</v>
      </c>
      <c r="I461" s="27" t="str">
        <f>"""GP Direct"",""Fabrikam, Inc."",""Jet Payroll Transactions"",""Pay Rate"",""0.00000"",""Payroll Code"",""401K"",""State"","""",""Transaction Amount"",""1.09000"""</f>
        <v>"GP Direct","Fabrikam, Inc.","Jet Payroll Transactions","Pay Rate","0.00000","Payroll Code","401K","State","","Transaction Amount","1.09000"</v>
      </c>
      <c r="O461" s="28"/>
      <c r="P461" s="37">
        <v>0</v>
      </c>
      <c r="Q461" s="38" t="str">
        <f>"401K"</f>
        <v>401K</v>
      </c>
      <c r="R461" s="39"/>
      <c r="S461" s="37">
        <v>1.0900000000000001</v>
      </c>
    </row>
    <row r="462" spans="1:19" hidden="1" outlineLevel="3">
      <c r="A462" s="25" t="s">
        <v>91</v>
      </c>
      <c r="C462" s="4" t="str">
        <f t="shared" ref="C462:C466" si="652">C461</f>
        <v>Robert</v>
      </c>
      <c r="D462" s="4" t="str">
        <f t="shared" ref="D462:D466" si="653">D461</f>
        <v>Lyon</v>
      </c>
      <c r="E462" s="27" t="str">
        <f t="shared" ref="E462:E466" si="654">E461</f>
        <v>SALES</v>
      </c>
      <c r="F462" s="27" t="str">
        <f t="shared" ref="F462:F466" si="655">F461</f>
        <v>LYON0001</v>
      </c>
      <c r="G462" s="15">
        <f t="shared" ref="G462:G466" si="656">G461</f>
        <v>41671</v>
      </c>
      <c r="H462" s="27" t="str">
        <f t="shared" ref="H462:H466" si="657">H461</f>
        <v>10095</v>
      </c>
      <c r="I462" s="27" t="str">
        <f>"""GP Direct"",""Fabrikam, Inc."",""Jet Payroll Transactions"",""Pay Rate"",""0.00000"",""Payroll Code"",""401K"",""State"","""",""Transaction Amount"",""21.79000"""</f>
        <v>"GP Direct","Fabrikam, Inc.","Jet Payroll Transactions","Pay Rate","0.00000","Payroll Code","401K","State","","Transaction Amount","21.79000"</v>
      </c>
      <c r="O462" s="28"/>
      <c r="P462" s="37">
        <v>0</v>
      </c>
      <c r="Q462" s="38" t="str">
        <f>"401K"</f>
        <v>401K</v>
      </c>
      <c r="R462" s="39"/>
      <c r="S462" s="37">
        <v>21.79</v>
      </c>
    </row>
    <row r="463" spans="1:19" hidden="1" outlineLevel="3">
      <c r="A463" s="25" t="s">
        <v>91</v>
      </c>
      <c r="C463" s="4" t="str">
        <f t="shared" si="652"/>
        <v>Robert</v>
      </c>
      <c r="D463" s="4" t="str">
        <f t="shared" si="653"/>
        <v>Lyon</v>
      </c>
      <c r="E463" s="27" t="str">
        <f t="shared" si="654"/>
        <v>SALES</v>
      </c>
      <c r="F463" s="27" t="str">
        <f t="shared" si="655"/>
        <v>LYON0001</v>
      </c>
      <c r="G463" s="15">
        <f t="shared" si="656"/>
        <v>41671</v>
      </c>
      <c r="H463" s="27" t="str">
        <f t="shared" si="657"/>
        <v>10095</v>
      </c>
      <c r="I463" s="27" t="str">
        <f>"""GP Direct"",""Fabrikam, Inc."",""Jet Payroll Transactions"",""Pay Rate"",""0.00000"",""Payroll Code"",""IL"",""State"","""",""Transaction Amount"",""19.74000"""</f>
        <v>"GP Direct","Fabrikam, Inc.","Jet Payroll Transactions","Pay Rate","0.00000","Payroll Code","IL","State","","Transaction Amount","19.74000"</v>
      </c>
      <c r="O463" s="28"/>
      <c r="P463" s="37">
        <v>0</v>
      </c>
      <c r="Q463" s="38" t="str">
        <f>"IL"</f>
        <v>IL</v>
      </c>
      <c r="R463" s="39"/>
      <c r="S463" s="37">
        <v>19.739999999999998</v>
      </c>
    </row>
    <row r="464" spans="1:19" hidden="1" outlineLevel="3">
      <c r="A464" s="25" t="s">
        <v>91</v>
      </c>
      <c r="C464" s="4" t="str">
        <f t="shared" si="652"/>
        <v>Robert</v>
      </c>
      <c r="D464" s="4" t="str">
        <f t="shared" si="653"/>
        <v>Lyon</v>
      </c>
      <c r="E464" s="27" t="str">
        <f t="shared" si="654"/>
        <v>SALES</v>
      </c>
      <c r="F464" s="27" t="str">
        <f t="shared" si="655"/>
        <v>LYON0001</v>
      </c>
      <c r="G464" s="15">
        <f t="shared" si="656"/>
        <v>41671</v>
      </c>
      <c r="H464" s="27" t="str">
        <f t="shared" si="657"/>
        <v>10095</v>
      </c>
      <c r="I464" s="27" t="str">
        <f>"""GP Direct"",""Fabrikam, Inc."",""Jet Payroll Transactions"",""Pay Rate"",""0.00000"",""Payroll Code"",""INS"",""State"","""",""Transaction Amount"",""49.36000"""</f>
        <v>"GP Direct","Fabrikam, Inc.","Jet Payroll Transactions","Pay Rate","0.00000","Payroll Code","INS","State","","Transaction Amount","49.36000"</v>
      </c>
      <c r="O464" s="28"/>
      <c r="P464" s="37">
        <v>0</v>
      </c>
      <c r="Q464" s="38" t="str">
        <f>"INS"</f>
        <v>INS</v>
      </c>
      <c r="R464" s="39"/>
      <c r="S464" s="37">
        <v>49.36</v>
      </c>
    </row>
    <row r="465" spans="1:19" hidden="1" outlineLevel="3">
      <c r="A465" s="25" t="s">
        <v>91</v>
      </c>
      <c r="C465" s="4" t="str">
        <f t="shared" si="652"/>
        <v>Robert</v>
      </c>
      <c r="D465" s="4" t="str">
        <f t="shared" si="653"/>
        <v>Lyon</v>
      </c>
      <c r="E465" s="27" t="str">
        <f t="shared" si="654"/>
        <v>SALES</v>
      </c>
      <c r="F465" s="27" t="str">
        <f t="shared" si="655"/>
        <v>LYON0001</v>
      </c>
      <c r="G465" s="15">
        <f t="shared" si="656"/>
        <v>41671</v>
      </c>
      <c r="H465" s="27" t="str">
        <f t="shared" si="657"/>
        <v>10095</v>
      </c>
      <c r="I465" s="27" t="str">
        <f>"""GP Direct"",""Fabrikam, Inc."",""Jet Payroll Transactions"",""Pay Rate"",""0.00000"",""Payroll Code"",""MED"",""State"","""",""Transaction Amount"",""5.00000"""</f>
        <v>"GP Direct","Fabrikam, Inc.","Jet Payroll Transactions","Pay Rate","0.00000","Payroll Code","MED","State","","Transaction Amount","5.00000"</v>
      </c>
      <c r="O465" s="28"/>
      <c r="P465" s="37">
        <v>0</v>
      </c>
      <c r="Q465" s="38" t="str">
        <f>"MED"</f>
        <v>MED</v>
      </c>
      <c r="R465" s="39"/>
      <c r="S465" s="37">
        <v>5</v>
      </c>
    </row>
    <row r="466" spans="1:19" hidden="1" outlineLevel="3">
      <c r="A466" s="25" t="s">
        <v>91</v>
      </c>
      <c r="C466" s="4" t="str">
        <f t="shared" si="652"/>
        <v>Robert</v>
      </c>
      <c r="D466" s="4" t="str">
        <f t="shared" si="653"/>
        <v>Lyon</v>
      </c>
      <c r="E466" s="27" t="str">
        <f t="shared" si="654"/>
        <v>SALES</v>
      </c>
      <c r="F466" s="27" t="str">
        <f t="shared" si="655"/>
        <v>LYON0001</v>
      </c>
      <c r="G466" s="15">
        <f t="shared" si="656"/>
        <v>41671</v>
      </c>
      <c r="H466" s="27" t="str">
        <f t="shared" si="657"/>
        <v>10095</v>
      </c>
      <c r="I466" s="27" t="str">
        <f>"""GP Direct"",""Fabrikam, Inc."",""Jet Payroll Transactions"",""Pay Rate"",""17432.00000"",""Payroll Code"",""SALY"",""State"",""IL"",""Transaction Amount"",""726.33000"""</f>
        <v>"GP Direct","Fabrikam, Inc.","Jet Payroll Transactions","Pay Rate","17432.00000","Payroll Code","SALY","State","IL","Transaction Amount","726.33000"</v>
      </c>
      <c r="O466" s="28"/>
      <c r="P466" s="37">
        <v>17432</v>
      </c>
      <c r="Q466" s="38" t="str">
        <f>"SALY"</f>
        <v>SALY</v>
      </c>
      <c r="R466" s="39" t="str">
        <f>"IL"</f>
        <v>IL</v>
      </c>
      <c r="S466" s="37">
        <v>726.33</v>
      </c>
    </row>
    <row r="467" spans="1:19" hidden="1" outlineLevel="3">
      <c r="A467" s="24" t="s">
        <v>2812</v>
      </c>
      <c r="C467" s="4" t="str">
        <f>C461</f>
        <v>Robert</v>
      </c>
      <c r="D467" s="4" t="str">
        <f>D461</f>
        <v>Lyon</v>
      </c>
      <c r="E467" s="27" t="str">
        <f>E461</f>
        <v>SALES</v>
      </c>
      <c r="F467" s="27" t="str">
        <f>F461</f>
        <v>LYON0001</v>
      </c>
      <c r="G467" s="15">
        <f>G461</f>
        <v>41671</v>
      </c>
      <c r="H467" s="27" t="str">
        <f>H461</f>
        <v>10095</v>
      </c>
      <c r="O467" s="28"/>
      <c r="S467" s="16"/>
    </row>
    <row r="468" spans="1:19" ht="12.75" hidden="1" outlineLevel="2" collapsed="1">
      <c r="A468" s="25" t="s">
        <v>91</v>
      </c>
      <c r="C468" s="4" t="str">
        <f t="shared" si="645"/>
        <v>Robert</v>
      </c>
      <c r="D468" s="4" t="str">
        <f t="shared" si="646"/>
        <v>Lyon</v>
      </c>
      <c r="E468" s="27" t="str">
        <f t="shared" si="503"/>
        <v>SALES</v>
      </c>
      <c r="F468" s="27" t="str">
        <f t="shared" si="647"/>
        <v>LYON0001</v>
      </c>
      <c r="G468" s="15">
        <f t="shared" si="650"/>
        <v>41671</v>
      </c>
      <c r="H468" s="27" t="str">
        <f t="shared" si="651"/>
        <v>10095</v>
      </c>
      <c r="N468" s="44" t="str">
        <f>"Total for " &amp; $H468</f>
        <v>Total for 10095</v>
      </c>
      <c r="O468" s="45">
        <f>G468</f>
        <v>41671</v>
      </c>
      <c r="P468" s="44"/>
      <c r="Q468" s="44"/>
      <c r="R468" s="44"/>
      <c r="S468" s="44">
        <f>SUBTOTAL(9,S461:S467)</f>
        <v>823.31000000000006</v>
      </c>
    </row>
    <row r="469" spans="1:19" ht="12.75" hidden="1" outlineLevel="3">
      <c r="A469" s="25" t="s">
        <v>91</v>
      </c>
      <c r="C469" s="4" t="str">
        <f t="shared" ref="C469:C477" si="658">C468</f>
        <v>Robert</v>
      </c>
      <c r="D469" s="4" t="str">
        <f t="shared" ref="D469:D477" si="659">D468</f>
        <v>Lyon</v>
      </c>
      <c r="E469" s="27" t="str">
        <f t="shared" ref="E469:E477" si="660">E468</f>
        <v>SALES</v>
      </c>
      <c r="F469" s="27" t="str">
        <f t="shared" ref="F469:F477" si="661">F468</f>
        <v>LYON0001</v>
      </c>
      <c r="G469" s="15">
        <f t="shared" ref="G469" si="662">O469</f>
        <v>41699</v>
      </c>
      <c r="H469" s="27" t="str">
        <f t="shared" ref="H469" si="663">N469</f>
        <v>10120</v>
      </c>
      <c r="J469" s="33"/>
      <c r="K469" s="33"/>
      <c r="L469" s="33"/>
      <c r="M469" s="33"/>
      <c r="N469" s="32" t="str">
        <f>"10120"</f>
        <v>10120</v>
      </c>
      <c r="O469" s="36">
        <v>41699</v>
      </c>
      <c r="P469" s="33"/>
      <c r="Q469" s="33"/>
      <c r="R469" s="33"/>
      <c r="S469" s="33"/>
    </row>
    <row r="470" spans="1:19" hidden="1" outlineLevel="3">
      <c r="A470" s="25" t="s">
        <v>91</v>
      </c>
      <c r="C470" s="4" t="str">
        <f t="shared" si="658"/>
        <v>Robert</v>
      </c>
      <c r="D470" s="4" t="str">
        <f t="shared" si="659"/>
        <v>Lyon</v>
      </c>
      <c r="E470" s="27" t="str">
        <f t="shared" si="660"/>
        <v>SALES</v>
      </c>
      <c r="F470" s="27" t="str">
        <f t="shared" si="661"/>
        <v>LYON0001</v>
      </c>
      <c r="G470" s="15">
        <f t="shared" ref="G470:G477" si="664">G469</f>
        <v>41699</v>
      </c>
      <c r="H470" s="27" t="str">
        <f t="shared" ref="H470:H477" si="665">H469</f>
        <v>10120</v>
      </c>
      <c r="I470" s="27" t="str">
        <f>"""GP Direct"",""Fabrikam, Inc."",""Jet Payroll Transactions"",""Pay Rate"",""0.00000"",""Payroll Code"",""401K"",""State"","""",""Transaction Amount"",""1.09000"""</f>
        <v>"GP Direct","Fabrikam, Inc.","Jet Payroll Transactions","Pay Rate","0.00000","Payroll Code","401K","State","","Transaction Amount","1.09000"</v>
      </c>
      <c r="O470" s="28"/>
      <c r="P470" s="37">
        <v>0</v>
      </c>
      <c r="Q470" s="38" t="str">
        <f>"401K"</f>
        <v>401K</v>
      </c>
      <c r="R470" s="39"/>
      <c r="S470" s="37">
        <v>1.0900000000000001</v>
      </c>
    </row>
    <row r="471" spans="1:19" hidden="1" outlineLevel="3">
      <c r="A471" s="25" t="s">
        <v>91</v>
      </c>
      <c r="C471" s="4" t="str">
        <f t="shared" ref="C471:C475" si="666">C470</f>
        <v>Robert</v>
      </c>
      <c r="D471" s="4" t="str">
        <f t="shared" ref="D471:D475" si="667">D470</f>
        <v>Lyon</v>
      </c>
      <c r="E471" s="27" t="str">
        <f t="shared" ref="E471:E475" si="668">E470</f>
        <v>SALES</v>
      </c>
      <c r="F471" s="27" t="str">
        <f t="shared" ref="F471:F475" si="669">F470</f>
        <v>LYON0001</v>
      </c>
      <c r="G471" s="15">
        <f t="shared" ref="G471:G475" si="670">G470</f>
        <v>41699</v>
      </c>
      <c r="H471" s="27" t="str">
        <f t="shared" ref="H471:H475" si="671">H470</f>
        <v>10120</v>
      </c>
      <c r="I471" s="27" t="str">
        <f>"""GP Direct"",""Fabrikam, Inc."",""Jet Payroll Transactions"",""Pay Rate"",""0.00000"",""Payroll Code"",""401K"",""State"","""",""Transaction Amount"",""21.79000"""</f>
        <v>"GP Direct","Fabrikam, Inc.","Jet Payroll Transactions","Pay Rate","0.00000","Payroll Code","401K","State","","Transaction Amount","21.79000"</v>
      </c>
      <c r="O471" s="28"/>
      <c r="P471" s="37">
        <v>0</v>
      </c>
      <c r="Q471" s="38" t="str">
        <f>"401K"</f>
        <v>401K</v>
      </c>
      <c r="R471" s="39"/>
      <c r="S471" s="37">
        <v>21.79</v>
      </c>
    </row>
    <row r="472" spans="1:19" hidden="1" outlineLevel="3">
      <c r="A472" s="25" t="s">
        <v>91</v>
      </c>
      <c r="C472" s="4" t="str">
        <f t="shared" si="666"/>
        <v>Robert</v>
      </c>
      <c r="D472" s="4" t="str">
        <f t="shared" si="667"/>
        <v>Lyon</v>
      </c>
      <c r="E472" s="27" t="str">
        <f t="shared" si="668"/>
        <v>SALES</v>
      </c>
      <c r="F472" s="27" t="str">
        <f t="shared" si="669"/>
        <v>LYON0001</v>
      </c>
      <c r="G472" s="15">
        <f t="shared" si="670"/>
        <v>41699</v>
      </c>
      <c r="H472" s="27" t="str">
        <f t="shared" si="671"/>
        <v>10120</v>
      </c>
      <c r="I472" s="27" t="str">
        <f>"""GP Direct"",""Fabrikam, Inc."",""Jet Payroll Transactions"",""Pay Rate"",""0.00000"",""Payroll Code"",""IL"",""State"","""",""Transaction Amount"",""19.74000"""</f>
        <v>"GP Direct","Fabrikam, Inc.","Jet Payroll Transactions","Pay Rate","0.00000","Payroll Code","IL","State","","Transaction Amount","19.74000"</v>
      </c>
      <c r="O472" s="28"/>
      <c r="P472" s="37">
        <v>0</v>
      </c>
      <c r="Q472" s="38" t="str">
        <f>"IL"</f>
        <v>IL</v>
      </c>
      <c r="R472" s="39"/>
      <c r="S472" s="37">
        <v>19.739999999999998</v>
      </c>
    </row>
    <row r="473" spans="1:19" hidden="1" outlineLevel="3">
      <c r="A473" s="25" t="s">
        <v>91</v>
      </c>
      <c r="C473" s="4" t="str">
        <f t="shared" si="666"/>
        <v>Robert</v>
      </c>
      <c r="D473" s="4" t="str">
        <f t="shared" si="667"/>
        <v>Lyon</v>
      </c>
      <c r="E473" s="27" t="str">
        <f t="shared" si="668"/>
        <v>SALES</v>
      </c>
      <c r="F473" s="27" t="str">
        <f t="shared" si="669"/>
        <v>LYON0001</v>
      </c>
      <c r="G473" s="15">
        <f t="shared" si="670"/>
        <v>41699</v>
      </c>
      <c r="H473" s="27" t="str">
        <f t="shared" si="671"/>
        <v>10120</v>
      </c>
      <c r="I473" s="27" t="str">
        <f>"""GP Direct"",""Fabrikam, Inc."",""Jet Payroll Transactions"",""Pay Rate"",""0.00000"",""Payroll Code"",""INS"",""State"","""",""Transaction Amount"",""49.36000"""</f>
        <v>"GP Direct","Fabrikam, Inc.","Jet Payroll Transactions","Pay Rate","0.00000","Payroll Code","INS","State","","Transaction Amount","49.36000"</v>
      </c>
      <c r="O473" s="28"/>
      <c r="P473" s="37">
        <v>0</v>
      </c>
      <c r="Q473" s="38" t="str">
        <f>"INS"</f>
        <v>INS</v>
      </c>
      <c r="R473" s="39"/>
      <c r="S473" s="37">
        <v>49.36</v>
      </c>
    </row>
    <row r="474" spans="1:19" hidden="1" outlineLevel="3">
      <c r="A474" s="25" t="s">
        <v>91</v>
      </c>
      <c r="C474" s="4" t="str">
        <f t="shared" si="666"/>
        <v>Robert</v>
      </c>
      <c r="D474" s="4" t="str">
        <f t="shared" si="667"/>
        <v>Lyon</v>
      </c>
      <c r="E474" s="27" t="str">
        <f t="shared" si="668"/>
        <v>SALES</v>
      </c>
      <c r="F474" s="27" t="str">
        <f t="shared" si="669"/>
        <v>LYON0001</v>
      </c>
      <c r="G474" s="15">
        <f t="shared" si="670"/>
        <v>41699</v>
      </c>
      <c r="H474" s="27" t="str">
        <f t="shared" si="671"/>
        <v>10120</v>
      </c>
      <c r="I474" s="27" t="str">
        <f>"""GP Direct"",""Fabrikam, Inc."",""Jet Payroll Transactions"",""Pay Rate"",""0.00000"",""Payroll Code"",""MED"",""State"","""",""Transaction Amount"",""5.00000"""</f>
        <v>"GP Direct","Fabrikam, Inc.","Jet Payroll Transactions","Pay Rate","0.00000","Payroll Code","MED","State","","Transaction Amount","5.00000"</v>
      </c>
      <c r="O474" s="28"/>
      <c r="P474" s="37">
        <v>0</v>
      </c>
      <c r="Q474" s="38" t="str">
        <f>"MED"</f>
        <v>MED</v>
      </c>
      <c r="R474" s="39"/>
      <c r="S474" s="37">
        <v>5</v>
      </c>
    </row>
    <row r="475" spans="1:19" hidden="1" outlineLevel="3">
      <c r="A475" s="25" t="s">
        <v>91</v>
      </c>
      <c r="C475" s="4" t="str">
        <f t="shared" si="666"/>
        <v>Robert</v>
      </c>
      <c r="D475" s="4" t="str">
        <f t="shared" si="667"/>
        <v>Lyon</v>
      </c>
      <c r="E475" s="27" t="str">
        <f t="shared" si="668"/>
        <v>SALES</v>
      </c>
      <c r="F475" s="27" t="str">
        <f t="shared" si="669"/>
        <v>LYON0001</v>
      </c>
      <c r="G475" s="15">
        <f t="shared" si="670"/>
        <v>41699</v>
      </c>
      <c r="H475" s="27" t="str">
        <f t="shared" si="671"/>
        <v>10120</v>
      </c>
      <c r="I475" s="27" t="str">
        <f>"""GP Direct"",""Fabrikam, Inc."",""Jet Payroll Transactions"",""Pay Rate"",""17432.00000"",""Payroll Code"",""SALY"",""State"",""IL"",""Transaction Amount"",""726.33000"""</f>
        <v>"GP Direct","Fabrikam, Inc.","Jet Payroll Transactions","Pay Rate","17432.00000","Payroll Code","SALY","State","IL","Transaction Amount","726.33000"</v>
      </c>
      <c r="O475" s="28"/>
      <c r="P475" s="37">
        <v>17432</v>
      </c>
      <c r="Q475" s="38" t="str">
        <f>"SALY"</f>
        <v>SALY</v>
      </c>
      <c r="R475" s="39" t="str">
        <f>"IL"</f>
        <v>IL</v>
      </c>
      <c r="S475" s="37">
        <v>726.33</v>
      </c>
    </row>
    <row r="476" spans="1:19" hidden="1" outlineLevel="3">
      <c r="A476" s="24" t="s">
        <v>2812</v>
      </c>
      <c r="C476" s="4" t="str">
        <f>C470</f>
        <v>Robert</v>
      </c>
      <c r="D476" s="4" t="str">
        <f>D470</f>
        <v>Lyon</v>
      </c>
      <c r="E476" s="27" t="str">
        <f>E470</f>
        <v>SALES</v>
      </c>
      <c r="F476" s="27" t="str">
        <f>F470</f>
        <v>LYON0001</v>
      </c>
      <c r="G476" s="15">
        <f>G470</f>
        <v>41699</v>
      </c>
      <c r="H476" s="27" t="str">
        <f>H470</f>
        <v>10120</v>
      </c>
      <c r="O476" s="28"/>
      <c r="S476" s="16"/>
    </row>
    <row r="477" spans="1:19" ht="12.75" hidden="1" outlineLevel="2" collapsed="1">
      <c r="A477" s="25" t="s">
        <v>91</v>
      </c>
      <c r="C477" s="4" t="str">
        <f t="shared" si="658"/>
        <v>Robert</v>
      </c>
      <c r="D477" s="4" t="str">
        <f t="shared" si="659"/>
        <v>Lyon</v>
      </c>
      <c r="E477" s="27" t="str">
        <f t="shared" si="660"/>
        <v>SALES</v>
      </c>
      <c r="F477" s="27" t="str">
        <f t="shared" si="661"/>
        <v>LYON0001</v>
      </c>
      <c r="G477" s="15">
        <f t="shared" si="664"/>
        <v>41699</v>
      </c>
      <c r="H477" s="27" t="str">
        <f t="shared" si="665"/>
        <v>10120</v>
      </c>
      <c r="N477" s="44" t="str">
        <f>"Total for " &amp; $H477</f>
        <v>Total for 10120</v>
      </c>
      <c r="O477" s="45">
        <f>G477</f>
        <v>41699</v>
      </c>
      <c r="P477" s="44"/>
      <c r="Q477" s="44"/>
      <c r="R477" s="44"/>
      <c r="S477" s="44">
        <f>SUBTOTAL(9,S470:S476)</f>
        <v>823.31000000000006</v>
      </c>
    </row>
    <row r="478" spans="1:19" ht="12.75" hidden="1" outlineLevel="2">
      <c r="A478" s="24" t="s">
        <v>2812</v>
      </c>
      <c r="C478" s="4" t="str">
        <f>C468</f>
        <v>Robert</v>
      </c>
      <c r="D478" s="4" t="str">
        <f>D468</f>
        <v>Lyon</v>
      </c>
      <c r="E478" s="27" t="str">
        <f>E468</f>
        <v>SALES</v>
      </c>
      <c r="F478" s="27" t="str">
        <f>F468</f>
        <v>LYON0001</v>
      </c>
      <c r="G478" s="14"/>
      <c r="J478" s="33"/>
      <c r="K478" s="33"/>
      <c r="L478" s="33"/>
      <c r="M478" s="33"/>
      <c r="N478" s="33"/>
      <c r="O478" s="33"/>
      <c r="P478" s="33"/>
      <c r="Q478" s="33"/>
      <c r="R478" s="33"/>
      <c r="S478" s="40"/>
    </row>
    <row r="479" spans="1:19" ht="12.75" hidden="1" outlineLevel="1" collapsed="1">
      <c r="A479" s="25" t="s">
        <v>91</v>
      </c>
      <c r="C479" s="4" t="str">
        <f t="shared" si="645"/>
        <v>Robert</v>
      </c>
      <c r="D479" s="4" t="str">
        <f t="shared" si="646"/>
        <v>Lyon</v>
      </c>
      <c r="E479" s="27" t="str">
        <f t="shared" si="503"/>
        <v>SALES</v>
      </c>
      <c r="F479" s="27" t="str">
        <f t="shared" si="647"/>
        <v>LYON0001</v>
      </c>
      <c r="G479" s="14"/>
      <c r="J479" s="33"/>
      <c r="K479" s="46" t="str">
        <f>"Total for " &amp; $F479</f>
        <v>Total for LYON0001</v>
      </c>
      <c r="L479" s="46" t="str">
        <f>C479</f>
        <v>Robert</v>
      </c>
      <c r="M479" s="46" t="str">
        <f>D479</f>
        <v>Lyon</v>
      </c>
      <c r="N479" s="46"/>
      <c r="O479" s="46"/>
      <c r="P479" s="46"/>
      <c r="Q479" s="46"/>
      <c r="R479" s="46"/>
      <c r="S479" s="47">
        <f>SUBTOTAL(9,S461:S478)</f>
        <v>1646.6200000000001</v>
      </c>
    </row>
    <row r="480" spans="1:19" ht="12.75" hidden="1" outlineLevel="2">
      <c r="A480" s="25" t="s">
        <v>91</v>
      </c>
      <c r="C480" s="4" t="str">
        <f t="shared" ref="C480" si="672">L480</f>
        <v>Jenny</v>
      </c>
      <c r="D480" s="4" t="str">
        <f t="shared" ref="D480" si="673">M480</f>
        <v>Lysaker</v>
      </c>
      <c r="E480" s="27" t="str">
        <f t="shared" si="503"/>
        <v>SALES</v>
      </c>
      <c r="F480" s="27" t="str">
        <f t="shared" ref="F480" si="674">K480</f>
        <v>LYSA0001</v>
      </c>
      <c r="G480" s="14"/>
      <c r="J480" s="31"/>
      <c r="K480" s="21" t="str">
        <f>"LYSA0001"</f>
        <v>LYSA0001</v>
      </c>
      <c r="L480" s="43" t="str">
        <f>"Jenny"</f>
        <v>Jenny</v>
      </c>
      <c r="M480" s="43" t="str">
        <f>"Lysaker"</f>
        <v>Lysaker</v>
      </c>
      <c r="N480" s="43"/>
      <c r="O480" s="34"/>
      <c r="P480" s="33"/>
      <c r="Q480" s="33"/>
      <c r="R480" s="33"/>
      <c r="S480" s="35"/>
    </row>
    <row r="481" spans="1:19" ht="12.75" hidden="1" outlineLevel="3">
      <c r="A481" s="25" t="s">
        <v>91</v>
      </c>
      <c r="C481" s="4" t="str">
        <f t="shared" ref="C481:C502" si="675">C480</f>
        <v>Jenny</v>
      </c>
      <c r="D481" s="4" t="str">
        <f t="shared" ref="D481:D502" si="676">D480</f>
        <v>Lysaker</v>
      </c>
      <c r="E481" s="27" t="str">
        <f t="shared" si="503"/>
        <v>SALES</v>
      </c>
      <c r="F481" s="27" t="str">
        <f t="shared" ref="F481:F502" si="677">F480</f>
        <v>LYSA0001</v>
      </c>
      <c r="G481" s="15">
        <f t="shared" ref="G481" si="678">O481</f>
        <v>41671</v>
      </c>
      <c r="H481" s="27" t="str">
        <f t="shared" ref="H481" si="679">N481</f>
        <v>10096</v>
      </c>
      <c r="J481" s="33"/>
      <c r="K481" s="33"/>
      <c r="L481" s="33"/>
      <c r="M481" s="33"/>
      <c r="N481" s="32" t="str">
        <f>"10096"</f>
        <v>10096</v>
      </c>
      <c r="O481" s="36">
        <v>41671</v>
      </c>
      <c r="P481" s="33"/>
      <c r="Q481" s="33"/>
      <c r="R481" s="33"/>
      <c r="S481" s="33"/>
    </row>
    <row r="482" spans="1:19" hidden="1" outlineLevel="3">
      <c r="A482" s="25" t="s">
        <v>91</v>
      </c>
      <c r="C482" s="4" t="str">
        <f t="shared" si="675"/>
        <v>Jenny</v>
      </c>
      <c r="D482" s="4" t="str">
        <f t="shared" si="676"/>
        <v>Lysaker</v>
      </c>
      <c r="E482" s="27" t="str">
        <f t="shared" si="503"/>
        <v>SALES</v>
      </c>
      <c r="F482" s="27" t="str">
        <f t="shared" si="677"/>
        <v>LYSA0001</v>
      </c>
      <c r="G482" s="15">
        <f t="shared" ref="G482:G490" si="680">G481</f>
        <v>41671</v>
      </c>
      <c r="H482" s="27" t="str">
        <f t="shared" ref="H482:H490" si="681">H481</f>
        <v>10096</v>
      </c>
      <c r="I482" s="27" t="str">
        <f>"""GP Direct"",""Fabrikam, Inc."",""Jet Payroll Transactions"",""Pay Rate"",""0.00000"",""Payroll Code"",""401K"",""State"","""",""Transaction Amount"",""1.12000"""</f>
        <v>"GP Direct","Fabrikam, Inc.","Jet Payroll Transactions","Pay Rate","0.00000","Payroll Code","401K","State","","Transaction Amount","1.12000"</v>
      </c>
      <c r="O482" s="28"/>
      <c r="P482" s="37">
        <v>0</v>
      </c>
      <c r="Q482" s="38" t="str">
        <f>"401K"</f>
        <v>401K</v>
      </c>
      <c r="R482" s="39"/>
      <c r="S482" s="37">
        <v>1.1200000000000001</v>
      </c>
    </row>
    <row r="483" spans="1:19" hidden="1" outlineLevel="3">
      <c r="A483" s="25" t="s">
        <v>91</v>
      </c>
      <c r="C483" s="4" t="str">
        <f t="shared" ref="C483:C488" si="682">C482</f>
        <v>Jenny</v>
      </c>
      <c r="D483" s="4" t="str">
        <f t="shared" ref="D483:D488" si="683">D482</f>
        <v>Lysaker</v>
      </c>
      <c r="E483" s="27" t="str">
        <f t="shared" ref="E483:E488" si="684">E482</f>
        <v>SALES</v>
      </c>
      <c r="F483" s="27" t="str">
        <f t="shared" ref="F483:F488" si="685">F482</f>
        <v>LYSA0001</v>
      </c>
      <c r="G483" s="15">
        <f t="shared" ref="G483:G488" si="686">G482</f>
        <v>41671</v>
      </c>
      <c r="H483" s="27" t="str">
        <f t="shared" ref="H483:H488" si="687">H482</f>
        <v>10096</v>
      </c>
      <c r="I483" s="27" t="str">
        <f>"""GP Direct"",""Fabrikam, Inc."",""Jet Payroll Transactions"",""Pay Rate"",""0.00000"",""Payroll Code"",""401K"",""State"","""",""Transaction Amount"",""22.44000"""</f>
        <v>"GP Direct","Fabrikam, Inc.","Jet Payroll Transactions","Pay Rate","0.00000","Payroll Code","401K","State","","Transaction Amount","22.44000"</v>
      </c>
      <c r="O483" s="28"/>
      <c r="P483" s="37">
        <v>0</v>
      </c>
      <c r="Q483" s="38" t="str">
        <f>"401K"</f>
        <v>401K</v>
      </c>
      <c r="R483" s="39"/>
      <c r="S483" s="37">
        <v>22.44</v>
      </c>
    </row>
    <row r="484" spans="1:19" hidden="1" outlineLevel="3">
      <c r="A484" s="25" t="s">
        <v>91</v>
      </c>
      <c r="C484" s="4" t="str">
        <f t="shared" si="682"/>
        <v>Jenny</v>
      </c>
      <c r="D484" s="4" t="str">
        <f t="shared" si="683"/>
        <v>Lysaker</v>
      </c>
      <c r="E484" s="27" t="str">
        <f t="shared" si="684"/>
        <v>SALES</v>
      </c>
      <c r="F484" s="27" t="str">
        <f t="shared" si="685"/>
        <v>LYSA0001</v>
      </c>
      <c r="G484" s="15">
        <f t="shared" si="686"/>
        <v>41671</v>
      </c>
      <c r="H484" s="27" t="str">
        <f t="shared" si="687"/>
        <v>10096</v>
      </c>
      <c r="I484" s="27" t="str">
        <f>"""GP Direct"",""Fabrikam, Inc."",""Jet Payroll Transactions"",""Pay Rate"",""0.00000"",""Payroll Code"",""IL"",""State"","""",""Transaction Amount"",""8.98000"""</f>
        <v>"GP Direct","Fabrikam, Inc.","Jet Payroll Transactions","Pay Rate","0.00000","Payroll Code","IL","State","","Transaction Amount","8.98000"</v>
      </c>
      <c r="O484" s="28"/>
      <c r="P484" s="37">
        <v>0</v>
      </c>
      <c r="Q484" s="38" t="str">
        <f>"IL"</f>
        <v>IL</v>
      </c>
      <c r="R484" s="39"/>
      <c r="S484" s="37">
        <v>8.98</v>
      </c>
    </row>
    <row r="485" spans="1:19" hidden="1" outlineLevel="3">
      <c r="A485" s="25" t="s">
        <v>91</v>
      </c>
      <c r="C485" s="4" t="str">
        <f t="shared" si="682"/>
        <v>Jenny</v>
      </c>
      <c r="D485" s="4" t="str">
        <f t="shared" si="683"/>
        <v>Lysaker</v>
      </c>
      <c r="E485" s="27" t="str">
        <f t="shared" si="684"/>
        <v>SALES</v>
      </c>
      <c r="F485" s="27" t="str">
        <f t="shared" si="685"/>
        <v>LYSA0001</v>
      </c>
      <c r="G485" s="15">
        <f t="shared" si="686"/>
        <v>41671</v>
      </c>
      <c r="H485" s="27" t="str">
        <f t="shared" si="687"/>
        <v>10096</v>
      </c>
      <c r="I485" s="27" t="str">
        <f>"""GP Direct"",""Fabrikam, Inc."",""Jet Payroll Transactions"",""Pay Rate"",""0.00000"",""Payroll Code"",""INS"",""State"","""",""Transaction Amount"",""49.36000"""</f>
        <v>"GP Direct","Fabrikam, Inc.","Jet Payroll Transactions","Pay Rate","0.00000","Payroll Code","INS","State","","Transaction Amount","49.36000"</v>
      </c>
      <c r="O485" s="28"/>
      <c r="P485" s="37">
        <v>0</v>
      </c>
      <c r="Q485" s="38" t="str">
        <f>"INS"</f>
        <v>INS</v>
      </c>
      <c r="R485" s="39"/>
      <c r="S485" s="37">
        <v>49.36</v>
      </c>
    </row>
    <row r="486" spans="1:19" hidden="1" outlineLevel="3">
      <c r="A486" s="25" t="s">
        <v>91</v>
      </c>
      <c r="C486" s="4" t="str">
        <f t="shared" si="682"/>
        <v>Jenny</v>
      </c>
      <c r="D486" s="4" t="str">
        <f t="shared" si="683"/>
        <v>Lysaker</v>
      </c>
      <c r="E486" s="27" t="str">
        <f t="shared" si="684"/>
        <v>SALES</v>
      </c>
      <c r="F486" s="27" t="str">
        <f t="shared" si="685"/>
        <v>LYSA0001</v>
      </c>
      <c r="G486" s="15">
        <f t="shared" si="686"/>
        <v>41671</v>
      </c>
      <c r="H486" s="27" t="str">
        <f t="shared" si="687"/>
        <v>10096</v>
      </c>
      <c r="I486" s="27" t="str">
        <f>"""GP Direct"",""Fabrikam, Inc."",""Jet Payroll Transactions"",""Pay Rate"",""0.00000"",""Payroll Code"",""INS2"",""State"","""",""Transaction Amount"",""72.95000"""</f>
        <v>"GP Direct","Fabrikam, Inc.","Jet Payroll Transactions","Pay Rate","0.00000","Payroll Code","INS2","State","","Transaction Amount","72.95000"</v>
      </c>
      <c r="O486" s="28"/>
      <c r="P486" s="37">
        <v>0</v>
      </c>
      <c r="Q486" s="38" t="str">
        <f>"INS2"</f>
        <v>INS2</v>
      </c>
      <c r="R486" s="39"/>
      <c r="S486" s="37">
        <v>72.95</v>
      </c>
    </row>
    <row r="487" spans="1:19" hidden="1" outlineLevel="3">
      <c r="A487" s="25" t="s">
        <v>91</v>
      </c>
      <c r="C487" s="4" t="str">
        <f t="shared" si="682"/>
        <v>Jenny</v>
      </c>
      <c r="D487" s="4" t="str">
        <f t="shared" si="683"/>
        <v>Lysaker</v>
      </c>
      <c r="E487" s="27" t="str">
        <f t="shared" si="684"/>
        <v>SALES</v>
      </c>
      <c r="F487" s="27" t="str">
        <f t="shared" si="685"/>
        <v>LYSA0001</v>
      </c>
      <c r="G487" s="15">
        <f t="shared" si="686"/>
        <v>41671</v>
      </c>
      <c r="H487" s="27" t="str">
        <f t="shared" si="687"/>
        <v>10096</v>
      </c>
      <c r="I487" s="27" t="str">
        <f>"""GP Direct"",""Fabrikam, Inc."",""Jet Payroll Transactions"",""Pay Rate"",""0.00000"",""Payroll Code"",""MED"",""State"","""",""Transaction Amount"",""20.00000"""</f>
        <v>"GP Direct","Fabrikam, Inc.","Jet Payroll Transactions","Pay Rate","0.00000","Payroll Code","MED","State","","Transaction Amount","20.00000"</v>
      </c>
      <c r="O487" s="28"/>
      <c r="P487" s="37">
        <v>0</v>
      </c>
      <c r="Q487" s="38" t="str">
        <f>"MED"</f>
        <v>MED</v>
      </c>
      <c r="R487" s="39"/>
      <c r="S487" s="37">
        <v>20</v>
      </c>
    </row>
    <row r="488" spans="1:19" hidden="1" outlineLevel="3">
      <c r="A488" s="25" t="s">
        <v>91</v>
      </c>
      <c r="C488" s="4" t="str">
        <f t="shared" si="682"/>
        <v>Jenny</v>
      </c>
      <c r="D488" s="4" t="str">
        <f t="shared" si="683"/>
        <v>Lysaker</v>
      </c>
      <c r="E488" s="27" t="str">
        <f t="shared" si="684"/>
        <v>SALES</v>
      </c>
      <c r="F488" s="27" t="str">
        <f t="shared" si="685"/>
        <v>LYSA0001</v>
      </c>
      <c r="G488" s="15">
        <f t="shared" si="686"/>
        <v>41671</v>
      </c>
      <c r="H488" s="27" t="str">
        <f t="shared" si="687"/>
        <v>10096</v>
      </c>
      <c r="I488" s="27" t="str">
        <f>"""GP Direct"",""Fabrikam, Inc."",""Jet Payroll Transactions"",""Pay Rate"",""17955.00000"",""Payroll Code"",""SALY"",""State"",""IL"",""Transaction Amount"",""748.13000"""</f>
        <v>"GP Direct","Fabrikam, Inc.","Jet Payroll Transactions","Pay Rate","17955.00000","Payroll Code","SALY","State","IL","Transaction Amount","748.13000"</v>
      </c>
      <c r="O488" s="28"/>
      <c r="P488" s="37">
        <v>17955</v>
      </c>
      <c r="Q488" s="38" t="str">
        <f>"SALY"</f>
        <v>SALY</v>
      </c>
      <c r="R488" s="39" t="str">
        <f>"IL"</f>
        <v>IL</v>
      </c>
      <c r="S488" s="37">
        <v>748.13</v>
      </c>
    </row>
    <row r="489" spans="1:19" hidden="1" outlineLevel="3">
      <c r="A489" s="24" t="s">
        <v>2812</v>
      </c>
      <c r="C489" s="4" t="str">
        <f>C482</f>
        <v>Jenny</v>
      </c>
      <c r="D489" s="4" t="str">
        <f>D482</f>
        <v>Lysaker</v>
      </c>
      <c r="E489" s="27" t="str">
        <f>E482</f>
        <v>SALES</v>
      </c>
      <c r="F489" s="27" t="str">
        <f>F482</f>
        <v>LYSA0001</v>
      </c>
      <c r="G489" s="15">
        <f>G482</f>
        <v>41671</v>
      </c>
      <c r="H489" s="27" t="str">
        <f>H482</f>
        <v>10096</v>
      </c>
      <c r="O489" s="28"/>
      <c r="S489" s="16"/>
    </row>
    <row r="490" spans="1:19" ht="12.75" hidden="1" outlineLevel="2" collapsed="1">
      <c r="A490" s="25" t="s">
        <v>91</v>
      </c>
      <c r="C490" s="4" t="str">
        <f t="shared" si="675"/>
        <v>Jenny</v>
      </c>
      <c r="D490" s="4" t="str">
        <f t="shared" si="676"/>
        <v>Lysaker</v>
      </c>
      <c r="E490" s="27" t="str">
        <f t="shared" si="503"/>
        <v>SALES</v>
      </c>
      <c r="F490" s="27" t="str">
        <f t="shared" si="677"/>
        <v>LYSA0001</v>
      </c>
      <c r="G490" s="15">
        <f t="shared" si="680"/>
        <v>41671</v>
      </c>
      <c r="H490" s="27" t="str">
        <f t="shared" si="681"/>
        <v>10096</v>
      </c>
      <c r="N490" s="44" t="str">
        <f>"Total for " &amp; $H490</f>
        <v>Total for 10096</v>
      </c>
      <c r="O490" s="45">
        <f>G490</f>
        <v>41671</v>
      </c>
      <c r="P490" s="44"/>
      <c r="Q490" s="44"/>
      <c r="R490" s="44"/>
      <c r="S490" s="44">
        <f>SUBTOTAL(9,S482:S489)</f>
        <v>922.98</v>
      </c>
    </row>
    <row r="491" spans="1:19" ht="12.75" hidden="1" outlineLevel="3">
      <c r="A491" s="25" t="s">
        <v>91</v>
      </c>
      <c r="C491" s="4" t="str">
        <f t="shared" ref="C491:C500" si="688">C490</f>
        <v>Jenny</v>
      </c>
      <c r="D491" s="4" t="str">
        <f t="shared" ref="D491:D500" si="689">D490</f>
        <v>Lysaker</v>
      </c>
      <c r="E491" s="27" t="str">
        <f t="shared" ref="E491:E500" si="690">E490</f>
        <v>SALES</v>
      </c>
      <c r="F491" s="27" t="str">
        <f t="shared" ref="F491:F500" si="691">F490</f>
        <v>LYSA0001</v>
      </c>
      <c r="G491" s="15">
        <f t="shared" ref="G491" si="692">O491</f>
        <v>41699</v>
      </c>
      <c r="H491" s="27" t="str">
        <f t="shared" ref="H491" si="693">N491</f>
        <v>10121</v>
      </c>
      <c r="J491" s="33"/>
      <c r="K491" s="33"/>
      <c r="L491" s="33"/>
      <c r="M491" s="33"/>
      <c r="N491" s="32" t="str">
        <f>"10121"</f>
        <v>10121</v>
      </c>
      <c r="O491" s="36">
        <v>41699</v>
      </c>
      <c r="P491" s="33"/>
      <c r="Q491" s="33"/>
      <c r="R491" s="33"/>
      <c r="S491" s="33"/>
    </row>
    <row r="492" spans="1:19" hidden="1" outlineLevel="3">
      <c r="A492" s="25" t="s">
        <v>91</v>
      </c>
      <c r="C492" s="4" t="str">
        <f t="shared" si="688"/>
        <v>Jenny</v>
      </c>
      <c r="D492" s="4" t="str">
        <f t="shared" si="689"/>
        <v>Lysaker</v>
      </c>
      <c r="E492" s="27" t="str">
        <f t="shared" si="690"/>
        <v>SALES</v>
      </c>
      <c r="F492" s="27" t="str">
        <f t="shared" si="691"/>
        <v>LYSA0001</v>
      </c>
      <c r="G492" s="15">
        <f t="shared" ref="G492:G500" si="694">G491</f>
        <v>41699</v>
      </c>
      <c r="H492" s="27" t="str">
        <f t="shared" ref="H492:H500" si="695">H491</f>
        <v>10121</v>
      </c>
      <c r="I492" s="27" t="str">
        <f>"""GP Direct"",""Fabrikam, Inc."",""Jet Payroll Transactions"",""Pay Rate"",""0.00000"",""Payroll Code"",""401K"",""State"","""",""Transaction Amount"",""1.12000"""</f>
        <v>"GP Direct","Fabrikam, Inc.","Jet Payroll Transactions","Pay Rate","0.00000","Payroll Code","401K","State","","Transaction Amount","1.12000"</v>
      </c>
      <c r="O492" s="28"/>
      <c r="P492" s="37">
        <v>0</v>
      </c>
      <c r="Q492" s="38" t="str">
        <f>"401K"</f>
        <v>401K</v>
      </c>
      <c r="R492" s="39"/>
      <c r="S492" s="37">
        <v>1.1200000000000001</v>
      </c>
    </row>
    <row r="493" spans="1:19" hidden="1" outlineLevel="3">
      <c r="A493" s="25" t="s">
        <v>91</v>
      </c>
      <c r="C493" s="4" t="str">
        <f t="shared" ref="C493:C498" si="696">C492</f>
        <v>Jenny</v>
      </c>
      <c r="D493" s="4" t="str">
        <f t="shared" ref="D493:D498" si="697">D492</f>
        <v>Lysaker</v>
      </c>
      <c r="E493" s="27" t="str">
        <f t="shared" ref="E493:E498" si="698">E492</f>
        <v>SALES</v>
      </c>
      <c r="F493" s="27" t="str">
        <f t="shared" ref="F493:F498" si="699">F492</f>
        <v>LYSA0001</v>
      </c>
      <c r="G493" s="15">
        <f t="shared" ref="G493:G498" si="700">G492</f>
        <v>41699</v>
      </c>
      <c r="H493" s="27" t="str">
        <f t="shared" ref="H493:H498" si="701">H492</f>
        <v>10121</v>
      </c>
      <c r="I493" s="27" t="str">
        <f>"""GP Direct"",""Fabrikam, Inc."",""Jet Payroll Transactions"",""Pay Rate"",""0.00000"",""Payroll Code"",""401K"",""State"","""",""Transaction Amount"",""22.44000"""</f>
        <v>"GP Direct","Fabrikam, Inc.","Jet Payroll Transactions","Pay Rate","0.00000","Payroll Code","401K","State","","Transaction Amount","22.44000"</v>
      </c>
      <c r="O493" s="28"/>
      <c r="P493" s="37">
        <v>0</v>
      </c>
      <c r="Q493" s="38" t="str">
        <f>"401K"</f>
        <v>401K</v>
      </c>
      <c r="R493" s="39"/>
      <c r="S493" s="37">
        <v>22.44</v>
      </c>
    </row>
    <row r="494" spans="1:19" hidden="1" outlineLevel="3">
      <c r="A494" s="25" t="s">
        <v>91</v>
      </c>
      <c r="C494" s="4" t="str">
        <f t="shared" si="696"/>
        <v>Jenny</v>
      </c>
      <c r="D494" s="4" t="str">
        <f t="shared" si="697"/>
        <v>Lysaker</v>
      </c>
      <c r="E494" s="27" t="str">
        <f t="shared" si="698"/>
        <v>SALES</v>
      </c>
      <c r="F494" s="27" t="str">
        <f t="shared" si="699"/>
        <v>LYSA0001</v>
      </c>
      <c r="G494" s="15">
        <f t="shared" si="700"/>
        <v>41699</v>
      </c>
      <c r="H494" s="27" t="str">
        <f t="shared" si="701"/>
        <v>10121</v>
      </c>
      <c r="I494" s="27" t="str">
        <f>"""GP Direct"",""Fabrikam, Inc."",""Jet Payroll Transactions"",""Pay Rate"",""0.00000"",""Payroll Code"",""IL"",""State"","""",""Transaction Amount"",""8.98000"""</f>
        <v>"GP Direct","Fabrikam, Inc.","Jet Payroll Transactions","Pay Rate","0.00000","Payroll Code","IL","State","","Transaction Amount","8.98000"</v>
      </c>
      <c r="O494" s="28"/>
      <c r="P494" s="37">
        <v>0</v>
      </c>
      <c r="Q494" s="38" t="str">
        <f>"IL"</f>
        <v>IL</v>
      </c>
      <c r="R494" s="39"/>
      <c r="S494" s="37">
        <v>8.98</v>
      </c>
    </row>
    <row r="495" spans="1:19" hidden="1" outlineLevel="3">
      <c r="A495" s="25" t="s">
        <v>91</v>
      </c>
      <c r="C495" s="4" t="str">
        <f t="shared" si="696"/>
        <v>Jenny</v>
      </c>
      <c r="D495" s="4" t="str">
        <f t="shared" si="697"/>
        <v>Lysaker</v>
      </c>
      <c r="E495" s="27" t="str">
        <f t="shared" si="698"/>
        <v>SALES</v>
      </c>
      <c r="F495" s="27" t="str">
        <f t="shared" si="699"/>
        <v>LYSA0001</v>
      </c>
      <c r="G495" s="15">
        <f t="shared" si="700"/>
        <v>41699</v>
      </c>
      <c r="H495" s="27" t="str">
        <f t="shared" si="701"/>
        <v>10121</v>
      </c>
      <c r="I495" s="27" t="str">
        <f>"""GP Direct"",""Fabrikam, Inc."",""Jet Payroll Transactions"",""Pay Rate"",""0.00000"",""Payroll Code"",""INS"",""State"","""",""Transaction Amount"",""49.36000"""</f>
        <v>"GP Direct","Fabrikam, Inc.","Jet Payroll Transactions","Pay Rate","0.00000","Payroll Code","INS","State","","Transaction Amount","49.36000"</v>
      </c>
      <c r="O495" s="28"/>
      <c r="P495" s="37">
        <v>0</v>
      </c>
      <c r="Q495" s="38" t="str">
        <f>"INS"</f>
        <v>INS</v>
      </c>
      <c r="R495" s="39"/>
      <c r="S495" s="37">
        <v>49.36</v>
      </c>
    </row>
    <row r="496" spans="1:19" hidden="1" outlineLevel="3">
      <c r="A496" s="25" t="s">
        <v>91</v>
      </c>
      <c r="C496" s="4" t="str">
        <f t="shared" si="696"/>
        <v>Jenny</v>
      </c>
      <c r="D496" s="4" t="str">
        <f t="shared" si="697"/>
        <v>Lysaker</v>
      </c>
      <c r="E496" s="27" t="str">
        <f t="shared" si="698"/>
        <v>SALES</v>
      </c>
      <c r="F496" s="27" t="str">
        <f t="shared" si="699"/>
        <v>LYSA0001</v>
      </c>
      <c r="G496" s="15">
        <f t="shared" si="700"/>
        <v>41699</v>
      </c>
      <c r="H496" s="27" t="str">
        <f t="shared" si="701"/>
        <v>10121</v>
      </c>
      <c r="I496" s="27" t="str">
        <f>"""GP Direct"",""Fabrikam, Inc."",""Jet Payroll Transactions"",""Pay Rate"",""0.00000"",""Payroll Code"",""INS2"",""State"","""",""Transaction Amount"",""72.95000"""</f>
        <v>"GP Direct","Fabrikam, Inc.","Jet Payroll Transactions","Pay Rate","0.00000","Payroll Code","INS2","State","","Transaction Amount","72.95000"</v>
      </c>
      <c r="O496" s="28"/>
      <c r="P496" s="37">
        <v>0</v>
      </c>
      <c r="Q496" s="38" t="str">
        <f>"INS2"</f>
        <v>INS2</v>
      </c>
      <c r="R496" s="39"/>
      <c r="S496" s="37">
        <v>72.95</v>
      </c>
    </row>
    <row r="497" spans="1:19" hidden="1" outlineLevel="3">
      <c r="A497" s="25" t="s">
        <v>91</v>
      </c>
      <c r="C497" s="4" t="str">
        <f t="shared" si="696"/>
        <v>Jenny</v>
      </c>
      <c r="D497" s="4" t="str">
        <f t="shared" si="697"/>
        <v>Lysaker</v>
      </c>
      <c r="E497" s="27" t="str">
        <f t="shared" si="698"/>
        <v>SALES</v>
      </c>
      <c r="F497" s="27" t="str">
        <f t="shared" si="699"/>
        <v>LYSA0001</v>
      </c>
      <c r="G497" s="15">
        <f t="shared" si="700"/>
        <v>41699</v>
      </c>
      <c r="H497" s="27" t="str">
        <f t="shared" si="701"/>
        <v>10121</v>
      </c>
      <c r="I497" s="27" t="str">
        <f>"""GP Direct"",""Fabrikam, Inc."",""Jet Payroll Transactions"",""Pay Rate"",""0.00000"",""Payroll Code"",""MED"",""State"","""",""Transaction Amount"",""20.00000"""</f>
        <v>"GP Direct","Fabrikam, Inc.","Jet Payroll Transactions","Pay Rate","0.00000","Payroll Code","MED","State","","Transaction Amount","20.00000"</v>
      </c>
      <c r="O497" s="28"/>
      <c r="P497" s="37">
        <v>0</v>
      </c>
      <c r="Q497" s="38" t="str">
        <f>"MED"</f>
        <v>MED</v>
      </c>
      <c r="R497" s="39"/>
      <c r="S497" s="37">
        <v>20</v>
      </c>
    </row>
    <row r="498" spans="1:19" hidden="1" outlineLevel="3">
      <c r="A498" s="25" t="s">
        <v>91</v>
      </c>
      <c r="C498" s="4" t="str">
        <f t="shared" si="696"/>
        <v>Jenny</v>
      </c>
      <c r="D498" s="4" t="str">
        <f t="shared" si="697"/>
        <v>Lysaker</v>
      </c>
      <c r="E498" s="27" t="str">
        <f t="shared" si="698"/>
        <v>SALES</v>
      </c>
      <c r="F498" s="27" t="str">
        <f t="shared" si="699"/>
        <v>LYSA0001</v>
      </c>
      <c r="G498" s="15">
        <f t="shared" si="700"/>
        <v>41699</v>
      </c>
      <c r="H498" s="27" t="str">
        <f t="shared" si="701"/>
        <v>10121</v>
      </c>
      <c r="I498" s="27" t="str">
        <f>"""GP Direct"",""Fabrikam, Inc."",""Jet Payroll Transactions"",""Pay Rate"",""17955.00000"",""Payroll Code"",""SALY"",""State"",""IL"",""Transaction Amount"",""748.13000"""</f>
        <v>"GP Direct","Fabrikam, Inc.","Jet Payroll Transactions","Pay Rate","17955.00000","Payroll Code","SALY","State","IL","Transaction Amount","748.13000"</v>
      </c>
      <c r="O498" s="28"/>
      <c r="P498" s="37">
        <v>17955</v>
      </c>
      <c r="Q498" s="38" t="str">
        <f>"SALY"</f>
        <v>SALY</v>
      </c>
      <c r="R498" s="39" t="str">
        <f>"IL"</f>
        <v>IL</v>
      </c>
      <c r="S498" s="37">
        <v>748.13</v>
      </c>
    </row>
    <row r="499" spans="1:19" hidden="1" outlineLevel="3">
      <c r="A499" s="24" t="s">
        <v>2812</v>
      </c>
      <c r="C499" s="4" t="str">
        <f>C492</f>
        <v>Jenny</v>
      </c>
      <c r="D499" s="4" t="str">
        <f>D492</f>
        <v>Lysaker</v>
      </c>
      <c r="E499" s="27" t="str">
        <f>E492</f>
        <v>SALES</v>
      </c>
      <c r="F499" s="27" t="str">
        <f>F492</f>
        <v>LYSA0001</v>
      </c>
      <c r="G499" s="15">
        <f>G492</f>
        <v>41699</v>
      </c>
      <c r="H499" s="27" t="str">
        <f>H492</f>
        <v>10121</v>
      </c>
      <c r="O499" s="28"/>
      <c r="S499" s="16"/>
    </row>
    <row r="500" spans="1:19" ht="12.75" hidden="1" outlineLevel="2" collapsed="1">
      <c r="A500" s="25" t="s">
        <v>91</v>
      </c>
      <c r="C500" s="4" t="str">
        <f t="shared" si="688"/>
        <v>Jenny</v>
      </c>
      <c r="D500" s="4" t="str">
        <f t="shared" si="689"/>
        <v>Lysaker</v>
      </c>
      <c r="E500" s="27" t="str">
        <f t="shared" si="690"/>
        <v>SALES</v>
      </c>
      <c r="F500" s="27" t="str">
        <f t="shared" si="691"/>
        <v>LYSA0001</v>
      </c>
      <c r="G500" s="15">
        <f t="shared" si="694"/>
        <v>41699</v>
      </c>
      <c r="H500" s="27" t="str">
        <f t="shared" si="695"/>
        <v>10121</v>
      </c>
      <c r="N500" s="44" t="str">
        <f>"Total for " &amp; $H500</f>
        <v>Total for 10121</v>
      </c>
      <c r="O500" s="45">
        <f>G500</f>
        <v>41699</v>
      </c>
      <c r="P500" s="44"/>
      <c r="Q500" s="44"/>
      <c r="R500" s="44"/>
      <c r="S500" s="44">
        <f>SUBTOTAL(9,S492:S499)</f>
        <v>922.98</v>
      </c>
    </row>
    <row r="501" spans="1:19" ht="12.75" hidden="1" outlineLevel="2">
      <c r="A501" s="24" t="s">
        <v>2812</v>
      </c>
      <c r="C501" s="4" t="str">
        <f>C490</f>
        <v>Jenny</v>
      </c>
      <c r="D501" s="4" t="str">
        <f>D490</f>
        <v>Lysaker</v>
      </c>
      <c r="E501" s="27" t="str">
        <f>E490</f>
        <v>SALES</v>
      </c>
      <c r="F501" s="27" t="str">
        <f>F490</f>
        <v>LYSA0001</v>
      </c>
      <c r="G501" s="14"/>
      <c r="J501" s="33"/>
      <c r="K501" s="33"/>
      <c r="L501" s="33"/>
      <c r="M501" s="33"/>
      <c r="N501" s="33"/>
      <c r="O501" s="33"/>
      <c r="P501" s="33"/>
      <c r="Q501" s="33"/>
      <c r="R501" s="33"/>
      <c r="S501" s="40"/>
    </row>
    <row r="502" spans="1:19" ht="12.75" hidden="1" outlineLevel="1" collapsed="1">
      <c r="A502" s="25" t="s">
        <v>91</v>
      </c>
      <c r="C502" s="4" t="str">
        <f t="shared" si="675"/>
        <v>Jenny</v>
      </c>
      <c r="D502" s="4" t="str">
        <f t="shared" si="676"/>
        <v>Lysaker</v>
      </c>
      <c r="E502" s="27" t="str">
        <f t="shared" si="503"/>
        <v>SALES</v>
      </c>
      <c r="F502" s="27" t="str">
        <f t="shared" si="677"/>
        <v>LYSA0001</v>
      </c>
      <c r="G502" s="14"/>
      <c r="J502" s="33"/>
      <c r="K502" s="46" t="str">
        <f>"Total for " &amp; $F502</f>
        <v>Total for LYSA0001</v>
      </c>
      <c r="L502" s="46" t="str">
        <f>C502</f>
        <v>Jenny</v>
      </c>
      <c r="M502" s="46" t="str">
        <f>D502</f>
        <v>Lysaker</v>
      </c>
      <c r="N502" s="46"/>
      <c r="O502" s="46"/>
      <c r="P502" s="46"/>
      <c r="Q502" s="46"/>
      <c r="R502" s="46"/>
      <c r="S502" s="47">
        <f>SUBTOTAL(9,S482:S501)</f>
        <v>1845.96</v>
      </c>
    </row>
    <row r="503" spans="1:19" ht="12.75" hidden="1" outlineLevel="2">
      <c r="A503" s="25" t="s">
        <v>91</v>
      </c>
      <c r="C503" s="4" t="str">
        <f t="shared" ref="C503" si="702">L503</f>
        <v>Sandra</v>
      </c>
      <c r="D503" s="4" t="str">
        <f t="shared" ref="D503" si="703">M503</f>
        <v>Martinez</v>
      </c>
      <c r="E503" s="27" t="str">
        <f t="shared" si="503"/>
        <v>SALES</v>
      </c>
      <c r="F503" s="27" t="str">
        <f t="shared" ref="F503" si="704">K503</f>
        <v>MART0001</v>
      </c>
      <c r="G503" s="14"/>
      <c r="J503" s="31"/>
      <c r="K503" s="21" t="str">
        <f>"MART0001"</f>
        <v>MART0001</v>
      </c>
      <c r="L503" s="43" t="str">
        <f>"Sandra"</f>
        <v>Sandra</v>
      </c>
      <c r="M503" s="43" t="str">
        <f>"Martinez"</f>
        <v>Martinez</v>
      </c>
      <c r="N503" s="43"/>
      <c r="O503" s="34"/>
      <c r="P503" s="33"/>
      <c r="Q503" s="33"/>
      <c r="R503" s="33"/>
      <c r="S503" s="35"/>
    </row>
    <row r="504" spans="1:19" ht="12.75" hidden="1" outlineLevel="3">
      <c r="A504" s="25" t="s">
        <v>91</v>
      </c>
      <c r="C504" s="4" t="str">
        <f t="shared" ref="C504:C528" si="705">C503</f>
        <v>Sandra</v>
      </c>
      <c r="D504" s="4" t="str">
        <f t="shared" ref="D504:D528" si="706">D503</f>
        <v>Martinez</v>
      </c>
      <c r="E504" s="27" t="str">
        <f t="shared" si="503"/>
        <v>SALES</v>
      </c>
      <c r="F504" s="27" t="str">
        <f t="shared" ref="F504:F528" si="707">F503</f>
        <v>MART0001</v>
      </c>
      <c r="G504" s="15">
        <f t="shared" ref="G504" si="708">O504</f>
        <v>41671</v>
      </c>
      <c r="H504" s="27" t="str">
        <f t="shared" ref="H504" si="709">N504</f>
        <v>10097</v>
      </c>
      <c r="J504" s="33"/>
      <c r="K504" s="33"/>
      <c r="L504" s="33"/>
      <c r="M504" s="33"/>
      <c r="N504" s="32" t="str">
        <f>"10097"</f>
        <v>10097</v>
      </c>
      <c r="O504" s="36">
        <v>41671</v>
      </c>
      <c r="P504" s="33"/>
      <c r="Q504" s="33"/>
      <c r="R504" s="33"/>
      <c r="S504" s="33"/>
    </row>
    <row r="505" spans="1:19" hidden="1" outlineLevel="3">
      <c r="A505" s="25" t="s">
        <v>91</v>
      </c>
      <c r="C505" s="4" t="str">
        <f t="shared" si="705"/>
        <v>Sandra</v>
      </c>
      <c r="D505" s="4" t="str">
        <f t="shared" si="706"/>
        <v>Martinez</v>
      </c>
      <c r="E505" s="27" t="str">
        <f t="shared" si="503"/>
        <v>SALES</v>
      </c>
      <c r="F505" s="27" t="str">
        <f t="shared" si="707"/>
        <v>MART0001</v>
      </c>
      <c r="G505" s="15">
        <f t="shared" ref="G505:G512" si="710">G504</f>
        <v>41671</v>
      </c>
      <c r="H505" s="27" t="str">
        <f t="shared" ref="H505:H512" si="711">H504</f>
        <v>10097</v>
      </c>
      <c r="I505" s="27" t="str">
        <f>"""GP Direct"",""Fabrikam, Inc."",""Jet Payroll Transactions"",""Pay Rate"",""0.00000"",""Payroll Code"",""401K"",""State"","""",""Transaction Amount"",""1.50000"""</f>
        <v>"GP Direct","Fabrikam, Inc.","Jet Payroll Transactions","Pay Rate","0.00000","Payroll Code","401K","State","","Transaction Amount","1.50000"</v>
      </c>
      <c r="O505" s="28"/>
      <c r="P505" s="37">
        <v>0</v>
      </c>
      <c r="Q505" s="38" t="str">
        <f>"401K"</f>
        <v>401K</v>
      </c>
      <c r="R505" s="39"/>
      <c r="S505" s="37">
        <v>1.5</v>
      </c>
    </row>
    <row r="506" spans="1:19" hidden="1" outlineLevel="3">
      <c r="A506" s="25" t="s">
        <v>91</v>
      </c>
      <c r="C506" s="4" t="str">
        <f t="shared" ref="C506:C510" si="712">C505</f>
        <v>Sandra</v>
      </c>
      <c r="D506" s="4" t="str">
        <f t="shared" ref="D506:D510" si="713">D505</f>
        <v>Martinez</v>
      </c>
      <c r="E506" s="27" t="str">
        <f t="shared" ref="E506:E510" si="714">E505</f>
        <v>SALES</v>
      </c>
      <c r="F506" s="27" t="str">
        <f t="shared" ref="F506:F510" si="715">F505</f>
        <v>MART0001</v>
      </c>
      <c r="G506" s="15">
        <f t="shared" ref="G506:G510" si="716">G505</f>
        <v>41671</v>
      </c>
      <c r="H506" s="27" t="str">
        <f t="shared" ref="H506:H510" si="717">H505</f>
        <v>10097</v>
      </c>
      <c r="I506" s="27" t="str">
        <f>"""GP Direct"",""Fabrikam, Inc."",""Jet Payroll Transactions"",""Pay Rate"",""0.00000"",""Payroll Code"",""401K"",""State"","""",""Transaction Amount"",""30.00000"""</f>
        <v>"GP Direct","Fabrikam, Inc.","Jet Payroll Transactions","Pay Rate","0.00000","Payroll Code","401K","State","","Transaction Amount","30.00000"</v>
      </c>
      <c r="O506" s="28"/>
      <c r="P506" s="37">
        <v>0</v>
      </c>
      <c r="Q506" s="38" t="str">
        <f>"401K"</f>
        <v>401K</v>
      </c>
      <c r="R506" s="39"/>
      <c r="S506" s="37">
        <v>30</v>
      </c>
    </row>
    <row r="507" spans="1:19" hidden="1" outlineLevel="3">
      <c r="A507" s="25" t="s">
        <v>91</v>
      </c>
      <c r="C507" s="4" t="str">
        <f t="shared" si="712"/>
        <v>Sandra</v>
      </c>
      <c r="D507" s="4" t="str">
        <f t="shared" si="713"/>
        <v>Martinez</v>
      </c>
      <c r="E507" s="27" t="str">
        <f t="shared" si="714"/>
        <v>SALES</v>
      </c>
      <c r="F507" s="27" t="str">
        <f t="shared" si="715"/>
        <v>MART0001</v>
      </c>
      <c r="G507" s="15">
        <f t="shared" si="716"/>
        <v>41671</v>
      </c>
      <c r="H507" s="27" t="str">
        <f t="shared" si="717"/>
        <v>10097</v>
      </c>
      <c r="I507" s="27" t="str">
        <f>"""GP Direct"",""Fabrikam, Inc."",""Jet Payroll Transactions"",""Pay Rate"",""0.00000"",""Payroll Code"",""INS"",""State"","""",""Transaction Amount"",""49.36000"""</f>
        <v>"GP Direct","Fabrikam, Inc.","Jet Payroll Transactions","Pay Rate","0.00000","Payroll Code","INS","State","","Transaction Amount","49.36000"</v>
      </c>
      <c r="O507" s="28"/>
      <c r="P507" s="37">
        <v>0</v>
      </c>
      <c r="Q507" s="38" t="str">
        <f>"INS"</f>
        <v>INS</v>
      </c>
      <c r="R507" s="39"/>
      <c r="S507" s="37">
        <v>49.36</v>
      </c>
    </row>
    <row r="508" spans="1:19" hidden="1" outlineLevel="3">
      <c r="A508" s="25" t="s">
        <v>91</v>
      </c>
      <c r="C508" s="4" t="str">
        <f t="shared" si="712"/>
        <v>Sandra</v>
      </c>
      <c r="D508" s="4" t="str">
        <f t="shared" si="713"/>
        <v>Martinez</v>
      </c>
      <c r="E508" s="27" t="str">
        <f t="shared" si="714"/>
        <v>SALES</v>
      </c>
      <c r="F508" s="27" t="str">
        <f t="shared" si="715"/>
        <v>MART0001</v>
      </c>
      <c r="G508" s="15">
        <f t="shared" si="716"/>
        <v>41671</v>
      </c>
      <c r="H508" s="27" t="str">
        <f t="shared" si="717"/>
        <v>10097</v>
      </c>
      <c r="I508" s="27" t="str">
        <f>"""GP Direct"",""Fabrikam, Inc."",""Jet Payroll Transactions"",""Pay Rate"",""0.00000"",""Payroll Code"",""MED"",""State"","""",""Transaction Amount"",""10.00000"""</f>
        <v>"GP Direct","Fabrikam, Inc.","Jet Payroll Transactions","Pay Rate","0.00000","Payroll Code","MED","State","","Transaction Amount","10.00000"</v>
      </c>
      <c r="O508" s="28"/>
      <c r="P508" s="37">
        <v>0</v>
      </c>
      <c r="Q508" s="38" t="str">
        <f>"MED"</f>
        <v>MED</v>
      </c>
      <c r="R508" s="39"/>
      <c r="S508" s="37">
        <v>10</v>
      </c>
    </row>
    <row r="509" spans="1:19" hidden="1" outlineLevel="3">
      <c r="A509" s="25" t="s">
        <v>91</v>
      </c>
      <c r="C509" s="4" t="str">
        <f t="shared" si="712"/>
        <v>Sandra</v>
      </c>
      <c r="D509" s="4" t="str">
        <f t="shared" si="713"/>
        <v>Martinez</v>
      </c>
      <c r="E509" s="27" t="str">
        <f t="shared" si="714"/>
        <v>SALES</v>
      </c>
      <c r="F509" s="27" t="str">
        <f t="shared" si="715"/>
        <v>MART0001</v>
      </c>
      <c r="G509" s="15">
        <f t="shared" si="716"/>
        <v>41671</v>
      </c>
      <c r="H509" s="27" t="str">
        <f t="shared" si="717"/>
        <v>10097</v>
      </c>
      <c r="I509" s="27" t="str">
        <f>"""GP Direct"",""Fabrikam, Inc."",""Jet Payroll Transactions"",""Pay Rate"",""0.00000"",""Payroll Code"",""MN"",""State"","""",""Transaction Amount"",""13.24000"""</f>
        <v>"GP Direct","Fabrikam, Inc.","Jet Payroll Transactions","Pay Rate","0.00000","Payroll Code","MN","State","","Transaction Amount","13.24000"</v>
      </c>
      <c r="O509" s="28"/>
      <c r="P509" s="37">
        <v>0</v>
      </c>
      <c r="Q509" s="38" t="str">
        <f>"MN"</f>
        <v>MN</v>
      </c>
      <c r="R509" s="39"/>
      <c r="S509" s="37">
        <v>13.24</v>
      </c>
    </row>
    <row r="510" spans="1:19" hidden="1" outlineLevel="3">
      <c r="A510" s="25" t="s">
        <v>91</v>
      </c>
      <c r="C510" s="4" t="str">
        <f t="shared" si="712"/>
        <v>Sandra</v>
      </c>
      <c r="D510" s="4" t="str">
        <f t="shared" si="713"/>
        <v>Martinez</v>
      </c>
      <c r="E510" s="27" t="str">
        <f t="shared" si="714"/>
        <v>SALES</v>
      </c>
      <c r="F510" s="27" t="str">
        <f t="shared" si="715"/>
        <v>MART0001</v>
      </c>
      <c r="G510" s="15">
        <f t="shared" si="716"/>
        <v>41671</v>
      </c>
      <c r="H510" s="27" t="str">
        <f t="shared" si="717"/>
        <v>10097</v>
      </c>
      <c r="I510" s="27" t="str">
        <f>"""GP Direct"",""Fabrikam, Inc."",""Jet Payroll Transactions"",""Pay Rate"",""24000.00000"",""Payroll Code"",""SALY"",""State"",""MN"",""Transaction Amount"",""1000.00000"""</f>
        <v>"GP Direct","Fabrikam, Inc.","Jet Payroll Transactions","Pay Rate","24000.00000","Payroll Code","SALY","State","MN","Transaction Amount","1000.00000"</v>
      </c>
      <c r="O510" s="28"/>
      <c r="P510" s="37">
        <v>24000</v>
      </c>
      <c r="Q510" s="38" t="str">
        <f>"SALY"</f>
        <v>SALY</v>
      </c>
      <c r="R510" s="39" t="str">
        <f>"MN"</f>
        <v>MN</v>
      </c>
      <c r="S510" s="37">
        <v>1000</v>
      </c>
    </row>
    <row r="511" spans="1:19" hidden="1" outlineLevel="3">
      <c r="A511" s="24" t="s">
        <v>2812</v>
      </c>
      <c r="C511" s="4" t="str">
        <f>C505</f>
        <v>Sandra</v>
      </c>
      <c r="D511" s="4" t="str">
        <f>D505</f>
        <v>Martinez</v>
      </c>
      <c r="E511" s="27" t="str">
        <f>E505</f>
        <v>SALES</v>
      </c>
      <c r="F511" s="27" t="str">
        <f>F505</f>
        <v>MART0001</v>
      </c>
      <c r="G511" s="15">
        <f>G505</f>
        <v>41671</v>
      </c>
      <c r="H511" s="27" t="str">
        <f>H505</f>
        <v>10097</v>
      </c>
      <c r="O511" s="28"/>
      <c r="S511" s="16"/>
    </row>
    <row r="512" spans="1:19" ht="12.75" hidden="1" outlineLevel="2" collapsed="1">
      <c r="A512" s="25" t="s">
        <v>91</v>
      </c>
      <c r="C512" s="4" t="str">
        <f t="shared" si="705"/>
        <v>Sandra</v>
      </c>
      <c r="D512" s="4" t="str">
        <f t="shared" si="706"/>
        <v>Martinez</v>
      </c>
      <c r="E512" s="27" t="str">
        <f t="shared" si="503"/>
        <v>SALES</v>
      </c>
      <c r="F512" s="27" t="str">
        <f t="shared" si="707"/>
        <v>MART0001</v>
      </c>
      <c r="G512" s="15">
        <f t="shared" si="710"/>
        <v>41671</v>
      </c>
      <c r="H512" s="27" t="str">
        <f t="shared" si="711"/>
        <v>10097</v>
      </c>
      <c r="N512" s="44" t="str">
        <f>"Total for " &amp; $H512</f>
        <v>Total for 10097</v>
      </c>
      <c r="O512" s="45">
        <f>G512</f>
        <v>41671</v>
      </c>
      <c r="P512" s="44"/>
      <c r="Q512" s="44"/>
      <c r="R512" s="44"/>
      <c r="S512" s="44">
        <f>SUBTOTAL(9,S505:S511)</f>
        <v>1104.0999999999999</v>
      </c>
    </row>
    <row r="513" spans="1:19" ht="12.75" hidden="1" outlineLevel="3">
      <c r="A513" s="25" t="s">
        <v>91</v>
      </c>
      <c r="C513" s="4" t="str">
        <f t="shared" ref="C513:C526" si="718">C512</f>
        <v>Sandra</v>
      </c>
      <c r="D513" s="4" t="str">
        <f t="shared" ref="D513:D526" si="719">D512</f>
        <v>Martinez</v>
      </c>
      <c r="E513" s="27" t="str">
        <f t="shared" ref="E513:E526" si="720">E512</f>
        <v>SALES</v>
      </c>
      <c r="F513" s="27" t="str">
        <f t="shared" ref="F513:F526" si="721">F512</f>
        <v>MART0001</v>
      </c>
      <c r="G513" s="15">
        <f t="shared" ref="G513" si="722">O513</f>
        <v>41699</v>
      </c>
      <c r="H513" s="27" t="str">
        <f t="shared" ref="H513" si="723">N513</f>
        <v>10122</v>
      </c>
      <c r="J513" s="33"/>
      <c r="K513" s="33"/>
      <c r="L513" s="33"/>
      <c r="M513" s="33"/>
      <c r="N513" s="32" t="str">
        <f>"10122"</f>
        <v>10122</v>
      </c>
      <c r="O513" s="36">
        <v>41699</v>
      </c>
      <c r="P513" s="33"/>
      <c r="Q513" s="33"/>
      <c r="R513" s="33"/>
      <c r="S513" s="33"/>
    </row>
    <row r="514" spans="1:19" hidden="1" outlineLevel="3">
      <c r="A514" s="25" t="s">
        <v>91</v>
      </c>
      <c r="C514" s="4" t="str">
        <f t="shared" si="718"/>
        <v>Sandra</v>
      </c>
      <c r="D514" s="4" t="str">
        <f t="shared" si="719"/>
        <v>Martinez</v>
      </c>
      <c r="E514" s="27" t="str">
        <f t="shared" si="720"/>
        <v>SALES</v>
      </c>
      <c r="F514" s="27" t="str">
        <f t="shared" si="721"/>
        <v>MART0001</v>
      </c>
      <c r="G514" s="15">
        <f t="shared" ref="G514:G521" si="724">G513</f>
        <v>41699</v>
      </c>
      <c r="H514" s="27" t="str">
        <f t="shared" ref="H514:H521" si="725">H513</f>
        <v>10122</v>
      </c>
      <c r="I514" s="27" t="str">
        <f>"""GP Direct"",""Fabrikam, Inc."",""Jet Payroll Transactions"",""Pay Rate"",""0.00000"",""Payroll Code"",""401K"",""State"","""",""Transaction Amount"",""1.50000"""</f>
        <v>"GP Direct","Fabrikam, Inc.","Jet Payroll Transactions","Pay Rate","0.00000","Payroll Code","401K","State","","Transaction Amount","1.50000"</v>
      </c>
      <c r="O514" s="28"/>
      <c r="P514" s="37">
        <v>0</v>
      </c>
      <c r="Q514" s="38" t="str">
        <f>"401K"</f>
        <v>401K</v>
      </c>
      <c r="R514" s="39"/>
      <c r="S514" s="37">
        <v>1.5</v>
      </c>
    </row>
    <row r="515" spans="1:19" hidden="1" outlineLevel="3">
      <c r="A515" s="25" t="s">
        <v>91</v>
      </c>
      <c r="C515" s="4" t="str">
        <f t="shared" ref="C515:C519" si="726">C514</f>
        <v>Sandra</v>
      </c>
      <c r="D515" s="4" t="str">
        <f t="shared" ref="D515:D519" si="727">D514</f>
        <v>Martinez</v>
      </c>
      <c r="E515" s="27" t="str">
        <f t="shared" ref="E515:E519" si="728">E514</f>
        <v>SALES</v>
      </c>
      <c r="F515" s="27" t="str">
        <f t="shared" ref="F515:F519" si="729">F514</f>
        <v>MART0001</v>
      </c>
      <c r="G515" s="15">
        <f t="shared" ref="G515:G519" si="730">G514</f>
        <v>41699</v>
      </c>
      <c r="H515" s="27" t="str">
        <f t="shared" ref="H515:H519" si="731">H514</f>
        <v>10122</v>
      </c>
      <c r="I515" s="27" t="str">
        <f>"""GP Direct"",""Fabrikam, Inc."",""Jet Payroll Transactions"",""Pay Rate"",""0.00000"",""Payroll Code"",""401K"",""State"","""",""Transaction Amount"",""30.00000"""</f>
        <v>"GP Direct","Fabrikam, Inc.","Jet Payroll Transactions","Pay Rate","0.00000","Payroll Code","401K","State","","Transaction Amount","30.00000"</v>
      </c>
      <c r="O515" s="28"/>
      <c r="P515" s="37">
        <v>0</v>
      </c>
      <c r="Q515" s="38" t="str">
        <f>"401K"</f>
        <v>401K</v>
      </c>
      <c r="R515" s="39"/>
      <c r="S515" s="37">
        <v>30</v>
      </c>
    </row>
    <row r="516" spans="1:19" hidden="1" outlineLevel="3">
      <c r="A516" s="25" t="s">
        <v>91</v>
      </c>
      <c r="C516" s="4" t="str">
        <f t="shared" si="726"/>
        <v>Sandra</v>
      </c>
      <c r="D516" s="4" t="str">
        <f t="shared" si="727"/>
        <v>Martinez</v>
      </c>
      <c r="E516" s="27" t="str">
        <f t="shared" si="728"/>
        <v>SALES</v>
      </c>
      <c r="F516" s="27" t="str">
        <f t="shared" si="729"/>
        <v>MART0001</v>
      </c>
      <c r="G516" s="15">
        <f t="shared" si="730"/>
        <v>41699</v>
      </c>
      <c r="H516" s="27" t="str">
        <f t="shared" si="731"/>
        <v>10122</v>
      </c>
      <c r="I516" s="27" t="str">
        <f>"""GP Direct"",""Fabrikam, Inc."",""Jet Payroll Transactions"",""Pay Rate"",""0.00000"",""Payroll Code"",""INS"",""State"","""",""Transaction Amount"",""49.36000"""</f>
        <v>"GP Direct","Fabrikam, Inc.","Jet Payroll Transactions","Pay Rate","0.00000","Payroll Code","INS","State","","Transaction Amount","49.36000"</v>
      </c>
      <c r="O516" s="28"/>
      <c r="P516" s="37">
        <v>0</v>
      </c>
      <c r="Q516" s="38" t="str">
        <f>"INS"</f>
        <v>INS</v>
      </c>
      <c r="R516" s="39"/>
      <c r="S516" s="37">
        <v>49.36</v>
      </c>
    </row>
    <row r="517" spans="1:19" hidden="1" outlineLevel="3">
      <c r="A517" s="25" t="s">
        <v>91</v>
      </c>
      <c r="C517" s="4" t="str">
        <f t="shared" si="726"/>
        <v>Sandra</v>
      </c>
      <c r="D517" s="4" t="str">
        <f t="shared" si="727"/>
        <v>Martinez</v>
      </c>
      <c r="E517" s="27" t="str">
        <f t="shared" si="728"/>
        <v>SALES</v>
      </c>
      <c r="F517" s="27" t="str">
        <f t="shared" si="729"/>
        <v>MART0001</v>
      </c>
      <c r="G517" s="15">
        <f t="shared" si="730"/>
        <v>41699</v>
      </c>
      <c r="H517" s="27" t="str">
        <f t="shared" si="731"/>
        <v>10122</v>
      </c>
      <c r="I517" s="27" t="str">
        <f>"""GP Direct"",""Fabrikam, Inc."",""Jet Payroll Transactions"",""Pay Rate"",""0.00000"",""Payroll Code"",""MED"",""State"","""",""Transaction Amount"",""10.00000"""</f>
        <v>"GP Direct","Fabrikam, Inc.","Jet Payroll Transactions","Pay Rate","0.00000","Payroll Code","MED","State","","Transaction Amount","10.00000"</v>
      </c>
      <c r="O517" s="28"/>
      <c r="P517" s="37">
        <v>0</v>
      </c>
      <c r="Q517" s="38" t="str">
        <f>"MED"</f>
        <v>MED</v>
      </c>
      <c r="R517" s="39"/>
      <c r="S517" s="37">
        <v>10</v>
      </c>
    </row>
    <row r="518" spans="1:19" hidden="1" outlineLevel="3">
      <c r="A518" s="25" t="s">
        <v>91</v>
      </c>
      <c r="C518" s="4" t="str">
        <f t="shared" si="726"/>
        <v>Sandra</v>
      </c>
      <c r="D518" s="4" t="str">
        <f t="shared" si="727"/>
        <v>Martinez</v>
      </c>
      <c r="E518" s="27" t="str">
        <f t="shared" si="728"/>
        <v>SALES</v>
      </c>
      <c r="F518" s="27" t="str">
        <f t="shared" si="729"/>
        <v>MART0001</v>
      </c>
      <c r="G518" s="15">
        <f t="shared" si="730"/>
        <v>41699</v>
      </c>
      <c r="H518" s="27" t="str">
        <f t="shared" si="731"/>
        <v>10122</v>
      </c>
      <c r="I518" s="27" t="str">
        <f>"""GP Direct"",""Fabrikam, Inc."",""Jet Payroll Transactions"",""Pay Rate"",""0.00000"",""Payroll Code"",""MN"",""State"","""",""Transaction Amount"",""13.24000"""</f>
        <v>"GP Direct","Fabrikam, Inc.","Jet Payroll Transactions","Pay Rate","0.00000","Payroll Code","MN","State","","Transaction Amount","13.24000"</v>
      </c>
      <c r="O518" s="28"/>
      <c r="P518" s="37">
        <v>0</v>
      </c>
      <c r="Q518" s="38" t="str">
        <f>"MN"</f>
        <v>MN</v>
      </c>
      <c r="R518" s="39"/>
      <c r="S518" s="37">
        <v>13.24</v>
      </c>
    </row>
    <row r="519" spans="1:19" hidden="1" outlineLevel="3">
      <c r="A519" s="25" t="s">
        <v>91</v>
      </c>
      <c r="C519" s="4" t="str">
        <f t="shared" si="726"/>
        <v>Sandra</v>
      </c>
      <c r="D519" s="4" t="str">
        <f t="shared" si="727"/>
        <v>Martinez</v>
      </c>
      <c r="E519" s="27" t="str">
        <f t="shared" si="728"/>
        <v>SALES</v>
      </c>
      <c r="F519" s="27" t="str">
        <f t="shared" si="729"/>
        <v>MART0001</v>
      </c>
      <c r="G519" s="15">
        <f t="shared" si="730"/>
        <v>41699</v>
      </c>
      <c r="H519" s="27" t="str">
        <f t="shared" si="731"/>
        <v>10122</v>
      </c>
      <c r="I519" s="27" t="str">
        <f>"""GP Direct"",""Fabrikam, Inc."",""Jet Payroll Transactions"",""Pay Rate"",""24000.00000"",""Payroll Code"",""SALY"",""State"",""MN"",""Transaction Amount"",""1000.00000"""</f>
        <v>"GP Direct","Fabrikam, Inc.","Jet Payroll Transactions","Pay Rate","24000.00000","Payroll Code","SALY","State","MN","Transaction Amount","1000.00000"</v>
      </c>
      <c r="O519" s="28"/>
      <c r="P519" s="37">
        <v>24000</v>
      </c>
      <c r="Q519" s="38" t="str">
        <f>"SALY"</f>
        <v>SALY</v>
      </c>
      <c r="R519" s="39" t="str">
        <f>"MN"</f>
        <v>MN</v>
      </c>
      <c r="S519" s="37">
        <v>1000</v>
      </c>
    </row>
    <row r="520" spans="1:19" hidden="1" outlineLevel="3">
      <c r="A520" s="24" t="s">
        <v>2812</v>
      </c>
      <c r="C520" s="4" t="str">
        <f>C514</f>
        <v>Sandra</v>
      </c>
      <c r="D520" s="4" t="str">
        <f>D514</f>
        <v>Martinez</v>
      </c>
      <c r="E520" s="27" t="str">
        <f>E514</f>
        <v>SALES</v>
      </c>
      <c r="F520" s="27" t="str">
        <f>F514</f>
        <v>MART0001</v>
      </c>
      <c r="G520" s="15">
        <f>G514</f>
        <v>41699</v>
      </c>
      <c r="H520" s="27" t="str">
        <f>H514</f>
        <v>10122</v>
      </c>
      <c r="O520" s="28"/>
      <c r="S520" s="16"/>
    </row>
    <row r="521" spans="1:19" ht="12.75" hidden="1" outlineLevel="2" collapsed="1">
      <c r="A521" s="25" t="s">
        <v>91</v>
      </c>
      <c r="C521" s="4" t="str">
        <f t="shared" si="718"/>
        <v>Sandra</v>
      </c>
      <c r="D521" s="4" t="str">
        <f t="shared" si="719"/>
        <v>Martinez</v>
      </c>
      <c r="E521" s="27" t="str">
        <f t="shared" si="720"/>
        <v>SALES</v>
      </c>
      <c r="F521" s="27" t="str">
        <f t="shared" si="721"/>
        <v>MART0001</v>
      </c>
      <c r="G521" s="15">
        <f t="shared" si="724"/>
        <v>41699</v>
      </c>
      <c r="H521" s="27" t="str">
        <f t="shared" si="725"/>
        <v>10122</v>
      </c>
      <c r="N521" s="44" t="str">
        <f>"Total for " &amp; $H521</f>
        <v>Total for 10122</v>
      </c>
      <c r="O521" s="45">
        <f>G521</f>
        <v>41699</v>
      </c>
      <c r="P521" s="44"/>
      <c r="Q521" s="44"/>
      <c r="R521" s="44"/>
      <c r="S521" s="44">
        <f>SUBTOTAL(9,S514:S520)</f>
        <v>1104.0999999999999</v>
      </c>
    </row>
    <row r="522" spans="1:19" ht="12.75" hidden="1" outlineLevel="3">
      <c r="A522" s="25" t="s">
        <v>91</v>
      </c>
      <c r="C522" s="4" t="str">
        <f t="shared" si="718"/>
        <v>Sandra</v>
      </c>
      <c r="D522" s="4" t="str">
        <f t="shared" si="719"/>
        <v>Martinez</v>
      </c>
      <c r="E522" s="27" t="str">
        <f t="shared" si="720"/>
        <v>SALES</v>
      </c>
      <c r="F522" s="27" t="str">
        <f t="shared" si="721"/>
        <v>MART0001</v>
      </c>
      <c r="G522" s="15">
        <f t="shared" ref="G522" si="732">O522</f>
        <v>41640</v>
      </c>
      <c r="H522" s="27" t="str">
        <f t="shared" ref="H522" si="733">N522</f>
        <v>11601</v>
      </c>
      <c r="J522" s="33"/>
      <c r="K522" s="33"/>
      <c r="L522" s="33"/>
      <c r="M522" s="33"/>
      <c r="N522" s="32" t="str">
        <f>"11601"</f>
        <v>11601</v>
      </c>
      <c r="O522" s="36">
        <v>41640</v>
      </c>
      <c r="P522" s="33"/>
      <c r="Q522" s="33"/>
      <c r="R522" s="33"/>
      <c r="S522" s="33"/>
    </row>
    <row r="523" spans="1:19" hidden="1" outlineLevel="3">
      <c r="A523" s="25" t="s">
        <v>91</v>
      </c>
      <c r="C523" s="4" t="str">
        <f t="shared" si="718"/>
        <v>Sandra</v>
      </c>
      <c r="D523" s="4" t="str">
        <f t="shared" si="719"/>
        <v>Martinez</v>
      </c>
      <c r="E523" s="27" t="str">
        <f t="shared" si="720"/>
        <v>SALES</v>
      </c>
      <c r="F523" s="27" t="str">
        <f t="shared" si="721"/>
        <v>MART0001</v>
      </c>
      <c r="G523" s="15">
        <f t="shared" ref="G523:G526" si="734">G522</f>
        <v>41640</v>
      </c>
      <c r="H523" s="27" t="str">
        <f t="shared" ref="H523:H526" si="735">H522</f>
        <v>11601</v>
      </c>
      <c r="I523" s="27" t="str">
        <f>"""GP Direct"",""Fabrikam, Inc."",""Jet Payroll Transactions"",""Pay Rate"",""0.00000"",""Payroll Code"",""MN"",""State"","""",""Transaction Amount"",""403.34000"""</f>
        <v>"GP Direct","Fabrikam, Inc.","Jet Payroll Transactions","Pay Rate","0.00000","Payroll Code","MN","State","","Transaction Amount","403.34000"</v>
      </c>
      <c r="O523" s="28"/>
      <c r="P523" s="37">
        <v>0</v>
      </c>
      <c r="Q523" s="38" t="str">
        <f>"MN"</f>
        <v>MN</v>
      </c>
      <c r="R523" s="39"/>
      <c r="S523" s="37">
        <v>403.34</v>
      </c>
    </row>
    <row r="524" spans="1:19" hidden="1" outlineLevel="3">
      <c r="A524" s="25" t="s">
        <v>91</v>
      </c>
      <c r="C524" s="4" t="str">
        <f t="shared" ref="C524" si="736">C523</f>
        <v>Sandra</v>
      </c>
      <c r="D524" s="4" t="str">
        <f t="shared" ref="D524" si="737">D523</f>
        <v>Martinez</v>
      </c>
      <c r="E524" s="27" t="str">
        <f t="shared" ref="E524" si="738">E523</f>
        <v>SALES</v>
      </c>
      <c r="F524" s="27" t="str">
        <f t="shared" ref="F524" si="739">F523</f>
        <v>MART0001</v>
      </c>
      <c r="G524" s="15">
        <f t="shared" ref="G524" si="740">G523</f>
        <v>41640</v>
      </c>
      <c r="H524" s="27" t="str">
        <f t="shared" ref="H524" si="741">H523</f>
        <v>11601</v>
      </c>
      <c r="I524" s="27" t="str">
        <f>"""GP Direct"",""Fabrikam, Inc."",""Jet Payroll Transactions"",""Pay Rate"",""6570.00000"",""Payroll Code"",""COMM"",""State"",""MN"",""Transaction Amount"",""6570.00000"""</f>
        <v>"GP Direct","Fabrikam, Inc.","Jet Payroll Transactions","Pay Rate","6570.00000","Payroll Code","COMM","State","MN","Transaction Amount","6570.00000"</v>
      </c>
      <c r="O524" s="28"/>
      <c r="P524" s="37">
        <v>6570</v>
      </c>
      <c r="Q524" s="38" t="str">
        <f>"COMM"</f>
        <v>COMM</v>
      </c>
      <c r="R524" s="39" t="str">
        <f>"MN"</f>
        <v>MN</v>
      </c>
      <c r="S524" s="37">
        <v>6570</v>
      </c>
    </row>
    <row r="525" spans="1:19" hidden="1" outlineLevel="3">
      <c r="A525" s="24" t="s">
        <v>2812</v>
      </c>
      <c r="C525" s="4" t="str">
        <f>C523</f>
        <v>Sandra</v>
      </c>
      <c r="D525" s="4" t="str">
        <f>D523</f>
        <v>Martinez</v>
      </c>
      <c r="E525" s="27" t="str">
        <f>E523</f>
        <v>SALES</v>
      </c>
      <c r="F525" s="27" t="str">
        <f>F523</f>
        <v>MART0001</v>
      </c>
      <c r="G525" s="15">
        <f>G523</f>
        <v>41640</v>
      </c>
      <c r="H525" s="27" t="str">
        <f>H523</f>
        <v>11601</v>
      </c>
      <c r="O525" s="28"/>
      <c r="S525" s="16"/>
    </row>
    <row r="526" spans="1:19" ht="12.75" hidden="1" outlineLevel="2" collapsed="1">
      <c r="A526" s="25" t="s">
        <v>91</v>
      </c>
      <c r="C526" s="4" t="str">
        <f t="shared" si="718"/>
        <v>Sandra</v>
      </c>
      <c r="D526" s="4" t="str">
        <f t="shared" si="719"/>
        <v>Martinez</v>
      </c>
      <c r="E526" s="27" t="str">
        <f t="shared" si="720"/>
        <v>SALES</v>
      </c>
      <c r="F526" s="27" t="str">
        <f t="shared" si="721"/>
        <v>MART0001</v>
      </c>
      <c r="G526" s="15">
        <f t="shared" si="734"/>
        <v>41640</v>
      </c>
      <c r="H526" s="27" t="str">
        <f t="shared" si="735"/>
        <v>11601</v>
      </c>
      <c r="N526" s="44" t="str">
        <f>"Total for " &amp; $H526</f>
        <v>Total for 11601</v>
      </c>
      <c r="O526" s="45">
        <f>G526</f>
        <v>41640</v>
      </c>
      <c r="P526" s="44"/>
      <c r="Q526" s="44"/>
      <c r="R526" s="44"/>
      <c r="S526" s="44">
        <f>SUBTOTAL(9,S523:S525)</f>
        <v>6973.34</v>
      </c>
    </row>
    <row r="527" spans="1:19" ht="12.75" hidden="1" outlineLevel="2">
      <c r="A527" s="24" t="s">
        <v>2812</v>
      </c>
      <c r="C527" s="4" t="str">
        <f>C512</f>
        <v>Sandra</v>
      </c>
      <c r="D527" s="4" t="str">
        <f>D512</f>
        <v>Martinez</v>
      </c>
      <c r="E527" s="27" t="str">
        <f>E512</f>
        <v>SALES</v>
      </c>
      <c r="F527" s="27" t="str">
        <f>F512</f>
        <v>MART0001</v>
      </c>
      <c r="G527" s="14"/>
      <c r="J527" s="33"/>
      <c r="K527" s="33"/>
      <c r="L527" s="33"/>
      <c r="M527" s="33"/>
      <c r="N527" s="33"/>
      <c r="O527" s="33"/>
      <c r="P527" s="33"/>
      <c r="Q527" s="33"/>
      <c r="R527" s="33"/>
      <c r="S527" s="40"/>
    </row>
    <row r="528" spans="1:19" ht="12.75" hidden="1" outlineLevel="1" collapsed="1">
      <c r="A528" s="25" t="s">
        <v>91</v>
      </c>
      <c r="C528" s="4" t="str">
        <f t="shared" si="705"/>
        <v>Sandra</v>
      </c>
      <c r="D528" s="4" t="str">
        <f t="shared" si="706"/>
        <v>Martinez</v>
      </c>
      <c r="E528" s="27" t="str">
        <f t="shared" si="503"/>
        <v>SALES</v>
      </c>
      <c r="F528" s="27" t="str">
        <f t="shared" si="707"/>
        <v>MART0001</v>
      </c>
      <c r="G528" s="14"/>
      <c r="J528" s="33"/>
      <c r="K528" s="46" t="str">
        <f>"Total for " &amp; $F528</f>
        <v>Total for MART0001</v>
      </c>
      <c r="L528" s="46" t="str">
        <f>C528</f>
        <v>Sandra</v>
      </c>
      <c r="M528" s="46" t="str">
        <f>D528</f>
        <v>Martinez</v>
      </c>
      <c r="N528" s="46"/>
      <c r="O528" s="46"/>
      <c r="P528" s="46"/>
      <c r="Q528" s="46"/>
      <c r="R528" s="46"/>
      <c r="S528" s="47">
        <f>SUBTOTAL(9,S505:S527)</f>
        <v>9181.5400000000009</v>
      </c>
    </row>
    <row r="529" spans="1:19" ht="12.75" hidden="1" outlineLevel="2">
      <c r="A529" s="25" t="s">
        <v>91</v>
      </c>
      <c r="C529" s="4" t="str">
        <f t="shared" ref="C529" si="742">L529</f>
        <v>Salmon</v>
      </c>
      <c r="D529" s="4" t="str">
        <f t="shared" ref="D529" si="743">M529</f>
        <v>Mughal</v>
      </c>
      <c r="E529" s="27" t="str">
        <f t="shared" si="503"/>
        <v>SALES</v>
      </c>
      <c r="F529" s="27" t="str">
        <f t="shared" ref="F529" si="744">K529</f>
        <v>MUGH0001</v>
      </c>
      <c r="G529" s="14"/>
      <c r="J529" s="31"/>
      <c r="K529" s="21" t="str">
        <f>"MUGH0001"</f>
        <v>MUGH0001</v>
      </c>
      <c r="L529" s="43" t="str">
        <f>"Salmon"</f>
        <v>Salmon</v>
      </c>
      <c r="M529" s="43" t="str">
        <f>"Mughal"</f>
        <v>Mughal</v>
      </c>
      <c r="N529" s="43"/>
      <c r="O529" s="34"/>
      <c r="P529" s="33"/>
      <c r="Q529" s="33"/>
      <c r="R529" s="33"/>
      <c r="S529" s="35"/>
    </row>
    <row r="530" spans="1:19" ht="12.75" hidden="1" outlineLevel="3">
      <c r="A530" s="25" t="s">
        <v>91</v>
      </c>
      <c r="C530" s="4" t="str">
        <f t="shared" ref="C530:C549" si="745">C529</f>
        <v>Salmon</v>
      </c>
      <c r="D530" s="4" t="str">
        <f t="shared" ref="D530:D549" si="746">D529</f>
        <v>Mughal</v>
      </c>
      <c r="E530" s="27" t="str">
        <f t="shared" si="503"/>
        <v>SALES</v>
      </c>
      <c r="F530" s="27" t="str">
        <f t="shared" ref="F530:F549" si="747">F529</f>
        <v>MUGH0001</v>
      </c>
      <c r="G530" s="15">
        <f t="shared" ref="G530" si="748">O530</f>
        <v>41671</v>
      </c>
      <c r="H530" s="27" t="str">
        <f t="shared" ref="H530" si="749">N530</f>
        <v>10098</v>
      </c>
      <c r="J530" s="33"/>
      <c r="K530" s="33"/>
      <c r="L530" s="33"/>
      <c r="M530" s="33"/>
      <c r="N530" s="32" t="str">
        <f>"10098"</f>
        <v>10098</v>
      </c>
      <c r="O530" s="36">
        <v>41671</v>
      </c>
      <c r="P530" s="33"/>
      <c r="Q530" s="33"/>
      <c r="R530" s="33"/>
      <c r="S530" s="33"/>
    </row>
    <row r="531" spans="1:19" hidden="1" outlineLevel="3">
      <c r="A531" s="25" t="s">
        <v>91</v>
      </c>
      <c r="C531" s="4" t="str">
        <f t="shared" si="745"/>
        <v>Salmon</v>
      </c>
      <c r="D531" s="4" t="str">
        <f t="shared" si="746"/>
        <v>Mughal</v>
      </c>
      <c r="E531" s="27" t="str">
        <f t="shared" si="503"/>
        <v>SALES</v>
      </c>
      <c r="F531" s="27" t="str">
        <f t="shared" si="747"/>
        <v>MUGH0001</v>
      </c>
      <c r="G531" s="15">
        <f t="shared" ref="G531:G538" si="750">G530</f>
        <v>41671</v>
      </c>
      <c r="H531" s="27" t="str">
        <f t="shared" ref="H531:H538" si="751">H530</f>
        <v>10098</v>
      </c>
      <c r="I531" s="27" t="str">
        <f>"""GP Direct"",""Fabrikam, Inc."",""Jet Payroll Transactions"",""Pay Rate"",""0.00000"",""Payroll Code"",""401K"",""State"","""",""Transaction Amount"",""1.08000"""</f>
        <v>"GP Direct","Fabrikam, Inc.","Jet Payroll Transactions","Pay Rate","0.00000","Payroll Code","401K","State","","Transaction Amount","1.08000"</v>
      </c>
      <c r="O531" s="28"/>
      <c r="P531" s="37">
        <v>0</v>
      </c>
      <c r="Q531" s="38" t="str">
        <f>"401K"</f>
        <v>401K</v>
      </c>
      <c r="R531" s="39"/>
      <c r="S531" s="37">
        <v>1.08</v>
      </c>
    </row>
    <row r="532" spans="1:19" hidden="1" outlineLevel="3">
      <c r="A532" s="25" t="s">
        <v>91</v>
      </c>
      <c r="C532" s="4" t="str">
        <f t="shared" ref="C532:C536" si="752">C531</f>
        <v>Salmon</v>
      </c>
      <c r="D532" s="4" t="str">
        <f t="shared" ref="D532:D536" si="753">D531</f>
        <v>Mughal</v>
      </c>
      <c r="E532" s="27" t="str">
        <f t="shared" ref="E532:E536" si="754">E531</f>
        <v>SALES</v>
      </c>
      <c r="F532" s="27" t="str">
        <f t="shared" ref="F532:F536" si="755">F531</f>
        <v>MUGH0001</v>
      </c>
      <c r="G532" s="15">
        <f t="shared" ref="G532:G536" si="756">G531</f>
        <v>41671</v>
      </c>
      <c r="H532" s="27" t="str">
        <f t="shared" ref="H532:H536" si="757">H531</f>
        <v>10098</v>
      </c>
      <c r="I532" s="27" t="str">
        <f>"""GP Direct"",""Fabrikam, Inc."",""Jet Payroll Transactions"",""Pay Rate"",""0.00000"",""Payroll Code"",""401K"",""State"","""",""Transaction Amount"",""21.57000"""</f>
        <v>"GP Direct","Fabrikam, Inc.","Jet Payroll Transactions","Pay Rate","0.00000","Payroll Code","401K","State","","Transaction Amount","21.57000"</v>
      </c>
      <c r="O532" s="28"/>
      <c r="P532" s="37">
        <v>0</v>
      </c>
      <c r="Q532" s="38" t="str">
        <f>"401K"</f>
        <v>401K</v>
      </c>
      <c r="R532" s="39"/>
      <c r="S532" s="37">
        <v>21.57</v>
      </c>
    </row>
    <row r="533" spans="1:19" hidden="1" outlineLevel="3">
      <c r="A533" s="25" t="s">
        <v>91</v>
      </c>
      <c r="C533" s="4" t="str">
        <f t="shared" si="752"/>
        <v>Salmon</v>
      </c>
      <c r="D533" s="4" t="str">
        <f t="shared" si="753"/>
        <v>Mughal</v>
      </c>
      <c r="E533" s="27" t="str">
        <f t="shared" si="754"/>
        <v>SALES</v>
      </c>
      <c r="F533" s="27" t="str">
        <f t="shared" si="755"/>
        <v>MUGH0001</v>
      </c>
      <c r="G533" s="15">
        <f t="shared" si="756"/>
        <v>41671</v>
      </c>
      <c r="H533" s="27" t="str">
        <f t="shared" si="757"/>
        <v>10098</v>
      </c>
      <c r="I533" s="27" t="str">
        <f>"""GP Direct"",""Fabrikam, Inc."",""Jet Payroll Transactions"",""Pay Rate"",""0.00000"",""Payroll Code"",""IL"",""State"","""",""Transaction Amount"",""19.53000"""</f>
        <v>"GP Direct","Fabrikam, Inc.","Jet Payroll Transactions","Pay Rate","0.00000","Payroll Code","IL","State","","Transaction Amount","19.53000"</v>
      </c>
      <c r="O533" s="28"/>
      <c r="P533" s="37">
        <v>0</v>
      </c>
      <c r="Q533" s="38" t="str">
        <f>"IL"</f>
        <v>IL</v>
      </c>
      <c r="R533" s="39"/>
      <c r="S533" s="37">
        <v>19.53</v>
      </c>
    </row>
    <row r="534" spans="1:19" hidden="1" outlineLevel="3">
      <c r="A534" s="25" t="s">
        <v>91</v>
      </c>
      <c r="C534" s="4" t="str">
        <f t="shared" si="752"/>
        <v>Salmon</v>
      </c>
      <c r="D534" s="4" t="str">
        <f t="shared" si="753"/>
        <v>Mughal</v>
      </c>
      <c r="E534" s="27" t="str">
        <f t="shared" si="754"/>
        <v>SALES</v>
      </c>
      <c r="F534" s="27" t="str">
        <f t="shared" si="755"/>
        <v>MUGH0001</v>
      </c>
      <c r="G534" s="15">
        <f t="shared" si="756"/>
        <v>41671</v>
      </c>
      <c r="H534" s="27" t="str">
        <f t="shared" si="757"/>
        <v>10098</v>
      </c>
      <c r="I534" s="27" t="str">
        <f>"""GP Direct"",""Fabrikam, Inc."",""Jet Payroll Transactions"",""Pay Rate"",""0.00000"",""Payroll Code"",""INS"",""State"","""",""Transaction Amount"",""49.36000"""</f>
        <v>"GP Direct","Fabrikam, Inc.","Jet Payroll Transactions","Pay Rate","0.00000","Payroll Code","INS","State","","Transaction Amount","49.36000"</v>
      </c>
      <c r="O534" s="28"/>
      <c r="P534" s="37">
        <v>0</v>
      </c>
      <c r="Q534" s="38" t="str">
        <f>"INS"</f>
        <v>INS</v>
      </c>
      <c r="R534" s="39"/>
      <c r="S534" s="37">
        <v>49.36</v>
      </c>
    </row>
    <row r="535" spans="1:19" hidden="1" outlineLevel="3">
      <c r="A535" s="25" t="s">
        <v>91</v>
      </c>
      <c r="C535" s="4" t="str">
        <f t="shared" si="752"/>
        <v>Salmon</v>
      </c>
      <c r="D535" s="4" t="str">
        <f t="shared" si="753"/>
        <v>Mughal</v>
      </c>
      <c r="E535" s="27" t="str">
        <f t="shared" si="754"/>
        <v>SALES</v>
      </c>
      <c r="F535" s="27" t="str">
        <f t="shared" si="755"/>
        <v>MUGH0001</v>
      </c>
      <c r="G535" s="15">
        <f t="shared" si="756"/>
        <v>41671</v>
      </c>
      <c r="H535" s="27" t="str">
        <f t="shared" si="757"/>
        <v>10098</v>
      </c>
      <c r="I535" s="27" t="str">
        <f>"""GP Direct"",""Fabrikam, Inc."",""Jet Payroll Transactions"",""Pay Rate"",""0.00000"",""Payroll Code"",""MED"",""State"","""",""Transaction Amount"",""5.00000"""</f>
        <v>"GP Direct","Fabrikam, Inc.","Jet Payroll Transactions","Pay Rate","0.00000","Payroll Code","MED","State","","Transaction Amount","5.00000"</v>
      </c>
      <c r="O535" s="28"/>
      <c r="P535" s="37">
        <v>0</v>
      </c>
      <c r="Q535" s="38" t="str">
        <f>"MED"</f>
        <v>MED</v>
      </c>
      <c r="R535" s="39"/>
      <c r="S535" s="37">
        <v>5</v>
      </c>
    </row>
    <row r="536" spans="1:19" hidden="1" outlineLevel="3">
      <c r="A536" s="25" t="s">
        <v>91</v>
      </c>
      <c r="C536" s="4" t="str">
        <f t="shared" si="752"/>
        <v>Salmon</v>
      </c>
      <c r="D536" s="4" t="str">
        <f t="shared" si="753"/>
        <v>Mughal</v>
      </c>
      <c r="E536" s="27" t="str">
        <f t="shared" si="754"/>
        <v>SALES</v>
      </c>
      <c r="F536" s="27" t="str">
        <f t="shared" si="755"/>
        <v>MUGH0001</v>
      </c>
      <c r="G536" s="15">
        <f t="shared" si="756"/>
        <v>41671</v>
      </c>
      <c r="H536" s="27" t="str">
        <f t="shared" si="757"/>
        <v>10098</v>
      </c>
      <c r="I536" s="27" t="str">
        <f>"""GP Direct"",""Fabrikam, Inc."",""Jet Payroll Transactions"",""Pay Rate"",""17259.00000"",""Payroll Code"",""SALY"",""State"",""IL"",""Transaction Amount"",""719.13000"""</f>
        <v>"GP Direct","Fabrikam, Inc.","Jet Payroll Transactions","Pay Rate","17259.00000","Payroll Code","SALY","State","IL","Transaction Amount","719.13000"</v>
      </c>
      <c r="O536" s="28"/>
      <c r="P536" s="37">
        <v>17259</v>
      </c>
      <c r="Q536" s="38" t="str">
        <f>"SALY"</f>
        <v>SALY</v>
      </c>
      <c r="R536" s="39" t="str">
        <f>"IL"</f>
        <v>IL</v>
      </c>
      <c r="S536" s="37">
        <v>719.13</v>
      </c>
    </row>
    <row r="537" spans="1:19" hidden="1" outlineLevel="3">
      <c r="A537" s="24" t="s">
        <v>2812</v>
      </c>
      <c r="C537" s="4" t="str">
        <f>C531</f>
        <v>Salmon</v>
      </c>
      <c r="D537" s="4" t="str">
        <f>D531</f>
        <v>Mughal</v>
      </c>
      <c r="E537" s="27" t="str">
        <f>E531</f>
        <v>SALES</v>
      </c>
      <c r="F537" s="27" t="str">
        <f>F531</f>
        <v>MUGH0001</v>
      </c>
      <c r="G537" s="15">
        <f>G531</f>
        <v>41671</v>
      </c>
      <c r="H537" s="27" t="str">
        <f>H531</f>
        <v>10098</v>
      </c>
      <c r="O537" s="28"/>
      <c r="S537" s="16"/>
    </row>
    <row r="538" spans="1:19" ht="12.75" hidden="1" outlineLevel="2" collapsed="1">
      <c r="A538" s="25" t="s">
        <v>91</v>
      </c>
      <c r="C538" s="4" t="str">
        <f t="shared" si="745"/>
        <v>Salmon</v>
      </c>
      <c r="D538" s="4" t="str">
        <f t="shared" si="746"/>
        <v>Mughal</v>
      </c>
      <c r="E538" s="27" t="str">
        <f t="shared" si="503"/>
        <v>SALES</v>
      </c>
      <c r="F538" s="27" t="str">
        <f t="shared" si="747"/>
        <v>MUGH0001</v>
      </c>
      <c r="G538" s="15">
        <f t="shared" si="750"/>
        <v>41671</v>
      </c>
      <c r="H538" s="27" t="str">
        <f t="shared" si="751"/>
        <v>10098</v>
      </c>
      <c r="N538" s="44" t="str">
        <f>"Total for " &amp; $H538</f>
        <v>Total for 10098</v>
      </c>
      <c r="O538" s="45">
        <f>G538</f>
        <v>41671</v>
      </c>
      <c r="P538" s="44"/>
      <c r="Q538" s="44"/>
      <c r="R538" s="44"/>
      <c r="S538" s="44">
        <f>SUBTOTAL(9,S531:S537)</f>
        <v>815.67</v>
      </c>
    </row>
    <row r="539" spans="1:19" ht="12.75" hidden="1" outlineLevel="3">
      <c r="A539" s="25" t="s">
        <v>91</v>
      </c>
      <c r="C539" s="4" t="str">
        <f t="shared" ref="C539:C547" si="758">C538</f>
        <v>Salmon</v>
      </c>
      <c r="D539" s="4" t="str">
        <f t="shared" ref="D539:D547" si="759">D538</f>
        <v>Mughal</v>
      </c>
      <c r="E539" s="27" t="str">
        <f t="shared" ref="E539:E547" si="760">E538</f>
        <v>SALES</v>
      </c>
      <c r="F539" s="27" t="str">
        <f t="shared" ref="F539:F547" si="761">F538</f>
        <v>MUGH0001</v>
      </c>
      <c r="G539" s="15">
        <f t="shared" ref="G539" si="762">O539</f>
        <v>41699</v>
      </c>
      <c r="H539" s="27" t="str">
        <f t="shared" ref="H539" si="763">N539</f>
        <v>10123</v>
      </c>
      <c r="J539" s="33"/>
      <c r="K539" s="33"/>
      <c r="L539" s="33"/>
      <c r="M539" s="33"/>
      <c r="N539" s="32" t="str">
        <f>"10123"</f>
        <v>10123</v>
      </c>
      <c r="O539" s="36">
        <v>41699</v>
      </c>
      <c r="P539" s="33"/>
      <c r="Q539" s="33"/>
      <c r="R539" s="33"/>
      <c r="S539" s="33"/>
    </row>
    <row r="540" spans="1:19" hidden="1" outlineLevel="3">
      <c r="A540" s="25" t="s">
        <v>91</v>
      </c>
      <c r="C540" s="4" t="str">
        <f t="shared" si="758"/>
        <v>Salmon</v>
      </c>
      <c r="D540" s="4" t="str">
        <f t="shared" si="759"/>
        <v>Mughal</v>
      </c>
      <c r="E540" s="27" t="str">
        <f t="shared" si="760"/>
        <v>SALES</v>
      </c>
      <c r="F540" s="27" t="str">
        <f t="shared" si="761"/>
        <v>MUGH0001</v>
      </c>
      <c r="G540" s="15">
        <f t="shared" ref="G540:G547" si="764">G539</f>
        <v>41699</v>
      </c>
      <c r="H540" s="27" t="str">
        <f t="shared" ref="H540:H547" si="765">H539</f>
        <v>10123</v>
      </c>
      <c r="I540" s="27" t="str">
        <f>"""GP Direct"",""Fabrikam, Inc."",""Jet Payroll Transactions"",""Pay Rate"",""0.00000"",""Payroll Code"",""401K"",""State"","""",""Transaction Amount"",""1.08000"""</f>
        <v>"GP Direct","Fabrikam, Inc.","Jet Payroll Transactions","Pay Rate","0.00000","Payroll Code","401K","State","","Transaction Amount","1.08000"</v>
      </c>
      <c r="O540" s="28"/>
      <c r="P540" s="37">
        <v>0</v>
      </c>
      <c r="Q540" s="38" t="str">
        <f>"401K"</f>
        <v>401K</v>
      </c>
      <c r="R540" s="39"/>
      <c r="S540" s="37">
        <v>1.08</v>
      </c>
    </row>
    <row r="541" spans="1:19" hidden="1" outlineLevel="3">
      <c r="A541" s="25" t="s">
        <v>91</v>
      </c>
      <c r="C541" s="4" t="str">
        <f t="shared" ref="C541:C545" si="766">C540</f>
        <v>Salmon</v>
      </c>
      <c r="D541" s="4" t="str">
        <f t="shared" ref="D541:D545" si="767">D540</f>
        <v>Mughal</v>
      </c>
      <c r="E541" s="27" t="str">
        <f t="shared" ref="E541:E545" si="768">E540</f>
        <v>SALES</v>
      </c>
      <c r="F541" s="27" t="str">
        <f t="shared" ref="F541:F545" si="769">F540</f>
        <v>MUGH0001</v>
      </c>
      <c r="G541" s="15">
        <f t="shared" ref="G541:G545" si="770">G540</f>
        <v>41699</v>
      </c>
      <c r="H541" s="27" t="str">
        <f t="shared" ref="H541:H545" si="771">H540</f>
        <v>10123</v>
      </c>
      <c r="I541" s="27" t="str">
        <f>"""GP Direct"",""Fabrikam, Inc."",""Jet Payroll Transactions"",""Pay Rate"",""0.00000"",""Payroll Code"",""401K"",""State"","""",""Transaction Amount"",""21.57000"""</f>
        <v>"GP Direct","Fabrikam, Inc.","Jet Payroll Transactions","Pay Rate","0.00000","Payroll Code","401K","State","","Transaction Amount","21.57000"</v>
      </c>
      <c r="O541" s="28"/>
      <c r="P541" s="37">
        <v>0</v>
      </c>
      <c r="Q541" s="38" t="str">
        <f>"401K"</f>
        <v>401K</v>
      </c>
      <c r="R541" s="39"/>
      <c r="S541" s="37">
        <v>21.57</v>
      </c>
    </row>
    <row r="542" spans="1:19" hidden="1" outlineLevel="3">
      <c r="A542" s="25" t="s">
        <v>91</v>
      </c>
      <c r="C542" s="4" t="str">
        <f t="shared" si="766"/>
        <v>Salmon</v>
      </c>
      <c r="D542" s="4" t="str">
        <f t="shared" si="767"/>
        <v>Mughal</v>
      </c>
      <c r="E542" s="27" t="str">
        <f t="shared" si="768"/>
        <v>SALES</v>
      </c>
      <c r="F542" s="27" t="str">
        <f t="shared" si="769"/>
        <v>MUGH0001</v>
      </c>
      <c r="G542" s="15">
        <f t="shared" si="770"/>
        <v>41699</v>
      </c>
      <c r="H542" s="27" t="str">
        <f t="shared" si="771"/>
        <v>10123</v>
      </c>
      <c r="I542" s="27" t="str">
        <f>"""GP Direct"",""Fabrikam, Inc."",""Jet Payroll Transactions"",""Pay Rate"",""0.00000"",""Payroll Code"",""IL"",""State"","""",""Transaction Amount"",""19.53000"""</f>
        <v>"GP Direct","Fabrikam, Inc.","Jet Payroll Transactions","Pay Rate","0.00000","Payroll Code","IL","State","","Transaction Amount","19.53000"</v>
      </c>
      <c r="O542" s="28"/>
      <c r="P542" s="37">
        <v>0</v>
      </c>
      <c r="Q542" s="38" t="str">
        <f>"IL"</f>
        <v>IL</v>
      </c>
      <c r="R542" s="39"/>
      <c r="S542" s="37">
        <v>19.53</v>
      </c>
    </row>
    <row r="543" spans="1:19" hidden="1" outlineLevel="3">
      <c r="A543" s="25" t="s">
        <v>91</v>
      </c>
      <c r="C543" s="4" t="str">
        <f t="shared" si="766"/>
        <v>Salmon</v>
      </c>
      <c r="D543" s="4" t="str">
        <f t="shared" si="767"/>
        <v>Mughal</v>
      </c>
      <c r="E543" s="27" t="str">
        <f t="shared" si="768"/>
        <v>SALES</v>
      </c>
      <c r="F543" s="27" t="str">
        <f t="shared" si="769"/>
        <v>MUGH0001</v>
      </c>
      <c r="G543" s="15">
        <f t="shared" si="770"/>
        <v>41699</v>
      </c>
      <c r="H543" s="27" t="str">
        <f t="shared" si="771"/>
        <v>10123</v>
      </c>
      <c r="I543" s="27" t="str">
        <f>"""GP Direct"",""Fabrikam, Inc."",""Jet Payroll Transactions"",""Pay Rate"",""0.00000"",""Payroll Code"",""INS"",""State"","""",""Transaction Amount"",""49.36000"""</f>
        <v>"GP Direct","Fabrikam, Inc.","Jet Payroll Transactions","Pay Rate","0.00000","Payroll Code","INS","State","","Transaction Amount","49.36000"</v>
      </c>
      <c r="O543" s="28"/>
      <c r="P543" s="37">
        <v>0</v>
      </c>
      <c r="Q543" s="38" t="str">
        <f>"INS"</f>
        <v>INS</v>
      </c>
      <c r="R543" s="39"/>
      <c r="S543" s="37">
        <v>49.36</v>
      </c>
    </row>
    <row r="544" spans="1:19" hidden="1" outlineLevel="3">
      <c r="A544" s="25" t="s">
        <v>91</v>
      </c>
      <c r="C544" s="4" t="str">
        <f t="shared" si="766"/>
        <v>Salmon</v>
      </c>
      <c r="D544" s="4" t="str">
        <f t="shared" si="767"/>
        <v>Mughal</v>
      </c>
      <c r="E544" s="27" t="str">
        <f t="shared" si="768"/>
        <v>SALES</v>
      </c>
      <c r="F544" s="27" t="str">
        <f t="shared" si="769"/>
        <v>MUGH0001</v>
      </c>
      <c r="G544" s="15">
        <f t="shared" si="770"/>
        <v>41699</v>
      </c>
      <c r="H544" s="27" t="str">
        <f t="shared" si="771"/>
        <v>10123</v>
      </c>
      <c r="I544" s="27" t="str">
        <f>"""GP Direct"",""Fabrikam, Inc."",""Jet Payroll Transactions"",""Pay Rate"",""0.00000"",""Payroll Code"",""MED"",""State"","""",""Transaction Amount"",""5.00000"""</f>
        <v>"GP Direct","Fabrikam, Inc.","Jet Payroll Transactions","Pay Rate","0.00000","Payroll Code","MED","State","","Transaction Amount","5.00000"</v>
      </c>
      <c r="O544" s="28"/>
      <c r="P544" s="37">
        <v>0</v>
      </c>
      <c r="Q544" s="38" t="str">
        <f>"MED"</f>
        <v>MED</v>
      </c>
      <c r="R544" s="39"/>
      <c r="S544" s="37">
        <v>5</v>
      </c>
    </row>
    <row r="545" spans="1:19" hidden="1" outlineLevel="3">
      <c r="A545" s="25" t="s">
        <v>91</v>
      </c>
      <c r="C545" s="4" t="str">
        <f t="shared" si="766"/>
        <v>Salmon</v>
      </c>
      <c r="D545" s="4" t="str">
        <f t="shared" si="767"/>
        <v>Mughal</v>
      </c>
      <c r="E545" s="27" t="str">
        <f t="shared" si="768"/>
        <v>SALES</v>
      </c>
      <c r="F545" s="27" t="str">
        <f t="shared" si="769"/>
        <v>MUGH0001</v>
      </c>
      <c r="G545" s="15">
        <f t="shared" si="770"/>
        <v>41699</v>
      </c>
      <c r="H545" s="27" t="str">
        <f t="shared" si="771"/>
        <v>10123</v>
      </c>
      <c r="I545" s="27" t="str">
        <f>"""GP Direct"",""Fabrikam, Inc."",""Jet Payroll Transactions"",""Pay Rate"",""17259.00000"",""Payroll Code"",""SALY"",""State"",""IL"",""Transaction Amount"",""719.13000"""</f>
        <v>"GP Direct","Fabrikam, Inc.","Jet Payroll Transactions","Pay Rate","17259.00000","Payroll Code","SALY","State","IL","Transaction Amount","719.13000"</v>
      </c>
      <c r="O545" s="28"/>
      <c r="P545" s="37">
        <v>17259</v>
      </c>
      <c r="Q545" s="38" t="str">
        <f>"SALY"</f>
        <v>SALY</v>
      </c>
      <c r="R545" s="39" t="str">
        <f>"IL"</f>
        <v>IL</v>
      </c>
      <c r="S545" s="37">
        <v>719.13</v>
      </c>
    </row>
    <row r="546" spans="1:19" hidden="1" outlineLevel="3">
      <c r="A546" s="24" t="s">
        <v>2812</v>
      </c>
      <c r="C546" s="4" t="str">
        <f>C540</f>
        <v>Salmon</v>
      </c>
      <c r="D546" s="4" t="str">
        <f>D540</f>
        <v>Mughal</v>
      </c>
      <c r="E546" s="27" t="str">
        <f>E540</f>
        <v>SALES</v>
      </c>
      <c r="F546" s="27" t="str">
        <f>F540</f>
        <v>MUGH0001</v>
      </c>
      <c r="G546" s="15">
        <f>G540</f>
        <v>41699</v>
      </c>
      <c r="H546" s="27" t="str">
        <f>H540</f>
        <v>10123</v>
      </c>
      <c r="O546" s="28"/>
      <c r="S546" s="16"/>
    </row>
    <row r="547" spans="1:19" ht="12.75" hidden="1" outlineLevel="2" collapsed="1">
      <c r="A547" s="25" t="s">
        <v>91</v>
      </c>
      <c r="C547" s="4" t="str">
        <f t="shared" si="758"/>
        <v>Salmon</v>
      </c>
      <c r="D547" s="4" t="str">
        <f t="shared" si="759"/>
        <v>Mughal</v>
      </c>
      <c r="E547" s="27" t="str">
        <f t="shared" si="760"/>
        <v>SALES</v>
      </c>
      <c r="F547" s="27" t="str">
        <f t="shared" si="761"/>
        <v>MUGH0001</v>
      </c>
      <c r="G547" s="15">
        <f t="shared" si="764"/>
        <v>41699</v>
      </c>
      <c r="H547" s="27" t="str">
        <f t="shared" si="765"/>
        <v>10123</v>
      </c>
      <c r="N547" s="44" t="str">
        <f>"Total for " &amp; $H547</f>
        <v>Total for 10123</v>
      </c>
      <c r="O547" s="45">
        <f>G547</f>
        <v>41699</v>
      </c>
      <c r="P547" s="44"/>
      <c r="Q547" s="44"/>
      <c r="R547" s="44"/>
      <c r="S547" s="44">
        <f>SUBTOTAL(9,S540:S546)</f>
        <v>815.67</v>
      </c>
    </row>
    <row r="548" spans="1:19" ht="12.75" hidden="1" outlineLevel="2">
      <c r="A548" s="24" t="s">
        <v>2812</v>
      </c>
      <c r="C548" s="4" t="str">
        <f>C538</f>
        <v>Salmon</v>
      </c>
      <c r="D548" s="4" t="str">
        <f>D538</f>
        <v>Mughal</v>
      </c>
      <c r="E548" s="27" t="str">
        <f>E538</f>
        <v>SALES</v>
      </c>
      <c r="F548" s="27" t="str">
        <f>F538</f>
        <v>MUGH0001</v>
      </c>
      <c r="G548" s="14"/>
      <c r="J548" s="33"/>
      <c r="K548" s="33"/>
      <c r="L548" s="33"/>
      <c r="M548" s="33"/>
      <c r="N548" s="33"/>
      <c r="O548" s="33"/>
      <c r="P548" s="33"/>
      <c r="Q548" s="33"/>
      <c r="R548" s="33"/>
      <c r="S548" s="40"/>
    </row>
    <row r="549" spans="1:19" ht="12.75" hidden="1" outlineLevel="1" collapsed="1">
      <c r="A549" s="25" t="s">
        <v>91</v>
      </c>
      <c r="C549" s="4" t="str">
        <f t="shared" si="745"/>
        <v>Salmon</v>
      </c>
      <c r="D549" s="4" t="str">
        <f t="shared" si="746"/>
        <v>Mughal</v>
      </c>
      <c r="E549" s="27" t="str">
        <f t="shared" si="503"/>
        <v>SALES</v>
      </c>
      <c r="F549" s="27" t="str">
        <f t="shared" si="747"/>
        <v>MUGH0001</v>
      </c>
      <c r="G549" s="14"/>
      <c r="J549" s="33"/>
      <c r="K549" s="46" t="str">
        <f>"Total for " &amp; $F549</f>
        <v>Total for MUGH0001</v>
      </c>
      <c r="L549" s="46" t="str">
        <f>C549</f>
        <v>Salmon</v>
      </c>
      <c r="M549" s="46" t="str">
        <f>D549</f>
        <v>Mughal</v>
      </c>
      <c r="N549" s="46"/>
      <c r="O549" s="46"/>
      <c r="P549" s="46"/>
      <c r="Q549" s="46"/>
      <c r="R549" s="46"/>
      <c r="S549" s="47">
        <f>SUBTOTAL(9,S531:S548)</f>
        <v>1631.3400000000001</v>
      </c>
    </row>
    <row r="550" spans="1:19" ht="12.75" hidden="1" outlineLevel="2">
      <c r="A550" s="25" t="s">
        <v>91</v>
      </c>
      <c r="C550" s="4" t="str">
        <f t="shared" ref="C550" si="772">L550</f>
        <v>Paul</v>
      </c>
      <c r="D550" s="4" t="str">
        <f t="shared" ref="D550" si="773">M550</f>
        <v>West</v>
      </c>
      <c r="E550" s="27" t="str">
        <f t="shared" si="503"/>
        <v>SALES</v>
      </c>
      <c r="F550" s="27" t="str">
        <f t="shared" ref="F550" si="774">K550</f>
        <v>WEST0001</v>
      </c>
      <c r="G550" s="14"/>
      <c r="J550" s="31"/>
      <c r="K550" s="21" t="str">
        <f>"WEST0001"</f>
        <v>WEST0001</v>
      </c>
      <c r="L550" s="43" t="str">
        <f>"Paul"</f>
        <v>Paul</v>
      </c>
      <c r="M550" s="43" t="str">
        <f>"West"</f>
        <v>West</v>
      </c>
      <c r="N550" s="43"/>
      <c r="O550" s="34"/>
      <c r="P550" s="33"/>
      <c r="Q550" s="33"/>
      <c r="R550" s="33"/>
      <c r="S550" s="35"/>
    </row>
    <row r="551" spans="1:19" ht="12.75" hidden="1" outlineLevel="3">
      <c r="A551" s="25" t="s">
        <v>91</v>
      </c>
      <c r="C551" s="4" t="str">
        <f t="shared" ref="C551:C577" si="775">C550</f>
        <v>Paul</v>
      </c>
      <c r="D551" s="4" t="str">
        <f t="shared" ref="D551:D577" si="776">D550</f>
        <v>West</v>
      </c>
      <c r="E551" s="27" t="str">
        <f t="shared" si="503"/>
        <v>SALES</v>
      </c>
      <c r="F551" s="27" t="str">
        <f t="shared" ref="F551:F577" si="777">F550</f>
        <v>WEST0001</v>
      </c>
      <c r="G551" s="15">
        <f t="shared" ref="G551" si="778">O551</f>
        <v>41671</v>
      </c>
      <c r="H551" s="27" t="str">
        <f t="shared" ref="H551" si="779">N551</f>
        <v>10104</v>
      </c>
      <c r="J551" s="33"/>
      <c r="K551" s="33"/>
      <c r="L551" s="33"/>
      <c r="M551" s="33"/>
      <c r="N551" s="32" t="str">
        <f>"10104"</f>
        <v>10104</v>
      </c>
      <c r="O551" s="36">
        <v>41671</v>
      </c>
      <c r="P551" s="33"/>
      <c r="Q551" s="33"/>
      <c r="R551" s="33"/>
      <c r="S551" s="33"/>
    </row>
    <row r="552" spans="1:19" hidden="1" outlineLevel="3">
      <c r="A552" s="25" t="s">
        <v>91</v>
      </c>
      <c r="C552" s="4" t="str">
        <f t="shared" si="775"/>
        <v>Paul</v>
      </c>
      <c r="D552" s="4" t="str">
        <f t="shared" si="776"/>
        <v>West</v>
      </c>
      <c r="E552" s="27" t="str">
        <f t="shared" si="503"/>
        <v>SALES</v>
      </c>
      <c r="F552" s="27" t="str">
        <f t="shared" si="777"/>
        <v>WEST0001</v>
      </c>
      <c r="G552" s="15">
        <f t="shared" ref="G552:G560" si="780">G551</f>
        <v>41671</v>
      </c>
      <c r="H552" s="27" t="str">
        <f t="shared" ref="H552:H560" si="781">H551</f>
        <v>10104</v>
      </c>
      <c r="I552" s="27" t="str">
        <f>"""GP Direct"",""Fabrikam, Inc."",""Jet Payroll Transactions"",""Pay Rate"",""0.00000"",""Payroll Code"",""401K"",""State"","""",""Transaction Amount"",""1.50000"""</f>
        <v>"GP Direct","Fabrikam, Inc.","Jet Payroll Transactions","Pay Rate","0.00000","Payroll Code","401K","State","","Transaction Amount","1.50000"</v>
      </c>
      <c r="O552" s="28"/>
      <c r="P552" s="37">
        <v>0</v>
      </c>
      <c r="Q552" s="38" t="str">
        <f>"401K"</f>
        <v>401K</v>
      </c>
      <c r="R552" s="39"/>
      <c r="S552" s="37">
        <v>1.5</v>
      </c>
    </row>
    <row r="553" spans="1:19" hidden="1" outlineLevel="3">
      <c r="A553" s="25" t="s">
        <v>91</v>
      </c>
      <c r="C553" s="4" t="str">
        <f t="shared" ref="C553:C558" si="782">C552</f>
        <v>Paul</v>
      </c>
      <c r="D553" s="4" t="str">
        <f t="shared" ref="D553:D558" si="783">D552</f>
        <v>West</v>
      </c>
      <c r="E553" s="27" t="str">
        <f t="shared" ref="E553:E558" si="784">E552</f>
        <v>SALES</v>
      </c>
      <c r="F553" s="27" t="str">
        <f t="shared" ref="F553:F558" si="785">F552</f>
        <v>WEST0001</v>
      </c>
      <c r="G553" s="15">
        <f t="shared" ref="G553:G558" si="786">G552</f>
        <v>41671</v>
      </c>
      <c r="H553" s="27" t="str">
        <f t="shared" ref="H553:H558" si="787">H552</f>
        <v>10104</v>
      </c>
      <c r="I553" s="27" t="str">
        <f>"""GP Direct"",""Fabrikam, Inc."",""Jet Payroll Transactions"",""Pay Rate"",""0.00000"",""Payroll Code"",""401K"",""State"","""",""Transaction Amount"",""30.00000"""</f>
        <v>"GP Direct","Fabrikam, Inc.","Jet Payroll Transactions","Pay Rate","0.00000","Payroll Code","401K","State","","Transaction Amount","30.00000"</v>
      </c>
      <c r="O553" s="28"/>
      <c r="P553" s="37">
        <v>0</v>
      </c>
      <c r="Q553" s="38" t="str">
        <f>"401K"</f>
        <v>401K</v>
      </c>
      <c r="R553" s="39"/>
      <c r="S553" s="37">
        <v>30</v>
      </c>
    </row>
    <row r="554" spans="1:19" hidden="1" outlineLevel="3">
      <c r="A554" s="25" t="s">
        <v>91</v>
      </c>
      <c r="C554" s="4" t="str">
        <f t="shared" si="782"/>
        <v>Paul</v>
      </c>
      <c r="D554" s="4" t="str">
        <f t="shared" si="783"/>
        <v>West</v>
      </c>
      <c r="E554" s="27" t="str">
        <f t="shared" si="784"/>
        <v>SALES</v>
      </c>
      <c r="F554" s="27" t="str">
        <f t="shared" si="785"/>
        <v>WEST0001</v>
      </c>
      <c r="G554" s="15">
        <f t="shared" si="786"/>
        <v>41671</v>
      </c>
      <c r="H554" s="27" t="str">
        <f t="shared" si="787"/>
        <v>10104</v>
      </c>
      <c r="I554" s="27" t="str">
        <f>"""GP Direct"",""Fabrikam, Inc."",""Jet Payroll Transactions"",""Pay Rate"",""0.00000"",""Payroll Code"",""IL"",""State"","""",""Transaction Amount"",""22.51000"""</f>
        <v>"GP Direct","Fabrikam, Inc.","Jet Payroll Transactions","Pay Rate","0.00000","Payroll Code","IL","State","","Transaction Amount","22.51000"</v>
      </c>
      <c r="O554" s="28"/>
      <c r="P554" s="37">
        <v>0</v>
      </c>
      <c r="Q554" s="38" t="str">
        <f>"IL"</f>
        <v>IL</v>
      </c>
      <c r="R554" s="39"/>
      <c r="S554" s="37">
        <v>22.51</v>
      </c>
    </row>
    <row r="555" spans="1:19" hidden="1" outlineLevel="3">
      <c r="A555" s="25" t="s">
        <v>91</v>
      </c>
      <c r="C555" s="4" t="str">
        <f t="shared" si="782"/>
        <v>Paul</v>
      </c>
      <c r="D555" s="4" t="str">
        <f t="shared" si="783"/>
        <v>West</v>
      </c>
      <c r="E555" s="27" t="str">
        <f t="shared" si="784"/>
        <v>SALES</v>
      </c>
      <c r="F555" s="27" t="str">
        <f t="shared" si="785"/>
        <v>WEST0001</v>
      </c>
      <c r="G555" s="15">
        <f t="shared" si="786"/>
        <v>41671</v>
      </c>
      <c r="H555" s="27" t="str">
        <f t="shared" si="787"/>
        <v>10104</v>
      </c>
      <c r="I555" s="27" t="str">
        <f>"""GP Direct"",""Fabrikam, Inc."",""Jet Payroll Transactions"",""Pay Rate"",""0.00000"",""Payroll Code"",""INS"",""State"","""",""Transaction Amount"",""49.36000"""</f>
        <v>"GP Direct","Fabrikam, Inc.","Jet Payroll Transactions","Pay Rate","0.00000","Payroll Code","INS","State","","Transaction Amount","49.36000"</v>
      </c>
      <c r="O555" s="28"/>
      <c r="P555" s="37">
        <v>0</v>
      </c>
      <c r="Q555" s="38" t="str">
        <f>"INS"</f>
        <v>INS</v>
      </c>
      <c r="R555" s="39"/>
      <c r="S555" s="37">
        <v>49.36</v>
      </c>
    </row>
    <row r="556" spans="1:19" hidden="1" outlineLevel="3">
      <c r="A556" s="25" t="s">
        <v>91</v>
      </c>
      <c r="C556" s="4" t="str">
        <f t="shared" si="782"/>
        <v>Paul</v>
      </c>
      <c r="D556" s="4" t="str">
        <f t="shared" si="783"/>
        <v>West</v>
      </c>
      <c r="E556" s="27" t="str">
        <f t="shared" si="784"/>
        <v>SALES</v>
      </c>
      <c r="F556" s="27" t="str">
        <f t="shared" si="785"/>
        <v>WEST0001</v>
      </c>
      <c r="G556" s="15">
        <f t="shared" si="786"/>
        <v>41671</v>
      </c>
      <c r="H556" s="27" t="str">
        <f t="shared" si="787"/>
        <v>10104</v>
      </c>
      <c r="I556" s="27" t="str">
        <f>"""GP Direct"",""Fabrikam, Inc."",""Jet Payroll Transactions"",""Pay Rate"",""0.00000"",""Payroll Code"",""INS1"",""State"","""",""Transaction Amount"",""47.95000"""</f>
        <v>"GP Direct","Fabrikam, Inc.","Jet Payroll Transactions","Pay Rate","0.00000","Payroll Code","INS1","State","","Transaction Amount","47.95000"</v>
      </c>
      <c r="O556" s="28"/>
      <c r="P556" s="37">
        <v>0</v>
      </c>
      <c r="Q556" s="38" t="str">
        <f>"INS1"</f>
        <v>INS1</v>
      </c>
      <c r="R556" s="39"/>
      <c r="S556" s="37">
        <v>47.95</v>
      </c>
    </row>
    <row r="557" spans="1:19" hidden="1" outlineLevel="3">
      <c r="A557" s="25" t="s">
        <v>91</v>
      </c>
      <c r="C557" s="4" t="str">
        <f t="shared" si="782"/>
        <v>Paul</v>
      </c>
      <c r="D557" s="4" t="str">
        <f t="shared" si="783"/>
        <v>West</v>
      </c>
      <c r="E557" s="27" t="str">
        <f t="shared" si="784"/>
        <v>SALES</v>
      </c>
      <c r="F557" s="27" t="str">
        <f t="shared" si="785"/>
        <v>WEST0001</v>
      </c>
      <c r="G557" s="15">
        <f t="shared" si="786"/>
        <v>41671</v>
      </c>
      <c r="H557" s="27" t="str">
        <f t="shared" si="787"/>
        <v>10104</v>
      </c>
      <c r="I557" s="27" t="str">
        <f>"""GP Direct"",""Fabrikam, Inc."",""Jet Payroll Transactions"",""Pay Rate"",""0.00000"",""Payroll Code"",""MED"",""State"","""",""Transaction Amount"",""5.00000"""</f>
        <v>"GP Direct","Fabrikam, Inc.","Jet Payroll Transactions","Pay Rate","0.00000","Payroll Code","MED","State","","Transaction Amount","5.00000"</v>
      </c>
      <c r="O557" s="28"/>
      <c r="P557" s="37">
        <v>0</v>
      </c>
      <c r="Q557" s="38" t="str">
        <f>"MED"</f>
        <v>MED</v>
      </c>
      <c r="R557" s="39"/>
      <c r="S557" s="37">
        <v>5</v>
      </c>
    </row>
    <row r="558" spans="1:19" hidden="1" outlineLevel="3">
      <c r="A558" s="25" t="s">
        <v>91</v>
      </c>
      <c r="C558" s="4" t="str">
        <f t="shared" si="782"/>
        <v>Paul</v>
      </c>
      <c r="D558" s="4" t="str">
        <f t="shared" si="783"/>
        <v>West</v>
      </c>
      <c r="E558" s="27" t="str">
        <f t="shared" si="784"/>
        <v>SALES</v>
      </c>
      <c r="F558" s="27" t="str">
        <f t="shared" si="785"/>
        <v>WEST0001</v>
      </c>
      <c r="G558" s="15">
        <f t="shared" si="786"/>
        <v>41671</v>
      </c>
      <c r="H558" s="27" t="str">
        <f t="shared" si="787"/>
        <v>10104</v>
      </c>
      <c r="I558" s="27" t="str">
        <f>"""GP Direct"",""Fabrikam, Inc."",""Jet Payroll Transactions"",""Pay Rate"",""24000.00000"",""Payroll Code"",""SALY"",""State"",""IL"",""Transaction Amount"",""1000.00000"""</f>
        <v>"GP Direct","Fabrikam, Inc.","Jet Payroll Transactions","Pay Rate","24000.00000","Payroll Code","SALY","State","IL","Transaction Amount","1000.00000"</v>
      </c>
      <c r="O558" s="28"/>
      <c r="P558" s="37">
        <v>24000</v>
      </c>
      <c r="Q558" s="38" t="str">
        <f>"SALY"</f>
        <v>SALY</v>
      </c>
      <c r="R558" s="39" t="str">
        <f>"IL"</f>
        <v>IL</v>
      </c>
      <c r="S558" s="37">
        <v>1000</v>
      </c>
    </row>
    <row r="559" spans="1:19" hidden="1" outlineLevel="3">
      <c r="A559" s="24" t="s">
        <v>2812</v>
      </c>
      <c r="C559" s="4" t="str">
        <f>C552</f>
        <v>Paul</v>
      </c>
      <c r="D559" s="4" t="str">
        <f>D552</f>
        <v>West</v>
      </c>
      <c r="E559" s="27" t="str">
        <f>E552</f>
        <v>SALES</v>
      </c>
      <c r="F559" s="27" t="str">
        <f>F552</f>
        <v>WEST0001</v>
      </c>
      <c r="G559" s="15">
        <f>G552</f>
        <v>41671</v>
      </c>
      <c r="H559" s="27" t="str">
        <f>H552</f>
        <v>10104</v>
      </c>
      <c r="O559" s="28"/>
      <c r="S559" s="16"/>
    </row>
    <row r="560" spans="1:19" ht="12.75" hidden="1" outlineLevel="2" collapsed="1">
      <c r="A560" s="25" t="s">
        <v>91</v>
      </c>
      <c r="C560" s="4" t="str">
        <f t="shared" si="775"/>
        <v>Paul</v>
      </c>
      <c r="D560" s="4" t="str">
        <f t="shared" si="776"/>
        <v>West</v>
      </c>
      <c r="E560" s="27" t="str">
        <f t="shared" si="503"/>
        <v>SALES</v>
      </c>
      <c r="F560" s="27" t="str">
        <f t="shared" si="777"/>
        <v>WEST0001</v>
      </c>
      <c r="G560" s="15">
        <f t="shared" si="780"/>
        <v>41671</v>
      </c>
      <c r="H560" s="27" t="str">
        <f t="shared" si="781"/>
        <v>10104</v>
      </c>
      <c r="N560" s="44" t="str">
        <f>"Total for " &amp; $H560</f>
        <v>Total for 10104</v>
      </c>
      <c r="O560" s="45">
        <f>G560</f>
        <v>41671</v>
      </c>
      <c r="P560" s="44"/>
      <c r="Q560" s="44"/>
      <c r="R560" s="44"/>
      <c r="S560" s="44">
        <f>SUBTOTAL(9,S552:S559)</f>
        <v>1156.32</v>
      </c>
    </row>
    <row r="561" spans="1:19" ht="12.75" hidden="1" outlineLevel="3">
      <c r="A561" s="25" t="s">
        <v>91</v>
      </c>
      <c r="C561" s="4" t="str">
        <f t="shared" ref="C561:C575" si="788">C560</f>
        <v>Paul</v>
      </c>
      <c r="D561" s="4" t="str">
        <f t="shared" ref="D561:D575" si="789">D560</f>
        <v>West</v>
      </c>
      <c r="E561" s="27" t="str">
        <f t="shared" ref="E561:E575" si="790">E560</f>
        <v>SALES</v>
      </c>
      <c r="F561" s="27" t="str">
        <f t="shared" ref="F561:F575" si="791">F560</f>
        <v>WEST0001</v>
      </c>
      <c r="G561" s="15">
        <f t="shared" ref="G561" si="792">O561</f>
        <v>41699</v>
      </c>
      <c r="H561" s="27" t="str">
        <f t="shared" ref="H561" si="793">N561</f>
        <v>10129</v>
      </c>
      <c r="J561" s="33"/>
      <c r="K561" s="33"/>
      <c r="L561" s="33"/>
      <c r="M561" s="33"/>
      <c r="N561" s="32" t="str">
        <f>"10129"</f>
        <v>10129</v>
      </c>
      <c r="O561" s="36">
        <v>41699</v>
      </c>
      <c r="P561" s="33"/>
      <c r="Q561" s="33"/>
      <c r="R561" s="33"/>
      <c r="S561" s="33"/>
    </row>
    <row r="562" spans="1:19" hidden="1" outlineLevel="3">
      <c r="A562" s="25" t="s">
        <v>91</v>
      </c>
      <c r="C562" s="4" t="str">
        <f t="shared" si="788"/>
        <v>Paul</v>
      </c>
      <c r="D562" s="4" t="str">
        <f t="shared" si="789"/>
        <v>West</v>
      </c>
      <c r="E562" s="27" t="str">
        <f t="shared" si="790"/>
        <v>SALES</v>
      </c>
      <c r="F562" s="27" t="str">
        <f t="shared" si="791"/>
        <v>WEST0001</v>
      </c>
      <c r="G562" s="15">
        <f t="shared" ref="G562:G570" si="794">G561</f>
        <v>41699</v>
      </c>
      <c r="H562" s="27" t="str">
        <f t="shared" ref="H562:H570" si="795">H561</f>
        <v>10129</v>
      </c>
      <c r="I562" s="27" t="str">
        <f>"""GP Direct"",""Fabrikam, Inc."",""Jet Payroll Transactions"",""Pay Rate"",""0.00000"",""Payroll Code"",""401K"",""State"","""",""Transaction Amount"",""1.50000"""</f>
        <v>"GP Direct","Fabrikam, Inc.","Jet Payroll Transactions","Pay Rate","0.00000","Payroll Code","401K","State","","Transaction Amount","1.50000"</v>
      </c>
      <c r="O562" s="28"/>
      <c r="P562" s="37">
        <v>0</v>
      </c>
      <c r="Q562" s="38" t="str">
        <f>"401K"</f>
        <v>401K</v>
      </c>
      <c r="R562" s="39"/>
      <c r="S562" s="37">
        <v>1.5</v>
      </c>
    </row>
    <row r="563" spans="1:19" hidden="1" outlineLevel="3">
      <c r="A563" s="25" t="s">
        <v>91</v>
      </c>
      <c r="C563" s="4" t="str">
        <f t="shared" ref="C563:C568" si="796">C562</f>
        <v>Paul</v>
      </c>
      <c r="D563" s="4" t="str">
        <f t="shared" ref="D563:D568" si="797">D562</f>
        <v>West</v>
      </c>
      <c r="E563" s="27" t="str">
        <f t="shared" ref="E563:E568" si="798">E562</f>
        <v>SALES</v>
      </c>
      <c r="F563" s="27" t="str">
        <f t="shared" ref="F563:F568" si="799">F562</f>
        <v>WEST0001</v>
      </c>
      <c r="G563" s="15">
        <f t="shared" ref="G563:G568" si="800">G562</f>
        <v>41699</v>
      </c>
      <c r="H563" s="27" t="str">
        <f t="shared" ref="H563:H568" si="801">H562</f>
        <v>10129</v>
      </c>
      <c r="I563" s="27" t="str">
        <f>"""GP Direct"",""Fabrikam, Inc."",""Jet Payroll Transactions"",""Pay Rate"",""0.00000"",""Payroll Code"",""401K"",""State"","""",""Transaction Amount"",""30.00000"""</f>
        <v>"GP Direct","Fabrikam, Inc.","Jet Payroll Transactions","Pay Rate","0.00000","Payroll Code","401K","State","","Transaction Amount","30.00000"</v>
      </c>
      <c r="O563" s="28"/>
      <c r="P563" s="37">
        <v>0</v>
      </c>
      <c r="Q563" s="38" t="str">
        <f>"401K"</f>
        <v>401K</v>
      </c>
      <c r="R563" s="39"/>
      <c r="S563" s="37">
        <v>30</v>
      </c>
    </row>
    <row r="564" spans="1:19" hidden="1" outlineLevel="3">
      <c r="A564" s="25" t="s">
        <v>91</v>
      </c>
      <c r="C564" s="4" t="str">
        <f t="shared" si="796"/>
        <v>Paul</v>
      </c>
      <c r="D564" s="4" t="str">
        <f t="shared" si="797"/>
        <v>West</v>
      </c>
      <c r="E564" s="27" t="str">
        <f t="shared" si="798"/>
        <v>SALES</v>
      </c>
      <c r="F564" s="27" t="str">
        <f t="shared" si="799"/>
        <v>WEST0001</v>
      </c>
      <c r="G564" s="15">
        <f t="shared" si="800"/>
        <v>41699</v>
      </c>
      <c r="H564" s="27" t="str">
        <f t="shared" si="801"/>
        <v>10129</v>
      </c>
      <c r="I564" s="27" t="str">
        <f>"""GP Direct"",""Fabrikam, Inc."",""Jet Payroll Transactions"",""Pay Rate"",""0.00000"",""Payroll Code"",""IL"",""State"","""",""Transaction Amount"",""22.51000"""</f>
        <v>"GP Direct","Fabrikam, Inc.","Jet Payroll Transactions","Pay Rate","0.00000","Payroll Code","IL","State","","Transaction Amount","22.51000"</v>
      </c>
      <c r="O564" s="28"/>
      <c r="P564" s="37">
        <v>0</v>
      </c>
      <c r="Q564" s="38" t="str">
        <f>"IL"</f>
        <v>IL</v>
      </c>
      <c r="R564" s="39"/>
      <c r="S564" s="37">
        <v>22.51</v>
      </c>
    </row>
    <row r="565" spans="1:19" hidden="1" outlineLevel="3">
      <c r="A565" s="25" t="s">
        <v>91</v>
      </c>
      <c r="C565" s="4" t="str">
        <f t="shared" si="796"/>
        <v>Paul</v>
      </c>
      <c r="D565" s="4" t="str">
        <f t="shared" si="797"/>
        <v>West</v>
      </c>
      <c r="E565" s="27" t="str">
        <f t="shared" si="798"/>
        <v>SALES</v>
      </c>
      <c r="F565" s="27" t="str">
        <f t="shared" si="799"/>
        <v>WEST0001</v>
      </c>
      <c r="G565" s="15">
        <f t="shared" si="800"/>
        <v>41699</v>
      </c>
      <c r="H565" s="27" t="str">
        <f t="shared" si="801"/>
        <v>10129</v>
      </c>
      <c r="I565" s="27" t="str">
        <f>"""GP Direct"",""Fabrikam, Inc."",""Jet Payroll Transactions"",""Pay Rate"",""0.00000"",""Payroll Code"",""INS"",""State"","""",""Transaction Amount"",""49.36000"""</f>
        <v>"GP Direct","Fabrikam, Inc.","Jet Payroll Transactions","Pay Rate","0.00000","Payroll Code","INS","State","","Transaction Amount","49.36000"</v>
      </c>
      <c r="O565" s="28"/>
      <c r="P565" s="37">
        <v>0</v>
      </c>
      <c r="Q565" s="38" t="str">
        <f>"INS"</f>
        <v>INS</v>
      </c>
      <c r="R565" s="39"/>
      <c r="S565" s="37">
        <v>49.36</v>
      </c>
    </row>
    <row r="566" spans="1:19" hidden="1" outlineLevel="3">
      <c r="A566" s="25" t="s">
        <v>91</v>
      </c>
      <c r="C566" s="4" t="str">
        <f t="shared" si="796"/>
        <v>Paul</v>
      </c>
      <c r="D566" s="4" t="str">
        <f t="shared" si="797"/>
        <v>West</v>
      </c>
      <c r="E566" s="27" t="str">
        <f t="shared" si="798"/>
        <v>SALES</v>
      </c>
      <c r="F566" s="27" t="str">
        <f t="shared" si="799"/>
        <v>WEST0001</v>
      </c>
      <c r="G566" s="15">
        <f t="shared" si="800"/>
        <v>41699</v>
      </c>
      <c r="H566" s="27" t="str">
        <f t="shared" si="801"/>
        <v>10129</v>
      </c>
      <c r="I566" s="27" t="str">
        <f>"""GP Direct"",""Fabrikam, Inc."",""Jet Payroll Transactions"",""Pay Rate"",""0.00000"",""Payroll Code"",""INS1"",""State"","""",""Transaction Amount"",""47.95000"""</f>
        <v>"GP Direct","Fabrikam, Inc.","Jet Payroll Transactions","Pay Rate","0.00000","Payroll Code","INS1","State","","Transaction Amount","47.95000"</v>
      </c>
      <c r="O566" s="28"/>
      <c r="P566" s="37">
        <v>0</v>
      </c>
      <c r="Q566" s="38" t="str">
        <f>"INS1"</f>
        <v>INS1</v>
      </c>
      <c r="R566" s="39"/>
      <c r="S566" s="37">
        <v>47.95</v>
      </c>
    </row>
    <row r="567" spans="1:19" hidden="1" outlineLevel="3">
      <c r="A567" s="25" t="s">
        <v>91</v>
      </c>
      <c r="C567" s="4" t="str">
        <f t="shared" si="796"/>
        <v>Paul</v>
      </c>
      <c r="D567" s="4" t="str">
        <f t="shared" si="797"/>
        <v>West</v>
      </c>
      <c r="E567" s="27" t="str">
        <f t="shared" si="798"/>
        <v>SALES</v>
      </c>
      <c r="F567" s="27" t="str">
        <f t="shared" si="799"/>
        <v>WEST0001</v>
      </c>
      <c r="G567" s="15">
        <f t="shared" si="800"/>
        <v>41699</v>
      </c>
      <c r="H567" s="27" t="str">
        <f t="shared" si="801"/>
        <v>10129</v>
      </c>
      <c r="I567" s="27" t="str">
        <f>"""GP Direct"",""Fabrikam, Inc."",""Jet Payroll Transactions"",""Pay Rate"",""0.00000"",""Payroll Code"",""MED"",""State"","""",""Transaction Amount"",""5.00000"""</f>
        <v>"GP Direct","Fabrikam, Inc.","Jet Payroll Transactions","Pay Rate","0.00000","Payroll Code","MED","State","","Transaction Amount","5.00000"</v>
      </c>
      <c r="O567" s="28"/>
      <c r="P567" s="37">
        <v>0</v>
      </c>
      <c r="Q567" s="38" t="str">
        <f>"MED"</f>
        <v>MED</v>
      </c>
      <c r="R567" s="39"/>
      <c r="S567" s="37">
        <v>5</v>
      </c>
    </row>
    <row r="568" spans="1:19" hidden="1" outlineLevel="3">
      <c r="A568" s="25" t="s">
        <v>91</v>
      </c>
      <c r="C568" s="4" t="str">
        <f t="shared" si="796"/>
        <v>Paul</v>
      </c>
      <c r="D568" s="4" t="str">
        <f t="shared" si="797"/>
        <v>West</v>
      </c>
      <c r="E568" s="27" t="str">
        <f t="shared" si="798"/>
        <v>SALES</v>
      </c>
      <c r="F568" s="27" t="str">
        <f t="shared" si="799"/>
        <v>WEST0001</v>
      </c>
      <c r="G568" s="15">
        <f t="shared" si="800"/>
        <v>41699</v>
      </c>
      <c r="H568" s="27" t="str">
        <f t="shared" si="801"/>
        <v>10129</v>
      </c>
      <c r="I568" s="27" t="str">
        <f>"""GP Direct"",""Fabrikam, Inc."",""Jet Payroll Transactions"",""Pay Rate"",""24000.00000"",""Payroll Code"",""SALY"",""State"",""IL"",""Transaction Amount"",""1000.00000"""</f>
        <v>"GP Direct","Fabrikam, Inc.","Jet Payroll Transactions","Pay Rate","24000.00000","Payroll Code","SALY","State","IL","Transaction Amount","1000.00000"</v>
      </c>
      <c r="O568" s="28"/>
      <c r="P568" s="37">
        <v>24000</v>
      </c>
      <c r="Q568" s="38" t="str">
        <f>"SALY"</f>
        <v>SALY</v>
      </c>
      <c r="R568" s="39" t="str">
        <f>"IL"</f>
        <v>IL</v>
      </c>
      <c r="S568" s="37">
        <v>1000</v>
      </c>
    </row>
    <row r="569" spans="1:19" hidden="1" outlineLevel="3">
      <c r="A569" s="24" t="s">
        <v>2812</v>
      </c>
      <c r="C569" s="4" t="str">
        <f>C562</f>
        <v>Paul</v>
      </c>
      <c r="D569" s="4" t="str">
        <f>D562</f>
        <v>West</v>
      </c>
      <c r="E569" s="27" t="str">
        <f>E562</f>
        <v>SALES</v>
      </c>
      <c r="F569" s="27" t="str">
        <f>F562</f>
        <v>WEST0001</v>
      </c>
      <c r="G569" s="15">
        <f>G562</f>
        <v>41699</v>
      </c>
      <c r="H569" s="27" t="str">
        <f>H562</f>
        <v>10129</v>
      </c>
      <c r="O569" s="28"/>
      <c r="S569" s="16"/>
    </row>
    <row r="570" spans="1:19" ht="12.75" hidden="1" outlineLevel="2" collapsed="1">
      <c r="A570" s="25" t="s">
        <v>91</v>
      </c>
      <c r="C570" s="4" t="str">
        <f t="shared" si="788"/>
        <v>Paul</v>
      </c>
      <c r="D570" s="4" t="str">
        <f t="shared" si="789"/>
        <v>West</v>
      </c>
      <c r="E570" s="27" t="str">
        <f t="shared" si="790"/>
        <v>SALES</v>
      </c>
      <c r="F570" s="27" t="str">
        <f t="shared" si="791"/>
        <v>WEST0001</v>
      </c>
      <c r="G570" s="15">
        <f t="shared" si="794"/>
        <v>41699</v>
      </c>
      <c r="H570" s="27" t="str">
        <f t="shared" si="795"/>
        <v>10129</v>
      </c>
      <c r="N570" s="44" t="str">
        <f>"Total for " &amp; $H570</f>
        <v>Total for 10129</v>
      </c>
      <c r="O570" s="45">
        <f>G570</f>
        <v>41699</v>
      </c>
      <c r="P570" s="44"/>
      <c r="Q570" s="44"/>
      <c r="R570" s="44"/>
      <c r="S570" s="44">
        <f>SUBTOTAL(9,S562:S569)</f>
        <v>1156.32</v>
      </c>
    </row>
    <row r="571" spans="1:19" ht="12.75" hidden="1" outlineLevel="3">
      <c r="A571" s="25" t="s">
        <v>91</v>
      </c>
      <c r="C571" s="4" t="str">
        <f t="shared" si="788"/>
        <v>Paul</v>
      </c>
      <c r="D571" s="4" t="str">
        <f t="shared" si="789"/>
        <v>West</v>
      </c>
      <c r="E571" s="27" t="str">
        <f t="shared" si="790"/>
        <v>SALES</v>
      </c>
      <c r="F571" s="27" t="str">
        <f t="shared" si="791"/>
        <v>WEST0001</v>
      </c>
      <c r="G571" s="15">
        <f t="shared" ref="G571" si="802">O571</f>
        <v>41640</v>
      </c>
      <c r="H571" s="27" t="str">
        <f t="shared" ref="H571" si="803">N571</f>
        <v>11602</v>
      </c>
      <c r="J571" s="33"/>
      <c r="K571" s="33"/>
      <c r="L571" s="33"/>
      <c r="M571" s="33"/>
      <c r="N571" s="32" t="str">
        <f>"11602"</f>
        <v>11602</v>
      </c>
      <c r="O571" s="36">
        <v>41640</v>
      </c>
      <c r="P571" s="33"/>
      <c r="Q571" s="33"/>
      <c r="R571" s="33"/>
      <c r="S571" s="33"/>
    </row>
    <row r="572" spans="1:19" hidden="1" outlineLevel="3">
      <c r="A572" s="25" t="s">
        <v>91</v>
      </c>
      <c r="C572" s="4" t="str">
        <f t="shared" si="788"/>
        <v>Paul</v>
      </c>
      <c r="D572" s="4" t="str">
        <f t="shared" si="789"/>
        <v>West</v>
      </c>
      <c r="E572" s="27" t="str">
        <f t="shared" si="790"/>
        <v>SALES</v>
      </c>
      <c r="F572" s="27" t="str">
        <f t="shared" si="791"/>
        <v>WEST0001</v>
      </c>
      <c r="G572" s="15">
        <f t="shared" ref="G572:G575" si="804">G571</f>
        <v>41640</v>
      </c>
      <c r="H572" s="27" t="str">
        <f t="shared" ref="H572:H575" si="805">H571</f>
        <v>11602</v>
      </c>
      <c r="I572" s="27" t="str">
        <f>"""GP Direct"",""Fabrikam, Inc."",""Jet Payroll Transactions"",""Pay Rate"",""0.00000"",""Payroll Code"",""IL"",""State"","""",""Transaction Amount"",""214.00000"""</f>
        <v>"GP Direct","Fabrikam, Inc.","Jet Payroll Transactions","Pay Rate","0.00000","Payroll Code","IL","State","","Transaction Amount","214.00000"</v>
      </c>
      <c r="O572" s="28"/>
      <c r="P572" s="37">
        <v>0</v>
      </c>
      <c r="Q572" s="38" t="str">
        <f>"IL"</f>
        <v>IL</v>
      </c>
      <c r="R572" s="39"/>
      <c r="S572" s="37">
        <v>214</v>
      </c>
    </row>
    <row r="573" spans="1:19" hidden="1" outlineLevel="3">
      <c r="A573" s="25" t="s">
        <v>91</v>
      </c>
      <c r="C573" s="4" t="str">
        <f t="shared" ref="C573" si="806">C572</f>
        <v>Paul</v>
      </c>
      <c r="D573" s="4" t="str">
        <f t="shared" ref="D573" si="807">D572</f>
        <v>West</v>
      </c>
      <c r="E573" s="27" t="str">
        <f t="shared" ref="E573" si="808">E572</f>
        <v>SALES</v>
      </c>
      <c r="F573" s="27" t="str">
        <f t="shared" ref="F573" si="809">F572</f>
        <v>WEST0001</v>
      </c>
      <c r="G573" s="15">
        <f t="shared" ref="G573" si="810">G572</f>
        <v>41640</v>
      </c>
      <c r="H573" s="27" t="str">
        <f t="shared" ref="H573" si="811">H572</f>
        <v>11602</v>
      </c>
      <c r="I573" s="27" t="str">
        <f>"""GP Direct"",""Fabrikam, Inc."",""Jet Payroll Transactions"",""Pay Rate"",""7300.00000"",""Payroll Code"",""COMM"",""State"",""IL"",""Transaction Amount"",""7300.00000"""</f>
        <v>"GP Direct","Fabrikam, Inc.","Jet Payroll Transactions","Pay Rate","7300.00000","Payroll Code","COMM","State","IL","Transaction Amount","7300.00000"</v>
      </c>
      <c r="O573" s="28"/>
      <c r="P573" s="37">
        <v>7300</v>
      </c>
      <c r="Q573" s="38" t="str">
        <f>"COMM"</f>
        <v>COMM</v>
      </c>
      <c r="R573" s="39" t="str">
        <f>"IL"</f>
        <v>IL</v>
      </c>
      <c r="S573" s="37">
        <v>7300</v>
      </c>
    </row>
    <row r="574" spans="1:19" hidden="1" outlineLevel="3">
      <c r="A574" s="24" t="s">
        <v>2812</v>
      </c>
      <c r="C574" s="4" t="str">
        <f>C572</f>
        <v>Paul</v>
      </c>
      <c r="D574" s="4" t="str">
        <f>D572</f>
        <v>West</v>
      </c>
      <c r="E574" s="27" t="str">
        <f>E572</f>
        <v>SALES</v>
      </c>
      <c r="F574" s="27" t="str">
        <f>F572</f>
        <v>WEST0001</v>
      </c>
      <c r="G574" s="15">
        <f>G572</f>
        <v>41640</v>
      </c>
      <c r="H574" s="27" t="str">
        <f>H572</f>
        <v>11602</v>
      </c>
      <c r="O574" s="28"/>
      <c r="S574" s="16"/>
    </row>
    <row r="575" spans="1:19" ht="12.75" hidden="1" outlineLevel="2" collapsed="1">
      <c r="A575" s="25" t="s">
        <v>91</v>
      </c>
      <c r="C575" s="4" t="str">
        <f t="shared" si="788"/>
        <v>Paul</v>
      </c>
      <c r="D575" s="4" t="str">
        <f t="shared" si="789"/>
        <v>West</v>
      </c>
      <c r="E575" s="27" t="str">
        <f t="shared" si="790"/>
        <v>SALES</v>
      </c>
      <c r="F575" s="27" t="str">
        <f t="shared" si="791"/>
        <v>WEST0001</v>
      </c>
      <c r="G575" s="15">
        <f t="shared" si="804"/>
        <v>41640</v>
      </c>
      <c r="H575" s="27" t="str">
        <f t="shared" si="805"/>
        <v>11602</v>
      </c>
      <c r="N575" s="44" t="str">
        <f>"Total for " &amp; $H575</f>
        <v>Total for 11602</v>
      </c>
      <c r="O575" s="45">
        <f>G575</f>
        <v>41640</v>
      </c>
      <c r="P575" s="44"/>
      <c r="Q575" s="44"/>
      <c r="R575" s="44"/>
      <c r="S575" s="44">
        <f>SUBTOTAL(9,S572:S574)</f>
        <v>7514</v>
      </c>
    </row>
    <row r="576" spans="1:19" ht="12.75" hidden="1" outlineLevel="2">
      <c r="A576" s="24" t="s">
        <v>2812</v>
      </c>
      <c r="C576" s="4" t="str">
        <f>C560</f>
        <v>Paul</v>
      </c>
      <c r="D576" s="4" t="str">
        <f>D560</f>
        <v>West</v>
      </c>
      <c r="E576" s="27" t="str">
        <f>E560</f>
        <v>SALES</v>
      </c>
      <c r="F576" s="27" t="str">
        <f>F560</f>
        <v>WEST0001</v>
      </c>
      <c r="G576" s="14"/>
      <c r="J576" s="33"/>
      <c r="K576" s="33"/>
      <c r="L576" s="33"/>
      <c r="M576" s="33"/>
      <c r="N576" s="33"/>
      <c r="O576" s="33"/>
      <c r="P576" s="33"/>
      <c r="Q576" s="33"/>
      <c r="R576" s="33"/>
      <c r="S576" s="40"/>
    </row>
    <row r="577" spans="1:19" ht="12.75" hidden="1" outlineLevel="1" collapsed="1">
      <c r="A577" s="25" t="s">
        <v>91</v>
      </c>
      <c r="C577" s="4" t="str">
        <f t="shared" si="775"/>
        <v>Paul</v>
      </c>
      <c r="D577" s="4" t="str">
        <f t="shared" si="776"/>
        <v>West</v>
      </c>
      <c r="E577" s="27" t="str">
        <f t="shared" si="503"/>
        <v>SALES</v>
      </c>
      <c r="F577" s="27" t="str">
        <f t="shared" si="777"/>
        <v>WEST0001</v>
      </c>
      <c r="G577" s="14"/>
      <c r="J577" s="33"/>
      <c r="K577" s="46" t="str">
        <f>"Total for " &amp; $F577</f>
        <v>Total for WEST0001</v>
      </c>
      <c r="L577" s="46" t="str">
        <f>C577</f>
        <v>Paul</v>
      </c>
      <c r="M577" s="46" t="str">
        <f>D577</f>
        <v>West</v>
      </c>
      <c r="N577" s="46"/>
      <c r="O577" s="46"/>
      <c r="P577" s="46"/>
      <c r="Q577" s="46"/>
      <c r="R577" s="46"/>
      <c r="S577" s="47">
        <f>SUBTOTAL(9,S552:S576)</f>
        <v>9826.64</v>
      </c>
    </row>
    <row r="578" spans="1:19" ht="12.75" hidden="1" outlineLevel="1">
      <c r="A578" s="25" t="s">
        <v>91</v>
      </c>
      <c r="E578" s="27" t="str">
        <f>E360</f>
        <v>SALES</v>
      </c>
      <c r="F578" s="14"/>
      <c r="G578" s="14"/>
      <c r="J578" s="33"/>
      <c r="K578" s="33"/>
      <c r="L578" s="33"/>
      <c r="M578" s="33"/>
      <c r="N578" s="33"/>
      <c r="O578" s="33"/>
      <c r="P578" s="33"/>
      <c r="Q578" s="33"/>
      <c r="R578" s="33"/>
      <c r="S578" s="40"/>
    </row>
    <row r="579" spans="1:19" ht="12.75" collapsed="1">
      <c r="A579" s="25" t="s">
        <v>91</v>
      </c>
      <c r="E579" s="27" t="str">
        <f t="shared" si="472"/>
        <v>SALES</v>
      </c>
      <c r="F579" s="14"/>
      <c r="G579" s="14"/>
      <c r="J579" s="48" t="str">
        <f>"Total for " &amp; $E579</f>
        <v>Total for SALES</v>
      </c>
      <c r="K579" s="48"/>
      <c r="L579" s="48"/>
      <c r="M579" s="48"/>
      <c r="N579" s="48"/>
      <c r="O579" s="48"/>
      <c r="P579" s="48"/>
      <c r="Q579" s="48"/>
      <c r="R579" s="48"/>
      <c r="S579" s="49">
        <f>SUBTOTAL(9,S341:S578)</f>
        <v>49880.290000000008</v>
      </c>
    </row>
    <row r="580" spans="1:19" ht="12.75">
      <c r="A580" s="25" t="s">
        <v>91</v>
      </c>
      <c r="E580" s="27"/>
      <c r="F580" s="14"/>
      <c r="G580" s="14"/>
      <c r="J580" s="33"/>
      <c r="K580" s="33"/>
      <c r="L580" s="33"/>
      <c r="M580" s="33"/>
      <c r="N580" s="33"/>
      <c r="O580" s="33"/>
      <c r="P580" s="33"/>
      <c r="Q580" s="33"/>
      <c r="R580" s="33"/>
      <c r="S580" s="40"/>
    </row>
    <row r="581" spans="1:19" ht="12.75" hidden="1" outlineLevel="1">
      <c r="A581" s="25" t="s">
        <v>91</v>
      </c>
      <c r="E581" s="27" t="str">
        <f t="shared" ref="E581" si="812">J581</f>
        <v>SUPP</v>
      </c>
      <c r="F581" s="14"/>
      <c r="G581" s="14"/>
      <c r="J581" s="22" t="str">
        <f>"SUPP"</f>
        <v>SUPP</v>
      </c>
      <c r="K581" s="22"/>
      <c r="L581" s="22"/>
      <c r="M581" s="22"/>
      <c r="N581" s="22"/>
      <c r="O581" s="29"/>
      <c r="P581" s="29"/>
      <c r="Q581" s="29"/>
      <c r="R581" s="29"/>
      <c r="S581" s="30"/>
    </row>
    <row r="582" spans="1:19" ht="12.75" hidden="1" outlineLevel="2">
      <c r="A582" s="25" t="s">
        <v>91</v>
      </c>
      <c r="C582" s="4" t="str">
        <f t="shared" ref="C582" si="813">L582</f>
        <v>Pilar</v>
      </c>
      <c r="D582" s="4" t="str">
        <f t="shared" ref="D582" si="814">M582</f>
        <v>Ackerman</v>
      </c>
      <c r="E582" s="27" t="str">
        <f t="shared" ref="E582:E673" si="815">E581</f>
        <v>SUPP</v>
      </c>
      <c r="F582" s="27" t="str">
        <f t="shared" ref="F582" si="816">K582</f>
        <v>ACKE0001</v>
      </c>
      <c r="G582" s="14"/>
      <c r="J582" s="31"/>
      <c r="K582" s="21" t="str">
        <f>"ACKE0001"</f>
        <v>ACKE0001</v>
      </c>
      <c r="L582" s="43" t="str">
        <f>"Pilar"</f>
        <v>Pilar</v>
      </c>
      <c r="M582" s="43" t="str">
        <f>"Ackerman"</f>
        <v>Ackerman</v>
      </c>
      <c r="N582" s="43"/>
      <c r="O582" s="34"/>
      <c r="P582" s="33"/>
      <c r="Q582" s="33"/>
      <c r="R582" s="33"/>
      <c r="S582" s="35"/>
    </row>
    <row r="583" spans="1:19" ht="12.75" hidden="1" outlineLevel="3">
      <c r="A583" s="25" t="s">
        <v>91</v>
      </c>
      <c r="C583" s="4" t="str">
        <f t="shared" ref="C583:C606" si="817">C582</f>
        <v>Pilar</v>
      </c>
      <c r="D583" s="4" t="str">
        <f t="shared" ref="D583:D606" si="818">D582</f>
        <v>Ackerman</v>
      </c>
      <c r="E583" s="27" t="str">
        <f t="shared" si="815"/>
        <v>SUPP</v>
      </c>
      <c r="F583" s="27" t="str">
        <f t="shared" ref="F583:F606" si="819">F582</f>
        <v>ACKE0001</v>
      </c>
      <c r="G583" s="15">
        <f t="shared" ref="G583" si="820">O583</f>
        <v>41671</v>
      </c>
      <c r="H583" s="27" t="str">
        <f t="shared" ref="H583" si="821">N583</f>
        <v>DD000000000000000004</v>
      </c>
      <c r="J583" s="33"/>
      <c r="K583" s="33"/>
      <c r="L583" s="33"/>
      <c r="M583" s="33"/>
      <c r="N583" s="32" t="str">
        <f>"DD000000000000000004"</f>
        <v>DD000000000000000004</v>
      </c>
      <c r="O583" s="36">
        <v>41671</v>
      </c>
      <c r="P583" s="33"/>
      <c r="Q583" s="33"/>
      <c r="R583" s="33"/>
      <c r="S583" s="33"/>
    </row>
    <row r="584" spans="1:19" hidden="1" outlineLevel="3">
      <c r="A584" s="25" t="s">
        <v>91</v>
      </c>
      <c r="C584" s="4" t="str">
        <f t="shared" si="817"/>
        <v>Pilar</v>
      </c>
      <c r="D584" s="4" t="str">
        <f t="shared" si="818"/>
        <v>Ackerman</v>
      </c>
      <c r="E584" s="27" t="str">
        <f t="shared" si="815"/>
        <v>SUPP</v>
      </c>
      <c r="F584" s="27" t="str">
        <f t="shared" si="819"/>
        <v>ACKE0001</v>
      </c>
      <c r="G584" s="15">
        <f t="shared" ref="G584:G591" si="822">G583</f>
        <v>41671</v>
      </c>
      <c r="H584" s="27" t="str">
        <f t="shared" ref="H584:H591" si="823">H583</f>
        <v>DD000000000000000004</v>
      </c>
      <c r="I584" s="27" t="str">
        <f>"""GP Direct"",""Fabrikam, Inc."",""Jet Payroll Transactions"",""Pay Rate"",""0.00000"",""Payroll Code"",""HOLI"",""State"",""IL"",""Transaction Amount"",""0.00000"""</f>
        <v>"GP Direct","Fabrikam, Inc.","Jet Payroll Transactions","Pay Rate","0.00000","Payroll Code","HOLI","State","IL","Transaction Amount","0.00000"</v>
      </c>
      <c r="O584" s="28"/>
      <c r="P584" s="37">
        <v>0</v>
      </c>
      <c r="Q584" s="38" t="str">
        <f>"HOLI"</f>
        <v>HOLI</v>
      </c>
      <c r="R584" s="39" t="str">
        <f>"IL"</f>
        <v>IL</v>
      </c>
      <c r="S584" s="37">
        <v>0</v>
      </c>
    </row>
    <row r="585" spans="1:19" hidden="1" outlineLevel="3">
      <c r="A585" s="25" t="s">
        <v>91</v>
      </c>
      <c r="C585" s="4" t="str">
        <f t="shared" ref="C585:C589" si="824">C584</f>
        <v>Pilar</v>
      </c>
      <c r="D585" s="4" t="str">
        <f t="shared" ref="D585:D589" si="825">D584</f>
        <v>Ackerman</v>
      </c>
      <c r="E585" s="27" t="str">
        <f t="shared" ref="E585:E589" si="826">E584</f>
        <v>SUPP</v>
      </c>
      <c r="F585" s="27" t="str">
        <f t="shared" ref="F585:F589" si="827">F584</f>
        <v>ACKE0001</v>
      </c>
      <c r="G585" s="15">
        <f t="shared" ref="G585:G589" si="828">G584</f>
        <v>41671</v>
      </c>
      <c r="H585" s="27" t="str">
        <f t="shared" ref="H585:H589" si="829">H584</f>
        <v>DD000000000000000004</v>
      </c>
      <c r="I585" s="27" t="str">
        <f>"""GP Direct"",""Fabrikam, Inc."",""Jet Payroll Transactions"",""Pay Rate"",""0.00000"",""Payroll Code"",""IL"",""State"","""",""Transaction Amount"",""12.74000"""</f>
        <v>"GP Direct","Fabrikam, Inc.","Jet Payroll Transactions","Pay Rate","0.00000","Payroll Code","IL","State","","Transaction Amount","12.74000"</v>
      </c>
      <c r="O585" s="28"/>
      <c r="P585" s="37">
        <v>0</v>
      </c>
      <c r="Q585" s="38" t="str">
        <f>"IL"</f>
        <v>IL</v>
      </c>
      <c r="R585" s="39"/>
      <c r="S585" s="37">
        <v>12.74</v>
      </c>
    </row>
    <row r="586" spans="1:19" hidden="1" outlineLevel="3">
      <c r="A586" s="25" t="s">
        <v>91</v>
      </c>
      <c r="C586" s="4" t="str">
        <f t="shared" si="824"/>
        <v>Pilar</v>
      </c>
      <c r="D586" s="4" t="str">
        <f t="shared" si="825"/>
        <v>Ackerman</v>
      </c>
      <c r="E586" s="27" t="str">
        <f t="shared" si="826"/>
        <v>SUPP</v>
      </c>
      <c r="F586" s="27" t="str">
        <f t="shared" si="827"/>
        <v>ACKE0001</v>
      </c>
      <c r="G586" s="15">
        <f t="shared" si="828"/>
        <v>41671</v>
      </c>
      <c r="H586" s="27" t="str">
        <f t="shared" si="829"/>
        <v>DD000000000000000004</v>
      </c>
      <c r="I586" s="27" t="str">
        <f>"""GP Direct"",""Fabrikam, Inc."",""Jet Payroll Transactions"",""Pay Rate"",""0.00000"",""Payroll Code"",""INS"",""State"","""",""Transaction Amount"",""49.36000"""</f>
        <v>"GP Direct","Fabrikam, Inc.","Jet Payroll Transactions","Pay Rate","0.00000","Payroll Code","INS","State","","Transaction Amount","49.36000"</v>
      </c>
      <c r="O586" s="28"/>
      <c r="P586" s="37">
        <v>0</v>
      </c>
      <c r="Q586" s="38" t="str">
        <f>"INS"</f>
        <v>INS</v>
      </c>
      <c r="R586" s="39"/>
      <c r="S586" s="37">
        <v>49.36</v>
      </c>
    </row>
    <row r="587" spans="1:19" hidden="1" outlineLevel="3">
      <c r="A587" s="25" t="s">
        <v>91</v>
      </c>
      <c r="C587" s="4" t="str">
        <f t="shared" si="824"/>
        <v>Pilar</v>
      </c>
      <c r="D587" s="4" t="str">
        <f t="shared" si="825"/>
        <v>Ackerman</v>
      </c>
      <c r="E587" s="27" t="str">
        <f t="shared" si="826"/>
        <v>SUPP</v>
      </c>
      <c r="F587" s="27" t="str">
        <f t="shared" si="827"/>
        <v>ACKE0001</v>
      </c>
      <c r="G587" s="15">
        <f t="shared" si="828"/>
        <v>41671</v>
      </c>
      <c r="H587" s="27" t="str">
        <f t="shared" si="829"/>
        <v>DD000000000000000004</v>
      </c>
      <c r="I587" s="27" t="str">
        <f>"""GP Direct"",""Fabrikam, Inc."",""Jet Payroll Transactions"",""Pay Rate"",""0.00000"",""Payroll Code"",""INS2"",""State"","""",""Transaction Amount"",""72.95000"""</f>
        <v>"GP Direct","Fabrikam, Inc.","Jet Payroll Transactions","Pay Rate","0.00000","Payroll Code","INS2","State","","Transaction Amount","72.95000"</v>
      </c>
      <c r="O587" s="28"/>
      <c r="P587" s="37">
        <v>0</v>
      </c>
      <c r="Q587" s="38" t="str">
        <f>"INS2"</f>
        <v>INS2</v>
      </c>
      <c r="R587" s="39"/>
      <c r="S587" s="37">
        <v>72.95</v>
      </c>
    </row>
    <row r="588" spans="1:19" hidden="1" outlineLevel="3">
      <c r="A588" s="25" t="s">
        <v>91</v>
      </c>
      <c r="C588" s="4" t="str">
        <f t="shared" si="824"/>
        <v>Pilar</v>
      </c>
      <c r="D588" s="4" t="str">
        <f t="shared" si="825"/>
        <v>Ackerman</v>
      </c>
      <c r="E588" s="27" t="str">
        <f t="shared" si="826"/>
        <v>SUPP</v>
      </c>
      <c r="F588" s="27" t="str">
        <f t="shared" si="827"/>
        <v>ACKE0001</v>
      </c>
      <c r="G588" s="15">
        <f t="shared" si="828"/>
        <v>41671</v>
      </c>
      <c r="H588" s="27" t="str">
        <f t="shared" si="829"/>
        <v>DD000000000000000004</v>
      </c>
      <c r="I588" s="27" t="str">
        <f>"""GP Direct"",""Fabrikam, Inc."",""Jet Payroll Transactions"",""Pay Rate"",""0.00000"",""Payroll Code"",""MED"",""State"","""",""Transaction Amount"",""20.00000"""</f>
        <v>"GP Direct","Fabrikam, Inc.","Jet Payroll Transactions","Pay Rate","0.00000","Payroll Code","MED","State","","Transaction Amount","20.00000"</v>
      </c>
      <c r="O588" s="28"/>
      <c r="P588" s="37">
        <v>0</v>
      </c>
      <c r="Q588" s="38" t="str">
        <f>"MED"</f>
        <v>MED</v>
      </c>
      <c r="R588" s="39"/>
      <c r="S588" s="37">
        <v>20</v>
      </c>
    </row>
    <row r="589" spans="1:19" hidden="1" outlineLevel="3">
      <c r="A589" s="25" t="s">
        <v>91</v>
      </c>
      <c r="C589" s="4" t="str">
        <f t="shared" si="824"/>
        <v>Pilar</v>
      </c>
      <c r="D589" s="4" t="str">
        <f t="shared" si="825"/>
        <v>Ackerman</v>
      </c>
      <c r="E589" s="27" t="str">
        <f t="shared" si="826"/>
        <v>SUPP</v>
      </c>
      <c r="F589" s="27" t="str">
        <f t="shared" si="827"/>
        <v>ACKE0001</v>
      </c>
      <c r="G589" s="15">
        <f t="shared" si="828"/>
        <v>41671</v>
      </c>
      <c r="H589" s="27" t="str">
        <f t="shared" si="829"/>
        <v>DD000000000000000004</v>
      </c>
      <c r="I589" s="27" t="str">
        <f>"""GP Direct"",""Fabrikam, Inc."",""Jet Payroll Transactions"",""Pay Rate"",""10.81731"",""Payroll Code"",""SALY"",""State"",""IL"",""Transaction Amount"",""850.96000"""</f>
        <v>"GP Direct","Fabrikam, Inc.","Jet Payroll Transactions","Pay Rate","10.81731","Payroll Code","SALY","State","IL","Transaction Amount","850.96000"</v>
      </c>
      <c r="O589" s="28"/>
      <c r="P589" s="37">
        <v>10.817310000000001</v>
      </c>
      <c r="Q589" s="38" t="str">
        <f>"SALY"</f>
        <v>SALY</v>
      </c>
      <c r="R589" s="39" t="str">
        <f>"IL"</f>
        <v>IL</v>
      </c>
      <c r="S589" s="37">
        <v>850.96</v>
      </c>
    </row>
    <row r="590" spans="1:19" hidden="1" outlineLevel="3">
      <c r="A590" s="24" t="s">
        <v>2812</v>
      </c>
      <c r="C590" s="4" t="str">
        <f>C584</f>
        <v>Pilar</v>
      </c>
      <c r="D590" s="4" t="str">
        <f>D584</f>
        <v>Ackerman</v>
      </c>
      <c r="E590" s="27" t="str">
        <f>E584</f>
        <v>SUPP</v>
      </c>
      <c r="F590" s="27" t="str">
        <f>F584</f>
        <v>ACKE0001</v>
      </c>
      <c r="G590" s="15">
        <f>G584</f>
        <v>41671</v>
      </c>
      <c r="H590" s="27" t="str">
        <f>H584</f>
        <v>DD000000000000000004</v>
      </c>
      <c r="O590" s="28"/>
      <c r="S590" s="16"/>
    </row>
    <row r="591" spans="1:19" ht="12.75" hidden="1" outlineLevel="2" collapsed="1">
      <c r="A591" s="25" t="s">
        <v>91</v>
      </c>
      <c r="C591" s="4" t="str">
        <f t="shared" si="817"/>
        <v>Pilar</v>
      </c>
      <c r="D591" s="4" t="str">
        <f t="shared" si="818"/>
        <v>Ackerman</v>
      </c>
      <c r="E591" s="27" t="str">
        <f t="shared" si="815"/>
        <v>SUPP</v>
      </c>
      <c r="F591" s="27" t="str">
        <f t="shared" si="819"/>
        <v>ACKE0001</v>
      </c>
      <c r="G591" s="15">
        <f t="shared" si="822"/>
        <v>41671</v>
      </c>
      <c r="H591" s="27" t="str">
        <f t="shared" si="823"/>
        <v>DD000000000000000004</v>
      </c>
      <c r="N591" s="44" t="str">
        <f>"Total for " &amp; $H591</f>
        <v>Total for DD000000000000000004</v>
      </c>
      <c r="O591" s="45">
        <f>G591</f>
        <v>41671</v>
      </c>
      <c r="P591" s="44"/>
      <c r="Q591" s="44"/>
      <c r="R591" s="44"/>
      <c r="S591" s="44">
        <f>SUBTOTAL(9,S584:S590)</f>
        <v>1006.01</v>
      </c>
    </row>
    <row r="592" spans="1:19" ht="12.75" hidden="1" outlineLevel="3">
      <c r="A592" s="25" t="s">
        <v>91</v>
      </c>
      <c r="C592" s="4" t="str">
        <f t="shared" ref="C592:C604" si="830">C591</f>
        <v>Pilar</v>
      </c>
      <c r="D592" s="4" t="str">
        <f t="shared" ref="D592:D604" si="831">D591</f>
        <v>Ackerman</v>
      </c>
      <c r="E592" s="27" t="str">
        <f t="shared" ref="E592:E604" si="832">E591</f>
        <v>SUPP</v>
      </c>
      <c r="F592" s="27" t="str">
        <f t="shared" ref="F592:F604" si="833">F591</f>
        <v>ACKE0001</v>
      </c>
      <c r="G592" s="15">
        <f t="shared" ref="G592" si="834">O592</f>
        <v>41699</v>
      </c>
      <c r="H592" s="27" t="str">
        <f t="shared" ref="H592" si="835">N592</f>
        <v>DD000000000000000007</v>
      </c>
      <c r="J592" s="33"/>
      <c r="K592" s="33"/>
      <c r="L592" s="33"/>
      <c r="M592" s="33"/>
      <c r="N592" s="32" t="str">
        <f>"DD000000000000000007"</f>
        <v>DD000000000000000007</v>
      </c>
      <c r="O592" s="36">
        <v>41699</v>
      </c>
      <c r="P592" s="33"/>
      <c r="Q592" s="33"/>
      <c r="R592" s="33"/>
      <c r="S592" s="33"/>
    </row>
    <row r="593" spans="1:19" hidden="1" outlineLevel="3">
      <c r="A593" s="25" t="s">
        <v>91</v>
      </c>
      <c r="C593" s="4" t="str">
        <f t="shared" si="830"/>
        <v>Pilar</v>
      </c>
      <c r="D593" s="4" t="str">
        <f t="shared" si="831"/>
        <v>Ackerman</v>
      </c>
      <c r="E593" s="27" t="str">
        <f t="shared" si="832"/>
        <v>SUPP</v>
      </c>
      <c r="F593" s="27" t="str">
        <f t="shared" si="833"/>
        <v>ACKE0001</v>
      </c>
      <c r="G593" s="15">
        <f t="shared" ref="G593:G599" si="836">G592</f>
        <v>41699</v>
      </c>
      <c r="H593" s="27" t="str">
        <f t="shared" ref="H593:H599" si="837">H592</f>
        <v>DD000000000000000007</v>
      </c>
      <c r="I593" s="27" t="str">
        <f>"""GP Direct"",""Fabrikam, Inc."",""Jet Payroll Transactions"",""Pay Rate"",""0.00000"",""Payroll Code"",""IL"",""State"","""",""Transaction Amount"",""15.34000"""</f>
        <v>"GP Direct","Fabrikam, Inc.","Jet Payroll Transactions","Pay Rate","0.00000","Payroll Code","IL","State","","Transaction Amount","15.34000"</v>
      </c>
      <c r="O593" s="28"/>
      <c r="P593" s="37">
        <v>0</v>
      </c>
      <c r="Q593" s="38" t="str">
        <f>"IL"</f>
        <v>IL</v>
      </c>
      <c r="R593" s="39"/>
      <c r="S593" s="37">
        <v>15.34</v>
      </c>
    </row>
    <row r="594" spans="1:19" hidden="1" outlineLevel="3">
      <c r="A594" s="25" t="s">
        <v>91</v>
      </c>
      <c r="C594" s="4" t="str">
        <f t="shared" ref="C594:C597" si="838">C593</f>
        <v>Pilar</v>
      </c>
      <c r="D594" s="4" t="str">
        <f t="shared" ref="D594:D597" si="839">D593</f>
        <v>Ackerman</v>
      </c>
      <c r="E594" s="27" t="str">
        <f t="shared" ref="E594:E597" si="840">E593</f>
        <v>SUPP</v>
      </c>
      <c r="F594" s="27" t="str">
        <f t="shared" ref="F594:F597" si="841">F593</f>
        <v>ACKE0001</v>
      </c>
      <c r="G594" s="15">
        <f t="shared" ref="G594:G597" si="842">G593</f>
        <v>41699</v>
      </c>
      <c r="H594" s="27" t="str">
        <f t="shared" ref="H594:H597" si="843">H593</f>
        <v>DD000000000000000007</v>
      </c>
      <c r="I594" s="27" t="str">
        <f>"""GP Direct"",""Fabrikam, Inc."",""Jet Payroll Transactions"",""Pay Rate"",""0.00000"",""Payroll Code"",""INS"",""State"","""",""Transaction Amount"",""49.36000"""</f>
        <v>"GP Direct","Fabrikam, Inc.","Jet Payroll Transactions","Pay Rate","0.00000","Payroll Code","INS","State","","Transaction Amount","49.36000"</v>
      </c>
      <c r="O594" s="28"/>
      <c r="P594" s="37">
        <v>0</v>
      </c>
      <c r="Q594" s="38" t="str">
        <f>"INS"</f>
        <v>INS</v>
      </c>
      <c r="R594" s="39"/>
      <c r="S594" s="37">
        <v>49.36</v>
      </c>
    </row>
    <row r="595" spans="1:19" hidden="1" outlineLevel="3">
      <c r="A595" s="25" t="s">
        <v>91</v>
      </c>
      <c r="C595" s="4" t="str">
        <f t="shared" si="838"/>
        <v>Pilar</v>
      </c>
      <c r="D595" s="4" t="str">
        <f t="shared" si="839"/>
        <v>Ackerman</v>
      </c>
      <c r="E595" s="27" t="str">
        <f t="shared" si="840"/>
        <v>SUPP</v>
      </c>
      <c r="F595" s="27" t="str">
        <f t="shared" si="841"/>
        <v>ACKE0001</v>
      </c>
      <c r="G595" s="15">
        <f t="shared" si="842"/>
        <v>41699</v>
      </c>
      <c r="H595" s="27" t="str">
        <f t="shared" si="843"/>
        <v>DD000000000000000007</v>
      </c>
      <c r="I595" s="27" t="str">
        <f>"""GP Direct"",""Fabrikam, Inc."",""Jet Payroll Transactions"",""Pay Rate"",""0.00000"",""Payroll Code"",""INS2"",""State"","""",""Transaction Amount"",""72.95000"""</f>
        <v>"GP Direct","Fabrikam, Inc.","Jet Payroll Transactions","Pay Rate","0.00000","Payroll Code","INS2","State","","Transaction Amount","72.95000"</v>
      </c>
      <c r="O595" s="28"/>
      <c r="P595" s="37">
        <v>0</v>
      </c>
      <c r="Q595" s="38" t="str">
        <f>"INS2"</f>
        <v>INS2</v>
      </c>
      <c r="R595" s="39"/>
      <c r="S595" s="37">
        <v>72.95</v>
      </c>
    </row>
    <row r="596" spans="1:19" hidden="1" outlineLevel="3">
      <c r="A596" s="25" t="s">
        <v>91</v>
      </c>
      <c r="C596" s="4" t="str">
        <f t="shared" si="838"/>
        <v>Pilar</v>
      </c>
      <c r="D596" s="4" t="str">
        <f t="shared" si="839"/>
        <v>Ackerman</v>
      </c>
      <c r="E596" s="27" t="str">
        <f t="shared" si="840"/>
        <v>SUPP</v>
      </c>
      <c r="F596" s="27" t="str">
        <f t="shared" si="841"/>
        <v>ACKE0001</v>
      </c>
      <c r="G596" s="15">
        <f t="shared" si="842"/>
        <v>41699</v>
      </c>
      <c r="H596" s="27" t="str">
        <f t="shared" si="843"/>
        <v>DD000000000000000007</v>
      </c>
      <c r="I596" s="27" t="str">
        <f>"""GP Direct"",""Fabrikam, Inc."",""Jet Payroll Transactions"",""Pay Rate"",""0.00000"",""Payroll Code"",""MED"",""State"","""",""Transaction Amount"",""20.00000"""</f>
        <v>"GP Direct","Fabrikam, Inc.","Jet Payroll Transactions","Pay Rate","0.00000","Payroll Code","MED","State","","Transaction Amount","20.00000"</v>
      </c>
      <c r="O596" s="28"/>
      <c r="P596" s="37">
        <v>0</v>
      </c>
      <c r="Q596" s="38" t="str">
        <f>"MED"</f>
        <v>MED</v>
      </c>
      <c r="R596" s="39"/>
      <c r="S596" s="37">
        <v>20</v>
      </c>
    </row>
    <row r="597" spans="1:19" hidden="1" outlineLevel="3">
      <c r="A597" s="25" t="s">
        <v>91</v>
      </c>
      <c r="C597" s="4" t="str">
        <f t="shared" si="838"/>
        <v>Pilar</v>
      </c>
      <c r="D597" s="4" t="str">
        <f t="shared" si="839"/>
        <v>Ackerman</v>
      </c>
      <c r="E597" s="27" t="str">
        <f t="shared" si="840"/>
        <v>SUPP</v>
      </c>
      <c r="F597" s="27" t="str">
        <f t="shared" si="841"/>
        <v>ACKE0001</v>
      </c>
      <c r="G597" s="15">
        <f t="shared" si="842"/>
        <v>41699</v>
      </c>
      <c r="H597" s="27" t="str">
        <f t="shared" si="843"/>
        <v>DD000000000000000007</v>
      </c>
      <c r="I597" s="27" t="str">
        <f>"""GP Direct"",""Fabrikam, Inc."",""Jet Payroll Transactions"",""Pay Rate"",""22500.00000"",""Payroll Code"",""SALY"",""State"",""IL"",""Transaction Amount"",""937.50000"""</f>
        <v>"GP Direct","Fabrikam, Inc.","Jet Payroll Transactions","Pay Rate","22500.00000","Payroll Code","SALY","State","IL","Transaction Amount","937.50000"</v>
      </c>
      <c r="O597" s="28"/>
      <c r="P597" s="37">
        <v>22500</v>
      </c>
      <c r="Q597" s="38" t="str">
        <f>"SALY"</f>
        <v>SALY</v>
      </c>
      <c r="R597" s="39" t="str">
        <f>"IL"</f>
        <v>IL</v>
      </c>
      <c r="S597" s="37">
        <v>937.5</v>
      </c>
    </row>
    <row r="598" spans="1:19" hidden="1" outlineLevel="3">
      <c r="A598" s="24" t="s">
        <v>2812</v>
      </c>
      <c r="C598" s="4" t="str">
        <f>C593</f>
        <v>Pilar</v>
      </c>
      <c r="D598" s="4" t="str">
        <f>D593</f>
        <v>Ackerman</v>
      </c>
      <c r="E598" s="27" t="str">
        <f>E593</f>
        <v>SUPP</v>
      </c>
      <c r="F598" s="27" t="str">
        <f>F593</f>
        <v>ACKE0001</v>
      </c>
      <c r="G598" s="15">
        <f>G593</f>
        <v>41699</v>
      </c>
      <c r="H598" s="27" t="str">
        <f>H593</f>
        <v>DD000000000000000007</v>
      </c>
      <c r="O598" s="28"/>
      <c r="S598" s="16"/>
    </row>
    <row r="599" spans="1:19" ht="12.75" hidden="1" outlineLevel="2" collapsed="1">
      <c r="A599" s="25" t="s">
        <v>91</v>
      </c>
      <c r="C599" s="4" t="str">
        <f t="shared" si="830"/>
        <v>Pilar</v>
      </c>
      <c r="D599" s="4" t="str">
        <f t="shared" si="831"/>
        <v>Ackerman</v>
      </c>
      <c r="E599" s="27" t="str">
        <f t="shared" si="832"/>
        <v>SUPP</v>
      </c>
      <c r="F599" s="27" t="str">
        <f t="shared" si="833"/>
        <v>ACKE0001</v>
      </c>
      <c r="G599" s="15">
        <f t="shared" si="836"/>
        <v>41699</v>
      </c>
      <c r="H599" s="27" t="str">
        <f t="shared" si="837"/>
        <v>DD000000000000000007</v>
      </c>
      <c r="N599" s="44" t="str">
        <f>"Total for " &amp; $H599</f>
        <v>Total for DD000000000000000007</v>
      </c>
      <c r="O599" s="45">
        <f>G599</f>
        <v>41699</v>
      </c>
      <c r="P599" s="44"/>
      <c r="Q599" s="44"/>
      <c r="R599" s="44"/>
      <c r="S599" s="44">
        <f>SUBTOTAL(9,S593:S598)</f>
        <v>1095.1500000000001</v>
      </c>
    </row>
    <row r="600" spans="1:19" ht="12.75" hidden="1" outlineLevel="3">
      <c r="A600" s="25" t="s">
        <v>91</v>
      </c>
      <c r="C600" s="4" t="str">
        <f t="shared" si="830"/>
        <v>Pilar</v>
      </c>
      <c r="D600" s="4" t="str">
        <f t="shared" si="831"/>
        <v>Ackerman</v>
      </c>
      <c r="E600" s="27" t="str">
        <f t="shared" si="832"/>
        <v>SUPP</v>
      </c>
      <c r="F600" s="27" t="str">
        <f t="shared" si="833"/>
        <v>ACKE0001</v>
      </c>
      <c r="G600" s="15">
        <f t="shared" ref="G600" si="844">O600</f>
        <v>41640</v>
      </c>
      <c r="H600" s="27" t="str">
        <f t="shared" ref="H600" si="845">N600</f>
        <v>DD000000000000000181</v>
      </c>
      <c r="J600" s="33"/>
      <c r="K600" s="33"/>
      <c r="L600" s="33"/>
      <c r="M600" s="33"/>
      <c r="N600" s="32" t="str">
        <f>"DD000000000000000181"</f>
        <v>DD000000000000000181</v>
      </c>
      <c r="O600" s="36">
        <v>41640</v>
      </c>
      <c r="P600" s="33"/>
      <c r="Q600" s="33"/>
      <c r="R600" s="33"/>
      <c r="S600" s="33"/>
    </row>
    <row r="601" spans="1:19" hidden="1" outlineLevel="3">
      <c r="A601" s="25" t="s">
        <v>91</v>
      </c>
      <c r="C601" s="4" t="str">
        <f t="shared" si="830"/>
        <v>Pilar</v>
      </c>
      <c r="D601" s="4" t="str">
        <f t="shared" si="831"/>
        <v>Ackerman</v>
      </c>
      <c r="E601" s="27" t="str">
        <f t="shared" si="832"/>
        <v>SUPP</v>
      </c>
      <c r="F601" s="27" t="str">
        <f t="shared" si="833"/>
        <v>ACKE0001</v>
      </c>
      <c r="G601" s="15">
        <f t="shared" ref="G601:G604" si="846">G600</f>
        <v>41640</v>
      </c>
      <c r="H601" s="27" t="str">
        <f t="shared" ref="H601:H604" si="847">H600</f>
        <v>DD000000000000000181</v>
      </c>
      <c r="I601" s="27" t="str">
        <f>"""GP Direct"",""Fabrikam, Inc."",""Jet Payroll Transactions"",""Pay Rate"",""0.00000"",""Payroll Code"",""IL"",""State"","""",""Transaction Amount"",""14.08000"""</f>
        <v>"GP Direct","Fabrikam, Inc.","Jet Payroll Transactions","Pay Rate","0.00000","Payroll Code","IL","State","","Transaction Amount","14.08000"</v>
      </c>
      <c r="O601" s="28"/>
      <c r="P601" s="37">
        <v>0</v>
      </c>
      <c r="Q601" s="38" t="str">
        <f>"IL"</f>
        <v>IL</v>
      </c>
      <c r="R601" s="39"/>
      <c r="S601" s="37">
        <v>14.08</v>
      </c>
    </row>
    <row r="602" spans="1:19" hidden="1" outlineLevel="3">
      <c r="A602" s="25" t="s">
        <v>91</v>
      </c>
      <c r="C602" s="4" t="str">
        <f t="shared" ref="C602" si="848">C601</f>
        <v>Pilar</v>
      </c>
      <c r="D602" s="4" t="str">
        <f t="shared" ref="D602" si="849">D601</f>
        <v>Ackerman</v>
      </c>
      <c r="E602" s="27" t="str">
        <f t="shared" ref="E602" si="850">E601</f>
        <v>SUPP</v>
      </c>
      <c r="F602" s="27" t="str">
        <f t="shared" ref="F602" si="851">F601</f>
        <v>ACKE0001</v>
      </c>
      <c r="G602" s="15">
        <f t="shared" ref="G602" si="852">G601</f>
        <v>41640</v>
      </c>
      <c r="H602" s="27" t="str">
        <f t="shared" ref="H602" si="853">H601</f>
        <v>DD000000000000000181</v>
      </c>
      <c r="I602" s="27" t="str">
        <f>"""GP Direct"",""Fabrikam, Inc."",""Jet Payroll Transactions"",""Pay Rate"",""500.00000"",""Payroll Code"",""BONS"",""State"",""IL"",""Transaction Amount"",""500.00000"""</f>
        <v>"GP Direct","Fabrikam, Inc.","Jet Payroll Transactions","Pay Rate","500.00000","Payroll Code","BONS","State","IL","Transaction Amount","500.00000"</v>
      </c>
      <c r="O602" s="28"/>
      <c r="P602" s="37">
        <v>500</v>
      </c>
      <c r="Q602" s="38" t="str">
        <f>"BONS"</f>
        <v>BONS</v>
      </c>
      <c r="R602" s="39" t="str">
        <f>"IL"</f>
        <v>IL</v>
      </c>
      <c r="S602" s="37">
        <v>500</v>
      </c>
    </row>
    <row r="603" spans="1:19" hidden="1" outlineLevel="3">
      <c r="A603" s="24" t="s">
        <v>2812</v>
      </c>
      <c r="C603" s="4" t="str">
        <f>C601</f>
        <v>Pilar</v>
      </c>
      <c r="D603" s="4" t="str">
        <f>D601</f>
        <v>Ackerman</v>
      </c>
      <c r="E603" s="27" t="str">
        <f>E601</f>
        <v>SUPP</v>
      </c>
      <c r="F603" s="27" t="str">
        <f>F601</f>
        <v>ACKE0001</v>
      </c>
      <c r="G603" s="15">
        <f>G601</f>
        <v>41640</v>
      </c>
      <c r="H603" s="27" t="str">
        <f>H601</f>
        <v>DD000000000000000181</v>
      </c>
      <c r="O603" s="28"/>
      <c r="S603" s="16"/>
    </row>
    <row r="604" spans="1:19" ht="12.75" hidden="1" outlineLevel="2" collapsed="1">
      <c r="A604" s="25" t="s">
        <v>91</v>
      </c>
      <c r="C604" s="4" t="str">
        <f t="shared" si="830"/>
        <v>Pilar</v>
      </c>
      <c r="D604" s="4" t="str">
        <f t="shared" si="831"/>
        <v>Ackerman</v>
      </c>
      <c r="E604" s="27" t="str">
        <f t="shared" si="832"/>
        <v>SUPP</v>
      </c>
      <c r="F604" s="27" t="str">
        <f t="shared" si="833"/>
        <v>ACKE0001</v>
      </c>
      <c r="G604" s="15">
        <f t="shared" si="846"/>
        <v>41640</v>
      </c>
      <c r="H604" s="27" t="str">
        <f t="shared" si="847"/>
        <v>DD000000000000000181</v>
      </c>
      <c r="N604" s="44" t="str">
        <f>"Total for " &amp; $H604</f>
        <v>Total for DD000000000000000181</v>
      </c>
      <c r="O604" s="45">
        <f>G604</f>
        <v>41640</v>
      </c>
      <c r="P604" s="44"/>
      <c r="Q604" s="44"/>
      <c r="R604" s="44"/>
      <c r="S604" s="44">
        <f>SUBTOTAL(9,S601:S603)</f>
        <v>514.08000000000004</v>
      </c>
    </row>
    <row r="605" spans="1:19" ht="12.75" hidden="1" outlineLevel="2">
      <c r="A605" s="24" t="s">
        <v>2812</v>
      </c>
      <c r="C605" s="4" t="str">
        <f>C591</f>
        <v>Pilar</v>
      </c>
      <c r="D605" s="4" t="str">
        <f>D591</f>
        <v>Ackerman</v>
      </c>
      <c r="E605" s="27" t="str">
        <f>E591</f>
        <v>SUPP</v>
      </c>
      <c r="F605" s="27" t="str">
        <f>F591</f>
        <v>ACKE0001</v>
      </c>
      <c r="G605" s="14"/>
      <c r="J605" s="33"/>
      <c r="K605" s="33"/>
      <c r="L605" s="33"/>
      <c r="M605" s="33"/>
      <c r="N605" s="33"/>
      <c r="O605" s="33"/>
      <c r="P605" s="33"/>
      <c r="Q605" s="33"/>
      <c r="R605" s="33"/>
      <c r="S605" s="40"/>
    </row>
    <row r="606" spans="1:19" ht="12.75" hidden="1" outlineLevel="1" collapsed="1">
      <c r="A606" s="25" t="s">
        <v>91</v>
      </c>
      <c r="C606" s="4" t="str">
        <f t="shared" si="817"/>
        <v>Pilar</v>
      </c>
      <c r="D606" s="4" t="str">
        <f t="shared" si="818"/>
        <v>Ackerman</v>
      </c>
      <c r="E606" s="27" t="str">
        <f t="shared" si="815"/>
        <v>SUPP</v>
      </c>
      <c r="F606" s="27" t="str">
        <f t="shared" si="819"/>
        <v>ACKE0001</v>
      </c>
      <c r="G606" s="14"/>
      <c r="J606" s="33"/>
      <c r="K606" s="46" t="str">
        <f>"Total for " &amp; $F606</f>
        <v>Total for ACKE0001</v>
      </c>
      <c r="L606" s="46" t="str">
        <f>C606</f>
        <v>Pilar</v>
      </c>
      <c r="M606" s="46" t="str">
        <f>D606</f>
        <v>Ackerman</v>
      </c>
      <c r="N606" s="46"/>
      <c r="O606" s="46"/>
      <c r="P606" s="46"/>
      <c r="Q606" s="46"/>
      <c r="R606" s="46"/>
      <c r="S606" s="47">
        <f>SUBTOTAL(9,S584:S605)</f>
        <v>2615.2399999999998</v>
      </c>
    </row>
    <row r="607" spans="1:19" ht="12.75" hidden="1" outlineLevel="2">
      <c r="A607" s="25" t="s">
        <v>91</v>
      </c>
      <c r="C607" s="4" t="str">
        <f t="shared" ref="C607" si="854">L607</f>
        <v>Kathie</v>
      </c>
      <c r="D607" s="4" t="str">
        <f t="shared" ref="D607" si="855">M607</f>
        <v>Flood</v>
      </c>
      <c r="E607" s="27" t="str">
        <f t="shared" ref="E607:E671" si="856">E606</f>
        <v>SUPP</v>
      </c>
      <c r="F607" s="27" t="str">
        <f t="shared" ref="F607" si="857">K607</f>
        <v>FLOO0001</v>
      </c>
      <c r="G607" s="14"/>
      <c r="J607" s="31"/>
      <c r="K607" s="21" t="str">
        <f>"FLOO0001"</f>
        <v>FLOO0001</v>
      </c>
      <c r="L607" s="43" t="str">
        <f>"Kathie"</f>
        <v>Kathie</v>
      </c>
      <c r="M607" s="43" t="str">
        <f>"Flood"</f>
        <v>Flood</v>
      </c>
      <c r="N607" s="43"/>
      <c r="O607" s="34"/>
      <c r="P607" s="33"/>
      <c r="Q607" s="33"/>
      <c r="R607" s="33"/>
      <c r="S607" s="35"/>
    </row>
    <row r="608" spans="1:19" ht="12.75" hidden="1" outlineLevel="3">
      <c r="A608" s="25" t="s">
        <v>91</v>
      </c>
      <c r="C608" s="4" t="str">
        <f t="shared" ref="C608:C625" si="858">C607</f>
        <v>Kathie</v>
      </c>
      <c r="D608" s="4" t="str">
        <f t="shared" ref="D608:D625" si="859">D607</f>
        <v>Flood</v>
      </c>
      <c r="E608" s="27" t="str">
        <f t="shared" si="856"/>
        <v>SUPP</v>
      </c>
      <c r="F608" s="27" t="str">
        <f t="shared" ref="F608:F625" si="860">F607</f>
        <v>FLOO0001</v>
      </c>
      <c r="G608" s="15">
        <f t="shared" ref="G608" si="861">O608</f>
        <v>41671</v>
      </c>
      <c r="H608" s="27" t="str">
        <f t="shared" ref="H608" si="862">N608</f>
        <v>10089</v>
      </c>
      <c r="J608" s="33"/>
      <c r="K608" s="33"/>
      <c r="L608" s="33"/>
      <c r="M608" s="33"/>
      <c r="N608" s="32" t="str">
        <f>"10089"</f>
        <v>10089</v>
      </c>
      <c r="O608" s="36">
        <v>41671</v>
      </c>
      <c r="P608" s="33"/>
      <c r="Q608" s="33"/>
      <c r="R608" s="33"/>
      <c r="S608" s="33"/>
    </row>
    <row r="609" spans="1:19" hidden="1" outlineLevel="3">
      <c r="A609" s="25" t="s">
        <v>91</v>
      </c>
      <c r="C609" s="4" t="str">
        <f t="shared" si="858"/>
        <v>Kathie</v>
      </c>
      <c r="D609" s="4" t="str">
        <f t="shared" si="859"/>
        <v>Flood</v>
      </c>
      <c r="E609" s="27" t="str">
        <f t="shared" si="856"/>
        <v>SUPP</v>
      </c>
      <c r="F609" s="27" t="str">
        <f t="shared" si="860"/>
        <v>FLOO0001</v>
      </c>
      <c r="G609" s="15">
        <f t="shared" ref="G609:G615" si="863">G608</f>
        <v>41671</v>
      </c>
      <c r="H609" s="27" t="str">
        <f t="shared" ref="H609:H615" si="864">H608</f>
        <v>10089</v>
      </c>
      <c r="I609" s="27" t="str">
        <f>"""GP Direct"",""Fabrikam, Inc."",""Jet Payroll Transactions"",""Pay Rate"",""0.00000"",""Payroll Code"",""IL"",""State"","""",""Transaction Amount"",""17.09000"""</f>
        <v>"GP Direct","Fabrikam, Inc.","Jet Payroll Transactions","Pay Rate","0.00000","Payroll Code","IL","State","","Transaction Amount","17.09000"</v>
      </c>
      <c r="O609" s="28"/>
      <c r="P609" s="37">
        <v>0</v>
      </c>
      <c r="Q609" s="38" t="str">
        <f>"IL"</f>
        <v>IL</v>
      </c>
      <c r="R609" s="39"/>
      <c r="S609" s="37">
        <v>17.09</v>
      </c>
    </row>
    <row r="610" spans="1:19" hidden="1" outlineLevel="3">
      <c r="A610" s="25" t="s">
        <v>91</v>
      </c>
      <c r="C610" s="4" t="str">
        <f t="shared" ref="C610:C613" si="865">C609</f>
        <v>Kathie</v>
      </c>
      <c r="D610" s="4" t="str">
        <f t="shared" ref="D610:D613" si="866">D609</f>
        <v>Flood</v>
      </c>
      <c r="E610" s="27" t="str">
        <f t="shared" ref="E610:E613" si="867">E609</f>
        <v>SUPP</v>
      </c>
      <c r="F610" s="27" t="str">
        <f t="shared" ref="F610:F613" si="868">F609</f>
        <v>FLOO0001</v>
      </c>
      <c r="G610" s="15">
        <f t="shared" ref="G610:G613" si="869">G609</f>
        <v>41671</v>
      </c>
      <c r="H610" s="27" t="str">
        <f t="shared" ref="H610:H613" si="870">H609</f>
        <v>10089</v>
      </c>
      <c r="I610" s="27" t="str">
        <f>"""GP Direct"",""Fabrikam, Inc."",""Jet Payroll Transactions"",""Pay Rate"",""0.00000"",""Payroll Code"",""INS"",""State"","""",""Transaction Amount"",""49.36000"""</f>
        <v>"GP Direct","Fabrikam, Inc.","Jet Payroll Transactions","Pay Rate","0.00000","Payroll Code","INS","State","","Transaction Amount","49.36000"</v>
      </c>
      <c r="O610" s="28"/>
      <c r="P610" s="37">
        <v>0</v>
      </c>
      <c r="Q610" s="38" t="str">
        <f>"INS"</f>
        <v>INS</v>
      </c>
      <c r="R610" s="39"/>
      <c r="S610" s="37">
        <v>49.36</v>
      </c>
    </row>
    <row r="611" spans="1:19" hidden="1" outlineLevel="3">
      <c r="A611" s="25" t="s">
        <v>91</v>
      </c>
      <c r="C611" s="4" t="str">
        <f t="shared" si="865"/>
        <v>Kathie</v>
      </c>
      <c r="D611" s="4" t="str">
        <f t="shared" si="866"/>
        <v>Flood</v>
      </c>
      <c r="E611" s="27" t="str">
        <f t="shared" si="867"/>
        <v>SUPP</v>
      </c>
      <c r="F611" s="27" t="str">
        <f t="shared" si="868"/>
        <v>FLOO0001</v>
      </c>
      <c r="G611" s="15">
        <f t="shared" si="869"/>
        <v>41671</v>
      </c>
      <c r="H611" s="27" t="str">
        <f t="shared" si="870"/>
        <v>10089</v>
      </c>
      <c r="I611" s="27" t="str">
        <f>"""GP Direct"",""Fabrikam, Inc."",""Jet Payroll Transactions"",""Pay Rate"",""0.00000"",""Payroll Code"",""INS2"",""State"","""",""Transaction Amount"",""72.95000"""</f>
        <v>"GP Direct","Fabrikam, Inc.","Jet Payroll Transactions","Pay Rate","0.00000","Payroll Code","INS2","State","","Transaction Amount","72.95000"</v>
      </c>
      <c r="O611" s="28"/>
      <c r="P611" s="37">
        <v>0</v>
      </c>
      <c r="Q611" s="38" t="str">
        <f>"INS2"</f>
        <v>INS2</v>
      </c>
      <c r="R611" s="39"/>
      <c r="S611" s="37">
        <v>72.95</v>
      </c>
    </row>
    <row r="612" spans="1:19" hidden="1" outlineLevel="3">
      <c r="A612" s="25" t="s">
        <v>91</v>
      </c>
      <c r="C612" s="4" t="str">
        <f t="shared" si="865"/>
        <v>Kathie</v>
      </c>
      <c r="D612" s="4" t="str">
        <f t="shared" si="866"/>
        <v>Flood</v>
      </c>
      <c r="E612" s="27" t="str">
        <f t="shared" si="867"/>
        <v>SUPP</v>
      </c>
      <c r="F612" s="27" t="str">
        <f t="shared" si="868"/>
        <v>FLOO0001</v>
      </c>
      <c r="G612" s="15">
        <f t="shared" si="869"/>
        <v>41671</v>
      </c>
      <c r="H612" s="27" t="str">
        <f t="shared" si="870"/>
        <v>10089</v>
      </c>
      <c r="I612" s="27" t="str">
        <f>"""GP Direct"",""Fabrikam, Inc."",""Jet Payroll Transactions"",""Pay Rate"",""0.00000"",""Payroll Code"",""MED"",""State"","""",""Transaction Amount"",""20.00000"""</f>
        <v>"GP Direct","Fabrikam, Inc.","Jet Payroll Transactions","Pay Rate","0.00000","Payroll Code","MED","State","","Transaction Amount","20.00000"</v>
      </c>
      <c r="O612" s="28"/>
      <c r="P612" s="37">
        <v>0</v>
      </c>
      <c r="Q612" s="38" t="str">
        <f>"MED"</f>
        <v>MED</v>
      </c>
      <c r="R612" s="39"/>
      <c r="S612" s="37">
        <v>20</v>
      </c>
    </row>
    <row r="613" spans="1:19" hidden="1" outlineLevel="3">
      <c r="A613" s="25" t="s">
        <v>91</v>
      </c>
      <c r="C613" s="4" t="str">
        <f t="shared" si="865"/>
        <v>Kathie</v>
      </c>
      <c r="D613" s="4" t="str">
        <f t="shared" si="866"/>
        <v>Flood</v>
      </c>
      <c r="E613" s="27" t="str">
        <f t="shared" si="867"/>
        <v>SUPP</v>
      </c>
      <c r="F613" s="27" t="str">
        <f t="shared" si="868"/>
        <v>FLOO0001</v>
      </c>
      <c r="G613" s="15">
        <f t="shared" si="869"/>
        <v>41671</v>
      </c>
      <c r="H613" s="27" t="str">
        <f t="shared" si="870"/>
        <v>10089</v>
      </c>
      <c r="I613" s="27" t="str">
        <f>"""GP Direct"",""Fabrikam, Inc."",""Jet Payroll Transactions"",""Pay Rate"",""21900.00000"",""Payroll Code"",""SALY"",""State"",""IL"",""Transaction Amount"",""912.50000"""</f>
        <v>"GP Direct","Fabrikam, Inc.","Jet Payroll Transactions","Pay Rate","21900.00000","Payroll Code","SALY","State","IL","Transaction Amount","912.50000"</v>
      </c>
      <c r="O613" s="28"/>
      <c r="P613" s="37">
        <v>21900</v>
      </c>
      <c r="Q613" s="38" t="str">
        <f>"SALY"</f>
        <v>SALY</v>
      </c>
      <c r="R613" s="39" t="str">
        <f>"IL"</f>
        <v>IL</v>
      </c>
      <c r="S613" s="37">
        <v>912.5</v>
      </c>
    </row>
    <row r="614" spans="1:19" hidden="1" outlineLevel="3">
      <c r="A614" s="24" t="s">
        <v>2812</v>
      </c>
      <c r="C614" s="4" t="str">
        <f>C609</f>
        <v>Kathie</v>
      </c>
      <c r="D614" s="4" t="str">
        <f>D609</f>
        <v>Flood</v>
      </c>
      <c r="E614" s="27" t="str">
        <f>E609</f>
        <v>SUPP</v>
      </c>
      <c r="F614" s="27" t="str">
        <f>F609</f>
        <v>FLOO0001</v>
      </c>
      <c r="G614" s="15">
        <f>G609</f>
        <v>41671</v>
      </c>
      <c r="H614" s="27" t="str">
        <f>H609</f>
        <v>10089</v>
      </c>
      <c r="O614" s="28"/>
      <c r="S614" s="16"/>
    </row>
    <row r="615" spans="1:19" ht="12.75" hidden="1" outlineLevel="2" collapsed="1">
      <c r="A615" s="25" t="s">
        <v>91</v>
      </c>
      <c r="C615" s="4" t="str">
        <f t="shared" si="858"/>
        <v>Kathie</v>
      </c>
      <c r="D615" s="4" t="str">
        <f t="shared" si="859"/>
        <v>Flood</v>
      </c>
      <c r="E615" s="27" t="str">
        <f t="shared" si="856"/>
        <v>SUPP</v>
      </c>
      <c r="F615" s="27" t="str">
        <f t="shared" si="860"/>
        <v>FLOO0001</v>
      </c>
      <c r="G615" s="15">
        <f t="shared" si="863"/>
        <v>41671</v>
      </c>
      <c r="H615" s="27" t="str">
        <f t="shared" si="864"/>
        <v>10089</v>
      </c>
      <c r="N615" s="44" t="str">
        <f>"Total for " &amp; $H615</f>
        <v>Total for 10089</v>
      </c>
      <c r="O615" s="45">
        <f>G615</f>
        <v>41671</v>
      </c>
      <c r="P615" s="44"/>
      <c r="Q615" s="44"/>
      <c r="R615" s="44"/>
      <c r="S615" s="44">
        <f>SUBTOTAL(9,S609:S614)</f>
        <v>1071.9000000000001</v>
      </c>
    </row>
    <row r="616" spans="1:19" ht="12.75" hidden="1" outlineLevel="3">
      <c r="A616" s="25" t="s">
        <v>91</v>
      </c>
      <c r="C616" s="4" t="str">
        <f t="shared" ref="C616:C623" si="871">C615</f>
        <v>Kathie</v>
      </c>
      <c r="D616" s="4" t="str">
        <f t="shared" ref="D616:D623" si="872">D615</f>
        <v>Flood</v>
      </c>
      <c r="E616" s="27" t="str">
        <f t="shared" ref="E616:E623" si="873">E615</f>
        <v>SUPP</v>
      </c>
      <c r="F616" s="27" t="str">
        <f t="shared" ref="F616:F623" si="874">F615</f>
        <v>FLOO0001</v>
      </c>
      <c r="G616" s="15">
        <f t="shared" ref="G616" si="875">O616</f>
        <v>41699</v>
      </c>
      <c r="H616" s="27" t="str">
        <f t="shared" ref="H616" si="876">N616</f>
        <v>10114</v>
      </c>
      <c r="J616" s="33"/>
      <c r="K616" s="33"/>
      <c r="L616" s="33"/>
      <c r="M616" s="33"/>
      <c r="N616" s="32" t="str">
        <f>"10114"</f>
        <v>10114</v>
      </c>
      <c r="O616" s="36">
        <v>41699</v>
      </c>
      <c r="P616" s="33"/>
      <c r="Q616" s="33"/>
      <c r="R616" s="33"/>
      <c r="S616" s="33"/>
    </row>
    <row r="617" spans="1:19" hidden="1" outlineLevel="3">
      <c r="A617" s="25" t="s">
        <v>91</v>
      </c>
      <c r="C617" s="4" t="str">
        <f t="shared" si="871"/>
        <v>Kathie</v>
      </c>
      <c r="D617" s="4" t="str">
        <f t="shared" si="872"/>
        <v>Flood</v>
      </c>
      <c r="E617" s="27" t="str">
        <f t="shared" si="873"/>
        <v>SUPP</v>
      </c>
      <c r="F617" s="27" t="str">
        <f t="shared" si="874"/>
        <v>FLOO0001</v>
      </c>
      <c r="G617" s="15">
        <f t="shared" ref="G617:G623" si="877">G616</f>
        <v>41699</v>
      </c>
      <c r="H617" s="27" t="str">
        <f t="shared" ref="H617:H623" si="878">H616</f>
        <v>10114</v>
      </c>
      <c r="I617" s="27" t="str">
        <f>"""GP Direct"",""Fabrikam, Inc."",""Jet Payroll Transactions"",""Pay Rate"",""0.00000"",""Payroll Code"",""IL"",""State"","""",""Transaction Amount"",""17.09000"""</f>
        <v>"GP Direct","Fabrikam, Inc.","Jet Payroll Transactions","Pay Rate","0.00000","Payroll Code","IL","State","","Transaction Amount","17.09000"</v>
      </c>
      <c r="O617" s="28"/>
      <c r="P617" s="37">
        <v>0</v>
      </c>
      <c r="Q617" s="38" t="str">
        <f>"IL"</f>
        <v>IL</v>
      </c>
      <c r="R617" s="39"/>
      <c r="S617" s="37">
        <v>17.09</v>
      </c>
    </row>
    <row r="618" spans="1:19" hidden="1" outlineLevel="3">
      <c r="A618" s="25" t="s">
        <v>91</v>
      </c>
      <c r="C618" s="4" t="str">
        <f t="shared" ref="C618:C621" si="879">C617</f>
        <v>Kathie</v>
      </c>
      <c r="D618" s="4" t="str">
        <f t="shared" ref="D618:D621" si="880">D617</f>
        <v>Flood</v>
      </c>
      <c r="E618" s="27" t="str">
        <f t="shared" ref="E618:E621" si="881">E617</f>
        <v>SUPP</v>
      </c>
      <c r="F618" s="27" t="str">
        <f t="shared" ref="F618:F621" si="882">F617</f>
        <v>FLOO0001</v>
      </c>
      <c r="G618" s="15">
        <f t="shared" ref="G618:G621" si="883">G617</f>
        <v>41699</v>
      </c>
      <c r="H618" s="27" t="str">
        <f t="shared" ref="H618:H621" si="884">H617</f>
        <v>10114</v>
      </c>
      <c r="I618" s="27" t="str">
        <f>"""GP Direct"",""Fabrikam, Inc."",""Jet Payroll Transactions"",""Pay Rate"",""0.00000"",""Payroll Code"",""INS"",""State"","""",""Transaction Amount"",""49.36000"""</f>
        <v>"GP Direct","Fabrikam, Inc.","Jet Payroll Transactions","Pay Rate","0.00000","Payroll Code","INS","State","","Transaction Amount","49.36000"</v>
      </c>
      <c r="O618" s="28"/>
      <c r="P618" s="37">
        <v>0</v>
      </c>
      <c r="Q618" s="38" t="str">
        <f>"INS"</f>
        <v>INS</v>
      </c>
      <c r="R618" s="39"/>
      <c r="S618" s="37">
        <v>49.36</v>
      </c>
    </row>
    <row r="619" spans="1:19" hidden="1" outlineLevel="3">
      <c r="A619" s="25" t="s">
        <v>91</v>
      </c>
      <c r="C619" s="4" t="str">
        <f t="shared" si="879"/>
        <v>Kathie</v>
      </c>
      <c r="D619" s="4" t="str">
        <f t="shared" si="880"/>
        <v>Flood</v>
      </c>
      <c r="E619" s="27" t="str">
        <f t="shared" si="881"/>
        <v>SUPP</v>
      </c>
      <c r="F619" s="27" t="str">
        <f t="shared" si="882"/>
        <v>FLOO0001</v>
      </c>
      <c r="G619" s="15">
        <f t="shared" si="883"/>
        <v>41699</v>
      </c>
      <c r="H619" s="27" t="str">
        <f t="shared" si="884"/>
        <v>10114</v>
      </c>
      <c r="I619" s="27" t="str">
        <f>"""GP Direct"",""Fabrikam, Inc."",""Jet Payroll Transactions"",""Pay Rate"",""0.00000"",""Payroll Code"",""INS2"",""State"","""",""Transaction Amount"",""72.95000"""</f>
        <v>"GP Direct","Fabrikam, Inc.","Jet Payroll Transactions","Pay Rate","0.00000","Payroll Code","INS2","State","","Transaction Amount","72.95000"</v>
      </c>
      <c r="O619" s="28"/>
      <c r="P619" s="37">
        <v>0</v>
      </c>
      <c r="Q619" s="38" t="str">
        <f>"INS2"</f>
        <v>INS2</v>
      </c>
      <c r="R619" s="39"/>
      <c r="S619" s="37">
        <v>72.95</v>
      </c>
    </row>
    <row r="620" spans="1:19" hidden="1" outlineLevel="3">
      <c r="A620" s="25" t="s">
        <v>91</v>
      </c>
      <c r="C620" s="4" t="str">
        <f t="shared" si="879"/>
        <v>Kathie</v>
      </c>
      <c r="D620" s="4" t="str">
        <f t="shared" si="880"/>
        <v>Flood</v>
      </c>
      <c r="E620" s="27" t="str">
        <f t="shared" si="881"/>
        <v>SUPP</v>
      </c>
      <c r="F620" s="27" t="str">
        <f t="shared" si="882"/>
        <v>FLOO0001</v>
      </c>
      <c r="G620" s="15">
        <f t="shared" si="883"/>
        <v>41699</v>
      </c>
      <c r="H620" s="27" t="str">
        <f t="shared" si="884"/>
        <v>10114</v>
      </c>
      <c r="I620" s="27" t="str">
        <f>"""GP Direct"",""Fabrikam, Inc."",""Jet Payroll Transactions"",""Pay Rate"",""0.00000"",""Payroll Code"",""MED"",""State"","""",""Transaction Amount"",""20.00000"""</f>
        <v>"GP Direct","Fabrikam, Inc.","Jet Payroll Transactions","Pay Rate","0.00000","Payroll Code","MED","State","","Transaction Amount","20.00000"</v>
      </c>
      <c r="O620" s="28"/>
      <c r="P620" s="37">
        <v>0</v>
      </c>
      <c r="Q620" s="38" t="str">
        <f>"MED"</f>
        <v>MED</v>
      </c>
      <c r="R620" s="39"/>
      <c r="S620" s="37">
        <v>20</v>
      </c>
    </row>
    <row r="621" spans="1:19" hidden="1" outlineLevel="3">
      <c r="A621" s="25" t="s">
        <v>91</v>
      </c>
      <c r="C621" s="4" t="str">
        <f t="shared" si="879"/>
        <v>Kathie</v>
      </c>
      <c r="D621" s="4" t="str">
        <f t="shared" si="880"/>
        <v>Flood</v>
      </c>
      <c r="E621" s="27" t="str">
        <f t="shared" si="881"/>
        <v>SUPP</v>
      </c>
      <c r="F621" s="27" t="str">
        <f t="shared" si="882"/>
        <v>FLOO0001</v>
      </c>
      <c r="G621" s="15">
        <f t="shared" si="883"/>
        <v>41699</v>
      </c>
      <c r="H621" s="27" t="str">
        <f t="shared" si="884"/>
        <v>10114</v>
      </c>
      <c r="I621" s="27" t="str">
        <f>"""GP Direct"",""Fabrikam, Inc."",""Jet Payroll Transactions"",""Pay Rate"",""21900.00000"",""Payroll Code"",""SALY"",""State"",""IL"",""Transaction Amount"",""912.50000"""</f>
        <v>"GP Direct","Fabrikam, Inc.","Jet Payroll Transactions","Pay Rate","21900.00000","Payroll Code","SALY","State","IL","Transaction Amount","912.50000"</v>
      </c>
      <c r="O621" s="28"/>
      <c r="P621" s="37">
        <v>21900</v>
      </c>
      <c r="Q621" s="38" t="str">
        <f>"SALY"</f>
        <v>SALY</v>
      </c>
      <c r="R621" s="39" t="str">
        <f>"IL"</f>
        <v>IL</v>
      </c>
      <c r="S621" s="37">
        <v>912.5</v>
      </c>
    </row>
    <row r="622" spans="1:19" hidden="1" outlineLevel="3">
      <c r="A622" s="24" t="s">
        <v>2812</v>
      </c>
      <c r="C622" s="4" t="str">
        <f>C617</f>
        <v>Kathie</v>
      </c>
      <c r="D622" s="4" t="str">
        <f>D617</f>
        <v>Flood</v>
      </c>
      <c r="E622" s="27" t="str">
        <f>E617</f>
        <v>SUPP</v>
      </c>
      <c r="F622" s="27" t="str">
        <f>F617</f>
        <v>FLOO0001</v>
      </c>
      <c r="G622" s="15">
        <f>G617</f>
        <v>41699</v>
      </c>
      <c r="H622" s="27" t="str">
        <f>H617</f>
        <v>10114</v>
      </c>
      <c r="O622" s="28"/>
      <c r="S622" s="16"/>
    </row>
    <row r="623" spans="1:19" ht="12.75" hidden="1" outlineLevel="2" collapsed="1">
      <c r="A623" s="25" t="s">
        <v>91</v>
      </c>
      <c r="C623" s="4" t="str">
        <f t="shared" si="871"/>
        <v>Kathie</v>
      </c>
      <c r="D623" s="4" t="str">
        <f t="shared" si="872"/>
        <v>Flood</v>
      </c>
      <c r="E623" s="27" t="str">
        <f t="shared" si="873"/>
        <v>SUPP</v>
      </c>
      <c r="F623" s="27" t="str">
        <f t="shared" si="874"/>
        <v>FLOO0001</v>
      </c>
      <c r="G623" s="15">
        <f t="shared" si="877"/>
        <v>41699</v>
      </c>
      <c r="H623" s="27" t="str">
        <f t="shared" si="878"/>
        <v>10114</v>
      </c>
      <c r="N623" s="44" t="str">
        <f>"Total for " &amp; $H623</f>
        <v>Total for 10114</v>
      </c>
      <c r="O623" s="45">
        <f>G623</f>
        <v>41699</v>
      </c>
      <c r="P623" s="44"/>
      <c r="Q623" s="44"/>
      <c r="R623" s="44"/>
      <c r="S623" s="44">
        <f>SUBTOTAL(9,S617:S622)</f>
        <v>1071.9000000000001</v>
      </c>
    </row>
    <row r="624" spans="1:19" ht="12.75" hidden="1" outlineLevel="2">
      <c r="A624" s="24" t="s">
        <v>2812</v>
      </c>
      <c r="C624" s="4" t="str">
        <f>C615</f>
        <v>Kathie</v>
      </c>
      <c r="D624" s="4" t="str">
        <f>D615</f>
        <v>Flood</v>
      </c>
      <c r="E624" s="27" t="str">
        <f>E615</f>
        <v>SUPP</v>
      </c>
      <c r="F624" s="27" t="str">
        <f>F615</f>
        <v>FLOO0001</v>
      </c>
      <c r="G624" s="14"/>
      <c r="J624" s="33"/>
      <c r="K624" s="33"/>
      <c r="L624" s="33"/>
      <c r="M624" s="33"/>
      <c r="N624" s="33"/>
      <c r="O624" s="33"/>
      <c r="P624" s="33"/>
      <c r="Q624" s="33"/>
      <c r="R624" s="33"/>
      <c r="S624" s="40"/>
    </row>
    <row r="625" spans="1:19" ht="12.75" hidden="1" outlineLevel="1" collapsed="1">
      <c r="A625" s="25" t="s">
        <v>91</v>
      </c>
      <c r="C625" s="4" t="str">
        <f t="shared" si="858"/>
        <v>Kathie</v>
      </c>
      <c r="D625" s="4" t="str">
        <f t="shared" si="859"/>
        <v>Flood</v>
      </c>
      <c r="E625" s="27" t="str">
        <f t="shared" si="856"/>
        <v>SUPP</v>
      </c>
      <c r="F625" s="27" t="str">
        <f t="shared" si="860"/>
        <v>FLOO0001</v>
      </c>
      <c r="G625" s="14"/>
      <c r="J625" s="33"/>
      <c r="K625" s="46" t="str">
        <f>"Total for " &amp; $F625</f>
        <v>Total for FLOO0001</v>
      </c>
      <c r="L625" s="46" t="str">
        <f>C625</f>
        <v>Kathie</v>
      </c>
      <c r="M625" s="46" t="str">
        <f>D625</f>
        <v>Flood</v>
      </c>
      <c r="N625" s="46"/>
      <c r="O625" s="46"/>
      <c r="P625" s="46"/>
      <c r="Q625" s="46"/>
      <c r="R625" s="46"/>
      <c r="S625" s="47">
        <f>SUBTOTAL(9,S609:S624)</f>
        <v>2143.8000000000002</v>
      </c>
    </row>
    <row r="626" spans="1:19" ht="12.75" hidden="1" outlineLevel="2">
      <c r="A626" s="25" t="s">
        <v>91</v>
      </c>
      <c r="C626" s="4" t="str">
        <f t="shared" ref="C626" si="885">L626</f>
        <v>Diane</v>
      </c>
      <c r="D626" s="4" t="str">
        <f t="shared" ref="D626" si="886">M626</f>
        <v>Tibbott</v>
      </c>
      <c r="E626" s="27" t="str">
        <f t="shared" si="856"/>
        <v>SUPP</v>
      </c>
      <c r="F626" s="27" t="str">
        <f t="shared" ref="F626" si="887">K626</f>
        <v>TIBB0001</v>
      </c>
      <c r="G626" s="14"/>
      <c r="J626" s="31"/>
      <c r="K626" s="21" t="str">
        <f>"TIBB0001"</f>
        <v>TIBB0001</v>
      </c>
      <c r="L626" s="43" t="str">
        <f>"Diane"</f>
        <v>Diane</v>
      </c>
      <c r="M626" s="43" t="str">
        <f>"Tibbott"</f>
        <v>Tibbott</v>
      </c>
      <c r="N626" s="43"/>
      <c r="O626" s="34"/>
      <c r="P626" s="33"/>
      <c r="Q626" s="33"/>
      <c r="R626" s="33"/>
      <c r="S626" s="35"/>
    </row>
    <row r="627" spans="1:19" ht="12.75" hidden="1" outlineLevel="3">
      <c r="A627" s="25" t="s">
        <v>91</v>
      </c>
      <c r="C627" s="4" t="str">
        <f t="shared" ref="C627:C648" si="888">C626</f>
        <v>Diane</v>
      </c>
      <c r="D627" s="4" t="str">
        <f t="shared" ref="D627:D648" si="889">D626</f>
        <v>Tibbott</v>
      </c>
      <c r="E627" s="27" t="str">
        <f t="shared" si="856"/>
        <v>SUPP</v>
      </c>
      <c r="F627" s="27" t="str">
        <f t="shared" ref="F627:F648" si="890">F626</f>
        <v>TIBB0001</v>
      </c>
      <c r="G627" s="15">
        <f t="shared" ref="G627" si="891">O627</f>
        <v>41671</v>
      </c>
      <c r="H627" s="27" t="str">
        <f t="shared" ref="H627" si="892">N627</f>
        <v>10103</v>
      </c>
      <c r="J627" s="33"/>
      <c r="K627" s="33"/>
      <c r="L627" s="33"/>
      <c r="M627" s="33"/>
      <c r="N627" s="32" t="str">
        <f>"10103"</f>
        <v>10103</v>
      </c>
      <c r="O627" s="36">
        <v>41671</v>
      </c>
      <c r="P627" s="33"/>
      <c r="Q627" s="33"/>
      <c r="R627" s="33"/>
      <c r="S627" s="33"/>
    </row>
    <row r="628" spans="1:19" hidden="1" outlineLevel="3">
      <c r="A628" s="25" t="s">
        <v>91</v>
      </c>
      <c r="C628" s="4" t="str">
        <f t="shared" si="888"/>
        <v>Diane</v>
      </c>
      <c r="D628" s="4" t="str">
        <f t="shared" si="889"/>
        <v>Tibbott</v>
      </c>
      <c r="E628" s="27" t="str">
        <f t="shared" si="856"/>
        <v>SUPP</v>
      </c>
      <c r="F628" s="27" t="str">
        <f t="shared" si="890"/>
        <v>TIBB0001</v>
      </c>
      <c r="G628" s="15">
        <f t="shared" ref="G628:G636" si="893">G627</f>
        <v>41671</v>
      </c>
      <c r="H628" s="27" t="str">
        <f t="shared" ref="H628:H636" si="894">H627</f>
        <v>10103</v>
      </c>
      <c r="I628" s="27" t="str">
        <f>"""GP Direct"",""Fabrikam, Inc."",""Jet Payroll Transactions"",""Pay Rate"",""0.00000"",""Payroll Code"",""401K"",""State"","""",""Transaction Amount"",""1.49000"""</f>
        <v>"GP Direct","Fabrikam, Inc.","Jet Payroll Transactions","Pay Rate","0.00000","Payroll Code","401K","State","","Transaction Amount","1.49000"</v>
      </c>
      <c r="O628" s="28"/>
      <c r="P628" s="37">
        <v>0</v>
      </c>
      <c r="Q628" s="38" t="str">
        <f>"401K"</f>
        <v>401K</v>
      </c>
      <c r="R628" s="39"/>
      <c r="S628" s="37">
        <v>1.49</v>
      </c>
    </row>
    <row r="629" spans="1:19" hidden="1" outlineLevel="3">
      <c r="A629" s="25" t="s">
        <v>91</v>
      </c>
      <c r="C629" s="4" t="str">
        <f t="shared" ref="C629:C634" si="895">C628</f>
        <v>Diane</v>
      </c>
      <c r="D629" s="4" t="str">
        <f t="shared" ref="D629:D634" si="896">D628</f>
        <v>Tibbott</v>
      </c>
      <c r="E629" s="27" t="str">
        <f t="shared" ref="E629:E634" si="897">E628</f>
        <v>SUPP</v>
      </c>
      <c r="F629" s="27" t="str">
        <f t="shared" ref="F629:F634" si="898">F628</f>
        <v>TIBB0001</v>
      </c>
      <c r="G629" s="15">
        <f t="shared" ref="G629:G634" si="899">G628</f>
        <v>41671</v>
      </c>
      <c r="H629" s="27" t="str">
        <f t="shared" ref="H629:H634" si="900">H628</f>
        <v>10103</v>
      </c>
      <c r="I629" s="27" t="str">
        <f>"""GP Direct"",""Fabrikam, Inc."",""Jet Payroll Transactions"",""Pay Rate"",""0.00000"",""Payroll Code"",""401K"",""State"","""",""Transaction Amount"",""29.70000"""</f>
        <v>"GP Direct","Fabrikam, Inc.","Jet Payroll Transactions","Pay Rate","0.00000","Payroll Code","401K","State","","Transaction Amount","29.70000"</v>
      </c>
      <c r="O629" s="28"/>
      <c r="P629" s="37">
        <v>0</v>
      </c>
      <c r="Q629" s="38" t="str">
        <f>"401K"</f>
        <v>401K</v>
      </c>
      <c r="R629" s="39"/>
      <c r="S629" s="37">
        <v>29.7</v>
      </c>
    </row>
    <row r="630" spans="1:19" hidden="1" outlineLevel="3">
      <c r="A630" s="25" t="s">
        <v>91</v>
      </c>
      <c r="C630" s="4" t="str">
        <f t="shared" si="895"/>
        <v>Diane</v>
      </c>
      <c r="D630" s="4" t="str">
        <f t="shared" si="896"/>
        <v>Tibbott</v>
      </c>
      <c r="E630" s="27" t="str">
        <f t="shared" si="897"/>
        <v>SUPP</v>
      </c>
      <c r="F630" s="27" t="str">
        <f t="shared" si="898"/>
        <v>TIBB0001</v>
      </c>
      <c r="G630" s="15">
        <f t="shared" si="899"/>
        <v>41671</v>
      </c>
      <c r="H630" s="27" t="str">
        <f t="shared" si="900"/>
        <v>10103</v>
      </c>
      <c r="I630" s="27" t="str">
        <f>"""GP Direct"",""Fabrikam, Inc."",""Jet Payroll Transactions"",""Pay Rate"",""0.00000"",""Payroll Code"",""IL"",""State"","""",""Transaction Amount"",""25.22000"""</f>
        <v>"GP Direct","Fabrikam, Inc.","Jet Payroll Transactions","Pay Rate","0.00000","Payroll Code","IL","State","","Transaction Amount","25.22000"</v>
      </c>
      <c r="O630" s="28"/>
      <c r="P630" s="37">
        <v>0</v>
      </c>
      <c r="Q630" s="38" t="str">
        <f>"IL"</f>
        <v>IL</v>
      </c>
      <c r="R630" s="39"/>
      <c r="S630" s="37">
        <v>25.22</v>
      </c>
    </row>
    <row r="631" spans="1:19" hidden="1" outlineLevel="3">
      <c r="A631" s="25" t="s">
        <v>91</v>
      </c>
      <c r="C631" s="4" t="str">
        <f t="shared" si="895"/>
        <v>Diane</v>
      </c>
      <c r="D631" s="4" t="str">
        <f t="shared" si="896"/>
        <v>Tibbott</v>
      </c>
      <c r="E631" s="27" t="str">
        <f t="shared" si="897"/>
        <v>SUPP</v>
      </c>
      <c r="F631" s="27" t="str">
        <f t="shared" si="898"/>
        <v>TIBB0001</v>
      </c>
      <c r="G631" s="15">
        <f t="shared" si="899"/>
        <v>41671</v>
      </c>
      <c r="H631" s="27" t="str">
        <f t="shared" si="900"/>
        <v>10103</v>
      </c>
      <c r="I631" s="27" t="str">
        <f>"""GP Direct"",""Fabrikam, Inc."",""Jet Payroll Transactions"",""Pay Rate"",""0.00000"",""Payroll Code"",""INS"",""State"","""",""Transaction Amount"",""49.36000"""</f>
        <v>"GP Direct","Fabrikam, Inc.","Jet Payroll Transactions","Pay Rate","0.00000","Payroll Code","INS","State","","Transaction Amount","49.36000"</v>
      </c>
      <c r="O631" s="28"/>
      <c r="P631" s="37">
        <v>0</v>
      </c>
      <c r="Q631" s="38" t="str">
        <f>"INS"</f>
        <v>INS</v>
      </c>
      <c r="R631" s="39"/>
      <c r="S631" s="37">
        <v>49.36</v>
      </c>
    </row>
    <row r="632" spans="1:19" hidden="1" outlineLevel="3">
      <c r="A632" s="25" t="s">
        <v>91</v>
      </c>
      <c r="C632" s="4" t="str">
        <f t="shared" si="895"/>
        <v>Diane</v>
      </c>
      <c r="D632" s="4" t="str">
        <f t="shared" si="896"/>
        <v>Tibbott</v>
      </c>
      <c r="E632" s="27" t="str">
        <f t="shared" si="897"/>
        <v>SUPP</v>
      </c>
      <c r="F632" s="27" t="str">
        <f t="shared" si="898"/>
        <v>TIBB0001</v>
      </c>
      <c r="G632" s="15">
        <f t="shared" si="899"/>
        <v>41671</v>
      </c>
      <c r="H632" s="27" t="str">
        <f t="shared" si="900"/>
        <v>10103</v>
      </c>
      <c r="I632" s="27" t="str">
        <f>"""GP Direct"",""Fabrikam, Inc."",""Jet Payroll Transactions"",""Pay Rate"",""0.00000"",""Payroll Code"",""INS2"",""State"","""",""Transaction Amount"",""72.95000"""</f>
        <v>"GP Direct","Fabrikam, Inc.","Jet Payroll Transactions","Pay Rate","0.00000","Payroll Code","INS2","State","","Transaction Amount","72.95000"</v>
      </c>
      <c r="O632" s="28"/>
      <c r="P632" s="37">
        <v>0</v>
      </c>
      <c r="Q632" s="38" t="str">
        <f>"INS2"</f>
        <v>INS2</v>
      </c>
      <c r="R632" s="39"/>
      <c r="S632" s="37">
        <v>72.95</v>
      </c>
    </row>
    <row r="633" spans="1:19" hidden="1" outlineLevel="3">
      <c r="A633" s="25" t="s">
        <v>91</v>
      </c>
      <c r="C633" s="4" t="str">
        <f t="shared" si="895"/>
        <v>Diane</v>
      </c>
      <c r="D633" s="4" t="str">
        <f t="shared" si="896"/>
        <v>Tibbott</v>
      </c>
      <c r="E633" s="27" t="str">
        <f t="shared" si="897"/>
        <v>SUPP</v>
      </c>
      <c r="F633" s="27" t="str">
        <f t="shared" si="898"/>
        <v>TIBB0001</v>
      </c>
      <c r="G633" s="15">
        <f t="shared" si="899"/>
        <v>41671</v>
      </c>
      <c r="H633" s="27" t="str">
        <f t="shared" si="900"/>
        <v>10103</v>
      </c>
      <c r="I633" s="27" t="str">
        <f>"""GP Direct"",""Fabrikam, Inc."",""Jet Payroll Transactions"",""Pay Rate"",""0.00000"",""Payroll Code"",""MED"",""State"","""",""Transaction Amount"",""5.00000"""</f>
        <v>"GP Direct","Fabrikam, Inc.","Jet Payroll Transactions","Pay Rate","0.00000","Payroll Code","MED","State","","Transaction Amount","5.00000"</v>
      </c>
      <c r="O633" s="28"/>
      <c r="P633" s="37">
        <v>0</v>
      </c>
      <c r="Q633" s="38" t="str">
        <f>"MED"</f>
        <v>MED</v>
      </c>
      <c r="R633" s="39"/>
      <c r="S633" s="37">
        <v>5</v>
      </c>
    </row>
    <row r="634" spans="1:19" hidden="1" outlineLevel="3">
      <c r="A634" s="25" t="s">
        <v>91</v>
      </c>
      <c r="C634" s="4" t="str">
        <f t="shared" si="895"/>
        <v>Diane</v>
      </c>
      <c r="D634" s="4" t="str">
        <f t="shared" si="896"/>
        <v>Tibbott</v>
      </c>
      <c r="E634" s="27" t="str">
        <f t="shared" si="897"/>
        <v>SUPP</v>
      </c>
      <c r="F634" s="27" t="str">
        <f t="shared" si="898"/>
        <v>TIBB0001</v>
      </c>
      <c r="G634" s="15">
        <f t="shared" si="899"/>
        <v>41671</v>
      </c>
      <c r="H634" s="27" t="str">
        <f t="shared" si="900"/>
        <v>10103</v>
      </c>
      <c r="I634" s="27" t="str">
        <f>"""GP Direct"",""Fabrikam, Inc."",""Jet Payroll Transactions"",""Pay Rate"",""23760.00000"",""Payroll Code"",""SALY"",""State"",""IL"",""Transaction Amount"",""990.00000"""</f>
        <v>"GP Direct","Fabrikam, Inc.","Jet Payroll Transactions","Pay Rate","23760.00000","Payroll Code","SALY","State","IL","Transaction Amount","990.00000"</v>
      </c>
      <c r="O634" s="28"/>
      <c r="P634" s="37">
        <v>23760</v>
      </c>
      <c r="Q634" s="38" t="str">
        <f>"SALY"</f>
        <v>SALY</v>
      </c>
      <c r="R634" s="39" t="str">
        <f>"IL"</f>
        <v>IL</v>
      </c>
      <c r="S634" s="37">
        <v>990</v>
      </c>
    </row>
    <row r="635" spans="1:19" hidden="1" outlineLevel="3">
      <c r="A635" s="24" t="s">
        <v>2812</v>
      </c>
      <c r="C635" s="4" t="str">
        <f>C628</f>
        <v>Diane</v>
      </c>
      <c r="D635" s="4" t="str">
        <f>D628</f>
        <v>Tibbott</v>
      </c>
      <c r="E635" s="27" t="str">
        <f>E628</f>
        <v>SUPP</v>
      </c>
      <c r="F635" s="27" t="str">
        <f>F628</f>
        <v>TIBB0001</v>
      </c>
      <c r="G635" s="15">
        <f>G628</f>
        <v>41671</v>
      </c>
      <c r="H635" s="27" t="str">
        <f>H628</f>
        <v>10103</v>
      </c>
      <c r="O635" s="28"/>
      <c r="S635" s="16"/>
    </row>
    <row r="636" spans="1:19" ht="12.75" hidden="1" outlineLevel="2" collapsed="1">
      <c r="A636" s="25" t="s">
        <v>91</v>
      </c>
      <c r="C636" s="4" t="str">
        <f t="shared" si="888"/>
        <v>Diane</v>
      </c>
      <c r="D636" s="4" t="str">
        <f t="shared" si="889"/>
        <v>Tibbott</v>
      </c>
      <c r="E636" s="27" t="str">
        <f t="shared" si="856"/>
        <v>SUPP</v>
      </c>
      <c r="F636" s="27" t="str">
        <f t="shared" si="890"/>
        <v>TIBB0001</v>
      </c>
      <c r="G636" s="15">
        <f t="shared" si="893"/>
        <v>41671</v>
      </c>
      <c r="H636" s="27" t="str">
        <f t="shared" si="894"/>
        <v>10103</v>
      </c>
      <c r="N636" s="44" t="str">
        <f>"Total for " &amp; $H636</f>
        <v>Total for 10103</v>
      </c>
      <c r="O636" s="45">
        <f>G636</f>
        <v>41671</v>
      </c>
      <c r="P636" s="44"/>
      <c r="Q636" s="44"/>
      <c r="R636" s="44"/>
      <c r="S636" s="44">
        <f>SUBTOTAL(9,S628:S635)</f>
        <v>1173.72</v>
      </c>
    </row>
    <row r="637" spans="1:19" ht="12.75" hidden="1" outlineLevel="3">
      <c r="A637" s="25" t="s">
        <v>91</v>
      </c>
      <c r="C637" s="4" t="str">
        <f t="shared" ref="C637:C646" si="901">C636</f>
        <v>Diane</v>
      </c>
      <c r="D637" s="4" t="str">
        <f t="shared" ref="D637:D646" si="902">D636</f>
        <v>Tibbott</v>
      </c>
      <c r="E637" s="27" t="str">
        <f t="shared" ref="E637:E646" si="903">E636</f>
        <v>SUPP</v>
      </c>
      <c r="F637" s="27" t="str">
        <f t="shared" ref="F637:F646" si="904">F636</f>
        <v>TIBB0001</v>
      </c>
      <c r="G637" s="15">
        <f t="shared" ref="G637" si="905">O637</f>
        <v>41699</v>
      </c>
      <c r="H637" s="27" t="str">
        <f t="shared" ref="H637" si="906">N637</f>
        <v>10128</v>
      </c>
      <c r="J637" s="33"/>
      <c r="K637" s="33"/>
      <c r="L637" s="33"/>
      <c r="M637" s="33"/>
      <c r="N637" s="32" t="str">
        <f>"10128"</f>
        <v>10128</v>
      </c>
      <c r="O637" s="36">
        <v>41699</v>
      </c>
      <c r="P637" s="33"/>
      <c r="Q637" s="33"/>
      <c r="R637" s="33"/>
      <c r="S637" s="33"/>
    </row>
    <row r="638" spans="1:19" hidden="1" outlineLevel="3">
      <c r="A638" s="25" t="s">
        <v>91</v>
      </c>
      <c r="C638" s="4" t="str">
        <f t="shared" si="901"/>
        <v>Diane</v>
      </c>
      <c r="D638" s="4" t="str">
        <f t="shared" si="902"/>
        <v>Tibbott</v>
      </c>
      <c r="E638" s="27" t="str">
        <f t="shared" si="903"/>
        <v>SUPP</v>
      </c>
      <c r="F638" s="27" t="str">
        <f t="shared" si="904"/>
        <v>TIBB0001</v>
      </c>
      <c r="G638" s="15">
        <f t="shared" ref="G638:G646" si="907">G637</f>
        <v>41699</v>
      </c>
      <c r="H638" s="27" t="str">
        <f t="shared" ref="H638:H646" si="908">H637</f>
        <v>10128</v>
      </c>
      <c r="I638" s="27" t="str">
        <f>"""GP Direct"",""Fabrikam, Inc."",""Jet Payroll Transactions"",""Pay Rate"",""0.00000"",""Payroll Code"",""401K"",""State"","""",""Transaction Amount"",""1.49000"""</f>
        <v>"GP Direct","Fabrikam, Inc.","Jet Payroll Transactions","Pay Rate","0.00000","Payroll Code","401K","State","","Transaction Amount","1.49000"</v>
      </c>
      <c r="O638" s="28"/>
      <c r="P638" s="37">
        <v>0</v>
      </c>
      <c r="Q638" s="38" t="str">
        <f>"401K"</f>
        <v>401K</v>
      </c>
      <c r="R638" s="39"/>
      <c r="S638" s="37">
        <v>1.49</v>
      </c>
    </row>
    <row r="639" spans="1:19" hidden="1" outlineLevel="3">
      <c r="A639" s="25" t="s">
        <v>91</v>
      </c>
      <c r="C639" s="4" t="str">
        <f t="shared" ref="C639:C644" si="909">C638</f>
        <v>Diane</v>
      </c>
      <c r="D639" s="4" t="str">
        <f t="shared" ref="D639:D644" si="910">D638</f>
        <v>Tibbott</v>
      </c>
      <c r="E639" s="27" t="str">
        <f t="shared" ref="E639:E644" si="911">E638</f>
        <v>SUPP</v>
      </c>
      <c r="F639" s="27" t="str">
        <f t="shared" ref="F639:F644" si="912">F638</f>
        <v>TIBB0001</v>
      </c>
      <c r="G639" s="15">
        <f t="shared" ref="G639:G644" si="913">G638</f>
        <v>41699</v>
      </c>
      <c r="H639" s="27" t="str">
        <f t="shared" ref="H639:H644" si="914">H638</f>
        <v>10128</v>
      </c>
      <c r="I639" s="27" t="str">
        <f>"""GP Direct"",""Fabrikam, Inc."",""Jet Payroll Transactions"",""Pay Rate"",""0.00000"",""Payroll Code"",""401K"",""State"","""",""Transaction Amount"",""29.70000"""</f>
        <v>"GP Direct","Fabrikam, Inc.","Jet Payroll Transactions","Pay Rate","0.00000","Payroll Code","401K","State","","Transaction Amount","29.70000"</v>
      </c>
      <c r="O639" s="28"/>
      <c r="P639" s="37">
        <v>0</v>
      </c>
      <c r="Q639" s="38" t="str">
        <f>"401K"</f>
        <v>401K</v>
      </c>
      <c r="R639" s="39"/>
      <c r="S639" s="37">
        <v>29.7</v>
      </c>
    </row>
    <row r="640" spans="1:19" hidden="1" outlineLevel="3">
      <c r="A640" s="25" t="s">
        <v>91</v>
      </c>
      <c r="C640" s="4" t="str">
        <f t="shared" si="909"/>
        <v>Diane</v>
      </c>
      <c r="D640" s="4" t="str">
        <f t="shared" si="910"/>
        <v>Tibbott</v>
      </c>
      <c r="E640" s="27" t="str">
        <f t="shared" si="911"/>
        <v>SUPP</v>
      </c>
      <c r="F640" s="27" t="str">
        <f t="shared" si="912"/>
        <v>TIBB0001</v>
      </c>
      <c r="G640" s="15">
        <f t="shared" si="913"/>
        <v>41699</v>
      </c>
      <c r="H640" s="27" t="str">
        <f t="shared" si="914"/>
        <v>10128</v>
      </c>
      <c r="I640" s="27" t="str">
        <f>"""GP Direct"",""Fabrikam, Inc."",""Jet Payroll Transactions"",""Pay Rate"",""0.00000"",""Payroll Code"",""IL"",""State"","""",""Transaction Amount"",""25.22000"""</f>
        <v>"GP Direct","Fabrikam, Inc.","Jet Payroll Transactions","Pay Rate","0.00000","Payroll Code","IL","State","","Transaction Amount","25.22000"</v>
      </c>
      <c r="O640" s="28"/>
      <c r="P640" s="37">
        <v>0</v>
      </c>
      <c r="Q640" s="38" t="str">
        <f>"IL"</f>
        <v>IL</v>
      </c>
      <c r="R640" s="39"/>
      <c r="S640" s="37">
        <v>25.22</v>
      </c>
    </row>
    <row r="641" spans="1:19" hidden="1" outlineLevel="3">
      <c r="A641" s="25" t="s">
        <v>91</v>
      </c>
      <c r="C641" s="4" t="str">
        <f t="shared" si="909"/>
        <v>Diane</v>
      </c>
      <c r="D641" s="4" t="str">
        <f t="shared" si="910"/>
        <v>Tibbott</v>
      </c>
      <c r="E641" s="27" t="str">
        <f t="shared" si="911"/>
        <v>SUPP</v>
      </c>
      <c r="F641" s="27" t="str">
        <f t="shared" si="912"/>
        <v>TIBB0001</v>
      </c>
      <c r="G641" s="15">
        <f t="shared" si="913"/>
        <v>41699</v>
      </c>
      <c r="H641" s="27" t="str">
        <f t="shared" si="914"/>
        <v>10128</v>
      </c>
      <c r="I641" s="27" t="str">
        <f>"""GP Direct"",""Fabrikam, Inc."",""Jet Payroll Transactions"",""Pay Rate"",""0.00000"",""Payroll Code"",""INS"",""State"","""",""Transaction Amount"",""49.36000"""</f>
        <v>"GP Direct","Fabrikam, Inc.","Jet Payroll Transactions","Pay Rate","0.00000","Payroll Code","INS","State","","Transaction Amount","49.36000"</v>
      </c>
      <c r="O641" s="28"/>
      <c r="P641" s="37">
        <v>0</v>
      </c>
      <c r="Q641" s="38" t="str">
        <f>"INS"</f>
        <v>INS</v>
      </c>
      <c r="R641" s="39"/>
      <c r="S641" s="37">
        <v>49.36</v>
      </c>
    </row>
    <row r="642" spans="1:19" hidden="1" outlineLevel="3">
      <c r="A642" s="25" t="s">
        <v>91</v>
      </c>
      <c r="C642" s="4" t="str">
        <f t="shared" si="909"/>
        <v>Diane</v>
      </c>
      <c r="D642" s="4" t="str">
        <f t="shared" si="910"/>
        <v>Tibbott</v>
      </c>
      <c r="E642" s="27" t="str">
        <f t="shared" si="911"/>
        <v>SUPP</v>
      </c>
      <c r="F642" s="27" t="str">
        <f t="shared" si="912"/>
        <v>TIBB0001</v>
      </c>
      <c r="G642" s="15">
        <f t="shared" si="913"/>
        <v>41699</v>
      </c>
      <c r="H642" s="27" t="str">
        <f t="shared" si="914"/>
        <v>10128</v>
      </c>
      <c r="I642" s="27" t="str">
        <f>"""GP Direct"",""Fabrikam, Inc."",""Jet Payroll Transactions"",""Pay Rate"",""0.00000"",""Payroll Code"",""INS2"",""State"","""",""Transaction Amount"",""72.95000"""</f>
        <v>"GP Direct","Fabrikam, Inc.","Jet Payroll Transactions","Pay Rate","0.00000","Payroll Code","INS2","State","","Transaction Amount","72.95000"</v>
      </c>
      <c r="O642" s="28"/>
      <c r="P642" s="37">
        <v>0</v>
      </c>
      <c r="Q642" s="38" t="str">
        <f>"INS2"</f>
        <v>INS2</v>
      </c>
      <c r="R642" s="39"/>
      <c r="S642" s="37">
        <v>72.95</v>
      </c>
    </row>
    <row r="643" spans="1:19" hidden="1" outlineLevel="3">
      <c r="A643" s="25" t="s">
        <v>91</v>
      </c>
      <c r="C643" s="4" t="str">
        <f t="shared" si="909"/>
        <v>Diane</v>
      </c>
      <c r="D643" s="4" t="str">
        <f t="shared" si="910"/>
        <v>Tibbott</v>
      </c>
      <c r="E643" s="27" t="str">
        <f t="shared" si="911"/>
        <v>SUPP</v>
      </c>
      <c r="F643" s="27" t="str">
        <f t="shared" si="912"/>
        <v>TIBB0001</v>
      </c>
      <c r="G643" s="15">
        <f t="shared" si="913"/>
        <v>41699</v>
      </c>
      <c r="H643" s="27" t="str">
        <f t="shared" si="914"/>
        <v>10128</v>
      </c>
      <c r="I643" s="27" t="str">
        <f>"""GP Direct"",""Fabrikam, Inc."",""Jet Payroll Transactions"",""Pay Rate"",""0.00000"",""Payroll Code"",""MED"",""State"","""",""Transaction Amount"",""5.00000"""</f>
        <v>"GP Direct","Fabrikam, Inc.","Jet Payroll Transactions","Pay Rate","0.00000","Payroll Code","MED","State","","Transaction Amount","5.00000"</v>
      </c>
      <c r="O643" s="28"/>
      <c r="P643" s="37">
        <v>0</v>
      </c>
      <c r="Q643" s="38" t="str">
        <f>"MED"</f>
        <v>MED</v>
      </c>
      <c r="R643" s="39"/>
      <c r="S643" s="37">
        <v>5</v>
      </c>
    </row>
    <row r="644" spans="1:19" hidden="1" outlineLevel="3">
      <c r="A644" s="25" t="s">
        <v>91</v>
      </c>
      <c r="C644" s="4" t="str">
        <f t="shared" si="909"/>
        <v>Diane</v>
      </c>
      <c r="D644" s="4" t="str">
        <f t="shared" si="910"/>
        <v>Tibbott</v>
      </c>
      <c r="E644" s="27" t="str">
        <f t="shared" si="911"/>
        <v>SUPP</v>
      </c>
      <c r="F644" s="27" t="str">
        <f t="shared" si="912"/>
        <v>TIBB0001</v>
      </c>
      <c r="G644" s="15">
        <f t="shared" si="913"/>
        <v>41699</v>
      </c>
      <c r="H644" s="27" t="str">
        <f t="shared" si="914"/>
        <v>10128</v>
      </c>
      <c r="I644" s="27" t="str">
        <f>"""GP Direct"",""Fabrikam, Inc."",""Jet Payroll Transactions"",""Pay Rate"",""23760.00000"",""Payroll Code"",""SALY"",""State"",""IL"",""Transaction Amount"",""990.00000"""</f>
        <v>"GP Direct","Fabrikam, Inc.","Jet Payroll Transactions","Pay Rate","23760.00000","Payroll Code","SALY","State","IL","Transaction Amount","990.00000"</v>
      </c>
      <c r="O644" s="28"/>
      <c r="P644" s="37">
        <v>23760</v>
      </c>
      <c r="Q644" s="38" t="str">
        <f>"SALY"</f>
        <v>SALY</v>
      </c>
      <c r="R644" s="39" t="str">
        <f>"IL"</f>
        <v>IL</v>
      </c>
      <c r="S644" s="37">
        <v>990</v>
      </c>
    </row>
    <row r="645" spans="1:19" hidden="1" outlineLevel="3">
      <c r="A645" s="24" t="s">
        <v>2812</v>
      </c>
      <c r="C645" s="4" t="str">
        <f>C638</f>
        <v>Diane</v>
      </c>
      <c r="D645" s="4" t="str">
        <f>D638</f>
        <v>Tibbott</v>
      </c>
      <c r="E645" s="27" t="str">
        <f>E638</f>
        <v>SUPP</v>
      </c>
      <c r="F645" s="27" t="str">
        <f>F638</f>
        <v>TIBB0001</v>
      </c>
      <c r="G645" s="15">
        <f>G638</f>
        <v>41699</v>
      </c>
      <c r="H645" s="27" t="str">
        <f>H638</f>
        <v>10128</v>
      </c>
      <c r="O645" s="28"/>
      <c r="S645" s="16"/>
    </row>
    <row r="646" spans="1:19" ht="12.75" hidden="1" outlineLevel="2" collapsed="1">
      <c r="A646" s="25" t="s">
        <v>91</v>
      </c>
      <c r="C646" s="4" t="str">
        <f t="shared" si="901"/>
        <v>Diane</v>
      </c>
      <c r="D646" s="4" t="str">
        <f t="shared" si="902"/>
        <v>Tibbott</v>
      </c>
      <c r="E646" s="27" t="str">
        <f t="shared" si="903"/>
        <v>SUPP</v>
      </c>
      <c r="F646" s="27" t="str">
        <f t="shared" si="904"/>
        <v>TIBB0001</v>
      </c>
      <c r="G646" s="15">
        <f t="shared" si="907"/>
        <v>41699</v>
      </c>
      <c r="H646" s="27" t="str">
        <f t="shared" si="908"/>
        <v>10128</v>
      </c>
      <c r="N646" s="44" t="str">
        <f>"Total for " &amp; $H646</f>
        <v>Total for 10128</v>
      </c>
      <c r="O646" s="45">
        <f>G646</f>
        <v>41699</v>
      </c>
      <c r="P646" s="44"/>
      <c r="Q646" s="44"/>
      <c r="R646" s="44"/>
      <c r="S646" s="44">
        <f>SUBTOTAL(9,S638:S645)</f>
        <v>1173.72</v>
      </c>
    </row>
    <row r="647" spans="1:19" ht="12.75" hidden="1" outlineLevel="2">
      <c r="A647" s="24" t="s">
        <v>2812</v>
      </c>
      <c r="C647" s="4" t="str">
        <f>C636</f>
        <v>Diane</v>
      </c>
      <c r="D647" s="4" t="str">
        <f>D636</f>
        <v>Tibbott</v>
      </c>
      <c r="E647" s="27" t="str">
        <f>E636</f>
        <v>SUPP</v>
      </c>
      <c r="F647" s="27" t="str">
        <f>F636</f>
        <v>TIBB0001</v>
      </c>
      <c r="G647" s="14"/>
      <c r="J647" s="33"/>
      <c r="K647" s="33"/>
      <c r="L647" s="33"/>
      <c r="M647" s="33"/>
      <c r="N647" s="33"/>
      <c r="O647" s="33"/>
      <c r="P647" s="33"/>
      <c r="Q647" s="33"/>
      <c r="R647" s="33"/>
      <c r="S647" s="40"/>
    </row>
    <row r="648" spans="1:19" ht="12.75" hidden="1" outlineLevel="1" collapsed="1">
      <c r="A648" s="25" t="s">
        <v>91</v>
      </c>
      <c r="C648" s="4" t="str">
        <f t="shared" si="888"/>
        <v>Diane</v>
      </c>
      <c r="D648" s="4" t="str">
        <f t="shared" si="889"/>
        <v>Tibbott</v>
      </c>
      <c r="E648" s="27" t="str">
        <f t="shared" si="856"/>
        <v>SUPP</v>
      </c>
      <c r="F648" s="27" t="str">
        <f t="shared" si="890"/>
        <v>TIBB0001</v>
      </c>
      <c r="G648" s="14"/>
      <c r="J648" s="33"/>
      <c r="K648" s="46" t="str">
        <f>"Total for " &amp; $F648</f>
        <v>Total for TIBB0001</v>
      </c>
      <c r="L648" s="46" t="str">
        <f>C648</f>
        <v>Diane</v>
      </c>
      <c r="M648" s="46" t="str">
        <f>D648</f>
        <v>Tibbott</v>
      </c>
      <c r="N648" s="46"/>
      <c r="O648" s="46"/>
      <c r="P648" s="46"/>
      <c r="Q648" s="46"/>
      <c r="R648" s="46"/>
      <c r="S648" s="47">
        <f>SUBTOTAL(9,S628:S647)</f>
        <v>2347.44</v>
      </c>
    </row>
    <row r="649" spans="1:19" ht="12.75" hidden="1" outlineLevel="2">
      <c r="A649" s="25" t="s">
        <v>91</v>
      </c>
      <c r="C649" s="4" t="str">
        <f t="shared" ref="C649" si="915">L649</f>
        <v>Rob</v>
      </c>
      <c r="D649" s="4" t="str">
        <f t="shared" ref="D649" si="916">M649</f>
        <v>Young</v>
      </c>
      <c r="E649" s="27" t="str">
        <f t="shared" si="856"/>
        <v>SUPP</v>
      </c>
      <c r="F649" s="27" t="str">
        <f t="shared" ref="F649" si="917">K649</f>
        <v>YOUN0001</v>
      </c>
      <c r="G649" s="14"/>
      <c r="J649" s="31"/>
      <c r="K649" s="21" t="str">
        <f>"YOUN0001"</f>
        <v>YOUN0001</v>
      </c>
      <c r="L649" s="43" t="str">
        <f>"Rob"</f>
        <v>Rob</v>
      </c>
      <c r="M649" s="43" t="str">
        <f>"Young"</f>
        <v>Young</v>
      </c>
      <c r="N649" s="43"/>
      <c r="O649" s="34"/>
      <c r="P649" s="33"/>
      <c r="Q649" s="33"/>
      <c r="R649" s="33"/>
      <c r="S649" s="35"/>
    </row>
    <row r="650" spans="1:19" ht="12.75" hidden="1" outlineLevel="3">
      <c r="A650" s="25" t="s">
        <v>91</v>
      </c>
      <c r="C650" s="4" t="str">
        <f t="shared" ref="C650:C671" si="918">C649</f>
        <v>Rob</v>
      </c>
      <c r="D650" s="4" t="str">
        <f t="shared" ref="D650:D671" si="919">D649</f>
        <v>Young</v>
      </c>
      <c r="E650" s="27" t="str">
        <f t="shared" si="856"/>
        <v>SUPP</v>
      </c>
      <c r="F650" s="27" t="str">
        <f t="shared" ref="F650:F671" si="920">F649</f>
        <v>YOUN0001</v>
      </c>
      <c r="G650" s="15">
        <f t="shared" ref="G650" si="921">O650</f>
        <v>41671</v>
      </c>
      <c r="H650" s="27" t="str">
        <f t="shared" ref="H650" si="922">N650</f>
        <v>10105</v>
      </c>
      <c r="J650" s="33"/>
      <c r="K650" s="33"/>
      <c r="L650" s="33"/>
      <c r="M650" s="33"/>
      <c r="N650" s="32" t="str">
        <f>"10105"</f>
        <v>10105</v>
      </c>
      <c r="O650" s="36">
        <v>41671</v>
      </c>
      <c r="P650" s="33"/>
      <c r="Q650" s="33"/>
      <c r="R650" s="33"/>
      <c r="S650" s="33"/>
    </row>
    <row r="651" spans="1:19" hidden="1" outlineLevel="3">
      <c r="A651" s="25" t="s">
        <v>91</v>
      </c>
      <c r="C651" s="4" t="str">
        <f t="shared" si="918"/>
        <v>Rob</v>
      </c>
      <c r="D651" s="4" t="str">
        <f t="shared" si="919"/>
        <v>Young</v>
      </c>
      <c r="E651" s="27" t="str">
        <f t="shared" si="856"/>
        <v>SUPP</v>
      </c>
      <c r="F651" s="27" t="str">
        <f t="shared" si="920"/>
        <v>YOUN0001</v>
      </c>
      <c r="G651" s="15">
        <f t="shared" ref="G651:G659" si="923">G650</f>
        <v>41671</v>
      </c>
      <c r="H651" s="27" t="str">
        <f t="shared" ref="H651:H659" si="924">H650</f>
        <v>10105</v>
      </c>
      <c r="I651" s="27" t="str">
        <f>"""GP Direct"",""Fabrikam, Inc."",""Jet Payroll Transactions"",""Pay Rate"",""0.00000"",""Payroll Code"",""401K"",""State"","""",""Transaction Amount"",""1.33000"""</f>
        <v>"GP Direct","Fabrikam, Inc.","Jet Payroll Transactions","Pay Rate","0.00000","Payroll Code","401K","State","","Transaction Amount","1.33000"</v>
      </c>
      <c r="O651" s="28"/>
      <c r="P651" s="37">
        <v>0</v>
      </c>
      <c r="Q651" s="38" t="str">
        <f>"401K"</f>
        <v>401K</v>
      </c>
      <c r="R651" s="39"/>
      <c r="S651" s="37">
        <v>1.33</v>
      </c>
    </row>
    <row r="652" spans="1:19" hidden="1" outlineLevel="3">
      <c r="A652" s="25" t="s">
        <v>91</v>
      </c>
      <c r="C652" s="4" t="str">
        <f t="shared" ref="C652:C657" si="925">C651</f>
        <v>Rob</v>
      </c>
      <c r="D652" s="4" t="str">
        <f t="shared" ref="D652:D657" si="926">D651</f>
        <v>Young</v>
      </c>
      <c r="E652" s="27" t="str">
        <f t="shared" ref="E652:E657" si="927">E651</f>
        <v>SUPP</v>
      </c>
      <c r="F652" s="27" t="str">
        <f t="shared" ref="F652:F657" si="928">F651</f>
        <v>YOUN0001</v>
      </c>
      <c r="G652" s="15">
        <f t="shared" ref="G652:G657" si="929">G651</f>
        <v>41671</v>
      </c>
      <c r="H652" s="27" t="str">
        <f t="shared" ref="H652:H657" si="930">H651</f>
        <v>10105</v>
      </c>
      <c r="I652" s="27" t="str">
        <f>"""GP Direct"",""Fabrikam, Inc."",""Jet Payroll Transactions"",""Pay Rate"",""0.00000"",""Payroll Code"",""401K"",""State"","""",""Transaction Amount"",""26.63000"""</f>
        <v>"GP Direct","Fabrikam, Inc.","Jet Payroll Transactions","Pay Rate","0.00000","Payroll Code","401K","State","","Transaction Amount","26.63000"</v>
      </c>
      <c r="O652" s="28"/>
      <c r="P652" s="37">
        <v>0</v>
      </c>
      <c r="Q652" s="38" t="str">
        <f>"401K"</f>
        <v>401K</v>
      </c>
      <c r="R652" s="39"/>
      <c r="S652" s="37">
        <v>26.63</v>
      </c>
    </row>
    <row r="653" spans="1:19" hidden="1" outlineLevel="3">
      <c r="A653" s="25" t="s">
        <v>91</v>
      </c>
      <c r="C653" s="4" t="str">
        <f t="shared" si="925"/>
        <v>Rob</v>
      </c>
      <c r="D653" s="4" t="str">
        <f t="shared" si="926"/>
        <v>Young</v>
      </c>
      <c r="E653" s="27" t="str">
        <f t="shared" si="927"/>
        <v>SUPP</v>
      </c>
      <c r="F653" s="27" t="str">
        <f t="shared" si="928"/>
        <v>YOUN0001</v>
      </c>
      <c r="G653" s="15">
        <f t="shared" si="929"/>
        <v>41671</v>
      </c>
      <c r="H653" s="27" t="str">
        <f t="shared" si="930"/>
        <v>10105</v>
      </c>
      <c r="I653" s="27" t="str">
        <f>"""GP Direct"",""Fabrikam, Inc."",""Jet Payroll Transactions"",""Pay Rate"",""0.00000"",""Payroll Code"",""IL"",""State"","""",""Transaction Amount"",""15.54000"""</f>
        <v>"GP Direct","Fabrikam, Inc.","Jet Payroll Transactions","Pay Rate","0.00000","Payroll Code","IL","State","","Transaction Amount","15.54000"</v>
      </c>
      <c r="O653" s="28"/>
      <c r="P653" s="37">
        <v>0</v>
      </c>
      <c r="Q653" s="38" t="str">
        <f>"IL"</f>
        <v>IL</v>
      </c>
      <c r="R653" s="39"/>
      <c r="S653" s="37">
        <v>15.54</v>
      </c>
    </row>
    <row r="654" spans="1:19" hidden="1" outlineLevel="3">
      <c r="A654" s="25" t="s">
        <v>91</v>
      </c>
      <c r="C654" s="4" t="str">
        <f t="shared" si="925"/>
        <v>Rob</v>
      </c>
      <c r="D654" s="4" t="str">
        <f t="shared" si="926"/>
        <v>Young</v>
      </c>
      <c r="E654" s="27" t="str">
        <f t="shared" si="927"/>
        <v>SUPP</v>
      </c>
      <c r="F654" s="27" t="str">
        <f t="shared" si="928"/>
        <v>YOUN0001</v>
      </c>
      <c r="G654" s="15">
        <f t="shared" si="929"/>
        <v>41671</v>
      </c>
      <c r="H654" s="27" t="str">
        <f t="shared" si="930"/>
        <v>10105</v>
      </c>
      <c r="I654" s="27" t="str">
        <f>"""GP Direct"",""Fabrikam, Inc."",""Jet Payroll Transactions"",""Pay Rate"",""0.00000"",""Payroll Code"",""INS"",""State"","""",""Transaction Amount"",""49.36000"""</f>
        <v>"GP Direct","Fabrikam, Inc.","Jet Payroll Transactions","Pay Rate","0.00000","Payroll Code","INS","State","","Transaction Amount","49.36000"</v>
      </c>
      <c r="O654" s="28"/>
      <c r="P654" s="37">
        <v>0</v>
      </c>
      <c r="Q654" s="38" t="str">
        <f>"INS"</f>
        <v>INS</v>
      </c>
      <c r="R654" s="39"/>
      <c r="S654" s="37">
        <v>49.36</v>
      </c>
    </row>
    <row r="655" spans="1:19" hidden="1" outlineLevel="3">
      <c r="A655" s="25" t="s">
        <v>91</v>
      </c>
      <c r="C655" s="4" t="str">
        <f t="shared" si="925"/>
        <v>Rob</v>
      </c>
      <c r="D655" s="4" t="str">
        <f t="shared" si="926"/>
        <v>Young</v>
      </c>
      <c r="E655" s="27" t="str">
        <f t="shared" si="927"/>
        <v>SUPP</v>
      </c>
      <c r="F655" s="27" t="str">
        <f t="shared" si="928"/>
        <v>YOUN0001</v>
      </c>
      <c r="G655" s="15">
        <f t="shared" si="929"/>
        <v>41671</v>
      </c>
      <c r="H655" s="27" t="str">
        <f t="shared" si="930"/>
        <v>10105</v>
      </c>
      <c r="I655" s="27" t="str">
        <f>"""GP Direct"",""Fabrikam, Inc."",""Jet Payroll Transactions"",""Pay Rate"",""0.00000"",""Payroll Code"",""INS2"",""State"","""",""Transaction Amount"",""72.95000"""</f>
        <v>"GP Direct","Fabrikam, Inc.","Jet Payroll Transactions","Pay Rate","0.00000","Payroll Code","INS2","State","","Transaction Amount","72.95000"</v>
      </c>
      <c r="O655" s="28"/>
      <c r="P655" s="37">
        <v>0</v>
      </c>
      <c r="Q655" s="38" t="str">
        <f>"INS2"</f>
        <v>INS2</v>
      </c>
      <c r="R655" s="39"/>
      <c r="S655" s="37">
        <v>72.95</v>
      </c>
    </row>
    <row r="656" spans="1:19" hidden="1" outlineLevel="3">
      <c r="A656" s="25" t="s">
        <v>91</v>
      </c>
      <c r="C656" s="4" t="str">
        <f t="shared" si="925"/>
        <v>Rob</v>
      </c>
      <c r="D656" s="4" t="str">
        <f t="shared" si="926"/>
        <v>Young</v>
      </c>
      <c r="E656" s="27" t="str">
        <f t="shared" si="927"/>
        <v>SUPP</v>
      </c>
      <c r="F656" s="27" t="str">
        <f t="shared" si="928"/>
        <v>YOUN0001</v>
      </c>
      <c r="G656" s="15">
        <f t="shared" si="929"/>
        <v>41671</v>
      </c>
      <c r="H656" s="27" t="str">
        <f t="shared" si="930"/>
        <v>10105</v>
      </c>
      <c r="I656" s="27" t="str">
        <f>"""GP Direct"",""Fabrikam, Inc."",""Jet Payroll Transactions"",""Pay Rate"",""0.00000"",""Payroll Code"",""MED"",""State"","""",""Transaction Amount"",""20.00000"""</f>
        <v>"GP Direct","Fabrikam, Inc.","Jet Payroll Transactions","Pay Rate","0.00000","Payroll Code","MED","State","","Transaction Amount","20.00000"</v>
      </c>
      <c r="O656" s="28"/>
      <c r="P656" s="37">
        <v>0</v>
      </c>
      <c r="Q656" s="38" t="str">
        <f>"MED"</f>
        <v>MED</v>
      </c>
      <c r="R656" s="39"/>
      <c r="S656" s="37">
        <v>20</v>
      </c>
    </row>
    <row r="657" spans="1:19" hidden="1" outlineLevel="3">
      <c r="A657" s="25" t="s">
        <v>91</v>
      </c>
      <c r="C657" s="4" t="str">
        <f t="shared" si="925"/>
        <v>Rob</v>
      </c>
      <c r="D657" s="4" t="str">
        <f t="shared" si="926"/>
        <v>Young</v>
      </c>
      <c r="E657" s="27" t="str">
        <f t="shared" si="927"/>
        <v>SUPP</v>
      </c>
      <c r="F657" s="27" t="str">
        <f t="shared" si="928"/>
        <v>YOUN0001</v>
      </c>
      <c r="G657" s="15">
        <f t="shared" si="929"/>
        <v>41671</v>
      </c>
      <c r="H657" s="27" t="str">
        <f t="shared" si="930"/>
        <v>10105</v>
      </c>
      <c r="I657" s="27" t="str">
        <f>"""GP Direct"",""Fabrikam, Inc."",""Jet Payroll Transactions"",""Pay Rate"",""21300.00000"",""Payroll Code"",""SALY"",""State"",""IL"",""Transaction Amount"",""887.50000"""</f>
        <v>"GP Direct","Fabrikam, Inc.","Jet Payroll Transactions","Pay Rate","21300.00000","Payroll Code","SALY","State","IL","Transaction Amount","887.50000"</v>
      </c>
      <c r="O657" s="28"/>
      <c r="P657" s="37">
        <v>21300</v>
      </c>
      <c r="Q657" s="38" t="str">
        <f>"SALY"</f>
        <v>SALY</v>
      </c>
      <c r="R657" s="39" t="str">
        <f>"IL"</f>
        <v>IL</v>
      </c>
      <c r="S657" s="37">
        <v>887.5</v>
      </c>
    </row>
    <row r="658" spans="1:19" hidden="1" outlineLevel="3">
      <c r="A658" s="24" t="s">
        <v>2812</v>
      </c>
      <c r="C658" s="4" t="str">
        <f>C651</f>
        <v>Rob</v>
      </c>
      <c r="D658" s="4" t="str">
        <f>D651</f>
        <v>Young</v>
      </c>
      <c r="E658" s="27" t="str">
        <f>E651</f>
        <v>SUPP</v>
      </c>
      <c r="F658" s="27" t="str">
        <f>F651</f>
        <v>YOUN0001</v>
      </c>
      <c r="G658" s="15">
        <f>G651</f>
        <v>41671</v>
      </c>
      <c r="H658" s="27" t="str">
        <f>H651</f>
        <v>10105</v>
      </c>
      <c r="O658" s="28"/>
      <c r="S658" s="16"/>
    </row>
    <row r="659" spans="1:19" ht="12.75" hidden="1" outlineLevel="2" collapsed="1">
      <c r="A659" s="25" t="s">
        <v>91</v>
      </c>
      <c r="C659" s="4" t="str">
        <f t="shared" si="918"/>
        <v>Rob</v>
      </c>
      <c r="D659" s="4" t="str">
        <f t="shared" si="919"/>
        <v>Young</v>
      </c>
      <c r="E659" s="27" t="str">
        <f t="shared" si="856"/>
        <v>SUPP</v>
      </c>
      <c r="F659" s="27" t="str">
        <f t="shared" si="920"/>
        <v>YOUN0001</v>
      </c>
      <c r="G659" s="15">
        <f t="shared" si="923"/>
        <v>41671</v>
      </c>
      <c r="H659" s="27" t="str">
        <f t="shared" si="924"/>
        <v>10105</v>
      </c>
      <c r="N659" s="44" t="str">
        <f>"Total for " &amp; $H659</f>
        <v>Total for 10105</v>
      </c>
      <c r="O659" s="45">
        <f>G659</f>
        <v>41671</v>
      </c>
      <c r="P659" s="44"/>
      <c r="Q659" s="44"/>
      <c r="R659" s="44"/>
      <c r="S659" s="44">
        <f>SUBTOTAL(9,S651:S658)</f>
        <v>1073.31</v>
      </c>
    </row>
    <row r="660" spans="1:19" ht="12.75" hidden="1" outlineLevel="3">
      <c r="A660" s="25" t="s">
        <v>91</v>
      </c>
      <c r="C660" s="4" t="str">
        <f t="shared" ref="C660:C669" si="931">C659</f>
        <v>Rob</v>
      </c>
      <c r="D660" s="4" t="str">
        <f t="shared" ref="D660:D669" si="932">D659</f>
        <v>Young</v>
      </c>
      <c r="E660" s="27" t="str">
        <f t="shared" ref="E660:E669" si="933">E659</f>
        <v>SUPP</v>
      </c>
      <c r="F660" s="27" t="str">
        <f t="shared" ref="F660:F669" si="934">F659</f>
        <v>YOUN0001</v>
      </c>
      <c r="G660" s="15">
        <f t="shared" ref="G660" si="935">O660</f>
        <v>41699</v>
      </c>
      <c r="H660" s="27" t="str">
        <f t="shared" ref="H660" si="936">N660</f>
        <v>10130</v>
      </c>
      <c r="J660" s="33"/>
      <c r="K660" s="33"/>
      <c r="L660" s="33"/>
      <c r="M660" s="33"/>
      <c r="N660" s="32" t="str">
        <f>"10130"</f>
        <v>10130</v>
      </c>
      <c r="O660" s="36">
        <v>41699</v>
      </c>
      <c r="P660" s="33"/>
      <c r="Q660" s="33"/>
      <c r="R660" s="33"/>
      <c r="S660" s="33"/>
    </row>
    <row r="661" spans="1:19" hidden="1" outlineLevel="3">
      <c r="A661" s="25" t="s">
        <v>91</v>
      </c>
      <c r="C661" s="4" t="str">
        <f t="shared" si="931"/>
        <v>Rob</v>
      </c>
      <c r="D661" s="4" t="str">
        <f t="shared" si="932"/>
        <v>Young</v>
      </c>
      <c r="E661" s="27" t="str">
        <f t="shared" si="933"/>
        <v>SUPP</v>
      </c>
      <c r="F661" s="27" t="str">
        <f t="shared" si="934"/>
        <v>YOUN0001</v>
      </c>
      <c r="G661" s="15">
        <f t="shared" ref="G661:G669" si="937">G660</f>
        <v>41699</v>
      </c>
      <c r="H661" s="27" t="str">
        <f t="shared" ref="H661:H669" si="938">H660</f>
        <v>10130</v>
      </c>
      <c r="I661" s="27" t="str">
        <f>"""GP Direct"",""Fabrikam, Inc."",""Jet Payroll Transactions"",""Pay Rate"",""0.00000"",""Payroll Code"",""401K"",""State"","""",""Transaction Amount"",""1.33000"""</f>
        <v>"GP Direct","Fabrikam, Inc.","Jet Payroll Transactions","Pay Rate","0.00000","Payroll Code","401K","State","","Transaction Amount","1.33000"</v>
      </c>
      <c r="O661" s="28"/>
      <c r="P661" s="37">
        <v>0</v>
      </c>
      <c r="Q661" s="38" t="str">
        <f>"401K"</f>
        <v>401K</v>
      </c>
      <c r="R661" s="39"/>
      <c r="S661" s="37">
        <v>1.33</v>
      </c>
    </row>
    <row r="662" spans="1:19" hidden="1" outlineLevel="3">
      <c r="A662" s="25" t="s">
        <v>91</v>
      </c>
      <c r="C662" s="4" t="str">
        <f t="shared" ref="C662:C667" si="939">C661</f>
        <v>Rob</v>
      </c>
      <c r="D662" s="4" t="str">
        <f t="shared" ref="D662:D667" si="940">D661</f>
        <v>Young</v>
      </c>
      <c r="E662" s="27" t="str">
        <f t="shared" ref="E662:E667" si="941">E661</f>
        <v>SUPP</v>
      </c>
      <c r="F662" s="27" t="str">
        <f t="shared" ref="F662:F667" si="942">F661</f>
        <v>YOUN0001</v>
      </c>
      <c r="G662" s="15">
        <f t="shared" ref="G662:G667" si="943">G661</f>
        <v>41699</v>
      </c>
      <c r="H662" s="27" t="str">
        <f t="shared" ref="H662:H667" si="944">H661</f>
        <v>10130</v>
      </c>
      <c r="I662" s="27" t="str">
        <f>"""GP Direct"",""Fabrikam, Inc."",""Jet Payroll Transactions"",""Pay Rate"",""0.00000"",""Payroll Code"",""401K"",""State"","""",""Transaction Amount"",""26.63000"""</f>
        <v>"GP Direct","Fabrikam, Inc.","Jet Payroll Transactions","Pay Rate","0.00000","Payroll Code","401K","State","","Transaction Amount","26.63000"</v>
      </c>
      <c r="O662" s="28"/>
      <c r="P662" s="37">
        <v>0</v>
      </c>
      <c r="Q662" s="38" t="str">
        <f>"401K"</f>
        <v>401K</v>
      </c>
      <c r="R662" s="39"/>
      <c r="S662" s="37">
        <v>26.63</v>
      </c>
    </row>
    <row r="663" spans="1:19" hidden="1" outlineLevel="3">
      <c r="A663" s="25" t="s">
        <v>91</v>
      </c>
      <c r="C663" s="4" t="str">
        <f t="shared" si="939"/>
        <v>Rob</v>
      </c>
      <c r="D663" s="4" t="str">
        <f t="shared" si="940"/>
        <v>Young</v>
      </c>
      <c r="E663" s="27" t="str">
        <f t="shared" si="941"/>
        <v>SUPP</v>
      </c>
      <c r="F663" s="27" t="str">
        <f t="shared" si="942"/>
        <v>YOUN0001</v>
      </c>
      <c r="G663" s="15">
        <f t="shared" si="943"/>
        <v>41699</v>
      </c>
      <c r="H663" s="27" t="str">
        <f t="shared" si="944"/>
        <v>10130</v>
      </c>
      <c r="I663" s="27" t="str">
        <f>"""GP Direct"",""Fabrikam, Inc."",""Jet Payroll Transactions"",""Pay Rate"",""0.00000"",""Payroll Code"",""IL"",""State"","""",""Transaction Amount"",""15.54000"""</f>
        <v>"GP Direct","Fabrikam, Inc.","Jet Payroll Transactions","Pay Rate","0.00000","Payroll Code","IL","State","","Transaction Amount","15.54000"</v>
      </c>
      <c r="O663" s="28"/>
      <c r="P663" s="37">
        <v>0</v>
      </c>
      <c r="Q663" s="38" t="str">
        <f>"IL"</f>
        <v>IL</v>
      </c>
      <c r="R663" s="39"/>
      <c r="S663" s="37">
        <v>15.54</v>
      </c>
    </row>
    <row r="664" spans="1:19" hidden="1" outlineLevel="3">
      <c r="A664" s="25" t="s">
        <v>91</v>
      </c>
      <c r="C664" s="4" t="str">
        <f t="shared" si="939"/>
        <v>Rob</v>
      </c>
      <c r="D664" s="4" t="str">
        <f t="shared" si="940"/>
        <v>Young</v>
      </c>
      <c r="E664" s="27" t="str">
        <f t="shared" si="941"/>
        <v>SUPP</v>
      </c>
      <c r="F664" s="27" t="str">
        <f t="shared" si="942"/>
        <v>YOUN0001</v>
      </c>
      <c r="G664" s="15">
        <f t="shared" si="943"/>
        <v>41699</v>
      </c>
      <c r="H664" s="27" t="str">
        <f t="shared" si="944"/>
        <v>10130</v>
      </c>
      <c r="I664" s="27" t="str">
        <f>"""GP Direct"",""Fabrikam, Inc."",""Jet Payroll Transactions"",""Pay Rate"",""0.00000"",""Payroll Code"",""INS"",""State"","""",""Transaction Amount"",""49.36000"""</f>
        <v>"GP Direct","Fabrikam, Inc.","Jet Payroll Transactions","Pay Rate","0.00000","Payroll Code","INS","State","","Transaction Amount","49.36000"</v>
      </c>
      <c r="O664" s="28"/>
      <c r="P664" s="37">
        <v>0</v>
      </c>
      <c r="Q664" s="38" t="str">
        <f>"INS"</f>
        <v>INS</v>
      </c>
      <c r="R664" s="39"/>
      <c r="S664" s="37">
        <v>49.36</v>
      </c>
    </row>
    <row r="665" spans="1:19" hidden="1" outlineLevel="3">
      <c r="A665" s="25" t="s">
        <v>91</v>
      </c>
      <c r="C665" s="4" t="str">
        <f t="shared" si="939"/>
        <v>Rob</v>
      </c>
      <c r="D665" s="4" t="str">
        <f t="shared" si="940"/>
        <v>Young</v>
      </c>
      <c r="E665" s="27" t="str">
        <f t="shared" si="941"/>
        <v>SUPP</v>
      </c>
      <c r="F665" s="27" t="str">
        <f t="shared" si="942"/>
        <v>YOUN0001</v>
      </c>
      <c r="G665" s="15">
        <f t="shared" si="943"/>
        <v>41699</v>
      </c>
      <c r="H665" s="27" t="str">
        <f t="shared" si="944"/>
        <v>10130</v>
      </c>
      <c r="I665" s="27" t="str">
        <f>"""GP Direct"",""Fabrikam, Inc."",""Jet Payroll Transactions"",""Pay Rate"",""0.00000"",""Payroll Code"",""INS2"",""State"","""",""Transaction Amount"",""72.95000"""</f>
        <v>"GP Direct","Fabrikam, Inc.","Jet Payroll Transactions","Pay Rate","0.00000","Payroll Code","INS2","State","","Transaction Amount","72.95000"</v>
      </c>
      <c r="O665" s="28"/>
      <c r="P665" s="37">
        <v>0</v>
      </c>
      <c r="Q665" s="38" t="str">
        <f>"INS2"</f>
        <v>INS2</v>
      </c>
      <c r="R665" s="39"/>
      <c r="S665" s="37">
        <v>72.95</v>
      </c>
    </row>
    <row r="666" spans="1:19" hidden="1" outlineLevel="3">
      <c r="A666" s="25" t="s">
        <v>91</v>
      </c>
      <c r="C666" s="4" t="str">
        <f t="shared" si="939"/>
        <v>Rob</v>
      </c>
      <c r="D666" s="4" t="str">
        <f t="shared" si="940"/>
        <v>Young</v>
      </c>
      <c r="E666" s="27" t="str">
        <f t="shared" si="941"/>
        <v>SUPP</v>
      </c>
      <c r="F666" s="27" t="str">
        <f t="shared" si="942"/>
        <v>YOUN0001</v>
      </c>
      <c r="G666" s="15">
        <f t="shared" si="943"/>
        <v>41699</v>
      </c>
      <c r="H666" s="27" t="str">
        <f t="shared" si="944"/>
        <v>10130</v>
      </c>
      <c r="I666" s="27" t="str">
        <f>"""GP Direct"",""Fabrikam, Inc."",""Jet Payroll Transactions"",""Pay Rate"",""0.00000"",""Payroll Code"",""MED"",""State"","""",""Transaction Amount"",""20.00000"""</f>
        <v>"GP Direct","Fabrikam, Inc.","Jet Payroll Transactions","Pay Rate","0.00000","Payroll Code","MED","State","","Transaction Amount","20.00000"</v>
      </c>
      <c r="O666" s="28"/>
      <c r="P666" s="37">
        <v>0</v>
      </c>
      <c r="Q666" s="38" t="str">
        <f>"MED"</f>
        <v>MED</v>
      </c>
      <c r="R666" s="39"/>
      <c r="S666" s="37">
        <v>20</v>
      </c>
    </row>
    <row r="667" spans="1:19" hidden="1" outlineLevel="3">
      <c r="A667" s="25" t="s">
        <v>91</v>
      </c>
      <c r="C667" s="4" t="str">
        <f t="shared" si="939"/>
        <v>Rob</v>
      </c>
      <c r="D667" s="4" t="str">
        <f t="shared" si="940"/>
        <v>Young</v>
      </c>
      <c r="E667" s="27" t="str">
        <f t="shared" si="941"/>
        <v>SUPP</v>
      </c>
      <c r="F667" s="27" t="str">
        <f t="shared" si="942"/>
        <v>YOUN0001</v>
      </c>
      <c r="G667" s="15">
        <f t="shared" si="943"/>
        <v>41699</v>
      </c>
      <c r="H667" s="27" t="str">
        <f t="shared" si="944"/>
        <v>10130</v>
      </c>
      <c r="I667" s="27" t="str">
        <f>"""GP Direct"",""Fabrikam, Inc."",""Jet Payroll Transactions"",""Pay Rate"",""21300.00000"",""Payroll Code"",""SALY"",""State"",""IL"",""Transaction Amount"",""887.50000"""</f>
        <v>"GP Direct","Fabrikam, Inc.","Jet Payroll Transactions","Pay Rate","21300.00000","Payroll Code","SALY","State","IL","Transaction Amount","887.50000"</v>
      </c>
      <c r="O667" s="28"/>
      <c r="P667" s="37">
        <v>21300</v>
      </c>
      <c r="Q667" s="38" t="str">
        <f>"SALY"</f>
        <v>SALY</v>
      </c>
      <c r="R667" s="39" t="str">
        <f>"IL"</f>
        <v>IL</v>
      </c>
      <c r="S667" s="37">
        <v>887.5</v>
      </c>
    </row>
    <row r="668" spans="1:19" hidden="1" outlineLevel="3">
      <c r="A668" s="24" t="s">
        <v>2812</v>
      </c>
      <c r="C668" s="4" t="str">
        <f>C661</f>
        <v>Rob</v>
      </c>
      <c r="D668" s="4" t="str">
        <f>D661</f>
        <v>Young</v>
      </c>
      <c r="E668" s="27" t="str">
        <f>E661</f>
        <v>SUPP</v>
      </c>
      <c r="F668" s="27" t="str">
        <f>F661</f>
        <v>YOUN0001</v>
      </c>
      <c r="G668" s="15">
        <f>G661</f>
        <v>41699</v>
      </c>
      <c r="H668" s="27" t="str">
        <f>H661</f>
        <v>10130</v>
      </c>
      <c r="O668" s="28"/>
      <c r="S668" s="16"/>
    </row>
    <row r="669" spans="1:19" ht="12.75" hidden="1" outlineLevel="2" collapsed="1">
      <c r="A669" s="25" t="s">
        <v>91</v>
      </c>
      <c r="C669" s="4" t="str">
        <f t="shared" si="931"/>
        <v>Rob</v>
      </c>
      <c r="D669" s="4" t="str">
        <f t="shared" si="932"/>
        <v>Young</v>
      </c>
      <c r="E669" s="27" t="str">
        <f t="shared" si="933"/>
        <v>SUPP</v>
      </c>
      <c r="F669" s="27" t="str">
        <f t="shared" si="934"/>
        <v>YOUN0001</v>
      </c>
      <c r="G669" s="15">
        <f t="shared" si="937"/>
        <v>41699</v>
      </c>
      <c r="H669" s="27" t="str">
        <f t="shared" si="938"/>
        <v>10130</v>
      </c>
      <c r="N669" s="44" t="str">
        <f>"Total for " &amp; $H669</f>
        <v>Total for 10130</v>
      </c>
      <c r="O669" s="45">
        <f t="shared" ref="O669" si="945">G669</f>
        <v>41699</v>
      </c>
      <c r="P669" s="44"/>
      <c r="Q669" s="44"/>
      <c r="R669" s="44"/>
      <c r="S669" s="44">
        <f t="shared" ref="S669" si="946">SUBTOTAL(9,S661:S668)</f>
        <v>1073.31</v>
      </c>
    </row>
    <row r="670" spans="1:19" ht="12.75" hidden="1" outlineLevel="2">
      <c r="A670" s="24" t="s">
        <v>2812</v>
      </c>
      <c r="C670" s="4" t="str">
        <f>C659</f>
        <v>Rob</v>
      </c>
      <c r="D670" s="4" t="str">
        <f>D659</f>
        <v>Young</v>
      </c>
      <c r="E670" s="27" t="str">
        <f>E659</f>
        <v>SUPP</v>
      </c>
      <c r="F670" s="27" t="str">
        <f>F659</f>
        <v>YOUN0001</v>
      </c>
      <c r="G670" s="14"/>
      <c r="J670" s="33"/>
      <c r="K670" s="33"/>
      <c r="L670" s="33"/>
      <c r="M670" s="33"/>
      <c r="N670" s="33"/>
      <c r="O670" s="33"/>
      <c r="P670" s="33"/>
      <c r="Q670" s="33"/>
      <c r="R670" s="33"/>
      <c r="S670" s="40"/>
    </row>
    <row r="671" spans="1:19" ht="12.75" hidden="1" outlineLevel="1" collapsed="1">
      <c r="A671" s="25" t="s">
        <v>91</v>
      </c>
      <c r="C671" s="4" t="str">
        <f t="shared" si="918"/>
        <v>Rob</v>
      </c>
      <c r="D671" s="4" t="str">
        <f t="shared" si="919"/>
        <v>Young</v>
      </c>
      <c r="E671" s="27" t="str">
        <f t="shared" si="856"/>
        <v>SUPP</v>
      </c>
      <c r="F671" s="27" t="str">
        <f t="shared" si="920"/>
        <v>YOUN0001</v>
      </c>
      <c r="G671" s="14"/>
      <c r="J671" s="33"/>
      <c r="K671" s="46" t="str">
        <f>"Total for " &amp; $F671</f>
        <v>Total for YOUN0001</v>
      </c>
      <c r="L671" s="46" t="str">
        <f t="shared" ref="L671" si="947">C671</f>
        <v>Rob</v>
      </c>
      <c r="M671" s="46" t="str">
        <f t="shared" ref="M671" si="948">D671</f>
        <v>Young</v>
      </c>
      <c r="N671" s="46"/>
      <c r="O671" s="46"/>
      <c r="P671" s="46"/>
      <c r="Q671" s="46"/>
      <c r="R671" s="46"/>
      <c r="S671" s="47">
        <f t="shared" ref="S671" si="949">SUBTOTAL(9,S651:S670)</f>
        <v>2146.62</v>
      </c>
    </row>
    <row r="672" spans="1:19" ht="12.75" hidden="1" outlineLevel="1">
      <c r="A672" s="25" t="s">
        <v>91</v>
      </c>
      <c r="E672" s="27" t="str">
        <f>E606</f>
        <v>SUPP</v>
      </c>
      <c r="F672" s="14"/>
      <c r="G672" s="14"/>
      <c r="J672" s="33"/>
      <c r="K672" s="33"/>
      <c r="L672" s="33"/>
      <c r="M672" s="33"/>
      <c r="N672" s="33"/>
      <c r="O672" s="33"/>
      <c r="P672" s="33"/>
      <c r="Q672" s="33"/>
      <c r="R672" s="33"/>
      <c r="S672" s="40"/>
    </row>
    <row r="673" spans="1:19" ht="12.75" collapsed="1">
      <c r="A673" s="25" t="s">
        <v>91</v>
      </c>
      <c r="E673" s="27" t="str">
        <f t="shared" si="815"/>
        <v>SUPP</v>
      </c>
      <c r="F673" s="14"/>
      <c r="G673" s="14"/>
      <c r="J673" s="48" t="str">
        <f>"Total for " &amp; $E673</f>
        <v>Total for SUPP</v>
      </c>
      <c r="K673" s="48"/>
      <c r="L673" s="48"/>
      <c r="M673" s="48"/>
      <c r="N673" s="48"/>
      <c r="O673" s="48"/>
      <c r="P673" s="48"/>
      <c r="Q673" s="48"/>
      <c r="R673" s="48"/>
      <c r="S673" s="49">
        <f t="shared" ref="S673" si="950">SUBTOTAL(9,S584:S672)</f>
        <v>9253.1</v>
      </c>
    </row>
    <row r="674" spans="1:19" ht="12.75">
      <c r="A674" s="25" t="s">
        <v>91</v>
      </c>
      <c r="E674" s="27"/>
      <c r="F674" s="14"/>
      <c r="G674" s="14"/>
      <c r="J674" s="33"/>
      <c r="K674" s="33"/>
      <c r="L674" s="33"/>
      <c r="M674" s="33"/>
      <c r="N674" s="33"/>
      <c r="O674" s="33"/>
      <c r="P674" s="33"/>
      <c r="Q674" s="33"/>
      <c r="R674" s="33"/>
      <c r="S674" s="40"/>
    </row>
    <row r="675" spans="1:19" ht="15.75" thickBot="1">
      <c r="A675" s="25"/>
      <c r="J675" s="41" t="s">
        <v>25</v>
      </c>
      <c r="K675" s="41"/>
      <c r="L675" s="41"/>
      <c r="M675" s="41"/>
      <c r="N675" s="41"/>
      <c r="O675" s="41"/>
      <c r="P675" s="41"/>
      <c r="Q675" s="41"/>
      <c r="R675" s="41"/>
      <c r="S675" s="42">
        <f>SUBTOTAL(9,S16:S101)</f>
        <v>8921.84</v>
      </c>
    </row>
    <row r="676" spans="1:19" ht="12.75" thickTop="1">
      <c r="A676" s="25"/>
    </row>
    <row r="677" spans="1:19">
      <c r="A677" s="25"/>
    </row>
    <row r="678" spans="1:19">
      <c r="A678" s="25"/>
    </row>
  </sheetData>
  <phoneticPr fontId="3" type="noConversion"/>
  <pageMargins left="0.75" right="0.75" top="1" bottom="1" header="0.5" footer="0.5"/>
  <pageSetup paperSize="17" scale="94"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workbookViewId="0"/>
  </sheetViews>
  <sheetFormatPr defaultRowHeight="12.75"/>
  <sheetData>
    <row r="1" spans="1:4">
      <c r="A1" s="3" t="s">
        <v>3871</v>
      </c>
      <c r="B1" s="3" t="s">
        <v>21</v>
      </c>
      <c r="C1" s="3" t="s">
        <v>20</v>
      </c>
      <c r="D1" s="3" t="s">
        <v>18</v>
      </c>
    </row>
    <row r="3" spans="1:4">
      <c r="B3" s="3" t="s">
        <v>2811</v>
      </c>
    </row>
    <row r="4" spans="1:4">
      <c r="A4" s="3" t="s">
        <v>22</v>
      </c>
      <c r="B4" s="3" t="s">
        <v>26</v>
      </c>
      <c r="C4" s="3" t="s">
        <v>3194</v>
      </c>
      <c r="D4" s="3" t="s">
        <v>35</v>
      </c>
    </row>
    <row r="5" spans="1:4">
      <c r="A5" s="3" t="s">
        <v>22</v>
      </c>
      <c r="B5" s="3" t="s">
        <v>27</v>
      </c>
      <c r="C5" s="3" t="s">
        <v>19</v>
      </c>
      <c r="D5" s="3" t="s">
        <v>36</v>
      </c>
    </row>
    <row r="6" spans="1:4">
      <c r="A6" s="3" t="s">
        <v>22</v>
      </c>
      <c r="B6" s="3" t="s">
        <v>28</v>
      </c>
      <c r="C6" s="3" t="s">
        <v>19</v>
      </c>
      <c r="D6" s="3" t="s">
        <v>37</v>
      </c>
    </row>
    <row r="7" spans="1:4">
      <c r="A7" s="3" t="s">
        <v>22</v>
      </c>
      <c r="B7" s="3" t="s">
        <v>29</v>
      </c>
      <c r="C7" s="3" t="s">
        <v>19</v>
      </c>
      <c r="D7" s="3" t="s">
        <v>38</v>
      </c>
    </row>
    <row r="8" spans="1:4">
      <c r="A8" s="3" t="s">
        <v>22</v>
      </c>
      <c r="B8" s="3" t="s">
        <v>30</v>
      </c>
      <c r="C8" s="3" t="s">
        <v>19</v>
      </c>
      <c r="D8" s="3" t="s">
        <v>2255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workbookViewId="0"/>
  </sheetViews>
  <sheetFormatPr defaultRowHeight="12.75"/>
  <sheetData>
    <row r="1" spans="1:4">
      <c r="A1" s="3" t="s">
        <v>3871</v>
      </c>
      <c r="B1" s="3" t="s">
        <v>21</v>
      </c>
      <c r="C1" s="3" t="s">
        <v>20</v>
      </c>
      <c r="D1" s="3" t="s">
        <v>18</v>
      </c>
    </row>
    <row r="3" spans="1:4">
      <c r="B3" s="3" t="s">
        <v>2811</v>
      </c>
    </row>
    <row r="4" spans="1:4">
      <c r="A4" s="3" t="s">
        <v>22</v>
      </c>
      <c r="B4" s="3" t="s">
        <v>26</v>
      </c>
      <c r="C4" s="3" t="s">
        <v>3194</v>
      </c>
      <c r="D4" s="3" t="s">
        <v>35</v>
      </c>
    </row>
    <row r="5" spans="1:4">
      <c r="A5" s="3" t="s">
        <v>22</v>
      </c>
      <c r="B5" s="3" t="s">
        <v>27</v>
      </c>
      <c r="C5" s="3" t="s">
        <v>19</v>
      </c>
      <c r="D5" s="3" t="s">
        <v>36</v>
      </c>
    </row>
    <row r="6" spans="1:4">
      <c r="A6" s="3" t="s">
        <v>22</v>
      </c>
      <c r="B6" s="3" t="s">
        <v>28</v>
      </c>
      <c r="C6" s="3" t="s">
        <v>19</v>
      </c>
      <c r="D6" s="3" t="s">
        <v>37</v>
      </c>
    </row>
    <row r="7" spans="1:4">
      <c r="A7" s="3" t="s">
        <v>22</v>
      </c>
      <c r="B7" s="3" t="s">
        <v>29</v>
      </c>
      <c r="C7" s="3" t="s">
        <v>19</v>
      </c>
      <c r="D7" s="3" t="s">
        <v>38</v>
      </c>
    </row>
    <row r="8" spans="1:4">
      <c r="A8" s="3" t="s">
        <v>22</v>
      </c>
      <c r="B8" s="3" t="s">
        <v>30</v>
      </c>
      <c r="C8" s="3" t="s">
        <v>19</v>
      </c>
      <c r="D8" s="3" t="s">
        <v>2255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4"/>
  <sheetViews>
    <sheetView workbookViewId="0"/>
  </sheetViews>
  <sheetFormatPr defaultRowHeight="12.75"/>
  <sheetData>
    <row r="1" spans="1:19">
      <c r="A1" s="3" t="s">
        <v>3877</v>
      </c>
      <c r="C1" s="3" t="s">
        <v>24</v>
      </c>
      <c r="D1" s="3" t="s">
        <v>24</v>
      </c>
      <c r="E1" s="3" t="s">
        <v>24</v>
      </c>
      <c r="F1" s="3" t="s">
        <v>24</v>
      </c>
      <c r="G1" s="3" t="s">
        <v>24</v>
      </c>
      <c r="H1" s="3" t="s">
        <v>24</v>
      </c>
      <c r="I1" s="3" t="s">
        <v>24</v>
      </c>
      <c r="J1" s="3" t="s">
        <v>23</v>
      </c>
      <c r="K1" s="3" t="s">
        <v>23</v>
      </c>
      <c r="L1" s="3" t="s">
        <v>23</v>
      </c>
      <c r="M1" s="3" t="s">
        <v>23</v>
      </c>
      <c r="N1" s="3" t="s">
        <v>23</v>
      </c>
      <c r="O1" s="3" t="s">
        <v>23</v>
      </c>
      <c r="P1" s="3" t="s">
        <v>23</v>
      </c>
      <c r="Q1" s="3" t="s">
        <v>23</v>
      </c>
      <c r="R1" s="3" t="s">
        <v>23</v>
      </c>
      <c r="S1" s="3" t="s">
        <v>23</v>
      </c>
    </row>
    <row r="2" spans="1:19">
      <c r="A2" s="3" t="s">
        <v>24</v>
      </c>
      <c r="O2" s="3" t="s">
        <v>2789</v>
      </c>
      <c r="P2" s="3" t="s">
        <v>2789</v>
      </c>
      <c r="Q2" s="3" t="s">
        <v>2789</v>
      </c>
      <c r="R2" s="3" t="s">
        <v>2789</v>
      </c>
      <c r="S2" s="3" t="s">
        <v>2789</v>
      </c>
    </row>
    <row r="4" spans="1:19">
      <c r="J4" s="3" t="s">
        <v>17</v>
      </c>
    </row>
    <row r="5" spans="1:19">
      <c r="J5" s="3" t="s">
        <v>26</v>
      </c>
      <c r="K5" s="3" t="s">
        <v>3872</v>
      </c>
    </row>
    <row r="6" spans="1:19">
      <c r="J6" s="3" t="s">
        <v>27</v>
      </c>
      <c r="K6" s="3" t="s">
        <v>3873</v>
      </c>
    </row>
    <row r="7" spans="1:19">
      <c r="J7" s="3" t="s">
        <v>28</v>
      </c>
      <c r="K7" s="3" t="s">
        <v>3874</v>
      </c>
    </row>
    <row r="8" spans="1:19">
      <c r="J8" s="3" t="s">
        <v>29</v>
      </c>
      <c r="K8" s="3" t="s">
        <v>3875</v>
      </c>
    </row>
    <row r="9" spans="1:19">
      <c r="J9" s="3" t="s">
        <v>30</v>
      </c>
      <c r="K9" s="3" t="s">
        <v>3876</v>
      </c>
    </row>
    <row r="10" spans="1:19">
      <c r="J10" s="3" t="s">
        <v>31</v>
      </c>
      <c r="K10" s="3" t="s">
        <v>39</v>
      </c>
    </row>
    <row r="11" spans="1:19">
      <c r="A11" s="3" t="s">
        <v>24</v>
      </c>
      <c r="P11" s="3" t="s">
        <v>32</v>
      </c>
      <c r="Q11" s="3" t="s">
        <v>33</v>
      </c>
      <c r="R11" s="3" t="s">
        <v>14</v>
      </c>
      <c r="S11" s="3" t="s">
        <v>34</v>
      </c>
    </row>
    <row r="12" spans="1:19">
      <c r="J12" s="3" t="s">
        <v>11</v>
      </c>
      <c r="K12" s="3" t="s">
        <v>10</v>
      </c>
      <c r="L12" s="3" t="s">
        <v>8</v>
      </c>
      <c r="M12" s="3" t="s">
        <v>9</v>
      </c>
      <c r="N12" s="3" t="s">
        <v>12</v>
      </c>
      <c r="O12" s="3" t="s">
        <v>15</v>
      </c>
      <c r="P12" s="3" t="s">
        <v>13</v>
      </c>
      <c r="Q12" s="3" t="s">
        <v>33</v>
      </c>
      <c r="R12" s="3" t="s">
        <v>14</v>
      </c>
      <c r="S12" s="3" t="s">
        <v>16</v>
      </c>
    </row>
    <row r="13" spans="1:19">
      <c r="E13" s="3" t="s">
        <v>40</v>
      </c>
      <c r="J13" s="3" t="s">
        <v>2256</v>
      </c>
    </row>
    <row r="14" spans="1:19">
      <c r="C14" s="3" t="s">
        <v>41</v>
      </c>
      <c r="D14" s="3" t="s">
        <v>42</v>
      </c>
      <c r="E14" s="3" t="s">
        <v>43</v>
      </c>
      <c r="F14" s="3" t="s">
        <v>44</v>
      </c>
      <c r="K14" s="3" t="s">
        <v>2257</v>
      </c>
      <c r="L14" s="3" t="s">
        <v>45</v>
      </c>
      <c r="M14" s="3" t="s">
        <v>46</v>
      </c>
    </row>
    <row r="15" spans="1:19">
      <c r="C15" s="3" t="s">
        <v>47</v>
      </c>
      <c r="D15" s="3" t="s">
        <v>48</v>
      </c>
      <c r="E15" s="3" t="s">
        <v>49</v>
      </c>
      <c r="F15" s="3" t="s">
        <v>50</v>
      </c>
      <c r="G15" s="3" t="s">
        <v>51</v>
      </c>
      <c r="H15" s="3" t="s">
        <v>52</v>
      </c>
      <c r="N15" s="3" t="s">
        <v>2258</v>
      </c>
      <c r="O15" s="3" t="s">
        <v>2259</v>
      </c>
    </row>
    <row r="16" spans="1:19">
      <c r="C16" s="3" t="s">
        <v>53</v>
      </c>
      <c r="D16" s="3" t="s">
        <v>54</v>
      </c>
      <c r="E16" s="3" t="s">
        <v>55</v>
      </c>
      <c r="F16" s="3" t="s">
        <v>56</v>
      </c>
      <c r="G16" s="3" t="s">
        <v>57</v>
      </c>
      <c r="H16" s="3" t="s">
        <v>58</v>
      </c>
      <c r="I16" s="3" t="s">
        <v>2790</v>
      </c>
      <c r="P16" s="3" t="s">
        <v>59</v>
      </c>
      <c r="Q16" s="3" t="s">
        <v>60</v>
      </c>
      <c r="R16" s="3" t="s">
        <v>61</v>
      </c>
      <c r="S16" s="3" t="s">
        <v>62</v>
      </c>
    </row>
    <row r="17" spans="1:19">
      <c r="A17" s="3" t="s">
        <v>24</v>
      </c>
      <c r="C17" s="3" t="s">
        <v>63</v>
      </c>
      <c r="D17" s="3" t="s">
        <v>64</v>
      </c>
      <c r="E17" s="3" t="s">
        <v>65</v>
      </c>
      <c r="F17" s="3" t="s">
        <v>66</v>
      </c>
      <c r="G17" s="3" t="s">
        <v>67</v>
      </c>
      <c r="H17" s="3" t="s">
        <v>68</v>
      </c>
    </row>
    <row r="18" spans="1:19">
      <c r="C18" s="3" t="s">
        <v>69</v>
      </c>
      <c r="D18" s="3" t="s">
        <v>70</v>
      </c>
      <c r="E18" s="3" t="s">
        <v>71</v>
      </c>
      <c r="F18" s="3" t="s">
        <v>72</v>
      </c>
      <c r="G18" s="3" t="s">
        <v>73</v>
      </c>
      <c r="H18" s="3" t="s">
        <v>74</v>
      </c>
      <c r="N18" s="3" t="s">
        <v>75</v>
      </c>
      <c r="O18" s="3" t="s">
        <v>76</v>
      </c>
      <c r="S18" s="3" t="s">
        <v>2791</v>
      </c>
    </row>
    <row r="19" spans="1:19">
      <c r="A19" s="3" t="s">
        <v>24</v>
      </c>
      <c r="C19" s="3" t="s">
        <v>77</v>
      </c>
      <c r="D19" s="3" t="s">
        <v>78</v>
      </c>
      <c r="E19" s="3" t="s">
        <v>79</v>
      </c>
      <c r="F19" s="3" t="s">
        <v>80</v>
      </c>
    </row>
    <row r="20" spans="1:19">
      <c r="C20" s="3" t="s">
        <v>81</v>
      </c>
      <c r="D20" s="3" t="s">
        <v>82</v>
      </c>
      <c r="E20" s="3" t="s">
        <v>83</v>
      </c>
      <c r="F20" s="3" t="s">
        <v>84</v>
      </c>
      <c r="K20" s="3" t="s">
        <v>85</v>
      </c>
      <c r="L20" s="3" t="s">
        <v>86</v>
      </c>
      <c r="M20" s="3" t="s">
        <v>87</v>
      </c>
      <c r="S20" s="3" t="s">
        <v>2792</v>
      </c>
    </row>
    <row r="21" spans="1:19">
      <c r="E21" s="3" t="s">
        <v>88</v>
      </c>
    </row>
    <row r="22" spans="1:19">
      <c r="E22" s="3" t="s">
        <v>89</v>
      </c>
      <c r="J22" s="3" t="s">
        <v>90</v>
      </c>
      <c r="S22" s="3" t="s">
        <v>2793</v>
      </c>
    </row>
    <row r="24" spans="1:19">
      <c r="J24" s="3" t="s">
        <v>25</v>
      </c>
      <c r="S24" s="3" t="s">
        <v>2794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4"/>
  <sheetViews>
    <sheetView workbookViewId="0"/>
  </sheetViews>
  <sheetFormatPr defaultRowHeight="12.75"/>
  <sheetData>
    <row r="1" spans="1:19">
      <c r="A1" s="3" t="s">
        <v>3877</v>
      </c>
      <c r="C1" s="3" t="s">
        <v>24</v>
      </c>
      <c r="D1" s="3" t="s">
        <v>24</v>
      </c>
      <c r="E1" s="3" t="s">
        <v>24</v>
      </c>
      <c r="F1" s="3" t="s">
        <v>24</v>
      </c>
      <c r="G1" s="3" t="s">
        <v>24</v>
      </c>
      <c r="H1" s="3" t="s">
        <v>24</v>
      </c>
      <c r="I1" s="3" t="s">
        <v>24</v>
      </c>
      <c r="J1" s="3" t="s">
        <v>23</v>
      </c>
      <c r="K1" s="3" t="s">
        <v>23</v>
      </c>
      <c r="L1" s="3" t="s">
        <v>23</v>
      </c>
      <c r="M1" s="3" t="s">
        <v>23</v>
      </c>
      <c r="N1" s="3" t="s">
        <v>23</v>
      </c>
      <c r="O1" s="3" t="s">
        <v>23</v>
      </c>
      <c r="P1" s="3" t="s">
        <v>23</v>
      </c>
      <c r="Q1" s="3" t="s">
        <v>23</v>
      </c>
      <c r="R1" s="3" t="s">
        <v>23</v>
      </c>
      <c r="S1" s="3" t="s">
        <v>23</v>
      </c>
    </row>
    <row r="2" spans="1:19">
      <c r="A2" s="3" t="s">
        <v>24</v>
      </c>
      <c r="O2" s="3" t="s">
        <v>2789</v>
      </c>
      <c r="P2" s="3" t="s">
        <v>2789</v>
      </c>
      <c r="Q2" s="3" t="s">
        <v>2789</v>
      </c>
      <c r="R2" s="3" t="s">
        <v>2789</v>
      </c>
      <c r="S2" s="3" t="s">
        <v>2789</v>
      </c>
    </row>
    <row r="4" spans="1:19">
      <c r="J4" s="3" t="s">
        <v>17</v>
      </c>
    </row>
    <row r="5" spans="1:19">
      <c r="J5" s="3" t="s">
        <v>26</v>
      </c>
      <c r="K5" s="3" t="s">
        <v>3872</v>
      </c>
    </row>
    <row r="6" spans="1:19">
      <c r="J6" s="3" t="s">
        <v>27</v>
      </c>
      <c r="K6" s="3" t="s">
        <v>3873</v>
      </c>
    </row>
    <row r="7" spans="1:19">
      <c r="J7" s="3" t="s">
        <v>28</v>
      </c>
      <c r="K7" s="3" t="s">
        <v>3874</v>
      </c>
    </row>
    <row r="8" spans="1:19">
      <c r="J8" s="3" t="s">
        <v>29</v>
      </c>
      <c r="K8" s="3" t="s">
        <v>3875</v>
      </c>
    </row>
    <row r="9" spans="1:19">
      <c r="J9" s="3" t="s">
        <v>30</v>
      </c>
      <c r="K9" s="3" t="s">
        <v>3876</v>
      </c>
    </row>
    <row r="10" spans="1:19">
      <c r="J10" s="3" t="s">
        <v>31</v>
      </c>
      <c r="K10" s="3" t="s">
        <v>39</v>
      </c>
    </row>
    <row r="11" spans="1:19">
      <c r="A11" s="3" t="s">
        <v>24</v>
      </c>
      <c r="P11" s="3" t="s">
        <v>32</v>
      </c>
      <c r="Q11" s="3" t="s">
        <v>33</v>
      </c>
      <c r="R11" s="3" t="s">
        <v>14</v>
      </c>
      <c r="S11" s="3" t="s">
        <v>34</v>
      </c>
    </row>
    <row r="12" spans="1:19">
      <c r="J12" s="3" t="s">
        <v>11</v>
      </c>
      <c r="K12" s="3" t="s">
        <v>10</v>
      </c>
      <c r="L12" s="3" t="s">
        <v>8</v>
      </c>
      <c r="M12" s="3" t="s">
        <v>9</v>
      </c>
      <c r="N12" s="3" t="s">
        <v>12</v>
      </c>
      <c r="O12" s="3" t="s">
        <v>15</v>
      </c>
      <c r="P12" s="3" t="s">
        <v>13</v>
      </c>
      <c r="Q12" s="3" t="s">
        <v>33</v>
      </c>
      <c r="R12" s="3" t="s">
        <v>14</v>
      </c>
      <c r="S12" s="3" t="s">
        <v>16</v>
      </c>
    </row>
    <row r="13" spans="1:19">
      <c r="E13" s="3" t="s">
        <v>40</v>
      </c>
      <c r="J13" s="3" t="s">
        <v>2256</v>
      </c>
    </row>
    <row r="14" spans="1:19">
      <c r="C14" s="3" t="s">
        <v>41</v>
      </c>
      <c r="D14" s="3" t="s">
        <v>42</v>
      </c>
      <c r="E14" s="3" t="s">
        <v>43</v>
      </c>
      <c r="F14" s="3" t="s">
        <v>44</v>
      </c>
      <c r="K14" s="3" t="s">
        <v>2257</v>
      </c>
      <c r="L14" s="3" t="s">
        <v>45</v>
      </c>
      <c r="M14" s="3" t="s">
        <v>46</v>
      </c>
    </row>
    <row r="15" spans="1:19">
      <c r="C15" s="3" t="s">
        <v>47</v>
      </c>
      <c r="D15" s="3" t="s">
        <v>48</v>
      </c>
      <c r="E15" s="3" t="s">
        <v>49</v>
      </c>
      <c r="F15" s="3" t="s">
        <v>50</v>
      </c>
      <c r="G15" s="3" t="s">
        <v>51</v>
      </c>
      <c r="H15" s="3" t="s">
        <v>52</v>
      </c>
      <c r="N15" s="3" t="s">
        <v>2258</v>
      </c>
      <c r="O15" s="3" t="s">
        <v>2259</v>
      </c>
    </row>
    <row r="16" spans="1:19">
      <c r="C16" s="3" t="s">
        <v>53</v>
      </c>
      <c r="D16" s="3" t="s">
        <v>54</v>
      </c>
      <c r="E16" s="3" t="s">
        <v>55</v>
      </c>
      <c r="F16" s="3" t="s">
        <v>56</v>
      </c>
      <c r="G16" s="3" t="s">
        <v>57</v>
      </c>
      <c r="H16" s="3" t="s">
        <v>58</v>
      </c>
      <c r="I16" s="3" t="s">
        <v>2790</v>
      </c>
      <c r="P16" s="3" t="s">
        <v>59</v>
      </c>
      <c r="Q16" s="3" t="s">
        <v>60</v>
      </c>
      <c r="R16" s="3" t="s">
        <v>61</v>
      </c>
      <c r="S16" s="3" t="s">
        <v>62</v>
      </c>
    </row>
    <row r="17" spans="1:19">
      <c r="A17" s="3" t="s">
        <v>24</v>
      </c>
      <c r="C17" s="3" t="s">
        <v>63</v>
      </c>
      <c r="D17" s="3" t="s">
        <v>64</v>
      </c>
      <c r="E17" s="3" t="s">
        <v>65</v>
      </c>
      <c r="F17" s="3" t="s">
        <v>66</v>
      </c>
      <c r="G17" s="3" t="s">
        <v>67</v>
      </c>
      <c r="H17" s="3" t="s">
        <v>68</v>
      </c>
    </row>
    <row r="18" spans="1:19">
      <c r="C18" s="3" t="s">
        <v>69</v>
      </c>
      <c r="D18" s="3" t="s">
        <v>70</v>
      </c>
      <c r="E18" s="3" t="s">
        <v>71</v>
      </c>
      <c r="F18" s="3" t="s">
        <v>72</v>
      </c>
      <c r="G18" s="3" t="s">
        <v>73</v>
      </c>
      <c r="H18" s="3" t="s">
        <v>74</v>
      </c>
      <c r="N18" s="3" t="s">
        <v>75</v>
      </c>
      <c r="O18" s="3" t="s">
        <v>76</v>
      </c>
      <c r="S18" s="3" t="s">
        <v>2791</v>
      </c>
    </row>
    <row r="19" spans="1:19">
      <c r="A19" s="3" t="s">
        <v>24</v>
      </c>
      <c r="C19" s="3" t="s">
        <v>77</v>
      </c>
      <c r="D19" s="3" t="s">
        <v>78</v>
      </c>
      <c r="E19" s="3" t="s">
        <v>79</v>
      </c>
      <c r="F19" s="3" t="s">
        <v>80</v>
      </c>
    </row>
    <row r="20" spans="1:19">
      <c r="C20" s="3" t="s">
        <v>81</v>
      </c>
      <c r="D20" s="3" t="s">
        <v>82</v>
      </c>
      <c r="E20" s="3" t="s">
        <v>83</v>
      </c>
      <c r="F20" s="3" t="s">
        <v>84</v>
      </c>
      <c r="K20" s="3" t="s">
        <v>85</v>
      </c>
      <c r="L20" s="3" t="s">
        <v>86</v>
      </c>
      <c r="M20" s="3" t="s">
        <v>87</v>
      </c>
      <c r="S20" s="3" t="s">
        <v>2792</v>
      </c>
    </row>
    <row r="21" spans="1:19">
      <c r="E21" s="3" t="s">
        <v>88</v>
      </c>
    </row>
    <row r="22" spans="1:19">
      <c r="E22" s="3" t="s">
        <v>89</v>
      </c>
      <c r="J22" s="3" t="s">
        <v>90</v>
      </c>
      <c r="S22" s="3" t="s">
        <v>2793</v>
      </c>
    </row>
    <row r="24" spans="1:19">
      <c r="J24" s="3" t="s">
        <v>25</v>
      </c>
      <c r="S24" s="3" t="s">
        <v>2794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workbookViewId="0"/>
  </sheetViews>
  <sheetFormatPr defaultRowHeight="12.75"/>
  <sheetData>
    <row r="1" spans="1:4">
      <c r="A1" s="3" t="s">
        <v>5411</v>
      </c>
      <c r="B1" s="3" t="s">
        <v>21</v>
      </c>
      <c r="C1" s="3" t="s">
        <v>20</v>
      </c>
      <c r="D1" s="3" t="s">
        <v>18</v>
      </c>
    </row>
    <row r="3" spans="1:4">
      <c r="B3" s="3" t="s">
        <v>2811</v>
      </c>
    </row>
    <row r="4" spans="1:4">
      <c r="A4" s="3" t="s">
        <v>22</v>
      </c>
      <c r="B4" s="3" t="s">
        <v>26</v>
      </c>
      <c r="C4" s="3" t="s">
        <v>3194</v>
      </c>
      <c r="D4" s="3" t="s">
        <v>35</v>
      </c>
    </row>
    <row r="5" spans="1:4">
      <c r="A5" s="3" t="s">
        <v>22</v>
      </c>
      <c r="B5" s="3" t="s">
        <v>27</v>
      </c>
      <c r="C5" s="3" t="s">
        <v>19</v>
      </c>
      <c r="D5" s="3" t="s">
        <v>36</v>
      </c>
    </row>
    <row r="6" spans="1:4">
      <c r="A6" s="3" t="s">
        <v>22</v>
      </c>
      <c r="B6" s="3" t="s">
        <v>28</v>
      </c>
      <c r="C6" s="3" t="s">
        <v>19</v>
      </c>
      <c r="D6" s="3" t="s">
        <v>37</v>
      </c>
    </row>
    <row r="7" spans="1:4">
      <c r="A7" s="3" t="s">
        <v>22</v>
      </c>
      <c r="B7" s="3" t="s">
        <v>29</v>
      </c>
      <c r="C7" s="3" t="s">
        <v>19</v>
      </c>
      <c r="D7" s="3" t="s">
        <v>38</v>
      </c>
    </row>
    <row r="8" spans="1:4">
      <c r="A8" s="3" t="s">
        <v>22</v>
      </c>
      <c r="B8" s="3" t="s">
        <v>30</v>
      </c>
      <c r="C8" s="3" t="s">
        <v>19</v>
      </c>
      <c r="D8" s="3" t="s">
        <v>2255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75"/>
  <sheetViews>
    <sheetView workbookViewId="0"/>
  </sheetViews>
  <sheetFormatPr defaultRowHeight="12.75"/>
  <sheetData>
    <row r="1" spans="1:19">
      <c r="A1" s="3" t="s">
        <v>5413</v>
      </c>
      <c r="C1" s="3" t="s">
        <v>24</v>
      </c>
      <c r="D1" s="3" t="s">
        <v>24</v>
      </c>
      <c r="E1" s="3" t="s">
        <v>24</v>
      </c>
      <c r="F1" s="3" t="s">
        <v>24</v>
      </c>
      <c r="G1" s="3" t="s">
        <v>24</v>
      </c>
      <c r="H1" s="3" t="s">
        <v>24</v>
      </c>
      <c r="I1" s="3" t="s">
        <v>24</v>
      </c>
      <c r="J1" s="3" t="s">
        <v>23</v>
      </c>
      <c r="K1" s="3" t="s">
        <v>23</v>
      </c>
      <c r="L1" s="3" t="s">
        <v>23</v>
      </c>
      <c r="M1" s="3" t="s">
        <v>23</v>
      </c>
      <c r="N1" s="3" t="s">
        <v>23</v>
      </c>
      <c r="O1" s="3" t="s">
        <v>23</v>
      </c>
      <c r="P1" s="3" t="s">
        <v>23</v>
      </c>
      <c r="Q1" s="3" t="s">
        <v>23</v>
      </c>
      <c r="R1" s="3" t="s">
        <v>23</v>
      </c>
      <c r="S1" s="3" t="s">
        <v>23</v>
      </c>
    </row>
    <row r="2" spans="1:19">
      <c r="A2" s="3" t="s">
        <v>24</v>
      </c>
      <c r="O2" s="3" t="s">
        <v>2789</v>
      </c>
      <c r="P2" s="3" t="s">
        <v>2789</v>
      </c>
      <c r="Q2" s="3" t="s">
        <v>2789</v>
      </c>
      <c r="R2" s="3" t="s">
        <v>2789</v>
      </c>
      <c r="S2" s="3" t="s">
        <v>2789</v>
      </c>
    </row>
    <row r="4" spans="1:19">
      <c r="J4" s="3" t="s">
        <v>17</v>
      </c>
    </row>
    <row r="5" spans="1:19">
      <c r="J5" s="3" t="s">
        <v>26</v>
      </c>
      <c r="K5" s="3" t="s">
        <v>3872</v>
      </c>
    </row>
    <row r="6" spans="1:19">
      <c r="J6" s="3" t="s">
        <v>27</v>
      </c>
      <c r="K6" s="3" t="s">
        <v>3873</v>
      </c>
    </row>
    <row r="7" spans="1:19">
      <c r="J7" s="3" t="s">
        <v>28</v>
      </c>
      <c r="K7" s="3" t="s">
        <v>3874</v>
      </c>
    </row>
    <row r="8" spans="1:19">
      <c r="J8" s="3" t="s">
        <v>29</v>
      </c>
      <c r="K8" s="3" t="s">
        <v>3875</v>
      </c>
    </row>
    <row r="9" spans="1:19">
      <c r="J9" s="3" t="s">
        <v>30</v>
      </c>
      <c r="K9" s="3" t="s">
        <v>3876</v>
      </c>
    </row>
    <row r="10" spans="1:19">
      <c r="J10" s="3" t="s">
        <v>31</v>
      </c>
      <c r="K10" s="3" t="s">
        <v>39</v>
      </c>
    </row>
    <row r="11" spans="1:19">
      <c r="A11" s="3" t="s">
        <v>24</v>
      </c>
      <c r="P11" s="3" t="s">
        <v>32</v>
      </c>
      <c r="Q11" s="3" t="s">
        <v>33</v>
      </c>
      <c r="R11" s="3" t="s">
        <v>14</v>
      </c>
      <c r="S11" s="3" t="s">
        <v>34</v>
      </c>
    </row>
    <row r="12" spans="1:19">
      <c r="J12" s="3" t="s">
        <v>11</v>
      </c>
      <c r="K12" s="3" t="s">
        <v>10</v>
      </c>
      <c r="L12" s="3" t="s">
        <v>8</v>
      </c>
      <c r="M12" s="3" t="s">
        <v>9</v>
      </c>
      <c r="N12" s="3" t="s">
        <v>12</v>
      </c>
      <c r="O12" s="3" t="s">
        <v>15</v>
      </c>
      <c r="P12" s="3" t="s">
        <v>13</v>
      </c>
      <c r="Q12" s="3" t="s">
        <v>33</v>
      </c>
      <c r="R12" s="3" t="s">
        <v>14</v>
      </c>
      <c r="S12" s="3" t="s">
        <v>16</v>
      </c>
    </row>
    <row r="13" spans="1:19">
      <c r="E13" s="3" t="s">
        <v>40</v>
      </c>
      <c r="J13" s="3" t="s">
        <v>2256</v>
      </c>
    </row>
    <row r="14" spans="1:19">
      <c r="C14" s="3" t="s">
        <v>41</v>
      </c>
      <c r="D14" s="3" t="s">
        <v>42</v>
      </c>
      <c r="E14" s="3" t="s">
        <v>43</v>
      </c>
      <c r="F14" s="3" t="s">
        <v>44</v>
      </c>
      <c r="K14" s="3" t="s">
        <v>2257</v>
      </c>
      <c r="L14" s="3" t="s">
        <v>45</v>
      </c>
      <c r="M14" s="3" t="s">
        <v>46</v>
      </c>
    </row>
    <row r="15" spans="1:19">
      <c r="C15" s="3" t="s">
        <v>47</v>
      </c>
      <c r="D15" s="3" t="s">
        <v>48</v>
      </c>
      <c r="E15" s="3" t="s">
        <v>49</v>
      </c>
      <c r="F15" s="3" t="s">
        <v>50</v>
      </c>
      <c r="G15" s="3" t="s">
        <v>51</v>
      </c>
      <c r="H15" s="3" t="s">
        <v>52</v>
      </c>
      <c r="N15" s="3" t="s">
        <v>2258</v>
      </c>
      <c r="O15" s="3" t="s">
        <v>2259</v>
      </c>
    </row>
    <row r="16" spans="1:19">
      <c r="C16" s="3" t="s">
        <v>53</v>
      </c>
      <c r="D16" s="3" t="s">
        <v>54</v>
      </c>
      <c r="E16" s="3" t="s">
        <v>55</v>
      </c>
      <c r="F16" s="3" t="s">
        <v>56</v>
      </c>
      <c r="G16" s="3" t="s">
        <v>57</v>
      </c>
      <c r="H16" s="3" t="s">
        <v>58</v>
      </c>
      <c r="I16" s="3" t="s">
        <v>2790</v>
      </c>
      <c r="P16" s="3" t="s">
        <v>59</v>
      </c>
      <c r="Q16" s="3" t="s">
        <v>60</v>
      </c>
      <c r="R16" s="3" t="s">
        <v>61</v>
      </c>
      <c r="S16" s="3" t="s">
        <v>62</v>
      </c>
    </row>
    <row r="17" spans="1:19">
      <c r="A17" s="3" t="s">
        <v>91</v>
      </c>
      <c r="C17" s="3" t="s">
        <v>63</v>
      </c>
      <c r="D17" s="3" t="s">
        <v>64</v>
      </c>
      <c r="E17" s="3" t="s">
        <v>65</v>
      </c>
      <c r="F17" s="3" t="s">
        <v>66</v>
      </c>
      <c r="G17" s="3" t="s">
        <v>67</v>
      </c>
      <c r="H17" s="3" t="s">
        <v>68</v>
      </c>
      <c r="I17" s="3" t="s">
        <v>3878</v>
      </c>
      <c r="P17" s="3" t="s">
        <v>4074</v>
      </c>
      <c r="Q17" s="3" t="s">
        <v>4081</v>
      </c>
      <c r="R17" s="3" t="s">
        <v>4088</v>
      </c>
      <c r="S17" s="3" t="s">
        <v>4095</v>
      </c>
    </row>
    <row r="18" spans="1:19">
      <c r="A18" s="3" t="s">
        <v>91</v>
      </c>
      <c r="C18" s="3" t="s">
        <v>69</v>
      </c>
      <c r="D18" s="3" t="s">
        <v>70</v>
      </c>
      <c r="E18" s="3" t="s">
        <v>71</v>
      </c>
      <c r="F18" s="3" t="s">
        <v>72</v>
      </c>
      <c r="G18" s="3" t="s">
        <v>73</v>
      </c>
      <c r="H18" s="3" t="s">
        <v>74</v>
      </c>
      <c r="I18" s="3" t="s">
        <v>3879</v>
      </c>
      <c r="P18" s="3" t="s">
        <v>4075</v>
      </c>
      <c r="Q18" s="3" t="s">
        <v>4082</v>
      </c>
      <c r="R18" s="3" t="s">
        <v>4089</v>
      </c>
      <c r="S18" s="3" t="s">
        <v>4096</v>
      </c>
    </row>
    <row r="19" spans="1:19">
      <c r="A19" s="3" t="s">
        <v>91</v>
      </c>
      <c r="C19" s="3" t="s">
        <v>77</v>
      </c>
      <c r="D19" s="3" t="s">
        <v>78</v>
      </c>
      <c r="E19" s="3" t="s">
        <v>79</v>
      </c>
      <c r="F19" s="3" t="s">
        <v>80</v>
      </c>
      <c r="G19" s="3" t="s">
        <v>76</v>
      </c>
      <c r="H19" s="3" t="s">
        <v>92</v>
      </c>
      <c r="I19" s="3" t="s">
        <v>3880</v>
      </c>
      <c r="P19" s="3" t="s">
        <v>4076</v>
      </c>
      <c r="Q19" s="3" t="s">
        <v>4083</v>
      </c>
      <c r="R19" s="3" t="s">
        <v>4090</v>
      </c>
      <c r="S19" s="3" t="s">
        <v>4097</v>
      </c>
    </row>
    <row r="20" spans="1:19">
      <c r="A20" s="3" t="s">
        <v>91</v>
      </c>
      <c r="C20" s="3" t="s">
        <v>81</v>
      </c>
      <c r="D20" s="3" t="s">
        <v>82</v>
      </c>
      <c r="E20" s="3" t="s">
        <v>83</v>
      </c>
      <c r="F20" s="3" t="s">
        <v>84</v>
      </c>
      <c r="G20" s="3" t="s">
        <v>93</v>
      </c>
      <c r="H20" s="3" t="s">
        <v>94</v>
      </c>
      <c r="I20" s="3" t="s">
        <v>3881</v>
      </c>
      <c r="P20" s="3" t="s">
        <v>4077</v>
      </c>
      <c r="Q20" s="3" t="s">
        <v>4084</v>
      </c>
      <c r="R20" s="3" t="s">
        <v>4091</v>
      </c>
      <c r="S20" s="3" t="s">
        <v>4098</v>
      </c>
    </row>
    <row r="21" spans="1:19">
      <c r="A21" s="3" t="s">
        <v>91</v>
      </c>
      <c r="C21" s="3" t="s">
        <v>86</v>
      </c>
      <c r="D21" s="3" t="s">
        <v>87</v>
      </c>
      <c r="E21" s="3" t="s">
        <v>88</v>
      </c>
      <c r="F21" s="3" t="s">
        <v>95</v>
      </c>
      <c r="G21" s="3" t="s">
        <v>96</v>
      </c>
      <c r="H21" s="3" t="s">
        <v>97</v>
      </c>
      <c r="I21" s="3" t="s">
        <v>3882</v>
      </c>
      <c r="P21" s="3" t="s">
        <v>4078</v>
      </c>
      <c r="Q21" s="3" t="s">
        <v>4085</v>
      </c>
      <c r="R21" s="3" t="s">
        <v>4092</v>
      </c>
      <c r="S21" s="3" t="s">
        <v>4099</v>
      </c>
    </row>
    <row r="22" spans="1:19">
      <c r="A22" s="3" t="s">
        <v>91</v>
      </c>
      <c r="C22" s="3" t="s">
        <v>98</v>
      </c>
      <c r="D22" s="3" t="s">
        <v>99</v>
      </c>
      <c r="E22" s="3" t="s">
        <v>89</v>
      </c>
      <c r="F22" s="3" t="s">
        <v>100</v>
      </c>
      <c r="G22" s="3" t="s">
        <v>101</v>
      </c>
      <c r="H22" s="3" t="s">
        <v>102</v>
      </c>
      <c r="I22" s="3" t="s">
        <v>3883</v>
      </c>
      <c r="P22" s="3" t="s">
        <v>4079</v>
      </c>
      <c r="Q22" s="3" t="s">
        <v>4086</v>
      </c>
      <c r="R22" s="3" t="s">
        <v>4093</v>
      </c>
      <c r="S22" s="3" t="s">
        <v>4100</v>
      </c>
    </row>
    <row r="23" spans="1:19">
      <c r="A23" s="3" t="s">
        <v>91</v>
      </c>
      <c r="C23" s="3" t="s">
        <v>2261</v>
      </c>
      <c r="D23" s="3" t="s">
        <v>2262</v>
      </c>
      <c r="E23" s="3" t="s">
        <v>2263</v>
      </c>
      <c r="F23" s="3" t="s">
        <v>2264</v>
      </c>
      <c r="G23" s="3" t="s">
        <v>2265</v>
      </c>
      <c r="H23" s="3" t="s">
        <v>2266</v>
      </c>
      <c r="I23" s="3" t="s">
        <v>3884</v>
      </c>
      <c r="P23" s="3" t="s">
        <v>4080</v>
      </c>
      <c r="Q23" s="3" t="s">
        <v>4087</v>
      </c>
      <c r="R23" s="3" t="s">
        <v>4094</v>
      </c>
      <c r="S23" s="3" t="s">
        <v>4101</v>
      </c>
    </row>
    <row r="24" spans="1:19">
      <c r="A24" s="3" t="s">
        <v>24</v>
      </c>
      <c r="C24" s="3" t="s">
        <v>63</v>
      </c>
      <c r="D24" s="3" t="s">
        <v>64</v>
      </c>
      <c r="E24" s="3" t="s">
        <v>65</v>
      </c>
      <c r="F24" s="3" t="s">
        <v>66</v>
      </c>
      <c r="G24" s="3" t="s">
        <v>67</v>
      </c>
      <c r="H24" s="3" t="s">
        <v>68</v>
      </c>
    </row>
    <row r="25" spans="1:19">
      <c r="C25" s="3" t="s">
        <v>104</v>
      </c>
      <c r="D25" s="3" t="s">
        <v>105</v>
      </c>
      <c r="E25" s="3" t="s">
        <v>106</v>
      </c>
      <c r="F25" s="3" t="s">
        <v>107</v>
      </c>
      <c r="G25" s="3" t="s">
        <v>103</v>
      </c>
      <c r="H25" s="3" t="s">
        <v>2267</v>
      </c>
      <c r="N25" s="3" t="s">
        <v>2268</v>
      </c>
      <c r="O25" s="3" t="s">
        <v>112</v>
      </c>
      <c r="S25" s="3" t="s">
        <v>2795</v>
      </c>
    </row>
    <row r="26" spans="1:19">
      <c r="A26" s="3" t="s">
        <v>91</v>
      </c>
      <c r="C26" s="3" t="s">
        <v>108</v>
      </c>
      <c r="D26" s="3" t="s">
        <v>109</v>
      </c>
      <c r="E26" s="3" t="s">
        <v>110</v>
      </c>
      <c r="F26" s="3" t="s">
        <v>111</v>
      </c>
      <c r="G26" s="3" t="s">
        <v>2269</v>
      </c>
      <c r="H26" s="3" t="s">
        <v>2270</v>
      </c>
      <c r="N26" s="3" t="s">
        <v>2271</v>
      </c>
      <c r="O26" s="3" t="s">
        <v>2272</v>
      </c>
    </row>
    <row r="27" spans="1:19">
      <c r="A27" s="3" t="s">
        <v>91</v>
      </c>
      <c r="C27" s="3" t="s">
        <v>113</v>
      </c>
      <c r="D27" s="3" t="s">
        <v>114</v>
      </c>
      <c r="E27" s="3" t="s">
        <v>115</v>
      </c>
      <c r="F27" s="3" t="s">
        <v>116</v>
      </c>
      <c r="G27" s="3" t="s">
        <v>117</v>
      </c>
      <c r="H27" s="3" t="s">
        <v>118</v>
      </c>
      <c r="I27" s="3" t="s">
        <v>2796</v>
      </c>
      <c r="P27" s="3" t="s">
        <v>4102</v>
      </c>
      <c r="Q27" s="3" t="s">
        <v>4109</v>
      </c>
      <c r="R27" s="3" t="s">
        <v>4116</v>
      </c>
      <c r="S27" s="3" t="s">
        <v>4123</v>
      </c>
    </row>
    <row r="28" spans="1:19">
      <c r="A28" s="3" t="s">
        <v>91</v>
      </c>
      <c r="C28" s="3" t="s">
        <v>119</v>
      </c>
      <c r="D28" s="3" t="s">
        <v>120</v>
      </c>
      <c r="E28" s="3" t="s">
        <v>121</v>
      </c>
      <c r="F28" s="3" t="s">
        <v>122</v>
      </c>
      <c r="G28" s="3" t="s">
        <v>123</v>
      </c>
      <c r="H28" s="3" t="s">
        <v>124</v>
      </c>
      <c r="I28" s="3" t="s">
        <v>3885</v>
      </c>
      <c r="P28" s="3" t="s">
        <v>4103</v>
      </c>
      <c r="Q28" s="3" t="s">
        <v>4110</v>
      </c>
      <c r="R28" s="3" t="s">
        <v>4117</v>
      </c>
      <c r="S28" s="3" t="s">
        <v>4124</v>
      </c>
    </row>
    <row r="29" spans="1:19">
      <c r="A29" s="3" t="s">
        <v>91</v>
      </c>
      <c r="C29" s="3" t="s">
        <v>125</v>
      </c>
      <c r="D29" s="3" t="s">
        <v>126</v>
      </c>
      <c r="E29" s="3" t="s">
        <v>127</v>
      </c>
      <c r="F29" s="3" t="s">
        <v>128</v>
      </c>
      <c r="G29" s="3" t="s">
        <v>129</v>
      </c>
      <c r="H29" s="3" t="s">
        <v>130</v>
      </c>
      <c r="I29" s="3" t="s">
        <v>3886</v>
      </c>
      <c r="P29" s="3" t="s">
        <v>4104</v>
      </c>
      <c r="Q29" s="3" t="s">
        <v>4111</v>
      </c>
      <c r="R29" s="3" t="s">
        <v>4118</v>
      </c>
      <c r="S29" s="3" t="s">
        <v>4125</v>
      </c>
    </row>
    <row r="30" spans="1:19">
      <c r="A30" s="3" t="s">
        <v>91</v>
      </c>
      <c r="C30" s="3" t="s">
        <v>131</v>
      </c>
      <c r="D30" s="3" t="s">
        <v>132</v>
      </c>
      <c r="E30" s="3" t="s">
        <v>133</v>
      </c>
      <c r="F30" s="3" t="s">
        <v>134</v>
      </c>
      <c r="G30" s="3" t="s">
        <v>135</v>
      </c>
      <c r="H30" s="3" t="s">
        <v>136</v>
      </c>
      <c r="I30" s="3" t="s">
        <v>3881</v>
      </c>
      <c r="P30" s="3" t="s">
        <v>4105</v>
      </c>
      <c r="Q30" s="3" t="s">
        <v>4112</v>
      </c>
      <c r="R30" s="3" t="s">
        <v>4119</v>
      </c>
      <c r="S30" s="3" t="s">
        <v>4126</v>
      </c>
    </row>
    <row r="31" spans="1:19">
      <c r="A31" s="3" t="s">
        <v>91</v>
      </c>
      <c r="C31" s="3" t="s">
        <v>137</v>
      </c>
      <c r="D31" s="3" t="s">
        <v>138</v>
      </c>
      <c r="E31" s="3" t="s">
        <v>139</v>
      </c>
      <c r="F31" s="3" t="s">
        <v>140</v>
      </c>
      <c r="G31" s="3" t="s">
        <v>141</v>
      </c>
      <c r="H31" s="3" t="s">
        <v>142</v>
      </c>
      <c r="I31" s="3" t="s">
        <v>3882</v>
      </c>
      <c r="P31" s="3" t="s">
        <v>4106</v>
      </c>
      <c r="Q31" s="3" t="s">
        <v>4113</v>
      </c>
      <c r="R31" s="3" t="s">
        <v>4120</v>
      </c>
      <c r="S31" s="3" t="s">
        <v>4127</v>
      </c>
    </row>
    <row r="32" spans="1:19">
      <c r="A32" s="3" t="s">
        <v>91</v>
      </c>
      <c r="C32" s="3" t="s">
        <v>143</v>
      </c>
      <c r="D32" s="3" t="s">
        <v>144</v>
      </c>
      <c r="E32" s="3" t="s">
        <v>145</v>
      </c>
      <c r="F32" s="3" t="s">
        <v>146</v>
      </c>
      <c r="G32" s="3" t="s">
        <v>147</v>
      </c>
      <c r="H32" s="3" t="s">
        <v>148</v>
      </c>
      <c r="I32" s="3" t="s">
        <v>3883</v>
      </c>
      <c r="P32" s="3" t="s">
        <v>4107</v>
      </c>
      <c r="Q32" s="3" t="s">
        <v>4114</v>
      </c>
      <c r="R32" s="3" t="s">
        <v>4121</v>
      </c>
      <c r="S32" s="3" t="s">
        <v>4128</v>
      </c>
    </row>
    <row r="33" spans="1:19">
      <c r="A33" s="3" t="s">
        <v>91</v>
      </c>
      <c r="C33" s="3" t="s">
        <v>2273</v>
      </c>
      <c r="D33" s="3" t="s">
        <v>2274</v>
      </c>
      <c r="E33" s="3" t="s">
        <v>2275</v>
      </c>
      <c r="F33" s="3" t="s">
        <v>2276</v>
      </c>
      <c r="G33" s="3" t="s">
        <v>2277</v>
      </c>
      <c r="H33" s="3" t="s">
        <v>2278</v>
      </c>
      <c r="I33" s="3" t="s">
        <v>3887</v>
      </c>
      <c r="P33" s="3" t="s">
        <v>4108</v>
      </c>
      <c r="Q33" s="3" t="s">
        <v>4115</v>
      </c>
      <c r="R33" s="3" t="s">
        <v>4122</v>
      </c>
      <c r="S33" s="3" t="s">
        <v>4129</v>
      </c>
    </row>
    <row r="34" spans="1:19">
      <c r="A34" s="3" t="s">
        <v>2812</v>
      </c>
      <c r="C34" s="3" t="s">
        <v>119</v>
      </c>
      <c r="D34" s="3" t="s">
        <v>120</v>
      </c>
      <c r="E34" s="3" t="s">
        <v>121</v>
      </c>
      <c r="F34" s="3" t="s">
        <v>122</v>
      </c>
      <c r="G34" s="3" t="s">
        <v>123</v>
      </c>
      <c r="H34" s="3" t="s">
        <v>124</v>
      </c>
    </row>
    <row r="35" spans="1:19">
      <c r="A35" s="3" t="s">
        <v>91</v>
      </c>
      <c r="C35" s="3" t="s">
        <v>150</v>
      </c>
      <c r="D35" s="3" t="s">
        <v>151</v>
      </c>
      <c r="E35" s="3" t="s">
        <v>152</v>
      </c>
      <c r="F35" s="3" t="s">
        <v>153</v>
      </c>
      <c r="G35" s="3" t="s">
        <v>149</v>
      </c>
      <c r="H35" s="3" t="s">
        <v>2279</v>
      </c>
      <c r="N35" s="3" t="s">
        <v>2280</v>
      </c>
      <c r="O35" s="3" t="s">
        <v>154</v>
      </c>
      <c r="S35" s="3" t="s">
        <v>2797</v>
      </c>
    </row>
    <row r="36" spans="1:19">
      <c r="A36" s="3" t="s">
        <v>24</v>
      </c>
      <c r="C36" s="3" t="s">
        <v>108</v>
      </c>
      <c r="D36" s="3" t="s">
        <v>109</v>
      </c>
      <c r="E36" s="3" t="s">
        <v>110</v>
      </c>
      <c r="F36" s="3" t="s">
        <v>111</v>
      </c>
    </row>
    <row r="37" spans="1:19">
      <c r="C37" s="3" t="s">
        <v>155</v>
      </c>
      <c r="D37" s="3" t="s">
        <v>156</v>
      </c>
      <c r="E37" s="3" t="s">
        <v>157</v>
      </c>
      <c r="F37" s="3" t="s">
        <v>158</v>
      </c>
      <c r="K37" s="3" t="s">
        <v>3195</v>
      </c>
      <c r="L37" s="3" t="s">
        <v>159</v>
      </c>
      <c r="M37" s="3" t="s">
        <v>160</v>
      </c>
      <c r="S37" s="3" t="s">
        <v>3196</v>
      </c>
    </row>
    <row r="38" spans="1:19">
      <c r="A38" s="3" t="s">
        <v>91</v>
      </c>
      <c r="C38" s="3" t="s">
        <v>3197</v>
      </c>
      <c r="D38" s="3" t="s">
        <v>3198</v>
      </c>
      <c r="E38" s="3" t="s">
        <v>161</v>
      </c>
      <c r="F38" s="3" t="s">
        <v>3199</v>
      </c>
      <c r="K38" s="3" t="s">
        <v>2299</v>
      </c>
      <c r="L38" s="3" t="s">
        <v>3200</v>
      </c>
      <c r="M38" s="3" t="s">
        <v>3201</v>
      </c>
    </row>
    <row r="39" spans="1:19">
      <c r="A39" s="3" t="s">
        <v>91</v>
      </c>
      <c r="C39" s="3" t="s">
        <v>162</v>
      </c>
      <c r="D39" s="3" t="s">
        <v>163</v>
      </c>
      <c r="E39" s="3" t="s">
        <v>164</v>
      </c>
      <c r="F39" s="3" t="s">
        <v>165</v>
      </c>
      <c r="G39" s="3" t="s">
        <v>3202</v>
      </c>
      <c r="H39" s="3" t="s">
        <v>3203</v>
      </c>
      <c r="N39" s="3" t="s">
        <v>3204</v>
      </c>
      <c r="O39" s="3" t="s">
        <v>3205</v>
      </c>
    </row>
    <row r="40" spans="1:19">
      <c r="A40" s="3" t="s">
        <v>91</v>
      </c>
      <c r="C40" s="3" t="s">
        <v>166</v>
      </c>
      <c r="D40" s="3" t="s">
        <v>167</v>
      </c>
      <c r="E40" s="3" t="s">
        <v>168</v>
      </c>
      <c r="F40" s="3" t="s">
        <v>169</v>
      </c>
      <c r="G40" s="3" t="s">
        <v>170</v>
      </c>
      <c r="H40" s="3" t="s">
        <v>171</v>
      </c>
      <c r="I40" s="3" t="s">
        <v>3206</v>
      </c>
      <c r="P40" s="3" t="s">
        <v>4234</v>
      </c>
      <c r="Q40" s="3" t="s">
        <v>4238</v>
      </c>
      <c r="R40" s="3" t="s">
        <v>4242</v>
      </c>
      <c r="S40" s="3" t="s">
        <v>4246</v>
      </c>
    </row>
    <row r="41" spans="1:19">
      <c r="A41" s="3" t="s">
        <v>91</v>
      </c>
      <c r="C41" s="3" t="s">
        <v>172</v>
      </c>
      <c r="D41" s="3" t="s">
        <v>173</v>
      </c>
      <c r="E41" s="3" t="s">
        <v>174</v>
      </c>
      <c r="F41" s="3" t="s">
        <v>175</v>
      </c>
      <c r="G41" s="3" t="s">
        <v>176</v>
      </c>
      <c r="H41" s="3" t="s">
        <v>177</v>
      </c>
      <c r="I41" s="3" t="s">
        <v>3881</v>
      </c>
      <c r="P41" s="3" t="s">
        <v>4235</v>
      </c>
      <c r="Q41" s="3" t="s">
        <v>4239</v>
      </c>
      <c r="R41" s="3" t="s">
        <v>4243</v>
      </c>
      <c r="S41" s="3" t="s">
        <v>4247</v>
      </c>
    </row>
    <row r="42" spans="1:19">
      <c r="A42" s="3" t="s">
        <v>91</v>
      </c>
      <c r="C42" s="3" t="s">
        <v>178</v>
      </c>
      <c r="D42" s="3" t="s">
        <v>179</v>
      </c>
      <c r="E42" s="3" t="s">
        <v>180</v>
      </c>
      <c r="F42" s="3" t="s">
        <v>181</v>
      </c>
      <c r="G42" s="3" t="s">
        <v>182</v>
      </c>
      <c r="H42" s="3" t="s">
        <v>183</v>
      </c>
      <c r="I42" s="3" t="s">
        <v>3888</v>
      </c>
      <c r="P42" s="3" t="s">
        <v>4236</v>
      </c>
      <c r="Q42" s="3" t="s">
        <v>4240</v>
      </c>
      <c r="R42" s="3" t="s">
        <v>4244</v>
      </c>
      <c r="S42" s="3" t="s">
        <v>4248</v>
      </c>
    </row>
    <row r="43" spans="1:19">
      <c r="A43" s="3" t="s">
        <v>91</v>
      </c>
      <c r="C43" s="3" t="s">
        <v>2281</v>
      </c>
      <c r="D43" s="3" t="s">
        <v>2282</v>
      </c>
      <c r="E43" s="3" t="s">
        <v>2283</v>
      </c>
      <c r="F43" s="3" t="s">
        <v>2284</v>
      </c>
      <c r="G43" s="3" t="s">
        <v>2285</v>
      </c>
      <c r="H43" s="3" t="s">
        <v>2286</v>
      </c>
      <c r="I43" s="3" t="s">
        <v>3889</v>
      </c>
      <c r="P43" s="3" t="s">
        <v>4237</v>
      </c>
      <c r="Q43" s="3" t="s">
        <v>4241</v>
      </c>
      <c r="R43" s="3" t="s">
        <v>4245</v>
      </c>
      <c r="S43" s="3" t="s">
        <v>4249</v>
      </c>
    </row>
    <row r="44" spans="1:19">
      <c r="A44" s="3" t="s">
        <v>2812</v>
      </c>
      <c r="C44" s="3" t="s">
        <v>172</v>
      </c>
      <c r="D44" s="3" t="s">
        <v>173</v>
      </c>
      <c r="E44" s="3" t="s">
        <v>174</v>
      </c>
      <c r="F44" s="3" t="s">
        <v>175</v>
      </c>
      <c r="G44" s="3" t="s">
        <v>176</v>
      </c>
      <c r="H44" s="3" t="s">
        <v>177</v>
      </c>
    </row>
    <row r="45" spans="1:19">
      <c r="A45" s="3" t="s">
        <v>91</v>
      </c>
      <c r="C45" s="3" t="s">
        <v>185</v>
      </c>
      <c r="D45" s="3" t="s">
        <v>186</v>
      </c>
      <c r="E45" s="3" t="s">
        <v>187</v>
      </c>
      <c r="F45" s="3" t="s">
        <v>188</v>
      </c>
      <c r="G45" s="3" t="s">
        <v>184</v>
      </c>
      <c r="H45" s="3" t="s">
        <v>2287</v>
      </c>
      <c r="N45" s="3" t="s">
        <v>2288</v>
      </c>
      <c r="O45" s="3" t="s">
        <v>193</v>
      </c>
      <c r="S45" s="3" t="s">
        <v>3207</v>
      </c>
    </row>
    <row r="46" spans="1:19">
      <c r="A46" s="3" t="s">
        <v>91</v>
      </c>
      <c r="C46" s="3" t="s">
        <v>189</v>
      </c>
      <c r="D46" s="3" t="s">
        <v>190</v>
      </c>
      <c r="E46" s="3" t="s">
        <v>191</v>
      </c>
      <c r="F46" s="3" t="s">
        <v>192</v>
      </c>
      <c r="G46" s="3" t="s">
        <v>2289</v>
      </c>
      <c r="H46" s="3" t="s">
        <v>2290</v>
      </c>
      <c r="N46" s="3" t="s">
        <v>2307</v>
      </c>
      <c r="O46" s="3" t="s">
        <v>2291</v>
      </c>
    </row>
    <row r="47" spans="1:19">
      <c r="A47" s="3" t="s">
        <v>91</v>
      </c>
      <c r="C47" s="3" t="s">
        <v>194</v>
      </c>
      <c r="D47" s="3" t="s">
        <v>195</v>
      </c>
      <c r="E47" s="3" t="s">
        <v>196</v>
      </c>
      <c r="F47" s="3" t="s">
        <v>197</v>
      </c>
      <c r="G47" s="3" t="s">
        <v>198</v>
      </c>
      <c r="H47" s="3" t="s">
        <v>199</v>
      </c>
      <c r="I47" s="3" t="s">
        <v>2798</v>
      </c>
      <c r="P47" s="3" t="s">
        <v>4250</v>
      </c>
      <c r="Q47" s="3" t="s">
        <v>4254</v>
      </c>
      <c r="R47" s="3" t="s">
        <v>4258</v>
      </c>
      <c r="S47" s="3" t="s">
        <v>4262</v>
      </c>
    </row>
    <row r="48" spans="1:19">
      <c r="A48" s="3" t="s">
        <v>91</v>
      </c>
      <c r="C48" s="3" t="s">
        <v>200</v>
      </c>
      <c r="D48" s="3" t="s">
        <v>201</v>
      </c>
      <c r="E48" s="3" t="s">
        <v>202</v>
      </c>
      <c r="F48" s="3" t="s">
        <v>203</v>
      </c>
      <c r="G48" s="3" t="s">
        <v>204</v>
      </c>
      <c r="H48" s="3" t="s">
        <v>205</v>
      </c>
      <c r="I48" s="3" t="s">
        <v>3881</v>
      </c>
      <c r="P48" s="3" t="s">
        <v>4251</v>
      </c>
      <c r="Q48" s="3" t="s">
        <v>4255</v>
      </c>
      <c r="R48" s="3" t="s">
        <v>4259</v>
      </c>
      <c r="S48" s="3" t="s">
        <v>4263</v>
      </c>
    </row>
    <row r="49" spans="1:19">
      <c r="A49" s="3" t="s">
        <v>91</v>
      </c>
      <c r="C49" s="3" t="s">
        <v>206</v>
      </c>
      <c r="D49" s="3" t="s">
        <v>207</v>
      </c>
      <c r="E49" s="3" t="s">
        <v>208</v>
      </c>
      <c r="F49" s="3" t="s">
        <v>209</v>
      </c>
      <c r="G49" s="3" t="s">
        <v>210</v>
      </c>
      <c r="H49" s="3" t="s">
        <v>211</v>
      </c>
      <c r="I49" s="3" t="s">
        <v>3888</v>
      </c>
      <c r="P49" s="3" t="s">
        <v>4252</v>
      </c>
      <c r="Q49" s="3" t="s">
        <v>4256</v>
      </c>
      <c r="R49" s="3" t="s">
        <v>4260</v>
      </c>
      <c r="S49" s="3" t="s">
        <v>4264</v>
      </c>
    </row>
    <row r="50" spans="1:19">
      <c r="A50" s="3" t="s">
        <v>91</v>
      </c>
      <c r="C50" s="3" t="s">
        <v>212</v>
      </c>
      <c r="D50" s="3" t="s">
        <v>213</v>
      </c>
      <c r="E50" s="3" t="s">
        <v>214</v>
      </c>
      <c r="F50" s="3" t="s">
        <v>215</v>
      </c>
      <c r="G50" s="3" t="s">
        <v>216</v>
      </c>
      <c r="H50" s="3" t="s">
        <v>217</v>
      </c>
      <c r="I50" s="3" t="s">
        <v>3889</v>
      </c>
      <c r="P50" s="3" t="s">
        <v>4253</v>
      </c>
      <c r="Q50" s="3" t="s">
        <v>4257</v>
      </c>
      <c r="R50" s="3" t="s">
        <v>4261</v>
      </c>
      <c r="S50" s="3" t="s">
        <v>4265</v>
      </c>
    </row>
    <row r="51" spans="1:19">
      <c r="A51" s="3" t="s">
        <v>2812</v>
      </c>
      <c r="C51" s="3" t="s">
        <v>200</v>
      </c>
      <c r="D51" s="3" t="s">
        <v>201</v>
      </c>
      <c r="E51" s="3" t="s">
        <v>202</v>
      </c>
      <c r="F51" s="3" t="s">
        <v>203</v>
      </c>
      <c r="G51" s="3" t="s">
        <v>204</v>
      </c>
      <c r="H51" s="3" t="s">
        <v>205</v>
      </c>
    </row>
    <row r="52" spans="1:19">
      <c r="A52" s="3" t="s">
        <v>91</v>
      </c>
      <c r="C52" s="3" t="s">
        <v>218</v>
      </c>
      <c r="D52" s="3" t="s">
        <v>219</v>
      </c>
      <c r="E52" s="3" t="s">
        <v>220</v>
      </c>
      <c r="F52" s="3" t="s">
        <v>221</v>
      </c>
      <c r="G52" s="3" t="s">
        <v>222</v>
      </c>
      <c r="H52" s="3" t="s">
        <v>223</v>
      </c>
      <c r="N52" s="3" t="s">
        <v>3208</v>
      </c>
      <c r="O52" s="3" t="s">
        <v>224</v>
      </c>
      <c r="S52" s="3" t="s">
        <v>3209</v>
      </c>
    </row>
    <row r="53" spans="1:19">
      <c r="A53" s="3" t="s">
        <v>2812</v>
      </c>
      <c r="C53" s="3" t="s">
        <v>189</v>
      </c>
      <c r="D53" s="3" t="s">
        <v>190</v>
      </c>
      <c r="E53" s="3" t="s">
        <v>191</v>
      </c>
      <c r="F53" s="3" t="s">
        <v>192</v>
      </c>
    </row>
    <row r="54" spans="1:19">
      <c r="A54" s="3" t="s">
        <v>91</v>
      </c>
      <c r="C54" s="3" t="s">
        <v>3210</v>
      </c>
      <c r="D54" s="3" t="s">
        <v>3211</v>
      </c>
      <c r="E54" s="3" t="s">
        <v>3212</v>
      </c>
      <c r="F54" s="3" t="s">
        <v>3213</v>
      </c>
      <c r="K54" s="3" t="s">
        <v>3214</v>
      </c>
      <c r="L54" s="3" t="s">
        <v>225</v>
      </c>
      <c r="M54" s="3" t="s">
        <v>226</v>
      </c>
      <c r="S54" s="3" t="s">
        <v>3215</v>
      </c>
    </row>
    <row r="55" spans="1:19">
      <c r="A55" s="3" t="s">
        <v>91</v>
      </c>
      <c r="C55" s="3" t="s">
        <v>3216</v>
      </c>
      <c r="D55" s="3" t="s">
        <v>3217</v>
      </c>
      <c r="E55" s="3" t="s">
        <v>227</v>
      </c>
      <c r="F55" s="3" t="s">
        <v>3218</v>
      </c>
      <c r="K55" s="3" t="s">
        <v>2325</v>
      </c>
      <c r="L55" s="3" t="s">
        <v>3219</v>
      </c>
      <c r="M55" s="3" t="s">
        <v>3220</v>
      </c>
    </row>
    <row r="56" spans="1:19">
      <c r="A56" s="3" t="s">
        <v>91</v>
      </c>
      <c r="C56" s="3" t="s">
        <v>228</v>
      </c>
      <c r="D56" s="3" t="s">
        <v>229</v>
      </c>
      <c r="E56" s="3" t="s">
        <v>230</v>
      </c>
      <c r="F56" s="3" t="s">
        <v>231</v>
      </c>
      <c r="G56" s="3" t="s">
        <v>232</v>
      </c>
      <c r="H56" s="3" t="s">
        <v>233</v>
      </c>
      <c r="N56" s="3" t="s">
        <v>3221</v>
      </c>
      <c r="O56" s="3" t="s">
        <v>2260</v>
      </c>
    </row>
    <row r="57" spans="1:19">
      <c r="A57" s="3" t="s">
        <v>91</v>
      </c>
      <c r="C57" s="3" t="s">
        <v>234</v>
      </c>
      <c r="D57" s="3" t="s">
        <v>235</v>
      </c>
      <c r="E57" s="3" t="s">
        <v>236</v>
      </c>
      <c r="F57" s="3" t="s">
        <v>237</v>
      </c>
      <c r="G57" s="3" t="s">
        <v>238</v>
      </c>
      <c r="H57" s="3" t="s">
        <v>239</v>
      </c>
      <c r="I57" s="3" t="s">
        <v>2799</v>
      </c>
      <c r="P57" s="3" t="s">
        <v>4178</v>
      </c>
      <c r="Q57" s="3" t="s">
        <v>4185</v>
      </c>
      <c r="R57" s="3" t="s">
        <v>4192</v>
      </c>
      <c r="S57" s="3" t="s">
        <v>4199</v>
      </c>
    </row>
    <row r="58" spans="1:19">
      <c r="A58" s="3" t="s">
        <v>91</v>
      </c>
      <c r="C58" s="3" t="s">
        <v>240</v>
      </c>
      <c r="D58" s="3" t="s">
        <v>241</v>
      </c>
      <c r="E58" s="3" t="s">
        <v>242</v>
      </c>
      <c r="F58" s="3" t="s">
        <v>243</v>
      </c>
      <c r="G58" s="3" t="s">
        <v>244</v>
      </c>
      <c r="H58" s="3" t="s">
        <v>245</v>
      </c>
      <c r="I58" s="3" t="s">
        <v>3890</v>
      </c>
      <c r="P58" s="3" t="s">
        <v>4179</v>
      </c>
      <c r="Q58" s="3" t="s">
        <v>4186</v>
      </c>
      <c r="R58" s="3" t="s">
        <v>4193</v>
      </c>
      <c r="S58" s="3" t="s">
        <v>4200</v>
      </c>
    </row>
    <row r="59" spans="1:19">
      <c r="A59" s="3" t="s">
        <v>91</v>
      </c>
      <c r="C59" s="3" t="s">
        <v>246</v>
      </c>
      <c r="D59" s="3" t="s">
        <v>247</v>
      </c>
      <c r="E59" s="3" t="s">
        <v>248</v>
      </c>
      <c r="F59" s="3" t="s">
        <v>249</v>
      </c>
      <c r="G59" s="3" t="s">
        <v>250</v>
      </c>
      <c r="H59" s="3" t="s">
        <v>251</v>
      </c>
      <c r="I59" s="3" t="s">
        <v>3891</v>
      </c>
      <c r="P59" s="3" t="s">
        <v>4180</v>
      </c>
      <c r="Q59" s="3" t="s">
        <v>4187</v>
      </c>
      <c r="R59" s="3" t="s">
        <v>4194</v>
      </c>
      <c r="S59" s="3" t="s">
        <v>4201</v>
      </c>
    </row>
    <row r="60" spans="1:19">
      <c r="A60" s="3" t="s">
        <v>91</v>
      </c>
      <c r="C60" s="3" t="s">
        <v>252</v>
      </c>
      <c r="D60" s="3" t="s">
        <v>253</v>
      </c>
      <c r="E60" s="3" t="s">
        <v>254</v>
      </c>
      <c r="F60" s="3" t="s">
        <v>255</v>
      </c>
      <c r="G60" s="3" t="s">
        <v>256</v>
      </c>
      <c r="H60" s="3" t="s">
        <v>257</v>
      </c>
      <c r="I60" s="3" t="s">
        <v>3881</v>
      </c>
      <c r="P60" s="3" t="s">
        <v>4181</v>
      </c>
      <c r="Q60" s="3" t="s">
        <v>4188</v>
      </c>
      <c r="R60" s="3" t="s">
        <v>4195</v>
      </c>
      <c r="S60" s="3" t="s">
        <v>4202</v>
      </c>
    </row>
    <row r="61" spans="1:19">
      <c r="A61" s="3" t="s">
        <v>91</v>
      </c>
      <c r="C61" s="3" t="s">
        <v>258</v>
      </c>
      <c r="D61" s="3" t="s">
        <v>259</v>
      </c>
      <c r="E61" s="3" t="s">
        <v>260</v>
      </c>
      <c r="F61" s="3" t="s">
        <v>261</v>
      </c>
      <c r="G61" s="3" t="s">
        <v>262</v>
      </c>
      <c r="H61" s="3" t="s">
        <v>263</v>
      </c>
      <c r="I61" s="3" t="s">
        <v>3882</v>
      </c>
      <c r="P61" s="3" t="s">
        <v>4182</v>
      </c>
      <c r="Q61" s="3" t="s">
        <v>4189</v>
      </c>
      <c r="R61" s="3" t="s">
        <v>4196</v>
      </c>
      <c r="S61" s="3" t="s">
        <v>4203</v>
      </c>
    </row>
    <row r="62" spans="1:19">
      <c r="A62" s="3" t="s">
        <v>91</v>
      </c>
      <c r="C62" s="3" t="s">
        <v>264</v>
      </c>
      <c r="D62" s="3" t="s">
        <v>265</v>
      </c>
      <c r="E62" s="3" t="s">
        <v>266</v>
      </c>
      <c r="F62" s="3" t="s">
        <v>267</v>
      </c>
      <c r="G62" s="3" t="s">
        <v>268</v>
      </c>
      <c r="H62" s="3" t="s">
        <v>269</v>
      </c>
      <c r="I62" s="3" t="s">
        <v>3883</v>
      </c>
      <c r="P62" s="3" t="s">
        <v>4183</v>
      </c>
      <c r="Q62" s="3" t="s">
        <v>4190</v>
      </c>
      <c r="R62" s="3" t="s">
        <v>4197</v>
      </c>
      <c r="S62" s="3" t="s">
        <v>4204</v>
      </c>
    </row>
    <row r="63" spans="1:19">
      <c r="A63" s="3" t="s">
        <v>91</v>
      </c>
      <c r="C63" s="3" t="s">
        <v>270</v>
      </c>
      <c r="D63" s="3" t="s">
        <v>271</v>
      </c>
      <c r="E63" s="3" t="s">
        <v>272</v>
      </c>
      <c r="F63" s="3" t="s">
        <v>273</v>
      </c>
      <c r="G63" s="3" t="s">
        <v>274</v>
      </c>
      <c r="H63" s="3" t="s">
        <v>275</v>
      </c>
      <c r="I63" s="3" t="s">
        <v>3892</v>
      </c>
      <c r="P63" s="3" t="s">
        <v>4184</v>
      </c>
      <c r="Q63" s="3" t="s">
        <v>4191</v>
      </c>
      <c r="R63" s="3" t="s">
        <v>4198</v>
      </c>
      <c r="S63" s="3" t="s">
        <v>4205</v>
      </c>
    </row>
    <row r="64" spans="1:19">
      <c r="A64" s="3" t="s">
        <v>2812</v>
      </c>
      <c r="C64" s="3" t="s">
        <v>240</v>
      </c>
      <c r="D64" s="3" t="s">
        <v>241</v>
      </c>
      <c r="E64" s="3" t="s">
        <v>242</v>
      </c>
      <c r="F64" s="3" t="s">
        <v>243</v>
      </c>
      <c r="G64" s="3" t="s">
        <v>244</v>
      </c>
      <c r="H64" s="3" t="s">
        <v>245</v>
      </c>
    </row>
    <row r="65" spans="1:19">
      <c r="A65" s="3" t="s">
        <v>91</v>
      </c>
      <c r="C65" s="3" t="s">
        <v>2292</v>
      </c>
      <c r="D65" s="3" t="s">
        <v>2293</v>
      </c>
      <c r="E65" s="3" t="s">
        <v>2294</v>
      </c>
      <c r="F65" s="3" t="s">
        <v>2295</v>
      </c>
      <c r="G65" s="3" t="s">
        <v>2296</v>
      </c>
      <c r="H65" s="3" t="s">
        <v>2297</v>
      </c>
      <c r="N65" s="3" t="s">
        <v>2298</v>
      </c>
      <c r="O65" s="3" t="s">
        <v>276</v>
      </c>
      <c r="S65" s="3" t="s">
        <v>2800</v>
      </c>
    </row>
    <row r="66" spans="1:19">
      <c r="A66" s="3" t="s">
        <v>91</v>
      </c>
      <c r="C66" s="3" t="s">
        <v>2813</v>
      </c>
      <c r="D66" s="3" t="s">
        <v>2814</v>
      </c>
      <c r="E66" s="3" t="s">
        <v>2815</v>
      </c>
      <c r="F66" s="3" t="s">
        <v>2816</v>
      </c>
      <c r="G66" s="3" t="s">
        <v>3222</v>
      </c>
      <c r="H66" s="3" t="s">
        <v>3223</v>
      </c>
      <c r="N66" s="3" t="s">
        <v>2333</v>
      </c>
      <c r="O66" s="3" t="s">
        <v>3224</v>
      </c>
    </row>
    <row r="67" spans="1:19">
      <c r="A67" s="3" t="s">
        <v>91</v>
      </c>
      <c r="C67" s="3" t="s">
        <v>277</v>
      </c>
      <c r="D67" s="3" t="s">
        <v>278</v>
      </c>
      <c r="E67" s="3" t="s">
        <v>279</v>
      </c>
      <c r="F67" s="3" t="s">
        <v>280</v>
      </c>
      <c r="G67" s="3" t="s">
        <v>2817</v>
      </c>
      <c r="H67" s="3" t="s">
        <v>2818</v>
      </c>
      <c r="I67" s="3" t="s">
        <v>3225</v>
      </c>
      <c r="P67" s="3" t="s">
        <v>4206</v>
      </c>
      <c r="Q67" s="3" t="s">
        <v>4213</v>
      </c>
      <c r="R67" s="3" t="s">
        <v>4220</v>
      </c>
      <c r="S67" s="3" t="s">
        <v>4227</v>
      </c>
    </row>
    <row r="68" spans="1:19">
      <c r="A68" s="3" t="s">
        <v>91</v>
      </c>
      <c r="C68" s="3" t="s">
        <v>281</v>
      </c>
      <c r="D68" s="3" t="s">
        <v>282</v>
      </c>
      <c r="E68" s="3" t="s">
        <v>283</v>
      </c>
      <c r="F68" s="3" t="s">
        <v>3226</v>
      </c>
      <c r="G68" s="3" t="s">
        <v>3227</v>
      </c>
      <c r="H68" s="3" t="s">
        <v>3228</v>
      </c>
      <c r="I68" s="3" t="s">
        <v>3890</v>
      </c>
      <c r="P68" s="3" t="s">
        <v>4207</v>
      </c>
      <c r="Q68" s="3" t="s">
        <v>4214</v>
      </c>
      <c r="R68" s="3" t="s">
        <v>4221</v>
      </c>
      <c r="S68" s="3" t="s">
        <v>4228</v>
      </c>
    </row>
    <row r="69" spans="1:19">
      <c r="A69" s="3" t="s">
        <v>91</v>
      </c>
      <c r="C69" s="3" t="s">
        <v>284</v>
      </c>
      <c r="D69" s="3" t="s">
        <v>285</v>
      </c>
      <c r="E69" s="3" t="s">
        <v>286</v>
      </c>
      <c r="F69" s="3" t="s">
        <v>287</v>
      </c>
      <c r="G69" s="3" t="s">
        <v>2819</v>
      </c>
      <c r="H69" s="3" t="s">
        <v>2820</v>
      </c>
      <c r="I69" s="3" t="s">
        <v>3891</v>
      </c>
      <c r="P69" s="3" t="s">
        <v>4208</v>
      </c>
      <c r="Q69" s="3" t="s">
        <v>4215</v>
      </c>
      <c r="R69" s="3" t="s">
        <v>4222</v>
      </c>
      <c r="S69" s="3" t="s">
        <v>4229</v>
      </c>
    </row>
    <row r="70" spans="1:19">
      <c r="A70" s="3" t="s">
        <v>91</v>
      </c>
      <c r="C70" s="3" t="s">
        <v>288</v>
      </c>
      <c r="D70" s="3" t="s">
        <v>289</v>
      </c>
      <c r="E70" s="3" t="s">
        <v>290</v>
      </c>
      <c r="F70" s="3" t="s">
        <v>291</v>
      </c>
      <c r="G70" s="3" t="s">
        <v>292</v>
      </c>
      <c r="H70" s="3" t="s">
        <v>293</v>
      </c>
      <c r="I70" s="3" t="s">
        <v>3881</v>
      </c>
      <c r="P70" s="3" t="s">
        <v>4209</v>
      </c>
      <c r="Q70" s="3" t="s">
        <v>4216</v>
      </c>
      <c r="R70" s="3" t="s">
        <v>4223</v>
      </c>
      <c r="S70" s="3" t="s">
        <v>4230</v>
      </c>
    </row>
    <row r="71" spans="1:19">
      <c r="A71" s="3" t="s">
        <v>91</v>
      </c>
      <c r="C71" s="3" t="s">
        <v>294</v>
      </c>
      <c r="D71" s="3" t="s">
        <v>295</v>
      </c>
      <c r="E71" s="3" t="s">
        <v>296</v>
      </c>
      <c r="F71" s="3" t="s">
        <v>297</v>
      </c>
      <c r="G71" s="3" t="s">
        <v>298</v>
      </c>
      <c r="H71" s="3" t="s">
        <v>299</v>
      </c>
      <c r="I71" s="3" t="s">
        <v>3882</v>
      </c>
      <c r="P71" s="3" t="s">
        <v>4210</v>
      </c>
      <c r="Q71" s="3" t="s">
        <v>4217</v>
      </c>
      <c r="R71" s="3" t="s">
        <v>4224</v>
      </c>
      <c r="S71" s="3" t="s">
        <v>4231</v>
      </c>
    </row>
    <row r="72" spans="1:19">
      <c r="A72" s="3" t="s">
        <v>91</v>
      </c>
      <c r="C72" s="3" t="s">
        <v>300</v>
      </c>
      <c r="D72" s="3" t="s">
        <v>301</v>
      </c>
      <c r="E72" s="3" t="s">
        <v>302</v>
      </c>
      <c r="F72" s="3" t="s">
        <v>303</v>
      </c>
      <c r="G72" s="3" t="s">
        <v>304</v>
      </c>
      <c r="H72" s="3" t="s">
        <v>305</v>
      </c>
      <c r="I72" s="3" t="s">
        <v>3883</v>
      </c>
      <c r="P72" s="3" t="s">
        <v>4211</v>
      </c>
      <c r="Q72" s="3" t="s">
        <v>4218</v>
      </c>
      <c r="R72" s="3" t="s">
        <v>4225</v>
      </c>
      <c r="S72" s="3" t="s">
        <v>4232</v>
      </c>
    </row>
    <row r="73" spans="1:19">
      <c r="A73" s="3" t="s">
        <v>91</v>
      </c>
      <c r="C73" s="3" t="s">
        <v>306</v>
      </c>
      <c r="D73" s="3" t="s">
        <v>307</v>
      </c>
      <c r="E73" s="3" t="s">
        <v>308</v>
      </c>
      <c r="F73" s="3" t="s">
        <v>309</v>
      </c>
      <c r="G73" s="3" t="s">
        <v>310</v>
      </c>
      <c r="H73" s="3" t="s">
        <v>311</v>
      </c>
      <c r="I73" s="3" t="s">
        <v>3892</v>
      </c>
      <c r="P73" s="3" t="s">
        <v>4212</v>
      </c>
      <c r="Q73" s="3" t="s">
        <v>4219</v>
      </c>
      <c r="R73" s="3" t="s">
        <v>4226</v>
      </c>
      <c r="S73" s="3" t="s">
        <v>4233</v>
      </c>
    </row>
    <row r="74" spans="1:19">
      <c r="A74" s="3" t="s">
        <v>2812</v>
      </c>
      <c r="C74" s="3" t="s">
        <v>281</v>
      </c>
      <c r="D74" s="3" t="s">
        <v>282</v>
      </c>
      <c r="E74" s="3" t="s">
        <v>283</v>
      </c>
      <c r="F74" s="3" t="s">
        <v>3226</v>
      </c>
      <c r="G74" s="3" t="s">
        <v>3227</v>
      </c>
      <c r="H74" s="3" t="s">
        <v>3228</v>
      </c>
    </row>
    <row r="75" spans="1:19">
      <c r="A75" s="3" t="s">
        <v>91</v>
      </c>
      <c r="C75" s="3" t="s">
        <v>2300</v>
      </c>
      <c r="D75" s="3" t="s">
        <v>2301</v>
      </c>
      <c r="E75" s="3" t="s">
        <v>2302</v>
      </c>
      <c r="F75" s="3" t="s">
        <v>2303</v>
      </c>
      <c r="G75" s="3" t="s">
        <v>2304</v>
      </c>
      <c r="H75" s="3" t="s">
        <v>2305</v>
      </c>
      <c r="N75" s="3" t="s">
        <v>2306</v>
      </c>
      <c r="O75" s="3" t="s">
        <v>312</v>
      </c>
      <c r="S75" s="3" t="s">
        <v>3229</v>
      </c>
    </row>
    <row r="76" spans="1:19">
      <c r="A76" s="3" t="s">
        <v>2812</v>
      </c>
      <c r="C76" s="3" t="s">
        <v>2813</v>
      </c>
      <c r="D76" s="3" t="s">
        <v>2814</v>
      </c>
      <c r="E76" s="3" t="s">
        <v>2815</v>
      </c>
      <c r="F76" s="3" t="s">
        <v>2816</v>
      </c>
    </row>
    <row r="77" spans="1:19">
      <c r="A77" s="3" t="s">
        <v>91</v>
      </c>
      <c r="C77" s="3" t="s">
        <v>2308</v>
      </c>
      <c r="D77" s="3" t="s">
        <v>2309</v>
      </c>
      <c r="E77" s="3" t="s">
        <v>2310</v>
      </c>
      <c r="F77" s="3" t="s">
        <v>2311</v>
      </c>
      <c r="K77" s="3" t="s">
        <v>3230</v>
      </c>
      <c r="L77" s="3" t="s">
        <v>313</v>
      </c>
      <c r="M77" s="3" t="s">
        <v>314</v>
      </c>
      <c r="S77" s="3" t="s">
        <v>3231</v>
      </c>
    </row>
    <row r="78" spans="1:19">
      <c r="A78" s="3" t="s">
        <v>91</v>
      </c>
      <c r="C78" s="3" t="s">
        <v>3232</v>
      </c>
      <c r="D78" s="3" t="s">
        <v>3233</v>
      </c>
      <c r="E78" s="3" t="s">
        <v>315</v>
      </c>
      <c r="F78" s="3" t="s">
        <v>3234</v>
      </c>
      <c r="K78" s="3" t="s">
        <v>2349</v>
      </c>
      <c r="L78" s="3" t="s">
        <v>3235</v>
      </c>
      <c r="M78" s="3" t="s">
        <v>3236</v>
      </c>
    </row>
    <row r="79" spans="1:19">
      <c r="A79" s="3" t="s">
        <v>91</v>
      </c>
      <c r="C79" s="3" t="s">
        <v>316</v>
      </c>
      <c r="D79" s="3" t="s">
        <v>317</v>
      </c>
      <c r="E79" s="3" t="s">
        <v>318</v>
      </c>
      <c r="F79" s="3" t="s">
        <v>2312</v>
      </c>
      <c r="G79" s="3" t="s">
        <v>3237</v>
      </c>
      <c r="H79" s="3" t="s">
        <v>3238</v>
      </c>
      <c r="N79" s="3" t="s">
        <v>3239</v>
      </c>
      <c r="O79" s="3" t="s">
        <v>3240</v>
      </c>
    </row>
    <row r="80" spans="1:19">
      <c r="A80" s="3" t="s">
        <v>91</v>
      </c>
      <c r="C80" s="3" t="s">
        <v>319</v>
      </c>
      <c r="D80" s="3" t="s">
        <v>320</v>
      </c>
      <c r="E80" s="3" t="s">
        <v>321</v>
      </c>
      <c r="F80" s="3" t="s">
        <v>322</v>
      </c>
      <c r="G80" s="3" t="s">
        <v>2313</v>
      </c>
      <c r="H80" s="3" t="s">
        <v>2314</v>
      </c>
      <c r="I80" s="3" t="s">
        <v>3241</v>
      </c>
      <c r="P80" s="3" t="s">
        <v>4130</v>
      </c>
      <c r="Q80" s="3" t="s">
        <v>4136</v>
      </c>
      <c r="R80" s="3" t="s">
        <v>4142</v>
      </c>
      <c r="S80" s="3" t="s">
        <v>4148</v>
      </c>
    </row>
    <row r="81" spans="1:19">
      <c r="A81" s="3" t="s">
        <v>91</v>
      </c>
      <c r="C81" s="3" t="s">
        <v>3242</v>
      </c>
      <c r="D81" s="3" t="s">
        <v>3243</v>
      </c>
      <c r="E81" s="3" t="s">
        <v>3244</v>
      </c>
      <c r="F81" s="3" t="s">
        <v>3245</v>
      </c>
      <c r="G81" s="3" t="s">
        <v>3246</v>
      </c>
      <c r="H81" s="3" t="s">
        <v>3247</v>
      </c>
      <c r="I81" s="3" t="s">
        <v>3893</v>
      </c>
      <c r="P81" s="3" t="s">
        <v>4131</v>
      </c>
      <c r="Q81" s="3" t="s">
        <v>4137</v>
      </c>
      <c r="R81" s="3" t="s">
        <v>4143</v>
      </c>
      <c r="S81" s="3" t="s">
        <v>4149</v>
      </c>
    </row>
    <row r="82" spans="1:19">
      <c r="A82" s="3" t="s">
        <v>91</v>
      </c>
      <c r="C82" s="3" t="s">
        <v>323</v>
      </c>
      <c r="D82" s="3" t="s">
        <v>324</v>
      </c>
      <c r="E82" s="3" t="s">
        <v>325</v>
      </c>
      <c r="F82" s="3" t="s">
        <v>326</v>
      </c>
      <c r="G82" s="3" t="s">
        <v>327</v>
      </c>
      <c r="H82" s="3" t="s">
        <v>328</v>
      </c>
      <c r="I82" s="3" t="s">
        <v>3894</v>
      </c>
      <c r="P82" s="3" t="s">
        <v>4132</v>
      </c>
      <c r="Q82" s="3" t="s">
        <v>4138</v>
      </c>
      <c r="R82" s="3" t="s">
        <v>4144</v>
      </c>
      <c r="S82" s="3" t="s">
        <v>4150</v>
      </c>
    </row>
    <row r="83" spans="1:19">
      <c r="A83" s="3" t="s">
        <v>91</v>
      </c>
      <c r="C83" s="3" t="s">
        <v>329</v>
      </c>
      <c r="D83" s="3" t="s">
        <v>330</v>
      </c>
      <c r="E83" s="3" t="s">
        <v>331</v>
      </c>
      <c r="F83" s="3" t="s">
        <v>332</v>
      </c>
      <c r="G83" s="3" t="s">
        <v>333</v>
      </c>
      <c r="H83" s="3" t="s">
        <v>3248</v>
      </c>
      <c r="I83" s="3" t="s">
        <v>3881</v>
      </c>
      <c r="P83" s="3" t="s">
        <v>4133</v>
      </c>
      <c r="Q83" s="3" t="s">
        <v>4139</v>
      </c>
      <c r="R83" s="3" t="s">
        <v>4145</v>
      </c>
      <c r="S83" s="3" t="s">
        <v>4151</v>
      </c>
    </row>
    <row r="84" spans="1:19">
      <c r="A84" s="3" t="s">
        <v>91</v>
      </c>
      <c r="C84" s="3" t="s">
        <v>334</v>
      </c>
      <c r="D84" s="3" t="s">
        <v>335</v>
      </c>
      <c r="E84" s="3" t="s">
        <v>336</v>
      </c>
      <c r="F84" s="3" t="s">
        <v>337</v>
      </c>
      <c r="G84" s="3" t="s">
        <v>338</v>
      </c>
      <c r="H84" s="3" t="s">
        <v>339</v>
      </c>
      <c r="I84" s="3" t="s">
        <v>3888</v>
      </c>
      <c r="P84" s="3" t="s">
        <v>4134</v>
      </c>
      <c r="Q84" s="3" t="s">
        <v>4140</v>
      </c>
      <c r="R84" s="3" t="s">
        <v>4146</v>
      </c>
      <c r="S84" s="3" t="s">
        <v>4152</v>
      </c>
    </row>
    <row r="85" spans="1:19">
      <c r="A85" s="3" t="s">
        <v>91</v>
      </c>
      <c r="C85" s="3" t="s">
        <v>340</v>
      </c>
      <c r="D85" s="3" t="s">
        <v>341</v>
      </c>
      <c r="E85" s="3" t="s">
        <v>342</v>
      </c>
      <c r="F85" s="3" t="s">
        <v>343</v>
      </c>
      <c r="G85" s="3" t="s">
        <v>344</v>
      </c>
      <c r="H85" s="3" t="s">
        <v>345</v>
      </c>
      <c r="I85" s="3" t="s">
        <v>3895</v>
      </c>
      <c r="P85" s="3" t="s">
        <v>4135</v>
      </c>
      <c r="Q85" s="3" t="s">
        <v>4141</v>
      </c>
      <c r="R85" s="3" t="s">
        <v>4147</v>
      </c>
      <c r="S85" s="3" t="s">
        <v>4153</v>
      </c>
    </row>
    <row r="86" spans="1:19">
      <c r="A86" s="3" t="s">
        <v>2812</v>
      </c>
      <c r="C86" s="3" t="s">
        <v>3242</v>
      </c>
      <c r="D86" s="3" t="s">
        <v>3243</v>
      </c>
      <c r="E86" s="3" t="s">
        <v>3244</v>
      </c>
      <c r="F86" s="3" t="s">
        <v>3245</v>
      </c>
      <c r="G86" s="3" t="s">
        <v>3246</v>
      </c>
      <c r="H86" s="3" t="s">
        <v>3247</v>
      </c>
    </row>
    <row r="87" spans="1:19">
      <c r="A87" s="3" t="s">
        <v>91</v>
      </c>
      <c r="C87" s="3" t="s">
        <v>2315</v>
      </c>
      <c r="D87" s="3" t="s">
        <v>2316</v>
      </c>
      <c r="E87" s="3" t="s">
        <v>2317</v>
      </c>
      <c r="F87" s="3" t="s">
        <v>2318</v>
      </c>
      <c r="G87" s="3" t="s">
        <v>2319</v>
      </c>
      <c r="H87" s="3" t="s">
        <v>2320</v>
      </c>
      <c r="N87" s="3" t="s">
        <v>3249</v>
      </c>
      <c r="O87" s="3" t="s">
        <v>350</v>
      </c>
      <c r="S87" s="3" t="s">
        <v>3250</v>
      </c>
    </row>
    <row r="88" spans="1:19">
      <c r="A88" s="3" t="s">
        <v>91</v>
      </c>
      <c r="C88" s="3" t="s">
        <v>346</v>
      </c>
      <c r="D88" s="3" t="s">
        <v>347</v>
      </c>
      <c r="E88" s="3" t="s">
        <v>348</v>
      </c>
      <c r="F88" s="3" t="s">
        <v>349</v>
      </c>
      <c r="G88" s="3" t="s">
        <v>3251</v>
      </c>
      <c r="H88" s="3" t="s">
        <v>3252</v>
      </c>
      <c r="N88" s="3" t="s">
        <v>2356</v>
      </c>
      <c r="O88" s="3" t="s">
        <v>3253</v>
      </c>
    </row>
    <row r="89" spans="1:19">
      <c r="A89" s="3" t="s">
        <v>91</v>
      </c>
      <c r="C89" s="3" t="s">
        <v>2821</v>
      </c>
      <c r="D89" s="3" t="s">
        <v>2822</v>
      </c>
      <c r="E89" s="3" t="s">
        <v>2823</v>
      </c>
      <c r="F89" s="3" t="s">
        <v>2824</v>
      </c>
      <c r="G89" s="3" t="s">
        <v>2825</v>
      </c>
      <c r="H89" s="3" t="s">
        <v>2826</v>
      </c>
      <c r="I89" s="3" t="s">
        <v>3254</v>
      </c>
      <c r="P89" s="3" t="s">
        <v>4154</v>
      </c>
      <c r="Q89" s="3" t="s">
        <v>4160</v>
      </c>
      <c r="R89" s="3" t="s">
        <v>4166</v>
      </c>
      <c r="S89" s="3" t="s">
        <v>4172</v>
      </c>
    </row>
    <row r="90" spans="1:19">
      <c r="A90" s="3" t="s">
        <v>91</v>
      </c>
      <c r="C90" s="3" t="s">
        <v>351</v>
      </c>
      <c r="D90" s="3" t="s">
        <v>352</v>
      </c>
      <c r="E90" s="3" t="s">
        <v>353</v>
      </c>
      <c r="F90" s="3" t="s">
        <v>354</v>
      </c>
      <c r="G90" s="3" t="s">
        <v>355</v>
      </c>
      <c r="H90" s="3" t="s">
        <v>356</v>
      </c>
      <c r="I90" s="3" t="s">
        <v>3893</v>
      </c>
      <c r="P90" s="3" t="s">
        <v>4155</v>
      </c>
      <c r="Q90" s="3" t="s">
        <v>4161</v>
      </c>
      <c r="R90" s="3" t="s">
        <v>4167</v>
      </c>
      <c r="S90" s="3" t="s">
        <v>4173</v>
      </c>
    </row>
    <row r="91" spans="1:19">
      <c r="A91" s="3" t="s">
        <v>91</v>
      </c>
      <c r="C91" s="3" t="s">
        <v>357</v>
      </c>
      <c r="D91" s="3" t="s">
        <v>358</v>
      </c>
      <c r="E91" s="3" t="s">
        <v>359</v>
      </c>
      <c r="F91" s="3" t="s">
        <v>360</v>
      </c>
      <c r="G91" s="3" t="s">
        <v>361</v>
      </c>
      <c r="H91" s="3" t="s">
        <v>3255</v>
      </c>
      <c r="I91" s="3" t="s">
        <v>3894</v>
      </c>
      <c r="P91" s="3" t="s">
        <v>4156</v>
      </c>
      <c r="Q91" s="3" t="s">
        <v>4162</v>
      </c>
      <c r="R91" s="3" t="s">
        <v>4168</v>
      </c>
      <c r="S91" s="3" t="s">
        <v>4174</v>
      </c>
    </row>
    <row r="92" spans="1:19">
      <c r="A92" s="3" t="s">
        <v>91</v>
      </c>
      <c r="C92" s="3" t="s">
        <v>362</v>
      </c>
      <c r="D92" s="3" t="s">
        <v>363</v>
      </c>
      <c r="E92" s="3" t="s">
        <v>364</v>
      </c>
      <c r="F92" s="3" t="s">
        <v>365</v>
      </c>
      <c r="G92" s="3" t="s">
        <v>366</v>
      </c>
      <c r="H92" s="3" t="s">
        <v>367</v>
      </c>
      <c r="I92" s="3" t="s">
        <v>3881</v>
      </c>
      <c r="P92" s="3" t="s">
        <v>4157</v>
      </c>
      <c r="Q92" s="3" t="s">
        <v>4163</v>
      </c>
      <c r="R92" s="3" t="s">
        <v>4169</v>
      </c>
      <c r="S92" s="3" t="s">
        <v>4175</v>
      </c>
    </row>
    <row r="93" spans="1:19">
      <c r="A93" s="3" t="s">
        <v>91</v>
      </c>
      <c r="C93" s="3" t="s">
        <v>368</v>
      </c>
      <c r="D93" s="3" t="s">
        <v>369</v>
      </c>
      <c r="E93" s="3" t="s">
        <v>370</v>
      </c>
      <c r="F93" s="3" t="s">
        <v>371</v>
      </c>
      <c r="G93" s="3" t="s">
        <v>372</v>
      </c>
      <c r="H93" s="3" t="s">
        <v>373</v>
      </c>
      <c r="I93" s="3" t="s">
        <v>3888</v>
      </c>
      <c r="P93" s="3" t="s">
        <v>4158</v>
      </c>
      <c r="Q93" s="3" t="s">
        <v>4164</v>
      </c>
      <c r="R93" s="3" t="s">
        <v>4170</v>
      </c>
      <c r="S93" s="3" t="s">
        <v>4176</v>
      </c>
    </row>
    <row r="94" spans="1:19">
      <c r="A94" s="3" t="s">
        <v>91</v>
      </c>
      <c r="C94" s="3" t="s">
        <v>374</v>
      </c>
      <c r="D94" s="3" t="s">
        <v>375</v>
      </c>
      <c r="E94" s="3" t="s">
        <v>376</v>
      </c>
      <c r="F94" s="3" t="s">
        <v>377</v>
      </c>
      <c r="G94" s="3" t="s">
        <v>378</v>
      </c>
      <c r="H94" s="3" t="s">
        <v>379</v>
      </c>
      <c r="I94" s="3" t="s">
        <v>3895</v>
      </c>
      <c r="P94" s="3" t="s">
        <v>4159</v>
      </c>
      <c r="Q94" s="3" t="s">
        <v>4165</v>
      </c>
      <c r="R94" s="3" t="s">
        <v>4171</v>
      </c>
      <c r="S94" s="3" t="s">
        <v>4177</v>
      </c>
    </row>
    <row r="95" spans="1:19">
      <c r="A95" s="3" t="s">
        <v>2812</v>
      </c>
      <c r="C95" s="3" t="s">
        <v>351</v>
      </c>
      <c r="D95" s="3" t="s">
        <v>352</v>
      </c>
      <c r="E95" s="3" t="s">
        <v>353</v>
      </c>
      <c r="F95" s="3" t="s">
        <v>354</v>
      </c>
      <c r="G95" s="3" t="s">
        <v>355</v>
      </c>
      <c r="H95" s="3" t="s">
        <v>356</v>
      </c>
    </row>
    <row r="96" spans="1:19">
      <c r="A96" s="3" t="s">
        <v>91</v>
      </c>
      <c r="C96" s="3" t="s">
        <v>2827</v>
      </c>
      <c r="D96" s="3" t="s">
        <v>2828</v>
      </c>
      <c r="E96" s="3" t="s">
        <v>2829</v>
      </c>
      <c r="F96" s="3" t="s">
        <v>2830</v>
      </c>
      <c r="G96" s="3" t="s">
        <v>2831</v>
      </c>
      <c r="H96" s="3" t="s">
        <v>2832</v>
      </c>
      <c r="N96" s="3" t="s">
        <v>3256</v>
      </c>
      <c r="O96" s="3" t="s">
        <v>380</v>
      </c>
      <c r="S96" s="3" t="s">
        <v>3257</v>
      </c>
    </row>
    <row r="97" spans="1:19">
      <c r="A97" s="3" t="s">
        <v>2812</v>
      </c>
      <c r="C97" s="3" t="s">
        <v>346</v>
      </c>
      <c r="D97" s="3" t="s">
        <v>347</v>
      </c>
      <c r="E97" s="3" t="s">
        <v>348</v>
      </c>
      <c r="F97" s="3" t="s">
        <v>349</v>
      </c>
    </row>
    <row r="98" spans="1:19">
      <c r="A98" s="3" t="s">
        <v>91</v>
      </c>
      <c r="C98" s="3" t="s">
        <v>381</v>
      </c>
      <c r="D98" s="3" t="s">
        <v>382</v>
      </c>
      <c r="E98" s="3" t="s">
        <v>383</v>
      </c>
      <c r="F98" s="3" t="s">
        <v>384</v>
      </c>
      <c r="K98" s="3" t="s">
        <v>3258</v>
      </c>
      <c r="L98" s="3" t="s">
        <v>385</v>
      </c>
      <c r="M98" s="3" t="s">
        <v>386</v>
      </c>
      <c r="S98" s="3" t="s">
        <v>3259</v>
      </c>
    </row>
    <row r="99" spans="1:19">
      <c r="E99" s="3" t="s">
        <v>161</v>
      </c>
    </row>
    <row r="100" spans="1:19">
      <c r="E100" s="3" t="s">
        <v>387</v>
      </c>
      <c r="J100" s="3" t="s">
        <v>3260</v>
      </c>
      <c r="S100" s="3" t="s">
        <v>3261</v>
      </c>
    </row>
    <row r="102" spans="1:19">
      <c r="A102" s="3" t="s">
        <v>91</v>
      </c>
      <c r="E102" s="3" t="s">
        <v>3262</v>
      </c>
      <c r="J102" s="3" t="s">
        <v>2382</v>
      </c>
    </row>
    <row r="103" spans="1:19">
      <c r="A103" s="3" t="s">
        <v>91</v>
      </c>
      <c r="C103" s="3" t="s">
        <v>3263</v>
      </c>
      <c r="D103" s="3" t="s">
        <v>3264</v>
      </c>
      <c r="E103" s="3" t="s">
        <v>3265</v>
      </c>
      <c r="F103" s="3" t="s">
        <v>3266</v>
      </c>
      <c r="K103" s="3" t="s">
        <v>3267</v>
      </c>
      <c r="L103" s="3" t="s">
        <v>3268</v>
      </c>
      <c r="M103" s="3" t="s">
        <v>3269</v>
      </c>
    </row>
    <row r="104" spans="1:19">
      <c r="A104" s="3" t="s">
        <v>91</v>
      </c>
      <c r="C104" s="3" t="s">
        <v>388</v>
      </c>
      <c r="D104" s="3" t="s">
        <v>389</v>
      </c>
      <c r="E104" s="3" t="s">
        <v>390</v>
      </c>
      <c r="F104" s="3" t="s">
        <v>391</v>
      </c>
      <c r="G104" s="3" t="s">
        <v>3270</v>
      </c>
      <c r="H104" s="3" t="s">
        <v>3271</v>
      </c>
      <c r="N104" s="3" t="s">
        <v>3272</v>
      </c>
      <c r="O104" s="3" t="s">
        <v>3273</v>
      </c>
    </row>
    <row r="105" spans="1:19">
      <c r="A105" s="3" t="s">
        <v>91</v>
      </c>
      <c r="C105" s="3" t="s">
        <v>2833</v>
      </c>
      <c r="D105" s="3" t="s">
        <v>2834</v>
      </c>
      <c r="E105" s="3" t="s">
        <v>2835</v>
      </c>
      <c r="F105" s="3" t="s">
        <v>3274</v>
      </c>
      <c r="G105" s="3" t="s">
        <v>392</v>
      </c>
      <c r="H105" s="3" t="s">
        <v>3275</v>
      </c>
      <c r="I105" s="3" t="s">
        <v>3276</v>
      </c>
      <c r="P105" s="3" t="s">
        <v>5242</v>
      </c>
      <c r="Q105" s="3" t="s">
        <v>5248</v>
      </c>
      <c r="R105" s="3" t="s">
        <v>5254</v>
      </c>
      <c r="S105" s="3" t="s">
        <v>5260</v>
      </c>
    </row>
    <row r="106" spans="1:19">
      <c r="A106" s="3" t="s">
        <v>91</v>
      </c>
      <c r="C106" s="3" t="s">
        <v>2321</v>
      </c>
      <c r="D106" s="3" t="s">
        <v>2322</v>
      </c>
      <c r="E106" s="3" t="s">
        <v>2323</v>
      </c>
      <c r="F106" s="3" t="s">
        <v>2324</v>
      </c>
      <c r="G106" s="3" t="s">
        <v>3277</v>
      </c>
      <c r="H106" s="3" t="s">
        <v>3278</v>
      </c>
      <c r="I106" s="3" t="s">
        <v>3896</v>
      </c>
      <c r="P106" s="3" t="s">
        <v>5243</v>
      </c>
      <c r="Q106" s="3" t="s">
        <v>5249</v>
      </c>
      <c r="R106" s="3" t="s">
        <v>5255</v>
      </c>
      <c r="S106" s="3" t="s">
        <v>5261</v>
      </c>
    </row>
    <row r="107" spans="1:19">
      <c r="A107" s="3" t="s">
        <v>91</v>
      </c>
      <c r="C107" s="3" t="s">
        <v>393</v>
      </c>
      <c r="D107" s="3" t="s">
        <v>394</v>
      </c>
      <c r="E107" s="3" t="s">
        <v>395</v>
      </c>
      <c r="F107" s="3" t="s">
        <v>2836</v>
      </c>
      <c r="G107" s="3" t="s">
        <v>2837</v>
      </c>
      <c r="H107" s="3" t="s">
        <v>2838</v>
      </c>
      <c r="I107" s="3" t="s">
        <v>3897</v>
      </c>
      <c r="P107" s="3" t="s">
        <v>5244</v>
      </c>
      <c r="Q107" s="3" t="s">
        <v>5250</v>
      </c>
      <c r="R107" s="3" t="s">
        <v>5256</v>
      </c>
      <c r="S107" s="3" t="s">
        <v>5262</v>
      </c>
    </row>
    <row r="108" spans="1:19">
      <c r="A108" s="3" t="s">
        <v>91</v>
      </c>
      <c r="C108" s="3" t="s">
        <v>396</v>
      </c>
      <c r="D108" s="3" t="s">
        <v>397</v>
      </c>
      <c r="E108" s="3" t="s">
        <v>398</v>
      </c>
      <c r="F108" s="3" t="s">
        <v>399</v>
      </c>
      <c r="G108" s="3" t="s">
        <v>2839</v>
      </c>
      <c r="H108" s="3" t="s">
        <v>2840</v>
      </c>
      <c r="I108" s="3" t="s">
        <v>3881</v>
      </c>
      <c r="P108" s="3" t="s">
        <v>5245</v>
      </c>
      <c r="Q108" s="3" t="s">
        <v>5251</v>
      </c>
      <c r="R108" s="3" t="s">
        <v>5257</v>
      </c>
      <c r="S108" s="3" t="s">
        <v>5263</v>
      </c>
    </row>
    <row r="109" spans="1:19">
      <c r="A109" s="3" t="s">
        <v>91</v>
      </c>
      <c r="C109" s="3" t="s">
        <v>400</v>
      </c>
      <c r="D109" s="3" t="s">
        <v>401</v>
      </c>
      <c r="E109" s="3" t="s">
        <v>402</v>
      </c>
      <c r="F109" s="3" t="s">
        <v>403</v>
      </c>
      <c r="G109" s="3" t="s">
        <v>404</v>
      </c>
      <c r="H109" s="3" t="s">
        <v>405</v>
      </c>
      <c r="I109" s="3" t="s">
        <v>3888</v>
      </c>
      <c r="P109" s="3" t="s">
        <v>5246</v>
      </c>
      <c r="Q109" s="3" t="s">
        <v>5252</v>
      </c>
      <c r="R109" s="3" t="s">
        <v>5258</v>
      </c>
      <c r="S109" s="3" t="s">
        <v>5264</v>
      </c>
    </row>
    <row r="110" spans="1:19">
      <c r="A110" s="3" t="s">
        <v>91</v>
      </c>
      <c r="C110" s="3" t="s">
        <v>406</v>
      </c>
      <c r="D110" s="3" t="s">
        <v>407</v>
      </c>
      <c r="E110" s="3" t="s">
        <v>408</v>
      </c>
      <c r="F110" s="3" t="s">
        <v>409</v>
      </c>
      <c r="G110" s="3" t="s">
        <v>410</v>
      </c>
      <c r="H110" s="3" t="s">
        <v>411</v>
      </c>
      <c r="I110" s="3" t="s">
        <v>3898</v>
      </c>
      <c r="P110" s="3" t="s">
        <v>5247</v>
      </c>
      <c r="Q110" s="3" t="s">
        <v>5253</v>
      </c>
      <c r="R110" s="3" t="s">
        <v>5259</v>
      </c>
      <c r="S110" s="3" t="s">
        <v>5265</v>
      </c>
    </row>
    <row r="111" spans="1:19">
      <c r="A111" s="3" t="s">
        <v>2812</v>
      </c>
      <c r="C111" s="3" t="s">
        <v>2321</v>
      </c>
      <c r="D111" s="3" t="s">
        <v>2322</v>
      </c>
      <c r="E111" s="3" t="s">
        <v>2323</v>
      </c>
      <c r="F111" s="3" t="s">
        <v>2324</v>
      </c>
      <c r="G111" s="3" t="s">
        <v>3277</v>
      </c>
      <c r="H111" s="3" t="s">
        <v>3278</v>
      </c>
    </row>
    <row r="112" spans="1:19">
      <c r="A112" s="3" t="s">
        <v>91</v>
      </c>
      <c r="C112" s="3" t="s">
        <v>412</v>
      </c>
      <c r="D112" s="3" t="s">
        <v>413</v>
      </c>
      <c r="E112" s="3" t="s">
        <v>414</v>
      </c>
      <c r="F112" s="3" t="s">
        <v>415</v>
      </c>
      <c r="G112" s="3" t="s">
        <v>416</v>
      </c>
      <c r="H112" s="3" t="s">
        <v>417</v>
      </c>
      <c r="N112" s="3" t="s">
        <v>3279</v>
      </c>
      <c r="O112" s="3" t="s">
        <v>422</v>
      </c>
      <c r="S112" s="3" t="s">
        <v>3280</v>
      </c>
    </row>
    <row r="113" spans="1:19">
      <c r="A113" s="3" t="s">
        <v>91</v>
      </c>
      <c r="C113" s="3" t="s">
        <v>418</v>
      </c>
      <c r="D113" s="3" t="s">
        <v>419</v>
      </c>
      <c r="E113" s="3" t="s">
        <v>420</v>
      </c>
      <c r="F113" s="3" t="s">
        <v>421</v>
      </c>
      <c r="G113" s="3" t="s">
        <v>3281</v>
      </c>
      <c r="H113" s="3" t="s">
        <v>3282</v>
      </c>
      <c r="N113" s="3" t="s">
        <v>2402</v>
      </c>
      <c r="O113" s="3" t="s">
        <v>3283</v>
      </c>
    </row>
    <row r="114" spans="1:19">
      <c r="A114" s="3" t="s">
        <v>91</v>
      </c>
      <c r="C114" s="3" t="s">
        <v>423</v>
      </c>
      <c r="D114" s="3" t="s">
        <v>424</v>
      </c>
      <c r="E114" s="3" t="s">
        <v>425</v>
      </c>
      <c r="F114" s="3" t="s">
        <v>426</v>
      </c>
      <c r="G114" s="3" t="s">
        <v>427</v>
      </c>
      <c r="H114" s="3" t="s">
        <v>428</v>
      </c>
      <c r="I114" s="3" t="s">
        <v>3284</v>
      </c>
      <c r="P114" s="3" t="s">
        <v>5266</v>
      </c>
      <c r="Q114" s="3" t="s">
        <v>5272</v>
      </c>
      <c r="R114" s="3" t="s">
        <v>5278</v>
      </c>
      <c r="S114" s="3" t="s">
        <v>5284</v>
      </c>
    </row>
    <row r="115" spans="1:19">
      <c r="A115" s="3" t="s">
        <v>91</v>
      </c>
      <c r="C115" s="3" t="s">
        <v>2326</v>
      </c>
      <c r="D115" s="3" t="s">
        <v>2327</v>
      </c>
      <c r="E115" s="3" t="s">
        <v>2328</v>
      </c>
      <c r="F115" s="3" t="s">
        <v>2329</v>
      </c>
      <c r="G115" s="3" t="s">
        <v>2330</v>
      </c>
      <c r="H115" s="3" t="s">
        <v>2331</v>
      </c>
      <c r="I115" s="3" t="s">
        <v>3896</v>
      </c>
      <c r="P115" s="3" t="s">
        <v>5267</v>
      </c>
      <c r="Q115" s="3" t="s">
        <v>5273</v>
      </c>
      <c r="R115" s="3" t="s">
        <v>5279</v>
      </c>
      <c r="S115" s="3" t="s">
        <v>5285</v>
      </c>
    </row>
    <row r="116" spans="1:19">
      <c r="A116" s="3" t="s">
        <v>91</v>
      </c>
      <c r="C116" s="3" t="s">
        <v>2841</v>
      </c>
      <c r="D116" s="3" t="s">
        <v>2842</v>
      </c>
      <c r="E116" s="3" t="s">
        <v>2843</v>
      </c>
      <c r="F116" s="3" t="s">
        <v>2844</v>
      </c>
      <c r="G116" s="3" t="s">
        <v>2845</v>
      </c>
      <c r="H116" s="3" t="s">
        <v>2846</v>
      </c>
      <c r="I116" s="3" t="s">
        <v>3897</v>
      </c>
      <c r="P116" s="3" t="s">
        <v>5268</v>
      </c>
      <c r="Q116" s="3" t="s">
        <v>5274</v>
      </c>
      <c r="R116" s="3" t="s">
        <v>5280</v>
      </c>
      <c r="S116" s="3" t="s">
        <v>5286</v>
      </c>
    </row>
    <row r="117" spans="1:19">
      <c r="A117" s="3" t="s">
        <v>91</v>
      </c>
      <c r="C117" s="3" t="s">
        <v>430</v>
      </c>
      <c r="D117" s="3" t="s">
        <v>431</v>
      </c>
      <c r="E117" s="3" t="s">
        <v>432</v>
      </c>
      <c r="F117" s="3" t="s">
        <v>433</v>
      </c>
      <c r="G117" s="3" t="s">
        <v>429</v>
      </c>
      <c r="H117" s="3" t="s">
        <v>2332</v>
      </c>
      <c r="I117" s="3" t="s">
        <v>3881</v>
      </c>
      <c r="P117" s="3" t="s">
        <v>5269</v>
      </c>
      <c r="Q117" s="3" t="s">
        <v>5275</v>
      </c>
      <c r="R117" s="3" t="s">
        <v>5281</v>
      </c>
      <c r="S117" s="3" t="s">
        <v>5287</v>
      </c>
    </row>
    <row r="118" spans="1:19">
      <c r="A118" s="3" t="s">
        <v>91</v>
      </c>
      <c r="C118" s="3" t="s">
        <v>434</v>
      </c>
      <c r="D118" s="3" t="s">
        <v>435</v>
      </c>
      <c r="E118" s="3" t="s">
        <v>436</v>
      </c>
      <c r="F118" s="3" t="s">
        <v>437</v>
      </c>
      <c r="G118" s="3" t="s">
        <v>438</v>
      </c>
      <c r="H118" s="3" t="s">
        <v>2847</v>
      </c>
      <c r="I118" s="3" t="s">
        <v>3888</v>
      </c>
      <c r="P118" s="3" t="s">
        <v>5270</v>
      </c>
      <c r="Q118" s="3" t="s">
        <v>5276</v>
      </c>
      <c r="R118" s="3" t="s">
        <v>5282</v>
      </c>
      <c r="S118" s="3" t="s">
        <v>5288</v>
      </c>
    </row>
    <row r="119" spans="1:19">
      <c r="A119" s="3" t="s">
        <v>91</v>
      </c>
      <c r="C119" s="3" t="s">
        <v>439</v>
      </c>
      <c r="D119" s="3" t="s">
        <v>440</v>
      </c>
      <c r="E119" s="3" t="s">
        <v>441</v>
      </c>
      <c r="F119" s="3" t="s">
        <v>442</v>
      </c>
      <c r="G119" s="3" t="s">
        <v>443</v>
      </c>
      <c r="H119" s="3" t="s">
        <v>444</v>
      </c>
      <c r="I119" s="3" t="s">
        <v>3898</v>
      </c>
      <c r="P119" s="3" t="s">
        <v>5271</v>
      </c>
      <c r="Q119" s="3" t="s">
        <v>5277</v>
      </c>
      <c r="R119" s="3" t="s">
        <v>5283</v>
      </c>
      <c r="S119" s="3" t="s">
        <v>5289</v>
      </c>
    </row>
    <row r="120" spans="1:19">
      <c r="A120" s="3" t="s">
        <v>2812</v>
      </c>
      <c r="C120" s="3" t="s">
        <v>2326</v>
      </c>
      <c r="D120" s="3" t="s">
        <v>2327</v>
      </c>
      <c r="E120" s="3" t="s">
        <v>2328</v>
      </c>
      <c r="F120" s="3" t="s">
        <v>2329</v>
      </c>
      <c r="G120" s="3" t="s">
        <v>2330</v>
      </c>
      <c r="H120" s="3" t="s">
        <v>2331</v>
      </c>
    </row>
    <row r="121" spans="1:19">
      <c r="A121" s="3" t="s">
        <v>91</v>
      </c>
      <c r="C121" s="3" t="s">
        <v>445</v>
      </c>
      <c r="D121" s="3" t="s">
        <v>446</v>
      </c>
      <c r="E121" s="3" t="s">
        <v>447</v>
      </c>
      <c r="F121" s="3" t="s">
        <v>448</v>
      </c>
      <c r="G121" s="3" t="s">
        <v>449</v>
      </c>
      <c r="H121" s="3" t="s">
        <v>450</v>
      </c>
      <c r="N121" s="3" t="s">
        <v>3285</v>
      </c>
      <c r="O121" s="3" t="s">
        <v>451</v>
      </c>
      <c r="S121" s="3" t="s">
        <v>3286</v>
      </c>
    </row>
    <row r="122" spans="1:19">
      <c r="A122" s="3" t="s">
        <v>2812</v>
      </c>
      <c r="C122" s="3" t="s">
        <v>418</v>
      </c>
      <c r="D122" s="3" t="s">
        <v>419</v>
      </c>
      <c r="E122" s="3" t="s">
        <v>420</v>
      </c>
      <c r="F122" s="3" t="s">
        <v>421</v>
      </c>
    </row>
    <row r="123" spans="1:19">
      <c r="A123" s="3" t="s">
        <v>91</v>
      </c>
      <c r="C123" s="3" t="s">
        <v>452</v>
      </c>
      <c r="D123" s="3" t="s">
        <v>453</v>
      </c>
      <c r="E123" s="3" t="s">
        <v>454</v>
      </c>
      <c r="F123" s="3" t="s">
        <v>455</v>
      </c>
      <c r="K123" s="3" t="s">
        <v>3287</v>
      </c>
      <c r="L123" s="3" t="s">
        <v>2334</v>
      </c>
      <c r="M123" s="3" t="s">
        <v>2335</v>
      </c>
      <c r="S123" s="3" t="s">
        <v>3288</v>
      </c>
    </row>
    <row r="124" spans="1:19">
      <c r="A124" s="3" t="s">
        <v>91</v>
      </c>
      <c r="C124" s="3" t="s">
        <v>3289</v>
      </c>
      <c r="D124" s="3" t="s">
        <v>3290</v>
      </c>
      <c r="E124" s="3" t="s">
        <v>2336</v>
      </c>
      <c r="F124" s="3" t="s">
        <v>3291</v>
      </c>
      <c r="K124" s="3" t="s">
        <v>2438</v>
      </c>
      <c r="L124" s="3" t="s">
        <v>3292</v>
      </c>
      <c r="M124" s="3" t="s">
        <v>3293</v>
      </c>
    </row>
    <row r="125" spans="1:19">
      <c r="A125" s="3" t="s">
        <v>91</v>
      </c>
      <c r="C125" s="3" t="s">
        <v>456</v>
      </c>
      <c r="D125" s="3" t="s">
        <v>457</v>
      </c>
      <c r="E125" s="3" t="s">
        <v>458</v>
      </c>
      <c r="F125" s="3" t="s">
        <v>459</v>
      </c>
      <c r="G125" s="3" t="s">
        <v>2848</v>
      </c>
      <c r="H125" s="3" t="s">
        <v>2849</v>
      </c>
      <c r="N125" s="3" t="s">
        <v>3294</v>
      </c>
      <c r="O125" s="3" t="s">
        <v>2850</v>
      </c>
    </row>
    <row r="126" spans="1:19">
      <c r="A126" s="3" t="s">
        <v>91</v>
      </c>
      <c r="C126" s="3" t="s">
        <v>2851</v>
      </c>
      <c r="D126" s="3" t="s">
        <v>2852</v>
      </c>
      <c r="E126" s="3" t="s">
        <v>2853</v>
      </c>
      <c r="F126" s="3" t="s">
        <v>2854</v>
      </c>
      <c r="G126" s="3" t="s">
        <v>2855</v>
      </c>
      <c r="H126" s="3" t="s">
        <v>2856</v>
      </c>
      <c r="I126" s="3" t="s">
        <v>2857</v>
      </c>
      <c r="P126" s="3" t="s">
        <v>5378</v>
      </c>
      <c r="Q126" s="3" t="s">
        <v>5382</v>
      </c>
      <c r="R126" s="3" t="s">
        <v>5386</v>
      </c>
      <c r="S126" s="3" t="s">
        <v>5390</v>
      </c>
    </row>
    <row r="127" spans="1:19">
      <c r="A127" s="3" t="s">
        <v>91</v>
      </c>
      <c r="C127" s="3" t="s">
        <v>460</v>
      </c>
      <c r="D127" s="3" t="s">
        <v>461</v>
      </c>
      <c r="E127" s="3" t="s">
        <v>462</v>
      </c>
      <c r="F127" s="3" t="s">
        <v>463</v>
      </c>
      <c r="G127" s="3" t="s">
        <v>464</v>
      </c>
      <c r="H127" s="3" t="s">
        <v>465</v>
      </c>
      <c r="I127" s="3" t="s">
        <v>3881</v>
      </c>
      <c r="P127" s="3" t="s">
        <v>5379</v>
      </c>
      <c r="Q127" s="3" t="s">
        <v>5383</v>
      </c>
      <c r="R127" s="3" t="s">
        <v>5387</v>
      </c>
      <c r="S127" s="3" t="s">
        <v>5391</v>
      </c>
    </row>
    <row r="128" spans="1:19">
      <c r="A128" s="3" t="s">
        <v>91</v>
      </c>
      <c r="C128" s="3" t="s">
        <v>466</v>
      </c>
      <c r="D128" s="3" t="s">
        <v>467</v>
      </c>
      <c r="E128" s="3" t="s">
        <v>468</v>
      </c>
      <c r="F128" s="3" t="s">
        <v>469</v>
      </c>
      <c r="G128" s="3" t="s">
        <v>470</v>
      </c>
      <c r="H128" s="3" t="s">
        <v>2858</v>
      </c>
      <c r="I128" s="3" t="s">
        <v>3888</v>
      </c>
      <c r="P128" s="3" t="s">
        <v>5380</v>
      </c>
      <c r="Q128" s="3" t="s">
        <v>5384</v>
      </c>
      <c r="R128" s="3" t="s">
        <v>5388</v>
      </c>
      <c r="S128" s="3" t="s">
        <v>5392</v>
      </c>
    </row>
    <row r="129" spans="1:19">
      <c r="A129" s="3" t="s">
        <v>91</v>
      </c>
      <c r="C129" s="3" t="s">
        <v>471</v>
      </c>
      <c r="D129" s="3" t="s">
        <v>472</v>
      </c>
      <c r="E129" s="3" t="s">
        <v>473</v>
      </c>
      <c r="F129" s="3" t="s">
        <v>474</v>
      </c>
      <c r="G129" s="3" t="s">
        <v>475</v>
      </c>
      <c r="H129" s="3" t="s">
        <v>476</v>
      </c>
      <c r="I129" s="3" t="s">
        <v>3899</v>
      </c>
      <c r="P129" s="3" t="s">
        <v>5381</v>
      </c>
      <c r="Q129" s="3" t="s">
        <v>5385</v>
      </c>
      <c r="R129" s="3" t="s">
        <v>5389</v>
      </c>
      <c r="S129" s="3" t="s">
        <v>5393</v>
      </c>
    </row>
    <row r="130" spans="1:19">
      <c r="A130" s="3" t="s">
        <v>2812</v>
      </c>
      <c r="C130" s="3" t="s">
        <v>460</v>
      </c>
      <c r="D130" s="3" t="s">
        <v>461</v>
      </c>
      <c r="E130" s="3" t="s">
        <v>462</v>
      </c>
      <c r="F130" s="3" t="s">
        <v>463</v>
      </c>
      <c r="G130" s="3" t="s">
        <v>464</v>
      </c>
      <c r="H130" s="3" t="s">
        <v>465</v>
      </c>
    </row>
    <row r="131" spans="1:19">
      <c r="A131" s="3" t="s">
        <v>91</v>
      </c>
      <c r="C131" s="3" t="s">
        <v>477</v>
      </c>
      <c r="D131" s="3" t="s">
        <v>478</v>
      </c>
      <c r="E131" s="3" t="s">
        <v>479</v>
      </c>
      <c r="F131" s="3" t="s">
        <v>480</v>
      </c>
      <c r="G131" s="3" t="s">
        <v>481</v>
      </c>
      <c r="H131" s="3" t="s">
        <v>482</v>
      </c>
      <c r="N131" s="3" t="s">
        <v>3295</v>
      </c>
      <c r="O131" s="3" t="s">
        <v>487</v>
      </c>
      <c r="S131" s="3" t="s">
        <v>3296</v>
      </c>
    </row>
    <row r="132" spans="1:19">
      <c r="A132" s="3" t="s">
        <v>91</v>
      </c>
      <c r="C132" s="3" t="s">
        <v>483</v>
      </c>
      <c r="D132" s="3" t="s">
        <v>484</v>
      </c>
      <c r="E132" s="3" t="s">
        <v>485</v>
      </c>
      <c r="F132" s="3" t="s">
        <v>486</v>
      </c>
      <c r="G132" s="3" t="s">
        <v>3297</v>
      </c>
      <c r="H132" s="3" t="s">
        <v>3298</v>
      </c>
      <c r="N132" s="3" t="s">
        <v>2444</v>
      </c>
      <c r="O132" s="3" t="s">
        <v>3299</v>
      </c>
    </row>
    <row r="133" spans="1:19">
      <c r="A133" s="3" t="s">
        <v>91</v>
      </c>
      <c r="C133" s="3" t="s">
        <v>2337</v>
      </c>
      <c r="D133" s="3" t="s">
        <v>2338</v>
      </c>
      <c r="E133" s="3" t="s">
        <v>2339</v>
      </c>
      <c r="F133" s="3" t="s">
        <v>2340</v>
      </c>
      <c r="G133" s="3" t="s">
        <v>2341</v>
      </c>
      <c r="H133" s="3" t="s">
        <v>2342</v>
      </c>
      <c r="I133" s="3" t="s">
        <v>3300</v>
      </c>
      <c r="P133" s="3" t="s">
        <v>5394</v>
      </c>
      <c r="Q133" s="3" t="s">
        <v>5398</v>
      </c>
      <c r="R133" s="3" t="s">
        <v>5402</v>
      </c>
      <c r="S133" s="3" t="s">
        <v>5406</v>
      </c>
    </row>
    <row r="134" spans="1:19">
      <c r="A134" s="3" t="s">
        <v>91</v>
      </c>
      <c r="C134" s="3" t="s">
        <v>488</v>
      </c>
      <c r="D134" s="3" t="s">
        <v>489</v>
      </c>
      <c r="E134" s="3" t="s">
        <v>490</v>
      </c>
      <c r="F134" s="3" t="s">
        <v>491</v>
      </c>
      <c r="G134" s="3" t="s">
        <v>492</v>
      </c>
      <c r="H134" s="3" t="s">
        <v>493</v>
      </c>
      <c r="I134" s="3" t="s">
        <v>3881</v>
      </c>
      <c r="P134" s="3" t="s">
        <v>5395</v>
      </c>
      <c r="Q134" s="3" t="s">
        <v>5399</v>
      </c>
      <c r="R134" s="3" t="s">
        <v>5403</v>
      </c>
      <c r="S134" s="3" t="s">
        <v>5407</v>
      </c>
    </row>
    <row r="135" spans="1:19">
      <c r="A135" s="3" t="s">
        <v>91</v>
      </c>
      <c r="C135" s="3" t="s">
        <v>2343</v>
      </c>
      <c r="D135" s="3" t="s">
        <v>2344</v>
      </c>
      <c r="E135" s="3" t="s">
        <v>2345</v>
      </c>
      <c r="F135" s="3" t="s">
        <v>2346</v>
      </c>
      <c r="G135" s="3" t="s">
        <v>494</v>
      </c>
      <c r="H135" s="3" t="s">
        <v>2347</v>
      </c>
      <c r="I135" s="3" t="s">
        <v>3888</v>
      </c>
      <c r="P135" s="3" t="s">
        <v>5396</v>
      </c>
      <c r="Q135" s="3" t="s">
        <v>5400</v>
      </c>
      <c r="R135" s="3" t="s">
        <v>5404</v>
      </c>
      <c r="S135" s="3" t="s">
        <v>5408</v>
      </c>
    </row>
    <row r="136" spans="1:19">
      <c r="A136" s="3" t="s">
        <v>91</v>
      </c>
      <c r="C136" s="3" t="s">
        <v>2859</v>
      </c>
      <c r="D136" s="3" t="s">
        <v>2860</v>
      </c>
      <c r="E136" s="3" t="s">
        <v>3301</v>
      </c>
      <c r="F136" s="3" t="s">
        <v>3302</v>
      </c>
      <c r="G136" s="3" t="s">
        <v>3303</v>
      </c>
      <c r="H136" s="3" t="s">
        <v>3304</v>
      </c>
      <c r="I136" s="3" t="s">
        <v>3899</v>
      </c>
      <c r="P136" s="3" t="s">
        <v>5397</v>
      </c>
      <c r="Q136" s="3" t="s">
        <v>5401</v>
      </c>
      <c r="R136" s="3" t="s">
        <v>5405</v>
      </c>
      <c r="S136" s="3" t="s">
        <v>5409</v>
      </c>
    </row>
    <row r="137" spans="1:19">
      <c r="A137" s="3" t="s">
        <v>2812</v>
      </c>
      <c r="C137" s="3" t="s">
        <v>488</v>
      </c>
      <c r="D137" s="3" t="s">
        <v>489</v>
      </c>
      <c r="E137" s="3" t="s">
        <v>490</v>
      </c>
      <c r="F137" s="3" t="s">
        <v>491</v>
      </c>
      <c r="G137" s="3" t="s">
        <v>492</v>
      </c>
      <c r="H137" s="3" t="s">
        <v>493</v>
      </c>
    </row>
    <row r="138" spans="1:19">
      <c r="A138" s="3" t="s">
        <v>91</v>
      </c>
      <c r="C138" s="3" t="s">
        <v>495</v>
      </c>
      <c r="D138" s="3" t="s">
        <v>496</v>
      </c>
      <c r="E138" s="3" t="s">
        <v>497</v>
      </c>
      <c r="F138" s="3" t="s">
        <v>498</v>
      </c>
      <c r="G138" s="3" t="s">
        <v>2348</v>
      </c>
      <c r="H138" s="3" t="s">
        <v>3305</v>
      </c>
      <c r="N138" s="3" t="s">
        <v>3306</v>
      </c>
      <c r="O138" s="3" t="s">
        <v>503</v>
      </c>
      <c r="S138" s="3" t="s">
        <v>3307</v>
      </c>
    </row>
    <row r="139" spans="1:19">
      <c r="A139" s="3" t="s">
        <v>91</v>
      </c>
      <c r="C139" s="3" t="s">
        <v>499</v>
      </c>
      <c r="D139" s="3" t="s">
        <v>500</v>
      </c>
      <c r="E139" s="3" t="s">
        <v>501</v>
      </c>
      <c r="F139" s="3" t="s">
        <v>502</v>
      </c>
      <c r="G139" s="3" t="s">
        <v>3308</v>
      </c>
      <c r="H139" s="3" t="s">
        <v>3309</v>
      </c>
      <c r="N139" s="3" t="s">
        <v>2461</v>
      </c>
      <c r="O139" s="3" t="s">
        <v>3310</v>
      </c>
    </row>
    <row r="140" spans="1:19">
      <c r="A140" s="3" t="s">
        <v>91</v>
      </c>
      <c r="C140" s="3" t="s">
        <v>504</v>
      </c>
      <c r="D140" s="3" t="s">
        <v>505</v>
      </c>
      <c r="E140" s="3" t="s">
        <v>506</v>
      </c>
      <c r="F140" s="3" t="s">
        <v>507</v>
      </c>
      <c r="G140" s="3" t="s">
        <v>508</v>
      </c>
      <c r="H140" s="3" t="s">
        <v>509</v>
      </c>
      <c r="I140" s="3" t="s">
        <v>3311</v>
      </c>
      <c r="P140" s="3" t="s">
        <v>3900</v>
      </c>
      <c r="Q140" s="3" t="s">
        <v>3901</v>
      </c>
      <c r="R140" s="3" t="s">
        <v>3902</v>
      </c>
      <c r="S140" s="3" t="s">
        <v>3903</v>
      </c>
    </row>
    <row r="141" spans="1:19">
      <c r="A141" s="3" t="s">
        <v>91</v>
      </c>
      <c r="C141" s="3" t="s">
        <v>510</v>
      </c>
      <c r="D141" s="3" t="s">
        <v>511</v>
      </c>
      <c r="E141" s="3" t="s">
        <v>512</v>
      </c>
      <c r="F141" s="3" t="s">
        <v>513</v>
      </c>
      <c r="G141" s="3" t="s">
        <v>514</v>
      </c>
      <c r="H141" s="3" t="s">
        <v>515</v>
      </c>
      <c r="I141" s="3" t="s">
        <v>3904</v>
      </c>
      <c r="P141" s="3" t="s">
        <v>3905</v>
      </c>
      <c r="Q141" s="3" t="s">
        <v>3906</v>
      </c>
      <c r="R141" s="3" t="s">
        <v>3907</v>
      </c>
      <c r="S141" s="3" t="s">
        <v>3908</v>
      </c>
    </row>
    <row r="142" spans="1:19">
      <c r="A142" s="3" t="s">
        <v>2812</v>
      </c>
      <c r="C142" s="3" t="s">
        <v>510</v>
      </c>
      <c r="D142" s="3" t="s">
        <v>511</v>
      </c>
      <c r="E142" s="3" t="s">
        <v>512</v>
      </c>
      <c r="F142" s="3" t="s">
        <v>513</v>
      </c>
      <c r="G142" s="3" t="s">
        <v>514</v>
      </c>
      <c r="H142" s="3" t="s">
        <v>515</v>
      </c>
    </row>
    <row r="143" spans="1:19">
      <c r="A143" s="3" t="s">
        <v>91</v>
      </c>
      <c r="C143" s="3" t="s">
        <v>516</v>
      </c>
      <c r="D143" s="3" t="s">
        <v>517</v>
      </c>
      <c r="E143" s="3" t="s">
        <v>518</v>
      </c>
      <c r="F143" s="3" t="s">
        <v>519</v>
      </c>
      <c r="G143" s="3" t="s">
        <v>520</v>
      </c>
      <c r="H143" s="3" t="s">
        <v>521</v>
      </c>
      <c r="N143" s="3" t="s">
        <v>3312</v>
      </c>
      <c r="O143" s="3" t="s">
        <v>522</v>
      </c>
      <c r="S143" s="3" t="s">
        <v>3313</v>
      </c>
    </row>
    <row r="144" spans="1:19">
      <c r="A144" s="3" t="s">
        <v>2812</v>
      </c>
      <c r="C144" s="3" t="s">
        <v>483</v>
      </c>
      <c r="D144" s="3" t="s">
        <v>484</v>
      </c>
      <c r="E144" s="3" t="s">
        <v>485</v>
      </c>
      <c r="F144" s="3" t="s">
        <v>486</v>
      </c>
    </row>
    <row r="145" spans="1:19">
      <c r="A145" s="3" t="s">
        <v>91</v>
      </c>
      <c r="C145" s="3" t="s">
        <v>523</v>
      </c>
      <c r="D145" s="3" t="s">
        <v>524</v>
      </c>
      <c r="E145" s="3" t="s">
        <v>525</v>
      </c>
      <c r="F145" s="3" t="s">
        <v>526</v>
      </c>
      <c r="K145" s="3" t="s">
        <v>3314</v>
      </c>
      <c r="L145" s="3" t="s">
        <v>2861</v>
      </c>
      <c r="M145" s="3" t="s">
        <v>2862</v>
      </c>
      <c r="S145" s="3" t="s">
        <v>3315</v>
      </c>
    </row>
    <row r="146" spans="1:19">
      <c r="A146" s="3" t="s">
        <v>91</v>
      </c>
      <c r="C146" s="3" t="s">
        <v>3316</v>
      </c>
      <c r="D146" s="3" t="s">
        <v>3317</v>
      </c>
      <c r="E146" s="3" t="s">
        <v>2863</v>
      </c>
      <c r="F146" s="3" t="s">
        <v>3318</v>
      </c>
      <c r="K146" s="3" t="s">
        <v>2467</v>
      </c>
      <c r="L146" s="3" t="s">
        <v>3319</v>
      </c>
      <c r="M146" s="3" t="s">
        <v>3320</v>
      </c>
    </row>
    <row r="147" spans="1:19">
      <c r="A147" s="3" t="s">
        <v>91</v>
      </c>
      <c r="C147" s="3" t="s">
        <v>527</v>
      </c>
      <c r="D147" s="3" t="s">
        <v>528</v>
      </c>
      <c r="E147" s="3" t="s">
        <v>529</v>
      </c>
      <c r="F147" s="3" t="s">
        <v>530</v>
      </c>
      <c r="G147" s="3" t="s">
        <v>3321</v>
      </c>
      <c r="H147" s="3" t="s">
        <v>3322</v>
      </c>
      <c r="N147" s="3" t="s">
        <v>3323</v>
      </c>
      <c r="O147" s="3" t="s">
        <v>3324</v>
      </c>
    </row>
    <row r="148" spans="1:19">
      <c r="A148" s="3" t="s">
        <v>91</v>
      </c>
      <c r="C148" s="3" t="s">
        <v>532</v>
      </c>
      <c r="D148" s="3" t="s">
        <v>533</v>
      </c>
      <c r="E148" s="3" t="s">
        <v>534</v>
      </c>
      <c r="F148" s="3" t="s">
        <v>535</v>
      </c>
      <c r="G148" s="3" t="s">
        <v>531</v>
      </c>
      <c r="H148" s="3" t="s">
        <v>2864</v>
      </c>
      <c r="I148" s="3" t="s">
        <v>3325</v>
      </c>
      <c r="P148" s="3" t="s">
        <v>5346</v>
      </c>
      <c r="Q148" s="3" t="s">
        <v>5350</v>
      </c>
      <c r="R148" s="3" t="s">
        <v>5354</v>
      </c>
      <c r="S148" s="3" t="s">
        <v>5358</v>
      </c>
    </row>
    <row r="149" spans="1:19">
      <c r="A149" s="3" t="s">
        <v>91</v>
      </c>
      <c r="C149" s="3" t="s">
        <v>536</v>
      </c>
      <c r="D149" s="3" t="s">
        <v>537</v>
      </c>
      <c r="E149" s="3" t="s">
        <v>538</v>
      </c>
      <c r="F149" s="3" t="s">
        <v>539</v>
      </c>
      <c r="G149" s="3" t="s">
        <v>540</v>
      </c>
      <c r="H149" s="3" t="s">
        <v>541</v>
      </c>
      <c r="I149" s="3" t="s">
        <v>3881</v>
      </c>
      <c r="P149" s="3" t="s">
        <v>5347</v>
      </c>
      <c r="Q149" s="3" t="s">
        <v>5351</v>
      </c>
      <c r="R149" s="3" t="s">
        <v>5355</v>
      </c>
      <c r="S149" s="3" t="s">
        <v>5359</v>
      </c>
    </row>
    <row r="150" spans="1:19">
      <c r="A150" s="3" t="s">
        <v>91</v>
      </c>
      <c r="C150" s="3" t="s">
        <v>542</v>
      </c>
      <c r="D150" s="3" t="s">
        <v>543</v>
      </c>
      <c r="E150" s="3" t="s">
        <v>544</v>
      </c>
      <c r="F150" s="3" t="s">
        <v>545</v>
      </c>
      <c r="G150" s="3" t="s">
        <v>546</v>
      </c>
      <c r="H150" s="3" t="s">
        <v>547</v>
      </c>
      <c r="I150" s="3" t="s">
        <v>3888</v>
      </c>
      <c r="P150" s="3" t="s">
        <v>5348</v>
      </c>
      <c r="Q150" s="3" t="s">
        <v>5352</v>
      </c>
      <c r="R150" s="3" t="s">
        <v>5356</v>
      </c>
      <c r="S150" s="3" t="s">
        <v>5360</v>
      </c>
    </row>
    <row r="151" spans="1:19">
      <c r="A151" s="3" t="s">
        <v>91</v>
      </c>
      <c r="C151" s="3" t="s">
        <v>548</v>
      </c>
      <c r="D151" s="3" t="s">
        <v>549</v>
      </c>
      <c r="E151" s="3" t="s">
        <v>550</v>
      </c>
      <c r="F151" s="3" t="s">
        <v>551</v>
      </c>
      <c r="G151" s="3" t="s">
        <v>552</v>
      </c>
      <c r="H151" s="3" t="s">
        <v>553</v>
      </c>
      <c r="I151" s="3" t="s">
        <v>3909</v>
      </c>
      <c r="P151" s="3" t="s">
        <v>5349</v>
      </c>
      <c r="Q151" s="3" t="s">
        <v>5353</v>
      </c>
      <c r="R151" s="3" t="s">
        <v>5357</v>
      </c>
      <c r="S151" s="3" t="s">
        <v>5361</v>
      </c>
    </row>
    <row r="152" spans="1:19">
      <c r="A152" s="3" t="s">
        <v>2812</v>
      </c>
      <c r="C152" s="3" t="s">
        <v>536</v>
      </c>
      <c r="D152" s="3" t="s">
        <v>537</v>
      </c>
      <c r="E152" s="3" t="s">
        <v>538</v>
      </c>
      <c r="F152" s="3" t="s">
        <v>539</v>
      </c>
      <c r="G152" s="3" t="s">
        <v>540</v>
      </c>
      <c r="H152" s="3" t="s">
        <v>541</v>
      </c>
    </row>
    <row r="153" spans="1:19">
      <c r="A153" s="3" t="s">
        <v>91</v>
      </c>
      <c r="C153" s="3" t="s">
        <v>554</v>
      </c>
      <c r="D153" s="3" t="s">
        <v>555</v>
      </c>
      <c r="E153" s="3" t="s">
        <v>556</v>
      </c>
      <c r="F153" s="3" t="s">
        <v>557</v>
      </c>
      <c r="G153" s="3" t="s">
        <v>558</v>
      </c>
      <c r="H153" s="3" t="s">
        <v>559</v>
      </c>
      <c r="N153" s="3" t="s">
        <v>3326</v>
      </c>
      <c r="O153" s="3" t="s">
        <v>564</v>
      </c>
      <c r="S153" s="3" t="s">
        <v>3327</v>
      </c>
    </row>
    <row r="154" spans="1:19">
      <c r="A154" s="3" t="s">
        <v>91</v>
      </c>
      <c r="C154" s="3" t="s">
        <v>560</v>
      </c>
      <c r="D154" s="3" t="s">
        <v>561</v>
      </c>
      <c r="E154" s="3" t="s">
        <v>562</v>
      </c>
      <c r="F154" s="3" t="s">
        <v>563</v>
      </c>
      <c r="G154" s="3" t="s">
        <v>3328</v>
      </c>
      <c r="H154" s="3" t="s">
        <v>3329</v>
      </c>
      <c r="N154" s="3" t="s">
        <v>2480</v>
      </c>
      <c r="O154" s="3" t="s">
        <v>3330</v>
      </c>
    </row>
    <row r="155" spans="1:19">
      <c r="A155" s="3" t="s">
        <v>91</v>
      </c>
      <c r="C155" s="3" t="s">
        <v>565</v>
      </c>
      <c r="D155" s="3" t="s">
        <v>566</v>
      </c>
      <c r="E155" s="3" t="s">
        <v>567</v>
      </c>
      <c r="F155" s="3" t="s">
        <v>568</v>
      </c>
      <c r="G155" s="3" t="s">
        <v>569</v>
      </c>
      <c r="H155" s="3" t="s">
        <v>570</v>
      </c>
      <c r="I155" s="3" t="s">
        <v>3331</v>
      </c>
      <c r="P155" s="3" t="s">
        <v>5362</v>
      </c>
      <c r="Q155" s="3" t="s">
        <v>5366</v>
      </c>
      <c r="R155" s="3" t="s">
        <v>5370</v>
      </c>
      <c r="S155" s="3" t="s">
        <v>5374</v>
      </c>
    </row>
    <row r="156" spans="1:19">
      <c r="A156" s="3" t="s">
        <v>91</v>
      </c>
      <c r="C156" s="3" t="s">
        <v>2865</v>
      </c>
      <c r="D156" s="3" t="s">
        <v>2866</v>
      </c>
      <c r="E156" s="3" t="s">
        <v>2867</v>
      </c>
      <c r="F156" s="3" t="s">
        <v>2868</v>
      </c>
      <c r="G156" s="3" t="s">
        <v>2869</v>
      </c>
      <c r="H156" s="3" t="s">
        <v>2870</v>
      </c>
      <c r="I156" s="3" t="s">
        <v>3881</v>
      </c>
      <c r="P156" s="3" t="s">
        <v>5363</v>
      </c>
      <c r="Q156" s="3" t="s">
        <v>5367</v>
      </c>
      <c r="R156" s="3" t="s">
        <v>5371</v>
      </c>
      <c r="S156" s="3" t="s">
        <v>5375</v>
      </c>
    </row>
    <row r="157" spans="1:19">
      <c r="A157" s="3" t="s">
        <v>91</v>
      </c>
      <c r="C157" s="3" t="s">
        <v>571</v>
      </c>
      <c r="D157" s="3" t="s">
        <v>572</v>
      </c>
      <c r="E157" s="3" t="s">
        <v>573</v>
      </c>
      <c r="F157" s="3" t="s">
        <v>574</v>
      </c>
      <c r="G157" s="3" t="s">
        <v>575</v>
      </c>
      <c r="H157" s="3" t="s">
        <v>576</v>
      </c>
      <c r="I157" s="3" t="s">
        <v>3888</v>
      </c>
      <c r="P157" s="3" t="s">
        <v>5364</v>
      </c>
      <c r="Q157" s="3" t="s">
        <v>5368</v>
      </c>
      <c r="R157" s="3" t="s">
        <v>5372</v>
      </c>
      <c r="S157" s="3" t="s">
        <v>5376</v>
      </c>
    </row>
    <row r="158" spans="1:19">
      <c r="A158" s="3" t="s">
        <v>91</v>
      </c>
      <c r="C158" s="3" t="s">
        <v>3332</v>
      </c>
      <c r="D158" s="3" t="s">
        <v>3333</v>
      </c>
      <c r="E158" s="3" t="s">
        <v>3334</v>
      </c>
      <c r="F158" s="3" t="s">
        <v>3335</v>
      </c>
      <c r="G158" s="3" t="s">
        <v>577</v>
      </c>
      <c r="H158" s="3" t="s">
        <v>3336</v>
      </c>
      <c r="I158" s="3" t="s">
        <v>3909</v>
      </c>
      <c r="P158" s="3" t="s">
        <v>5365</v>
      </c>
      <c r="Q158" s="3" t="s">
        <v>5369</v>
      </c>
      <c r="R158" s="3" t="s">
        <v>5373</v>
      </c>
      <c r="S158" s="3" t="s">
        <v>5377</v>
      </c>
    </row>
    <row r="159" spans="1:19">
      <c r="A159" s="3" t="s">
        <v>2812</v>
      </c>
      <c r="C159" s="3" t="s">
        <v>2865</v>
      </c>
      <c r="D159" s="3" t="s">
        <v>2866</v>
      </c>
      <c r="E159" s="3" t="s">
        <v>2867</v>
      </c>
      <c r="F159" s="3" t="s">
        <v>2868</v>
      </c>
      <c r="G159" s="3" t="s">
        <v>2869</v>
      </c>
      <c r="H159" s="3" t="s">
        <v>2870</v>
      </c>
    </row>
    <row r="160" spans="1:19">
      <c r="A160" s="3" t="s">
        <v>91</v>
      </c>
      <c r="C160" s="3" t="s">
        <v>578</v>
      </c>
      <c r="D160" s="3" t="s">
        <v>579</v>
      </c>
      <c r="E160" s="3" t="s">
        <v>580</v>
      </c>
      <c r="F160" s="3" t="s">
        <v>2872</v>
      </c>
      <c r="G160" s="3" t="s">
        <v>2871</v>
      </c>
      <c r="H160" s="3" t="s">
        <v>3337</v>
      </c>
      <c r="N160" s="3" t="s">
        <v>3338</v>
      </c>
      <c r="O160" s="3" t="s">
        <v>2873</v>
      </c>
      <c r="S160" s="3" t="s">
        <v>3339</v>
      </c>
    </row>
    <row r="161" spans="1:19">
      <c r="A161" s="3" t="s">
        <v>2812</v>
      </c>
      <c r="C161" s="3" t="s">
        <v>560</v>
      </c>
      <c r="D161" s="3" t="s">
        <v>561</v>
      </c>
      <c r="E161" s="3" t="s">
        <v>562</v>
      </c>
      <c r="F161" s="3" t="s">
        <v>563</v>
      </c>
    </row>
    <row r="162" spans="1:19">
      <c r="A162" s="3" t="s">
        <v>91</v>
      </c>
      <c r="C162" s="3" t="s">
        <v>581</v>
      </c>
      <c r="D162" s="3" t="s">
        <v>582</v>
      </c>
      <c r="E162" s="3" t="s">
        <v>583</v>
      </c>
      <c r="F162" s="3" t="s">
        <v>584</v>
      </c>
      <c r="K162" s="3" t="s">
        <v>3340</v>
      </c>
      <c r="L162" s="3" t="s">
        <v>585</v>
      </c>
      <c r="M162" s="3" t="s">
        <v>586</v>
      </c>
      <c r="S162" s="3" t="s">
        <v>3341</v>
      </c>
    </row>
    <row r="163" spans="1:19">
      <c r="A163" s="3" t="s">
        <v>91</v>
      </c>
      <c r="C163" s="3" t="s">
        <v>3342</v>
      </c>
      <c r="D163" s="3" t="s">
        <v>3343</v>
      </c>
      <c r="E163" s="3" t="s">
        <v>587</v>
      </c>
      <c r="F163" s="3" t="s">
        <v>3344</v>
      </c>
      <c r="K163" s="3" t="s">
        <v>2494</v>
      </c>
      <c r="L163" s="3" t="s">
        <v>3345</v>
      </c>
      <c r="M163" s="3" t="s">
        <v>3346</v>
      </c>
    </row>
    <row r="164" spans="1:19">
      <c r="A164" s="3" t="s">
        <v>91</v>
      </c>
      <c r="C164" s="3" t="s">
        <v>588</v>
      </c>
      <c r="D164" s="3" t="s">
        <v>589</v>
      </c>
      <c r="E164" s="3" t="s">
        <v>590</v>
      </c>
      <c r="F164" s="3" t="s">
        <v>591</v>
      </c>
      <c r="G164" s="3" t="s">
        <v>3347</v>
      </c>
      <c r="H164" s="3" t="s">
        <v>3348</v>
      </c>
      <c r="N164" s="3" t="s">
        <v>3349</v>
      </c>
      <c r="O164" s="3" t="s">
        <v>3350</v>
      </c>
    </row>
    <row r="165" spans="1:19">
      <c r="A165" s="3" t="s">
        <v>91</v>
      </c>
      <c r="C165" s="3" t="s">
        <v>592</v>
      </c>
      <c r="D165" s="3" t="s">
        <v>593</v>
      </c>
      <c r="E165" s="3" t="s">
        <v>594</v>
      </c>
      <c r="F165" s="3" t="s">
        <v>595</v>
      </c>
      <c r="G165" s="3" t="s">
        <v>596</v>
      </c>
      <c r="H165" s="3" t="s">
        <v>597</v>
      </c>
      <c r="I165" s="3" t="s">
        <v>3351</v>
      </c>
      <c r="P165" s="3" t="s">
        <v>5290</v>
      </c>
      <c r="Q165" s="3" t="s">
        <v>5297</v>
      </c>
      <c r="R165" s="3" t="s">
        <v>5304</v>
      </c>
      <c r="S165" s="3" t="s">
        <v>5311</v>
      </c>
    </row>
    <row r="166" spans="1:19">
      <c r="A166" s="3" t="s">
        <v>91</v>
      </c>
      <c r="C166" s="3" t="s">
        <v>2350</v>
      </c>
      <c r="D166" s="3" t="s">
        <v>2351</v>
      </c>
      <c r="E166" s="3" t="s">
        <v>2352</v>
      </c>
      <c r="F166" s="3" t="s">
        <v>2353</v>
      </c>
      <c r="G166" s="3" t="s">
        <v>2354</v>
      </c>
      <c r="H166" s="3" t="s">
        <v>2355</v>
      </c>
      <c r="I166" s="3" t="s">
        <v>3910</v>
      </c>
      <c r="P166" s="3" t="s">
        <v>5291</v>
      </c>
      <c r="Q166" s="3" t="s">
        <v>5298</v>
      </c>
      <c r="R166" s="3" t="s">
        <v>5305</v>
      </c>
      <c r="S166" s="3" t="s">
        <v>5312</v>
      </c>
    </row>
    <row r="167" spans="1:19">
      <c r="A167" s="3" t="s">
        <v>91</v>
      </c>
      <c r="C167" s="3" t="s">
        <v>598</v>
      </c>
      <c r="D167" s="3" t="s">
        <v>599</v>
      </c>
      <c r="E167" s="3" t="s">
        <v>600</v>
      </c>
      <c r="F167" s="3" t="s">
        <v>601</v>
      </c>
      <c r="G167" s="3" t="s">
        <v>602</v>
      </c>
      <c r="H167" s="3" t="s">
        <v>603</v>
      </c>
      <c r="I167" s="3" t="s">
        <v>3911</v>
      </c>
      <c r="P167" s="3" t="s">
        <v>5292</v>
      </c>
      <c r="Q167" s="3" t="s">
        <v>5299</v>
      </c>
      <c r="R167" s="3" t="s">
        <v>5306</v>
      </c>
      <c r="S167" s="3" t="s">
        <v>5313</v>
      </c>
    </row>
    <row r="168" spans="1:19">
      <c r="A168" s="3" t="s">
        <v>91</v>
      </c>
      <c r="C168" s="3" t="s">
        <v>2874</v>
      </c>
      <c r="D168" s="3" t="s">
        <v>2875</v>
      </c>
      <c r="E168" s="3" t="s">
        <v>2876</v>
      </c>
      <c r="F168" s="3" t="s">
        <v>2877</v>
      </c>
      <c r="G168" s="3" t="s">
        <v>2878</v>
      </c>
      <c r="H168" s="3" t="s">
        <v>2879</v>
      </c>
      <c r="I168" s="3" t="s">
        <v>3881</v>
      </c>
      <c r="P168" s="3" t="s">
        <v>5293</v>
      </c>
      <c r="Q168" s="3" t="s">
        <v>5300</v>
      </c>
      <c r="R168" s="3" t="s">
        <v>5307</v>
      </c>
      <c r="S168" s="3" t="s">
        <v>5314</v>
      </c>
    </row>
    <row r="169" spans="1:19">
      <c r="A169" s="3" t="s">
        <v>91</v>
      </c>
      <c r="C169" s="3" t="s">
        <v>604</v>
      </c>
      <c r="D169" s="3" t="s">
        <v>605</v>
      </c>
      <c r="E169" s="3" t="s">
        <v>606</v>
      </c>
      <c r="F169" s="3" t="s">
        <v>607</v>
      </c>
      <c r="G169" s="3" t="s">
        <v>608</v>
      </c>
      <c r="H169" s="3" t="s">
        <v>609</v>
      </c>
      <c r="I169" s="3" t="s">
        <v>3882</v>
      </c>
      <c r="P169" s="3" t="s">
        <v>5294</v>
      </c>
      <c r="Q169" s="3" t="s">
        <v>5301</v>
      </c>
      <c r="R169" s="3" t="s">
        <v>5308</v>
      </c>
      <c r="S169" s="3" t="s">
        <v>5315</v>
      </c>
    </row>
    <row r="170" spans="1:19">
      <c r="A170" s="3" t="s">
        <v>91</v>
      </c>
      <c r="C170" s="3" t="s">
        <v>610</v>
      </c>
      <c r="D170" s="3" t="s">
        <v>611</v>
      </c>
      <c r="E170" s="3" t="s">
        <v>612</v>
      </c>
      <c r="F170" s="3" t="s">
        <v>613</v>
      </c>
      <c r="G170" s="3" t="s">
        <v>614</v>
      </c>
      <c r="H170" s="3" t="s">
        <v>3352</v>
      </c>
      <c r="I170" s="3" t="s">
        <v>3883</v>
      </c>
      <c r="P170" s="3" t="s">
        <v>5295</v>
      </c>
      <c r="Q170" s="3" t="s">
        <v>5302</v>
      </c>
      <c r="R170" s="3" t="s">
        <v>5309</v>
      </c>
      <c r="S170" s="3" t="s">
        <v>5316</v>
      </c>
    </row>
    <row r="171" spans="1:19">
      <c r="A171" s="3" t="s">
        <v>91</v>
      </c>
      <c r="C171" s="3" t="s">
        <v>615</v>
      </c>
      <c r="D171" s="3" t="s">
        <v>616</v>
      </c>
      <c r="E171" s="3" t="s">
        <v>617</v>
      </c>
      <c r="F171" s="3" t="s">
        <v>618</v>
      </c>
      <c r="G171" s="3" t="s">
        <v>619</v>
      </c>
      <c r="H171" s="3" t="s">
        <v>620</v>
      </c>
      <c r="I171" s="3" t="s">
        <v>3912</v>
      </c>
      <c r="P171" s="3" t="s">
        <v>5296</v>
      </c>
      <c r="Q171" s="3" t="s">
        <v>5303</v>
      </c>
      <c r="R171" s="3" t="s">
        <v>5310</v>
      </c>
      <c r="S171" s="3" t="s">
        <v>5317</v>
      </c>
    </row>
    <row r="172" spans="1:19">
      <c r="A172" s="3" t="s">
        <v>2812</v>
      </c>
      <c r="C172" s="3" t="s">
        <v>2350</v>
      </c>
      <c r="D172" s="3" t="s">
        <v>2351</v>
      </c>
      <c r="E172" s="3" t="s">
        <v>2352</v>
      </c>
      <c r="F172" s="3" t="s">
        <v>2353</v>
      </c>
      <c r="G172" s="3" t="s">
        <v>2354</v>
      </c>
      <c r="H172" s="3" t="s">
        <v>2355</v>
      </c>
    </row>
    <row r="173" spans="1:19">
      <c r="A173" s="3" t="s">
        <v>91</v>
      </c>
      <c r="C173" s="3" t="s">
        <v>621</v>
      </c>
      <c r="D173" s="3" t="s">
        <v>622</v>
      </c>
      <c r="E173" s="3" t="s">
        <v>623</v>
      </c>
      <c r="F173" s="3" t="s">
        <v>624</v>
      </c>
      <c r="G173" s="3" t="s">
        <v>625</v>
      </c>
      <c r="H173" s="3" t="s">
        <v>626</v>
      </c>
      <c r="N173" s="3" t="s">
        <v>3353</v>
      </c>
      <c r="O173" s="3" t="s">
        <v>631</v>
      </c>
      <c r="S173" s="3" t="s">
        <v>3354</v>
      </c>
    </row>
    <row r="174" spans="1:19">
      <c r="A174" s="3" t="s">
        <v>91</v>
      </c>
      <c r="C174" s="3" t="s">
        <v>627</v>
      </c>
      <c r="D174" s="3" t="s">
        <v>628</v>
      </c>
      <c r="E174" s="3" t="s">
        <v>629</v>
      </c>
      <c r="F174" s="3" t="s">
        <v>630</v>
      </c>
      <c r="G174" s="3" t="s">
        <v>3355</v>
      </c>
      <c r="H174" s="3" t="s">
        <v>3356</v>
      </c>
      <c r="N174" s="3" t="s">
        <v>2501</v>
      </c>
      <c r="O174" s="3" t="s">
        <v>3357</v>
      </c>
    </row>
    <row r="175" spans="1:19">
      <c r="A175" s="3" t="s">
        <v>91</v>
      </c>
      <c r="C175" s="3" t="s">
        <v>632</v>
      </c>
      <c r="D175" s="3" t="s">
        <v>633</v>
      </c>
      <c r="E175" s="3" t="s">
        <v>634</v>
      </c>
      <c r="F175" s="3" t="s">
        <v>635</v>
      </c>
      <c r="G175" s="3" t="s">
        <v>636</v>
      </c>
      <c r="H175" s="3" t="s">
        <v>637</v>
      </c>
      <c r="I175" s="3" t="s">
        <v>3358</v>
      </c>
      <c r="P175" s="3" t="s">
        <v>5318</v>
      </c>
      <c r="Q175" s="3" t="s">
        <v>5325</v>
      </c>
      <c r="R175" s="3" t="s">
        <v>5332</v>
      </c>
      <c r="S175" s="3" t="s">
        <v>5339</v>
      </c>
    </row>
    <row r="176" spans="1:19">
      <c r="A176" s="3" t="s">
        <v>91</v>
      </c>
      <c r="C176" s="3" t="s">
        <v>2357</v>
      </c>
      <c r="D176" s="3" t="s">
        <v>2358</v>
      </c>
      <c r="E176" s="3" t="s">
        <v>2359</v>
      </c>
      <c r="F176" s="3" t="s">
        <v>2360</v>
      </c>
      <c r="G176" s="3" t="s">
        <v>2361</v>
      </c>
      <c r="H176" s="3" t="s">
        <v>2362</v>
      </c>
      <c r="I176" s="3" t="s">
        <v>3910</v>
      </c>
      <c r="P176" s="3" t="s">
        <v>5319</v>
      </c>
      <c r="Q176" s="3" t="s">
        <v>5326</v>
      </c>
      <c r="R176" s="3" t="s">
        <v>5333</v>
      </c>
      <c r="S176" s="3" t="s">
        <v>5340</v>
      </c>
    </row>
    <row r="177" spans="1:19">
      <c r="A177" s="3" t="s">
        <v>91</v>
      </c>
      <c r="C177" s="3" t="s">
        <v>3359</v>
      </c>
      <c r="D177" s="3" t="s">
        <v>3360</v>
      </c>
      <c r="E177" s="3" t="s">
        <v>3361</v>
      </c>
      <c r="F177" s="3" t="s">
        <v>3362</v>
      </c>
      <c r="G177" s="3" t="s">
        <v>3363</v>
      </c>
      <c r="H177" s="3" t="s">
        <v>3364</v>
      </c>
      <c r="I177" s="3" t="s">
        <v>3911</v>
      </c>
      <c r="P177" s="3" t="s">
        <v>5320</v>
      </c>
      <c r="Q177" s="3" t="s">
        <v>5327</v>
      </c>
      <c r="R177" s="3" t="s">
        <v>5334</v>
      </c>
      <c r="S177" s="3" t="s">
        <v>5341</v>
      </c>
    </row>
    <row r="178" spans="1:19">
      <c r="A178" s="3" t="s">
        <v>91</v>
      </c>
      <c r="C178" s="3" t="s">
        <v>639</v>
      </c>
      <c r="D178" s="3" t="s">
        <v>640</v>
      </c>
      <c r="E178" s="3" t="s">
        <v>641</v>
      </c>
      <c r="F178" s="3" t="s">
        <v>642</v>
      </c>
      <c r="G178" s="3" t="s">
        <v>638</v>
      </c>
      <c r="H178" s="3" t="s">
        <v>2363</v>
      </c>
      <c r="I178" s="3" t="s">
        <v>3881</v>
      </c>
      <c r="P178" s="3" t="s">
        <v>5321</v>
      </c>
      <c r="Q178" s="3" t="s">
        <v>5328</v>
      </c>
      <c r="R178" s="3" t="s">
        <v>5335</v>
      </c>
      <c r="S178" s="3" t="s">
        <v>5342</v>
      </c>
    </row>
    <row r="179" spans="1:19">
      <c r="A179" s="3" t="s">
        <v>91</v>
      </c>
      <c r="C179" s="3" t="s">
        <v>643</v>
      </c>
      <c r="D179" s="3" t="s">
        <v>644</v>
      </c>
      <c r="E179" s="3" t="s">
        <v>645</v>
      </c>
      <c r="F179" s="3" t="s">
        <v>646</v>
      </c>
      <c r="G179" s="3" t="s">
        <v>647</v>
      </c>
      <c r="H179" s="3" t="s">
        <v>3365</v>
      </c>
      <c r="I179" s="3" t="s">
        <v>3882</v>
      </c>
      <c r="P179" s="3" t="s">
        <v>5322</v>
      </c>
      <c r="Q179" s="3" t="s">
        <v>5329</v>
      </c>
      <c r="R179" s="3" t="s">
        <v>5336</v>
      </c>
      <c r="S179" s="3" t="s">
        <v>5343</v>
      </c>
    </row>
    <row r="180" spans="1:19">
      <c r="A180" s="3" t="s">
        <v>91</v>
      </c>
      <c r="C180" s="3" t="s">
        <v>648</v>
      </c>
      <c r="D180" s="3" t="s">
        <v>649</v>
      </c>
      <c r="E180" s="3" t="s">
        <v>650</v>
      </c>
      <c r="F180" s="3" t="s">
        <v>651</v>
      </c>
      <c r="G180" s="3" t="s">
        <v>652</v>
      </c>
      <c r="H180" s="3" t="s">
        <v>653</v>
      </c>
      <c r="I180" s="3" t="s">
        <v>3883</v>
      </c>
      <c r="P180" s="3" t="s">
        <v>5323</v>
      </c>
      <c r="Q180" s="3" t="s">
        <v>5330</v>
      </c>
      <c r="R180" s="3" t="s">
        <v>5337</v>
      </c>
      <c r="S180" s="3" t="s">
        <v>5344</v>
      </c>
    </row>
    <row r="181" spans="1:19">
      <c r="A181" s="3" t="s">
        <v>91</v>
      </c>
      <c r="C181" s="3" t="s">
        <v>654</v>
      </c>
      <c r="D181" s="3" t="s">
        <v>655</v>
      </c>
      <c r="E181" s="3" t="s">
        <v>656</v>
      </c>
      <c r="F181" s="3" t="s">
        <v>657</v>
      </c>
      <c r="G181" s="3" t="s">
        <v>658</v>
      </c>
      <c r="H181" s="3" t="s">
        <v>659</v>
      </c>
      <c r="I181" s="3" t="s">
        <v>3912</v>
      </c>
      <c r="P181" s="3" t="s">
        <v>5324</v>
      </c>
      <c r="Q181" s="3" t="s">
        <v>5331</v>
      </c>
      <c r="R181" s="3" t="s">
        <v>5338</v>
      </c>
      <c r="S181" s="3" t="s">
        <v>5345</v>
      </c>
    </row>
    <row r="182" spans="1:19">
      <c r="A182" s="3" t="s">
        <v>2812</v>
      </c>
      <c r="C182" s="3" t="s">
        <v>2357</v>
      </c>
      <c r="D182" s="3" t="s">
        <v>2358</v>
      </c>
      <c r="E182" s="3" t="s">
        <v>2359</v>
      </c>
      <c r="F182" s="3" t="s">
        <v>2360</v>
      </c>
      <c r="G182" s="3" t="s">
        <v>2361</v>
      </c>
      <c r="H182" s="3" t="s">
        <v>2362</v>
      </c>
    </row>
    <row r="183" spans="1:19">
      <c r="A183" s="3" t="s">
        <v>91</v>
      </c>
      <c r="C183" s="3" t="s">
        <v>660</v>
      </c>
      <c r="D183" s="3" t="s">
        <v>661</v>
      </c>
      <c r="E183" s="3" t="s">
        <v>662</v>
      </c>
      <c r="F183" s="3" t="s">
        <v>663</v>
      </c>
      <c r="G183" s="3" t="s">
        <v>664</v>
      </c>
      <c r="H183" s="3" t="s">
        <v>665</v>
      </c>
      <c r="N183" s="3" t="s">
        <v>3366</v>
      </c>
      <c r="O183" s="3" t="s">
        <v>666</v>
      </c>
      <c r="S183" s="3" t="s">
        <v>3367</v>
      </c>
    </row>
    <row r="184" spans="1:19">
      <c r="A184" s="3" t="s">
        <v>2812</v>
      </c>
      <c r="C184" s="3" t="s">
        <v>627</v>
      </c>
      <c r="D184" s="3" t="s">
        <v>628</v>
      </c>
      <c r="E184" s="3" t="s">
        <v>629</v>
      </c>
      <c r="F184" s="3" t="s">
        <v>630</v>
      </c>
    </row>
    <row r="185" spans="1:19">
      <c r="A185" s="3" t="s">
        <v>91</v>
      </c>
      <c r="C185" s="3" t="s">
        <v>667</v>
      </c>
      <c r="D185" s="3" t="s">
        <v>668</v>
      </c>
      <c r="E185" s="3" t="s">
        <v>669</v>
      </c>
      <c r="F185" s="3" t="s">
        <v>670</v>
      </c>
      <c r="K185" s="3" t="s">
        <v>3368</v>
      </c>
      <c r="L185" s="3" t="s">
        <v>3369</v>
      </c>
      <c r="M185" s="3" t="s">
        <v>3370</v>
      </c>
      <c r="S185" s="3" t="s">
        <v>3371</v>
      </c>
    </row>
    <row r="186" spans="1:19">
      <c r="A186" s="3" t="s">
        <v>91</v>
      </c>
      <c r="E186" s="3" t="s">
        <v>2336</v>
      </c>
    </row>
    <row r="187" spans="1:19">
      <c r="A187" s="3" t="s">
        <v>91</v>
      </c>
      <c r="E187" s="3" t="s">
        <v>671</v>
      </c>
      <c r="J187" s="3" t="s">
        <v>3372</v>
      </c>
      <c r="S187" s="3" t="s">
        <v>3373</v>
      </c>
    </row>
    <row r="188" spans="1:19">
      <c r="A188" s="3" t="s">
        <v>91</v>
      </c>
    </row>
    <row r="189" spans="1:19">
      <c r="A189" s="3" t="s">
        <v>91</v>
      </c>
      <c r="E189" s="3" t="s">
        <v>3374</v>
      </c>
      <c r="J189" s="3" t="s">
        <v>2542</v>
      </c>
    </row>
    <row r="190" spans="1:19">
      <c r="A190" s="3" t="s">
        <v>91</v>
      </c>
      <c r="C190" s="3" t="s">
        <v>3375</v>
      </c>
      <c r="D190" s="3" t="s">
        <v>3376</v>
      </c>
      <c r="E190" s="3" t="s">
        <v>672</v>
      </c>
      <c r="F190" s="3" t="s">
        <v>3377</v>
      </c>
      <c r="K190" s="3" t="s">
        <v>3378</v>
      </c>
      <c r="L190" s="3" t="s">
        <v>3379</v>
      </c>
      <c r="M190" s="3" t="s">
        <v>3380</v>
      </c>
    </row>
    <row r="191" spans="1:19">
      <c r="A191" s="3" t="s">
        <v>91</v>
      </c>
      <c r="C191" s="3" t="s">
        <v>673</v>
      </c>
      <c r="D191" s="3" t="s">
        <v>674</v>
      </c>
      <c r="E191" s="3" t="s">
        <v>675</v>
      </c>
      <c r="F191" s="3" t="s">
        <v>676</v>
      </c>
      <c r="G191" s="3" t="s">
        <v>3381</v>
      </c>
      <c r="H191" s="3" t="s">
        <v>3382</v>
      </c>
      <c r="N191" s="3" t="s">
        <v>3383</v>
      </c>
      <c r="O191" s="3" t="s">
        <v>3384</v>
      </c>
    </row>
    <row r="192" spans="1:19">
      <c r="A192" s="3" t="s">
        <v>91</v>
      </c>
      <c r="C192" s="3" t="s">
        <v>677</v>
      </c>
      <c r="D192" s="3" t="s">
        <v>678</v>
      </c>
      <c r="E192" s="3" t="s">
        <v>679</v>
      </c>
      <c r="F192" s="3" t="s">
        <v>680</v>
      </c>
      <c r="G192" s="3" t="s">
        <v>681</v>
      </c>
      <c r="H192" s="3" t="s">
        <v>682</v>
      </c>
      <c r="I192" s="3" t="s">
        <v>3385</v>
      </c>
      <c r="P192" s="3" t="s">
        <v>4978</v>
      </c>
      <c r="Q192" s="3" t="s">
        <v>4982</v>
      </c>
      <c r="R192" s="3" t="s">
        <v>4986</v>
      </c>
      <c r="S192" s="3" t="s">
        <v>4990</v>
      </c>
    </row>
    <row r="193" spans="1:19">
      <c r="A193" s="3" t="s">
        <v>91</v>
      </c>
      <c r="C193" s="3" t="s">
        <v>683</v>
      </c>
      <c r="D193" s="3" t="s">
        <v>684</v>
      </c>
      <c r="E193" s="3" t="s">
        <v>685</v>
      </c>
      <c r="F193" s="3" t="s">
        <v>686</v>
      </c>
      <c r="G193" s="3" t="s">
        <v>687</v>
      </c>
      <c r="H193" s="3" t="s">
        <v>688</v>
      </c>
      <c r="I193" s="3" t="s">
        <v>3881</v>
      </c>
      <c r="P193" s="3" t="s">
        <v>4979</v>
      </c>
      <c r="Q193" s="3" t="s">
        <v>4983</v>
      </c>
      <c r="R193" s="3" t="s">
        <v>4987</v>
      </c>
      <c r="S193" s="3" t="s">
        <v>4991</v>
      </c>
    </row>
    <row r="194" spans="1:19">
      <c r="A194" s="3" t="s">
        <v>91</v>
      </c>
      <c r="C194" s="3" t="s">
        <v>689</v>
      </c>
      <c r="D194" s="3" t="s">
        <v>690</v>
      </c>
      <c r="E194" s="3" t="s">
        <v>691</v>
      </c>
      <c r="F194" s="3" t="s">
        <v>692</v>
      </c>
      <c r="G194" s="3" t="s">
        <v>693</v>
      </c>
      <c r="H194" s="3" t="s">
        <v>694</v>
      </c>
      <c r="I194" s="3" t="s">
        <v>3888</v>
      </c>
      <c r="P194" s="3" t="s">
        <v>4980</v>
      </c>
      <c r="Q194" s="3" t="s">
        <v>4984</v>
      </c>
      <c r="R194" s="3" t="s">
        <v>4988</v>
      </c>
      <c r="S194" s="3" t="s">
        <v>4992</v>
      </c>
    </row>
    <row r="195" spans="1:19">
      <c r="A195" s="3" t="s">
        <v>91</v>
      </c>
      <c r="C195" s="3" t="s">
        <v>695</v>
      </c>
      <c r="D195" s="3" t="s">
        <v>696</v>
      </c>
      <c r="E195" s="3" t="s">
        <v>697</v>
      </c>
      <c r="F195" s="3" t="s">
        <v>698</v>
      </c>
      <c r="G195" s="3" t="s">
        <v>699</v>
      </c>
      <c r="H195" s="3" t="s">
        <v>700</v>
      </c>
      <c r="I195" s="3" t="s">
        <v>3913</v>
      </c>
      <c r="P195" s="3" t="s">
        <v>4981</v>
      </c>
      <c r="Q195" s="3" t="s">
        <v>4985</v>
      </c>
      <c r="R195" s="3" t="s">
        <v>4989</v>
      </c>
      <c r="S195" s="3" t="s">
        <v>4993</v>
      </c>
    </row>
    <row r="196" spans="1:19">
      <c r="A196" s="3" t="s">
        <v>2812</v>
      </c>
      <c r="C196" s="3" t="s">
        <v>683</v>
      </c>
      <c r="D196" s="3" t="s">
        <v>684</v>
      </c>
      <c r="E196" s="3" t="s">
        <v>685</v>
      </c>
      <c r="F196" s="3" t="s">
        <v>686</v>
      </c>
      <c r="G196" s="3" t="s">
        <v>687</v>
      </c>
      <c r="H196" s="3" t="s">
        <v>688</v>
      </c>
    </row>
    <row r="197" spans="1:19">
      <c r="A197" s="3" t="s">
        <v>91</v>
      </c>
      <c r="C197" s="3" t="s">
        <v>701</v>
      </c>
      <c r="D197" s="3" t="s">
        <v>702</v>
      </c>
      <c r="E197" s="3" t="s">
        <v>703</v>
      </c>
      <c r="F197" s="3" t="s">
        <v>704</v>
      </c>
      <c r="G197" s="3" t="s">
        <v>705</v>
      </c>
      <c r="H197" s="3" t="s">
        <v>706</v>
      </c>
      <c r="N197" s="3" t="s">
        <v>707</v>
      </c>
      <c r="O197" s="3" t="s">
        <v>708</v>
      </c>
      <c r="S197" s="3" t="s">
        <v>3386</v>
      </c>
    </row>
    <row r="198" spans="1:19">
      <c r="A198" s="3" t="s">
        <v>91</v>
      </c>
      <c r="C198" s="3" t="s">
        <v>2364</v>
      </c>
      <c r="D198" s="3" t="s">
        <v>2365</v>
      </c>
      <c r="E198" s="3" t="s">
        <v>2366</v>
      </c>
      <c r="F198" s="3" t="s">
        <v>2367</v>
      </c>
      <c r="G198" s="3" t="s">
        <v>2368</v>
      </c>
      <c r="H198" s="3" t="s">
        <v>2369</v>
      </c>
      <c r="N198" s="3" t="s">
        <v>2550</v>
      </c>
      <c r="O198" s="3" t="s">
        <v>2370</v>
      </c>
    </row>
    <row r="199" spans="1:19">
      <c r="A199" s="3" t="s">
        <v>91</v>
      </c>
      <c r="C199" s="3" t="s">
        <v>709</v>
      </c>
      <c r="D199" s="3" t="s">
        <v>710</v>
      </c>
      <c r="E199" s="3" t="s">
        <v>711</v>
      </c>
      <c r="F199" s="3" t="s">
        <v>712</v>
      </c>
      <c r="G199" s="3" t="s">
        <v>2371</v>
      </c>
      <c r="H199" s="3" t="s">
        <v>2372</v>
      </c>
      <c r="I199" s="3" t="s">
        <v>2801</v>
      </c>
      <c r="P199" s="3" t="s">
        <v>4994</v>
      </c>
      <c r="Q199" s="3" t="s">
        <v>4999</v>
      </c>
      <c r="R199" s="3" t="s">
        <v>5004</v>
      </c>
      <c r="S199" s="3" t="s">
        <v>5009</v>
      </c>
    </row>
    <row r="200" spans="1:19">
      <c r="A200" s="3" t="s">
        <v>91</v>
      </c>
      <c r="C200" s="3" t="s">
        <v>713</v>
      </c>
      <c r="D200" s="3" t="s">
        <v>714</v>
      </c>
      <c r="E200" s="3" t="s">
        <v>715</v>
      </c>
      <c r="F200" s="3" t="s">
        <v>2373</v>
      </c>
      <c r="G200" s="3" t="s">
        <v>2374</v>
      </c>
      <c r="H200" s="3" t="s">
        <v>2375</v>
      </c>
      <c r="I200" s="3" t="s">
        <v>3881</v>
      </c>
      <c r="P200" s="3" t="s">
        <v>4995</v>
      </c>
      <c r="Q200" s="3" t="s">
        <v>5000</v>
      </c>
      <c r="R200" s="3" t="s">
        <v>5005</v>
      </c>
      <c r="S200" s="3" t="s">
        <v>5010</v>
      </c>
    </row>
    <row r="201" spans="1:19">
      <c r="A201" s="3" t="s">
        <v>91</v>
      </c>
      <c r="C201" s="3" t="s">
        <v>716</v>
      </c>
      <c r="D201" s="3" t="s">
        <v>717</v>
      </c>
      <c r="E201" s="3" t="s">
        <v>718</v>
      </c>
      <c r="F201" s="3" t="s">
        <v>719</v>
      </c>
      <c r="G201" s="3" t="s">
        <v>2376</v>
      </c>
      <c r="H201" s="3" t="s">
        <v>2377</v>
      </c>
      <c r="I201" s="3" t="s">
        <v>3888</v>
      </c>
      <c r="P201" s="3" t="s">
        <v>4996</v>
      </c>
      <c r="Q201" s="3" t="s">
        <v>5001</v>
      </c>
      <c r="R201" s="3" t="s">
        <v>5006</v>
      </c>
      <c r="S201" s="3" t="s">
        <v>5011</v>
      </c>
    </row>
    <row r="202" spans="1:19">
      <c r="A202" s="3" t="s">
        <v>91</v>
      </c>
      <c r="C202" s="3" t="s">
        <v>720</v>
      </c>
      <c r="D202" s="3" t="s">
        <v>721</v>
      </c>
      <c r="E202" s="3" t="s">
        <v>722</v>
      </c>
      <c r="F202" s="3" t="s">
        <v>723</v>
      </c>
      <c r="G202" s="3" t="s">
        <v>724</v>
      </c>
      <c r="H202" s="3" t="s">
        <v>725</v>
      </c>
      <c r="I202" s="3" t="s">
        <v>3914</v>
      </c>
      <c r="P202" s="3" t="s">
        <v>4997</v>
      </c>
      <c r="Q202" s="3" t="s">
        <v>5002</v>
      </c>
      <c r="R202" s="3" t="s">
        <v>5007</v>
      </c>
      <c r="S202" s="3" t="s">
        <v>5012</v>
      </c>
    </row>
    <row r="203" spans="1:19">
      <c r="A203" s="3" t="s">
        <v>91</v>
      </c>
      <c r="C203" s="3" t="s">
        <v>726</v>
      </c>
      <c r="D203" s="3" t="s">
        <v>727</v>
      </c>
      <c r="E203" s="3" t="s">
        <v>728</v>
      </c>
      <c r="F203" s="3" t="s">
        <v>729</v>
      </c>
      <c r="G203" s="3" t="s">
        <v>730</v>
      </c>
      <c r="H203" s="3" t="s">
        <v>731</v>
      </c>
      <c r="I203" s="3" t="s">
        <v>3915</v>
      </c>
      <c r="P203" s="3" t="s">
        <v>4998</v>
      </c>
      <c r="Q203" s="3" t="s">
        <v>5003</v>
      </c>
      <c r="R203" s="3" t="s">
        <v>5008</v>
      </c>
      <c r="S203" s="3" t="s">
        <v>5013</v>
      </c>
    </row>
    <row r="204" spans="1:19">
      <c r="A204" s="3" t="s">
        <v>2812</v>
      </c>
      <c r="C204" s="3" t="s">
        <v>713</v>
      </c>
      <c r="D204" s="3" t="s">
        <v>714</v>
      </c>
      <c r="E204" s="3" t="s">
        <v>715</v>
      </c>
      <c r="F204" s="3" t="s">
        <v>2373</v>
      </c>
      <c r="G204" s="3" t="s">
        <v>2374</v>
      </c>
      <c r="H204" s="3" t="s">
        <v>2375</v>
      </c>
    </row>
    <row r="205" spans="1:19">
      <c r="A205" s="3" t="s">
        <v>91</v>
      </c>
      <c r="C205" s="3" t="s">
        <v>2880</v>
      </c>
      <c r="D205" s="3" t="s">
        <v>2881</v>
      </c>
      <c r="E205" s="3" t="s">
        <v>2882</v>
      </c>
      <c r="F205" s="3" t="s">
        <v>2883</v>
      </c>
      <c r="G205" s="3" t="s">
        <v>3387</v>
      </c>
      <c r="H205" s="3" t="s">
        <v>3388</v>
      </c>
      <c r="N205" s="3" t="s">
        <v>3389</v>
      </c>
      <c r="O205" s="3" t="s">
        <v>736</v>
      </c>
      <c r="S205" s="3" t="s">
        <v>3390</v>
      </c>
    </row>
    <row r="206" spans="1:19">
      <c r="A206" s="3" t="s">
        <v>91</v>
      </c>
      <c r="C206" s="3" t="s">
        <v>732</v>
      </c>
      <c r="D206" s="3" t="s">
        <v>733</v>
      </c>
      <c r="E206" s="3" t="s">
        <v>734</v>
      </c>
      <c r="F206" s="3" t="s">
        <v>735</v>
      </c>
      <c r="G206" s="3" t="s">
        <v>3391</v>
      </c>
      <c r="H206" s="3" t="s">
        <v>3392</v>
      </c>
      <c r="N206" s="3" t="s">
        <v>2567</v>
      </c>
      <c r="O206" s="3" t="s">
        <v>3393</v>
      </c>
    </row>
    <row r="207" spans="1:19">
      <c r="A207" s="3" t="s">
        <v>91</v>
      </c>
      <c r="C207" s="3" t="s">
        <v>2884</v>
      </c>
      <c r="D207" s="3" t="s">
        <v>2885</v>
      </c>
      <c r="E207" s="3" t="s">
        <v>2886</v>
      </c>
      <c r="F207" s="3" t="s">
        <v>2887</v>
      </c>
      <c r="G207" s="3" t="s">
        <v>737</v>
      </c>
      <c r="H207" s="3" t="s">
        <v>2888</v>
      </c>
      <c r="I207" s="3" t="s">
        <v>3394</v>
      </c>
      <c r="P207" s="3" t="s">
        <v>3916</v>
      </c>
      <c r="Q207" s="3" t="s">
        <v>3917</v>
      </c>
      <c r="R207" s="3" t="s">
        <v>3918</v>
      </c>
      <c r="S207" s="3" t="s">
        <v>3919</v>
      </c>
    </row>
    <row r="208" spans="1:19">
      <c r="A208" s="3" t="s">
        <v>91</v>
      </c>
      <c r="C208" s="3" t="s">
        <v>2378</v>
      </c>
      <c r="D208" s="3" t="s">
        <v>2379</v>
      </c>
      <c r="E208" s="3" t="s">
        <v>2380</v>
      </c>
      <c r="F208" s="3" t="s">
        <v>2381</v>
      </c>
      <c r="G208" s="3" t="s">
        <v>2889</v>
      </c>
      <c r="H208" s="3" t="s">
        <v>2890</v>
      </c>
      <c r="I208" s="3" t="s">
        <v>3920</v>
      </c>
      <c r="P208" s="3" t="s">
        <v>3921</v>
      </c>
      <c r="Q208" s="3" t="s">
        <v>3922</v>
      </c>
      <c r="R208" s="3" t="s">
        <v>3923</v>
      </c>
      <c r="S208" s="3" t="s">
        <v>3924</v>
      </c>
    </row>
    <row r="209" spans="1:19">
      <c r="A209" s="3" t="s">
        <v>2812</v>
      </c>
      <c r="C209" s="3" t="s">
        <v>2378</v>
      </c>
      <c r="D209" s="3" t="s">
        <v>2379</v>
      </c>
      <c r="E209" s="3" t="s">
        <v>2380</v>
      </c>
      <c r="F209" s="3" t="s">
        <v>2381</v>
      </c>
      <c r="G209" s="3" t="s">
        <v>2889</v>
      </c>
      <c r="H209" s="3" t="s">
        <v>2890</v>
      </c>
    </row>
    <row r="210" spans="1:19">
      <c r="A210" s="3" t="s">
        <v>91</v>
      </c>
      <c r="C210" s="3" t="s">
        <v>3395</v>
      </c>
      <c r="D210" s="3" t="s">
        <v>3396</v>
      </c>
      <c r="E210" s="3" t="s">
        <v>738</v>
      </c>
      <c r="F210" s="3" t="s">
        <v>3397</v>
      </c>
      <c r="G210" s="3" t="s">
        <v>3398</v>
      </c>
      <c r="H210" s="3" t="s">
        <v>3399</v>
      </c>
      <c r="N210" s="3" t="s">
        <v>3400</v>
      </c>
      <c r="O210" s="3" t="s">
        <v>2891</v>
      </c>
      <c r="S210" s="3" t="s">
        <v>3401</v>
      </c>
    </row>
    <row r="211" spans="1:19">
      <c r="A211" s="3" t="s">
        <v>2812</v>
      </c>
      <c r="C211" s="3" t="s">
        <v>2364</v>
      </c>
      <c r="D211" s="3" t="s">
        <v>2365</v>
      </c>
      <c r="E211" s="3" t="s">
        <v>2366</v>
      </c>
      <c r="F211" s="3" t="s">
        <v>2367</v>
      </c>
    </row>
    <row r="212" spans="1:19">
      <c r="A212" s="3" t="s">
        <v>91</v>
      </c>
      <c r="C212" s="3" t="s">
        <v>2892</v>
      </c>
      <c r="D212" s="3" t="s">
        <v>2893</v>
      </c>
      <c r="E212" s="3" t="s">
        <v>2894</v>
      </c>
      <c r="F212" s="3" t="s">
        <v>2895</v>
      </c>
      <c r="K212" s="3" t="s">
        <v>3402</v>
      </c>
      <c r="L212" s="3" t="s">
        <v>2896</v>
      </c>
      <c r="M212" s="3" t="s">
        <v>2897</v>
      </c>
      <c r="S212" s="3" t="s">
        <v>3403</v>
      </c>
    </row>
    <row r="213" spans="1:19">
      <c r="A213" s="3" t="s">
        <v>91</v>
      </c>
      <c r="C213" s="3" t="s">
        <v>2383</v>
      </c>
      <c r="D213" s="3" t="s">
        <v>2384</v>
      </c>
      <c r="E213" s="3" t="s">
        <v>739</v>
      </c>
      <c r="F213" s="3" t="s">
        <v>2385</v>
      </c>
      <c r="K213" s="3" t="s">
        <v>2572</v>
      </c>
      <c r="L213" s="3" t="s">
        <v>2386</v>
      </c>
      <c r="M213" s="3" t="s">
        <v>2387</v>
      </c>
    </row>
    <row r="214" spans="1:19">
      <c r="A214" s="3" t="s">
        <v>91</v>
      </c>
      <c r="C214" s="3" t="s">
        <v>740</v>
      </c>
      <c r="D214" s="3" t="s">
        <v>741</v>
      </c>
      <c r="E214" s="3" t="s">
        <v>742</v>
      </c>
      <c r="F214" s="3" t="s">
        <v>743</v>
      </c>
      <c r="G214" s="3" t="s">
        <v>2388</v>
      </c>
      <c r="H214" s="3" t="s">
        <v>2389</v>
      </c>
      <c r="N214" s="3" t="s">
        <v>2390</v>
      </c>
      <c r="O214" s="3" t="s">
        <v>2391</v>
      </c>
    </row>
    <row r="215" spans="1:19">
      <c r="A215" s="3" t="s">
        <v>91</v>
      </c>
      <c r="C215" s="3" t="s">
        <v>744</v>
      </c>
      <c r="D215" s="3" t="s">
        <v>745</v>
      </c>
      <c r="E215" s="3" t="s">
        <v>746</v>
      </c>
      <c r="F215" s="3" t="s">
        <v>747</v>
      </c>
      <c r="G215" s="3" t="s">
        <v>748</v>
      </c>
      <c r="H215" s="3" t="s">
        <v>749</v>
      </c>
      <c r="I215" s="3" t="s">
        <v>2802</v>
      </c>
      <c r="P215" s="3" t="s">
        <v>5190</v>
      </c>
      <c r="Q215" s="3" t="s">
        <v>5196</v>
      </c>
      <c r="R215" s="3" t="s">
        <v>5202</v>
      </c>
      <c r="S215" s="3" t="s">
        <v>5208</v>
      </c>
    </row>
    <row r="216" spans="1:19">
      <c r="A216" s="3" t="s">
        <v>91</v>
      </c>
      <c r="C216" s="3" t="s">
        <v>750</v>
      </c>
      <c r="D216" s="3" t="s">
        <v>751</v>
      </c>
      <c r="E216" s="3" t="s">
        <v>752</v>
      </c>
      <c r="F216" s="3" t="s">
        <v>753</v>
      </c>
      <c r="G216" s="3" t="s">
        <v>754</v>
      </c>
      <c r="H216" s="3" t="s">
        <v>755</v>
      </c>
      <c r="I216" s="3" t="s">
        <v>3925</v>
      </c>
      <c r="P216" s="3" t="s">
        <v>5191</v>
      </c>
      <c r="Q216" s="3" t="s">
        <v>5197</v>
      </c>
      <c r="R216" s="3" t="s">
        <v>5203</v>
      </c>
      <c r="S216" s="3" t="s">
        <v>5209</v>
      </c>
    </row>
    <row r="217" spans="1:19">
      <c r="A217" s="3" t="s">
        <v>91</v>
      </c>
      <c r="C217" s="3" t="s">
        <v>756</v>
      </c>
      <c r="D217" s="3" t="s">
        <v>757</v>
      </c>
      <c r="E217" s="3" t="s">
        <v>758</v>
      </c>
      <c r="F217" s="3" t="s">
        <v>759</v>
      </c>
      <c r="G217" s="3" t="s">
        <v>760</v>
      </c>
      <c r="H217" s="3" t="s">
        <v>761</v>
      </c>
      <c r="I217" s="3" t="s">
        <v>3881</v>
      </c>
      <c r="P217" s="3" t="s">
        <v>5192</v>
      </c>
      <c r="Q217" s="3" t="s">
        <v>5198</v>
      </c>
      <c r="R217" s="3" t="s">
        <v>5204</v>
      </c>
      <c r="S217" s="3" t="s">
        <v>5210</v>
      </c>
    </row>
    <row r="218" spans="1:19">
      <c r="A218" s="3" t="s">
        <v>91</v>
      </c>
      <c r="C218" s="3" t="s">
        <v>2392</v>
      </c>
      <c r="D218" s="3" t="s">
        <v>2393</v>
      </c>
      <c r="E218" s="3" t="s">
        <v>2394</v>
      </c>
      <c r="F218" s="3" t="s">
        <v>2395</v>
      </c>
      <c r="G218" s="3" t="s">
        <v>2396</v>
      </c>
      <c r="H218" s="3" t="s">
        <v>2397</v>
      </c>
      <c r="I218" s="3" t="s">
        <v>3888</v>
      </c>
      <c r="P218" s="3" t="s">
        <v>5193</v>
      </c>
      <c r="Q218" s="3" t="s">
        <v>5199</v>
      </c>
      <c r="R218" s="3" t="s">
        <v>5205</v>
      </c>
      <c r="S218" s="3" t="s">
        <v>5211</v>
      </c>
    </row>
    <row r="219" spans="1:19">
      <c r="A219" s="3" t="s">
        <v>91</v>
      </c>
      <c r="C219" s="3" t="s">
        <v>762</v>
      </c>
      <c r="D219" s="3" t="s">
        <v>763</v>
      </c>
      <c r="E219" s="3" t="s">
        <v>764</v>
      </c>
      <c r="F219" s="3" t="s">
        <v>765</v>
      </c>
      <c r="G219" s="3" t="s">
        <v>766</v>
      </c>
      <c r="H219" s="3" t="s">
        <v>767</v>
      </c>
      <c r="I219" s="3" t="s">
        <v>3926</v>
      </c>
      <c r="P219" s="3" t="s">
        <v>5194</v>
      </c>
      <c r="Q219" s="3" t="s">
        <v>5200</v>
      </c>
      <c r="R219" s="3" t="s">
        <v>5206</v>
      </c>
      <c r="S219" s="3" t="s">
        <v>5212</v>
      </c>
    </row>
    <row r="220" spans="1:19">
      <c r="A220" s="3" t="s">
        <v>91</v>
      </c>
      <c r="C220" s="3" t="s">
        <v>769</v>
      </c>
      <c r="D220" s="3" t="s">
        <v>770</v>
      </c>
      <c r="E220" s="3" t="s">
        <v>771</v>
      </c>
      <c r="F220" s="3" t="s">
        <v>772</v>
      </c>
      <c r="G220" s="3" t="s">
        <v>768</v>
      </c>
      <c r="H220" s="3" t="s">
        <v>2398</v>
      </c>
      <c r="I220" s="3" t="s">
        <v>3927</v>
      </c>
      <c r="P220" s="3" t="s">
        <v>5195</v>
      </c>
      <c r="Q220" s="3" t="s">
        <v>5201</v>
      </c>
      <c r="R220" s="3" t="s">
        <v>5207</v>
      </c>
      <c r="S220" s="3" t="s">
        <v>5213</v>
      </c>
    </row>
    <row r="221" spans="1:19">
      <c r="A221" s="3" t="s">
        <v>2812</v>
      </c>
      <c r="C221" s="3" t="s">
        <v>750</v>
      </c>
      <c r="D221" s="3" t="s">
        <v>751</v>
      </c>
      <c r="E221" s="3" t="s">
        <v>752</v>
      </c>
      <c r="F221" s="3" t="s">
        <v>753</v>
      </c>
      <c r="G221" s="3" t="s">
        <v>754</v>
      </c>
      <c r="H221" s="3" t="s">
        <v>755</v>
      </c>
    </row>
    <row r="222" spans="1:19">
      <c r="A222" s="3" t="s">
        <v>91</v>
      </c>
      <c r="C222" s="3" t="s">
        <v>773</v>
      </c>
      <c r="D222" s="3" t="s">
        <v>774</v>
      </c>
      <c r="E222" s="3" t="s">
        <v>775</v>
      </c>
      <c r="F222" s="3" t="s">
        <v>776</v>
      </c>
      <c r="G222" s="3" t="s">
        <v>777</v>
      </c>
      <c r="H222" s="3" t="s">
        <v>778</v>
      </c>
      <c r="N222" s="3" t="s">
        <v>2399</v>
      </c>
      <c r="O222" s="3" t="s">
        <v>783</v>
      </c>
      <c r="S222" s="3" t="s">
        <v>2803</v>
      </c>
    </row>
    <row r="223" spans="1:19">
      <c r="A223" s="3" t="s">
        <v>91</v>
      </c>
      <c r="C223" s="3" t="s">
        <v>779</v>
      </c>
      <c r="D223" s="3" t="s">
        <v>780</v>
      </c>
      <c r="E223" s="3" t="s">
        <v>781</v>
      </c>
      <c r="F223" s="3" t="s">
        <v>782</v>
      </c>
      <c r="G223" s="3" t="s">
        <v>2400</v>
      </c>
      <c r="H223" s="3" t="s">
        <v>2401</v>
      </c>
      <c r="N223" s="3" t="s">
        <v>2579</v>
      </c>
      <c r="O223" s="3" t="s">
        <v>2403</v>
      </c>
    </row>
    <row r="224" spans="1:19">
      <c r="A224" s="3" t="s">
        <v>91</v>
      </c>
      <c r="C224" s="3" t="s">
        <v>784</v>
      </c>
      <c r="D224" s="3" t="s">
        <v>785</v>
      </c>
      <c r="E224" s="3" t="s">
        <v>786</v>
      </c>
      <c r="F224" s="3" t="s">
        <v>787</v>
      </c>
      <c r="G224" s="3" t="s">
        <v>788</v>
      </c>
      <c r="H224" s="3" t="s">
        <v>789</v>
      </c>
      <c r="I224" s="3" t="s">
        <v>2804</v>
      </c>
      <c r="P224" s="3" t="s">
        <v>5214</v>
      </c>
      <c r="Q224" s="3" t="s">
        <v>5221</v>
      </c>
      <c r="R224" s="3" t="s">
        <v>5228</v>
      </c>
      <c r="S224" s="3" t="s">
        <v>5235</v>
      </c>
    </row>
    <row r="225" spans="1:19">
      <c r="A225" s="3" t="s">
        <v>91</v>
      </c>
      <c r="C225" s="3" t="s">
        <v>790</v>
      </c>
      <c r="D225" s="3" t="s">
        <v>791</v>
      </c>
      <c r="E225" s="3" t="s">
        <v>792</v>
      </c>
      <c r="F225" s="3" t="s">
        <v>793</v>
      </c>
      <c r="G225" s="3" t="s">
        <v>794</v>
      </c>
      <c r="H225" s="3" t="s">
        <v>795</v>
      </c>
      <c r="I225" s="3" t="s">
        <v>3925</v>
      </c>
      <c r="P225" s="3" t="s">
        <v>5215</v>
      </c>
      <c r="Q225" s="3" t="s">
        <v>5222</v>
      </c>
      <c r="R225" s="3" t="s">
        <v>5229</v>
      </c>
      <c r="S225" s="3" t="s">
        <v>5236</v>
      </c>
    </row>
    <row r="226" spans="1:19">
      <c r="A226" s="3" t="s">
        <v>91</v>
      </c>
      <c r="C226" s="3" t="s">
        <v>796</v>
      </c>
      <c r="D226" s="3" t="s">
        <v>797</v>
      </c>
      <c r="E226" s="3" t="s">
        <v>798</v>
      </c>
      <c r="F226" s="3" t="s">
        <v>799</v>
      </c>
      <c r="G226" s="3" t="s">
        <v>800</v>
      </c>
      <c r="H226" s="3" t="s">
        <v>801</v>
      </c>
      <c r="I226" s="3" t="s">
        <v>3881</v>
      </c>
      <c r="P226" s="3" t="s">
        <v>5216</v>
      </c>
      <c r="Q226" s="3" t="s">
        <v>5223</v>
      </c>
      <c r="R226" s="3" t="s">
        <v>5230</v>
      </c>
      <c r="S226" s="3" t="s">
        <v>5237</v>
      </c>
    </row>
    <row r="227" spans="1:19">
      <c r="A227" s="3" t="s">
        <v>91</v>
      </c>
      <c r="C227" s="3" t="s">
        <v>2404</v>
      </c>
      <c r="D227" s="3" t="s">
        <v>2405</v>
      </c>
      <c r="E227" s="3" t="s">
        <v>2406</v>
      </c>
      <c r="F227" s="3" t="s">
        <v>2407</v>
      </c>
      <c r="G227" s="3" t="s">
        <v>2408</v>
      </c>
      <c r="H227" s="3" t="s">
        <v>2409</v>
      </c>
      <c r="I227" s="3" t="s">
        <v>3888</v>
      </c>
      <c r="P227" s="3" t="s">
        <v>5217</v>
      </c>
      <c r="Q227" s="3" t="s">
        <v>5224</v>
      </c>
      <c r="R227" s="3" t="s">
        <v>5231</v>
      </c>
      <c r="S227" s="3" t="s">
        <v>5238</v>
      </c>
    </row>
    <row r="228" spans="1:19">
      <c r="A228" s="3" t="s">
        <v>91</v>
      </c>
      <c r="C228" s="3" t="s">
        <v>802</v>
      </c>
      <c r="D228" s="3" t="s">
        <v>803</v>
      </c>
      <c r="E228" s="3" t="s">
        <v>804</v>
      </c>
      <c r="F228" s="3" t="s">
        <v>805</v>
      </c>
      <c r="G228" s="3" t="s">
        <v>806</v>
      </c>
      <c r="H228" s="3" t="s">
        <v>807</v>
      </c>
      <c r="I228" s="3" t="s">
        <v>3926</v>
      </c>
      <c r="P228" s="3" t="s">
        <v>5218</v>
      </c>
      <c r="Q228" s="3" t="s">
        <v>5225</v>
      </c>
      <c r="R228" s="3" t="s">
        <v>5232</v>
      </c>
      <c r="S228" s="3" t="s">
        <v>5239</v>
      </c>
    </row>
    <row r="229" spans="1:19">
      <c r="A229" s="3" t="s">
        <v>91</v>
      </c>
      <c r="C229" s="3" t="s">
        <v>809</v>
      </c>
      <c r="D229" s="3" t="s">
        <v>810</v>
      </c>
      <c r="E229" s="3" t="s">
        <v>811</v>
      </c>
      <c r="F229" s="3" t="s">
        <v>812</v>
      </c>
      <c r="G229" s="3" t="s">
        <v>808</v>
      </c>
      <c r="H229" s="3" t="s">
        <v>2410</v>
      </c>
      <c r="I229" s="3" t="s">
        <v>3928</v>
      </c>
      <c r="P229" s="3" t="s">
        <v>5219</v>
      </c>
      <c r="Q229" s="3" t="s">
        <v>5226</v>
      </c>
      <c r="R229" s="3" t="s">
        <v>5233</v>
      </c>
      <c r="S229" s="3" t="s">
        <v>5240</v>
      </c>
    </row>
    <row r="230" spans="1:19">
      <c r="A230" s="3" t="s">
        <v>91</v>
      </c>
      <c r="C230" s="3" t="s">
        <v>2898</v>
      </c>
      <c r="D230" s="3" t="s">
        <v>2899</v>
      </c>
      <c r="E230" s="3" t="s">
        <v>2900</v>
      </c>
      <c r="F230" s="3" t="s">
        <v>2901</v>
      </c>
      <c r="G230" s="3" t="s">
        <v>2902</v>
      </c>
      <c r="H230" s="3" t="s">
        <v>2903</v>
      </c>
      <c r="I230" s="3" t="s">
        <v>3929</v>
      </c>
      <c r="P230" s="3" t="s">
        <v>5220</v>
      </c>
      <c r="Q230" s="3" t="s">
        <v>5227</v>
      </c>
      <c r="R230" s="3" t="s">
        <v>5234</v>
      </c>
      <c r="S230" s="3" t="s">
        <v>5241</v>
      </c>
    </row>
    <row r="231" spans="1:19">
      <c r="A231" s="3" t="s">
        <v>2812</v>
      </c>
      <c r="C231" s="3" t="s">
        <v>790</v>
      </c>
      <c r="D231" s="3" t="s">
        <v>791</v>
      </c>
      <c r="E231" s="3" t="s">
        <v>792</v>
      </c>
      <c r="F231" s="3" t="s">
        <v>793</v>
      </c>
      <c r="G231" s="3" t="s">
        <v>794</v>
      </c>
      <c r="H231" s="3" t="s">
        <v>795</v>
      </c>
    </row>
    <row r="232" spans="1:19">
      <c r="A232" s="3" t="s">
        <v>91</v>
      </c>
      <c r="C232" s="3" t="s">
        <v>813</v>
      </c>
      <c r="D232" s="3" t="s">
        <v>814</v>
      </c>
      <c r="E232" s="3" t="s">
        <v>815</v>
      </c>
      <c r="F232" s="3" t="s">
        <v>816</v>
      </c>
      <c r="G232" s="3" t="s">
        <v>817</v>
      </c>
      <c r="H232" s="3" t="s">
        <v>2904</v>
      </c>
      <c r="N232" s="3" t="s">
        <v>3404</v>
      </c>
      <c r="O232" s="3" t="s">
        <v>822</v>
      </c>
      <c r="S232" s="3" t="s">
        <v>3405</v>
      </c>
    </row>
    <row r="233" spans="1:19">
      <c r="A233" s="3" t="s">
        <v>91</v>
      </c>
      <c r="C233" s="3" t="s">
        <v>818</v>
      </c>
      <c r="D233" s="3" t="s">
        <v>819</v>
      </c>
      <c r="E233" s="3" t="s">
        <v>820</v>
      </c>
      <c r="F233" s="3" t="s">
        <v>821</v>
      </c>
      <c r="G233" s="3" t="s">
        <v>3406</v>
      </c>
      <c r="H233" s="3" t="s">
        <v>3407</v>
      </c>
      <c r="N233" s="3" t="s">
        <v>2629</v>
      </c>
      <c r="O233" s="3" t="s">
        <v>3408</v>
      </c>
    </row>
    <row r="234" spans="1:19">
      <c r="A234" s="3" t="s">
        <v>91</v>
      </c>
      <c r="C234" s="3" t="s">
        <v>823</v>
      </c>
      <c r="D234" s="3" t="s">
        <v>824</v>
      </c>
      <c r="E234" s="3" t="s">
        <v>825</v>
      </c>
      <c r="F234" s="3" t="s">
        <v>826</v>
      </c>
      <c r="G234" s="3" t="s">
        <v>827</v>
      </c>
      <c r="H234" s="3" t="s">
        <v>828</v>
      </c>
      <c r="I234" s="3" t="s">
        <v>3409</v>
      </c>
      <c r="P234" s="3" t="s">
        <v>3930</v>
      </c>
      <c r="Q234" s="3" t="s">
        <v>3931</v>
      </c>
      <c r="R234" s="3" t="s">
        <v>3932</v>
      </c>
      <c r="S234" s="3" t="s">
        <v>3933</v>
      </c>
    </row>
    <row r="235" spans="1:19">
      <c r="A235" s="3" t="s">
        <v>91</v>
      </c>
      <c r="C235" s="3" t="s">
        <v>829</v>
      </c>
      <c r="D235" s="3" t="s">
        <v>830</v>
      </c>
      <c r="E235" s="3" t="s">
        <v>831</v>
      </c>
      <c r="F235" s="3" t="s">
        <v>832</v>
      </c>
      <c r="G235" s="3" t="s">
        <v>833</v>
      </c>
      <c r="H235" s="3" t="s">
        <v>834</v>
      </c>
      <c r="I235" s="3" t="s">
        <v>3934</v>
      </c>
      <c r="P235" s="3" t="s">
        <v>3935</v>
      </c>
      <c r="Q235" s="3" t="s">
        <v>3936</v>
      </c>
      <c r="R235" s="3" t="s">
        <v>3937</v>
      </c>
      <c r="S235" s="3" t="s">
        <v>3938</v>
      </c>
    </row>
    <row r="236" spans="1:19">
      <c r="A236" s="3" t="s">
        <v>2812</v>
      </c>
      <c r="C236" s="3" t="s">
        <v>829</v>
      </c>
      <c r="D236" s="3" t="s">
        <v>830</v>
      </c>
      <c r="E236" s="3" t="s">
        <v>831</v>
      </c>
      <c r="F236" s="3" t="s">
        <v>832</v>
      </c>
      <c r="G236" s="3" t="s">
        <v>833</v>
      </c>
      <c r="H236" s="3" t="s">
        <v>834</v>
      </c>
    </row>
    <row r="237" spans="1:19">
      <c r="A237" s="3" t="s">
        <v>91</v>
      </c>
      <c r="C237" s="3" t="s">
        <v>835</v>
      </c>
      <c r="D237" s="3" t="s">
        <v>836</v>
      </c>
      <c r="E237" s="3" t="s">
        <v>837</v>
      </c>
      <c r="F237" s="3" t="s">
        <v>838</v>
      </c>
      <c r="G237" s="3" t="s">
        <v>839</v>
      </c>
      <c r="H237" s="3" t="s">
        <v>840</v>
      </c>
      <c r="N237" s="3" t="s">
        <v>3410</v>
      </c>
      <c r="O237" s="3" t="s">
        <v>841</v>
      </c>
      <c r="S237" s="3" t="s">
        <v>3411</v>
      </c>
    </row>
    <row r="238" spans="1:19">
      <c r="A238" s="3" t="s">
        <v>2812</v>
      </c>
      <c r="C238" s="3" t="s">
        <v>779</v>
      </c>
      <c r="D238" s="3" t="s">
        <v>780</v>
      </c>
      <c r="E238" s="3" t="s">
        <v>781</v>
      </c>
      <c r="F238" s="3" t="s">
        <v>782</v>
      </c>
    </row>
    <row r="239" spans="1:19">
      <c r="A239" s="3" t="s">
        <v>91</v>
      </c>
      <c r="C239" s="3" t="s">
        <v>842</v>
      </c>
      <c r="D239" s="3" t="s">
        <v>843</v>
      </c>
      <c r="E239" s="3" t="s">
        <v>844</v>
      </c>
      <c r="F239" s="3" t="s">
        <v>845</v>
      </c>
      <c r="K239" s="3" t="s">
        <v>3412</v>
      </c>
      <c r="L239" s="3" t="s">
        <v>2905</v>
      </c>
      <c r="M239" s="3" t="s">
        <v>2906</v>
      </c>
      <c r="S239" s="3" t="s">
        <v>3413</v>
      </c>
    </row>
    <row r="240" spans="1:19">
      <c r="A240" s="3" t="s">
        <v>91</v>
      </c>
      <c r="C240" s="3" t="s">
        <v>3414</v>
      </c>
      <c r="D240" s="3" t="s">
        <v>3415</v>
      </c>
      <c r="E240" s="3" t="s">
        <v>2907</v>
      </c>
      <c r="F240" s="3" t="s">
        <v>3416</v>
      </c>
      <c r="K240" s="3" t="s">
        <v>2643</v>
      </c>
      <c r="L240" s="3" t="s">
        <v>3417</v>
      </c>
      <c r="M240" s="3" t="s">
        <v>3418</v>
      </c>
    </row>
    <row r="241" spans="1:19">
      <c r="A241" s="3" t="s">
        <v>91</v>
      </c>
      <c r="C241" s="3" t="s">
        <v>846</v>
      </c>
      <c r="D241" s="3" t="s">
        <v>847</v>
      </c>
      <c r="E241" s="3" t="s">
        <v>848</v>
      </c>
      <c r="F241" s="3" t="s">
        <v>849</v>
      </c>
      <c r="G241" s="3" t="s">
        <v>3419</v>
      </c>
      <c r="H241" s="3" t="s">
        <v>3420</v>
      </c>
      <c r="N241" s="3" t="s">
        <v>3421</v>
      </c>
      <c r="O241" s="3" t="s">
        <v>3422</v>
      </c>
    </row>
    <row r="242" spans="1:19">
      <c r="A242" s="3" t="s">
        <v>91</v>
      </c>
      <c r="C242" s="3" t="s">
        <v>850</v>
      </c>
      <c r="D242" s="3" t="s">
        <v>851</v>
      </c>
      <c r="E242" s="3" t="s">
        <v>852</v>
      </c>
      <c r="F242" s="3" t="s">
        <v>853</v>
      </c>
      <c r="G242" s="3" t="s">
        <v>854</v>
      </c>
      <c r="H242" s="3" t="s">
        <v>2908</v>
      </c>
      <c r="I242" s="3" t="s">
        <v>3423</v>
      </c>
      <c r="P242" s="3" t="s">
        <v>5134</v>
      </c>
      <c r="Q242" s="3" t="s">
        <v>5141</v>
      </c>
      <c r="R242" s="3" t="s">
        <v>5148</v>
      </c>
      <c r="S242" s="3" t="s">
        <v>5155</v>
      </c>
    </row>
    <row r="243" spans="1:19">
      <c r="A243" s="3" t="s">
        <v>91</v>
      </c>
      <c r="C243" s="3" t="s">
        <v>855</v>
      </c>
      <c r="D243" s="3" t="s">
        <v>856</v>
      </c>
      <c r="E243" s="3" t="s">
        <v>857</v>
      </c>
      <c r="F243" s="3" t="s">
        <v>858</v>
      </c>
      <c r="G243" s="3" t="s">
        <v>859</v>
      </c>
      <c r="H243" s="3" t="s">
        <v>860</v>
      </c>
      <c r="I243" s="3" t="s">
        <v>3939</v>
      </c>
      <c r="P243" s="3" t="s">
        <v>5135</v>
      </c>
      <c r="Q243" s="3" t="s">
        <v>5142</v>
      </c>
      <c r="R243" s="3" t="s">
        <v>5149</v>
      </c>
      <c r="S243" s="3" t="s">
        <v>5156</v>
      </c>
    </row>
    <row r="244" spans="1:19">
      <c r="A244" s="3" t="s">
        <v>91</v>
      </c>
      <c r="C244" s="3" t="s">
        <v>861</v>
      </c>
      <c r="D244" s="3" t="s">
        <v>862</v>
      </c>
      <c r="E244" s="3" t="s">
        <v>863</v>
      </c>
      <c r="F244" s="3" t="s">
        <v>864</v>
      </c>
      <c r="G244" s="3" t="s">
        <v>865</v>
      </c>
      <c r="H244" s="3" t="s">
        <v>866</v>
      </c>
      <c r="I244" s="3" t="s">
        <v>3881</v>
      </c>
      <c r="P244" s="3" t="s">
        <v>5136</v>
      </c>
      <c r="Q244" s="3" t="s">
        <v>5143</v>
      </c>
      <c r="R244" s="3" t="s">
        <v>5150</v>
      </c>
      <c r="S244" s="3" t="s">
        <v>5157</v>
      </c>
    </row>
    <row r="245" spans="1:19">
      <c r="A245" s="3" t="s">
        <v>91</v>
      </c>
      <c r="C245" s="3" t="s">
        <v>2411</v>
      </c>
      <c r="D245" s="3" t="s">
        <v>2412</v>
      </c>
      <c r="E245" s="3" t="s">
        <v>2413</v>
      </c>
      <c r="F245" s="3" t="s">
        <v>2414</v>
      </c>
      <c r="G245" s="3" t="s">
        <v>2415</v>
      </c>
      <c r="H245" s="3" t="s">
        <v>2416</v>
      </c>
      <c r="I245" s="3" t="s">
        <v>3940</v>
      </c>
      <c r="P245" s="3" t="s">
        <v>5137</v>
      </c>
      <c r="Q245" s="3" t="s">
        <v>5144</v>
      </c>
      <c r="R245" s="3" t="s">
        <v>5151</v>
      </c>
      <c r="S245" s="3" t="s">
        <v>5158</v>
      </c>
    </row>
    <row r="246" spans="1:19">
      <c r="A246" s="3" t="s">
        <v>91</v>
      </c>
      <c r="C246" s="3" t="s">
        <v>867</v>
      </c>
      <c r="D246" s="3" t="s">
        <v>868</v>
      </c>
      <c r="E246" s="3" t="s">
        <v>869</v>
      </c>
      <c r="F246" s="3" t="s">
        <v>870</v>
      </c>
      <c r="G246" s="3" t="s">
        <v>871</v>
      </c>
      <c r="H246" s="3" t="s">
        <v>872</v>
      </c>
      <c r="I246" s="3" t="s">
        <v>3888</v>
      </c>
      <c r="P246" s="3" t="s">
        <v>5138</v>
      </c>
      <c r="Q246" s="3" t="s">
        <v>5145</v>
      </c>
      <c r="R246" s="3" t="s">
        <v>5152</v>
      </c>
      <c r="S246" s="3" t="s">
        <v>5159</v>
      </c>
    </row>
    <row r="247" spans="1:19">
      <c r="A247" s="3" t="s">
        <v>91</v>
      </c>
      <c r="C247" s="3" t="s">
        <v>874</v>
      </c>
      <c r="D247" s="3" t="s">
        <v>875</v>
      </c>
      <c r="E247" s="3" t="s">
        <v>876</v>
      </c>
      <c r="F247" s="3" t="s">
        <v>877</v>
      </c>
      <c r="G247" s="3" t="s">
        <v>873</v>
      </c>
      <c r="H247" s="3" t="s">
        <v>2417</v>
      </c>
      <c r="I247" s="3" t="s">
        <v>3941</v>
      </c>
      <c r="P247" s="3" t="s">
        <v>5139</v>
      </c>
      <c r="Q247" s="3" t="s">
        <v>5146</v>
      </c>
      <c r="R247" s="3" t="s">
        <v>5153</v>
      </c>
      <c r="S247" s="3" t="s">
        <v>5160</v>
      </c>
    </row>
    <row r="248" spans="1:19">
      <c r="A248" s="3" t="s">
        <v>91</v>
      </c>
      <c r="C248" s="3" t="s">
        <v>878</v>
      </c>
      <c r="D248" s="3" t="s">
        <v>879</v>
      </c>
      <c r="E248" s="3" t="s">
        <v>880</v>
      </c>
      <c r="F248" s="3" t="s">
        <v>881</v>
      </c>
      <c r="G248" s="3" t="s">
        <v>882</v>
      </c>
      <c r="H248" s="3" t="s">
        <v>883</v>
      </c>
      <c r="I248" s="3" t="s">
        <v>3942</v>
      </c>
      <c r="P248" s="3" t="s">
        <v>5140</v>
      </c>
      <c r="Q248" s="3" t="s">
        <v>5147</v>
      </c>
      <c r="R248" s="3" t="s">
        <v>5154</v>
      </c>
      <c r="S248" s="3" t="s">
        <v>5161</v>
      </c>
    </row>
    <row r="249" spans="1:19">
      <c r="A249" s="3" t="s">
        <v>2812</v>
      </c>
      <c r="C249" s="3" t="s">
        <v>855</v>
      </c>
      <c r="D249" s="3" t="s">
        <v>856</v>
      </c>
      <c r="E249" s="3" t="s">
        <v>857</v>
      </c>
      <c r="F249" s="3" t="s">
        <v>858</v>
      </c>
      <c r="G249" s="3" t="s">
        <v>859</v>
      </c>
      <c r="H249" s="3" t="s">
        <v>860</v>
      </c>
    </row>
    <row r="250" spans="1:19">
      <c r="A250" s="3" t="s">
        <v>91</v>
      </c>
      <c r="C250" s="3" t="s">
        <v>884</v>
      </c>
      <c r="D250" s="3" t="s">
        <v>885</v>
      </c>
      <c r="E250" s="3" t="s">
        <v>886</v>
      </c>
      <c r="F250" s="3" t="s">
        <v>887</v>
      </c>
      <c r="G250" s="3" t="s">
        <v>888</v>
      </c>
      <c r="H250" s="3" t="s">
        <v>889</v>
      </c>
      <c r="N250" s="3" t="s">
        <v>2418</v>
      </c>
      <c r="O250" s="3" t="s">
        <v>894</v>
      </c>
      <c r="S250" s="3" t="s">
        <v>3424</v>
      </c>
    </row>
    <row r="251" spans="1:19">
      <c r="A251" s="3" t="s">
        <v>91</v>
      </c>
      <c r="C251" s="3" t="s">
        <v>890</v>
      </c>
      <c r="D251" s="3" t="s">
        <v>891</v>
      </c>
      <c r="E251" s="3" t="s">
        <v>892</v>
      </c>
      <c r="F251" s="3" t="s">
        <v>893</v>
      </c>
      <c r="G251" s="3" t="s">
        <v>2419</v>
      </c>
      <c r="H251" s="3" t="s">
        <v>2420</v>
      </c>
      <c r="N251" s="3" t="s">
        <v>2651</v>
      </c>
      <c r="O251" s="3" t="s">
        <v>2421</v>
      </c>
    </row>
    <row r="252" spans="1:19">
      <c r="A252" s="3" t="s">
        <v>91</v>
      </c>
      <c r="C252" s="3" t="s">
        <v>895</v>
      </c>
      <c r="D252" s="3" t="s">
        <v>896</v>
      </c>
      <c r="E252" s="3" t="s">
        <v>897</v>
      </c>
      <c r="F252" s="3" t="s">
        <v>898</v>
      </c>
      <c r="G252" s="3" t="s">
        <v>899</v>
      </c>
      <c r="H252" s="3" t="s">
        <v>900</v>
      </c>
      <c r="I252" s="3" t="s">
        <v>2805</v>
      </c>
      <c r="P252" s="3" t="s">
        <v>5162</v>
      </c>
      <c r="Q252" s="3" t="s">
        <v>5169</v>
      </c>
      <c r="R252" s="3" t="s">
        <v>5176</v>
      </c>
      <c r="S252" s="3" t="s">
        <v>5183</v>
      </c>
    </row>
    <row r="253" spans="1:19">
      <c r="A253" s="3" t="s">
        <v>91</v>
      </c>
      <c r="C253" s="3" t="s">
        <v>901</v>
      </c>
      <c r="D253" s="3" t="s">
        <v>902</v>
      </c>
      <c r="E253" s="3" t="s">
        <v>903</v>
      </c>
      <c r="F253" s="3" t="s">
        <v>904</v>
      </c>
      <c r="G253" s="3" t="s">
        <v>905</v>
      </c>
      <c r="H253" s="3" t="s">
        <v>906</v>
      </c>
      <c r="I253" s="3" t="s">
        <v>3939</v>
      </c>
      <c r="P253" s="3" t="s">
        <v>5163</v>
      </c>
      <c r="Q253" s="3" t="s">
        <v>5170</v>
      </c>
      <c r="R253" s="3" t="s">
        <v>5177</v>
      </c>
      <c r="S253" s="3" t="s">
        <v>5184</v>
      </c>
    </row>
    <row r="254" spans="1:19">
      <c r="A254" s="3" t="s">
        <v>91</v>
      </c>
      <c r="C254" s="3" t="s">
        <v>2422</v>
      </c>
      <c r="D254" s="3" t="s">
        <v>2423</v>
      </c>
      <c r="E254" s="3" t="s">
        <v>2424</v>
      </c>
      <c r="F254" s="3" t="s">
        <v>2425</v>
      </c>
      <c r="G254" s="3" t="s">
        <v>2426</v>
      </c>
      <c r="H254" s="3" t="s">
        <v>2427</v>
      </c>
      <c r="I254" s="3" t="s">
        <v>3881</v>
      </c>
      <c r="P254" s="3" t="s">
        <v>5164</v>
      </c>
      <c r="Q254" s="3" t="s">
        <v>5171</v>
      </c>
      <c r="R254" s="3" t="s">
        <v>5178</v>
      </c>
      <c r="S254" s="3" t="s">
        <v>5185</v>
      </c>
    </row>
    <row r="255" spans="1:19">
      <c r="A255" s="3" t="s">
        <v>91</v>
      </c>
      <c r="C255" s="3" t="s">
        <v>907</v>
      </c>
      <c r="D255" s="3" t="s">
        <v>908</v>
      </c>
      <c r="E255" s="3" t="s">
        <v>909</v>
      </c>
      <c r="F255" s="3" t="s">
        <v>910</v>
      </c>
      <c r="G255" s="3" t="s">
        <v>911</v>
      </c>
      <c r="H255" s="3" t="s">
        <v>912</v>
      </c>
      <c r="I255" s="3" t="s">
        <v>3940</v>
      </c>
      <c r="P255" s="3" t="s">
        <v>5165</v>
      </c>
      <c r="Q255" s="3" t="s">
        <v>5172</v>
      </c>
      <c r="R255" s="3" t="s">
        <v>5179</v>
      </c>
      <c r="S255" s="3" t="s">
        <v>5186</v>
      </c>
    </row>
    <row r="256" spans="1:19">
      <c r="A256" s="3" t="s">
        <v>91</v>
      </c>
      <c r="C256" s="3" t="s">
        <v>2428</v>
      </c>
      <c r="D256" s="3" t="s">
        <v>2429</v>
      </c>
      <c r="E256" s="3" t="s">
        <v>2430</v>
      </c>
      <c r="F256" s="3" t="s">
        <v>2431</v>
      </c>
      <c r="G256" s="3" t="s">
        <v>913</v>
      </c>
      <c r="H256" s="3" t="s">
        <v>2432</v>
      </c>
      <c r="I256" s="3" t="s">
        <v>3888</v>
      </c>
      <c r="P256" s="3" t="s">
        <v>5166</v>
      </c>
      <c r="Q256" s="3" t="s">
        <v>5173</v>
      </c>
      <c r="R256" s="3" t="s">
        <v>5180</v>
      </c>
      <c r="S256" s="3" t="s">
        <v>5187</v>
      </c>
    </row>
    <row r="257" spans="1:19">
      <c r="A257" s="3" t="s">
        <v>91</v>
      </c>
      <c r="C257" s="3" t="s">
        <v>914</v>
      </c>
      <c r="D257" s="3" t="s">
        <v>915</v>
      </c>
      <c r="E257" s="3" t="s">
        <v>916</v>
      </c>
      <c r="F257" s="3" t="s">
        <v>917</v>
      </c>
      <c r="G257" s="3" t="s">
        <v>2433</v>
      </c>
      <c r="H257" s="3" t="s">
        <v>2434</v>
      </c>
      <c r="I257" s="3" t="s">
        <v>3941</v>
      </c>
      <c r="P257" s="3" t="s">
        <v>5167</v>
      </c>
      <c r="Q257" s="3" t="s">
        <v>5174</v>
      </c>
      <c r="R257" s="3" t="s">
        <v>5181</v>
      </c>
      <c r="S257" s="3" t="s">
        <v>5188</v>
      </c>
    </row>
    <row r="258" spans="1:19">
      <c r="A258" s="3" t="s">
        <v>91</v>
      </c>
      <c r="C258" s="3" t="s">
        <v>2909</v>
      </c>
      <c r="D258" s="3" t="s">
        <v>2910</v>
      </c>
      <c r="E258" s="3" t="s">
        <v>2911</v>
      </c>
      <c r="F258" s="3" t="s">
        <v>2912</v>
      </c>
      <c r="G258" s="3" t="s">
        <v>2913</v>
      </c>
      <c r="H258" s="3" t="s">
        <v>2914</v>
      </c>
      <c r="I258" s="3" t="s">
        <v>3942</v>
      </c>
      <c r="P258" s="3" t="s">
        <v>5168</v>
      </c>
      <c r="Q258" s="3" t="s">
        <v>5175</v>
      </c>
      <c r="R258" s="3" t="s">
        <v>5182</v>
      </c>
      <c r="S258" s="3" t="s">
        <v>5189</v>
      </c>
    </row>
    <row r="259" spans="1:19">
      <c r="A259" s="3" t="s">
        <v>2812</v>
      </c>
      <c r="C259" s="3" t="s">
        <v>901</v>
      </c>
      <c r="D259" s="3" t="s">
        <v>902</v>
      </c>
      <c r="E259" s="3" t="s">
        <v>903</v>
      </c>
      <c r="F259" s="3" t="s">
        <v>904</v>
      </c>
      <c r="G259" s="3" t="s">
        <v>905</v>
      </c>
      <c r="H259" s="3" t="s">
        <v>906</v>
      </c>
    </row>
    <row r="260" spans="1:19">
      <c r="A260" s="3" t="s">
        <v>91</v>
      </c>
      <c r="C260" s="3" t="s">
        <v>2915</v>
      </c>
      <c r="D260" s="3" t="s">
        <v>2916</v>
      </c>
      <c r="E260" s="3" t="s">
        <v>2917</v>
      </c>
      <c r="F260" s="3" t="s">
        <v>2918</v>
      </c>
      <c r="G260" s="3" t="s">
        <v>2435</v>
      </c>
      <c r="H260" s="3" t="s">
        <v>2919</v>
      </c>
      <c r="N260" s="3" t="s">
        <v>2920</v>
      </c>
      <c r="O260" s="3" t="s">
        <v>2921</v>
      </c>
      <c r="S260" s="3" t="s">
        <v>3425</v>
      </c>
    </row>
    <row r="261" spans="1:19">
      <c r="A261" s="3" t="s">
        <v>2812</v>
      </c>
      <c r="C261" s="3" t="s">
        <v>890</v>
      </c>
      <c r="D261" s="3" t="s">
        <v>891</v>
      </c>
      <c r="E261" s="3" t="s">
        <v>892</v>
      </c>
      <c r="F261" s="3" t="s">
        <v>893</v>
      </c>
    </row>
    <row r="262" spans="1:19">
      <c r="A262" s="3" t="s">
        <v>91</v>
      </c>
      <c r="C262" s="3" t="s">
        <v>2436</v>
      </c>
      <c r="D262" s="3" t="s">
        <v>2437</v>
      </c>
      <c r="E262" s="3" t="s">
        <v>918</v>
      </c>
      <c r="F262" s="3" t="s">
        <v>2922</v>
      </c>
      <c r="K262" s="3" t="s">
        <v>2923</v>
      </c>
      <c r="L262" s="3" t="s">
        <v>919</v>
      </c>
      <c r="M262" s="3" t="s">
        <v>920</v>
      </c>
      <c r="S262" s="3" t="s">
        <v>3426</v>
      </c>
    </row>
    <row r="263" spans="1:19">
      <c r="A263" s="3" t="s">
        <v>91</v>
      </c>
      <c r="C263" s="3" t="s">
        <v>3427</v>
      </c>
      <c r="D263" s="3" t="s">
        <v>3428</v>
      </c>
      <c r="E263" s="3" t="s">
        <v>921</v>
      </c>
      <c r="F263" s="3" t="s">
        <v>3429</v>
      </c>
      <c r="K263" s="3" t="s">
        <v>2681</v>
      </c>
      <c r="L263" s="3" t="s">
        <v>3430</v>
      </c>
      <c r="M263" s="3" t="s">
        <v>3431</v>
      </c>
    </row>
    <row r="264" spans="1:19">
      <c r="A264" s="3" t="s">
        <v>91</v>
      </c>
      <c r="C264" s="3" t="s">
        <v>922</v>
      </c>
      <c r="D264" s="3" t="s">
        <v>923</v>
      </c>
      <c r="E264" s="3" t="s">
        <v>924</v>
      </c>
      <c r="F264" s="3" t="s">
        <v>925</v>
      </c>
      <c r="G264" s="3" t="s">
        <v>3432</v>
      </c>
      <c r="H264" s="3" t="s">
        <v>3433</v>
      </c>
      <c r="N264" s="3" t="s">
        <v>3434</v>
      </c>
      <c r="O264" s="3" t="s">
        <v>3435</v>
      </c>
    </row>
    <row r="265" spans="1:19">
      <c r="A265" s="3" t="s">
        <v>91</v>
      </c>
      <c r="C265" s="3" t="s">
        <v>926</v>
      </c>
      <c r="D265" s="3" t="s">
        <v>927</v>
      </c>
      <c r="E265" s="3" t="s">
        <v>928</v>
      </c>
      <c r="F265" s="3" t="s">
        <v>929</v>
      </c>
      <c r="G265" s="3" t="s">
        <v>930</v>
      </c>
      <c r="H265" s="3" t="s">
        <v>931</v>
      </c>
      <c r="I265" s="3" t="s">
        <v>3436</v>
      </c>
      <c r="P265" s="3" t="s">
        <v>5082</v>
      </c>
      <c r="Q265" s="3" t="s">
        <v>5088</v>
      </c>
      <c r="R265" s="3" t="s">
        <v>5094</v>
      </c>
      <c r="S265" s="3" t="s">
        <v>5100</v>
      </c>
    </row>
    <row r="266" spans="1:19">
      <c r="A266" s="3" t="s">
        <v>91</v>
      </c>
      <c r="C266" s="3" t="s">
        <v>932</v>
      </c>
      <c r="D266" s="3" t="s">
        <v>933</v>
      </c>
      <c r="E266" s="3" t="s">
        <v>934</v>
      </c>
      <c r="F266" s="3" t="s">
        <v>935</v>
      </c>
      <c r="G266" s="3" t="s">
        <v>936</v>
      </c>
      <c r="H266" s="3" t="s">
        <v>937</v>
      </c>
      <c r="I266" s="3" t="s">
        <v>3943</v>
      </c>
      <c r="P266" s="3" t="s">
        <v>5083</v>
      </c>
      <c r="Q266" s="3" t="s">
        <v>5089</v>
      </c>
      <c r="R266" s="3" t="s">
        <v>5095</v>
      </c>
      <c r="S266" s="3" t="s">
        <v>5101</v>
      </c>
    </row>
    <row r="267" spans="1:19">
      <c r="A267" s="3" t="s">
        <v>91</v>
      </c>
      <c r="C267" s="3" t="s">
        <v>938</v>
      </c>
      <c r="D267" s="3" t="s">
        <v>939</v>
      </c>
      <c r="E267" s="3" t="s">
        <v>940</v>
      </c>
      <c r="F267" s="3" t="s">
        <v>941</v>
      </c>
      <c r="G267" s="3" t="s">
        <v>942</v>
      </c>
      <c r="H267" s="3" t="s">
        <v>943</v>
      </c>
      <c r="I267" s="3" t="s">
        <v>3881</v>
      </c>
      <c r="P267" s="3" t="s">
        <v>5084</v>
      </c>
      <c r="Q267" s="3" t="s">
        <v>5090</v>
      </c>
      <c r="R267" s="3" t="s">
        <v>5096</v>
      </c>
      <c r="S267" s="3" t="s">
        <v>5102</v>
      </c>
    </row>
    <row r="268" spans="1:19">
      <c r="A268" s="3" t="s">
        <v>91</v>
      </c>
      <c r="C268" s="3" t="s">
        <v>2924</v>
      </c>
      <c r="D268" s="3" t="s">
        <v>2925</v>
      </c>
      <c r="E268" s="3" t="s">
        <v>2926</v>
      </c>
      <c r="F268" s="3" t="s">
        <v>2927</v>
      </c>
      <c r="G268" s="3" t="s">
        <v>3437</v>
      </c>
      <c r="H268" s="3" t="s">
        <v>3438</v>
      </c>
      <c r="I268" s="3" t="s">
        <v>3888</v>
      </c>
      <c r="P268" s="3" t="s">
        <v>5085</v>
      </c>
      <c r="Q268" s="3" t="s">
        <v>5091</v>
      </c>
      <c r="R268" s="3" t="s">
        <v>5097</v>
      </c>
      <c r="S268" s="3" t="s">
        <v>5103</v>
      </c>
    </row>
    <row r="269" spans="1:19">
      <c r="A269" s="3" t="s">
        <v>91</v>
      </c>
      <c r="C269" s="3" t="s">
        <v>944</v>
      </c>
      <c r="D269" s="3" t="s">
        <v>945</v>
      </c>
      <c r="E269" s="3" t="s">
        <v>946</v>
      </c>
      <c r="F269" s="3" t="s">
        <v>947</v>
      </c>
      <c r="G269" s="3" t="s">
        <v>948</v>
      </c>
      <c r="H269" s="3" t="s">
        <v>949</v>
      </c>
      <c r="I269" s="3" t="s">
        <v>3944</v>
      </c>
      <c r="P269" s="3" t="s">
        <v>5086</v>
      </c>
      <c r="Q269" s="3" t="s">
        <v>5092</v>
      </c>
      <c r="R269" s="3" t="s">
        <v>5098</v>
      </c>
      <c r="S269" s="3" t="s">
        <v>5104</v>
      </c>
    </row>
    <row r="270" spans="1:19">
      <c r="A270" s="3" t="s">
        <v>91</v>
      </c>
      <c r="C270" s="3" t="s">
        <v>2440</v>
      </c>
      <c r="D270" s="3" t="s">
        <v>2441</v>
      </c>
      <c r="E270" s="3" t="s">
        <v>2442</v>
      </c>
      <c r="F270" s="3" t="s">
        <v>2443</v>
      </c>
      <c r="G270" s="3" t="s">
        <v>2439</v>
      </c>
      <c r="H270" s="3" t="s">
        <v>2928</v>
      </c>
      <c r="I270" s="3" t="s">
        <v>3945</v>
      </c>
      <c r="P270" s="3" t="s">
        <v>5087</v>
      </c>
      <c r="Q270" s="3" t="s">
        <v>5093</v>
      </c>
      <c r="R270" s="3" t="s">
        <v>5099</v>
      </c>
      <c r="S270" s="3" t="s">
        <v>5105</v>
      </c>
    </row>
    <row r="271" spans="1:19">
      <c r="A271" s="3" t="s">
        <v>2812</v>
      </c>
      <c r="C271" s="3" t="s">
        <v>932</v>
      </c>
      <c r="D271" s="3" t="s">
        <v>933</v>
      </c>
      <c r="E271" s="3" t="s">
        <v>934</v>
      </c>
      <c r="F271" s="3" t="s">
        <v>935</v>
      </c>
      <c r="G271" s="3" t="s">
        <v>936</v>
      </c>
      <c r="H271" s="3" t="s">
        <v>937</v>
      </c>
    </row>
    <row r="272" spans="1:19">
      <c r="A272" s="3" t="s">
        <v>91</v>
      </c>
      <c r="C272" s="3" t="s">
        <v>951</v>
      </c>
      <c r="D272" s="3" t="s">
        <v>952</v>
      </c>
      <c r="E272" s="3" t="s">
        <v>953</v>
      </c>
      <c r="F272" s="3" t="s">
        <v>954</v>
      </c>
      <c r="G272" s="3" t="s">
        <v>950</v>
      </c>
      <c r="H272" s="3" t="s">
        <v>2445</v>
      </c>
      <c r="N272" s="3" t="s">
        <v>3439</v>
      </c>
      <c r="O272" s="3" t="s">
        <v>959</v>
      </c>
      <c r="S272" s="3" t="s">
        <v>3440</v>
      </c>
    </row>
    <row r="273" spans="1:19">
      <c r="A273" s="3" t="s">
        <v>91</v>
      </c>
      <c r="C273" s="3" t="s">
        <v>955</v>
      </c>
      <c r="D273" s="3" t="s">
        <v>956</v>
      </c>
      <c r="E273" s="3" t="s">
        <v>957</v>
      </c>
      <c r="F273" s="3" t="s">
        <v>958</v>
      </c>
      <c r="G273" s="3" t="s">
        <v>3441</v>
      </c>
      <c r="H273" s="3" t="s">
        <v>3442</v>
      </c>
      <c r="N273" s="3" t="s">
        <v>2682</v>
      </c>
      <c r="O273" s="3" t="s">
        <v>3443</v>
      </c>
    </row>
    <row r="274" spans="1:19">
      <c r="A274" s="3" t="s">
        <v>91</v>
      </c>
      <c r="C274" s="3" t="s">
        <v>960</v>
      </c>
      <c r="D274" s="3" t="s">
        <v>961</v>
      </c>
      <c r="E274" s="3" t="s">
        <v>962</v>
      </c>
      <c r="F274" s="3" t="s">
        <v>963</v>
      </c>
      <c r="G274" s="3" t="s">
        <v>964</v>
      </c>
      <c r="H274" s="3" t="s">
        <v>965</v>
      </c>
      <c r="I274" s="3" t="s">
        <v>3444</v>
      </c>
      <c r="P274" s="3" t="s">
        <v>5106</v>
      </c>
      <c r="Q274" s="3" t="s">
        <v>5113</v>
      </c>
      <c r="R274" s="3" t="s">
        <v>5120</v>
      </c>
      <c r="S274" s="3" t="s">
        <v>5127</v>
      </c>
    </row>
    <row r="275" spans="1:19">
      <c r="A275" s="3" t="s">
        <v>91</v>
      </c>
      <c r="C275" s="3" t="s">
        <v>3445</v>
      </c>
      <c r="D275" s="3" t="s">
        <v>3446</v>
      </c>
      <c r="E275" s="3" t="s">
        <v>3447</v>
      </c>
      <c r="F275" s="3" t="s">
        <v>3448</v>
      </c>
      <c r="G275" s="3" t="s">
        <v>3449</v>
      </c>
      <c r="H275" s="3" t="s">
        <v>3450</v>
      </c>
      <c r="I275" s="3" t="s">
        <v>3943</v>
      </c>
      <c r="P275" s="3" t="s">
        <v>5107</v>
      </c>
      <c r="Q275" s="3" t="s">
        <v>5114</v>
      </c>
      <c r="R275" s="3" t="s">
        <v>5121</v>
      </c>
      <c r="S275" s="3" t="s">
        <v>5128</v>
      </c>
    </row>
    <row r="276" spans="1:19">
      <c r="A276" s="3" t="s">
        <v>91</v>
      </c>
      <c r="C276" s="3" t="s">
        <v>966</v>
      </c>
      <c r="D276" s="3" t="s">
        <v>967</v>
      </c>
      <c r="E276" s="3" t="s">
        <v>968</v>
      </c>
      <c r="F276" s="3" t="s">
        <v>969</v>
      </c>
      <c r="G276" s="3" t="s">
        <v>970</v>
      </c>
      <c r="H276" s="3" t="s">
        <v>971</v>
      </c>
      <c r="I276" s="3" t="s">
        <v>3881</v>
      </c>
      <c r="P276" s="3" t="s">
        <v>5108</v>
      </c>
      <c r="Q276" s="3" t="s">
        <v>5115</v>
      </c>
      <c r="R276" s="3" t="s">
        <v>5122</v>
      </c>
      <c r="S276" s="3" t="s">
        <v>5129</v>
      </c>
    </row>
    <row r="277" spans="1:19">
      <c r="A277" s="3" t="s">
        <v>91</v>
      </c>
      <c r="C277" s="3" t="s">
        <v>972</v>
      </c>
      <c r="D277" s="3" t="s">
        <v>973</v>
      </c>
      <c r="E277" s="3" t="s">
        <v>974</v>
      </c>
      <c r="F277" s="3" t="s">
        <v>975</v>
      </c>
      <c r="G277" s="3" t="s">
        <v>976</v>
      </c>
      <c r="H277" s="3" t="s">
        <v>3451</v>
      </c>
      <c r="I277" s="3" t="s">
        <v>3888</v>
      </c>
      <c r="P277" s="3" t="s">
        <v>5109</v>
      </c>
      <c r="Q277" s="3" t="s">
        <v>5116</v>
      </c>
      <c r="R277" s="3" t="s">
        <v>5123</v>
      </c>
      <c r="S277" s="3" t="s">
        <v>5130</v>
      </c>
    </row>
    <row r="278" spans="1:19">
      <c r="A278" s="3" t="s">
        <v>91</v>
      </c>
      <c r="C278" s="3" t="s">
        <v>977</v>
      </c>
      <c r="D278" s="3" t="s">
        <v>978</v>
      </c>
      <c r="E278" s="3" t="s">
        <v>979</v>
      </c>
      <c r="F278" s="3" t="s">
        <v>980</v>
      </c>
      <c r="G278" s="3" t="s">
        <v>981</v>
      </c>
      <c r="H278" s="3" t="s">
        <v>982</v>
      </c>
      <c r="I278" s="3" t="s">
        <v>3944</v>
      </c>
      <c r="P278" s="3" t="s">
        <v>5110</v>
      </c>
      <c r="Q278" s="3" t="s">
        <v>5117</v>
      </c>
      <c r="R278" s="3" t="s">
        <v>5124</v>
      </c>
      <c r="S278" s="3" t="s">
        <v>5131</v>
      </c>
    </row>
    <row r="279" spans="1:19">
      <c r="A279" s="3" t="s">
        <v>91</v>
      </c>
      <c r="C279" s="3" t="s">
        <v>2446</v>
      </c>
      <c r="D279" s="3" t="s">
        <v>2447</v>
      </c>
      <c r="E279" s="3" t="s">
        <v>2448</v>
      </c>
      <c r="F279" s="3" t="s">
        <v>2449</v>
      </c>
      <c r="G279" s="3" t="s">
        <v>2450</v>
      </c>
      <c r="H279" s="3" t="s">
        <v>2451</v>
      </c>
      <c r="I279" s="3" t="s">
        <v>3946</v>
      </c>
      <c r="P279" s="3" t="s">
        <v>5111</v>
      </c>
      <c r="Q279" s="3" t="s">
        <v>5118</v>
      </c>
      <c r="R279" s="3" t="s">
        <v>5125</v>
      </c>
      <c r="S279" s="3" t="s">
        <v>5132</v>
      </c>
    </row>
    <row r="280" spans="1:19">
      <c r="A280" s="3" t="s">
        <v>91</v>
      </c>
      <c r="C280" s="3" t="s">
        <v>983</v>
      </c>
      <c r="D280" s="3" t="s">
        <v>984</v>
      </c>
      <c r="E280" s="3" t="s">
        <v>985</v>
      </c>
      <c r="F280" s="3" t="s">
        <v>986</v>
      </c>
      <c r="G280" s="3" t="s">
        <v>987</v>
      </c>
      <c r="H280" s="3" t="s">
        <v>988</v>
      </c>
      <c r="I280" s="3" t="s">
        <v>3947</v>
      </c>
      <c r="P280" s="3" t="s">
        <v>5112</v>
      </c>
      <c r="Q280" s="3" t="s">
        <v>5119</v>
      </c>
      <c r="R280" s="3" t="s">
        <v>5126</v>
      </c>
      <c r="S280" s="3" t="s">
        <v>5133</v>
      </c>
    </row>
    <row r="281" spans="1:19">
      <c r="A281" s="3" t="s">
        <v>2812</v>
      </c>
      <c r="C281" s="3" t="s">
        <v>3445</v>
      </c>
      <c r="D281" s="3" t="s">
        <v>3446</v>
      </c>
      <c r="E281" s="3" t="s">
        <v>3447</v>
      </c>
      <c r="F281" s="3" t="s">
        <v>3448</v>
      </c>
      <c r="G281" s="3" t="s">
        <v>3449</v>
      </c>
      <c r="H281" s="3" t="s">
        <v>3450</v>
      </c>
    </row>
    <row r="282" spans="1:19">
      <c r="A282" s="3" t="s">
        <v>91</v>
      </c>
      <c r="C282" s="3" t="s">
        <v>2929</v>
      </c>
      <c r="D282" s="3" t="s">
        <v>2930</v>
      </c>
      <c r="E282" s="3" t="s">
        <v>2931</v>
      </c>
      <c r="F282" s="3" t="s">
        <v>2932</v>
      </c>
      <c r="G282" s="3" t="s">
        <v>2933</v>
      </c>
      <c r="H282" s="3" t="s">
        <v>2934</v>
      </c>
      <c r="N282" s="3" t="s">
        <v>3452</v>
      </c>
      <c r="O282" s="3" t="s">
        <v>993</v>
      </c>
      <c r="S282" s="3" t="s">
        <v>3453</v>
      </c>
    </row>
    <row r="283" spans="1:19">
      <c r="A283" s="3" t="s">
        <v>91</v>
      </c>
      <c r="C283" s="3" t="s">
        <v>989</v>
      </c>
      <c r="D283" s="3" t="s">
        <v>990</v>
      </c>
      <c r="E283" s="3" t="s">
        <v>991</v>
      </c>
      <c r="F283" s="3" t="s">
        <v>992</v>
      </c>
      <c r="G283" s="3" t="s">
        <v>3454</v>
      </c>
      <c r="H283" s="3" t="s">
        <v>3455</v>
      </c>
      <c r="N283" s="3" t="s">
        <v>2706</v>
      </c>
      <c r="O283" s="3" t="s">
        <v>3456</v>
      </c>
    </row>
    <row r="284" spans="1:19">
      <c r="A284" s="3" t="s">
        <v>91</v>
      </c>
      <c r="C284" s="3" t="s">
        <v>994</v>
      </c>
      <c r="D284" s="3" t="s">
        <v>995</v>
      </c>
      <c r="E284" s="3" t="s">
        <v>996</v>
      </c>
      <c r="F284" s="3" t="s">
        <v>997</v>
      </c>
      <c r="G284" s="3" t="s">
        <v>998</v>
      </c>
      <c r="H284" s="3" t="s">
        <v>3457</v>
      </c>
      <c r="I284" s="3" t="s">
        <v>3458</v>
      </c>
      <c r="P284" s="3" t="s">
        <v>3948</v>
      </c>
      <c r="Q284" s="3" t="s">
        <v>3949</v>
      </c>
      <c r="R284" s="3" t="s">
        <v>3950</v>
      </c>
      <c r="S284" s="3" t="s">
        <v>3951</v>
      </c>
    </row>
    <row r="285" spans="1:19">
      <c r="A285" s="3" t="s">
        <v>91</v>
      </c>
      <c r="C285" s="3" t="s">
        <v>999</v>
      </c>
      <c r="D285" s="3" t="s">
        <v>1000</v>
      </c>
      <c r="E285" s="3" t="s">
        <v>1001</v>
      </c>
      <c r="F285" s="3" t="s">
        <v>1002</v>
      </c>
      <c r="G285" s="3" t="s">
        <v>1003</v>
      </c>
      <c r="H285" s="3" t="s">
        <v>1004</v>
      </c>
      <c r="I285" s="3" t="s">
        <v>3952</v>
      </c>
      <c r="P285" s="3" t="s">
        <v>3953</v>
      </c>
      <c r="Q285" s="3" t="s">
        <v>3954</v>
      </c>
      <c r="R285" s="3" t="s">
        <v>3955</v>
      </c>
      <c r="S285" s="3" t="s">
        <v>3956</v>
      </c>
    </row>
    <row r="286" spans="1:19">
      <c r="A286" s="3" t="s">
        <v>2812</v>
      </c>
      <c r="C286" s="3" t="s">
        <v>999</v>
      </c>
      <c r="D286" s="3" t="s">
        <v>1000</v>
      </c>
      <c r="E286" s="3" t="s">
        <v>1001</v>
      </c>
      <c r="F286" s="3" t="s">
        <v>1002</v>
      </c>
      <c r="G286" s="3" t="s">
        <v>1003</v>
      </c>
      <c r="H286" s="3" t="s">
        <v>1004</v>
      </c>
    </row>
    <row r="287" spans="1:19">
      <c r="A287" s="3" t="s">
        <v>91</v>
      </c>
      <c r="C287" s="3" t="s">
        <v>1005</v>
      </c>
      <c r="D287" s="3" t="s">
        <v>1006</v>
      </c>
      <c r="E287" s="3" t="s">
        <v>1007</v>
      </c>
      <c r="F287" s="3" t="s">
        <v>1008</v>
      </c>
      <c r="G287" s="3" t="s">
        <v>1009</v>
      </c>
      <c r="H287" s="3" t="s">
        <v>1010</v>
      </c>
      <c r="N287" s="3" t="s">
        <v>3459</v>
      </c>
      <c r="O287" s="3" t="s">
        <v>1011</v>
      </c>
      <c r="S287" s="3" t="s">
        <v>3460</v>
      </c>
    </row>
    <row r="288" spans="1:19">
      <c r="A288" s="3" t="s">
        <v>2812</v>
      </c>
      <c r="C288" s="3" t="s">
        <v>955</v>
      </c>
      <c r="D288" s="3" t="s">
        <v>956</v>
      </c>
      <c r="E288" s="3" t="s">
        <v>957</v>
      </c>
      <c r="F288" s="3" t="s">
        <v>958</v>
      </c>
    </row>
    <row r="289" spans="1:19">
      <c r="A289" s="3" t="s">
        <v>91</v>
      </c>
      <c r="C289" s="3" t="s">
        <v>2452</v>
      </c>
      <c r="D289" s="3" t="s">
        <v>2453</v>
      </c>
      <c r="E289" s="3" t="s">
        <v>2454</v>
      </c>
      <c r="F289" s="3" t="s">
        <v>2455</v>
      </c>
      <c r="K289" s="3" t="s">
        <v>3461</v>
      </c>
      <c r="L289" s="3" t="s">
        <v>1012</v>
      </c>
      <c r="M289" s="3" t="s">
        <v>1013</v>
      </c>
      <c r="S289" s="3" t="s">
        <v>3462</v>
      </c>
    </row>
    <row r="290" spans="1:19">
      <c r="A290" s="3" t="s">
        <v>91</v>
      </c>
      <c r="C290" s="3" t="s">
        <v>3463</v>
      </c>
      <c r="D290" s="3" t="s">
        <v>3464</v>
      </c>
      <c r="E290" s="3" t="s">
        <v>1014</v>
      </c>
      <c r="F290" s="3" t="s">
        <v>3465</v>
      </c>
      <c r="K290" s="3" t="s">
        <v>2716</v>
      </c>
      <c r="L290" s="3" t="s">
        <v>3466</v>
      </c>
      <c r="M290" s="3" t="s">
        <v>3467</v>
      </c>
    </row>
    <row r="291" spans="1:19">
      <c r="A291" s="3" t="s">
        <v>91</v>
      </c>
      <c r="C291" s="3" t="s">
        <v>2935</v>
      </c>
      <c r="D291" s="3" t="s">
        <v>2936</v>
      </c>
      <c r="E291" s="3" t="s">
        <v>2937</v>
      </c>
      <c r="F291" s="3" t="s">
        <v>2938</v>
      </c>
      <c r="G291" s="3" t="s">
        <v>3468</v>
      </c>
      <c r="H291" s="3" t="s">
        <v>3469</v>
      </c>
      <c r="N291" s="3" t="s">
        <v>3470</v>
      </c>
      <c r="O291" s="3" t="s">
        <v>3471</v>
      </c>
    </row>
    <row r="292" spans="1:19">
      <c r="A292" s="3" t="s">
        <v>91</v>
      </c>
      <c r="C292" s="3" t="s">
        <v>1015</v>
      </c>
      <c r="D292" s="3" t="s">
        <v>1016</v>
      </c>
      <c r="E292" s="3" t="s">
        <v>1017</v>
      </c>
      <c r="F292" s="3" t="s">
        <v>1018</v>
      </c>
      <c r="G292" s="3" t="s">
        <v>1019</v>
      </c>
      <c r="H292" s="3" t="s">
        <v>1020</v>
      </c>
      <c r="I292" s="3" t="s">
        <v>3472</v>
      </c>
      <c r="P292" s="3" t="s">
        <v>5046</v>
      </c>
      <c r="Q292" s="3" t="s">
        <v>5050</v>
      </c>
      <c r="R292" s="3" t="s">
        <v>5054</v>
      </c>
      <c r="S292" s="3" t="s">
        <v>5058</v>
      </c>
    </row>
    <row r="293" spans="1:19">
      <c r="A293" s="3" t="s">
        <v>91</v>
      </c>
      <c r="C293" s="3" t="s">
        <v>1021</v>
      </c>
      <c r="D293" s="3" t="s">
        <v>1022</v>
      </c>
      <c r="E293" s="3" t="s">
        <v>1023</v>
      </c>
      <c r="F293" s="3" t="s">
        <v>1024</v>
      </c>
      <c r="G293" s="3" t="s">
        <v>1025</v>
      </c>
      <c r="H293" s="3" t="s">
        <v>3473</v>
      </c>
      <c r="I293" s="3" t="s">
        <v>3881</v>
      </c>
      <c r="P293" s="3" t="s">
        <v>5047</v>
      </c>
      <c r="Q293" s="3" t="s">
        <v>5051</v>
      </c>
      <c r="R293" s="3" t="s">
        <v>5055</v>
      </c>
      <c r="S293" s="3" t="s">
        <v>5059</v>
      </c>
    </row>
    <row r="294" spans="1:19">
      <c r="A294" s="3" t="s">
        <v>91</v>
      </c>
      <c r="C294" s="3" t="s">
        <v>1026</v>
      </c>
      <c r="D294" s="3" t="s">
        <v>1027</v>
      </c>
      <c r="E294" s="3" t="s">
        <v>1028</v>
      </c>
      <c r="F294" s="3" t="s">
        <v>1029</v>
      </c>
      <c r="G294" s="3" t="s">
        <v>1030</v>
      </c>
      <c r="H294" s="3" t="s">
        <v>1031</v>
      </c>
      <c r="I294" s="3" t="s">
        <v>3888</v>
      </c>
      <c r="P294" s="3" t="s">
        <v>5048</v>
      </c>
      <c r="Q294" s="3" t="s">
        <v>5052</v>
      </c>
      <c r="R294" s="3" t="s">
        <v>5056</v>
      </c>
      <c r="S294" s="3" t="s">
        <v>5060</v>
      </c>
    </row>
    <row r="295" spans="1:19">
      <c r="A295" s="3" t="s">
        <v>91</v>
      </c>
      <c r="C295" s="3" t="s">
        <v>1032</v>
      </c>
      <c r="D295" s="3" t="s">
        <v>1033</v>
      </c>
      <c r="E295" s="3" t="s">
        <v>1034</v>
      </c>
      <c r="F295" s="3" t="s">
        <v>1035</v>
      </c>
      <c r="G295" s="3" t="s">
        <v>1036</v>
      </c>
      <c r="H295" s="3" t="s">
        <v>1037</v>
      </c>
      <c r="I295" s="3" t="s">
        <v>3957</v>
      </c>
      <c r="P295" s="3" t="s">
        <v>5049</v>
      </c>
      <c r="Q295" s="3" t="s">
        <v>5053</v>
      </c>
      <c r="R295" s="3" t="s">
        <v>5057</v>
      </c>
      <c r="S295" s="3" t="s">
        <v>5061</v>
      </c>
    </row>
    <row r="296" spans="1:19">
      <c r="A296" s="3" t="s">
        <v>2812</v>
      </c>
      <c r="C296" s="3" t="s">
        <v>1021</v>
      </c>
      <c r="D296" s="3" t="s">
        <v>1022</v>
      </c>
      <c r="E296" s="3" t="s">
        <v>1023</v>
      </c>
      <c r="F296" s="3" t="s">
        <v>1024</v>
      </c>
      <c r="G296" s="3" t="s">
        <v>1025</v>
      </c>
      <c r="H296" s="3" t="s">
        <v>3473</v>
      </c>
    </row>
    <row r="297" spans="1:19">
      <c r="A297" s="3" t="s">
        <v>91</v>
      </c>
      <c r="C297" s="3" t="s">
        <v>1038</v>
      </c>
      <c r="D297" s="3" t="s">
        <v>1039</v>
      </c>
      <c r="E297" s="3" t="s">
        <v>1040</v>
      </c>
      <c r="F297" s="3" t="s">
        <v>1041</v>
      </c>
      <c r="G297" s="3" t="s">
        <v>1042</v>
      </c>
      <c r="H297" s="3" t="s">
        <v>1043</v>
      </c>
      <c r="N297" s="3" t="s">
        <v>3474</v>
      </c>
      <c r="O297" s="3" t="s">
        <v>2460</v>
      </c>
      <c r="S297" s="3" t="s">
        <v>3475</v>
      </c>
    </row>
    <row r="298" spans="1:19">
      <c r="A298" s="3" t="s">
        <v>91</v>
      </c>
      <c r="C298" s="3" t="s">
        <v>2456</v>
      </c>
      <c r="D298" s="3" t="s">
        <v>2457</v>
      </c>
      <c r="E298" s="3" t="s">
        <v>2458</v>
      </c>
      <c r="F298" s="3" t="s">
        <v>2459</v>
      </c>
      <c r="G298" s="3" t="s">
        <v>3476</v>
      </c>
      <c r="H298" s="3" t="s">
        <v>3477</v>
      </c>
      <c r="N298" s="3" t="s">
        <v>2723</v>
      </c>
      <c r="O298" s="3" t="s">
        <v>3478</v>
      </c>
    </row>
    <row r="299" spans="1:19">
      <c r="A299" s="3" t="s">
        <v>91</v>
      </c>
      <c r="C299" s="3" t="s">
        <v>1044</v>
      </c>
      <c r="D299" s="3" t="s">
        <v>1045</v>
      </c>
      <c r="E299" s="3" t="s">
        <v>1046</v>
      </c>
      <c r="F299" s="3" t="s">
        <v>1047</v>
      </c>
      <c r="G299" s="3" t="s">
        <v>1048</v>
      </c>
      <c r="H299" s="3" t="s">
        <v>1049</v>
      </c>
      <c r="I299" s="3" t="s">
        <v>3479</v>
      </c>
      <c r="P299" s="3" t="s">
        <v>5062</v>
      </c>
      <c r="Q299" s="3" t="s">
        <v>5067</v>
      </c>
      <c r="R299" s="3" t="s">
        <v>5072</v>
      </c>
      <c r="S299" s="3" t="s">
        <v>5077</v>
      </c>
    </row>
    <row r="300" spans="1:19">
      <c r="A300" s="3" t="s">
        <v>91</v>
      </c>
      <c r="C300" s="3" t="s">
        <v>3480</v>
      </c>
      <c r="D300" s="3" t="s">
        <v>3481</v>
      </c>
      <c r="E300" s="3" t="s">
        <v>3482</v>
      </c>
      <c r="F300" s="3" t="s">
        <v>3483</v>
      </c>
      <c r="G300" s="3" t="s">
        <v>2939</v>
      </c>
      <c r="H300" s="3" t="s">
        <v>3484</v>
      </c>
      <c r="I300" s="3" t="s">
        <v>3881</v>
      </c>
      <c r="P300" s="3" t="s">
        <v>5063</v>
      </c>
      <c r="Q300" s="3" t="s">
        <v>5068</v>
      </c>
      <c r="R300" s="3" t="s">
        <v>5073</v>
      </c>
      <c r="S300" s="3" t="s">
        <v>5078</v>
      </c>
    </row>
    <row r="301" spans="1:19">
      <c r="A301" s="3" t="s">
        <v>91</v>
      </c>
      <c r="C301" s="3" t="s">
        <v>1050</v>
      </c>
      <c r="D301" s="3" t="s">
        <v>1051</v>
      </c>
      <c r="E301" s="3" t="s">
        <v>1052</v>
      </c>
      <c r="F301" s="3" t="s">
        <v>1053</v>
      </c>
      <c r="G301" s="3" t="s">
        <v>1054</v>
      </c>
      <c r="H301" s="3" t="s">
        <v>1055</v>
      </c>
      <c r="I301" s="3" t="s">
        <v>3888</v>
      </c>
      <c r="P301" s="3" t="s">
        <v>5064</v>
      </c>
      <c r="Q301" s="3" t="s">
        <v>5069</v>
      </c>
      <c r="R301" s="3" t="s">
        <v>5074</v>
      </c>
      <c r="S301" s="3" t="s">
        <v>5079</v>
      </c>
    </row>
    <row r="302" spans="1:19">
      <c r="A302" s="3" t="s">
        <v>91</v>
      </c>
      <c r="C302" s="3" t="s">
        <v>1056</v>
      </c>
      <c r="D302" s="3" t="s">
        <v>1057</v>
      </c>
      <c r="E302" s="3" t="s">
        <v>1058</v>
      </c>
      <c r="F302" s="3" t="s">
        <v>1059</v>
      </c>
      <c r="G302" s="3" t="s">
        <v>1060</v>
      </c>
      <c r="H302" s="3" t="s">
        <v>3485</v>
      </c>
      <c r="I302" s="3" t="s">
        <v>3958</v>
      </c>
      <c r="P302" s="3" t="s">
        <v>5065</v>
      </c>
      <c r="Q302" s="3" t="s">
        <v>5070</v>
      </c>
      <c r="R302" s="3" t="s">
        <v>5075</v>
      </c>
      <c r="S302" s="3" t="s">
        <v>5080</v>
      </c>
    </row>
    <row r="303" spans="1:19">
      <c r="A303" s="3" t="s">
        <v>91</v>
      </c>
      <c r="C303" s="3" t="s">
        <v>1061</v>
      </c>
      <c r="D303" s="3" t="s">
        <v>1062</v>
      </c>
      <c r="E303" s="3" t="s">
        <v>1063</v>
      </c>
      <c r="F303" s="3" t="s">
        <v>1064</v>
      </c>
      <c r="G303" s="3" t="s">
        <v>1065</v>
      </c>
      <c r="H303" s="3" t="s">
        <v>1066</v>
      </c>
      <c r="I303" s="3" t="s">
        <v>3959</v>
      </c>
      <c r="P303" s="3" t="s">
        <v>5066</v>
      </c>
      <c r="Q303" s="3" t="s">
        <v>5071</v>
      </c>
      <c r="R303" s="3" t="s">
        <v>5076</v>
      </c>
      <c r="S303" s="3" t="s">
        <v>5081</v>
      </c>
    </row>
    <row r="304" spans="1:19">
      <c r="A304" s="3" t="s">
        <v>2812</v>
      </c>
      <c r="C304" s="3" t="s">
        <v>3480</v>
      </c>
      <c r="D304" s="3" t="s">
        <v>3481</v>
      </c>
      <c r="E304" s="3" t="s">
        <v>3482</v>
      </c>
      <c r="F304" s="3" t="s">
        <v>3483</v>
      </c>
      <c r="G304" s="3" t="s">
        <v>2939</v>
      </c>
      <c r="H304" s="3" t="s">
        <v>3484</v>
      </c>
    </row>
    <row r="305" spans="1:19">
      <c r="A305" s="3" t="s">
        <v>91</v>
      </c>
      <c r="C305" s="3" t="s">
        <v>2940</v>
      </c>
      <c r="D305" s="3" t="s">
        <v>2941</v>
      </c>
      <c r="E305" s="3" t="s">
        <v>2942</v>
      </c>
      <c r="F305" s="3" t="s">
        <v>2943</v>
      </c>
      <c r="G305" s="3" t="s">
        <v>2944</v>
      </c>
      <c r="H305" s="3" t="s">
        <v>2945</v>
      </c>
      <c r="N305" s="3" t="s">
        <v>3486</v>
      </c>
      <c r="O305" s="3" t="s">
        <v>1071</v>
      </c>
      <c r="S305" s="3" t="s">
        <v>3487</v>
      </c>
    </row>
    <row r="306" spans="1:19">
      <c r="A306" s="3" t="s">
        <v>91</v>
      </c>
      <c r="C306" s="3" t="s">
        <v>1067</v>
      </c>
      <c r="D306" s="3" t="s">
        <v>1068</v>
      </c>
      <c r="E306" s="3" t="s">
        <v>1069</v>
      </c>
      <c r="F306" s="3" t="s">
        <v>1070</v>
      </c>
      <c r="G306" s="3" t="s">
        <v>3488</v>
      </c>
      <c r="H306" s="3" t="s">
        <v>3489</v>
      </c>
      <c r="N306" s="3" t="s">
        <v>2746</v>
      </c>
      <c r="O306" s="3" t="s">
        <v>3490</v>
      </c>
    </row>
    <row r="307" spans="1:19">
      <c r="A307" s="3" t="s">
        <v>91</v>
      </c>
      <c r="C307" s="3" t="s">
        <v>2463</v>
      </c>
      <c r="D307" s="3" t="s">
        <v>2464</v>
      </c>
      <c r="E307" s="3" t="s">
        <v>2465</v>
      </c>
      <c r="F307" s="3" t="s">
        <v>2466</v>
      </c>
      <c r="G307" s="3" t="s">
        <v>2462</v>
      </c>
      <c r="H307" s="3" t="s">
        <v>2946</v>
      </c>
      <c r="I307" s="3" t="s">
        <v>3491</v>
      </c>
      <c r="P307" s="3" t="s">
        <v>3960</v>
      </c>
      <c r="Q307" s="3" t="s">
        <v>3961</v>
      </c>
      <c r="R307" s="3" t="s">
        <v>3962</v>
      </c>
      <c r="S307" s="3" t="s">
        <v>3963</v>
      </c>
    </row>
    <row r="308" spans="1:19">
      <c r="A308" s="3" t="s">
        <v>91</v>
      </c>
      <c r="C308" s="3" t="s">
        <v>1072</v>
      </c>
      <c r="D308" s="3" t="s">
        <v>1073</v>
      </c>
      <c r="E308" s="3" t="s">
        <v>1074</v>
      </c>
      <c r="F308" s="3" t="s">
        <v>1075</v>
      </c>
      <c r="G308" s="3" t="s">
        <v>1076</v>
      </c>
      <c r="H308" s="3" t="s">
        <v>1077</v>
      </c>
      <c r="I308" s="3" t="s">
        <v>3964</v>
      </c>
      <c r="P308" s="3" t="s">
        <v>3965</v>
      </c>
      <c r="Q308" s="3" t="s">
        <v>3966</v>
      </c>
      <c r="R308" s="3" t="s">
        <v>3967</v>
      </c>
      <c r="S308" s="3" t="s">
        <v>3968</v>
      </c>
    </row>
    <row r="309" spans="1:19">
      <c r="A309" s="3" t="s">
        <v>2812</v>
      </c>
      <c r="C309" s="3" t="s">
        <v>1072</v>
      </c>
      <c r="D309" s="3" t="s">
        <v>1073</v>
      </c>
      <c r="E309" s="3" t="s">
        <v>1074</v>
      </c>
      <c r="F309" s="3" t="s">
        <v>1075</v>
      </c>
      <c r="G309" s="3" t="s">
        <v>1076</v>
      </c>
      <c r="H309" s="3" t="s">
        <v>1077</v>
      </c>
    </row>
    <row r="310" spans="1:19">
      <c r="A310" s="3" t="s">
        <v>91</v>
      </c>
      <c r="C310" s="3" t="s">
        <v>3492</v>
      </c>
      <c r="D310" s="3" t="s">
        <v>3493</v>
      </c>
      <c r="E310" s="3" t="s">
        <v>3494</v>
      </c>
      <c r="F310" s="3" t="s">
        <v>3495</v>
      </c>
      <c r="G310" s="3" t="s">
        <v>3496</v>
      </c>
      <c r="H310" s="3" t="s">
        <v>3497</v>
      </c>
      <c r="N310" s="3" t="s">
        <v>3498</v>
      </c>
      <c r="O310" s="3" t="s">
        <v>1078</v>
      </c>
      <c r="S310" s="3" t="s">
        <v>3499</v>
      </c>
    </row>
    <row r="311" spans="1:19">
      <c r="A311" s="3" t="s">
        <v>2812</v>
      </c>
      <c r="C311" s="3" t="s">
        <v>2456</v>
      </c>
      <c r="D311" s="3" t="s">
        <v>2457</v>
      </c>
      <c r="E311" s="3" t="s">
        <v>2458</v>
      </c>
      <c r="F311" s="3" t="s">
        <v>2459</v>
      </c>
    </row>
    <row r="312" spans="1:19">
      <c r="A312" s="3" t="s">
        <v>91</v>
      </c>
      <c r="C312" s="3" t="s">
        <v>2947</v>
      </c>
      <c r="D312" s="3" t="s">
        <v>2948</v>
      </c>
      <c r="E312" s="3" t="s">
        <v>2949</v>
      </c>
      <c r="F312" s="3" t="s">
        <v>2950</v>
      </c>
      <c r="K312" s="3" t="s">
        <v>3500</v>
      </c>
      <c r="L312" s="3" t="s">
        <v>1079</v>
      </c>
      <c r="M312" s="3" t="s">
        <v>1080</v>
      </c>
      <c r="S312" s="3" t="s">
        <v>3501</v>
      </c>
    </row>
    <row r="313" spans="1:19">
      <c r="A313" s="3" t="s">
        <v>91</v>
      </c>
      <c r="C313" s="3" t="s">
        <v>3502</v>
      </c>
      <c r="D313" s="3" t="s">
        <v>3503</v>
      </c>
      <c r="E313" s="3" t="s">
        <v>1081</v>
      </c>
      <c r="F313" s="3" t="s">
        <v>3504</v>
      </c>
      <c r="K313" s="3" t="s">
        <v>2753</v>
      </c>
      <c r="L313" s="3" t="s">
        <v>3505</v>
      </c>
      <c r="M313" s="3" t="s">
        <v>3506</v>
      </c>
    </row>
    <row r="314" spans="1:19">
      <c r="A314" s="3" t="s">
        <v>91</v>
      </c>
      <c r="C314" s="3" t="s">
        <v>1082</v>
      </c>
      <c r="D314" s="3" t="s">
        <v>1083</v>
      </c>
      <c r="E314" s="3" t="s">
        <v>1084</v>
      </c>
      <c r="F314" s="3" t="s">
        <v>2951</v>
      </c>
      <c r="G314" s="3" t="s">
        <v>3507</v>
      </c>
      <c r="H314" s="3" t="s">
        <v>3508</v>
      </c>
      <c r="N314" s="3" t="s">
        <v>3509</v>
      </c>
      <c r="O314" s="3" t="s">
        <v>3510</v>
      </c>
    </row>
    <row r="315" spans="1:19">
      <c r="A315" s="3" t="s">
        <v>91</v>
      </c>
      <c r="C315" s="3" t="s">
        <v>1085</v>
      </c>
      <c r="D315" s="3" t="s">
        <v>1086</v>
      </c>
      <c r="E315" s="3" t="s">
        <v>1087</v>
      </c>
      <c r="F315" s="3" t="s">
        <v>1088</v>
      </c>
      <c r="G315" s="3" t="s">
        <v>2952</v>
      </c>
      <c r="H315" s="3" t="s">
        <v>2953</v>
      </c>
      <c r="I315" s="3" t="s">
        <v>3511</v>
      </c>
      <c r="P315" s="3" t="s">
        <v>5014</v>
      </c>
      <c r="Q315" s="3" t="s">
        <v>5018</v>
      </c>
      <c r="R315" s="3" t="s">
        <v>5022</v>
      </c>
      <c r="S315" s="3" t="s">
        <v>5026</v>
      </c>
    </row>
    <row r="316" spans="1:19">
      <c r="A316" s="3" t="s">
        <v>91</v>
      </c>
      <c r="C316" s="3" t="s">
        <v>2468</v>
      </c>
      <c r="D316" s="3" t="s">
        <v>2469</v>
      </c>
      <c r="E316" s="3" t="s">
        <v>2470</v>
      </c>
      <c r="F316" s="3" t="s">
        <v>2471</v>
      </c>
      <c r="G316" s="3" t="s">
        <v>2472</v>
      </c>
      <c r="H316" s="3" t="s">
        <v>2473</v>
      </c>
      <c r="I316" s="3" t="s">
        <v>3888</v>
      </c>
      <c r="P316" s="3" t="s">
        <v>5015</v>
      </c>
      <c r="Q316" s="3" t="s">
        <v>5019</v>
      </c>
      <c r="R316" s="3" t="s">
        <v>5023</v>
      </c>
      <c r="S316" s="3" t="s">
        <v>5027</v>
      </c>
    </row>
    <row r="317" spans="1:19">
      <c r="A317" s="3" t="s">
        <v>91</v>
      </c>
      <c r="C317" s="3" t="s">
        <v>1089</v>
      </c>
      <c r="D317" s="3" t="s">
        <v>1090</v>
      </c>
      <c r="E317" s="3" t="s">
        <v>1091</v>
      </c>
      <c r="F317" s="3" t="s">
        <v>1092</v>
      </c>
      <c r="G317" s="3" t="s">
        <v>1093</v>
      </c>
      <c r="H317" s="3" t="s">
        <v>1094</v>
      </c>
      <c r="I317" s="3" t="s">
        <v>3969</v>
      </c>
      <c r="P317" s="3" t="s">
        <v>5016</v>
      </c>
      <c r="Q317" s="3" t="s">
        <v>5020</v>
      </c>
      <c r="R317" s="3" t="s">
        <v>5024</v>
      </c>
      <c r="S317" s="3" t="s">
        <v>5028</v>
      </c>
    </row>
    <row r="318" spans="1:19">
      <c r="A318" s="3" t="s">
        <v>91</v>
      </c>
      <c r="C318" s="3" t="s">
        <v>2474</v>
      </c>
      <c r="D318" s="3" t="s">
        <v>2475</v>
      </c>
      <c r="E318" s="3" t="s">
        <v>2476</v>
      </c>
      <c r="F318" s="3" t="s">
        <v>2477</v>
      </c>
      <c r="G318" s="3" t="s">
        <v>1095</v>
      </c>
      <c r="H318" s="3" t="s">
        <v>2478</v>
      </c>
      <c r="I318" s="3" t="s">
        <v>3970</v>
      </c>
      <c r="P318" s="3" t="s">
        <v>5017</v>
      </c>
      <c r="Q318" s="3" t="s">
        <v>5021</v>
      </c>
      <c r="R318" s="3" t="s">
        <v>5025</v>
      </c>
      <c r="S318" s="3" t="s">
        <v>5029</v>
      </c>
    </row>
    <row r="319" spans="1:19">
      <c r="A319" s="3" t="s">
        <v>2812</v>
      </c>
      <c r="C319" s="3" t="s">
        <v>2468</v>
      </c>
      <c r="D319" s="3" t="s">
        <v>2469</v>
      </c>
      <c r="E319" s="3" t="s">
        <v>2470</v>
      </c>
      <c r="F319" s="3" t="s">
        <v>2471</v>
      </c>
      <c r="G319" s="3" t="s">
        <v>2472</v>
      </c>
      <c r="H319" s="3" t="s">
        <v>2473</v>
      </c>
    </row>
    <row r="320" spans="1:19">
      <c r="A320" s="3" t="s">
        <v>91</v>
      </c>
      <c r="C320" s="3" t="s">
        <v>2954</v>
      </c>
      <c r="D320" s="3" t="s">
        <v>2955</v>
      </c>
      <c r="E320" s="3" t="s">
        <v>2956</v>
      </c>
      <c r="F320" s="3" t="s">
        <v>2957</v>
      </c>
      <c r="G320" s="3" t="s">
        <v>2958</v>
      </c>
      <c r="H320" s="3" t="s">
        <v>2959</v>
      </c>
      <c r="N320" s="3" t="s">
        <v>2960</v>
      </c>
      <c r="O320" s="3" t="s">
        <v>2479</v>
      </c>
      <c r="S320" s="3" t="s">
        <v>3512</v>
      </c>
    </row>
    <row r="321" spans="1:19">
      <c r="A321" s="3" t="s">
        <v>91</v>
      </c>
      <c r="C321" s="3" t="s">
        <v>1096</v>
      </c>
      <c r="D321" s="3" t="s">
        <v>1097</v>
      </c>
      <c r="E321" s="3" t="s">
        <v>1098</v>
      </c>
      <c r="F321" s="3" t="s">
        <v>1099</v>
      </c>
      <c r="G321" s="3" t="s">
        <v>2961</v>
      </c>
      <c r="H321" s="3" t="s">
        <v>2962</v>
      </c>
      <c r="N321" s="3" t="s">
        <v>2754</v>
      </c>
      <c r="O321" s="3" t="s">
        <v>2963</v>
      </c>
    </row>
    <row r="322" spans="1:19">
      <c r="A322" s="3" t="s">
        <v>91</v>
      </c>
      <c r="C322" s="3" t="s">
        <v>1100</v>
      </c>
      <c r="D322" s="3" t="s">
        <v>1101</v>
      </c>
      <c r="E322" s="3" t="s">
        <v>1102</v>
      </c>
      <c r="F322" s="3" t="s">
        <v>1103</v>
      </c>
      <c r="G322" s="3" t="s">
        <v>1104</v>
      </c>
      <c r="H322" s="3" t="s">
        <v>2964</v>
      </c>
      <c r="I322" s="3" t="s">
        <v>2965</v>
      </c>
      <c r="P322" s="3" t="s">
        <v>5030</v>
      </c>
      <c r="Q322" s="3" t="s">
        <v>5034</v>
      </c>
      <c r="R322" s="3" t="s">
        <v>5038</v>
      </c>
      <c r="S322" s="3" t="s">
        <v>5042</v>
      </c>
    </row>
    <row r="323" spans="1:19">
      <c r="A323" s="3" t="s">
        <v>91</v>
      </c>
      <c r="C323" s="3" t="s">
        <v>1105</v>
      </c>
      <c r="D323" s="3" t="s">
        <v>1106</v>
      </c>
      <c r="E323" s="3" t="s">
        <v>1107</v>
      </c>
      <c r="F323" s="3" t="s">
        <v>1108</v>
      </c>
      <c r="G323" s="3" t="s">
        <v>1109</v>
      </c>
      <c r="H323" s="3" t="s">
        <v>1110</v>
      </c>
      <c r="I323" s="3" t="s">
        <v>3888</v>
      </c>
      <c r="P323" s="3" t="s">
        <v>5031</v>
      </c>
      <c r="Q323" s="3" t="s">
        <v>5035</v>
      </c>
      <c r="R323" s="3" t="s">
        <v>5039</v>
      </c>
      <c r="S323" s="3" t="s">
        <v>5043</v>
      </c>
    </row>
    <row r="324" spans="1:19">
      <c r="A324" s="3" t="s">
        <v>91</v>
      </c>
      <c r="C324" s="3" t="s">
        <v>1111</v>
      </c>
      <c r="D324" s="3" t="s">
        <v>1112</v>
      </c>
      <c r="E324" s="3" t="s">
        <v>1113</v>
      </c>
      <c r="F324" s="3" t="s">
        <v>1114</v>
      </c>
      <c r="G324" s="3" t="s">
        <v>1115</v>
      </c>
      <c r="H324" s="3" t="s">
        <v>1116</v>
      </c>
      <c r="I324" s="3" t="s">
        <v>3969</v>
      </c>
      <c r="P324" s="3" t="s">
        <v>5032</v>
      </c>
      <c r="Q324" s="3" t="s">
        <v>5036</v>
      </c>
      <c r="R324" s="3" t="s">
        <v>5040</v>
      </c>
      <c r="S324" s="3" t="s">
        <v>5044</v>
      </c>
    </row>
    <row r="325" spans="1:19">
      <c r="A325" s="3" t="s">
        <v>91</v>
      </c>
      <c r="C325" s="3" t="s">
        <v>1117</v>
      </c>
      <c r="D325" s="3" t="s">
        <v>1118</v>
      </c>
      <c r="E325" s="3" t="s">
        <v>1119</v>
      </c>
      <c r="F325" s="3" t="s">
        <v>1120</v>
      </c>
      <c r="G325" s="3" t="s">
        <v>1121</v>
      </c>
      <c r="H325" s="3" t="s">
        <v>1122</v>
      </c>
      <c r="I325" s="3" t="s">
        <v>3970</v>
      </c>
      <c r="P325" s="3" t="s">
        <v>5033</v>
      </c>
      <c r="Q325" s="3" t="s">
        <v>5037</v>
      </c>
      <c r="R325" s="3" t="s">
        <v>5041</v>
      </c>
      <c r="S325" s="3" t="s">
        <v>5045</v>
      </c>
    </row>
    <row r="326" spans="1:19">
      <c r="A326" s="3" t="s">
        <v>2812</v>
      </c>
      <c r="C326" s="3" t="s">
        <v>1105</v>
      </c>
      <c r="D326" s="3" t="s">
        <v>1106</v>
      </c>
      <c r="E326" s="3" t="s">
        <v>1107</v>
      </c>
      <c r="F326" s="3" t="s">
        <v>1108</v>
      </c>
      <c r="G326" s="3" t="s">
        <v>1109</v>
      </c>
      <c r="H326" s="3" t="s">
        <v>1110</v>
      </c>
    </row>
    <row r="327" spans="1:19">
      <c r="A327" s="3" t="s">
        <v>91</v>
      </c>
      <c r="C327" s="3" t="s">
        <v>2966</v>
      </c>
      <c r="D327" s="3" t="s">
        <v>2967</v>
      </c>
      <c r="E327" s="3" t="s">
        <v>2968</v>
      </c>
      <c r="F327" s="3" t="s">
        <v>2969</v>
      </c>
      <c r="G327" s="3" t="s">
        <v>2970</v>
      </c>
      <c r="H327" s="3" t="s">
        <v>2971</v>
      </c>
      <c r="N327" s="3" t="s">
        <v>3513</v>
      </c>
      <c r="O327" s="3" t="s">
        <v>2485</v>
      </c>
      <c r="S327" s="3" t="s">
        <v>3514</v>
      </c>
    </row>
    <row r="328" spans="1:19">
      <c r="A328" s="3" t="s">
        <v>91</v>
      </c>
      <c r="C328" s="3" t="s">
        <v>2481</v>
      </c>
      <c r="D328" s="3" t="s">
        <v>2482</v>
      </c>
      <c r="E328" s="3" t="s">
        <v>2483</v>
      </c>
      <c r="F328" s="3" t="s">
        <v>2484</v>
      </c>
      <c r="G328" s="3" t="s">
        <v>3515</v>
      </c>
      <c r="H328" s="3" t="s">
        <v>3516</v>
      </c>
      <c r="N328" s="3" t="s">
        <v>2755</v>
      </c>
      <c r="O328" s="3" t="s">
        <v>3517</v>
      </c>
    </row>
    <row r="329" spans="1:19">
      <c r="A329" s="3" t="s">
        <v>91</v>
      </c>
      <c r="C329" s="3" t="s">
        <v>1123</v>
      </c>
      <c r="D329" s="3" t="s">
        <v>1124</v>
      </c>
      <c r="E329" s="3" t="s">
        <v>1125</v>
      </c>
      <c r="F329" s="3" t="s">
        <v>1126</v>
      </c>
      <c r="G329" s="3" t="s">
        <v>1127</v>
      </c>
      <c r="H329" s="3" t="s">
        <v>2972</v>
      </c>
      <c r="I329" s="3" t="s">
        <v>3518</v>
      </c>
      <c r="P329" s="3" t="s">
        <v>3971</v>
      </c>
      <c r="Q329" s="3" t="s">
        <v>3972</v>
      </c>
      <c r="R329" s="3" t="s">
        <v>3973</v>
      </c>
      <c r="S329" s="3" t="s">
        <v>3974</v>
      </c>
    </row>
    <row r="330" spans="1:19">
      <c r="A330" s="3" t="s">
        <v>91</v>
      </c>
      <c r="C330" s="3" t="s">
        <v>1129</v>
      </c>
      <c r="D330" s="3" t="s">
        <v>1130</v>
      </c>
      <c r="E330" s="3" t="s">
        <v>1131</v>
      </c>
      <c r="F330" s="3" t="s">
        <v>1132</v>
      </c>
      <c r="G330" s="3" t="s">
        <v>1128</v>
      </c>
      <c r="H330" s="3" t="s">
        <v>2486</v>
      </c>
      <c r="I330" s="3" t="s">
        <v>3975</v>
      </c>
      <c r="P330" s="3" t="s">
        <v>3976</v>
      </c>
      <c r="Q330" s="3" t="s">
        <v>3977</v>
      </c>
      <c r="R330" s="3" t="s">
        <v>3978</v>
      </c>
      <c r="S330" s="3" t="s">
        <v>3979</v>
      </c>
    </row>
    <row r="331" spans="1:19">
      <c r="A331" s="3" t="s">
        <v>2812</v>
      </c>
      <c r="C331" s="3" t="s">
        <v>1129</v>
      </c>
      <c r="D331" s="3" t="s">
        <v>1130</v>
      </c>
      <c r="E331" s="3" t="s">
        <v>1131</v>
      </c>
      <c r="F331" s="3" t="s">
        <v>1132</v>
      </c>
      <c r="G331" s="3" t="s">
        <v>1128</v>
      </c>
      <c r="H331" s="3" t="s">
        <v>2486</v>
      </c>
    </row>
    <row r="332" spans="1:19">
      <c r="A332" s="3" t="s">
        <v>91</v>
      </c>
      <c r="C332" s="3" t="s">
        <v>1133</v>
      </c>
      <c r="D332" s="3" t="s">
        <v>1134</v>
      </c>
      <c r="E332" s="3" t="s">
        <v>1135</v>
      </c>
      <c r="F332" s="3" t="s">
        <v>1136</v>
      </c>
      <c r="G332" s="3" t="s">
        <v>1137</v>
      </c>
      <c r="H332" s="3" t="s">
        <v>1138</v>
      </c>
      <c r="N332" s="3" t="s">
        <v>3519</v>
      </c>
      <c r="O332" s="3" t="s">
        <v>1139</v>
      </c>
      <c r="S332" s="3" t="s">
        <v>3520</v>
      </c>
    </row>
    <row r="333" spans="1:19">
      <c r="A333" s="3" t="s">
        <v>2812</v>
      </c>
      <c r="C333" s="3" t="s">
        <v>1096</v>
      </c>
      <c r="D333" s="3" t="s">
        <v>1097</v>
      </c>
      <c r="E333" s="3" t="s">
        <v>1098</v>
      </c>
      <c r="F333" s="3" t="s">
        <v>1099</v>
      </c>
    </row>
    <row r="334" spans="1:19">
      <c r="A334" s="3" t="s">
        <v>91</v>
      </c>
      <c r="C334" s="3" t="s">
        <v>2973</v>
      </c>
      <c r="D334" s="3" t="s">
        <v>2974</v>
      </c>
      <c r="E334" s="3" t="s">
        <v>2975</v>
      </c>
      <c r="F334" s="3" t="s">
        <v>2976</v>
      </c>
      <c r="K334" s="3" t="s">
        <v>3521</v>
      </c>
      <c r="L334" s="3" t="s">
        <v>1140</v>
      </c>
      <c r="M334" s="3" t="s">
        <v>1141</v>
      </c>
      <c r="S334" s="3" t="s">
        <v>3522</v>
      </c>
    </row>
    <row r="335" spans="1:19">
      <c r="A335" s="3" t="s">
        <v>91</v>
      </c>
      <c r="E335" s="3" t="s">
        <v>739</v>
      </c>
    </row>
    <row r="336" spans="1:19">
      <c r="A336" s="3" t="s">
        <v>91</v>
      </c>
      <c r="E336" s="3" t="s">
        <v>1142</v>
      </c>
      <c r="J336" s="3" t="s">
        <v>3523</v>
      </c>
      <c r="S336" s="3" t="s">
        <v>3524</v>
      </c>
    </row>
    <row r="337" spans="1:19">
      <c r="A337" s="3" t="s">
        <v>91</v>
      </c>
    </row>
    <row r="338" spans="1:19">
      <c r="A338" s="3" t="s">
        <v>91</v>
      </c>
      <c r="E338" s="3" t="s">
        <v>3525</v>
      </c>
      <c r="J338" s="3" t="s">
        <v>2756</v>
      </c>
    </row>
    <row r="339" spans="1:19">
      <c r="A339" s="3" t="s">
        <v>91</v>
      </c>
      <c r="C339" s="3" t="s">
        <v>3526</v>
      </c>
      <c r="D339" s="3" t="s">
        <v>3527</v>
      </c>
      <c r="E339" s="3" t="s">
        <v>1143</v>
      </c>
      <c r="F339" s="3" t="s">
        <v>3528</v>
      </c>
      <c r="K339" s="3" t="s">
        <v>3529</v>
      </c>
      <c r="L339" s="3" t="s">
        <v>3530</v>
      </c>
      <c r="M339" s="3" t="s">
        <v>3531</v>
      </c>
    </row>
    <row r="340" spans="1:19">
      <c r="A340" s="3" t="s">
        <v>91</v>
      </c>
      <c r="C340" s="3" t="s">
        <v>1144</v>
      </c>
      <c r="D340" s="3" t="s">
        <v>1145</v>
      </c>
      <c r="E340" s="3" t="s">
        <v>1146</v>
      </c>
      <c r="F340" s="3" t="s">
        <v>1147</v>
      </c>
      <c r="G340" s="3" t="s">
        <v>3532</v>
      </c>
      <c r="H340" s="3" t="s">
        <v>3533</v>
      </c>
      <c r="N340" s="3" t="s">
        <v>3534</v>
      </c>
      <c r="O340" s="3" t="s">
        <v>3535</v>
      </c>
    </row>
    <row r="341" spans="1:19">
      <c r="A341" s="3" t="s">
        <v>91</v>
      </c>
      <c r="C341" s="3" t="s">
        <v>2977</v>
      </c>
      <c r="D341" s="3" t="s">
        <v>2978</v>
      </c>
      <c r="E341" s="3" t="s">
        <v>2979</v>
      </c>
      <c r="F341" s="3" t="s">
        <v>2980</v>
      </c>
      <c r="G341" s="3" t="s">
        <v>2981</v>
      </c>
      <c r="H341" s="3" t="s">
        <v>2982</v>
      </c>
      <c r="I341" s="3" t="s">
        <v>3536</v>
      </c>
      <c r="P341" s="3" t="s">
        <v>4462</v>
      </c>
      <c r="Q341" s="3" t="s">
        <v>4469</v>
      </c>
      <c r="R341" s="3" t="s">
        <v>4476</v>
      </c>
      <c r="S341" s="3" t="s">
        <v>4483</v>
      </c>
    </row>
    <row r="342" spans="1:19">
      <c r="A342" s="3" t="s">
        <v>91</v>
      </c>
      <c r="C342" s="3" t="s">
        <v>1148</v>
      </c>
      <c r="D342" s="3" t="s">
        <v>1149</v>
      </c>
      <c r="E342" s="3" t="s">
        <v>1150</v>
      </c>
      <c r="F342" s="3" t="s">
        <v>1151</v>
      </c>
      <c r="G342" s="3" t="s">
        <v>1152</v>
      </c>
      <c r="H342" s="3" t="s">
        <v>1153</v>
      </c>
      <c r="I342" s="3" t="s">
        <v>3980</v>
      </c>
      <c r="P342" s="3" t="s">
        <v>4463</v>
      </c>
      <c r="Q342" s="3" t="s">
        <v>4470</v>
      </c>
      <c r="R342" s="3" t="s">
        <v>4477</v>
      </c>
      <c r="S342" s="3" t="s">
        <v>4484</v>
      </c>
    </row>
    <row r="343" spans="1:19">
      <c r="A343" s="3" t="s">
        <v>91</v>
      </c>
      <c r="C343" s="3" t="s">
        <v>1154</v>
      </c>
      <c r="D343" s="3" t="s">
        <v>1155</v>
      </c>
      <c r="E343" s="3" t="s">
        <v>1156</v>
      </c>
      <c r="F343" s="3" t="s">
        <v>1157</v>
      </c>
      <c r="G343" s="3" t="s">
        <v>1158</v>
      </c>
      <c r="H343" s="3" t="s">
        <v>2983</v>
      </c>
      <c r="I343" s="3" t="s">
        <v>3879</v>
      </c>
      <c r="P343" s="3" t="s">
        <v>4464</v>
      </c>
      <c r="Q343" s="3" t="s">
        <v>4471</v>
      </c>
      <c r="R343" s="3" t="s">
        <v>4478</v>
      </c>
      <c r="S343" s="3" t="s">
        <v>4485</v>
      </c>
    </row>
    <row r="344" spans="1:19">
      <c r="A344" s="3" t="s">
        <v>91</v>
      </c>
      <c r="C344" s="3" t="s">
        <v>1159</v>
      </c>
      <c r="D344" s="3" t="s">
        <v>1160</v>
      </c>
      <c r="E344" s="3" t="s">
        <v>1161</v>
      </c>
      <c r="F344" s="3" t="s">
        <v>1162</v>
      </c>
      <c r="G344" s="3" t="s">
        <v>1163</v>
      </c>
      <c r="H344" s="3" t="s">
        <v>1164</v>
      </c>
      <c r="I344" s="3" t="s">
        <v>3981</v>
      </c>
      <c r="P344" s="3" t="s">
        <v>4465</v>
      </c>
      <c r="Q344" s="3" t="s">
        <v>4472</v>
      </c>
      <c r="R344" s="3" t="s">
        <v>4479</v>
      </c>
      <c r="S344" s="3" t="s">
        <v>4486</v>
      </c>
    </row>
    <row r="345" spans="1:19">
      <c r="A345" s="3" t="s">
        <v>91</v>
      </c>
      <c r="C345" s="3" t="s">
        <v>1165</v>
      </c>
      <c r="D345" s="3" t="s">
        <v>1166</v>
      </c>
      <c r="E345" s="3" t="s">
        <v>1167</v>
      </c>
      <c r="F345" s="3" t="s">
        <v>1168</v>
      </c>
      <c r="G345" s="3" t="s">
        <v>1169</v>
      </c>
      <c r="H345" s="3" t="s">
        <v>1170</v>
      </c>
      <c r="I345" s="3" t="s">
        <v>3881</v>
      </c>
      <c r="P345" s="3" t="s">
        <v>4466</v>
      </c>
      <c r="Q345" s="3" t="s">
        <v>4473</v>
      </c>
      <c r="R345" s="3" t="s">
        <v>4480</v>
      </c>
      <c r="S345" s="3" t="s">
        <v>4487</v>
      </c>
    </row>
    <row r="346" spans="1:19">
      <c r="A346" s="3" t="s">
        <v>91</v>
      </c>
      <c r="C346" s="3" t="s">
        <v>2487</v>
      </c>
      <c r="D346" s="3" t="s">
        <v>2488</v>
      </c>
      <c r="E346" s="3" t="s">
        <v>2489</v>
      </c>
      <c r="F346" s="3" t="s">
        <v>2490</v>
      </c>
      <c r="G346" s="3" t="s">
        <v>2491</v>
      </c>
      <c r="H346" s="3" t="s">
        <v>2492</v>
      </c>
      <c r="I346" s="3" t="s">
        <v>3888</v>
      </c>
      <c r="P346" s="3" t="s">
        <v>4467</v>
      </c>
      <c r="Q346" s="3" t="s">
        <v>4474</v>
      </c>
      <c r="R346" s="3" t="s">
        <v>4481</v>
      </c>
      <c r="S346" s="3" t="s">
        <v>4488</v>
      </c>
    </row>
    <row r="347" spans="1:19">
      <c r="A347" s="3" t="s">
        <v>91</v>
      </c>
      <c r="C347" s="3" t="s">
        <v>1171</v>
      </c>
      <c r="D347" s="3" t="s">
        <v>1172</v>
      </c>
      <c r="E347" s="3" t="s">
        <v>1173</v>
      </c>
      <c r="F347" s="3" t="s">
        <v>1174</v>
      </c>
      <c r="G347" s="3" t="s">
        <v>1175</v>
      </c>
      <c r="H347" s="3" t="s">
        <v>1176</v>
      </c>
      <c r="I347" s="3" t="s">
        <v>3982</v>
      </c>
      <c r="P347" s="3" t="s">
        <v>4468</v>
      </c>
      <c r="Q347" s="3" t="s">
        <v>4475</v>
      </c>
      <c r="R347" s="3" t="s">
        <v>4482</v>
      </c>
      <c r="S347" s="3" t="s">
        <v>4489</v>
      </c>
    </row>
    <row r="348" spans="1:19">
      <c r="A348" s="3" t="s">
        <v>2812</v>
      </c>
      <c r="C348" s="3" t="s">
        <v>1148</v>
      </c>
      <c r="D348" s="3" t="s">
        <v>1149</v>
      </c>
      <c r="E348" s="3" t="s">
        <v>1150</v>
      </c>
      <c r="F348" s="3" t="s">
        <v>1151</v>
      </c>
      <c r="G348" s="3" t="s">
        <v>1152</v>
      </c>
      <c r="H348" s="3" t="s">
        <v>1153</v>
      </c>
    </row>
    <row r="349" spans="1:19">
      <c r="A349" s="3" t="s">
        <v>91</v>
      </c>
      <c r="C349" s="3" t="s">
        <v>1177</v>
      </c>
      <c r="D349" s="3" t="s">
        <v>1178</v>
      </c>
      <c r="E349" s="3" t="s">
        <v>1179</v>
      </c>
      <c r="F349" s="3" t="s">
        <v>1180</v>
      </c>
      <c r="G349" s="3" t="s">
        <v>1181</v>
      </c>
      <c r="H349" s="3" t="s">
        <v>1182</v>
      </c>
      <c r="N349" s="3" t="s">
        <v>2493</v>
      </c>
      <c r="O349" s="3" t="s">
        <v>1183</v>
      </c>
      <c r="S349" s="3" t="s">
        <v>3537</v>
      </c>
    </row>
    <row r="350" spans="1:19">
      <c r="A350" s="3" t="s">
        <v>91</v>
      </c>
      <c r="C350" s="3" t="s">
        <v>2984</v>
      </c>
      <c r="D350" s="3" t="s">
        <v>2985</v>
      </c>
      <c r="E350" s="3" t="s">
        <v>2986</v>
      </c>
      <c r="F350" s="3" t="s">
        <v>2987</v>
      </c>
      <c r="G350" s="3" t="s">
        <v>3538</v>
      </c>
      <c r="H350" s="3" t="s">
        <v>3539</v>
      </c>
      <c r="N350" s="3" t="s">
        <v>2757</v>
      </c>
      <c r="O350" s="3" t="s">
        <v>3540</v>
      </c>
    </row>
    <row r="351" spans="1:19">
      <c r="A351" s="3" t="s">
        <v>91</v>
      </c>
      <c r="C351" s="3" t="s">
        <v>1184</v>
      </c>
      <c r="D351" s="3" t="s">
        <v>1185</v>
      </c>
      <c r="E351" s="3" t="s">
        <v>1186</v>
      </c>
      <c r="F351" s="3" t="s">
        <v>1187</v>
      </c>
      <c r="G351" s="3" t="s">
        <v>2988</v>
      </c>
      <c r="H351" s="3" t="s">
        <v>2989</v>
      </c>
      <c r="I351" s="3" t="s">
        <v>3541</v>
      </c>
      <c r="P351" s="3" t="s">
        <v>4490</v>
      </c>
      <c r="Q351" s="3" t="s">
        <v>4496</v>
      </c>
      <c r="R351" s="3" t="s">
        <v>4502</v>
      </c>
      <c r="S351" s="3" t="s">
        <v>4508</v>
      </c>
    </row>
    <row r="352" spans="1:19">
      <c r="A352" s="3" t="s">
        <v>91</v>
      </c>
      <c r="C352" s="3" t="s">
        <v>1188</v>
      </c>
      <c r="D352" s="3" t="s">
        <v>1189</v>
      </c>
      <c r="E352" s="3" t="s">
        <v>1190</v>
      </c>
      <c r="F352" s="3" t="s">
        <v>2990</v>
      </c>
      <c r="G352" s="3" t="s">
        <v>2991</v>
      </c>
      <c r="H352" s="3" t="s">
        <v>2992</v>
      </c>
      <c r="I352" s="3" t="s">
        <v>3983</v>
      </c>
      <c r="P352" s="3" t="s">
        <v>4491</v>
      </c>
      <c r="Q352" s="3" t="s">
        <v>4497</v>
      </c>
      <c r="R352" s="3" t="s">
        <v>4503</v>
      </c>
      <c r="S352" s="3" t="s">
        <v>4509</v>
      </c>
    </row>
    <row r="353" spans="1:19">
      <c r="A353" s="3" t="s">
        <v>91</v>
      </c>
      <c r="C353" s="3" t="s">
        <v>1191</v>
      </c>
      <c r="D353" s="3" t="s">
        <v>1192</v>
      </c>
      <c r="E353" s="3" t="s">
        <v>1193</v>
      </c>
      <c r="F353" s="3" t="s">
        <v>1194</v>
      </c>
      <c r="G353" s="3" t="s">
        <v>2993</v>
      </c>
      <c r="H353" s="3" t="s">
        <v>2994</v>
      </c>
      <c r="I353" s="3" t="s">
        <v>3984</v>
      </c>
      <c r="P353" s="3" t="s">
        <v>4492</v>
      </c>
      <c r="Q353" s="3" t="s">
        <v>4498</v>
      </c>
      <c r="R353" s="3" t="s">
        <v>4504</v>
      </c>
      <c r="S353" s="3" t="s">
        <v>4510</v>
      </c>
    </row>
    <row r="354" spans="1:19">
      <c r="A354" s="3" t="s">
        <v>91</v>
      </c>
      <c r="C354" s="3" t="s">
        <v>1195</v>
      </c>
      <c r="D354" s="3" t="s">
        <v>1196</v>
      </c>
      <c r="E354" s="3" t="s">
        <v>1197</v>
      </c>
      <c r="F354" s="3" t="s">
        <v>1198</v>
      </c>
      <c r="G354" s="3" t="s">
        <v>1199</v>
      </c>
      <c r="H354" s="3" t="s">
        <v>1200</v>
      </c>
      <c r="I354" s="3" t="s">
        <v>3881</v>
      </c>
      <c r="P354" s="3" t="s">
        <v>4493</v>
      </c>
      <c r="Q354" s="3" t="s">
        <v>4499</v>
      </c>
      <c r="R354" s="3" t="s">
        <v>4505</v>
      </c>
      <c r="S354" s="3" t="s">
        <v>4511</v>
      </c>
    </row>
    <row r="355" spans="1:19">
      <c r="A355" s="3" t="s">
        <v>91</v>
      </c>
      <c r="C355" s="3" t="s">
        <v>2495</v>
      </c>
      <c r="D355" s="3" t="s">
        <v>2496</v>
      </c>
      <c r="E355" s="3" t="s">
        <v>2497</v>
      </c>
      <c r="F355" s="3" t="s">
        <v>2498</v>
      </c>
      <c r="G355" s="3" t="s">
        <v>2499</v>
      </c>
      <c r="H355" s="3" t="s">
        <v>2500</v>
      </c>
      <c r="I355" s="3" t="s">
        <v>3888</v>
      </c>
      <c r="P355" s="3" t="s">
        <v>4494</v>
      </c>
      <c r="Q355" s="3" t="s">
        <v>4500</v>
      </c>
      <c r="R355" s="3" t="s">
        <v>4506</v>
      </c>
      <c r="S355" s="3" t="s">
        <v>4512</v>
      </c>
    </row>
    <row r="356" spans="1:19">
      <c r="A356" s="3" t="s">
        <v>91</v>
      </c>
      <c r="C356" s="3" t="s">
        <v>1201</v>
      </c>
      <c r="D356" s="3" t="s">
        <v>1202</v>
      </c>
      <c r="E356" s="3" t="s">
        <v>1203</v>
      </c>
      <c r="F356" s="3" t="s">
        <v>1204</v>
      </c>
      <c r="G356" s="3" t="s">
        <v>1205</v>
      </c>
      <c r="H356" s="3" t="s">
        <v>1206</v>
      </c>
      <c r="I356" s="3" t="s">
        <v>3985</v>
      </c>
      <c r="P356" s="3" t="s">
        <v>4495</v>
      </c>
      <c r="Q356" s="3" t="s">
        <v>4501</v>
      </c>
      <c r="R356" s="3" t="s">
        <v>4507</v>
      </c>
      <c r="S356" s="3" t="s">
        <v>4513</v>
      </c>
    </row>
    <row r="357" spans="1:19">
      <c r="A357" s="3" t="s">
        <v>2812</v>
      </c>
      <c r="C357" s="3" t="s">
        <v>1188</v>
      </c>
      <c r="D357" s="3" t="s">
        <v>1189</v>
      </c>
      <c r="E357" s="3" t="s">
        <v>1190</v>
      </c>
      <c r="F357" s="3" t="s">
        <v>2990</v>
      </c>
      <c r="G357" s="3" t="s">
        <v>2991</v>
      </c>
      <c r="H357" s="3" t="s">
        <v>2992</v>
      </c>
    </row>
    <row r="358" spans="1:19">
      <c r="A358" s="3" t="s">
        <v>91</v>
      </c>
      <c r="C358" s="3" t="s">
        <v>1207</v>
      </c>
      <c r="D358" s="3" t="s">
        <v>1208</v>
      </c>
      <c r="E358" s="3" t="s">
        <v>1209</v>
      </c>
      <c r="F358" s="3" t="s">
        <v>1210</v>
      </c>
      <c r="G358" s="3" t="s">
        <v>1211</v>
      </c>
      <c r="H358" s="3" t="s">
        <v>1212</v>
      </c>
      <c r="N358" s="3" t="s">
        <v>3542</v>
      </c>
      <c r="O358" s="3" t="s">
        <v>1213</v>
      </c>
      <c r="S358" s="3" t="s">
        <v>3543</v>
      </c>
    </row>
    <row r="359" spans="1:19">
      <c r="A359" s="3" t="s">
        <v>2812</v>
      </c>
      <c r="C359" s="3" t="s">
        <v>2984</v>
      </c>
      <c r="D359" s="3" t="s">
        <v>2985</v>
      </c>
      <c r="E359" s="3" t="s">
        <v>2986</v>
      </c>
      <c r="F359" s="3" t="s">
        <v>2987</v>
      </c>
    </row>
    <row r="360" spans="1:19">
      <c r="A360" s="3" t="s">
        <v>91</v>
      </c>
      <c r="C360" s="3" t="s">
        <v>1214</v>
      </c>
      <c r="D360" s="3" t="s">
        <v>1215</v>
      </c>
      <c r="E360" s="3" t="s">
        <v>1216</v>
      </c>
      <c r="F360" s="3" t="s">
        <v>1217</v>
      </c>
      <c r="K360" s="3" t="s">
        <v>3544</v>
      </c>
      <c r="L360" s="3" t="s">
        <v>2995</v>
      </c>
      <c r="M360" s="3" t="s">
        <v>2996</v>
      </c>
      <c r="S360" s="3" t="s">
        <v>3545</v>
      </c>
    </row>
    <row r="361" spans="1:19">
      <c r="A361" s="3" t="s">
        <v>91</v>
      </c>
      <c r="C361" s="3" t="s">
        <v>3546</v>
      </c>
      <c r="D361" s="3" t="s">
        <v>3547</v>
      </c>
      <c r="E361" s="3" t="s">
        <v>2997</v>
      </c>
      <c r="F361" s="3" t="s">
        <v>3548</v>
      </c>
      <c r="K361" s="3" t="s">
        <v>2758</v>
      </c>
      <c r="L361" s="3" t="s">
        <v>3549</v>
      </c>
      <c r="M361" s="3" t="s">
        <v>3550</v>
      </c>
    </row>
    <row r="362" spans="1:19">
      <c r="A362" s="3" t="s">
        <v>91</v>
      </c>
      <c r="C362" s="3" t="s">
        <v>1218</v>
      </c>
      <c r="D362" s="3" t="s">
        <v>1219</v>
      </c>
      <c r="E362" s="3" t="s">
        <v>1220</v>
      </c>
      <c r="F362" s="3" t="s">
        <v>1221</v>
      </c>
      <c r="G362" s="3" t="s">
        <v>3551</v>
      </c>
      <c r="H362" s="3" t="s">
        <v>3552</v>
      </c>
      <c r="N362" s="3" t="s">
        <v>3553</v>
      </c>
      <c r="O362" s="3" t="s">
        <v>3554</v>
      </c>
    </row>
    <row r="363" spans="1:19">
      <c r="A363" s="3" t="s">
        <v>91</v>
      </c>
      <c r="C363" s="3" t="s">
        <v>1222</v>
      </c>
      <c r="D363" s="3" t="s">
        <v>1223</v>
      </c>
      <c r="E363" s="3" t="s">
        <v>1224</v>
      </c>
      <c r="F363" s="3" t="s">
        <v>1225</v>
      </c>
      <c r="G363" s="3" t="s">
        <v>1226</v>
      </c>
      <c r="H363" s="3" t="s">
        <v>2998</v>
      </c>
      <c r="I363" s="3" t="s">
        <v>3555</v>
      </c>
      <c r="P363" s="3" t="s">
        <v>4926</v>
      </c>
      <c r="Q363" s="3" t="s">
        <v>4933</v>
      </c>
      <c r="R363" s="3" t="s">
        <v>4940</v>
      </c>
      <c r="S363" s="3" t="s">
        <v>4947</v>
      </c>
    </row>
    <row r="364" spans="1:19">
      <c r="A364" s="3" t="s">
        <v>91</v>
      </c>
      <c r="C364" s="3" t="s">
        <v>2502</v>
      </c>
      <c r="D364" s="3" t="s">
        <v>2503</v>
      </c>
      <c r="E364" s="3" t="s">
        <v>2504</v>
      </c>
      <c r="F364" s="3" t="s">
        <v>2505</v>
      </c>
      <c r="G364" s="3" t="s">
        <v>2506</v>
      </c>
      <c r="H364" s="3" t="s">
        <v>2507</v>
      </c>
      <c r="I364" s="3" t="s">
        <v>3986</v>
      </c>
      <c r="P364" s="3" t="s">
        <v>4927</v>
      </c>
      <c r="Q364" s="3" t="s">
        <v>4934</v>
      </c>
      <c r="R364" s="3" t="s">
        <v>4941</v>
      </c>
      <c r="S364" s="3" t="s">
        <v>4948</v>
      </c>
    </row>
    <row r="365" spans="1:19">
      <c r="A365" s="3" t="s">
        <v>91</v>
      </c>
      <c r="C365" s="3" t="s">
        <v>1227</v>
      </c>
      <c r="D365" s="3" t="s">
        <v>1228</v>
      </c>
      <c r="E365" s="3" t="s">
        <v>1229</v>
      </c>
      <c r="F365" s="3" t="s">
        <v>1230</v>
      </c>
      <c r="G365" s="3" t="s">
        <v>1231</v>
      </c>
      <c r="H365" s="3" t="s">
        <v>1232</v>
      </c>
      <c r="I365" s="3" t="s">
        <v>3987</v>
      </c>
      <c r="P365" s="3" t="s">
        <v>4928</v>
      </c>
      <c r="Q365" s="3" t="s">
        <v>4935</v>
      </c>
      <c r="R365" s="3" t="s">
        <v>4942</v>
      </c>
      <c r="S365" s="3" t="s">
        <v>4949</v>
      </c>
    </row>
    <row r="366" spans="1:19">
      <c r="A366" s="3" t="s">
        <v>91</v>
      </c>
      <c r="C366" s="3" t="s">
        <v>1234</v>
      </c>
      <c r="D366" s="3" t="s">
        <v>1235</v>
      </c>
      <c r="E366" s="3" t="s">
        <v>1236</v>
      </c>
      <c r="F366" s="3" t="s">
        <v>1237</v>
      </c>
      <c r="G366" s="3" t="s">
        <v>1233</v>
      </c>
      <c r="H366" s="3" t="s">
        <v>2508</v>
      </c>
      <c r="I366" s="3" t="s">
        <v>3881</v>
      </c>
      <c r="P366" s="3" t="s">
        <v>4929</v>
      </c>
      <c r="Q366" s="3" t="s">
        <v>4936</v>
      </c>
      <c r="R366" s="3" t="s">
        <v>4943</v>
      </c>
      <c r="S366" s="3" t="s">
        <v>4950</v>
      </c>
    </row>
    <row r="367" spans="1:19">
      <c r="A367" s="3" t="s">
        <v>91</v>
      </c>
      <c r="C367" s="3" t="s">
        <v>1238</v>
      </c>
      <c r="D367" s="3" t="s">
        <v>1239</v>
      </c>
      <c r="E367" s="3" t="s">
        <v>1240</v>
      </c>
      <c r="F367" s="3" t="s">
        <v>1241</v>
      </c>
      <c r="G367" s="3" t="s">
        <v>1242</v>
      </c>
      <c r="H367" s="3" t="s">
        <v>1243</v>
      </c>
      <c r="I367" s="3" t="s">
        <v>3888</v>
      </c>
      <c r="P367" s="3" t="s">
        <v>4930</v>
      </c>
      <c r="Q367" s="3" t="s">
        <v>4937</v>
      </c>
      <c r="R367" s="3" t="s">
        <v>4944</v>
      </c>
      <c r="S367" s="3" t="s">
        <v>4951</v>
      </c>
    </row>
    <row r="368" spans="1:19">
      <c r="A368" s="3" t="s">
        <v>91</v>
      </c>
      <c r="C368" s="3" t="s">
        <v>1244</v>
      </c>
      <c r="D368" s="3" t="s">
        <v>1245</v>
      </c>
      <c r="E368" s="3" t="s">
        <v>1246</v>
      </c>
      <c r="F368" s="3" t="s">
        <v>1247</v>
      </c>
      <c r="G368" s="3" t="s">
        <v>1248</v>
      </c>
      <c r="H368" s="3" t="s">
        <v>1249</v>
      </c>
      <c r="I368" s="3" t="s">
        <v>3988</v>
      </c>
      <c r="P368" s="3" t="s">
        <v>4931</v>
      </c>
      <c r="Q368" s="3" t="s">
        <v>4938</v>
      </c>
      <c r="R368" s="3" t="s">
        <v>4945</v>
      </c>
      <c r="S368" s="3" t="s">
        <v>4952</v>
      </c>
    </row>
    <row r="369" spans="1:19">
      <c r="A369" s="3" t="s">
        <v>91</v>
      </c>
      <c r="C369" s="3" t="s">
        <v>1250</v>
      </c>
      <c r="D369" s="3" t="s">
        <v>1251</v>
      </c>
      <c r="E369" s="3" t="s">
        <v>1252</v>
      </c>
      <c r="F369" s="3" t="s">
        <v>1253</v>
      </c>
      <c r="G369" s="3" t="s">
        <v>1254</v>
      </c>
      <c r="H369" s="3" t="s">
        <v>1255</v>
      </c>
      <c r="I369" s="3" t="s">
        <v>3989</v>
      </c>
      <c r="P369" s="3" t="s">
        <v>4932</v>
      </c>
      <c r="Q369" s="3" t="s">
        <v>4939</v>
      </c>
      <c r="R369" s="3" t="s">
        <v>4946</v>
      </c>
      <c r="S369" s="3" t="s">
        <v>4953</v>
      </c>
    </row>
    <row r="370" spans="1:19">
      <c r="A370" s="3" t="s">
        <v>2812</v>
      </c>
      <c r="C370" s="3" t="s">
        <v>2502</v>
      </c>
      <c r="D370" s="3" t="s">
        <v>2503</v>
      </c>
      <c r="E370" s="3" t="s">
        <v>2504</v>
      </c>
      <c r="F370" s="3" t="s">
        <v>2505</v>
      </c>
      <c r="G370" s="3" t="s">
        <v>2506</v>
      </c>
      <c r="H370" s="3" t="s">
        <v>2507</v>
      </c>
    </row>
    <row r="371" spans="1:19">
      <c r="A371" s="3" t="s">
        <v>91</v>
      </c>
      <c r="C371" s="3" t="s">
        <v>2999</v>
      </c>
      <c r="D371" s="3" t="s">
        <v>3000</v>
      </c>
      <c r="E371" s="3" t="s">
        <v>3001</v>
      </c>
      <c r="F371" s="3" t="s">
        <v>3002</v>
      </c>
      <c r="G371" s="3" t="s">
        <v>3556</v>
      </c>
      <c r="H371" s="3" t="s">
        <v>3557</v>
      </c>
      <c r="N371" s="3" t="s">
        <v>3558</v>
      </c>
      <c r="O371" s="3" t="s">
        <v>1260</v>
      </c>
      <c r="S371" s="3" t="s">
        <v>3559</v>
      </c>
    </row>
    <row r="372" spans="1:19">
      <c r="A372" s="3" t="s">
        <v>91</v>
      </c>
      <c r="C372" s="3" t="s">
        <v>1256</v>
      </c>
      <c r="D372" s="3" t="s">
        <v>1257</v>
      </c>
      <c r="E372" s="3" t="s">
        <v>1258</v>
      </c>
      <c r="F372" s="3" t="s">
        <v>1259</v>
      </c>
      <c r="G372" s="3" t="s">
        <v>3560</v>
      </c>
      <c r="H372" s="3" t="s">
        <v>3561</v>
      </c>
      <c r="N372" s="3" t="s">
        <v>2759</v>
      </c>
      <c r="O372" s="3" t="s">
        <v>3562</v>
      </c>
    </row>
    <row r="373" spans="1:19">
      <c r="A373" s="3" t="s">
        <v>91</v>
      </c>
      <c r="C373" s="3" t="s">
        <v>2510</v>
      </c>
      <c r="D373" s="3" t="s">
        <v>2511</v>
      </c>
      <c r="E373" s="3" t="s">
        <v>2512</v>
      </c>
      <c r="F373" s="3" t="s">
        <v>2513</v>
      </c>
      <c r="G373" s="3" t="s">
        <v>2509</v>
      </c>
      <c r="H373" s="3" t="s">
        <v>3003</v>
      </c>
      <c r="I373" s="3" t="s">
        <v>3563</v>
      </c>
      <c r="P373" s="3" t="s">
        <v>4954</v>
      </c>
      <c r="Q373" s="3" t="s">
        <v>4960</v>
      </c>
      <c r="R373" s="3" t="s">
        <v>4966</v>
      </c>
      <c r="S373" s="3" t="s">
        <v>4972</v>
      </c>
    </row>
    <row r="374" spans="1:19">
      <c r="A374" s="3" t="s">
        <v>91</v>
      </c>
      <c r="C374" s="3" t="s">
        <v>1261</v>
      </c>
      <c r="D374" s="3" t="s">
        <v>1262</v>
      </c>
      <c r="E374" s="3" t="s">
        <v>1263</v>
      </c>
      <c r="F374" s="3" t="s">
        <v>1264</v>
      </c>
      <c r="G374" s="3" t="s">
        <v>1265</v>
      </c>
      <c r="H374" s="3" t="s">
        <v>1266</v>
      </c>
      <c r="I374" s="3" t="s">
        <v>3990</v>
      </c>
      <c r="P374" s="3" t="s">
        <v>4955</v>
      </c>
      <c r="Q374" s="3" t="s">
        <v>4961</v>
      </c>
      <c r="R374" s="3" t="s">
        <v>4967</v>
      </c>
      <c r="S374" s="3" t="s">
        <v>4973</v>
      </c>
    </row>
    <row r="375" spans="1:19">
      <c r="A375" s="3" t="s">
        <v>91</v>
      </c>
      <c r="C375" s="3" t="s">
        <v>1268</v>
      </c>
      <c r="D375" s="3" t="s">
        <v>1269</v>
      </c>
      <c r="E375" s="3" t="s">
        <v>1270</v>
      </c>
      <c r="F375" s="3" t="s">
        <v>1271</v>
      </c>
      <c r="G375" s="3" t="s">
        <v>1267</v>
      </c>
      <c r="H375" s="3" t="s">
        <v>2514</v>
      </c>
      <c r="I375" s="3" t="s">
        <v>3881</v>
      </c>
      <c r="P375" s="3" t="s">
        <v>4956</v>
      </c>
      <c r="Q375" s="3" t="s">
        <v>4962</v>
      </c>
      <c r="R375" s="3" t="s">
        <v>4968</v>
      </c>
      <c r="S375" s="3" t="s">
        <v>4974</v>
      </c>
    </row>
    <row r="376" spans="1:19">
      <c r="A376" s="3" t="s">
        <v>91</v>
      </c>
      <c r="C376" s="3" t="s">
        <v>1272</v>
      </c>
      <c r="D376" s="3" t="s">
        <v>1273</v>
      </c>
      <c r="E376" s="3" t="s">
        <v>1274</v>
      </c>
      <c r="F376" s="3" t="s">
        <v>1275</v>
      </c>
      <c r="G376" s="3" t="s">
        <v>1276</v>
      </c>
      <c r="H376" s="3" t="s">
        <v>1277</v>
      </c>
      <c r="I376" s="3" t="s">
        <v>3888</v>
      </c>
      <c r="P376" s="3" t="s">
        <v>4957</v>
      </c>
      <c r="Q376" s="3" t="s">
        <v>4963</v>
      </c>
      <c r="R376" s="3" t="s">
        <v>4969</v>
      </c>
      <c r="S376" s="3" t="s">
        <v>4975</v>
      </c>
    </row>
    <row r="377" spans="1:19">
      <c r="A377" s="3" t="s">
        <v>91</v>
      </c>
      <c r="C377" s="3" t="s">
        <v>1278</v>
      </c>
      <c r="D377" s="3" t="s">
        <v>1279</v>
      </c>
      <c r="E377" s="3" t="s">
        <v>1280</v>
      </c>
      <c r="F377" s="3" t="s">
        <v>1281</v>
      </c>
      <c r="G377" s="3" t="s">
        <v>1282</v>
      </c>
      <c r="H377" s="3" t="s">
        <v>1283</v>
      </c>
      <c r="I377" s="3" t="s">
        <v>3991</v>
      </c>
      <c r="P377" s="3" t="s">
        <v>4958</v>
      </c>
      <c r="Q377" s="3" t="s">
        <v>4964</v>
      </c>
      <c r="R377" s="3" t="s">
        <v>4970</v>
      </c>
      <c r="S377" s="3" t="s">
        <v>4976</v>
      </c>
    </row>
    <row r="378" spans="1:19">
      <c r="A378" s="3" t="s">
        <v>91</v>
      </c>
      <c r="C378" s="3" t="s">
        <v>2515</v>
      </c>
      <c r="D378" s="3" t="s">
        <v>2516</v>
      </c>
      <c r="E378" s="3" t="s">
        <v>2517</v>
      </c>
      <c r="F378" s="3" t="s">
        <v>2518</v>
      </c>
      <c r="G378" s="3" t="s">
        <v>2519</v>
      </c>
      <c r="H378" s="3" t="s">
        <v>2520</v>
      </c>
      <c r="I378" s="3" t="s">
        <v>3992</v>
      </c>
      <c r="P378" s="3" t="s">
        <v>4959</v>
      </c>
      <c r="Q378" s="3" t="s">
        <v>4965</v>
      </c>
      <c r="R378" s="3" t="s">
        <v>4971</v>
      </c>
      <c r="S378" s="3" t="s">
        <v>4977</v>
      </c>
    </row>
    <row r="379" spans="1:19">
      <c r="A379" s="3" t="s">
        <v>2812</v>
      </c>
      <c r="C379" s="3" t="s">
        <v>1261</v>
      </c>
      <c r="D379" s="3" t="s">
        <v>1262</v>
      </c>
      <c r="E379" s="3" t="s">
        <v>1263</v>
      </c>
      <c r="F379" s="3" t="s">
        <v>1264</v>
      </c>
      <c r="G379" s="3" t="s">
        <v>1265</v>
      </c>
      <c r="H379" s="3" t="s">
        <v>1266</v>
      </c>
    </row>
    <row r="380" spans="1:19">
      <c r="A380" s="3" t="s">
        <v>91</v>
      </c>
      <c r="C380" s="3" t="s">
        <v>1285</v>
      </c>
      <c r="D380" s="3" t="s">
        <v>1286</v>
      </c>
      <c r="E380" s="3" t="s">
        <v>1287</v>
      </c>
      <c r="F380" s="3" t="s">
        <v>1288</v>
      </c>
      <c r="G380" s="3" t="s">
        <v>1284</v>
      </c>
      <c r="H380" s="3" t="s">
        <v>2521</v>
      </c>
      <c r="N380" s="3" t="s">
        <v>3564</v>
      </c>
      <c r="O380" s="3" t="s">
        <v>1293</v>
      </c>
      <c r="S380" s="3" t="s">
        <v>3565</v>
      </c>
    </row>
    <row r="381" spans="1:19">
      <c r="A381" s="3" t="s">
        <v>91</v>
      </c>
      <c r="C381" s="3" t="s">
        <v>1289</v>
      </c>
      <c r="D381" s="3" t="s">
        <v>1290</v>
      </c>
      <c r="E381" s="3" t="s">
        <v>1291</v>
      </c>
      <c r="F381" s="3" t="s">
        <v>1292</v>
      </c>
      <c r="G381" s="3" t="s">
        <v>3566</v>
      </c>
      <c r="H381" s="3" t="s">
        <v>3567</v>
      </c>
      <c r="N381" s="3" t="s">
        <v>2760</v>
      </c>
      <c r="O381" s="3" t="s">
        <v>3568</v>
      </c>
    </row>
    <row r="382" spans="1:19">
      <c r="A382" s="3" t="s">
        <v>91</v>
      </c>
      <c r="C382" s="3" t="s">
        <v>3004</v>
      </c>
      <c r="D382" s="3" t="s">
        <v>3005</v>
      </c>
      <c r="E382" s="3" t="s">
        <v>3006</v>
      </c>
      <c r="F382" s="3" t="s">
        <v>3007</v>
      </c>
      <c r="G382" s="3" t="s">
        <v>3008</v>
      </c>
      <c r="H382" s="3" t="s">
        <v>3009</v>
      </c>
      <c r="I382" s="3" t="s">
        <v>3569</v>
      </c>
      <c r="P382" s="3" t="s">
        <v>3993</v>
      </c>
      <c r="Q382" s="3" t="s">
        <v>3994</v>
      </c>
      <c r="R382" s="3" t="s">
        <v>3995</v>
      </c>
      <c r="S382" s="3" t="s">
        <v>3996</v>
      </c>
    </row>
    <row r="383" spans="1:19">
      <c r="A383" s="3" t="s">
        <v>91</v>
      </c>
      <c r="C383" s="3" t="s">
        <v>2522</v>
      </c>
      <c r="D383" s="3" t="s">
        <v>2523</v>
      </c>
      <c r="E383" s="3" t="s">
        <v>2524</v>
      </c>
      <c r="F383" s="3" t="s">
        <v>2525</v>
      </c>
      <c r="G383" s="3" t="s">
        <v>2526</v>
      </c>
      <c r="H383" s="3" t="s">
        <v>2527</v>
      </c>
      <c r="I383" s="3" t="s">
        <v>3997</v>
      </c>
      <c r="P383" s="3" t="s">
        <v>3998</v>
      </c>
      <c r="Q383" s="3" t="s">
        <v>3999</v>
      </c>
      <c r="R383" s="3" t="s">
        <v>4000</v>
      </c>
      <c r="S383" s="3" t="s">
        <v>4001</v>
      </c>
    </row>
    <row r="384" spans="1:19">
      <c r="A384" s="3" t="s">
        <v>2812</v>
      </c>
      <c r="C384" s="3" t="s">
        <v>2522</v>
      </c>
      <c r="D384" s="3" t="s">
        <v>2523</v>
      </c>
      <c r="E384" s="3" t="s">
        <v>2524</v>
      </c>
      <c r="F384" s="3" t="s">
        <v>2525</v>
      </c>
      <c r="G384" s="3" t="s">
        <v>2526</v>
      </c>
      <c r="H384" s="3" t="s">
        <v>2527</v>
      </c>
    </row>
    <row r="385" spans="1:19">
      <c r="A385" s="3" t="s">
        <v>91</v>
      </c>
      <c r="C385" s="3" t="s">
        <v>2528</v>
      </c>
      <c r="D385" s="3" t="s">
        <v>2529</v>
      </c>
      <c r="E385" s="3" t="s">
        <v>2530</v>
      </c>
      <c r="F385" s="3" t="s">
        <v>2531</v>
      </c>
      <c r="G385" s="3" t="s">
        <v>1294</v>
      </c>
      <c r="H385" s="3" t="s">
        <v>2532</v>
      </c>
      <c r="N385" s="3" t="s">
        <v>3570</v>
      </c>
      <c r="O385" s="3" t="s">
        <v>2533</v>
      </c>
      <c r="S385" s="3" t="s">
        <v>3571</v>
      </c>
    </row>
    <row r="386" spans="1:19">
      <c r="A386" s="3" t="s">
        <v>2812</v>
      </c>
      <c r="C386" s="3" t="s">
        <v>1256</v>
      </c>
      <c r="D386" s="3" t="s">
        <v>1257</v>
      </c>
      <c r="E386" s="3" t="s">
        <v>1258</v>
      </c>
      <c r="F386" s="3" t="s">
        <v>1259</v>
      </c>
    </row>
    <row r="387" spans="1:19">
      <c r="A387" s="3" t="s">
        <v>91</v>
      </c>
      <c r="C387" s="3" t="s">
        <v>1295</v>
      </c>
      <c r="D387" s="3" t="s">
        <v>1296</v>
      </c>
      <c r="E387" s="3" t="s">
        <v>1297</v>
      </c>
      <c r="F387" s="3" t="s">
        <v>2534</v>
      </c>
      <c r="K387" s="3" t="s">
        <v>3572</v>
      </c>
      <c r="L387" s="3" t="s">
        <v>1298</v>
      </c>
      <c r="M387" s="3" t="s">
        <v>1299</v>
      </c>
      <c r="S387" s="3" t="s">
        <v>3573</v>
      </c>
    </row>
    <row r="388" spans="1:19">
      <c r="A388" s="3" t="s">
        <v>91</v>
      </c>
      <c r="C388" s="3" t="s">
        <v>3574</v>
      </c>
      <c r="D388" s="3" t="s">
        <v>3575</v>
      </c>
      <c r="E388" s="3" t="s">
        <v>1300</v>
      </c>
      <c r="F388" s="3" t="s">
        <v>3576</v>
      </c>
      <c r="K388" s="3" t="s">
        <v>2761</v>
      </c>
      <c r="L388" s="3" t="s">
        <v>3577</v>
      </c>
      <c r="M388" s="3" t="s">
        <v>3578</v>
      </c>
    </row>
    <row r="389" spans="1:19">
      <c r="A389" s="3" t="s">
        <v>91</v>
      </c>
      <c r="C389" s="3" t="s">
        <v>1301</v>
      </c>
      <c r="D389" s="3" t="s">
        <v>1302</v>
      </c>
      <c r="E389" s="3" t="s">
        <v>1303</v>
      </c>
      <c r="F389" s="3" t="s">
        <v>1304</v>
      </c>
      <c r="G389" s="3" t="s">
        <v>3010</v>
      </c>
      <c r="H389" s="3" t="s">
        <v>3011</v>
      </c>
      <c r="N389" s="3" t="s">
        <v>3579</v>
      </c>
      <c r="O389" s="3" t="s">
        <v>3012</v>
      </c>
    </row>
    <row r="390" spans="1:19">
      <c r="A390" s="3" t="s">
        <v>91</v>
      </c>
      <c r="C390" s="3" t="s">
        <v>1305</v>
      </c>
      <c r="D390" s="3" t="s">
        <v>1306</v>
      </c>
      <c r="E390" s="3" t="s">
        <v>1307</v>
      </c>
      <c r="F390" s="3" t="s">
        <v>1308</v>
      </c>
      <c r="G390" s="3" t="s">
        <v>1309</v>
      </c>
      <c r="H390" s="3" t="s">
        <v>1310</v>
      </c>
      <c r="I390" s="3" t="s">
        <v>3013</v>
      </c>
      <c r="P390" s="3" t="s">
        <v>4874</v>
      </c>
      <c r="Q390" s="3" t="s">
        <v>4881</v>
      </c>
      <c r="R390" s="3" t="s">
        <v>4888</v>
      </c>
      <c r="S390" s="3" t="s">
        <v>4895</v>
      </c>
    </row>
    <row r="391" spans="1:19">
      <c r="A391" s="3" t="s">
        <v>91</v>
      </c>
      <c r="C391" s="3" t="s">
        <v>1311</v>
      </c>
      <c r="D391" s="3" t="s">
        <v>1312</v>
      </c>
      <c r="E391" s="3" t="s">
        <v>1313</v>
      </c>
      <c r="F391" s="3" t="s">
        <v>1314</v>
      </c>
      <c r="G391" s="3" t="s">
        <v>1315</v>
      </c>
      <c r="H391" s="3" t="s">
        <v>1316</v>
      </c>
      <c r="I391" s="3" t="s">
        <v>4002</v>
      </c>
      <c r="P391" s="3" t="s">
        <v>4875</v>
      </c>
      <c r="Q391" s="3" t="s">
        <v>4882</v>
      </c>
      <c r="R391" s="3" t="s">
        <v>4889</v>
      </c>
      <c r="S391" s="3" t="s">
        <v>4896</v>
      </c>
    </row>
    <row r="392" spans="1:19">
      <c r="A392" s="3" t="s">
        <v>91</v>
      </c>
      <c r="C392" s="3" t="s">
        <v>3014</v>
      </c>
      <c r="D392" s="3" t="s">
        <v>3015</v>
      </c>
      <c r="E392" s="3" t="s">
        <v>3016</v>
      </c>
      <c r="F392" s="3" t="s">
        <v>3017</v>
      </c>
      <c r="G392" s="3" t="s">
        <v>3018</v>
      </c>
      <c r="H392" s="3" t="s">
        <v>3019</v>
      </c>
      <c r="I392" s="3" t="s">
        <v>3879</v>
      </c>
      <c r="P392" s="3" t="s">
        <v>4876</v>
      </c>
      <c r="Q392" s="3" t="s">
        <v>4883</v>
      </c>
      <c r="R392" s="3" t="s">
        <v>4890</v>
      </c>
      <c r="S392" s="3" t="s">
        <v>4897</v>
      </c>
    </row>
    <row r="393" spans="1:19">
      <c r="A393" s="3" t="s">
        <v>91</v>
      </c>
      <c r="C393" s="3" t="s">
        <v>1317</v>
      </c>
      <c r="D393" s="3" t="s">
        <v>1318</v>
      </c>
      <c r="E393" s="3" t="s">
        <v>1319</v>
      </c>
      <c r="F393" s="3" t="s">
        <v>1320</v>
      </c>
      <c r="G393" s="3" t="s">
        <v>1321</v>
      </c>
      <c r="H393" s="3" t="s">
        <v>1322</v>
      </c>
      <c r="I393" s="3" t="s">
        <v>4003</v>
      </c>
      <c r="P393" s="3" t="s">
        <v>4877</v>
      </c>
      <c r="Q393" s="3" t="s">
        <v>4884</v>
      </c>
      <c r="R393" s="3" t="s">
        <v>4891</v>
      </c>
      <c r="S393" s="3" t="s">
        <v>4898</v>
      </c>
    </row>
    <row r="394" spans="1:19">
      <c r="A394" s="3" t="s">
        <v>91</v>
      </c>
      <c r="C394" s="3" t="s">
        <v>1323</v>
      </c>
      <c r="D394" s="3" t="s">
        <v>1324</v>
      </c>
      <c r="E394" s="3" t="s">
        <v>1325</v>
      </c>
      <c r="F394" s="3" t="s">
        <v>1326</v>
      </c>
      <c r="G394" s="3" t="s">
        <v>1327</v>
      </c>
      <c r="H394" s="3" t="s">
        <v>3020</v>
      </c>
      <c r="I394" s="3" t="s">
        <v>3881</v>
      </c>
      <c r="P394" s="3" t="s">
        <v>4878</v>
      </c>
      <c r="Q394" s="3" t="s">
        <v>4885</v>
      </c>
      <c r="R394" s="3" t="s">
        <v>4892</v>
      </c>
      <c r="S394" s="3" t="s">
        <v>4899</v>
      </c>
    </row>
    <row r="395" spans="1:19">
      <c r="A395" s="3" t="s">
        <v>91</v>
      </c>
      <c r="C395" s="3" t="s">
        <v>2535</v>
      </c>
      <c r="D395" s="3" t="s">
        <v>2536</v>
      </c>
      <c r="E395" s="3" t="s">
        <v>2537</v>
      </c>
      <c r="F395" s="3" t="s">
        <v>2538</v>
      </c>
      <c r="G395" s="3" t="s">
        <v>2539</v>
      </c>
      <c r="H395" s="3" t="s">
        <v>2540</v>
      </c>
      <c r="I395" s="3" t="s">
        <v>3888</v>
      </c>
      <c r="P395" s="3" t="s">
        <v>4879</v>
      </c>
      <c r="Q395" s="3" t="s">
        <v>4886</v>
      </c>
      <c r="R395" s="3" t="s">
        <v>4893</v>
      </c>
      <c r="S395" s="3" t="s">
        <v>4900</v>
      </c>
    </row>
    <row r="396" spans="1:19">
      <c r="A396" s="3" t="s">
        <v>91</v>
      </c>
      <c r="C396" s="3" t="s">
        <v>1328</v>
      </c>
      <c r="D396" s="3" t="s">
        <v>1329</v>
      </c>
      <c r="E396" s="3" t="s">
        <v>1330</v>
      </c>
      <c r="F396" s="3" t="s">
        <v>1331</v>
      </c>
      <c r="G396" s="3" t="s">
        <v>1332</v>
      </c>
      <c r="H396" s="3" t="s">
        <v>1333</v>
      </c>
      <c r="I396" s="3" t="s">
        <v>4004</v>
      </c>
      <c r="P396" s="3" t="s">
        <v>4880</v>
      </c>
      <c r="Q396" s="3" t="s">
        <v>4887</v>
      </c>
      <c r="R396" s="3" t="s">
        <v>4894</v>
      </c>
      <c r="S396" s="3" t="s">
        <v>4901</v>
      </c>
    </row>
    <row r="397" spans="1:19">
      <c r="A397" s="3" t="s">
        <v>2812</v>
      </c>
      <c r="C397" s="3" t="s">
        <v>1311</v>
      </c>
      <c r="D397" s="3" t="s">
        <v>1312</v>
      </c>
      <c r="E397" s="3" t="s">
        <v>1313</v>
      </c>
      <c r="F397" s="3" t="s">
        <v>1314</v>
      </c>
      <c r="G397" s="3" t="s">
        <v>1315</v>
      </c>
      <c r="H397" s="3" t="s">
        <v>1316</v>
      </c>
    </row>
    <row r="398" spans="1:19">
      <c r="A398" s="3" t="s">
        <v>91</v>
      </c>
      <c r="C398" s="3" t="s">
        <v>1334</v>
      </c>
      <c r="D398" s="3" t="s">
        <v>1335</v>
      </c>
      <c r="E398" s="3" t="s">
        <v>1336</v>
      </c>
      <c r="F398" s="3" t="s">
        <v>1337</v>
      </c>
      <c r="G398" s="3" t="s">
        <v>1338</v>
      </c>
      <c r="H398" s="3" t="s">
        <v>1339</v>
      </c>
      <c r="N398" s="3" t="s">
        <v>3580</v>
      </c>
      <c r="O398" s="3" t="s">
        <v>1344</v>
      </c>
      <c r="S398" s="3" t="s">
        <v>3581</v>
      </c>
    </row>
    <row r="399" spans="1:19">
      <c r="A399" s="3" t="s">
        <v>91</v>
      </c>
      <c r="C399" s="3" t="s">
        <v>1340</v>
      </c>
      <c r="D399" s="3" t="s">
        <v>1341</v>
      </c>
      <c r="E399" s="3" t="s">
        <v>1342</v>
      </c>
      <c r="F399" s="3" t="s">
        <v>1343</v>
      </c>
      <c r="G399" s="3" t="s">
        <v>3582</v>
      </c>
      <c r="H399" s="3" t="s">
        <v>3583</v>
      </c>
      <c r="N399" s="3" t="s">
        <v>2762</v>
      </c>
      <c r="O399" s="3" t="s">
        <v>3584</v>
      </c>
    </row>
    <row r="400" spans="1:19">
      <c r="A400" s="3" t="s">
        <v>91</v>
      </c>
      <c r="C400" s="3" t="s">
        <v>1345</v>
      </c>
      <c r="D400" s="3" t="s">
        <v>1346</v>
      </c>
      <c r="E400" s="3" t="s">
        <v>1347</v>
      </c>
      <c r="F400" s="3" t="s">
        <v>1348</v>
      </c>
      <c r="G400" s="3" t="s">
        <v>1349</v>
      </c>
      <c r="H400" s="3" t="s">
        <v>1350</v>
      </c>
      <c r="I400" s="3" t="s">
        <v>3585</v>
      </c>
      <c r="P400" s="3" t="s">
        <v>4902</v>
      </c>
      <c r="Q400" s="3" t="s">
        <v>4908</v>
      </c>
      <c r="R400" s="3" t="s">
        <v>4914</v>
      </c>
      <c r="S400" s="3" t="s">
        <v>4920</v>
      </c>
    </row>
    <row r="401" spans="1:19">
      <c r="A401" s="3" t="s">
        <v>91</v>
      </c>
      <c r="C401" s="3" t="s">
        <v>1351</v>
      </c>
      <c r="D401" s="3" t="s">
        <v>1352</v>
      </c>
      <c r="E401" s="3" t="s">
        <v>1353</v>
      </c>
      <c r="F401" s="3" t="s">
        <v>1354</v>
      </c>
      <c r="G401" s="3" t="s">
        <v>1355</v>
      </c>
      <c r="H401" s="3" t="s">
        <v>1356</v>
      </c>
      <c r="I401" s="3" t="s">
        <v>4005</v>
      </c>
      <c r="P401" s="3" t="s">
        <v>4903</v>
      </c>
      <c r="Q401" s="3" t="s">
        <v>4909</v>
      </c>
      <c r="R401" s="3" t="s">
        <v>4915</v>
      </c>
      <c r="S401" s="3" t="s">
        <v>4921</v>
      </c>
    </row>
    <row r="402" spans="1:19">
      <c r="A402" s="3" t="s">
        <v>91</v>
      </c>
      <c r="C402" s="3" t="s">
        <v>1357</v>
      </c>
      <c r="D402" s="3" t="s">
        <v>1358</v>
      </c>
      <c r="E402" s="3" t="s">
        <v>1359</v>
      </c>
      <c r="F402" s="3" t="s">
        <v>1360</v>
      </c>
      <c r="G402" s="3" t="s">
        <v>1361</v>
      </c>
      <c r="H402" s="3" t="s">
        <v>1362</v>
      </c>
      <c r="I402" s="3" t="s">
        <v>4006</v>
      </c>
      <c r="P402" s="3" t="s">
        <v>4904</v>
      </c>
      <c r="Q402" s="3" t="s">
        <v>4910</v>
      </c>
      <c r="R402" s="3" t="s">
        <v>4916</v>
      </c>
      <c r="S402" s="3" t="s">
        <v>4922</v>
      </c>
    </row>
    <row r="403" spans="1:19">
      <c r="A403" s="3" t="s">
        <v>91</v>
      </c>
      <c r="C403" s="3" t="s">
        <v>3586</v>
      </c>
      <c r="D403" s="3" t="s">
        <v>3587</v>
      </c>
      <c r="E403" s="3" t="s">
        <v>3588</v>
      </c>
      <c r="F403" s="3" t="s">
        <v>3589</v>
      </c>
      <c r="G403" s="3" t="s">
        <v>3021</v>
      </c>
      <c r="H403" s="3" t="s">
        <v>3590</v>
      </c>
      <c r="I403" s="3" t="s">
        <v>3881</v>
      </c>
      <c r="P403" s="3" t="s">
        <v>4905</v>
      </c>
      <c r="Q403" s="3" t="s">
        <v>4911</v>
      </c>
      <c r="R403" s="3" t="s">
        <v>4917</v>
      </c>
      <c r="S403" s="3" t="s">
        <v>4923</v>
      </c>
    </row>
    <row r="404" spans="1:19">
      <c r="A404" s="3" t="s">
        <v>91</v>
      </c>
      <c r="C404" s="3" t="s">
        <v>1363</v>
      </c>
      <c r="D404" s="3" t="s">
        <v>1364</v>
      </c>
      <c r="E404" s="3" t="s">
        <v>1365</v>
      </c>
      <c r="F404" s="3" t="s">
        <v>1366</v>
      </c>
      <c r="G404" s="3" t="s">
        <v>1367</v>
      </c>
      <c r="H404" s="3" t="s">
        <v>1368</v>
      </c>
      <c r="I404" s="3" t="s">
        <v>3888</v>
      </c>
      <c r="P404" s="3" t="s">
        <v>4906</v>
      </c>
      <c r="Q404" s="3" t="s">
        <v>4912</v>
      </c>
      <c r="R404" s="3" t="s">
        <v>4918</v>
      </c>
      <c r="S404" s="3" t="s">
        <v>4924</v>
      </c>
    </row>
    <row r="405" spans="1:19">
      <c r="A405" s="3" t="s">
        <v>91</v>
      </c>
      <c r="C405" s="3" t="s">
        <v>3022</v>
      </c>
      <c r="D405" s="3" t="s">
        <v>3023</v>
      </c>
      <c r="E405" s="3" t="s">
        <v>3024</v>
      </c>
      <c r="F405" s="3" t="s">
        <v>3591</v>
      </c>
      <c r="G405" s="3" t="s">
        <v>2541</v>
      </c>
      <c r="H405" s="3" t="s">
        <v>3592</v>
      </c>
      <c r="I405" s="3" t="s">
        <v>4007</v>
      </c>
      <c r="P405" s="3" t="s">
        <v>4907</v>
      </c>
      <c r="Q405" s="3" t="s">
        <v>4913</v>
      </c>
      <c r="R405" s="3" t="s">
        <v>4919</v>
      </c>
      <c r="S405" s="3" t="s">
        <v>4925</v>
      </c>
    </row>
    <row r="406" spans="1:19">
      <c r="A406" s="3" t="s">
        <v>2812</v>
      </c>
      <c r="C406" s="3" t="s">
        <v>1351</v>
      </c>
      <c r="D406" s="3" t="s">
        <v>1352</v>
      </c>
      <c r="E406" s="3" t="s">
        <v>1353</v>
      </c>
      <c r="F406" s="3" t="s">
        <v>1354</v>
      </c>
      <c r="G406" s="3" t="s">
        <v>1355</v>
      </c>
      <c r="H406" s="3" t="s">
        <v>1356</v>
      </c>
    </row>
    <row r="407" spans="1:19">
      <c r="A407" s="3" t="s">
        <v>91</v>
      </c>
      <c r="C407" s="3" t="s">
        <v>1369</v>
      </c>
      <c r="D407" s="3" t="s">
        <v>1370</v>
      </c>
      <c r="E407" s="3" t="s">
        <v>3025</v>
      </c>
      <c r="F407" s="3" t="s">
        <v>3026</v>
      </c>
      <c r="G407" s="3" t="s">
        <v>3027</v>
      </c>
      <c r="H407" s="3" t="s">
        <v>3028</v>
      </c>
      <c r="N407" s="3" t="s">
        <v>3593</v>
      </c>
      <c r="O407" s="3" t="s">
        <v>3029</v>
      </c>
      <c r="S407" s="3" t="s">
        <v>3594</v>
      </c>
    </row>
    <row r="408" spans="1:19">
      <c r="A408" s="3" t="s">
        <v>2812</v>
      </c>
      <c r="C408" s="3" t="s">
        <v>1340</v>
      </c>
      <c r="D408" s="3" t="s">
        <v>1341</v>
      </c>
      <c r="E408" s="3" t="s">
        <v>1342</v>
      </c>
      <c r="F408" s="3" t="s">
        <v>1343</v>
      </c>
    </row>
    <row r="409" spans="1:19">
      <c r="A409" s="3" t="s">
        <v>91</v>
      </c>
      <c r="C409" s="3" t="s">
        <v>3030</v>
      </c>
      <c r="D409" s="3" t="s">
        <v>3031</v>
      </c>
      <c r="E409" s="3" t="s">
        <v>3032</v>
      </c>
      <c r="F409" s="3" t="s">
        <v>3033</v>
      </c>
      <c r="K409" s="3" t="s">
        <v>3595</v>
      </c>
      <c r="L409" s="3" t="s">
        <v>3034</v>
      </c>
      <c r="M409" s="3" t="s">
        <v>3035</v>
      </c>
      <c r="S409" s="3" t="s">
        <v>3596</v>
      </c>
    </row>
    <row r="410" spans="1:19">
      <c r="A410" s="3" t="s">
        <v>91</v>
      </c>
      <c r="C410" s="3" t="s">
        <v>3597</v>
      </c>
      <c r="D410" s="3" t="s">
        <v>3598</v>
      </c>
      <c r="E410" s="3" t="s">
        <v>3036</v>
      </c>
      <c r="F410" s="3" t="s">
        <v>3599</v>
      </c>
      <c r="K410" s="3" t="s">
        <v>2763</v>
      </c>
      <c r="L410" s="3" t="s">
        <v>3600</v>
      </c>
      <c r="M410" s="3" t="s">
        <v>3601</v>
      </c>
    </row>
    <row r="411" spans="1:19">
      <c r="A411" s="3" t="s">
        <v>91</v>
      </c>
      <c r="C411" s="3" t="s">
        <v>3602</v>
      </c>
      <c r="D411" s="3" t="s">
        <v>3603</v>
      </c>
      <c r="E411" s="3" t="s">
        <v>1371</v>
      </c>
      <c r="F411" s="3" t="s">
        <v>3604</v>
      </c>
      <c r="G411" s="3" t="s">
        <v>3605</v>
      </c>
      <c r="H411" s="3" t="s">
        <v>3606</v>
      </c>
      <c r="N411" s="3" t="s">
        <v>3607</v>
      </c>
      <c r="O411" s="3" t="s">
        <v>3608</v>
      </c>
    </row>
    <row r="412" spans="1:19">
      <c r="A412" s="3" t="s">
        <v>91</v>
      </c>
      <c r="C412" s="3" t="s">
        <v>1372</v>
      </c>
      <c r="D412" s="3" t="s">
        <v>1373</v>
      </c>
      <c r="E412" s="3" t="s">
        <v>1374</v>
      </c>
      <c r="F412" s="3" t="s">
        <v>1375</v>
      </c>
      <c r="G412" s="3" t="s">
        <v>3037</v>
      </c>
      <c r="H412" s="3" t="s">
        <v>3038</v>
      </c>
      <c r="I412" s="3" t="s">
        <v>3609</v>
      </c>
      <c r="P412" s="3" t="s">
        <v>4826</v>
      </c>
      <c r="Q412" s="3" t="s">
        <v>4832</v>
      </c>
      <c r="R412" s="3" t="s">
        <v>4838</v>
      </c>
      <c r="S412" s="3" t="s">
        <v>4844</v>
      </c>
    </row>
    <row r="413" spans="1:19">
      <c r="A413" s="3" t="s">
        <v>91</v>
      </c>
      <c r="C413" s="3" t="s">
        <v>1376</v>
      </c>
      <c r="D413" s="3" t="s">
        <v>1377</v>
      </c>
      <c r="E413" s="3" t="s">
        <v>1378</v>
      </c>
      <c r="F413" s="3" t="s">
        <v>1379</v>
      </c>
      <c r="G413" s="3" t="s">
        <v>1380</v>
      </c>
      <c r="H413" s="3" t="s">
        <v>1381</v>
      </c>
      <c r="I413" s="3" t="s">
        <v>4008</v>
      </c>
      <c r="P413" s="3" t="s">
        <v>4827</v>
      </c>
      <c r="Q413" s="3" t="s">
        <v>4833</v>
      </c>
      <c r="R413" s="3" t="s">
        <v>4839</v>
      </c>
      <c r="S413" s="3" t="s">
        <v>4845</v>
      </c>
    </row>
    <row r="414" spans="1:19">
      <c r="A414" s="3" t="s">
        <v>91</v>
      </c>
      <c r="C414" s="3" t="s">
        <v>2543</v>
      </c>
      <c r="D414" s="3" t="s">
        <v>2544</v>
      </c>
      <c r="E414" s="3" t="s">
        <v>2545</v>
      </c>
      <c r="F414" s="3" t="s">
        <v>2546</v>
      </c>
      <c r="G414" s="3" t="s">
        <v>2547</v>
      </c>
      <c r="H414" s="3" t="s">
        <v>2548</v>
      </c>
      <c r="I414" s="3" t="s">
        <v>4009</v>
      </c>
      <c r="P414" s="3" t="s">
        <v>4828</v>
      </c>
      <c r="Q414" s="3" t="s">
        <v>4834</v>
      </c>
      <c r="R414" s="3" t="s">
        <v>4840</v>
      </c>
      <c r="S414" s="3" t="s">
        <v>4846</v>
      </c>
    </row>
    <row r="415" spans="1:19">
      <c r="A415" s="3" t="s">
        <v>91</v>
      </c>
      <c r="C415" s="3" t="s">
        <v>1382</v>
      </c>
      <c r="D415" s="3" t="s">
        <v>1383</v>
      </c>
      <c r="E415" s="3" t="s">
        <v>1384</v>
      </c>
      <c r="F415" s="3" t="s">
        <v>1385</v>
      </c>
      <c r="G415" s="3" t="s">
        <v>1386</v>
      </c>
      <c r="H415" s="3" t="s">
        <v>1387</v>
      </c>
      <c r="I415" s="3" t="s">
        <v>3881</v>
      </c>
      <c r="P415" s="3" t="s">
        <v>4829</v>
      </c>
      <c r="Q415" s="3" t="s">
        <v>4835</v>
      </c>
      <c r="R415" s="3" t="s">
        <v>4841</v>
      </c>
      <c r="S415" s="3" t="s">
        <v>4847</v>
      </c>
    </row>
    <row r="416" spans="1:19">
      <c r="A416" s="3" t="s">
        <v>91</v>
      </c>
      <c r="C416" s="3" t="s">
        <v>1389</v>
      </c>
      <c r="D416" s="3" t="s">
        <v>1390</v>
      </c>
      <c r="E416" s="3" t="s">
        <v>1391</v>
      </c>
      <c r="F416" s="3" t="s">
        <v>1392</v>
      </c>
      <c r="G416" s="3" t="s">
        <v>1388</v>
      </c>
      <c r="H416" s="3" t="s">
        <v>2549</v>
      </c>
      <c r="I416" s="3" t="s">
        <v>3888</v>
      </c>
      <c r="P416" s="3" t="s">
        <v>4830</v>
      </c>
      <c r="Q416" s="3" t="s">
        <v>4836</v>
      </c>
      <c r="R416" s="3" t="s">
        <v>4842</v>
      </c>
      <c r="S416" s="3" t="s">
        <v>4848</v>
      </c>
    </row>
    <row r="417" spans="1:19">
      <c r="A417" s="3" t="s">
        <v>91</v>
      </c>
      <c r="C417" s="3" t="s">
        <v>3039</v>
      </c>
      <c r="D417" s="3" t="s">
        <v>3040</v>
      </c>
      <c r="E417" s="3" t="s">
        <v>3041</v>
      </c>
      <c r="F417" s="3" t="s">
        <v>3042</v>
      </c>
      <c r="G417" s="3" t="s">
        <v>3043</v>
      </c>
      <c r="H417" s="3" t="s">
        <v>3044</v>
      </c>
      <c r="I417" s="3" t="s">
        <v>4010</v>
      </c>
      <c r="P417" s="3" t="s">
        <v>4831</v>
      </c>
      <c r="Q417" s="3" t="s">
        <v>4837</v>
      </c>
      <c r="R417" s="3" t="s">
        <v>4843</v>
      </c>
      <c r="S417" s="3" t="s">
        <v>4849</v>
      </c>
    </row>
    <row r="418" spans="1:19">
      <c r="A418" s="3" t="s">
        <v>2812</v>
      </c>
      <c r="C418" s="3" t="s">
        <v>1376</v>
      </c>
      <c r="D418" s="3" t="s">
        <v>1377</v>
      </c>
      <c r="E418" s="3" t="s">
        <v>1378</v>
      </c>
      <c r="F418" s="3" t="s">
        <v>1379</v>
      </c>
      <c r="G418" s="3" t="s">
        <v>1380</v>
      </c>
      <c r="H418" s="3" t="s">
        <v>1381</v>
      </c>
    </row>
    <row r="419" spans="1:19">
      <c r="A419" s="3" t="s">
        <v>91</v>
      </c>
      <c r="C419" s="3" t="s">
        <v>1393</v>
      </c>
      <c r="D419" s="3" t="s">
        <v>1394</v>
      </c>
      <c r="E419" s="3" t="s">
        <v>1395</v>
      </c>
      <c r="F419" s="3" t="s">
        <v>1396</v>
      </c>
      <c r="G419" s="3" t="s">
        <v>1397</v>
      </c>
      <c r="H419" s="3" t="s">
        <v>3045</v>
      </c>
      <c r="N419" s="3" t="s">
        <v>3046</v>
      </c>
      <c r="O419" s="3" t="s">
        <v>1402</v>
      </c>
      <c r="S419" s="3" t="s">
        <v>3610</v>
      </c>
    </row>
    <row r="420" spans="1:19">
      <c r="A420" s="3" t="s">
        <v>91</v>
      </c>
      <c r="C420" s="3" t="s">
        <v>1398</v>
      </c>
      <c r="D420" s="3" t="s">
        <v>1399</v>
      </c>
      <c r="E420" s="3" t="s">
        <v>1400</v>
      </c>
      <c r="F420" s="3" t="s">
        <v>1401</v>
      </c>
      <c r="G420" s="3" t="s">
        <v>3047</v>
      </c>
      <c r="H420" s="3" t="s">
        <v>3048</v>
      </c>
      <c r="N420" s="3" t="s">
        <v>2764</v>
      </c>
      <c r="O420" s="3" t="s">
        <v>3049</v>
      </c>
    </row>
    <row r="421" spans="1:19">
      <c r="A421" s="3" t="s">
        <v>91</v>
      </c>
      <c r="C421" s="3" t="s">
        <v>1403</v>
      </c>
      <c r="D421" s="3" t="s">
        <v>1404</v>
      </c>
      <c r="E421" s="3" t="s">
        <v>1405</v>
      </c>
      <c r="F421" s="3" t="s">
        <v>1406</v>
      </c>
      <c r="G421" s="3" t="s">
        <v>1407</v>
      </c>
      <c r="H421" s="3" t="s">
        <v>1408</v>
      </c>
      <c r="I421" s="3" t="s">
        <v>3050</v>
      </c>
      <c r="P421" s="3" t="s">
        <v>4850</v>
      </c>
      <c r="Q421" s="3" t="s">
        <v>4856</v>
      </c>
      <c r="R421" s="3" t="s">
        <v>4862</v>
      </c>
      <c r="S421" s="3" t="s">
        <v>4868</v>
      </c>
    </row>
    <row r="422" spans="1:19">
      <c r="A422" s="3" t="s">
        <v>91</v>
      </c>
      <c r="C422" s="3" t="s">
        <v>1409</v>
      </c>
      <c r="D422" s="3" t="s">
        <v>1410</v>
      </c>
      <c r="E422" s="3" t="s">
        <v>1411</v>
      </c>
      <c r="F422" s="3" t="s">
        <v>1412</v>
      </c>
      <c r="G422" s="3" t="s">
        <v>1413</v>
      </c>
      <c r="H422" s="3" t="s">
        <v>1414</v>
      </c>
      <c r="I422" s="3" t="s">
        <v>4008</v>
      </c>
      <c r="P422" s="3" t="s">
        <v>4851</v>
      </c>
      <c r="Q422" s="3" t="s">
        <v>4857</v>
      </c>
      <c r="R422" s="3" t="s">
        <v>4863</v>
      </c>
      <c r="S422" s="3" t="s">
        <v>4869</v>
      </c>
    </row>
    <row r="423" spans="1:19">
      <c r="A423" s="3" t="s">
        <v>91</v>
      </c>
      <c r="C423" s="3" t="s">
        <v>2551</v>
      </c>
      <c r="D423" s="3" t="s">
        <v>2552</v>
      </c>
      <c r="E423" s="3" t="s">
        <v>2553</v>
      </c>
      <c r="F423" s="3" t="s">
        <v>2554</v>
      </c>
      <c r="G423" s="3" t="s">
        <v>2555</v>
      </c>
      <c r="H423" s="3" t="s">
        <v>2556</v>
      </c>
      <c r="I423" s="3" t="s">
        <v>4009</v>
      </c>
      <c r="P423" s="3" t="s">
        <v>4852</v>
      </c>
      <c r="Q423" s="3" t="s">
        <v>4858</v>
      </c>
      <c r="R423" s="3" t="s">
        <v>4864</v>
      </c>
      <c r="S423" s="3" t="s">
        <v>4870</v>
      </c>
    </row>
    <row r="424" spans="1:19">
      <c r="A424" s="3" t="s">
        <v>91</v>
      </c>
      <c r="C424" s="3" t="s">
        <v>1415</v>
      </c>
      <c r="D424" s="3" t="s">
        <v>1416</v>
      </c>
      <c r="E424" s="3" t="s">
        <v>1417</v>
      </c>
      <c r="F424" s="3" t="s">
        <v>1418</v>
      </c>
      <c r="G424" s="3" t="s">
        <v>1419</v>
      </c>
      <c r="H424" s="3" t="s">
        <v>1420</v>
      </c>
      <c r="I424" s="3" t="s">
        <v>3881</v>
      </c>
      <c r="P424" s="3" t="s">
        <v>4853</v>
      </c>
      <c r="Q424" s="3" t="s">
        <v>4859</v>
      </c>
      <c r="R424" s="3" t="s">
        <v>4865</v>
      </c>
      <c r="S424" s="3" t="s">
        <v>4871</v>
      </c>
    </row>
    <row r="425" spans="1:19">
      <c r="A425" s="3" t="s">
        <v>91</v>
      </c>
      <c r="C425" s="3" t="s">
        <v>3611</v>
      </c>
      <c r="D425" s="3" t="s">
        <v>3612</v>
      </c>
      <c r="E425" s="3" t="s">
        <v>3613</v>
      </c>
      <c r="F425" s="3" t="s">
        <v>3614</v>
      </c>
      <c r="G425" s="3" t="s">
        <v>3051</v>
      </c>
      <c r="H425" s="3" t="s">
        <v>3615</v>
      </c>
      <c r="I425" s="3" t="s">
        <v>3888</v>
      </c>
      <c r="P425" s="3" t="s">
        <v>4854</v>
      </c>
      <c r="Q425" s="3" t="s">
        <v>4860</v>
      </c>
      <c r="R425" s="3" t="s">
        <v>4866</v>
      </c>
      <c r="S425" s="3" t="s">
        <v>4872</v>
      </c>
    </row>
    <row r="426" spans="1:19">
      <c r="A426" s="3" t="s">
        <v>91</v>
      </c>
      <c r="C426" s="3" t="s">
        <v>1421</v>
      </c>
      <c r="D426" s="3" t="s">
        <v>1422</v>
      </c>
      <c r="E426" s="3" t="s">
        <v>1423</v>
      </c>
      <c r="F426" s="3" t="s">
        <v>1424</v>
      </c>
      <c r="G426" s="3" t="s">
        <v>1425</v>
      </c>
      <c r="H426" s="3" t="s">
        <v>1426</v>
      </c>
      <c r="I426" s="3" t="s">
        <v>4010</v>
      </c>
      <c r="P426" s="3" t="s">
        <v>4855</v>
      </c>
      <c r="Q426" s="3" t="s">
        <v>4861</v>
      </c>
      <c r="R426" s="3" t="s">
        <v>4867</v>
      </c>
      <c r="S426" s="3" t="s">
        <v>4873</v>
      </c>
    </row>
    <row r="427" spans="1:19">
      <c r="A427" s="3" t="s">
        <v>2812</v>
      </c>
      <c r="C427" s="3" t="s">
        <v>1409</v>
      </c>
      <c r="D427" s="3" t="s">
        <v>1410</v>
      </c>
      <c r="E427" s="3" t="s">
        <v>1411</v>
      </c>
      <c r="F427" s="3" t="s">
        <v>1412</v>
      </c>
      <c r="G427" s="3" t="s">
        <v>1413</v>
      </c>
      <c r="H427" s="3" t="s">
        <v>1414</v>
      </c>
    </row>
    <row r="428" spans="1:19">
      <c r="A428" s="3" t="s">
        <v>91</v>
      </c>
      <c r="C428" s="3" t="s">
        <v>1427</v>
      </c>
      <c r="D428" s="3" t="s">
        <v>1428</v>
      </c>
      <c r="E428" s="3" t="s">
        <v>1429</v>
      </c>
      <c r="F428" s="3" t="s">
        <v>1430</v>
      </c>
      <c r="G428" s="3" t="s">
        <v>1431</v>
      </c>
      <c r="H428" s="3" t="s">
        <v>1432</v>
      </c>
      <c r="N428" s="3" t="s">
        <v>3616</v>
      </c>
      <c r="O428" s="3" t="s">
        <v>1437</v>
      </c>
      <c r="S428" s="3" t="s">
        <v>3617</v>
      </c>
    </row>
    <row r="429" spans="1:19">
      <c r="A429" s="3" t="s">
        <v>91</v>
      </c>
      <c r="C429" s="3" t="s">
        <v>1433</v>
      </c>
      <c r="D429" s="3" t="s">
        <v>1434</v>
      </c>
      <c r="E429" s="3" t="s">
        <v>1435</v>
      </c>
      <c r="F429" s="3" t="s">
        <v>1436</v>
      </c>
      <c r="G429" s="3" t="s">
        <v>3618</v>
      </c>
      <c r="H429" s="3" t="s">
        <v>3619</v>
      </c>
      <c r="N429" s="3" t="s">
        <v>2765</v>
      </c>
      <c r="O429" s="3" t="s">
        <v>3620</v>
      </c>
    </row>
    <row r="430" spans="1:19">
      <c r="A430" s="3" t="s">
        <v>91</v>
      </c>
      <c r="C430" s="3" t="s">
        <v>1438</v>
      </c>
      <c r="D430" s="3" t="s">
        <v>1439</v>
      </c>
      <c r="E430" s="3" t="s">
        <v>1440</v>
      </c>
      <c r="F430" s="3" t="s">
        <v>1441</v>
      </c>
      <c r="G430" s="3" t="s">
        <v>1442</v>
      </c>
      <c r="H430" s="3" t="s">
        <v>1443</v>
      </c>
      <c r="I430" s="3" t="s">
        <v>3621</v>
      </c>
      <c r="P430" s="3" t="s">
        <v>4011</v>
      </c>
      <c r="Q430" s="3" t="s">
        <v>4012</v>
      </c>
      <c r="R430" s="3" t="s">
        <v>4013</v>
      </c>
      <c r="S430" s="3" t="s">
        <v>4014</v>
      </c>
    </row>
    <row r="431" spans="1:19">
      <c r="A431" s="3" t="s">
        <v>91</v>
      </c>
      <c r="C431" s="3" t="s">
        <v>1444</v>
      </c>
      <c r="D431" s="3" t="s">
        <v>1445</v>
      </c>
      <c r="E431" s="3" t="s">
        <v>1446</v>
      </c>
      <c r="F431" s="3" t="s">
        <v>1447</v>
      </c>
      <c r="G431" s="3" t="s">
        <v>1448</v>
      </c>
      <c r="H431" s="3" t="s">
        <v>1449</v>
      </c>
      <c r="I431" s="3" t="s">
        <v>4015</v>
      </c>
      <c r="P431" s="3" t="s">
        <v>4016</v>
      </c>
      <c r="Q431" s="3" t="s">
        <v>4017</v>
      </c>
      <c r="R431" s="3" t="s">
        <v>4018</v>
      </c>
      <c r="S431" s="3" t="s">
        <v>4019</v>
      </c>
    </row>
    <row r="432" spans="1:19">
      <c r="A432" s="3" t="s">
        <v>2812</v>
      </c>
      <c r="C432" s="3" t="s">
        <v>1444</v>
      </c>
      <c r="D432" s="3" t="s">
        <v>1445</v>
      </c>
      <c r="E432" s="3" t="s">
        <v>1446</v>
      </c>
      <c r="F432" s="3" t="s">
        <v>1447</v>
      </c>
      <c r="G432" s="3" t="s">
        <v>1448</v>
      </c>
      <c r="H432" s="3" t="s">
        <v>1449</v>
      </c>
    </row>
    <row r="433" spans="1:19">
      <c r="A433" s="3" t="s">
        <v>91</v>
      </c>
      <c r="C433" s="3" t="s">
        <v>1450</v>
      </c>
      <c r="D433" s="3" t="s">
        <v>1451</v>
      </c>
      <c r="E433" s="3" t="s">
        <v>1452</v>
      </c>
      <c r="F433" s="3" t="s">
        <v>1453</v>
      </c>
      <c r="G433" s="3" t="s">
        <v>1454</v>
      </c>
      <c r="H433" s="3" t="s">
        <v>1455</v>
      </c>
      <c r="N433" s="3" t="s">
        <v>3622</v>
      </c>
      <c r="O433" s="3" t="s">
        <v>3052</v>
      </c>
      <c r="S433" s="3" t="s">
        <v>3623</v>
      </c>
    </row>
    <row r="434" spans="1:19">
      <c r="A434" s="3" t="s">
        <v>2812</v>
      </c>
      <c r="C434" s="3" t="s">
        <v>1398</v>
      </c>
      <c r="D434" s="3" t="s">
        <v>1399</v>
      </c>
      <c r="E434" s="3" t="s">
        <v>1400</v>
      </c>
      <c r="F434" s="3" t="s">
        <v>1401</v>
      </c>
    </row>
    <row r="435" spans="1:19">
      <c r="A435" s="3" t="s">
        <v>91</v>
      </c>
      <c r="C435" s="3" t="s">
        <v>1456</v>
      </c>
      <c r="D435" s="3" t="s">
        <v>1457</v>
      </c>
      <c r="E435" s="3" t="s">
        <v>1458</v>
      </c>
      <c r="F435" s="3" t="s">
        <v>1459</v>
      </c>
      <c r="K435" s="3" t="s">
        <v>3624</v>
      </c>
      <c r="L435" s="3" t="s">
        <v>1460</v>
      </c>
      <c r="M435" s="3" t="s">
        <v>1461</v>
      </c>
      <c r="S435" s="3" t="s">
        <v>3625</v>
      </c>
    </row>
    <row r="436" spans="1:19">
      <c r="A436" s="3" t="s">
        <v>91</v>
      </c>
      <c r="C436" s="3" t="s">
        <v>3626</v>
      </c>
      <c r="D436" s="3" t="s">
        <v>3627</v>
      </c>
      <c r="E436" s="3" t="s">
        <v>1462</v>
      </c>
      <c r="F436" s="3" t="s">
        <v>3628</v>
      </c>
      <c r="K436" s="3" t="s">
        <v>2766</v>
      </c>
      <c r="L436" s="3" t="s">
        <v>3629</v>
      </c>
      <c r="M436" s="3" t="s">
        <v>3630</v>
      </c>
    </row>
    <row r="437" spans="1:19">
      <c r="A437" s="3" t="s">
        <v>91</v>
      </c>
      <c r="C437" s="3" t="s">
        <v>1463</v>
      </c>
      <c r="D437" s="3" t="s">
        <v>1464</v>
      </c>
      <c r="E437" s="3" t="s">
        <v>1465</v>
      </c>
      <c r="F437" s="3" t="s">
        <v>1466</v>
      </c>
      <c r="G437" s="3" t="s">
        <v>3053</v>
      </c>
      <c r="H437" s="3" t="s">
        <v>3054</v>
      </c>
      <c r="N437" s="3" t="s">
        <v>3631</v>
      </c>
      <c r="O437" s="3" t="s">
        <v>3055</v>
      </c>
    </row>
    <row r="438" spans="1:19">
      <c r="A438" s="3" t="s">
        <v>91</v>
      </c>
      <c r="C438" s="3" t="s">
        <v>1467</v>
      </c>
      <c r="D438" s="3" t="s">
        <v>1468</v>
      </c>
      <c r="E438" s="3" t="s">
        <v>1469</v>
      </c>
      <c r="F438" s="3" t="s">
        <v>1470</v>
      </c>
      <c r="G438" s="3" t="s">
        <v>1471</v>
      </c>
      <c r="H438" s="3" t="s">
        <v>1472</v>
      </c>
      <c r="I438" s="3" t="s">
        <v>3056</v>
      </c>
      <c r="P438" s="3" t="s">
        <v>4770</v>
      </c>
      <c r="Q438" s="3" t="s">
        <v>4777</v>
      </c>
      <c r="R438" s="3" t="s">
        <v>4784</v>
      </c>
      <c r="S438" s="3" t="s">
        <v>4791</v>
      </c>
    </row>
    <row r="439" spans="1:19">
      <c r="A439" s="3" t="s">
        <v>91</v>
      </c>
      <c r="C439" s="3" t="s">
        <v>1473</v>
      </c>
      <c r="D439" s="3" t="s">
        <v>1474</v>
      </c>
      <c r="E439" s="3" t="s">
        <v>1475</v>
      </c>
      <c r="F439" s="3" t="s">
        <v>1476</v>
      </c>
      <c r="G439" s="3" t="s">
        <v>1477</v>
      </c>
      <c r="H439" s="3" t="s">
        <v>1478</v>
      </c>
      <c r="I439" s="3" t="s">
        <v>4020</v>
      </c>
      <c r="P439" s="3" t="s">
        <v>4771</v>
      </c>
      <c r="Q439" s="3" t="s">
        <v>4778</v>
      </c>
      <c r="R439" s="3" t="s">
        <v>4785</v>
      </c>
      <c r="S439" s="3" t="s">
        <v>4792</v>
      </c>
    </row>
    <row r="440" spans="1:19">
      <c r="A440" s="3" t="s">
        <v>91</v>
      </c>
      <c r="C440" s="3" t="s">
        <v>1479</v>
      </c>
      <c r="D440" s="3" t="s">
        <v>1480</v>
      </c>
      <c r="E440" s="3" t="s">
        <v>1481</v>
      </c>
      <c r="F440" s="3" t="s">
        <v>1482</v>
      </c>
      <c r="G440" s="3" t="s">
        <v>1483</v>
      </c>
      <c r="H440" s="3" t="s">
        <v>1484</v>
      </c>
      <c r="I440" s="3" t="s">
        <v>4021</v>
      </c>
      <c r="P440" s="3" t="s">
        <v>4772</v>
      </c>
      <c r="Q440" s="3" t="s">
        <v>4779</v>
      </c>
      <c r="R440" s="3" t="s">
        <v>4786</v>
      </c>
      <c r="S440" s="3" t="s">
        <v>4793</v>
      </c>
    </row>
    <row r="441" spans="1:19">
      <c r="A441" s="3" t="s">
        <v>91</v>
      </c>
      <c r="C441" s="3" t="s">
        <v>2557</v>
      </c>
      <c r="D441" s="3" t="s">
        <v>2558</v>
      </c>
      <c r="E441" s="3" t="s">
        <v>2559</v>
      </c>
      <c r="F441" s="3" t="s">
        <v>2560</v>
      </c>
      <c r="G441" s="3" t="s">
        <v>2561</v>
      </c>
      <c r="H441" s="3" t="s">
        <v>2562</v>
      </c>
      <c r="I441" s="3" t="s">
        <v>3881</v>
      </c>
      <c r="P441" s="3" t="s">
        <v>4773</v>
      </c>
      <c r="Q441" s="3" t="s">
        <v>4780</v>
      </c>
      <c r="R441" s="3" t="s">
        <v>4787</v>
      </c>
      <c r="S441" s="3" t="s">
        <v>4794</v>
      </c>
    </row>
    <row r="442" spans="1:19">
      <c r="A442" s="3" t="s">
        <v>91</v>
      </c>
      <c r="C442" s="3" t="s">
        <v>1485</v>
      </c>
      <c r="D442" s="3" t="s">
        <v>1486</v>
      </c>
      <c r="E442" s="3" t="s">
        <v>1487</v>
      </c>
      <c r="F442" s="3" t="s">
        <v>1488</v>
      </c>
      <c r="G442" s="3" t="s">
        <v>1489</v>
      </c>
      <c r="H442" s="3" t="s">
        <v>1490</v>
      </c>
      <c r="I442" s="3" t="s">
        <v>3940</v>
      </c>
      <c r="P442" s="3" t="s">
        <v>4774</v>
      </c>
      <c r="Q442" s="3" t="s">
        <v>4781</v>
      </c>
      <c r="R442" s="3" t="s">
        <v>4788</v>
      </c>
      <c r="S442" s="3" t="s">
        <v>4795</v>
      </c>
    </row>
    <row r="443" spans="1:19">
      <c r="A443" s="3" t="s">
        <v>91</v>
      </c>
      <c r="C443" s="3" t="s">
        <v>3057</v>
      </c>
      <c r="D443" s="3" t="s">
        <v>3058</v>
      </c>
      <c r="E443" s="3" t="s">
        <v>3059</v>
      </c>
      <c r="F443" s="3" t="s">
        <v>3060</v>
      </c>
      <c r="G443" s="3" t="s">
        <v>3061</v>
      </c>
      <c r="H443" s="3" t="s">
        <v>3062</v>
      </c>
      <c r="I443" s="3" t="s">
        <v>3888</v>
      </c>
      <c r="P443" s="3" t="s">
        <v>4775</v>
      </c>
      <c r="Q443" s="3" t="s">
        <v>4782</v>
      </c>
      <c r="R443" s="3" t="s">
        <v>4789</v>
      </c>
      <c r="S443" s="3" t="s">
        <v>4796</v>
      </c>
    </row>
    <row r="444" spans="1:19">
      <c r="A444" s="3" t="s">
        <v>91</v>
      </c>
      <c r="C444" s="3" t="s">
        <v>1491</v>
      </c>
      <c r="D444" s="3" t="s">
        <v>1492</v>
      </c>
      <c r="E444" s="3" t="s">
        <v>1493</v>
      </c>
      <c r="F444" s="3" t="s">
        <v>1494</v>
      </c>
      <c r="G444" s="3" t="s">
        <v>2563</v>
      </c>
      <c r="H444" s="3" t="s">
        <v>2564</v>
      </c>
      <c r="I444" s="3" t="s">
        <v>4022</v>
      </c>
      <c r="P444" s="3" t="s">
        <v>4776</v>
      </c>
      <c r="Q444" s="3" t="s">
        <v>4783</v>
      </c>
      <c r="R444" s="3" t="s">
        <v>4790</v>
      </c>
      <c r="S444" s="3" t="s">
        <v>4797</v>
      </c>
    </row>
    <row r="445" spans="1:19">
      <c r="A445" s="3" t="s">
        <v>2812</v>
      </c>
      <c r="C445" s="3" t="s">
        <v>1473</v>
      </c>
      <c r="D445" s="3" t="s">
        <v>1474</v>
      </c>
      <c r="E445" s="3" t="s">
        <v>1475</v>
      </c>
      <c r="F445" s="3" t="s">
        <v>1476</v>
      </c>
      <c r="G445" s="3" t="s">
        <v>1477</v>
      </c>
      <c r="H445" s="3" t="s">
        <v>1478</v>
      </c>
    </row>
    <row r="446" spans="1:19">
      <c r="A446" s="3" t="s">
        <v>91</v>
      </c>
      <c r="C446" s="3" t="s">
        <v>1495</v>
      </c>
      <c r="D446" s="3" t="s">
        <v>1496</v>
      </c>
      <c r="E446" s="3" t="s">
        <v>1497</v>
      </c>
      <c r="F446" s="3" t="s">
        <v>1498</v>
      </c>
      <c r="G446" s="3" t="s">
        <v>2565</v>
      </c>
      <c r="H446" s="3" t="s">
        <v>2566</v>
      </c>
      <c r="N446" s="3" t="s">
        <v>3632</v>
      </c>
      <c r="O446" s="3" t="s">
        <v>1503</v>
      </c>
      <c r="S446" s="3" t="s">
        <v>3633</v>
      </c>
    </row>
    <row r="447" spans="1:19">
      <c r="A447" s="3" t="s">
        <v>91</v>
      </c>
      <c r="C447" s="3" t="s">
        <v>1499</v>
      </c>
      <c r="D447" s="3" t="s">
        <v>1500</v>
      </c>
      <c r="E447" s="3" t="s">
        <v>1501</v>
      </c>
      <c r="F447" s="3" t="s">
        <v>1502</v>
      </c>
      <c r="G447" s="3" t="s">
        <v>3634</v>
      </c>
      <c r="H447" s="3" t="s">
        <v>3635</v>
      </c>
      <c r="N447" s="3" t="s">
        <v>2767</v>
      </c>
      <c r="O447" s="3" t="s">
        <v>3636</v>
      </c>
    </row>
    <row r="448" spans="1:19">
      <c r="A448" s="3" t="s">
        <v>91</v>
      </c>
      <c r="C448" s="3" t="s">
        <v>1504</v>
      </c>
      <c r="D448" s="3" t="s">
        <v>1505</v>
      </c>
      <c r="E448" s="3" t="s">
        <v>1506</v>
      </c>
      <c r="F448" s="3" t="s">
        <v>1507</v>
      </c>
      <c r="G448" s="3" t="s">
        <v>1508</v>
      </c>
      <c r="H448" s="3" t="s">
        <v>1509</v>
      </c>
      <c r="I448" s="3" t="s">
        <v>3637</v>
      </c>
      <c r="P448" s="3" t="s">
        <v>4798</v>
      </c>
      <c r="Q448" s="3" t="s">
        <v>4805</v>
      </c>
      <c r="R448" s="3" t="s">
        <v>4812</v>
      </c>
      <c r="S448" s="3" t="s">
        <v>4819</v>
      </c>
    </row>
    <row r="449" spans="1:19">
      <c r="A449" s="3" t="s">
        <v>91</v>
      </c>
      <c r="C449" s="3" t="s">
        <v>1510</v>
      </c>
      <c r="D449" s="3" t="s">
        <v>1511</v>
      </c>
      <c r="E449" s="3" t="s">
        <v>1512</v>
      </c>
      <c r="F449" s="3" t="s">
        <v>1513</v>
      </c>
      <c r="G449" s="3" t="s">
        <v>1514</v>
      </c>
      <c r="H449" s="3" t="s">
        <v>1515</v>
      </c>
      <c r="I449" s="3" t="s">
        <v>4020</v>
      </c>
      <c r="P449" s="3" t="s">
        <v>4799</v>
      </c>
      <c r="Q449" s="3" t="s">
        <v>4806</v>
      </c>
      <c r="R449" s="3" t="s">
        <v>4813</v>
      </c>
      <c r="S449" s="3" t="s">
        <v>4820</v>
      </c>
    </row>
    <row r="450" spans="1:19">
      <c r="A450" s="3" t="s">
        <v>91</v>
      </c>
      <c r="C450" s="3" t="s">
        <v>1516</v>
      </c>
      <c r="D450" s="3" t="s">
        <v>1517</v>
      </c>
      <c r="E450" s="3" t="s">
        <v>1518</v>
      </c>
      <c r="F450" s="3" t="s">
        <v>1519</v>
      </c>
      <c r="G450" s="3" t="s">
        <v>1520</v>
      </c>
      <c r="H450" s="3" t="s">
        <v>1521</v>
      </c>
      <c r="I450" s="3" t="s">
        <v>4021</v>
      </c>
      <c r="P450" s="3" t="s">
        <v>4800</v>
      </c>
      <c r="Q450" s="3" t="s">
        <v>4807</v>
      </c>
      <c r="R450" s="3" t="s">
        <v>4814</v>
      </c>
      <c r="S450" s="3" t="s">
        <v>4821</v>
      </c>
    </row>
    <row r="451" spans="1:19">
      <c r="A451" s="3" t="s">
        <v>91</v>
      </c>
      <c r="C451" s="3" t="s">
        <v>1522</v>
      </c>
      <c r="D451" s="3" t="s">
        <v>1523</v>
      </c>
      <c r="E451" s="3" t="s">
        <v>1524</v>
      </c>
      <c r="F451" s="3" t="s">
        <v>1525</v>
      </c>
      <c r="G451" s="3" t="s">
        <v>1526</v>
      </c>
      <c r="H451" s="3" t="s">
        <v>1527</v>
      </c>
      <c r="I451" s="3" t="s">
        <v>3881</v>
      </c>
      <c r="P451" s="3" t="s">
        <v>4801</v>
      </c>
      <c r="Q451" s="3" t="s">
        <v>4808</v>
      </c>
      <c r="R451" s="3" t="s">
        <v>4815</v>
      </c>
      <c r="S451" s="3" t="s">
        <v>4822</v>
      </c>
    </row>
    <row r="452" spans="1:19">
      <c r="A452" s="3" t="s">
        <v>91</v>
      </c>
      <c r="C452" s="3" t="s">
        <v>3063</v>
      </c>
      <c r="D452" s="3" t="s">
        <v>3064</v>
      </c>
      <c r="E452" s="3" t="s">
        <v>3065</v>
      </c>
      <c r="F452" s="3" t="s">
        <v>3066</v>
      </c>
      <c r="G452" s="3" t="s">
        <v>3067</v>
      </c>
      <c r="H452" s="3" t="s">
        <v>3068</v>
      </c>
      <c r="I452" s="3" t="s">
        <v>3940</v>
      </c>
      <c r="P452" s="3" t="s">
        <v>4802</v>
      </c>
      <c r="Q452" s="3" t="s">
        <v>4809</v>
      </c>
      <c r="R452" s="3" t="s">
        <v>4816</v>
      </c>
      <c r="S452" s="3" t="s">
        <v>4823</v>
      </c>
    </row>
    <row r="453" spans="1:19">
      <c r="A453" s="3" t="s">
        <v>91</v>
      </c>
      <c r="C453" s="3" t="s">
        <v>1528</v>
      </c>
      <c r="D453" s="3" t="s">
        <v>1529</v>
      </c>
      <c r="E453" s="3" t="s">
        <v>1530</v>
      </c>
      <c r="F453" s="3" t="s">
        <v>1531</v>
      </c>
      <c r="G453" s="3" t="s">
        <v>1532</v>
      </c>
      <c r="H453" s="3" t="s">
        <v>1533</v>
      </c>
      <c r="I453" s="3" t="s">
        <v>3888</v>
      </c>
      <c r="P453" s="3" t="s">
        <v>4803</v>
      </c>
      <c r="Q453" s="3" t="s">
        <v>4810</v>
      </c>
      <c r="R453" s="3" t="s">
        <v>4817</v>
      </c>
      <c r="S453" s="3" t="s">
        <v>4824</v>
      </c>
    </row>
    <row r="454" spans="1:19">
      <c r="A454" s="3" t="s">
        <v>91</v>
      </c>
      <c r="C454" s="3" t="s">
        <v>1534</v>
      </c>
      <c r="D454" s="3" t="s">
        <v>1535</v>
      </c>
      <c r="E454" s="3" t="s">
        <v>1536</v>
      </c>
      <c r="F454" s="3" t="s">
        <v>1537</v>
      </c>
      <c r="G454" s="3" t="s">
        <v>1538</v>
      </c>
      <c r="H454" s="3" t="s">
        <v>3069</v>
      </c>
      <c r="I454" s="3" t="s">
        <v>4022</v>
      </c>
      <c r="P454" s="3" t="s">
        <v>4804</v>
      </c>
      <c r="Q454" s="3" t="s">
        <v>4811</v>
      </c>
      <c r="R454" s="3" t="s">
        <v>4818</v>
      </c>
      <c r="S454" s="3" t="s">
        <v>4825</v>
      </c>
    </row>
    <row r="455" spans="1:19">
      <c r="A455" s="3" t="s">
        <v>2812</v>
      </c>
      <c r="C455" s="3" t="s">
        <v>1510</v>
      </c>
      <c r="D455" s="3" t="s">
        <v>1511</v>
      </c>
      <c r="E455" s="3" t="s">
        <v>1512</v>
      </c>
      <c r="F455" s="3" t="s">
        <v>1513</v>
      </c>
      <c r="G455" s="3" t="s">
        <v>1514</v>
      </c>
      <c r="H455" s="3" t="s">
        <v>1515</v>
      </c>
    </row>
    <row r="456" spans="1:19">
      <c r="A456" s="3" t="s">
        <v>91</v>
      </c>
      <c r="C456" s="3" t="s">
        <v>1539</v>
      </c>
      <c r="D456" s="3" t="s">
        <v>1540</v>
      </c>
      <c r="E456" s="3" t="s">
        <v>1541</v>
      </c>
      <c r="F456" s="3" t="s">
        <v>1542</v>
      </c>
      <c r="G456" s="3" t="s">
        <v>1543</v>
      </c>
      <c r="H456" s="3" t="s">
        <v>1544</v>
      </c>
      <c r="N456" s="3" t="s">
        <v>3638</v>
      </c>
      <c r="O456" s="3" t="s">
        <v>3070</v>
      </c>
      <c r="S456" s="3" t="s">
        <v>3639</v>
      </c>
    </row>
    <row r="457" spans="1:19">
      <c r="A457" s="3" t="s">
        <v>2812</v>
      </c>
      <c r="C457" s="3" t="s">
        <v>1499</v>
      </c>
      <c r="D457" s="3" t="s">
        <v>1500</v>
      </c>
      <c r="E457" s="3" t="s">
        <v>1501</v>
      </c>
      <c r="F457" s="3" t="s">
        <v>1502</v>
      </c>
    </row>
    <row r="458" spans="1:19">
      <c r="A458" s="3" t="s">
        <v>91</v>
      </c>
      <c r="C458" s="3" t="s">
        <v>1545</v>
      </c>
      <c r="D458" s="3" t="s">
        <v>1546</v>
      </c>
      <c r="E458" s="3" t="s">
        <v>1547</v>
      </c>
      <c r="F458" s="3" t="s">
        <v>1548</v>
      </c>
      <c r="K458" s="3" t="s">
        <v>3640</v>
      </c>
      <c r="L458" s="3" t="s">
        <v>1549</v>
      </c>
      <c r="M458" s="3" t="s">
        <v>1550</v>
      </c>
      <c r="S458" s="3" t="s">
        <v>3641</v>
      </c>
    </row>
    <row r="459" spans="1:19">
      <c r="A459" s="3" t="s">
        <v>91</v>
      </c>
      <c r="C459" s="3" t="s">
        <v>3642</v>
      </c>
      <c r="D459" s="3" t="s">
        <v>3643</v>
      </c>
      <c r="E459" s="3" t="s">
        <v>1551</v>
      </c>
      <c r="F459" s="3" t="s">
        <v>3644</v>
      </c>
      <c r="K459" s="3" t="s">
        <v>2768</v>
      </c>
      <c r="L459" s="3" t="s">
        <v>3645</v>
      </c>
      <c r="M459" s="3" t="s">
        <v>3646</v>
      </c>
    </row>
    <row r="460" spans="1:19">
      <c r="A460" s="3" t="s">
        <v>91</v>
      </c>
      <c r="C460" s="3" t="s">
        <v>1552</v>
      </c>
      <c r="D460" s="3" t="s">
        <v>1553</v>
      </c>
      <c r="E460" s="3" t="s">
        <v>1554</v>
      </c>
      <c r="F460" s="3" t="s">
        <v>1555</v>
      </c>
      <c r="G460" s="3" t="s">
        <v>3647</v>
      </c>
      <c r="H460" s="3" t="s">
        <v>3648</v>
      </c>
      <c r="N460" s="3" t="s">
        <v>3649</v>
      </c>
      <c r="O460" s="3" t="s">
        <v>3650</v>
      </c>
    </row>
    <row r="461" spans="1:19">
      <c r="A461" s="3" t="s">
        <v>91</v>
      </c>
      <c r="C461" s="3" t="s">
        <v>1556</v>
      </c>
      <c r="D461" s="3" t="s">
        <v>1557</v>
      </c>
      <c r="E461" s="3" t="s">
        <v>1558</v>
      </c>
      <c r="F461" s="3" t="s">
        <v>1559</v>
      </c>
      <c r="G461" s="3" t="s">
        <v>1560</v>
      </c>
      <c r="H461" s="3" t="s">
        <v>1561</v>
      </c>
      <c r="I461" s="3" t="s">
        <v>3651</v>
      </c>
      <c r="P461" s="3" t="s">
        <v>4722</v>
      </c>
      <c r="Q461" s="3" t="s">
        <v>4728</v>
      </c>
      <c r="R461" s="3" t="s">
        <v>4734</v>
      </c>
      <c r="S461" s="3" t="s">
        <v>4740</v>
      </c>
    </row>
    <row r="462" spans="1:19">
      <c r="A462" s="3" t="s">
        <v>91</v>
      </c>
      <c r="C462" s="3" t="s">
        <v>3071</v>
      </c>
      <c r="D462" s="3" t="s">
        <v>3072</v>
      </c>
      <c r="E462" s="3" t="s">
        <v>3652</v>
      </c>
      <c r="F462" s="3" t="s">
        <v>3653</v>
      </c>
      <c r="G462" s="3" t="s">
        <v>3654</v>
      </c>
      <c r="H462" s="3" t="s">
        <v>3655</v>
      </c>
      <c r="I462" s="3" t="s">
        <v>4023</v>
      </c>
      <c r="P462" s="3" t="s">
        <v>4723</v>
      </c>
      <c r="Q462" s="3" t="s">
        <v>4729</v>
      </c>
      <c r="R462" s="3" t="s">
        <v>4735</v>
      </c>
      <c r="S462" s="3" t="s">
        <v>4741</v>
      </c>
    </row>
    <row r="463" spans="1:19">
      <c r="A463" s="3" t="s">
        <v>91</v>
      </c>
      <c r="C463" s="3" t="s">
        <v>1562</v>
      </c>
      <c r="D463" s="3" t="s">
        <v>1563</v>
      </c>
      <c r="E463" s="3" t="s">
        <v>1564</v>
      </c>
      <c r="F463" s="3" t="s">
        <v>1565</v>
      </c>
      <c r="G463" s="3" t="s">
        <v>1566</v>
      </c>
      <c r="H463" s="3" t="s">
        <v>1567</v>
      </c>
      <c r="I463" s="3" t="s">
        <v>4024</v>
      </c>
      <c r="P463" s="3" t="s">
        <v>4724</v>
      </c>
      <c r="Q463" s="3" t="s">
        <v>4730</v>
      </c>
      <c r="R463" s="3" t="s">
        <v>4736</v>
      </c>
      <c r="S463" s="3" t="s">
        <v>4742</v>
      </c>
    </row>
    <row r="464" spans="1:19">
      <c r="A464" s="3" t="s">
        <v>91</v>
      </c>
      <c r="C464" s="3" t="s">
        <v>3656</v>
      </c>
      <c r="D464" s="3" t="s">
        <v>3657</v>
      </c>
      <c r="E464" s="3" t="s">
        <v>3658</v>
      </c>
      <c r="F464" s="3" t="s">
        <v>3659</v>
      </c>
      <c r="G464" s="3" t="s">
        <v>1568</v>
      </c>
      <c r="H464" s="3" t="s">
        <v>3660</v>
      </c>
      <c r="I464" s="3" t="s">
        <v>3881</v>
      </c>
      <c r="P464" s="3" t="s">
        <v>4725</v>
      </c>
      <c r="Q464" s="3" t="s">
        <v>4731</v>
      </c>
      <c r="R464" s="3" t="s">
        <v>4737</v>
      </c>
      <c r="S464" s="3" t="s">
        <v>4743</v>
      </c>
    </row>
    <row r="465" spans="1:19">
      <c r="A465" s="3" t="s">
        <v>91</v>
      </c>
      <c r="C465" s="3" t="s">
        <v>2568</v>
      </c>
      <c r="D465" s="3" t="s">
        <v>2569</v>
      </c>
      <c r="E465" s="3" t="s">
        <v>2570</v>
      </c>
      <c r="F465" s="3" t="s">
        <v>2571</v>
      </c>
      <c r="G465" s="3" t="s">
        <v>3661</v>
      </c>
      <c r="H465" s="3" t="s">
        <v>3662</v>
      </c>
      <c r="I465" s="3" t="s">
        <v>3888</v>
      </c>
      <c r="P465" s="3" t="s">
        <v>4726</v>
      </c>
      <c r="Q465" s="3" t="s">
        <v>4732</v>
      </c>
      <c r="R465" s="3" t="s">
        <v>4738</v>
      </c>
      <c r="S465" s="3" t="s">
        <v>4744</v>
      </c>
    </row>
    <row r="466" spans="1:19">
      <c r="A466" s="3" t="s">
        <v>91</v>
      </c>
      <c r="C466" s="3" t="s">
        <v>1569</v>
      </c>
      <c r="D466" s="3" t="s">
        <v>1570</v>
      </c>
      <c r="E466" s="3" t="s">
        <v>1571</v>
      </c>
      <c r="F466" s="3" t="s">
        <v>3663</v>
      </c>
      <c r="G466" s="3" t="s">
        <v>3664</v>
      </c>
      <c r="H466" s="3" t="s">
        <v>3665</v>
      </c>
      <c r="I466" s="3" t="s">
        <v>4025</v>
      </c>
      <c r="P466" s="3" t="s">
        <v>4727</v>
      </c>
      <c r="Q466" s="3" t="s">
        <v>4733</v>
      </c>
      <c r="R466" s="3" t="s">
        <v>4739</v>
      </c>
      <c r="S466" s="3" t="s">
        <v>4745</v>
      </c>
    </row>
    <row r="467" spans="1:19">
      <c r="A467" s="3" t="s">
        <v>2812</v>
      </c>
      <c r="C467" s="3" t="s">
        <v>3071</v>
      </c>
      <c r="D467" s="3" t="s">
        <v>3072</v>
      </c>
      <c r="E467" s="3" t="s">
        <v>3652</v>
      </c>
      <c r="F467" s="3" t="s">
        <v>3653</v>
      </c>
      <c r="G467" s="3" t="s">
        <v>3654</v>
      </c>
      <c r="H467" s="3" t="s">
        <v>3655</v>
      </c>
    </row>
    <row r="468" spans="1:19">
      <c r="A468" s="3" t="s">
        <v>91</v>
      </c>
      <c r="C468" s="3" t="s">
        <v>1572</v>
      </c>
      <c r="D468" s="3" t="s">
        <v>1573</v>
      </c>
      <c r="E468" s="3" t="s">
        <v>1574</v>
      </c>
      <c r="F468" s="3" t="s">
        <v>1575</v>
      </c>
      <c r="G468" s="3" t="s">
        <v>1576</v>
      </c>
      <c r="H468" s="3" t="s">
        <v>1577</v>
      </c>
      <c r="N468" s="3" t="s">
        <v>3666</v>
      </c>
      <c r="O468" s="3" t="s">
        <v>1582</v>
      </c>
      <c r="S468" s="3" t="s">
        <v>3667</v>
      </c>
    </row>
    <row r="469" spans="1:19">
      <c r="A469" s="3" t="s">
        <v>91</v>
      </c>
      <c r="C469" s="3" t="s">
        <v>1578</v>
      </c>
      <c r="D469" s="3" t="s">
        <v>1579</v>
      </c>
      <c r="E469" s="3" t="s">
        <v>1580</v>
      </c>
      <c r="F469" s="3" t="s">
        <v>1581</v>
      </c>
      <c r="G469" s="3" t="s">
        <v>3668</v>
      </c>
      <c r="H469" s="3" t="s">
        <v>3669</v>
      </c>
      <c r="N469" s="3" t="s">
        <v>2769</v>
      </c>
      <c r="O469" s="3" t="s">
        <v>3670</v>
      </c>
    </row>
    <row r="470" spans="1:19">
      <c r="A470" s="3" t="s">
        <v>91</v>
      </c>
      <c r="C470" s="3" t="s">
        <v>1583</v>
      </c>
      <c r="D470" s="3" t="s">
        <v>1584</v>
      </c>
      <c r="E470" s="3" t="s">
        <v>1585</v>
      </c>
      <c r="F470" s="3" t="s">
        <v>1586</v>
      </c>
      <c r="G470" s="3" t="s">
        <v>1587</v>
      </c>
      <c r="H470" s="3" t="s">
        <v>1588</v>
      </c>
      <c r="I470" s="3" t="s">
        <v>3671</v>
      </c>
      <c r="P470" s="3" t="s">
        <v>4746</v>
      </c>
      <c r="Q470" s="3" t="s">
        <v>4752</v>
      </c>
      <c r="R470" s="3" t="s">
        <v>4758</v>
      </c>
      <c r="S470" s="3" t="s">
        <v>4764</v>
      </c>
    </row>
    <row r="471" spans="1:19">
      <c r="A471" s="3" t="s">
        <v>91</v>
      </c>
      <c r="C471" s="3" t="s">
        <v>1589</v>
      </c>
      <c r="D471" s="3" t="s">
        <v>1590</v>
      </c>
      <c r="E471" s="3" t="s">
        <v>1591</v>
      </c>
      <c r="F471" s="3" t="s">
        <v>1592</v>
      </c>
      <c r="G471" s="3" t="s">
        <v>1593</v>
      </c>
      <c r="H471" s="3" t="s">
        <v>1594</v>
      </c>
      <c r="I471" s="3" t="s">
        <v>4023</v>
      </c>
      <c r="P471" s="3" t="s">
        <v>4747</v>
      </c>
      <c r="Q471" s="3" t="s">
        <v>4753</v>
      </c>
      <c r="R471" s="3" t="s">
        <v>4759</v>
      </c>
      <c r="S471" s="3" t="s">
        <v>4765</v>
      </c>
    </row>
    <row r="472" spans="1:19">
      <c r="A472" s="3" t="s">
        <v>91</v>
      </c>
      <c r="C472" s="3" t="s">
        <v>1595</v>
      </c>
      <c r="D472" s="3" t="s">
        <v>1596</v>
      </c>
      <c r="E472" s="3" t="s">
        <v>1597</v>
      </c>
      <c r="F472" s="3" t="s">
        <v>1598</v>
      </c>
      <c r="G472" s="3" t="s">
        <v>1599</v>
      </c>
      <c r="H472" s="3" t="s">
        <v>1600</v>
      </c>
      <c r="I472" s="3" t="s">
        <v>4024</v>
      </c>
      <c r="P472" s="3" t="s">
        <v>4748</v>
      </c>
      <c r="Q472" s="3" t="s">
        <v>4754</v>
      </c>
      <c r="R472" s="3" t="s">
        <v>4760</v>
      </c>
      <c r="S472" s="3" t="s">
        <v>4766</v>
      </c>
    </row>
    <row r="473" spans="1:19">
      <c r="A473" s="3" t="s">
        <v>91</v>
      </c>
      <c r="C473" s="3" t="s">
        <v>1601</v>
      </c>
      <c r="D473" s="3" t="s">
        <v>1602</v>
      </c>
      <c r="E473" s="3" t="s">
        <v>1603</v>
      </c>
      <c r="F473" s="3" t="s">
        <v>1604</v>
      </c>
      <c r="G473" s="3" t="s">
        <v>1605</v>
      </c>
      <c r="H473" s="3" t="s">
        <v>1606</v>
      </c>
      <c r="I473" s="3" t="s">
        <v>3881</v>
      </c>
      <c r="P473" s="3" t="s">
        <v>4749</v>
      </c>
      <c r="Q473" s="3" t="s">
        <v>4755</v>
      </c>
      <c r="R473" s="3" t="s">
        <v>4761</v>
      </c>
      <c r="S473" s="3" t="s">
        <v>4767</v>
      </c>
    </row>
    <row r="474" spans="1:19">
      <c r="A474" s="3" t="s">
        <v>91</v>
      </c>
      <c r="C474" s="3" t="s">
        <v>3672</v>
      </c>
      <c r="D474" s="3" t="s">
        <v>3673</v>
      </c>
      <c r="E474" s="3" t="s">
        <v>3674</v>
      </c>
      <c r="F474" s="3" t="s">
        <v>3675</v>
      </c>
      <c r="G474" s="3" t="s">
        <v>3676</v>
      </c>
      <c r="H474" s="3" t="s">
        <v>3677</v>
      </c>
      <c r="I474" s="3" t="s">
        <v>3888</v>
      </c>
      <c r="P474" s="3" t="s">
        <v>4750</v>
      </c>
      <c r="Q474" s="3" t="s">
        <v>4756</v>
      </c>
      <c r="R474" s="3" t="s">
        <v>4762</v>
      </c>
      <c r="S474" s="3" t="s">
        <v>4768</v>
      </c>
    </row>
    <row r="475" spans="1:19">
      <c r="A475" s="3" t="s">
        <v>91</v>
      </c>
      <c r="C475" s="3" t="s">
        <v>2573</v>
      </c>
      <c r="D475" s="3" t="s">
        <v>2574</v>
      </c>
      <c r="E475" s="3" t="s">
        <v>2575</v>
      </c>
      <c r="F475" s="3" t="s">
        <v>2576</v>
      </c>
      <c r="G475" s="3" t="s">
        <v>2577</v>
      </c>
      <c r="H475" s="3" t="s">
        <v>2578</v>
      </c>
      <c r="I475" s="3" t="s">
        <v>4025</v>
      </c>
      <c r="P475" s="3" t="s">
        <v>4751</v>
      </c>
      <c r="Q475" s="3" t="s">
        <v>4757</v>
      </c>
      <c r="R475" s="3" t="s">
        <v>4763</v>
      </c>
      <c r="S475" s="3" t="s">
        <v>4769</v>
      </c>
    </row>
    <row r="476" spans="1:19">
      <c r="A476" s="3" t="s">
        <v>2812</v>
      </c>
      <c r="C476" s="3" t="s">
        <v>1589</v>
      </c>
      <c r="D476" s="3" t="s">
        <v>1590</v>
      </c>
      <c r="E476" s="3" t="s">
        <v>1591</v>
      </c>
      <c r="F476" s="3" t="s">
        <v>1592</v>
      </c>
      <c r="G476" s="3" t="s">
        <v>1593</v>
      </c>
      <c r="H476" s="3" t="s">
        <v>1594</v>
      </c>
    </row>
    <row r="477" spans="1:19">
      <c r="A477" s="3" t="s">
        <v>91</v>
      </c>
      <c r="C477" s="3" t="s">
        <v>1608</v>
      </c>
      <c r="D477" s="3" t="s">
        <v>1609</v>
      </c>
      <c r="E477" s="3" t="s">
        <v>1610</v>
      </c>
      <c r="F477" s="3" t="s">
        <v>1611</v>
      </c>
      <c r="G477" s="3" t="s">
        <v>1607</v>
      </c>
      <c r="H477" s="3" t="s">
        <v>2580</v>
      </c>
      <c r="N477" s="3" t="s">
        <v>3678</v>
      </c>
      <c r="O477" s="3" t="s">
        <v>1612</v>
      </c>
      <c r="S477" s="3" t="s">
        <v>3679</v>
      </c>
    </row>
    <row r="478" spans="1:19">
      <c r="A478" s="3" t="s">
        <v>2812</v>
      </c>
      <c r="C478" s="3" t="s">
        <v>1578</v>
      </c>
      <c r="D478" s="3" t="s">
        <v>1579</v>
      </c>
      <c r="E478" s="3" t="s">
        <v>1580</v>
      </c>
      <c r="F478" s="3" t="s">
        <v>1581</v>
      </c>
    </row>
    <row r="479" spans="1:19">
      <c r="A479" s="3" t="s">
        <v>91</v>
      </c>
      <c r="C479" s="3" t="s">
        <v>1613</v>
      </c>
      <c r="D479" s="3" t="s">
        <v>1614</v>
      </c>
      <c r="E479" s="3" t="s">
        <v>1615</v>
      </c>
      <c r="F479" s="3" t="s">
        <v>1616</v>
      </c>
      <c r="K479" s="3" t="s">
        <v>3680</v>
      </c>
      <c r="L479" s="3" t="s">
        <v>1617</v>
      </c>
      <c r="M479" s="3" t="s">
        <v>1618</v>
      </c>
      <c r="S479" s="3" t="s">
        <v>3681</v>
      </c>
    </row>
    <row r="480" spans="1:19">
      <c r="A480" s="3" t="s">
        <v>91</v>
      </c>
      <c r="C480" s="3" t="s">
        <v>3682</v>
      </c>
      <c r="D480" s="3" t="s">
        <v>3683</v>
      </c>
      <c r="E480" s="3" t="s">
        <v>1619</v>
      </c>
      <c r="F480" s="3" t="s">
        <v>3684</v>
      </c>
      <c r="K480" s="3" t="s">
        <v>2770</v>
      </c>
      <c r="L480" s="3" t="s">
        <v>3685</v>
      </c>
      <c r="M480" s="3" t="s">
        <v>3686</v>
      </c>
    </row>
    <row r="481" spans="1:19">
      <c r="A481" s="3" t="s">
        <v>91</v>
      </c>
      <c r="C481" s="3" t="s">
        <v>1620</v>
      </c>
      <c r="D481" s="3" t="s">
        <v>1621</v>
      </c>
      <c r="E481" s="3" t="s">
        <v>1622</v>
      </c>
      <c r="F481" s="3" t="s">
        <v>1623</v>
      </c>
      <c r="G481" s="3" t="s">
        <v>3687</v>
      </c>
      <c r="H481" s="3" t="s">
        <v>3688</v>
      </c>
      <c r="N481" s="3" t="s">
        <v>3689</v>
      </c>
      <c r="O481" s="3" t="s">
        <v>3690</v>
      </c>
    </row>
    <row r="482" spans="1:19">
      <c r="A482" s="3" t="s">
        <v>91</v>
      </c>
      <c r="C482" s="3" t="s">
        <v>1624</v>
      </c>
      <c r="D482" s="3" t="s">
        <v>1625</v>
      </c>
      <c r="E482" s="3" t="s">
        <v>1626</v>
      </c>
      <c r="F482" s="3" t="s">
        <v>1627</v>
      </c>
      <c r="G482" s="3" t="s">
        <v>1628</v>
      </c>
      <c r="H482" s="3" t="s">
        <v>1629</v>
      </c>
      <c r="I482" s="3" t="s">
        <v>3691</v>
      </c>
      <c r="P482" s="3" t="s">
        <v>4666</v>
      </c>
      <c r="Q482" s="3" t="s">
        <v>4673</v>
      </c>
      <c r="R482" s="3" t="s">
        <v>4680</v>
      </c>
      <c r="S482" s="3" t="s">
        <v>4687</v>
      </c>
    </row>
    <row r="483" spans="1:19">
      <c r="A483" s="3" t="s">
        <v>91</v>
      </c>
      <c r="C483" s="3" t="s">
        <v>1630</v>
      </c>
      <c r="D483" s="3" t="s">
        <v>1631</v>
      </c>
      <c r="E483" s="3" t="s">
        <v>1632</v>
      </c>
      <c r="F483" s="3" t="s">
        <v>1633</v>
      </c>
      <c r="G483" s="3" t="s">
        <v>1634</v>
      </c>
      <c r="H483" s="3" t="s">
        <v>1635</v>
      </c>
      <c r="I483" s="3" t="s">
        <v>4026</v>
      </c>
      <c r="P483" s="3" t="s">
        <v>4667</v>
      </c>
      <c r="Q483" s="3" t="s">
        <v>4674</v>
      </c>
      <c r="R483" s="3" t="s">
        <v>4681</v>
      </c>
      <c r="S483" s="3" t="s">
        <v>4688</v>
      </c>
    </row>
    <row r="484" spans="1:19">
      <c r="A484" s="3" t="s">
        <v>91</v>
      </c>
      <c r="C484" s="3" t="s">
        <v>3073</v>
      </c>
      <c r="D484" s="3" t="s">
        <v>3074</v>
      </c>
      <c r="E484" s="3" t="s">
        <v>3075</v>
      </c>
      <c r="F484" s="3" t="s">
        <v>3076</v>
      </c>
      <c r="G484" s="3" t="s">
        <v>3077</v>
      </c>
      <c r="H484" s="3" t="s">
        <v>3078</v>
      </c>
      <c r="I484" s="3" t="s">
        <v>4027</v>
      </c>
      <c r="P484" s="3" t="s">
        <v>4668</v>
      </c>
      <c r="Q484" s="3" t="s">
        <v>4675</v>
      </c>
      <c r="R484" s="3" t="s">
        <v>4682</v>
      </c>
      <c r="S484" s="3" t="s">
        <v>4689</v>
      </c>
    </row>
    <row r="485" spans="1:19">
      <c r="A485" s="3" t="s">
        <v>91</v>
      </c>
      <c r="C485" s="3" t="s">
        <v>2581</v>
      </c>
      <c r="D485" s="3" t="s">
        <v>2582</v>
      </c>
      <c r="E485" s="3" t="s">
        <v>2583</v>
      </c>
      <c r="F485" s="3" t="s">
        <v>2584</v>
      </c>
      <c r="G485" s="3" t="s">
        <v>2585</v>
      </c>
      <c r="H485" s="3" t="s">
        <v>2586</v>
      </c>
      <c r="I485" s="3" t="s">
        <v>3881</v>
      </c>
      <c r="P485" s="3" t="s">
        <v>4669</v>
      </c>
      <c r="Q485" s="3" t="s">
        <v>4676</v>
      </c>
      <c r="R485" s="3" t="s">
        <v>4683</v>
      </c>
      <c r="S485" s="3" t="s">
        <v>4690</v>
      </c>
    </row>
    <row r="486" spans="1:19">
      <c r="A486" s="3" t="s">
        <v>91</v>
      </c>
      <c r="C486" s="3" t="s">
        <v>1636</v>
      </c>
      <c r="D486" s="3" t="s">
        <v>1637</v>
      </c>
      <c r="E486" s="3" t="s">
        <v>1638</v>
      </c>
      <c r="F486" s="3" t="s">
        <v>1639</v>
      </c>
      <c r="G486" s="3" t="s">
        <v>1640</v>
      </c>
      <c r="H486" s="3" t="s">
        <v>3079</v>
      </c>
      <c r="I486" s="3" t="s">
        <v>3882</v>
      </c>
      <c r="P486" s="3" t="s">
        <v>4670</v>
      </c>
      <c r="Q486" s="3" t="s">
        <v>4677</v>
      </c>
      <c r="R486" s="3" t="s">
        <v>4684</v>
      </c>
      <c r="S486" s="3" t="s">
        <v>4691</v>
      </c>
    </row>
    <row r="487" spans="1:19">
      <c r="A487" s="3" t="s">
        <v>91</v>
      </c>
      <c r="C487" s="3" t="s">
        <v>1642</v>
      </c>
      <c r="D487" s="3" t="s">
        <v>1643</v>
      </c>
      <c r="E487" s="3" t="s">
        <v>1644</v>
      </c>
      <c r="F487" s="3" t="s">
        <v>1645</v>
      </c>
      <c r="G487" s="3" t="s">
        <v>1641</v>
      </c>
      <c r="H487" s="3" t="s">
        <v>2587</v>
      </c>
      <c r="I487" s="3" t="s">
        <v>3883</v>
      </c>
      <c r="P487" s="3" t="s">
        <v>4671</v>
      </c>
      <c r="Q487" s="3" t="s">
        <v>4678</v>
      </c>
      <c r="R487" s="3" t="s">
        <v>4685</v>
      </c>
      <c r="S487" s="3" t="s">
        <v>4692</v>
      </c>
    </row>
    <row r="488" spans="1:19">
      <c r="A488" s="3" t="s">
        <v>91</v>
      </c>
      <c r="C488" s="3" t="s">
        <v>1646</v>
      </c>
      <c r="D488" s="3" t="s">
        <v>1647</v>
      </c>
      <c r="E488" s="3" t="s">
        <v>1648</v>
      </c>
      <c r="F488" s="3" t="s">
        <v>1649</v>
      </c>
      <c r="G488" s="3" t="s">
        <v>1650</v>
      </c>
      <c r="H488" s="3" t="s">
        <v>1651</v>
      </c>
      <c r="I488" s="3" t="s">
        <v>4028</v>
      </c>
      <c r="P488" s="3" t="s">
        <v>4672</v>
      </c>
      <c r="Q488" s="3" t="s">
        <v>4679</v>
      </c>
      <c r="R488" s="3" t="s">
        <v>4686</v>
      </c>
      <c r="S488" s="3" t="s">
        <v>4693</v>
      </c>
    </row>
    <row r="489" spans="1:19">
      <c r="A489" s="3" t="s">
        <v>2812</v>
      </c>
      <c r="C489" s="3" t="s">
        <v>1630</v>
      </c>
      <c r="D489" s="3" t="s">
        <v>1631</v>
      </c>
      <c r="E489" s="3" t="s">
        <v>1632</v>
      </c>
      <c r="F489" s="3" t="s">
        <v>1633</v>
      </c>
      <c r="G489" s="3" t="s">
        <v>1634</v>
      </c>
      <c r="H489" s="3" t="s">
        <v>1635</v>
      </c>
    </row>
    <row r="490" spans="1:19">
      <c r="A490" s="3" t="s">
        <v>91</v>
      </c>
      <c r="C490" s="3" t="s">
        <v>1652</v>
      </c>
      <c r="D490" s="3" t="s">
        <v>1653</v>
      </c>
      <c r="E490" s="3" t="s">
        <v>1654</v>
      </c>
      <c r="F490" s="3" t="s">
        <v>1655</v>
      </c>
      <c r="G490" s="3" t="s">
        <v>1656</v>
      </c>
      <c r="H490" s="3" t="s">
        <v>1657</v>
      </c>
      <c r="N490" s="3" t="s">
        <v>3692</v>
      </c>
      <c r="O490" s="3" t="s">
        <v>1662</v>
      </c>
      <c r="S490" s="3" t="s">
        <v>3693</v>
      </c>
    </row>
    <row r="491" spans="1:19">
      <c r="A491" s="3" t="s">
        <v>91</v>
      </c>
      <c r="C491" s="3" t="s">
        <v>1658</v>
      </c>
      <c r="D491" s="3" t="s">
        <v>1659</v>
      </c>
      <c r="E491" s="3" t="s">
        <v>1660</v>
      </c>
      <c r="F491" s="3" t="s">
        <v>1661</v>
      </c>
      <c r="G491" s="3" t="s">
        <v>3694</v>
      </c>
      <c r="H491" s="3" t="s">
        <v>3695</v>
      </c>
      <c r="N491" s="3" t="s">
        <v>2771</v>
      </c>
      <c r="O491" s="3" t="s">
        <v>3696</v>
      </c>
    </row>
    <row r="492" spans="1:19">
      <c r="A492" s="3" t="s">
        <v>91</v>
      </c>
      <c r="C492" s="3" t="s">
        <v>1663</v>
      </c>
      <c r="D492" s="3" t="s">
        <v>1664</v>
      </c>
      <c r="E492" s="3" t="s">
        <v>1665</v>
      </c>
      <c r="F492" s="3" t="s">
        <v>1666</v>
      </c>
      <c r="G492" s="3" t="s">
        <v>1667</v>
      </c>
      <c r="H492" s="3" t="s">
        <v>1668</v>
      </c>
      <c r="I492" s="3" t="s">
        <v>3697</v>
      </c>
      <c r="P492" s="3" t="s">
        <v>4694</v>
      </c>
      <c r="Q492" s="3" t="s">
        <v>4701</v>
      </c>
      <c r="R492" s="3" t="s">
        <v>4708</v>
      </c>
      <c r="S492" s="3" t="s">
        <v>4715</v>
      </c>
    </row>
    <row r="493" spans="1:19">
      <c r="A493" s="3" t="s">
        <v>91</v>
      </c>
      <c r="C493" s="3" t="s">
        <v>3080</v>
      </c>
      <c r="D493" s="3" t="s">
        <v>3081</v>
      </c>
      <c r="E493" s="3" t="s">
        <v>3082</v>
      </c>
      <c r="F493" s="3" t="s">
        <v>3083</v>
      </c>
      <c r="G493" s="3" t="s">
        <v>3084</v>
      </c>
      <c r="H493" s="3" t="s">
        <v>3085</v>
      </c>
      <c r="I493" s="3" t="s">
        <v>4026</v>
      </c>
      <c r="P493" s="3" t="s">
        <v>4695</v>
      </c>
      <c r="Q493" s="3" t="s">
        <v>4702</v>
      </c>
      <c r="R493" s="3" t="s">
        <v>4709</v>
      </c>
      <c r="S493" s="3" t="s">
        <v>4716</v>
      </c>
    </row>
    <row r="494" spans="1:19">
      <c r="A494" s="3" t="s">
        <v>91</v>
      </c>
      <c r="C494" s="3" t="s">
        <v>1669</v>
      </c>
      <c r="D494" s="3" t="s">
        <v>1670</v>
      </c>
      <c r="E494" s="3" t="s">
        <v>1671</v>
      </c>
      <c r="F494" s="3" t="s">
        <v>1672</v>
      </c>
      <c r="G494" s="3" t="s">
        <v>1673</v>
      </c>
      <c r="H494" s="3" t="s">
        <v>1674</v>
      </c>
      <c r="I494" s="3" t="s">
        <v>4027</v>
      </c>
      <c r="P494" s="3" t="s">
        <v>4696</v>
      </c>
      <c r="Q494" s="3" t="s">
        <v>4703</v>
      </c>
      <c r="R494" s="3" t="s">
        <v>4710</v>
      </c>
      <c r="S494" s="3" t="s">
        <v>4717</v>
      </c>
    </row>
    <row r="495" spans="1:19">
      <c r="A495" s="3" t="s">
        <v>91</v>
      </c>
      <c r="C495" s="3" t="s">
        <v>1675</v>
      </c>
      <c r="D495" s="3" t="s">
        <v>1676</v>
      </c>
      <c r="E495" s="3" t="s">
        <v>1677</v>
      </c>
      <c r="F495" s="3" t="s">
        <v>1678</v>
      </c>
      <c r="G495" s="3" t="s">
        <v>1679</v>
      </c>
      <c r="H495" s="3" t="s">
        <v>3698</v>
      </c>
      <c r="I495" s="3" t="s">
        <v>3881</v>
      </c>
      <c r="P495" s="3" t="s">
        <v>4697</v>
      </c>
      <c r="Q495" s="3" t="s">
        <v>4704</v>
      </c>
      <c r="R495" s="3" t="s">
        <v>4711</v>
      </c>
      <c r="S495" s="3" t="s">
        <v>4718</v>
      </c>
    </row>
    <row r="496" spans="1:19">
      <c r="A496" s="3" t="s">
        <v>91</v>
      </c>
      <c r="C496" s="3" t="s">
        <v>2588</v>
      </c>
      <c r="D496" s="3" t="s">
        <v>2589</v>
      </c>
      <c r="E496" s="3" t="s">
        <v>2590</v>
      </c>
      <c r="F496" s="3" t="s">
        <v>2591</v>
      </c>
      <c r="G496" s="3" t="s">
        <v>2592</v>
      </c>
      <c r="H496" s="3" t="s">
        <v>2593</v>
      </c>
      <c r="I496" s="3" t="s">
        <v>3882</v>
      </c>
      <c r="P496" s="3" t="s">
        <v>4698</v>
      </c>
      <c r="Q496" s="3" t="s">
        <v>4705</v>
      </c>
      <c r="R496" s="3" t="s">
        <v>4712</v>
      </c>
      <c r="S496" s="3" t="s">
        <v>4719</v>
      </c>
    </row>
    <row r="497" spans="1:19">
      <c r="A497" s="3" t="s">
        <v>91</v>
      </c>
      <c r="C497" s="3" t="s">
        <v>1680</v>
      </c>
      <c r="D497" s="3" t="s">
        <v>1681</v>
      </c>
      <c r="E497" s="3" t="s">
        <v>1682</v>
      </c>
      <c r="F497" s="3" t="s">
        <v>1683</v>
      </c>
      <c r="G497" s="3" t="s">
        <v>1684</v>
      </c>
      <c r="H497" s="3" t="s">
        <v>1685</v>
      </c>
      <c r="I497" s="3" t="s">
        <v>3883</v>
      </c>
      <c r="P497" s="3" t="s">
        <v>4699</v>
      </c>
      <c r="Q497" s="3" t="s">
        <v>4706</v>
      </c>
      <c r="R497" s="3" t="s">
        <v>4713</v>
      </c>
      <c r="S497" s="3" t="s">
        <v>4720</v>
      </c>
    </row>
    <row r="498" spans="1:19">
      <c r="A498" s="3" t="s">
        <v>91</v>
      </c>
      <c r="C498" s="3" t="s">
        <v>1687</v>
      </c>
      <c r="D498" s="3" t="s">
        <v>1688</v>
      </c>
      <c r="E498" s="3" t="s">
        <v>1689</v>
      </c>
      <c r="F498" s="3" t="s">
        <v>1690</v>
      </c>
      <c r="G498" s="3" t="s">
        <v>1686</v>
      </c>
      <c r="H498" s="3" t="s">
        <v>2594</v>
      </c>
      <c r="I498" s="3" t="s">
        <v>4028</v>
      </c>
      <c r="P498" s="3" t="s">
        <v>4700</v>
      </c>
      <c r="Q498" s="3" t="s">
        <v>4707</v>
      </c>
      <c r="R498" s="3" t="s">
        <v>4714</v>
      </c>
      <c r="S498" s="3" t="s">
        <v>4721</v>
      </c>
    </row>
    <row r="499" spans="1:19">
      <c r="A499" s="3" t="s">
        <v>2812</v>
      </c>
      <c r="C499" s="3" t="s">
        <v>3080</v>
      </c>
      <c r="D499" s="3" t="s">
        <v>3081</v>
      </c>
      <c r="E499" s="3" t="s">
        <v>3082</v>
      </c>
      <c r="F499" s="3" t="s">
        <v>3083</v>
      </c>
      <c r="G499" s="3" t="s">
        <v>3084</v>
      </c>
      <c r="H499" s="3" t="s">
        <v>3085</v>
      </c>
    </row>
    <row r="500" spans="1:19">
      <c r="A500" s="3" t="s">
        <v>91</v>
      </c>
      <c r="C500" s="3" t="s">
        <v>1691</v>
      </c>
      <c r="D500" s="3" t="s">
        <v>1692</v>
      </c>
      <c r="E500" s="3" t="s">
        <v>1693</v>
      </c>
      <c r="F500" s="3" t="s">
        <v>1694</v>
      </c>
      <c r="G500" s="3" t="s">
        <v>1695</v>
      </c>
      <c r="H500" s="3" t="s">
        <v>1696</v>
      </c>
      <c r="N500" s="3" t="s">
        <v>3699</v>
      </c>
      <c r="O500" s="3" t="s">
        <v>1697</v>
      </c>
      <c r="S500" s="3" t="s">
        <v>3700</v>
      </c>
    </row>
    <row r="501" spans="1:19">
      <c r="A501" s="3" t="s">
        <v>2812</v>
      </c>
      <c r="C501" s="3" t="s">
        <v>1658</v>
      </c>
      <c r="D501" s="3" t="s">
        <v>1659</v>
      </c>
      <c r="E501" s="3" t="s">
        <v>1660</v>
      </c>
      <c r="F501" s="3" t="s">
        <v>1661</v>
      </c>
    </row>
    <row r="502" spans="1:19">
      <c r="A502" s="3" t="s">
        <v>91</v>
      </c>
      <c r="C502" s="3" t="s">
        <v>3086</v>
      </c>
      <c r="D502" s="3" t="s">
        <v>3087</v>
      </c>
      <c r="E502" s="3" t="s">
        <v>3088</v>
      </c>
      <c r="F502" s="3" t="s">
        <v>3089</v>
      </c>
      <c r="K502" s="3" t="s">
        <v>3701</v>
      </c>
      <c r="L502" s="3" t="s">
        <v>1698</v>
      </c>
      <c r="M502" s="3" t="s">
        <v>1699</v>
      </c>
      <c r="S502" s="3" t="s">
        <v>3702</v>
      </c>
    </row>
    <row r="503" spans="1:19">
      <c r="A503" s="3" t="s">
        <v>91</v>
      </c>
      <c r="C503" s="3" t="s">
        <v>3703</v>
      </c>
      <c r="D503" s="3" t="s">
        <v>3704</v>
      </c>
      <c r="E503" s="3" t="s">
        <v>1700</v>
      </c>
      <c r="F503" s="3" t="s">
        <v>3705</v>
      </c>
      <c r="K503" s="3" t="s">
        <v>2772</v>
      </c>
      <c r="L503" s="3" t="s">
        <v>3706</v>
      </c>
      <c r="M503" s="3" t="s">
        <v>3707</v>
      </c>
    </row>
    <row r="504" spans="1:19">
      <c r="A504" s="3" t="s">
        <v>91</v>
      </c>
      <c r="C504" s="3" t="s">
        <v>1701</v>
      </c>
      <c r="D504" s="3" t="s">
        <v>1702</v>
      </c>
      <c r="E504" s="3" t="s">
        <v>1703</v>
      </c>
      <c r="F504" s="3" t="s">
        <v>1704</v>
      </c>
      <c r="G504" s="3" t="s">
        <v>2595</v>
      </c>
      <c r="H504" s="3" t="s">
        <v>2596</v>
      </c>
      <c r="N504" s="3" t="s">
        <v>3708</v>
      </c>
      <c r="O504" s="3" t="s">
        <v>2597</v>
      </c>
    </row>
    <row r="505" spans="1:19">
      <c r="A505" s="3" t="s">
        <v>91</v>
      </c>
      <c r="C505" s="3" t="s">
        <v>1705</v>
      </c>
      <c r="D505" s="3" t="s">
        <v>1706</v>
      </c>
      <c r="E505" s="3" t="s">
        <v>1707</v>
      </c>
      <c r="F505" s="3" t="s">
        <v>1708</v>
      </c>
      <c r="G505" s="3" t="s">
        <v>1709</v>
      </c>
      <c r="H505" s="3" t="s">
        <v>1710</v>
      </c>
      <c r="I505" s="3" t="s">
        <v>2806</v>
      </c>
      <c r="P505" s="3" t="s">
        <v>4618</v>
      </c>
      <c r="Q505" s="3" t="s">
        <v>4624</v>
      </c>
      <c r="R505" s="3" t="s">
        <v>4630</v>
      </c>
      <c r="S505" s="3" t="s">
        <v>4636</v>
      </c>
    </row>
    <row r="506" spans="1:19">
      <c r="A506" s="3" t="s">
        <v>91</v>
      </c>
      <c r="C506" s="3" t="s">
        <v>2598</v>
      </c>
      <c r="D506" s="3" t="s">
        <v>2599</v>
      </c>
      <c r="E506" s="3" t="s">
        <v>2600</v>
      </c>
      <c r="F506" s="3" t="s">
        <v>2601</v>
      </c>
      <c r="G506" s="3" t="s">
        <v>2602</v>
      </c>
      <c r="H506" s="3" t="s">
        <v>2603</v>
      </c>
      <c r="I506" s="3" t="s">
        <v>4008</v>
      </c>
      <c r="P506" s="3" t="s">
        <v>4619</v>
      </c>
      <c r="Q506" s="3" t="s">
        <v>4625</v>
      </c>
      <c r="R506" s="3" t="s">
        <v>4631</v>
      </c>
      <c r="S506" s="3" t="s">
        <v>4637</v>
      </c>
    </row>
    <row r="507" spans="1:19">
      <c r="A507" s="3" t="s">
        <v>91</v>
      </c>
      <c r="C507" s="3" t="s">
        <v>1711</v>
      </c>
      <c r="D507" s="3" t="s">
        <v>1712</v>
      </c>
      <c r="E507" s="3" t="s">
        <v>1713</v>
      </c>
      <c r="F507" s="3" t="s">
        <v>1714</v>
      </c>
      <c r="G507" s="3" t="s">
        <v>1715</v>
      </c>
      <c r="H507" s="3" t="s">
        <v>1716</v>
      </c>
      <c r="I507" s="3" t="s">
        <v>3881</v>
      </c>
      <c r="P507" s="3" t="s">
        <v>4620</v>
      </c>
      <c r="Q507" s="3" t="s">
        <v>4626</v>
      </c>
      <c r="R507" s="3" t="s">
        <v>4632</v>
      </c>
      <c r="S507" s="3" t="s">
        <v>4638</v>
      </c>
    </row>
    <row r="508" spans="1:19">
      <c r="A508" s="3" t="s">
        <v>91</v>
      </c>
      <c r="C508" s="3" t="s">
        <v>2604</v>
      </c>
      <c r="D508" s="3" t="s">
        <v>2605</v>
      </c>
      <c r="E508" s="3" t="s">
        <v>2606</v>
      </c>
      <c r="F508" s="3" t="s">
        <v>2607</v>
      </c>
      <c r="G508" s="3" t="s">
        <v>1717</v>
      </c>
      <c r="H508" s="3" t="s">
        <v>2608</v>
      </c>
      <c r="I508" s="3" t="s">
        <v>4029</v>
      </c>
      <c r="P508" s="3" t="s">
        <v>4621</v>
      </c>
      <c r="Q508" s="3" t="s">
        <v>4627</v>
      </c>
      <c r="R508" s="3" t="s">
        <v>4633</v>
      </c>
      <c r="S508" s="3" t="s">
        <v>4639</v>
      </c>
    </row>
    <row r="509" spans="1:19">
      <c r="A509" s="3" t="s">
        <v>91</v>
      </c>
      <c r="C509" s="3" t="s">
        <v>1718</v>
      </c>
      <c r="D509" s="3" t="s">
        <v>1719</v>
      </c>
      <c r="E509" s="3" t="s">
        <v>1720</v>
      </c>
      <c r="F509" s="3" t="s">
        <v>1721</v>
      </c>
      <c r="G509" s="3" t="s">
        <v>2609</v>
      </c>
      <c r="H509" s="3" t="s">
        <v>2610</v>
      </c>
      <c r="I509" s="3" t="s">
        <v>4030</v>
      </c>
      <c r="P509" s="3" t="s">
        <v>4622</v>
      </c>
      <c r="Q509" s="3" t="s">
        <v>4628</v>
      </c>
      <c r="R509" s="3" t="s">
        <v>4634</v>
      </c>
      <c r="S509" s="3" t="s">
        <v>4640</v>
      </c>
    </row>
    <row r="510" spans="1:19">
      <c r="A510" s="3" t="s">
        <v>91</v>
      </c>
      <c r="C510" s="3" t="s">
        <v>1722</v>
      </c>
      <c r="D510" s="3" t="s">
        <v>1723</v>
      </c>
      <c r="E510" s="3" t="s">
        <v>2611</v>
      </c>
      <c r="F510" s="3" t="s">
        <v>2612</v>
      </c>
      <c r="G510" s="3" t="s">
        <v>2613</v>
      </c>
      <c r="H510" s="3" t="s">
        <v>2614</v>
      </c>
      <c r="I510" s="3" t="s">
        <v>4031</v>
      </c>
      <c r="P510" s="3" t="s">
        <v>4623</v>
      </c>
      <c r="Q510" s="3" t="s">
        <v>4629</v>
      </c>
      <c r="R510" s="3" t="s">
        <v>4635</v>
      </c>
      <c r="S510" s="3" t="s">
        <v>4641</v>
      </c>
    </row>
    <row r="511" spans="1:19">
      <c r="A511" s="3" t="s">
        <v>2812</v>
      </c>
      <c r="C511" s="3" t="s">
        <v>2598</v>
      </c>
      <c r="D511" s="3" t="s">
        <v>2599</v>
      </c>
      <c r="E511" s="3" t="s">
        <v>2600</v>
      </c>
      <c r="F511" s="3" t="s">
        <v>2601</v>
      </c>
      <c r="G511" s="3" t="s">
        <v>2602</v>
      </c>
      <c r="H511" s="3" t="s">
        <v>2603</v>
      </c>
    </row>
    <row r="512" spans="1:19">
      <c r="A512" s="3" t="s">
        <v>91</v>
      </c>
      <c r="C512" s="3" t="s">
        <v>2615</v>
      </c>
      <c r="D512" s="3" t="s">
        <v>2616</v>
      </c>
      <c r="E512" s="3" t="s">
        <v>2617</v>
      </c>
      <c r="F512" s="3" t="s">
        <v>2618</v>
      </c>
      <c r="G512" s="3" t="s">
        <v>2619</v>
      </c>
      <c r="H512" s="3" t="s">
        <v>2620</v>
      </c>
      <c r="N512" s="3" t="s">
        <v>2621</v>
      </c>
      <c r="O512" s="3" t="s">
        <v>2622</v>
      </c>
      <c r="S512" s="3" t="s">
        <v>2807</v>
      </c>
    </row>
    <row r="513" spans="1:19">
      <c r="A513" s="3" t="s">
        <v>91</v>
      </c>
      <c r="C513" s="3" t="s">
        <v>2623</v>
      </c>
      <c r="D513" s="3" t="s">
        <v>2624</v>
      </c>
      <c r="E513" s="3" t="s">
        <v>2625</v>
      </c>
      <c r="F513" s="3" t="s">
        <v>2626</v>
      </c>
      <c r="G513" s="3" t="s">
        <v>2627</v>
      </c>
      <c r="H513" s="3" t="s">
        <v>2628</v>
      </c>
      <c r="N513" s="3" t="s">
        <v>2773</v>
      </c>
      <c r="O513" s="3" t="s">
        <v>2630</v>
      </c>
    </row>
    <row r="514" spans="1:19">
      <c r="A514" s="3" t="s">
        <v>91</v>
      </c>
      <c r="C514" s="3" t="s">
        <v>2631</v>
      </c>
      <c r="D514" s="3" t="s">
        <v>2632</v>
      </c>
      <c r="E514" s="3" t="s">
        <v>1724</v>
      </c>
      <c r="F514" s="3" t="s">
        <v>2633</v>
      </c>
      <c r="G514" s="3" t="s">
        <v>2634</v>
      </c>
      <c r="H514" s="3" t="s">
        <v>2635</v>
      </c>
      <c r="I514" s="3" t="s">
        <v>2808</v>
      </c>
      <c r="P514" s="3" t="s">
        <v>4642</v>
      </c>
      <c r="Q514" s="3" t="s">
        <v>4648</v>
      </c>
      <c r="R514" s="3" t="s">
        <v>4654</v>
      </c>
      <c r="S514" s="3" t="s">
        <v>4660</v>
      </c>
    </row>
    <row r="515" spans="1:19">
      <c r="A515" s="3" t="s">
        <v>91</v>
      </c>
      <c r="C515" s="3" t="s">
        <v>1725</v>
      </c>
      <c r="D515" s="3" t="s">
        <v>1726</v>
      </c>
      <c r="E515" s="3" t="s">
        <v>1727</v>
      </c>
      <c r="F515" s="3" t="s">
        <v>1728</v>
      </c>
      <c r="G515" s="3" t="s">
        <v>2636</v>
      </c>
      <c r="H515" s="3" t="s">
        <v>2637</v>
      </c>
      <c r="I515" s="3" t="s">
        <v>4008</v>
      </c>
      <c r="P515" s="3" t="s">
        <v>4643</v>
      </c>
      <c r="Q515" s="3" t="s">
        <v>4649</v>
      </c>
      <c r="R515" s="3" t="s">
        <v>4655</v>
      </c>
      <c r="S515" s="3" t="s">
        <v>4661</v>
      </c>
    </row>
    <row r="516" spans="1:19">
      <c r="A516" s="3" t="s">
        <v>91</v>
      </c>
      <c r="C516" s="3" t="s">
        <v>3090</v>
      </c>
      <c r="D516" s="3" t="s">
        <v>3091</v>
      </c>
      <c r="E516" s="3" t="s">
        <v>3092</v>
      </c>
      <c r="F516" s="3" t="s">
        <v>3093</v>
      </c>
      <c r="G516" s="3" t="s">
        <v>3094</v>
      </c>
      <c r="H516" s="3" t="s">
        <v>3095</v>
      </c>
      <c r="I516" s="3" t="s">
        <v>3881</v>
      </c>
      <c r="P516" s="3" t="s">
        <v>4644</v>
      </c>
      <c r="Q516" s="3" t="s">
        <v>4650</v>
      </c>
      <c r="R516" s="3" t="s">
        <v>4656</v>
      </c>
      <c r="S516" s="3" t="s">
        <v>4662</v>
      </c>
    </row>
    <row r="517" spans="1:19">
      <c r="A517" s="3" t="s">
        <v>91</v>
      </c>
      <c r="C517" s="3" t="s">
        <v>1729</v>
      </c>
      <c r="D517" s="3" t="s">
        <v>1730</v>
      </c>
      <c r="E517" s="3" t="s">
        <v>1731</v>
      </c>
      <c r="F517" s="3" t="s">
        <v>1732</v>
      </c>
      <c r="G517" s="3" t="s">
        <v>1733</v>
      </c>
      <c r="H517" s="3" t="s">
        <v>1734</v>
      </c>
      <c r="I517" s="3" t="s">
        <v>4029</v>
      </c>
      <c r="P517" s="3" t="s">
        <v>4645</v>
      </c>
      <c r="Q517" s="3" t="s">
        <v>4651</v>
      </c>
      <c r="R517" s="3" t="s">
        <v>4657</v>
      </c>
      <c r="S517" s="3" t="s">
        <v>4663</v>
      </c>
    </row>
    <row r="518" spans="1:19">
      <c r="A518" s="3" t="s">
        <v>91</v>
      </c>
      <c r="C518" s="3" t="s">
        <v>1735</v>
      </c>
      <c r="D518" s="3" t="s">
        <v>1736</v>
      </c>
      <c r="E518" s="3" t="s">
        <v>1737</v>
      </c>
      <c r="F518" s="3" t="s">
        <v>1738</v>
      </c>
      <c r="G518" s="3" t="s">
        <v>1739</v>
      </c>
      <c r="H518" s="3" t="s">
        <v>3096</v>
      </c>
      <c r="I518" s="3" t="s">
        <v>4030</v>
      </c>
      <c r="P518" s="3" t="s">
        <v>4646</v>
      </c>
      <c r="Q518" s="3" t="s">
        <v>4652</v>
      </c>
      <c r="R518" s="3" t="s">
        <v>4658</v>
      </c>
      <c r="S518" s="3" t="s">
        <v>4664</v>
      </c>
    </row>
    <row r="519" spans="1:19">
      <c r="A519" s="3" t="s">
        <v>91</v>
      </c>
      <c r="C519" s="3" t="s">
        <v>1740</v>
      </c>
      <c r="D519" s="3" t="s">
        <v>1741</v>
      </c>
      <c r="E519" s="3" t="s">
        <v>1742</v>
      </c>
      <c r="F519" s="3" t="s">
        <v>1743</v>
      </c>
      <c r="G519" s="3" t="s">
        <v>1744</v>
      </c>
      <c r="H519" s="3" t="s">
        <v>1745</v>
      </c>
      <c r="I519" s="3" t="s">
        <v>4031</v>
      </c>
      <c r="P519" s="3" t="s">
        <v>4647</v>
      </c>
      <c r="Q519" s="3" t="s">
        <v>4653</v>
      </c>
      <c r="R519" s="3" t="s">
        <v>4659</v>
      </c>
      <c r="S519" s="3" t="s">
        <v>4665</v>
      </c>
    </row>
    <row r="520" spans="1:19">
      <c r="A520" s="3" t="s">
        <v>2812</v>
      </c>
      <c r="C520" s="3" t="s">
        <v>1725</v>
      </c>
      <c r="D520" s="3" t="s">
        <v>1726</v>
      </c>
      <c r="E520" s="3" t="s">
        <v>1727</v>
      </c>
      <c r="F520" s="3" t="s">
        <v>1728</v>
      </c>
      <c r="G520" s="3" t="s">
        <v>2636</v>
      </c>
      <c r="H520" s="3" t="s">
        <v>2637</v>
      </c>
    </row>
    <row r="521" spans="1:19">
      <c r="A521" s="3" t="s">
        <v>91</v>
      </c>
      <c r="C521" s="3" t="s">
        <v>3097</v>
      </c>
      <c r="D521" s="3" t="s">
        <v>3098</v>
      </c>
      <c r="E521" s="3" t="s">
        <v>3099</v>
      </c>
      <c r="F521" s="3" t="s">
        <v>3100</v>
      </c>
      <c r="G521" s="3" t="s">
        <v>3101</v>
      </c>
      <c r="H521" s="3" t="s">
        <v>3102</v>
      </c>
      <c r="N521" s="3" t="s">
        <v>3709</v>
      </c>
      <c r="O521" s="3" t="s">
        <v>2642</v>
      </c>
      <c r="S521" s="3" t="s">
        <v>3710</v>
      </c>
    </row>
    <row r="522" spans="1:19">
      <c r="A522" s="3" t="s">
        <v>91</v>
      </c>
      <c r="C522" s="3" t="s">
        <v>2638</v>
      </c>
      <c r="D522" s="3" t="s">
        <v>2639</v>
      </c>
      <c r="E522" s="3" t="s">
        <v>2640</v>
      </c>
      <c r="F522" s="3" t="s">
        <v>2641</v>
      </c>
      <c r="G522" s="3" t="s">
        <v>3711</v>
      </c>
      <c r="H522" s="3" t="s">
        <v>3712</v>
      </c>
      <c r="N522" s="3" t="s">
        <v>2774</v>
      </c>
      <c r="O522" s="3" t="s">
        <v>3713</v>
      </c>
    </row>
    <row r="523" spans="1:19">
      <c r="A523" s="3" t="s">
        <v>91</v>
      </c>
      <c r="C523" s="3" t="s">
        <v>3103</v>
      </c>
      <c r="D523" s="3" t="s">
        <v>3104</v>
      </c>
      <c r="E523" s="3" t="s">
        <v>3105</v>
      </c>
      <c r="F523" s="3" t="s">
        <v>3106</v>
      </c>
      <c r="G523" s="3" t="s">
        <v>1746</v>
      </c>
      <c r="H523" s="3" t="s">
        <v>3107</v>
      </c>
      <c r="I523" s="3" t="s">
        <v>3714</v>
      </c>
      <c r="P523" s="3" t="s">
        <v>4032</v>
      </c>
      <c r="Q523" s="3" t="s">
        <v>4033</v>
      </c>
      <c r="R523" s="3" t="s">
        <v>4034</v>
      </c>
      <c r="S523" s="3" t="s">
        <v>4035</v>
      </c>
    </row>
    <row r="524" spans="1:19">
      <c r="A524" s="3" t="s">
        <v>91</v>
      </c>
      <c r="C524" s="3" t="s">
        <v>1747</v>
      </c>
      <c r="D524" s="3" t="s">
        <v>1748</v>
      </c>
      <c r="E524" s="3" t="s">
        <v>1749</v>
      </c>
      <c r="F524" s="3" t="s">
        <v>1750</v>
      </c>
      <c r="G524" s="3" t="s">
        <v>3108</v>
      </c>
      <c r="H524" s="3" t="s">
        <v>3715</v>
      </c>
      <c r="I524" s="3" t="s">
        <v>4036</v>
      </c>
      <c r="P524" s="3" t="s">
        <v>4037</v>
      </c>
      <c r="Q524" s="3" t="s">
        <v>4038</v>
      </c>
      <c r="R524" s="3" t="s">
        <v>4039</v>
      </c>
      <c r="S524" s="3" t="s">
        <v>4040</v>
      </c>
    </row>
    <row r="525" spans="1:19">
      <c r="A525" s="3" t="s">
        <v>2812</v>
      </c>
      <c r="C525" s="3" t="s">
        <v>1747</v>
      </c>
      <c r="D525" s="3" t="s">
        <v>1748</v>
      </c>
      <c r="E525" s="3" t="s">
        <v>1749</v>
      </c>
      <c r="F525" s="3" t="s">
        <v>1750</v>
      </c>
      <c r="G525" s="3" t="s">
        <v>3108</v>
      </c>
      <c r="H525" s="3" t="s">
        <v>3715</v>
      </c>
    </row>
    <row r="526" spans="1:19">
      <c r="A526" s="3" t="s">
        <v>91</v>
      </c>
      <c r="C526" s="3" t="s">
        <v>1751</v>
      </c>
      <c r="D526" s="3" t="s">
        <v>1752</v>
      </c>
      <c r="E526" s="3" t="s">
        <v>1753</v>
      </c>
      <c r="F526" s="3" t="s">
        <v>1754</v>
      </c>
      <c r="G526" s="3" t="s">
        <v>3109</v>
      </c>
      <c r="H526" s="3" t="s">
        <v>3110</v>
      </c>
      <c r="N526" s="3" t="s">
        <v>3716</v>
      </c>
      <c r="O526" s="3" t="s">
        <v>1755</v>
      </c>
      <c r="S526" s="3" t="s">
        <v>3717</v>
      </c>
    </row>
    <row r="527" spans="1:19">
      <c r="A527" s="3" t="s">
        <v>2812</v>
      </c>
      <c r="C527" s="3" t="s">
        <v>2623</v>
      </c>
      <c r="D527" s="3" t="s">
        <v>2624</v>
      </c>
      <c r="E527" s="3" t="s">
        <v>2625</v>
      </c>
      <c r="F527" s="3" t="s">
        <v>2626</v>
      </c>
    </row>
    <row r="528" spans="1:19">
      <c r="A528" s="3" t="s">
        <v>91</v>
      </c>
      <c r="C528" s="3" t="s">
        <v>1756</v>
      </c>
      <c r="D528" s="3" t="s">
        <v>1757</v>
      </c>
      <c r="E528" s="3" t="s">
        <v>1758</v>
      </c>
      <c r="F528" s="3" t="s">
        <v>1759</v>
      </c>
      <c r="K528" s="3" t="s">
        <v>3718</v>
      </c>
      <c r="L528" s="3" t="s">
        <v>1760</v>
      </c>
      <c r="M528" s="3" t="s">
        <v>1761</v>
      </c>
      <c r="S528" s="3" t="s">
        <v>3719</v>
      </c>
    </row>
    <row r="529" spans="1:19">
      <c r="A529" s="3" t="s">
        <v>91</v>
      </c>
      <c r="C529" s="3" t="s">
        <v>3720</v>
      </c>
      <c r="D529" s="3" t="s">
        <v>3721</v>
      </c>
      <c r="E529" s="3" t="s">
        <v>1762</v>
      </c>
      <c r="F529" s="3" t="s">
        <v>3722</v>
      </c>
      <c r="K529" s="3" t="s">
        <v>2775</v>
      </c>
      <c r="L529" s="3" t="s">
        <v>3723</v>
      </c>
      <c r="M529" s="3" t="s">
        <v>3724</v>
      </c>
    </row>
    <row r="530" spans="1:19">
      <c r="A530" s="3" t="s">
        <v>91</v>
      </c>
      <c r="C530" s="3" t="s">
        <v>1763</v>
      </c>
      <c r="D530" s="3" t="s">
        <v>1764</v>
      </c>
      <c r="E530" s="3" t="s">
        <v>1765</v>
      </c>
      <c r="F530" s="3" t="s">
        <v>1766</v>
      </c>
      <c r="G530" s="3" t="s">
        <v>3725</v>
      </c>
      <c r="H530" s="3" t="s">
        <v>3726</v>
      </c>
      <c r="N530" s="3" t="s">
        <v>3727</v>
      </c>
      <c r="O530" s="3" t="s">
        <v>3728</v>
      </c>
    </row>
    <row r="531" spans="1:19">
      <c r="A531" s="3" t="s">
        <v>91</v>
      </c>
      <c r="C531" s="3" t="s">
        <v>2644</v>
      </c>
      <c r="D531" s="3" t="s">
        <v>2645</v>
      </c>
      <c r="E531" s="3" t="s">
        <v>2646</v>
      </c>
      <c r="F531" s="3" t="s">
        <v>2647</v>
      </c>
      <c r="G531" s="3" t="s">
        <v>2648</v>
      </c>
      <c r="H531" s="3" t="s">
        <v>2649</v>
      </c>
      <c r="I531" s="3" t="s">
        <v>3729</v>
      </c>
      <c r="P531" s="3" t="s">
        <v>4570</v>
      </c>
      <c r="Q531" s="3" t="s">
        <v>4576</v>
      </c>
      <c r="R531" s="3" t="s">
        <v>4582</v>
      </c>
      <c r="S531" s="3" t="s">
        <v>4588</v>
      </c>
    </row>
    <row r="532" spans="1:19">
      <c r="A532" s="3" t="s">
        <v>91</v>
      </c>
      <c r="C532" s="3" t="s">
        <v>1767</v>
      </c>
      <c r="D532" s="3" t="s">
        <v>1768</v>
      </c>
      <c r="E532" s="3" t="s">
        <v>1769</v>
      </c>
      <c r="F532" s="3" t="s">
        <v>1770</v>
      </c>
      <c r="G532" s="3" t="s">
        <v>1771</v>
      </c>
      <c r="H532" s="3" t="s">
        <v>1772</v>
      </c>
      <c r="I532" s="3" t="s">
        <v>4041</v>
      </c>
      <c r="P532" s="3" t="s">
        <v>4571</v>
      </c>
      <c r="Q532" s="3" t="s">
        <v>4577</v>
      </c>
      <c r="R532" s="3" t="s">
        <v>4583</v>
      </c>
      <c r="S532" s="3" t="s">
        <v>4589</v>
      </c>
    </row>
    <row r="533" spans="1:19">
      <c r="A533" s="3" t="s">
        <v>91</v>
      </c>
      <c r="C533" s="3" t="s">
        <v>1774</v>
      </c>
      <c r="D533" s="3" t="s">
        <v>1775</v>
      </c>
      <c r="E533" s="3" t="s">
        <v>1776</v>
      </c>
      <c r="F533" s="3" t="s">
        <v>1777</v>
      </c>
      <c r="G533" s="3" t="s">
        <v>1773</v>
      </c>
      <c r="H533" s="3" t="s">
        <v>2650</v>
      </c>
      <c r="I533" s="3" t="s">
        <v>4042</v>
      </c>
      <c r="P533" s="3" t="s">
        <v>4572</v>
      </c>
      <c r="Q533" s="3" t="s">
        <v>4578</v>
      </c>
      <c r="R533" s="3" t="s">
        <v>4584</v>
      </c>
      <c r="S533" s="3" t="s">
        <v>4590</v>
      </c>
    </row>
    <row r="534" spans="1:19">
      <c r="A534" s="3" t="s">
        <v>91</v>
      </c>
      <c r="C534" s="3" t="s">
        <v>3111</v>
      </c>
      <c r="D534" s="3" t="s">
        <v>3112</v>
      </c>
      <c r="E534" s="3" t="s">
        <v>3113</v>
      </c>
      <c r="F534" s="3" t="s">
        <v>3114</v>
      </c>
      <c r="G534" s="3" t="s">
        <v>3115</v>
      </c>
      <c r="H534" s="3" t="s">
        <v>3116</v>
      </c>
      <c r="I534" s="3" t="s">
        <v>3881</v>
      </c>
      <c r="P534" s="3" t="s">
        <v>4573</v>
      </c>
      <c r="Q534" s="3" t="s">
        <v>4579</v>
      </c>
      <c r="R534" s="3" t="s">
        <v>4585</v>
      </c>
      <c r="S534" s="3" t="s">
        <v>4591</v>
      </c>
    </row>
    <row r="535" spans="1:19">
      <c r="A535" s="3" t="s">
        <v>91</v>
      </c>
      <c r="C535" s="3" t="s">
        <v>1778</v>
      </c>
      <c r="D535" s="3" t="s">
        <v>1779</v>
      </c>
      <c r="E535" s="3" t="s">
        <v>1780</v>
      </c>
      <c r="F535" s="3" t="s">
        <v>1781</v>
      </c>
      <c r="G535" s="3" t="s">
        <v>1782</v>
      </c>
      <c r="H535" s="3" t="s">
        <v>1783</v>
      </c>
      <c r="I535" s="3" t="s">
        <v>3888</v>
      </c>
      <c r="P535" s="3" t="s">
        <v>4574</v>
      </c>
      <c r="Q535" s="3" t="s">
        <v>4580</v>
      </c>
      <c r="R535" s="3" t="s">
        <v>4586</v>
      </c>
      <c r="S535" s="3" t="s">
        <v>4592</v>
      </c>
    </row>
    <row r="536" spans="1:19">
      <c r="A536" s="3" t="s">
        <v>91</v>
      </c>
      <c r="C536" s="3" t="s">
        <v>1784</v>
      </c>
      <c r="D536" s="3" t="s">
        <v>1785</v>
      </c>
      <c r="E536" s="3" t="s">
        <v>1786</v>
      </c>
      <c r="F536" s="3" t="s">
        <v>1787</v>
      </c>
      <c r="G536" s="3" t="s">
        <v>1788</v>
      </c>
      <c r="H536" s="3" t="s">
        <v>3117</v>
      </c>
      <c r="I536" s="3" t="s">
        <v>4043</v>
      </c>
      <c r="P536" s="3" t="s">
        <v>4575</v>
      </c>
      <c r="Q536" s="3" t="s">
        <v>4581</v>
      </c>
      <c r="R536" s="3" t="s">
        <v>4587</v>
      </c>
      <c r="S536" s="3" t="s">
        <v>4593</v>
      </c>
    </row>
    <row r="537" spans="1:19">
      <c r="A537" s="3" t="s">
        <v>2812</v>
      </c>
      <c r="C537" s="3" t="s">
        <v>1767</v>
      </c>
      <c r="D537" s="3" t="s">
        <v>1768</v>
      </c>
      <c r="E537" s="3" t="s">
        <v>1769</v>
      </c>
      <c r="F537" s="3" t="s">
        <v>1770</v>
      </c>
      <c r="G537" s="3" t="s">
        <v>1771</v>
      </c>
      <c r="H537" s="3" t="s">
        <v>1772</v>
      </c>
    </row>
    <row r="538" spans="1:19">
      <c r="A538" s="3" t="s">
        <v>91</v>
      </c>
      <c r="C538" s="3" t="s">
        <v>1789</v>
      </c>
      <c r="D538" s="3" t="s">
        <v>1790</v>
      </c>
      <c r="E538" s="3" t="s">
        <v>1791</v>
      </c>
      <c r="F538" s="3" t="s">
        <v>1792</v>
      </c>
      <c r="G538" s="3" t="s">
        <v>1793</v>
      </c>
      <c r="H538" s="3" t="s">
        <v>1794</v>
      </c>
      <c r="N538" s="3" t="s">
        <v>3730</v>
      </c>
      <c r="O538" s="3" t="s">
        <v>1799</v>
      </c>
      <c r="S538" s="3" t="s">
        <v>3731</v>
      </c>
    </row>
    <row r="539" spans="1:19">
      <c r="A539" s="3" t="s">
        <v>91</v>
      </c>
      <c r="C539" s="3" t="s">
        <v>1795</v>
      </c>
      <c r="D539" s="3" t="s">
        <v>1796</v>
      </c>
      <c r="E539" s="3" t="s">
        <v>1797</v>
      </c>
      <c r="F539" s="3" t="s">
        <v>1798</v>
      </c>
      <c r="G539" s="3" t="s">
        <v>3732</v>
      </c>
      <c r="H539" s="3" t="s">
        <v>3733</v>
      </c>
      <c r="N539" s="3" t="s">
        <v>2776</v>
      </c>
      <c r="O539" s="3" t="s">
        <v>3734</v>
      </c>
    </row>
    <row r="540" spans="1:19">
      <c r="A540" s="3" t="s">
        <v>91</v>
      </c>
      <c r="C540" s="3" t="s">
        <v>2652</v>
      </c>
      <c r="D540" s="3" t="s">
        <v>2653</v>
      </c>
      <c r="E540" s="3" t="s">
        <v>2654</v>
      </c>
      <c r="F540" s="3" t="s">
        <v>2655</v>
      </c>
      <c r="G540" s="3" t="s">
        <v>2656</v>
      </c>
      <c r="H540" s="3" t="s">
        <v>2657</v>
      </c>
      <c r="I540" s="3" t="s">
        <v>3735</v>
      </c>
      <c r="P540" s="3" t="s">
        <v>4594</v>
      </c>
      <c r="Q540" s="3" t="s">
        <v>4600</v>
      </c>
      <c r="R540" s="3" t="s">
        <v>4606</v>
      </c>
      <c r="S540" s="3" t="s">
        <v>4612</v>
      </c>
    </row>
    <row r="541" spans="1:19">
      <c r="A541" s="3" t="s">
        <v>91</v>
      </c>
      <c r="C541" s="3" t="s">
        <v>1800</v>
      </c>
      <c r="D541" s="3" t="s">
        <v>1801</v>
      </c>
      <c r="E541" s="3" t="s">
        <v>1802</v>
      </c>
      <c r="F541" s="3" t="s">
        <v>1803</v>
      </c>
      <c r="G541" s="3" t="s">
        <v>1804</v>
      </c>
      <c r="H541" s="3" t="s">
        <v>1805</v>
      </c>
      <c r="I541" s="3" t="s">
        <v>4041</v>
      </c>
      <c r="P541" s="3" t="s">
        <v>4595</v>
      </c>
      <c r="Q541" s="3" t="s">
        <v>4601</v>
      </c>
      <c r="R541" s="3" t="s">
        <v>4607</v>
      </c>
      <c r="S541" s="3" t="s">
        <v>4613</v>
      </c>
    </row>
    <row r="542" spans="1:19">
      <c r="A542" s="3" t="s">
        <v>91</v>
      </c>
      <c r="C542" s="3" t="s">
        <v>1807</v>
      </c>
      <c r="D542" s="3" t="s">
        <v>1808</v>
      </c>
      <c r="E542" s="3" t="s">
        <v>1809</v>
      </c>
      <c r="F542" s="3" t="s">
        <v>1810</v>
      </c>
      <c r="G542" s="3" t="s">
        <v>1806</v>
      </c>
      <c r="H542" s="3" t="s">
        <v>2658</v>
      </c>
      <c r="I542" s="3" t="s">
        <v>4042</v>
      </c>
      <c r="P542" s="3" t="s">
        <v>4596</v>
      </c>
      <c r="Q542" s="3" t="s">
        <v>4602</v>
      </c>
      <c r="R542" s="3" t="s">
        <v>4608</v>
      </c>
      <c r="S542" s="3" t="s">
        <v>4614</v>
      </c>
    </row>
    <row r="543" spans="1:19">
      <c r="A543" s="3" t="s">
        <v>91</v>
      </c>
      <c r="C543" s="3" t="s">
        <v>1811</v>
      </c>
      <c r="D543" s="3" t="s">
        <v>1812</v>
      </c>
      <c r="E543" s="3" t="s">
        <v>1813</v>
      </c>
      <c r="F543" s="3" t="s">
        <v>1814</v>
      </c>
      <c r="G543" s="3" t="s">
        <v>1815</v>
      </c>
      <c r="H543" s="3" t="s">
        <v>1816</v>
      </c>
      <c r="I543" s="3" t="s">
        <v>3881</v>
      </c>
      <c r="P543" s="3" t="s">
        <v>4597</v>
      </c>
      <c r="Q543" s="3" t="s">
        <v>4603</v>
      </c>
      <c r="R543" s="3" t="s">
        <v>4609</v>
      </c>
      <c r="S543" s="3" t="s">
        <v>4615</v>
      </c>
    </row>
    <row r="544" spans="1:19">
      <c r="A544" s="3" t="s">
        <v>91</v>
      </c>
      <c r="C544" s="3" t="s">
        <v>3118</v>
      </c>
      <c r="D544" s="3" t="s">
        <v>3119</v>
      </c>
      <c r="E544" s="3" t="s">
        <v>3120</v>
      </c>
      <c r="F544" s="3" t="s">
        <v>3121</v>
      </c>
      <c r="G544" s="3" t="s">
        <v>3122</v>
      </c>
      <c r="H544" s="3" t="s">
        <v>3123</v>
      </c>
      <c r="I544" s="3" t="s">
        <v>3888</v>
      </c>
      <c r="P544" s="3" t="s">
        <v>4598</v>
      </c>
      <c r="Q544" s="3" t="s">
        <v>4604</v>
      </c>
      <c r="R544" s="3" t="s">
        <v>4610</v>
      </c>
      <c r="S544" s="3" t="s">
        <v>4616</v>
      </c>
    </row>
    <row r="545" spans="1:19">
      <c r="A545" s="3" t="s">
        <v>91</v>
      </c>
      <c r="C545" s="3" t="s">
        <v>1817</v>
      </c>
      <c r="D545" s="3" t="s">
        <v>1818</v>
      </c>
      <c r="E545" s="3" t="s">
        <v>1819</v>
      </c>
      <c r="F545" s="3" t="s">
        <v>1820</v>
      </c>
      <c r="G545" s="3" t="s">
        <v>1821</v>
      </c>
      <c r="H545" s="3" t="s">
        <v>1822</v>
      </c>
      <c r="I545" s="3" t="s">
        <v>4043</v>
      </c>
      <c r="P545" s="3" t="s">
        <v>4599</v>
      </c>
      <c r="Q545" s="3" t="s">
        <v>4605</v>
      </c>
      <c r="R545" s="3" t="s">
        <v>4611</v>
      </c>
      <c r="S545" s="3" t="s">
        <v>4617</v>
      </c>
    </row>
    <row r="546" spans="1:19">
      <c r="A546" s="3" t="s">
        <v>2812</v>
      </c>
      <c r="C546" s="3" t="s">
        <v>1800</v>
      </c>
      <c r="D546" s="3" t="s">
        <v>1801</v>
      </c>
      <c r="E546" s="3" t="s">
        <v>1802</v>
      </c>
      <c r="F546" s="3" t="s">
        <v>1803</v>
      </c>
      <c r="G546" s="3" t="s">
        <v>1804</v>
      </c>
      <c r="H546" s="3" t="s">
        <v>1805</v>
      </c>
    </row>
    <row r="547" spans="1:19">
      <c r="A547" s="3" t="s">
        <v>91</v>
      </c>
      <c r="C547" s="3" t="s">
        <v>1823</v>
      </c>
      <c r="D547" s="3" t="s">
        <v>1824</v>
      </c>
      <c r="E547" s="3" t="s">
        <v>1825</v>
      </c>
      <c r="F547" s="3" t="s">
        <v>1826</v>
      </c>
      <c r="G547" s="3" t="s">
        <v>1827</v>
      </c>
      <c r="H547" s="3" t="s">
        <v>1828</v>
      </c>
      <c r="N547" s="3" t="s">
        <v>3736</v>
      </c>
      <c r="O547" s="3" t="s">
        <v>1829</v>
      </c>
      <c r="S547" s="3" t="s">
        <v>3737</v>
      </c>
    </row>
    <row r="548" spans="1:19">
      <c r="A548" s="3" t="s">
        <v>2812</v>
      </c>
      <c r="C548" s="3" t="s">
        <v>1795</v>
      </c>
      <c r="D548" s="3" t="s">
        <v>1796</v>
      </c>
      <c r="E548" s="3" t="s">
        <v>1797</v>
      </c>
      <c r="F548" s="3" t="s">
        <v>1798</v>
      </c>
    </row>
    <row r="549" spans="1:19">
      <c r="A549" s="3" t="s">
        <v>91</v>
      </c>
      <c r="C549" s="3" t="s">
        <v>2659</v>
      </c>
      <c r="D549" s="3" t="s">
        <v>2660</v>
      </c>
      <c r="E549" s="3" t="s">
        <v>2661</v>
      </c>
      <c r="F549" s="3" t="s">
        <v>2662</v>
      </c>
      <c r="K549" s="3" t="s">
        <v>3738</v>
      </c>
      <c r="L549" s="3" t="s">
        <v>1830</v>
      </c>
      <c r="M549" s="3" t="s">
        <v>1831</v>
      </c>
      <c r="S549" s="3" t="s">
        <v>3739</v>
      </c>
    </row>
    <row r="550" spans="1:19">
      <c r="A550" s="3" t="s">
        <v>91</v>
      </c>
      <c r="C550" s="3" t="s">
        <v>3740</v>
      </c>
      <c r="D550" s="3" t="s">
        <v>3741</v>
      </c>
      <c r="E550" s="3" t="s">
        <v>1832</v>
      </c>
      <c r="F550" s="3" t="s">
        <v>3742</v>
      </c>
      <c r="K550" s="3" t="s">
        <v>2777</v>
      </c>
      <c r="L550" s="3" t="s">
        <v>3743</v>
      </c>
      <c r="M550" s="3" t="s">
        <v>3744</v>
      </c>
    </row>
    <row r="551" spans="1:19">
      <c r="A551" s="3" t="s">
        <v>91</v>
      </c>
      <c r="C551" s="3" t="s">
        <v>1833</v>
      </c>
      <c r="D551" s="3" t="s">
        <v>1834</v>
      </c>
      <c r="E551" s="3" t="s">
        <v>1835</v>
      </c>
      <c r="F551" s="3" t="s">
        <v>1836</v>
      </c>
      <c r="G551" s="3" t="s">
        <v>3745</v>
      </c>
      <c r="H551" s="3" t="s">
        <v>3746</v>
      </c>
      <c r="N551" s="3" t="s">
        <v>3747</v>
      </c>
      <c r="O551" s="3" t="s">
        <v>3748</v>
      </c>
    </row>
    <row r="552" spans="1:19">
      <c r="A552" s="3" t="s">
        <v>91</v>
      </c>
      <c r="C552" s="3" t="s">
        <v>1837</v>
      </c>
      <c r="D552" s="3" t="s">
        <v>1838</v>
      </c>
      <c r="E552" s="3" t="s">
        <v>1839</v>
      </c>
      <c r="F552" s="3" t="s">
        <v>1840</v>
      </c>
      <c r="G552" s="3" t="s">
        <v>1841</v>
      </c>
      <c r="H552" s="3" t="s">
        <v>1842</v>
      </c>
      <c r="I552" s="3" t="s">
        <v>3749</v>
      </c>
      <c r="P552" s="3" t="s">
        <v>4514</v>
      </c>
      <c r="Q552" s="3" t="s">
        <v>4521</v>
      </c>
      <c r="R552" s="3" t="s">
        <v>4528</v>
      </c>
      <c r="S552" s="3" t="s">
        <v>4535</v>
      </c>
    </row>
    <row r="553" spans="1:19">
      <c r="A553" s="3" t="s">
        <v>91</v>
      </c>
      <c r="C553" s="3" t="s">
        <v>1843</v>
      </c>
      <c r="D553" s="3" t="s">
        <v>1844</v>
      </c>
      <c r="E553" s="3" t="s">
        <v>1845</v>
      </c>
      <c r="F553" s="3" t="s">
        <v>1846</v>
      </c>
      <c r="G553" s="3" t="s">
        <v>1847</v>
      </c>
      <c r="H553" s="3" t="s">
        <v>1848</v>
      </c>
      <c r="I553" s="3" t="s">
        <v>4008</v>
      </c>
      <c r="P553" s="3" t="s">
        <v>4515</v>
      </c>
      <c r="Q553" s="3" t="s">
        <v>4522</v>
      </c>
      <c r="R553" s="3" t="s">
        <v>4529</v>
      </c>
      <c r="S553" s="3" t="s">
        <v>4536</v>
      </c>
    </row>
    <row r="554" spans="1:19">
      <c r="A554" s="3" t="s">
        <v>91</v>
      </c>
      <c r="C554" s="3" t="s">
        <v>3124</v>
      </c>
      <c r="D554" s="3" t="s">
        <v>3125</v>
      </c>
      <c r="E554" s="3" t="s">
        <v>3126</v>
      </c>
      <c r="F554" s="3" t="s">
        <v>3127</v>
      </c>
      <c r="G554" s="3" t="s">
        <v>3128</v>
      </c>
      <c r="H554" s="3" t="s">
        <v>3129</v>
      </c>
      <c r="I554" s="3" t="s">
        <v>4044</v>
      </c>
      <c r="P554" s="3" t="s">
        <v>4516</v>
      </c>
      <c r="Q554" s="3" t="s">
        <v>4523</v>
      </c>
      <c r="R554" s="3" t="s">
        <v>4530</v>
      </c>
      <c r="S554" s="3" t="s">
        <v>4537</v>
      </c>
    </row>
    <row r="555" spans="1:19">
      <c r="A555" s="3" t="s">
        <v>91</v>
      </c>
      <c r="C555" s="3" t="s">
        <v>1849</v>
      </c>
      <c r="D555" s="3" t="s">
        <v>1850</v>
      </c>
      <c r="E555" s="3" t="s">
        <v>1851</v>
      </c>
      <c r="F555" s="3" t="s">
        <v>1852</v>
      </c>
      <c r="G555" s="3" t="s">
        <v>1853</v>
      </c>
      <c r="H555" s="3" t="s">
        <v>1854</v>
      </c>
      <c r="I555" s="3" t="s">
        <v>3881</v>
      </c>
      <c r="P555" s="3" t="s">
        <v>4517</v>
      </c>
      <c r="Q555" s="3" t="s">
        <v>4524</v>
      </c>
      <c r="R555" s="3" t="s">
        <v>4531</v>
      </c>
      <c r="S555" s="3" t="s">
        <v>4538</v>
      </c>
    </row>
    <row r="556" spans="1:19">
      <c r="A556" s="3" t="s">
        <v>91</v>
      </c>
      <c r="C556" s="3" t="s">
        <v>1855</v>
      </c>
      <c r="D556" s="3" t="s">
        <v>1856</v>
      </c>
      <c r="E556" s="3" t="s">
        <v>1857</v>
      </c>
      <c r="F556" s="3" t="s">
        <v>1858</v>
      </c>
      <c r="G556" s="3" t="s">
        <v>1859</v>
      </c>
      <c r="H556" s="3" t="s">
        <v>3130</v>
      </c>
      <c r="I556" s="3" t="s">
        <v>3940</v>
      </c>
      <c r="P556" s="3" t="s">
        <v>4518</v>
      </c>
      <c r="Q556" s="3" t="s">
        <v>4525</v>
      </c>
      <c r="R556" s="3" t="s">
        <v>4532</v>
      </c>
      <c r="S556" s="3" t="s">
        <v>4539</v>
      </c>
    </row>
    <row r="557" spans="1:19">
      <c r="A557" s="3" t="s">
        <v>91</v>
      </c>
      <c r="C557" s="3" t="s">
        <v>1860</v>
      </c>
      <c r="D557" s="3" t="s">
        <v>1861</v>
      </c>
      <c r="E557" s="3" t="s">
        <v>1862</v>
      </c>
      <c r="F557" s="3" t="s">
        <v>1863</v>
      </c>
      <c r="G557" s="3" t="s">
        <v>1864</v>
      </c>
      <c r="H557" s="3" t="s">
        <v>1865</v>
      </c>
      <c r="I557" s="3" t="s">
        <v>3888</v>
      </c>
      <c r="P557" s="3" t="s">
        <v>4519</v>
      </c>
      <c r="Q557" s="3" t="s">
        <v>4526</v>
      </c>
      <c r="R557" s="3" t="s">
        <v>4533</v>
      </c>
      <c r="S557" s="3" t="s">
        <v>4540</v>
      </c>
    </row>
    <row r="558" spans="1:19">
      <c r="A558" s="3" t="s">
        <v>91</v>
      </c>
      <c r="C558" s="3" t="s">
        <v>1866</v>
      </c>
      <c r="D558" s="3" t="s">
        <v>1867</v>
      </c>
      <c r="E558" s="3" t="s">
        <v>1868</v>
      </c>
      <c r="F558" s="3" t="s">
        <v>1869</v>
      </c>
      <c r="G558" s="3" t="s">
        <v>1870</v>
      </c>
      <c r="H558" s="3" t="s">
        <v>1871</v>
      </c>
      <c r="I558" s="3" t="s">
        <v>4045</v>
      </c>
      <c r="P558" s="3" t="s">
        <v>4520</v>
      </c>
      <c r="Q558" s="3" t="s">
        <v>4527</v>
      </c>
      <c r="R558" s="3" t="s">
        <v>4534</v>
      </c>
      <c r="S558" s="3" t="s">
        <v>4541</v>
      </c>
    </row>
    <row r="559" spans="1:19">
      <c r="A559" s="3" t="s">
        <v>2812</v>
      </c>
      <c r="C559" s="3" t="s">
        <v>1843</v>
      </c>
      <c r="D559" s="3" t="s">
        <v>1844</v>
      </c>
      <c r="E559" s="3" t="s">
        <v>1845</v>
      </c>
      <c r="F559" s="3" t="s">
        <v>1846</v>
      </c>
      <c r="G559" s="3" t="s">
        <v>1847</v>
      </c>
      <c r="H559" s="3" t="s">
        <v>1848</v>
      </c>
    </row>
    <row r="560" spans="1:19">
      <c r="A560" s="3" t="s">
        <v>91</v>
      </c>
      <c r="C560" s="3" t="s">
        <v>1872</v>
      </c>
      <c r="D560" s="3" t="s">
        <v>1873</v>
      </c>
      <c r="E560" s="3" t="s">
        <v>1874</v>
      </c>
      <c r="F560" s="3" t="s">
        <v>1875</v>
      </c>
      <c r="G560" s="3" t="s">
        <v>1876</v>
      </c>
      <c r="H560" s="3" t="s">
        <v>1877</v>
      </c>
      <c r="N560" s="3" t="s">
        <v>3750</v>
      </c>
      <c r="O560" s="3" t="s">
        <v>1878</v>
      </c>
      <c r="S560" s="3" t="s">
        <v>3751</v>
      </c>
    </row>
    <row r="561" spans="1:19">
      <c r="A561" s="3" t="s">
        <v>91</v>
      </c>
      <c r="C561" s="3" t="s">
        <v>1879</v>
      </c>
      <c r="D561" s="3" t="s">
        <v>1880</v>
      </c>
      <c r="E561" s="3" t="s">
        <v>1881</v>
      </c>
      <c r="F561" s="3" t="s">
        <v>1882</v>
      </c>
      <c r="G561" s="3" t="s">
        <v>3752</v>
      </c>
      <c r="H561" s="3" t="s">
        <v>3753</v>
      </c>
      <c r="N561" s="3" t="s">
        <v>2778</v>
      </c>
      <c r="O561" s="3" t="s">
        <v>3754</v>
      </c>
    </row>
    <row r="562" spans="1:19">
      <c r="A562" s="3" t="s">
        <v>91</v>
      </c>
      <c r="C562" s="3" t="s">
        <v>1883</v>
      </c>
      <c r="D562" s="3" t="s">
        <v>1884</v>
      </c>
      <c r="E562" s="3" t="s">
        <v>1885</v>
      </c>
      <c r="F562" s="3" t="s">
        <v>1886</v>
      </c>
      <c r="G562" s="3" t="s">
        <v>1887</v>
      </c>
      <c r="H562" s="3" t="s">
        <v>1888</v>
      </c>
      <c r="I562" s="3" t="s">
        <v>3755</v>
      </c>
      <c r="P562" s="3" t="s">
        <v>4542</v>
      </c>
      <c r="Q562" s="3" t="s">
        <v>4549</v>
      </c>
      <c r="R562" s="3" t="s">
        <v>4556</v>
      </c>
      <c r="S562" s="3" t="s">
        <v>4563</v>
      </c>
    </row>
    <row r="563" spans="1:19">
      <c r="A563" s="3" t="s">
        <v>91</v>
      </c>
      <c r="C563" s="3" t="s">
        <v>1889</v>
      </c>
      <c r="D563" s="3" t="s">
        <v>1890</v>
      </c>
      <c r="E563" s="3" t="s">
        <v>1891</v>
      </c>
      <c r="F563" s="3" t="s">
        <v>1892</v>
      </c>
      <c r="G563" s="3" t="s">
        <v>1893</v>
      </c>
      <c r="H563" s="3" t="s">
        <v>1894</v>
      </c>
      <c r="I563" s="3" t="s">
        <v>4008</v>
      </c>
      <c r="P563" s="3" t="s">
        <v>4543</v>
      </c>
      <c r="Q563" s="3" t="s">
        <v>4550</v>
      </c>
      <c r="R563" s="3" t="s">
        <v>4557</v>
      </c>
      <c r="S563" s="3" t="s">
        <v>4564</v>
      </c>
    </row>
    <row r="564" spans="1:19">
      <c r="A564" s="3" t="s">
        <v>91</v>
      </c>
      <c r="C564" s="3" t="s">
        <v>3131</v>
      </c>
      <c r="D564" s="3" t="s">
        <v>3132</v>
      </c>
      <c r="E564" s="3" t="s">
        <v>3133</v>
      </c>
      <c r="F564" s="3" t="s">
        <v>3134</v>
      </c>
      <c r="G564" s="3" t="s">
        <v>3135</v>
      </c>
      <c r="H564" s="3" t="s">
        <v>3136</v>
      </c>
      <c r="I564" s="3" t="s">
        <v>4044</v>
      </c>
      <c r="P564" s="3" t="s">
        <v>4544</v>
      </c>
      <c r="Q564" s="3" t="s">
        <v>4551</v>
      </c>
      <c r="R564" s="3" t="s">
        <v>4558</v>
      </c>
      <c r="S564" s="3" t="s">
        <v>4565</v>
      </c>
    </row>
    <row r="565" spans="1:19">
      <c r="A565" s="3" t="s">
        <v>91</v>
      </c>
      <c r="C565" s="3" t="s">
        <v>1895</v>
      </c>
      <c r="D565" s="3" t="s">
        <v>1896</v>
      </c>
      <c r="E565" s="3" t="s">
        <v>1897</v>
      </c>
      <c r="F565" s="3" t="s">
        <v>1898</v>
      </c>
      <c r="G565" s="3" t="s">
        <v>1899</v>
      </c>
      <c r="H565" s="3" t="s">
        <v>1900</v>
      </c>
      <c r="I565" s="3" t="s">
        <v>3881</v>
      </c>
      <c r="P565" s="3" t="s">
        <v>4545</v>
      </c>
      <c r="Q565" s="3" t="s">
        <v>4552</v>
      </c>
      <c r="R565" s="3" t="s">
        <v>4559</v>
      </c>
      <c r="S565" s="3" t="s">
        <v>4566</v>
      </c>
    </row>
    <row r="566" spans="1:19">
      <c r="A566" s="3" t="s">
        <v>91</v>
      </c>
      <c r="C566" s="3" t="s">
        <v>1901</v>
      </c>
      <c r="D566" s="3" t="s">
        <v>1902</v>
      </c>
      <c r="E566" s="3" t="s">
        <v>1903</v>
      </c>
      <c r="F566" s="3" t="s">
        <v>1904</v>
      </c>
      <c r="G566" s="3" t="s">
        <v>1905</v>
      </c>
      <c r="H566" s="3" t="s">
        <v>3137</v>
      </c>
      <c r="I566" s="3" t="s">
        <v>3940</v>
      </c>
      <c r="P566" s="3" t="s">
        <v>4546</v>
      </c>
      <c r="Q566" s="3" t="s">
        <v>4553</v>
      </c>
      <c r="R566" s="3" t="s">
        <v>4560</v>
      </c>
      <c r="S566" s="3" t="s">
        <v>4567</v>
      </c>
    </row>
    <row r="567" spans="1:19">
      <c r="A567" s="3" t="s">
        <v>91</v>
      </c>
      <c r="C567" s="3" t="s">
        <v>1906</v>
      </c>
      <c r="D567" s="3" t="s">
        <v>1907</v>
      </c>
      <c r="E567" s="3" t="s">
        <v>1908</v>
      </c>
      <c r="F567" s="3" t="s">
        <v>1909</v>
      </c>
      <c r="G567" s="3" t="s">
        <v>1910</v>
      </c>
      <c r="H567" s="3" t="s">
        <v>1911</v>
      </c>
      <c r="I567" s="3" t="s">
        <v>3888</v>
      </c>
      <c r="P567" s="3" t="s">
        <v>4547</v>
      </c>
      <c r="Q567" s="3" t="s">
        <v>4554</v>
      </c>
      <c r="R567" s="3" t="s">
        <v>4561</v>
      </c>
      <c r="S567" s="3" t="s">
        <v>4568</v>
      </c>
    </row>
    <row r="568" spans="1:19">
      <c r="A568" s="3" t="s">
        <v>91</v>
      </c>
      <c r="C568" s="3" t="s">
        <v>2663</v>
      </c>
      <c r="D568" s="3" t="s">
        <v>2664</v>
      </c>
      <c r="E568" s="3" t="s">
        <v>2665</v>
      </c>
      <c r="F568" s="3" t="s">
        <v>2666</v>
      </c>
      <c r="G568" s="3" t="s">
        <v>2667</v>
      </c>
      <c r="H568" s="3" t="s">
        <v>2668</v>
      </c>
      <c r="I568" s="3" t="s">
        <v>4045</v>
      </c>
      <c r="P568" s="3" t="s">
        <v>4548</v>
      </c>
      <c r="Q568" s="3" t="s">
        <v>4555</v>
      </c>
      <c r="R568" s="3" t="s">
        <v>4562</v>
      </c>
      <c r="S568" s="3" t="s">
        <v>4569</v>
      </c>
    </row>
    <row r="569" spans="1:19">
      <c r="A569" s="3" t="s">
        <v>2812</v>
      </c>
      <c r="C569" s="3" t="s">
        <v>1889</v>
      </c>
      <c r="D569" s="3" t="s">
        <v>1890</v>
      </c>
      <c r="E569" s="3" t="s">
        <v>1891</v>
      </c>
      <c r="F569" s="3" t="s">
        <v>1892</v>
      </c>
      <c r="G569" s="3" t="s">
        <v>1893</v>
      </c>
      <c r="H569" s="3" t="s">
        <v>1894</v>
      </c>
    </row>
    <row r="570" spans="1:19">
      <c r="A570" s="3" t="s">
        <v>91</v>
      </c>
      <c r="C570" s="3" t="s">
        <v>1913</v>
      </c>
      <c r="D570" s="3" t="s">
        <v>1914</v>
      </c>
      <c r="E570" s="3" t="s">
        <v>1915</v>
      </c>
      <c r="F570" s="3" t="s">
        <v>1916</v>
      </c>
      <c r="G570" s="3" t="s">
        <v>1912</v>
      </c>
      <c r="H570" s="3" t="s">
        <v>2669</v>
      </c>
      <c r="N570" s="3" t="s">
        <v>3138</v>
      </c>
      <c r="O570" s="3" t="s">
        <v>1921</v>
      </c>
      <c r="S570" s="3" t="s">
        <v>3756</v>
      </c>
    </row>
    <row r="571" spans="1:19">
      <c r="A571" s="3" t="s">
        <v>91</v>
      </c>
      <c r="C571" s="3" t="s">
        <v>1917</v>
      </c>
      <c r="D571" s="3" t="s">
        <v>1918</v>
      </c>
      <c r="E571" s="3" t="s">
        <v>1919</v>
      </c>
      <c r="F571" s="3" t="s">
        <v>1920</v>
      </c>
      <c r="G571" s="3" t="s">
        <v>3139</v>
      </c>
      <c r="H571" s="3" t="s">
        <v>3140</v>
      </c>
      <c r="N571" s="3" t="s">
        <v>2779</v>
      </c>
      <c r="O571" s="3" t="s">
        <v>3141</v>
      </c>
    </row>
    <row r="572" spans="1:19">
      <c r="A572" s="3" t="s">
        <v>91</v>
      </c>
      <c r="C572" s="3" t="s">
        <v>1922</v>
      </c>
      <c r="D572" s="3" t="s">
        <v>1923</v>
      </c>
      <c r="E572" s="3" t="s">
        <v>1924</v>
      </c>
      <c r="F572" s="3" t="s">
        <v>1925</v>
      </c>
      <c r="G572" s="3" t="s">
        <v>1926</v>
      </c>
      <c r="H572" s="3" t="s">
        <v>1927</v>
      </c>
      <c r="I572" s="3" t="s">
        <v>3142</v>
      </c>
      <c r="P572" s="3" t="s">
        <v>4046</v>
      </c>
      <c r="Q572" s="3" t="s">
        <v>4047</v>
      </c>
      <c r="R572" s="3" t="s">
        <v>4048</v>
      </c>
      <c r="S572" s="3" t="s">
        <v>4049</v>
      </c>
    </row>
    <row r="573" spans="1:19">
      <c r="A573" s="3" t="s">
        <v>91</v>
      </c>
      <c r="C573" s="3" t="s">
        <v>2670</v>
      </c>
      <c r="D573" s="3" t="s">
        <v>2671</v>
      </c>
      <c r="E573" s="3" t="s">
        <v>2672</v>
      </c>
      <c r="F573" s="3" t="s">
        <v>2673</v>
      </c>
      <c r="G573" s="3" t="s">
        <v>2674</v>
      </c>
      <c r="H573" s="3" t="s">
        <v>2675</v>
      </c>
      <c r="I573" s="3" t="s">
        <v>4050</v>
      </c>
      <c r="P573" s="3" t="s">
        <v>4051</v>
      </c>
      <c r="Q573" s="3" t="s">
        <v>4052</v>
      </c>
      <c r="R573" s="3" t="s">
        <v>4053</v>
      </c>
      <c r="S573" s="3" t="s">
        <v>4054</v>
      </c>
    </row>
    <row r="574" spans="1:19">
      <c r="A574" s="3" t="s">
        <v>2812</v>
      </c>
      <c r="C574" s="3" t="s">
        <v>2670</v>
      </c>
      <c r="D574" s="3" t="s">
        <v>2671</v>
      </c>
      <c r="E574" s="3" t="s">
        <v>2672</v>
      </c>
      <c r="F574" s="3" t="s">
        <v>2673</v>
      </c>
      <c r="G574" s="3" t="s">
        <v>2674</v>
      </c>
      <c r="H574" s="3" t="s">
        <v>2675</v>
      </c>
    </row>
    <row r="575" spans="1:19">
      <c r="A575" s="3" t="s">
        <v>91</v>
      </c>
      <c r="C575" s="3" t="s">
        <v>1929</v>
      </c>
      <c r="D575" s="3" t="s">
        <v>1930</v>
      </c>
      <c r="E575" s="3" t="s">
        <v>1931</v>
      </c>
      <c r="F575" s="3" t="s">
        <v>1932</v>
      </c>
      <c r="G575" s="3" t="s">
        <v>1928</v>
      </c>
      <c r="H575" s="3" t="s">
        <v>2676</v>
      </c>
      <c r="N575" s="3" t="s">
        <v>2677</v>
      </c>
      <c r="O575" s="3" t="s">
        <v>1933</v>
      </c>
      <c r="S575" s="3" t="s">
        <v>3757</v>
      </c>
    </row>
    <row r="576" spans="1:19">
      <c r="A576" s="3" t="s">
        <v>2812</v>
      </c>
      <c r="C576" s="3" t="s">
        <v>1879</v>
      </c>
      <c r="D576" s="3" t="s">
        <v>1880</v>
      </c>
      <c r="E576" s="3" t="s">
        <v>1881</v>
      </c>
      <c r="F576" s="3" t="s">
        <v>1882</v>
      </c>
    </row>
    <row r="577" spans="1:19">
      <c r="A577" s="3" t="s">
        <v>91</v>
      </c>
      <c r="C577" s="3" t="s">
        <v>1934</v>
      </c>
      <c r="D577" s="3" t="s">
        <v>1935</v>
      </c>
      <c r="E577" s="3" t="s">
        <v>1936</v>
      </c>
      <c r="F577" s="3" t="s">
        <v>1937</v>
      </c>
      <c r="K577" s="3" t="s">
        <v>2678</v>
      </c>
      <c r="L577" s="3" t="s">
        <v>2679</v>
      </c>
      <c r="M577" s="3" t="s">
        <v>2680</v>
      </c>
      <c r="S577" s="3" t="s">
        <v>3758</v>
      </c>
    </row>
    <row r="578" spans="1:19">
      <c r="A578" s="3" t="s">
        <v>91</v>
      </c>
      <c r="E578" s="3" t="s">
        <v>2997</v>
      </c>
    </row>
    <row r="579" spans="1:19">
      <c r="A579" s="3" t="s">
        <v>91</v>
      </c>
      <c r="E579" s="3" t="s">
        <v>1938</v>
      </c>
      <c r="J579" s="3" t="s">
        <v>3759</v>
      </c>
      <c r="S579" s="3" t="s">
        <v>3760</v>
      </c>
    </row>
    <row r="580" spans="1:19">
      <c r="A580" s="3" t="s">
        <v>91</v>
      </c>
    </row>
    <row r="581" spans="1:19">
      <c r="A581" s="3" t="s">
        <v>91</v>
      </c>
      <c r="E581" s="3" t="s">
        <v>3761</v>
      </c>
      <c r="J581" s="3" t="s">
        <v>2780</v>
      </c>
    </row>
    <row r="582" spans="1:19">
      <c r="A582" s="3" t="s">
        <v>91</v>
      </c>
      <c r="C582" s="3" t="s">
        <v>3762</v>
      </c>
      <c r="D582" s="3" t="s">
        <v>3763</v>
      </c>
      <c r="E582" s="3" t="s">
        <v>1939</v>
      </c>
      <c r="F582" s="3" t="s">
        <v>3764</v>
      </c>
      <c r="K582" s="3" t="s">
        <v>3765</v>
      </c>
      <c r="L582" s="3" t="s">
        <v>3766</v>
      </c>
      <c r="M582" s="3" t="s">
        <v>3767</v>
      </c>
    </row>
    <row r="583" spans="1:19">
      <c r="A583" s="3" t="s">
        <v>91</v>
      </c>
      <c r="C583" s="3" t="s">
        <v>1940</v>
      </c>
      <c r="D583" s="3" t="s">
        <v>1941</v>
      </c>
      <c r="E583" s="3" t="s">
        <v>1942</v>
      </c>
      <c r="F583" s="3" t="s">
        <v>1943</v>
      </c>
      <c r="G583" s="3" t="s">
        <v>3768</v>
      </c>
      <c r="H583" s="3" t="s">
        <v>3769</v>
      </c>
      <c r="N583" s="3" t="s">
        <v>3770</v>
      </c>
      <c r="O583" s="3" t="s">
        <v>3771</v>
      </c>
    </row>
    <row r="584" spans="1:19">
      <c r="A584" s="3" t="s">
        <v>91</v>
      </c>
      <c r="C584" s="3" t="s">
        <v>1944</v>
      </c>
      <c r="D584" s="3" t="s">
        <v>1945</v>
      </c>
      <c r="E584" s="3" t="s">
        <v>1946</v>
      </c>
      <c r="F584" s="3" t="s">
        <v>1947</v>
      </c>
      <c r="G584" s="3" t="s">
        <v>1948</v>
      </c>
      <c r="H584" s="3" t="s">
        <v>1949</v>
      </c>
      <c r="I584" s="3" t="s">
        <v>3772</v>
      </c>
      <c r="P584" s="3" t="s">
        <v>4266</v>
      </c>
      <c r="Q584" s="3" t="s">
        <v>4272</v>
      </c>
      <c r="R584" s="3" t="s">
        <v>4278</v>
      </c>
      <c r="S584" s="3" t="s">
        <v>4284</v>
      </c>
    </row>
    <row r="585" spans="1:19">
      <c r="A585" s="3" t="s">
        <v>91</v>
      </c>
      <c r="C585" s="3" t="s">
        <v>1950</v>
      </c>
      <c r="D585" s="3" t="s">
        <v>1951</v>
      </c>
      <c r="E585" s="3" t="s">
        <v>1952</v>
      </c>
      <c r="F585" s="3" t="s">
        <v>1953</v>
      </c>
      <c r="G585" s="3" t="s">
        <v>1954</v>
      </c>
      <c r="H585" s="3" t="s">
        <v>1955</v>
      </c>
      <c r="I585" s="3" t="s">
        <v>4055</v>
      </c>
      <c r="P585" s="3" t="s">
        <v>4267</v>
      </c>
      <c r="Q585" s="3" t="s">
        <v>4273</v>
      </c>
      <c r="R585" s="3" t="s">
        <v>4279</v>
      </c>
      <c r="S585" s="3" t="s">
        <v>4285</v>
      </c>
    </row>
    <row r="586" spans="1:19">
      <c r="A586" s="3" t="s">
        <v>91</v>
      </c>
      <c r="C586" s="3" t="s">
        <v>3143</v>
      </c>
      <c r="D586" s="3" t="s">
        <v>3144</v>
      </c>
      <c r="E586" s="3" t="s">
        <v>3145</v>
      </c>
      <c r="F586" s="3" t="s">
        <v>3146</v>
      </c>
      <c r="G586" s="3" t="s">
        <v>3147</v>
      </c>
      <c r="H586" s="3" t="s">
        <v>3148</v>
      </c>
      <c r="I586" s="3" t="s">
        <v>3881</v>
      </c>
      <c r="P586" s="3" t="s">
        <v>4268</v>
      </c>
      <c r="Q586" s="3" t="s">
        <v>4274</v>
      </c>
      <c r="R586" s="3" t="s">
        <v>4280</v>
      </c>
      <c r="S586" s="3" t="s">
        <v>4286</v>
      </c>
    </row>
    <row r="587" spans="1:19">
      <c r="A587" s="3" t="s">
        <v>91</v>
      </c>
      <c r="C587" s="3" t="s">
        <v>1956</v>
      </c>
      <c r="D587" s="3" t="s">
        <v>1957</v>
      </c>
      <c r="E587" s="3" t="s">
        <v>1958</v>
      </c>
      <c r="F587" s="3" t="s">
        <v>1959</v>
      </c>
      <c r="G587" s="3" t="s">
        <v>1960</v>
      </c>
      <c r="H587" s="3" t="s">
        <v>1961</v>
      </c>
      <c r="I587" s="3" t="s">
        <v>3882</v>
      </c>
      <c r="P587" s="3" t="s">
        <v>4269</v>
      </c>
      <c r="Q587" s="3" t="s">
        <v>4275</v>
      </c>
      <c r="R587" s="3" t="s">
        <v>4281</v>
      </c>
      <c r="S587" s="3" t="s">
        <v>4287</v>
      </c>
    </row>
    <row r="588" spans="1:19">
      <c r="A588" s="3" t="s">
        <v>91</v>
      </c>
      <c r="C588" s="3" t="s">
        <v>1962</v>
      </c>
      <c r="D588" s="3" t="s">
        <v>1963</v>
      </c>
      <c r="E588" s="3" t="s">
        <v>1964</v>
      </c>
      <c r="F588" s="3" t="s">
        <v>1965</v>
      </c>
      <c r="G588" s="3" t="s">
        <v>1966</v>
      </c>
      <c r="H588" s="3" t="s">
        <v>3149</v>
      </c>
      <c r="I588" s="3" t="s">
        <v>3883</v>
      </c>
      <c r="P588" s="3" t="s">
        <v>4270</v>
      </c>
      <c r="Q588" s="3" t="s">
        <v>4276</v>
      </c>
      <c r="R588" s="3" t="s">
        <v>4282</v>
      </c>
      <c r="S588" s="3" t="s">
        <v>4288</v>
      </c>
    </row>
    <row r="589" spans="1:19">
      <c r="A589" s="3" t="s">
        <v>91</v>
      </c>
      <c r="C589" s="3" t="s">
        <v>1967</v>
      </c>
      <c r="D589" s="3" t="s">
        <v>1968</v>
      </c>
      <c r="E589" s="3" t="s">
        <v>1969</v>
      </c>
      <c r="F589" s="3" t="s">
        <v>1970</v>
      </c>
      <c r="G589" s="3" t="s">
        <v>1971</v>
      </c>
      <c r="H589" s="3" t="s">
        <v>1972</v>
      </c>
      <c r="I589" s="3" t="s">
        <v>4056</v>
      </c>
      <c r="P589" s="3" t="s">
        <v>4271</v>
      </c>
      <c r="Q589" s="3" t="s">
        <v>4277</v>
      </c>
      <c r="R589" s="3" t="s">
        <v>4283</v>
      </c>
      <c r="S589" s="3" t="s">
        <v>4289</v>
      </c>
    </row>
    <row r="590" spans="1:19">
      <c r="A590" s="3" t="s">
        <v>2812</v>
      </c>
      <c r="C590" s="3" t="s">
        <v>1950</v>
      </c>
      <c r="D590" s="3" t="s">
        <v>1951</v>
      </c>
      <c r="E590" s="3" t="s">
        <v>1952</v>
      </c>
      <c r="F590" s="3" t="s">
        <v>1953</v>
      </c>
      <c r="G590" s="3" t="s">
        <v>1954</v>
      </c>
      <c r="H590" s="3" t="s">
        <v>1955</v>
      </c>
    </row>
    <row r="591" spans="1:19">
      <c r="A591" s="3" t="s">
        <v>91</v>
      </c>
      <c r="C591" s="3" t="s">
        <v>1973</v>
      </c>
      <c r="D591" s="3" t="s">
        <v>1974</v>
      </c>
      <c r="E591" s="3" t="s">
        <v>1975</v>
      </c>
      <c r="F591" s="3" t="s">
        <v>1976</v>
      </c>
      <c r="G591" s="3" t="s">
        <v>1977</v>
      </c>
      <c r="H591" s="3" t="s">
        <v>1978</v>
      </c>
      <c r="N591" s="3" t="s">
        <v>3773</v>
      </c>
      <c r="O591" s="3" t="s">
        <v>1979</v>
      </c>
      <c r="S591" s="3" t="s">
        <v>3774</v>
      </c>
    </row>
    <row r="592" spans="1:19">
      <c r="A592" s="3" t="s">
        <v>91</v>
      </c>
      <c r="C592" s="3" t="s">
        <v>1980</v>
      </c>
      <c r="D592" s="3" t="s">
        <v>1981</v>
      </c>
      <c r="E592" s="3" t="s">
        <v>1982</v>
      </c>
      <c r="F592" s="3" t="s">
        <v>1983</v>
      </c>
      <c r="G592" s="3" t="s">
        <v>3775</v>
      </c>
      <c r="H592" s="3" t="s">
        <v>3776</v>
      </c>
      <c r="N592" s="3" t="s">
        <v>2781</v>
      </c>
      <c r="O592" s="3" t="s">
        <v>3777</v>
      </c>
    </row>
    <row r="593" spans="1:19">
      <c r="A593" s="3" t="s">
        <v>91</v>
      </c>
      <c r="C593" s="3" t="s">
        <v>1984</v>
      </c>
      <c r="D593" s="3" t="s">
        <v>1985</v>
      </c>
      <c r="E593" s="3" t="s">
        <v>1986</v>
      </c>
      <c r="F593" s="3" t="s">
        <v>1987</v>
      </c>
      <c r="G593" s="3" t="s">
        <v>1988</v>
      </c>
      <c r="H593" s="3" t="s">
        <v>1989</v>
      </c>
      <c r="I593" s="3" t="s">
        <v>3778</v>
      </c>
      <c r="P593" s="3" t="s">
        <v>4290</v>
      </c>
      <c r="Q593" s="3" t="s">
        <v>4295</v>
      </c>
      <c r="R593" s="3" t="s">
        <v>4300</v>
      </c>
      <c r="S593" s="3" t="s">
        <v>4305</v>
      </c>
    </row>
    <row r="594" spans="1:19">
      <c r="A594" s="3" t="s">
        <v>91</v>
      </c>
      <c r="C594" s="3" t="s">
        <v>1990</v>
      </c>
      <c r="D594" s="3" t="s">
        <v>1991</v>
      </c>
      <c r="E594" s="3" t="s">
        <v>1992</v>
      </c>
      <c r="F594" s="3" t="s">
        <v>1993</v>
      </c>
      <c r="G594" s="3" t="s">
        <v>1994</v>
      </c>
      <c r="H594" s="3" t="s">
        <v>1995</v>
      </c>
      <c r="I594" s="3" t="s">
        <v>3881</v>
      </c>
      <c r="P594" s="3" t="s">
        <v>4291</v>
      </c>
      <c r="Q594" s="3" t="s">
        <v>4296</v>
      </c>
      <c r="R594" s="3" t="s">
        <v>4301</v>
      </c>
      <c r="S594" s="3" t="s">
        <v>4306</v>
      </c>
    </row>
    <row r="595" spans="1:19">
      <c r="A595" s="3" t="s">
        <v>91</v>
      </c>
      <c r="C595" s="3" t="s">
        <v>1996</v>
      </c>
      <c r="D595" s="3" t="s">
        <v>1997</v>
      </c>
      <c r="E595" s="3" t="s">
        <v>1998</v>
      </c>
      <c r="F595" s="3" t="s">
        <v>1999</v>
      </c>
      <c r="G595" s="3" t="s">
        <v>2000</v>
      </c>
      <c r="H595" s="3" t="s">
        <v>2001</v>
      </c>
      <c r="I595" s="3" t="s">
        <v>3882</v>
      </c>
      <c r="P595" s="3" t="s">
        <v>4292</v>
      </c>
      <c r="Q595" s="3" t="s">
        <v>4297</v>
      </c>
      <c r="R595" s="3" t="s">
        <v>4302</v>
      </c>
      <c r="S595" s="3" t="s">
        <v>4307</v>
      </c>
    </row>
    <row r="596" spans="1:19">
      <c r="A596" s="3" t="s">
        <v>91</v>
      </c>
      <c r="C596" s="3" t="s">
        <v>3150</v>
      </c>
      <c r="D596" s="3" t="s">
        <v>3151</v>
      </c>
      <c r="E596" s="3" t="s">
        <v>3152</v>
      </c>
      <c r="F596" s="3" t="s">
        <v>3779</v>
      </c>
      <c r="G596" s="3" t="s">
        <v>3780</v>
      </c>
      <c r="H596" s="3" t="s">
        <v>3781</v>
      </c>
      <c r="I596" s="3" t="s">
        <v>3883</v>
      </c>
      <c r="P596" s="3" t="s">
        <v>4293</v>
      </c>
      <c r="Q596" s="3" t="s">
        <v>4298</v>
      </c>
      <c r="R596" s="3" t="s">
        <v>4303</v>
      </c>
      <c r="S596" s="3" t="s">
        <v>4308</v>
      </c>
    </row>
    <row r="597" spans="1:19">
      <c r="A597" s="3" t="s">
        <v>91</v>
      </c>
      <c r="C597" s="3" t="s">
        <v>2002</v>
      </c>
      <c r="D597" s="3" t="s">
        <v>2003</v>
      </c>
      <c r="E597" s="3" t="s">
        <v>2004</v>
      </c>
      <c r="F597" s="3" t="s">
        <v>2005</v>
      </c>
      <c r="G597" s="3" t="s">
        <v>2006</v>
      </c>
      <c r="H597" s="3" t="s">
        <v>2007</v>
      </c>
      <c r="I597" s="3" t="s">
        <v>4057</v>
      </c>
      <c r="P597" s="3" t="s">
        <v>4294</v>
      </c>
      <c r="Q597" s="3" t="s">
        <v>4299</v>
      </c>
      <c r="R597" s="3" t="s">
        <v>4304</v>
      </c>
      <c r="S597" s="3" t="s">
        <v>4309</v>
      </c>
    </row>
    <row r="598" spans="1:19">
      <c r="A598" s="3" t="s">
        <v>2812</v>
      </c>
      <c r="C598" s="3" t="s">
        <v>1990</v>
      </c>
      <c r="D598" s="3" t="s">
        <v>1991</v>
      </c>
      <c r="E598" s="3" t="s">
        <v>1992</v>
      </c>
      <c r="F598" s="3" t="s">
        <v>1993</v>
      </c>
      <c r="G598" s="3" t="s">
        <v>1994</v>
      </c>
      <c r="H598" s="3" t="s">
        <v>1995</v>
      </c>
    </row>
    <row r="599" spans="1:19">
      <c r="A599" s="3" t="s">
        <v>91</v>
      </c>
      <c r="C599" s="3" t="s">
        <v>2683</v>
      </c>
      <c r="D599" s="3" t="s">
        <v>2684</v>
      </c>
      <c r="E599" s="3" t="s">
        <v>2685</v>
      </c>
      <c r="F599" s="3" t="s">
        <v>2686</v>
      </c>
      <c r="G599" s="3" t="s">
        <v>2687</v>
      </c>
      <c r="H599" s="3" t="s">
        <v>2688</v>
      </c>
      <c r="N599" s="3" t="s">
        <v>3782</v>
      </c>
      <c r="O599" s="3" t="s">
        <v>2012</v>
      </c>
      <c r="S599" s="3" t="s">
        <v>3783</v>
      </c>
    </row>
    <row r="600" spans="1:19">
      <c r="A600" s="3" t="s">
        <v>91</v>
      </c>
      <c r="C600" s="3" t="s">
        <v>2008</v>
      </c>
      <c r="D600" s="3" t="s">
        <v>2009</v>
      </c>
      <c r="E600" s="3" t="s">
        <v>2010</v>
      </c>
      <c r="F600" s="3" t="s">
        <v>2011</v>
      </c>
      <c r="G600" s="3" t="s">
        <v>3784</v>
      </c>
      <c r="H600" s="3" t="s">
        <v>3785</v>
      </c>
      <c r="N600" s="3" t="s">
        <v>2782</v>
      </c>
      <c r="O600" s="3" t="s">
        <v>3786</v>
      </c>
    </row>
    <row r="601" spans="1:19">
      <c r="A601" s="3" t="s">
        <v>91</v>
      </c>
      <c r="C601" s="3" t="s">
        <v>2014</v>
      </c>
      <c r="D601" s="3" t="s">
        <v>2015</v>
      </c>
      <c r="E601" s="3" t="s">
        <v>2016</v>
      </c>
      <c r="F601" s="3" t="s">
        <v>2017</v>
      </c>
      <c r="G601" s="3" t="s">
        <v>2013</v>
      </c>
      <c r="H601" s="3" t="s">
        <v>2689</v>
      </c>
      <c r="I601" s="3" t="s">
        <v>3787</v>
      </c>
      <c r="P601" s="3" t="s">
        <v>4058</v>
      </c>
      <c r="Q601" s="3" t="s">
        <v>4059</v>
      </c>
      <c r="R601" s="3" t="s">
        <v>4060</v>
      </c>
      <c r="S601" s="3" t="s">
        <v>4061</v>
      </c>
    </row>
    <row r="602" spans="1:19">
      <c r="A602" s="3" t="s">
        <v>91</v>
      </c>
      <c r="C602" s="3" t="s">
        <v>2018</v>
      </c>
      <c r="D602" s="3" t="s">
        <v>2019</v>
      </c>
      <c r="E602" s="3" t="s">
        <v>2020</v>
      </c>
      <c r="F602" s="3" t="s">
        <v>2021</v>
      </c>
      <c r="G602" s="3" t="s">
        <v>2022</v>
      </c>
      <c r="H602" s="3" t="s">
        <v>2023</v>
      </c>
      <c r="I602" s="3" t="s">
        <v>4062</v>
      </c>
      <c r="P602" s="3" t="s">
        <v>4063</v>
      </c>
      <c r="Q602" s="3" t="s">
        <v>4064</v>
      </c>
      <c r="R602" s="3" t="s">
        <v>4065</v>
      </c>
      <c r="S602" s="3" t="s">
        <v>4066</v>
      </c>
    </row>
    <row r="603" spans="1:19">
      <c r="A603" s="3" t="s">
        <v>2812</v>
      </c>
      <c r="C603" s="3" t="s">
        <v>2018</v>
      </c>
      <c r="D603" s="3" t="s">
        <v>2019</v>
      </c>
      <c r="E603" s="3" t="s">
        <v>2020</v>
      </c>
      <c r="F603" s="3" t="s">
        <v>2021</v>
      </c>
      <c r="G603" s="3" t="s">
        <v>2022</v>
      </c>
      <c r="H603" s="3" t="s">
        <v>2023</v>
      </c>
    </row>
    <row r="604" spans="1:19">
      <c r="A604" s="3" t="s">
        <v>91</v>
      </c>
      <c r="C604" s="3" t="s">
        <v>2024</v>
      </c>
      <c r="D604" s="3" t="s">
        <v>2025</v>
      </c>
      <c r="E604" s="3" t="s">
        <v>2026</v>
      </c>
      <c r="F604" s="3" t="s">
        <v>2027</v>
      </c>
      <c r="G604" s="3" t="s">
        <v>2028</v>
      </c>
      <c r="H604" s="3" t="s">
        <v>2029</v>
      </c>
      <c r="N604" s="3" t="s">
        <v>3788</v>
      </c>
      <c r="O604" s="3" t="s">
        <v>3789</v>
      </c>
      <c r="S604" s="3" t="s">
        <v>3790</v>
      </c>
    </row>
    <row r="605" spans="1:19">
      <c r="A605" s="3" t="s">
        <v>2812</v>
      </c>
      <c r="C605" s="3" t="s">
        <v>1980</v>
      </c>
      <c r="D605" s="3" t="s">
        <v>1981</v>
      </c>
      <c r="E605" s="3" t="s">
        <v>1982</v>
      </c>
      <c r="F605" s="3" t="s">
        <v>1983</v>
      </c>
    </row>
    <row r="606" spans="1:19">
      <c r="A606" s="3" t="s">
        <v>91</v>
      </c>
      <c r="C606" s="3" t="s">
        <v>2030</v>
      </c>
      <c r="D606" s="3" t="s">
        <v>2031</v>
      </c>
      <c r="E606" s="3" t="s">
        <v>2032</v>
      </c>
      <c r="F606" s="3" t="s">
        <v>2033</v>
      </c>
      <c r="K606" s="3" t="s">
        <v>3791</v>
      </c>
      <c r="L606" s="3" t="s">
        <v>2034</v>
      </c>
      <c r="M606" s="3" t="s">
        <v>2035</v>
      </c>
      <c r="S606" s="3" t="s">
        <v>3792</v>
      </c>
    </row>
    <row r="607" spans="1:19">
      <c r="A607" s="3" t="s">
        <v>91</v>
      </c>
      <c r="C607" s="3" t="s">
        <v>3793</v>
      </c>
      <c r="D607" s="3" t="s">
        <v>3794</v>
      </c>
      <c r="E607" s="3" t="s">
        <v>2036</v>
      </c>
      <c r="F607" s="3" t="s">
        <v>3795</v>
      </c>
      <c r="K607" s="3" t="s">
        <v>2783</v>
      </c>
      <c r="L607" s="3" t="s">
        <v>3796</v>
      </c>
      <c r="M607" s="3" t="s">
        <v>3797</v>
      </c>
    </row>
    <row r="608" spans="1:19">
      <c r="A608" s="3" t="s">
        <v>91</v>
      </c>
      <c r="C608" s="3" t="s">
        <v>2690</v>
      </c>
      <c r="D608" s="3" t="s">
        <v>2691</v>
      </c>
      <c r="E608" s="3" t="s">
        <v>2692</v>
      </c>
      <c r="F608" s="3" t="s">
        <v>2693</v>
      </c>
      <c r="G608" s="3" t="s">
        <v>3798</v>
      </c>
      <c r="H608" s="3" t="s">
        <v>3799</v>
      </c>
      <c r="N608" s="3" t="s">
        <v>3800</v>
      </c>
      <c r="O608" s="3" t="s">
        <v>3801</v>
      </c>
    </row>
    <row r="609" spans="1:19">
      <c r="A609" s="3" t="s">
        <v>91</v>
      </c>
      <c r="C609" s="3" t="s">
        <v>2037</v>
      </c>
      <c r="D609" s="3" t="s">
        <v>2038</v>
      </c>
      <c r="E609" s="3" t="s">
        <v>2039</v>
      </c>
      <c r="F609" s="3" t="s">
        <v>2040</v>
      </c>
      <c r="G609" s="3" t="s">
        <v>2041</v>
      </c>
      <c r="H609" s="3" t="s">
        <v>2042</v>
      </c>
      <c r="I609" s="3" t="s">
        <v>3802</v>
      </c>
      <c r="P609" s="3" t="s">
        <v>4422</v>
      </c>
      <c r="Q609" s="3" t="s">
        <v>4427</v>
      </c>
      <c r="R609" s="3" t="s">
        <v>4432</v>
      </c>
      <c r="S609" s="3" t="s">
        <v>4437</v>
      </c>
    </row>
    <row r="610" spans="1:19">
      <c r="A610" s="3" t="s">
        <v>91</v>
      </c>
      <c r="C610" s="3" t="s">
        <v>2044</v>
      </c>
      <c r="D610" s="3" t="s">
        <v>2045</v>
      </c>
      <c r="E610" s="3" t="s">
        <v>2046</v>
      </c>
      <c r="F610" s="3" t="s">
        <v>2047</v>
      </c>
      <c r="G610" s="3" t="s">
        <v>2043</v>
      </c>
      <c r="H610" s="3" t="s">
        <v>2694</v>
      </c>
      <c r="I610" s="3" t="s">
        <v>3881</v>
      </c>
      <c r="P610" s="3" t="s">
        <v>4423</v>
      </c>
      <c r="Q610" s="3" t="s">
        <v>4428</v>
      </c>
      <c r="R610" s="3" t="s">
        <v>4433</v>
      </c>
      <c r="S610" s="3" t="s">
        <v>4438</v>
      </c>
    </row>
    <row r="611" spans="1:19">
      <c r="A611" s="3" t="s">
        <v>91</v>
      </c>
      <c r="C611" s="3" t="s">
        <v>2048</v>
      </c>
      <c r="D611" s="3" t="s">
        <v>2049</v>
      </c>
      <c r="E611" s="3" t="s">
        <v>2050</v>
      </c>
      <c r="F611" s="3" t="s">
        <v>2051</v>
      </c>
      <c r="G611" s="3" t="s">
        <v>2052</v>
      </c>
      <c r="H611" s="3" t="s">
        <v>2053</v>
      </c>
      <c r="I611" s="3" t="s">
        <v>3882</v>
      </c>
      <c r="P611" s="3" t="s">
        <v>4424</v>
      </c>
      <c r="Q611" s="3" t="s">
        <v>4429</v>
      </c>
      <c r="R611" s="3" t="s">
        <v>4434</v>
      </c>
      <c r="S611" s="3" t="s">
        <v>4439</v>
      </c>
    </row>
    <row r="612" spans="1:19">
      <c r="A612" s="3" t="s">
        <v>91</v>
      </c>
      <c r="C612" s="3" t="s">
        <v>2054</v>
      </c>
      <c r="D612" s="3" t="s">
        <v>2055</v>
      </c>
      <c r="E612" s="3" t="s">
        <v>2056</v>
      </c>
      <c r="F612" s="3" t="s">
        <v>2057</v>
      </c>
      <c r="G612" s="3" t="s">
        <v>2058</v>
      </c>
      <c r="H612" s="3" t="s">
        <v>2059</v>
      </c>
      <c r="I612" s="3" t="s">
        <v>3883</v>
      </c>
      <c r="P612" s="3" t="s">
        <v>4425</v>
      </c>
      <c r="Q612" s="3" t="s">
        <v>4430</v>
      </c>
      <c r="R612" s="3" t="s">
        <v>4435</v>
      </c>
      <c r="S612" s="3" t="s">
        <v>4440</v>
      </c>
    </row>
    <row r="613" spans="1:19">
      <c r="A613" s="3" t="s">
        <v>91</v>
      </c>
      <c r="C613" s="3" t="s">
        <v>2060</v>
      </c>
      <c r="D613" s="3" t="s">
        <v>2061</v>
      </c>
      <c r="E613" s="3" t="s">
        <v>2062</v>
      </c>
      <c r="F613" s="3" t="s">
        <v>2063</v>
      </c>
      <c r="G613" s="3" t="s">
        <v>2064</v>
      </c>
      <c r="H613" s="3" t="s">
        <v>2065</v>
      </c>
      <c r="I613" s="3" t="s">
        <v>4067</v>
      </c>
      <c r="P613" s="3" t="s">
        <v>4426</v>
      </c>
      <c r="Q613" s="3" t="s">
        <v>4431</v>
      </c>
      <c r="R613" s="3" t="s">
        <v>4436</v>
      </c>
      <c r="S613" s="3" t="s">
        <v>4441</v>
      </c>
    </row>
    <row r="614" spans="1:19">
      <c r="A614" s="3" t="s">
        <v>2812</v>
      </c>
      <c r="C614" s="3" t="s">
        <v>2044</v>
      </c>
      <c r="D614" s="3" t="s">
        <v>2045</v>
      </c>
      <c r="E614" s="3" t="s">
        <v>2046</v>
      </c>
      <c r="F614" s="3" t="s">
        <v>2047</v>
      </c>
      <c r="G614" s="3" t="s">
        <v>2043</v>
      </c>
      <c r="H614" s="3" t="s">
        <v>2694</v>
      </c>
    </row>
    <row r="615" spans="1:19">
      <c r="A615" s="3" t="s">
        <v>91</v>
      </c>
      <c r="C615" s="3" t="s">
        <v>2066</v>
      </c>
      <c r="D615" s="3" t="s">
        <v>2067</v>
      </c>
      <c r="E615" s="3" t="s">
        <v>2068</v>
      </c>
      <c r="F615" s="3" t="s">
        <v>2069</v>
      </c>
      <c r="G615" s="3" t="s">
        <v>2070</v>
      </c>
      <c r="H615" s="3" t="s">
        <v>2071</v>
      </c>
      <c r="N615" s="3" t="s">
        <v>2695</v>
      </c>
      <c r="O615" s="3" t="s">
        <v>2076</v>
      </c>
      <c r="S615" s="3" t="s">
        <v>3803</v>
      </c>
    </row>
    <row r="616" spans="1:19">
      <c r="A616" s="3" t="s">
        <v>91</v>
      </c>
      <c r="C616" s="3" t="s">
        <v>2072</v>
      </c>
      <c r="D616" s="3" t="s">
        <v>2073</v>
      </c>
      <c r="E616" s="3" t="s">
        <v>2074</v>
      </c>
      <c r="F616" s="3" t="s">
        <v>2075</v>
      </c>
      <c r="G616" s="3" t="s">
        <v>2696</v>
      </c>
      <c r="H616" s="3" t="s">
        <v>2697</v>
      </c>
      <c r="N616" s="3" t="s">
        <v>2784</v>
      </c>
      <c r="O616" s="3" t="s">
        <v>2698</v>
      </c>
    </row>
    <row r="617" spans="1:19">
      <c r="A617" s="3" t="s">
        <v>91</v>
      </c>
      <c r="C617" s="3" t="s">
        <v>2699</v>
      </c>
      <c r="D617" s="3" t="s">
        <v>2700</v>
      </c>
      <c r="E617" s="3" t="s">
        <v>2701</v>
      </c>
      <c r="F617" s="3" t="s">
        <v>2702</v>
      </c>
      <c r="G617" s="3" t="s">
        <v>2703</v>
      </c>
      <c r="H617" s="3" t="s">
        <v>2704</v>
      </c>
      <c r="I617" s="3" t="s">
        <v>2809</v>
      </c>
      <c r="P617" s="3" t="s">
        <v>4442</v>
      </c>
      <c r="Q617" s="3" t="s">
        <v>4447</v>
      </c>
      <c r="R617" s="3" t="s">
        <v>4452</v>
      </c>
      <c r="S617" s="3" t="s">
        <v>4457</v>
      </c>
    </row>
    <row r="618" spans="1:19">
      <c r="A618" s="3" t="s">
        <v>91</v>
      </c>
      <c r="C618" s="3" t="s">
        <v>2077</v>
      </c>
      <c r="D618" s="3" t="s">
        <v>2078</v>
      </c>
      <c r="E618" s="3" t="s">
        <v>2079</v>
      </c>
      <c r="F618" s="3" t="s">
        <v>2080</v>
      </c>
      <c r="G618" s="3" t="s">
        <v>2081</v>
      </c>
      <c r="H618" s="3" t="s">
        <v>2082</v>
      </c>
      <c r="I618" s="3" t="s">
        <v>3881</v>
      </c>
      <c r="P618" s="3" t="s">
        <v>4443</v>
      </c>
      <c r="Q618" s="3" t="s">
        <v>4448</v>
      </c>
      <c r="R618" s="3" t="s">
        <v>4453</v>
      </c>
      <c r="S618" s="3" t="s">
        <v>4458</v>
      </c>
    </row>
    <row r="619" spans="1:19">
      <c r="A619" s="3" t="s">
        <v>91</v>
      </c>
      <c r="C619" s="3" t="s">
        <v>2084</v>
      </c>
      <c r="D619" s="3" t="s">
        <v>2085</v>
      </c>
      <c r="E619" s="3" t="s">
        <v>2086</v>
      </c>
      <c r="F619" s="3" t="s">
        <v>2087</v>
      </c>
      <c r="G619" s="3" t="s">
        <v>2083</v>
      </c>
      <c r="H619" s="3" t="s">
        <v>2705</v>
      </c>
      <c r="I619" s="3" t="s">
        <v>3882</v>
      </c>
      <c r="P619" s="3" t="s">
        <v>4444</v>
      </c>
      <c r="Q619" s="3" t="s">
        <v>4449</v>
      </c>
      <c r="R619" s="3" t="s">
        <v>4454</v>
      </c>
      <c r="S619" s="3" t="s">
        <v>4459</v>
      </c>
    </row>
    <row r="620" spans="1:19">
      <c r="A620" s="3" t="s">
        <v>91</v>
      </c>
      <c r="C620" s="3" t="s">
        <v>2088</v>
      </c>
      <c r="D620" s="3" t="s">
        <v>2089</v>
      </c>
      <c r="E620" s="3" t="s">
        <v>2090</v>
      </c>
      <c r="F620" s="3" t="s">
        <v>2091</v>
      </c>
      <c r="G620" s="3" t="s">
        <v>2092</v>
      </c>
      <c r="H620" s="3" t="s">
        <v>2093</v>
      </c>
      <c r="I620" s="3" t="s">
        <v>3883</v>
      </c>
      <c r="P620" s="3" t="s">
        <v>4445</v>
      </c>
      <c r="Q620" s="3" t="s">
        <v>4450</v>
      </c>
      <c r="R620" s="3" t="s">
        <v>4455</v>
      </c>
      <c r="S620" s="3" t="s">
        <v>4460</v>
      </c>
    </row>
    <row r="621" spans="1:19">
      <c r="A621" s="3" t="s">
        <v>91</v>
      </c>
      <c r="C621" s="3" t="s">
        <v>2094</v>
      </c>
      <c r="D621" s="3" t="s">
        <v>2095</v>
      </c>
      <c r="E621" s="3" t="s">
        <v>2096</v>
      </c>
      <c r="F621" s="3" t="s">
        <v>2097</v>
      </c>
      <c r="G621" s="3" t="s">
        <v>2098</v>
      </c>
      <c r="H621" s="3" t="s">
        <v>2099</v>
      </c>
      <c r="I621" s="3" t="s">
        <v>4067</v>
      </c>
      <c r="P621" s="3" t="s">
        <v>4446</v>
      </c>
      <c r="Q621" s="3" t="s">
        <v>4451</v>
      </c>
      <c r="R621" s="3" t="s">
        <v>4456</v>
      </c>
      <c r="S621" s="3" t="s">
        <v>4461</v>
      </c>
    </row>
    <row r="622" spans="1:19">
      <c r="A622" s="3" t="s">
        <v>2812</v>
      </c>
      <c r="C622" s="3" t="s">
        <v>2077</v>
      </c>
      <c r="D622" s="3" t="s">
        <v>2078</v>
      </c>
      <c r="E622" s="3" t="s">
        <v>2079</v>
      </c>
      <c r="F622" s="3" t="s">
        <v>2080</v>
      </c>
      <c r="G622" s="3" t="s">
        <v>2081</v>
      </c>
      <c r="H622" s="3" t="s">
        <v>2082</v>
      </c>
    </row>
    <row r="623" spans="1:19">
      <c r="A623" s="3" t="s">
        <v>91</v>
      </c>
      <c r="C623" s="3" t="s">
        <v>3153</v>
      </c>
      <c r="D623" s="3" t="s">
        <v>3154</v>
      </c>
      <c r="E623" s="3" t="s">
        <v>3155</v>
      </c>
      <c r="F623" s="3" t="s">
        <v>3156</v>
      </c>
      <c r="G623" s="3" t="s">
        <v>3157</v>
      </c>
      <c r="H623" s="3" t="s">
        <v>3158</v>
      </c>
      <c r="N623" s="3" t="s">
        <v>3804</v>
      </c>
      <c r="O623" s="3" t="s">
        <v>2100</v>
      </c>
      <c r="S623" s="3" t="s">
        <v>3805</v>
      </c>
    </row>
    <row r="624" spans="1:19">
      <c r="A624" s="3" t="s">
        <v>2812</v>
      </c>
      <c r="C624" s="3" t="s">
        <v>2072</v>
      </c>
      <c r="D624" s="3" t="s">
        <v>2073</v>
      </c>
      <c r="E624" s="3" t="s">
        <v>2074</v>
      </c>
      <c r="F624" s="3" t="s">
        <v>2075</v>
      </c>
    </row>
    <row r="625" spans="1:19">
      <c r="A625" s="3" t="s">
        <v>91</v>
      </c>
      <c r="C625" s="3" t="s">
        <v>2101</v>
      </c>
      <c r="D625" s="3" t="s">
        <v>2102</v>
      </c>
      <c r="E625" s="3" t="s">
        <v>2103</v>
      </c>
      <c r="F625" s="3" t="s">
        <v>2104</v>
      </c>
      <c r="K625" s="3" t="s">
        <v>3806</v>
      </c>
      <c r="L625" s="3" t="s">
        <v>2105</v>
      </c>
      <c r="M625" s="3" t="s">
        <v>2106</v>
      </c>
      <c r="S625" s="3" t="s">
        <v>3807</v>
      </c>
    </row>
    <row r="626" spans="1:19">
      <c r="A626" s="3" t="s">
        <v>91</v>
      </c>
      <c r="C626" s="3" t="s">
        <v>3808</v>
      </c>
      <c r="D626" s="3" t="s">
        <v>3809</v>
      </c>
      <c r="E626" s="3" t="s">
        <v>2107</v>
      </c>
      <c r="F626" s="3" t="s">
        <v>3810</v>
      </c>
      <c r="K626" s="3" t="s">
        <v>2785</v>
      </c>
      <c r="L626" s="3" t="s">
        <v>3811</v>
      </c>
      <c r="M626" s="3" t="s">
        <v>3812</v>
      </c>
    </row>
    <row r="627" spans="1:19">
      <c r="A627" s="3" t="s">
        <v>91</v>
      </c>
      <c r="C627" s="3" t="s">
        <v>2707</v>
      </c>
      <c r="D627" s="3" t="s">
        <v>2708</v>
      </c>
      <c r="E627" s="3" t="s">
        <v>2709</v>
      </c>
      <c r="F627" s="3" t="s">
        <v>2710</v>
      </c>
      <c r="G627" s="3" t="s">
        <v>3813</v>
      </c>
      <c r="H627" s="3" t="s">
        <v>3814</v>
      </c>
      <c r="N627" s="3" t="s">
        <v>3815</v>
      </c>
      <c r="O627" s="3" t="s">
        <v>3816</v>
      </c>
    </row>
    <row r="628" spans="1:19">
      <c r="A628" s="3" t="s">
        <v>91</v>
      </c>
      <c r="C628" s="3" t="s">
        <v>3817</v>
      </c>
      <c r="D628" s="3" t="s">
        <v>3818</v>
      </c>
      <c r="E628" s="3" t="s">
        <v>3819</v>
      </c>
      <c r="F628" s="3" t="s">
        <v>3820</v>
      </c>
      <c r="G628" s="3" t="s">
        <v>3159</v>
      </c>
      <c r="H628" s="3" t="s">
        <v>3821</v>
      </c>
      <c r="I628" s="3" t="s">
        <v>3822</v>
      </c>
      <c r="P628" s="3" t="s">
        <v>4366</v>
      </c>
      <c r="Q628" s="3" t="s">
        <v>4373</v>
      </c>
      <c r="R628" s="3" t="s">
        <v>4380</v>
      </c>
      <c r="S628" s="3" t="s">
        <v>4387</v>
      </c>
    </row>
    <row r="629" spans="1:19">
      <c r="A629" s="3" t="s">
        <v>91</v>
      </c>
      <c r="C629" s="3" t="s">
        <v>2109</v>
      </c>
      <c r="D629" s="3" t="s">
        <v>2110</v>
      </c>
      <c r="E629" s="3" t="s">
        <v>2111</v>
      </c>
      <c r="F629" s="3" t="s">
        <v>2112</v>
      </c>
      <c r="G629" s="3" t="s">
        <v>2108</v>
      </c>
      <c r="H629" s="3" t="s">
        <v>2711</v>
      </c>
      <c r="I629" s="3" t="s">
        <v>4068</v>
      </c>
      <c r="P629" s="3" t="s">
        <v>4367</v>
      </c>
      <c r="Q629" s="3" t="s">
        <v>4374</v>
      </c>
      <c r="R629" s="3" t="s">
        <v>4381</v>
      </c>
      <c r="S629" s="3" t="s">
        <v>4388</v>
      </c>
    </row>
    <row r="630" spans="1:19">
      <c r="A630" s="3" t="s">
        <v>91</v>
      </c>
      <c r="C630" s="3" t="s">
        <v>2113</v>
      </c>
      <c r="D630" s="3" t="s">
        <v>2114</v>
      </c>
      <c r="E630" s="3" t="s">
        <v>2115</v>
      </c>
      <c r="F630" s="3" t="s">
        <v>2116</v>
      </c>
      <c r="G630" s="3" t="s">
        <v>2117</v>
      </c>
      <c r="H630" s="3" t="s">
        <v>3823</v>
      </c>
      <c r="I630" s="3" t="s">
        <v>4069</v>
      </c>
      <c r="P630" s="3" t="s">
        <v>4368</v>
      </c>
      <c r="Q630" s="3" t="s">
        <v>4375</v>
      </c>
      <c r="R630" s="3" t="s">
        <v>4382</v>
      </c>
      <c r="S630" s="3" t="s">
        <v>4389</v>
      </c>
    </row>
    <row r="631" spans="1:19">
      <c r="A631" s="3" t="s">
        <v>91</v>
      </c>
      <c r="C631" s="3" t="s">
        <v>2118</v>
      </c>
      <c r="D631" s="3" t="s">
        <v>2119</v>
      </c>
      <c r="E631" s="3" t="s">
        <v>2120</v>
      </c>
      <c r="F631" s="3" t="s">
        <v>2121</v>
      </c>
      <c r="G631" s="3" t="s">
        <v>2122</v>
      </c>
      <c r="H631" s="3" t="s">
        <v>2123</v>
      </c>
      <c r="I631" s="3" t="s">
        <v>3881</v>
      </c>
      <c r="P631" s="3" t="s">
        <v>4369</v>
      </c>
      <c r="Q631" s="3" t="s">
        <v>4376</v>
      </c>
      <c r="R631" s="3" t="s">
        <v>4383</v>
      </c>
      <c r="S631" s="3" t="s">
        <v>4390</v>
      </c>
    </row>
    <row r="632" spans="1:19">
      <c r="A632" s="3" t="s">
        <v>91</v>
      </c>
      <c r="C632" s="3" t="s">
        <v>2124</v>
      </c>
      <c r="D632" s="3" t="s">
        <v>2125</v>
      </c>
      <c r="E632" s="3" t="s">
        <v>2126</v>
      </c>
      <c r="F632" s="3" t="s">
        <v>2127</v>
      </c>
      <c r="G632" s="3" t="s">
        <v>2128</v>
      </c>
      <c r="H632" s="3" t="s">
        <v>2129</v>
      </c>
      <c r="I632" s="3" t="s">
        <v>3882</v>
      </c>
      <c r="P632" s="3" t="s">
        <v>4370</v>
      </c>
      <c r="Q632" s="3" t="s">
        <v>4377</v>
      </c>
      <c r="R632" s="3" t="s">
        <v>4384</v>
      </c>
      <c r="S632" s="3" t="s">
        <v>4391</v>
      </c>
    </row>
    <row r="633" spans="1:19">
      <c r="A633" s="3" t="s">
        <v>91</v>
      </c>
      <c r="C633" s="3" t="s">
        <v>3160</v>
      </c>
      <c r="D633" s="3" t="s">
        <v>3161</v>
      </c>
      <c r="E633" s="3" t="s">
        <v>3162</v>
      </c>
      <c r="F633" s="3" t="s">
        <v>3163</v>
      </c>
      <c r="G633" s="3" t="s">
        <v>3164</v>
      </c>
      <c r="H633" s="3" t="s">
        <v>3165</v>
      </c>
      <c r="I633" s="3" t="s">
        <v>3888</v>
      </c>
      <c r="P633" s="3" t="s">
        <v>4371</v>
      </c>
      <c r="Q633" s="3" t="s">
        <v>4378</v>
      </c>
      <c r="R633" s="3" t="s">
        <v>4385</v>
      </c>
      <c r="S633" s="3" t="s">
        <v>4392</v>
      </c>
    </row>
    <row r="634" spans="1:19">
      <c r="A634" s="3" t="s">
        <v>91</v>
      </c>
      <c r="C634" s="3" t="s">
        <v>2130</v>
      </c>
      <c r="D634" s="3" t="s">
        <v>2131</v>
      </c>
      <c r="E634" s="3" t="s">
        <v>2132</v>
      </c>
      <c r="F634" s="3" t="s">
        <v>2133</v>
      </c>
      <c r="G634" s="3" t="s">
        <v>2134</v>
      </c>
      <c r="H634" s="3" t="s">
        <v>2135</v>
      </c>
      <c r="I634" s="3" t="s">
        <v>4070</v>
      </c>
      <c r="P634" s="3" t="s">
        <v>4372</v>
      </c>
      <c r="Q634" s="3" t="s">
        <v>4379</v>
      </c>
      <c r="R634" s="3" t="s">
        <v>4386</v>
      </c>
      <c r="S634" s="3" t="s">
        <v>4393</v>
      </c>
    </row>
    <row r="635" spans="1:19">
      <c r="A635" s="3" t="s">
        <v>2812</v>
      </c>
      <c r="C635" s="3" t="s">
        <v>2109</v>
      </c>
      <c r="D635" s="3" t="s">
        <v>2110</v>
      </c>
      <c r="E635" s="3" t="s">
        <v>2111</v>
      </c>
      <c r="F635" s="3" t="s">
        <v>2112</v>
      </c>
      <c r="G635" s="3" t="s">
        <v>2108</v>
      </c>
      <c r="H635" s="3" t="s">
        <v>2711</v>
      </c>
    </row>
    <row r="636" spans="1:19">
      <c r="A636" s="3" t="s">
        <v>91</v>
      </c>
      <c r="C636" s="3" t="s">
        <v>2712</v>
      </c>
      <c r="D636" s="3" t="s">
        <v>2713</v>
      </c>
      <c r="E636" s="3" t="s">
        <v>2714</v>
      </c>
      <c r="F636" s="3" t="s">
        <v>2715</v>
      </c>
      <c r="G636" s="3" t="s">
        <v>3166</v>
      </c>
      <c r="H636" s="3" t="s">
        <v>3167</v>
      </c>
      <c r="N636" s="3" t="s">
        <v>3824</v>
      </c>
      <c r="O636" s="3" t="s">
        <v>3169</v>
      </c>
      <c r="S636" s="3" t="s">
        <v>3825</v>
      </c>
    </row>
    <row r="637" spans="1:19">
      <c r="A637" s="3" t="s">
        <v>91</v>
      </c>
      <c r="C637" s="3" t="s">
        <v>2136</v>
      </c>
      <c r="D637" s="3" t="s">
        <v>2137</v>
      </c>
      <c r="E637" s="3" t="s">
        <v>2138</v>
      </c>
      <c r="F637" s="3" t="s">
        <v>3168</v>
      </c>
      <c r="G637" s="3" t="s">
        <v>3826</v>
      </c>
      <c r="H637" s="3" t="s">
        <v>3827</v>
      </c>
      <c r="N637" s="3" t="s">
        <v>2786</v>
      </c>
      <c r="O637" s="3" t="s">
        <v>3828</v>
      </c>
    </row>
    <row r="638" spans="1:19">
      <c r="A638" s="3" t="s">
        <v>91</v>
      </c>
      <c r="C638" s="3" t="s">
        <v>2139</v>
      </c>
      <c r="D638" s="3" t="s">
        <v>2140</v>
      </c>
      <c r="E638" s="3" t="s">
        <v>2141</v>
      </c>
      <c r="F638" s="3" t="s">
        <v>2142</v>
      </c>
      <c r="G638" s="3" t="s">
        <v>3829</v>
      </c>
      <c r="H638" s="3" t="s">
        <v>3830</v>
      </c>
      <c r="I638" s="3" t="s">
        <v>3831</v>
      </c>
      <c r="P638" s="3" t="s">
        <v>4394</v>
      </c>
      <c r="Q638" s="3" t="s">
        <v>4401</v>
      </c>
      <c r="R638" s="3" t="s">
        <v>4408</v>
      </c>
      <c r="S638" s="3" t="s">
        <v>4415</v>
      </c>
    </row>
    <row r="639" spans="1:19">
      <c r="A639" s="3" t="s">
        <v>91</v>
      </c>
      <c r="C639" s="3" t="s">
        <v>2143</v>
      </c>
      <c r="D639" s="3" t="s">
        <v>2144</v>
      </c>
      <c r="E639" s="3" t="s">
        <v>2145</v>
      </c>
      <c r="F639" s="3" t="s">
        <v>2146</v>
      </c>
      <c r="G639" s="3" t="s">
        <v>2147</v>
      </c>
      <c r="H639" s="3" t="s">
        <v>2148</v>
      </c>
      <c r="I639" s="3" t="s">
        <v>4068</v>
      </c>
      <c r="P639" s="3" t="s">
        <v>4395</v>
      </c>
      <c r="Q639" s="3" t="s">
        <v>4402</v>
      </c>
      <c r="R639" s="3" t="s">
        <v>4409</v>
      </c>
      <c r="S639" s="3" t="s">
        <v>4416</v>
      </c>
    </row>
    <row r="640" spans="1:19">
      <c r="A640" s="3" t="s">
        <v>91</v>
      </c>
      <c r="C640" s="3" t="s">
        <v>2149</v>
      </c>
      <c r="D640" s="3" t="s">
        <v>2150</v>
      </c>
      <c r="E640" s="3" t="s">
        <v>2151</v>
      </c>
      <c r="F640" s="3" t="s">
        <v>2152</v>
      </c>
      <c r="G640" s="3" t="s">
        <v>2153</v>
      </c>
      <c r="H640" s="3" t="s">
        <v>2154</v>
      </c>
      <c r="I640" s="3" t="s">
        <v>4069</v>
      </c>
      <c r="P640" s="3" t="s">
        <v>4396</v>
      </c>
      <c r="Q640" s="3" t="s">
        <v>4403</v>
      </c>
      <c r="R640" s="3" t="s">
        <v>4410</v>
      </c>
      <c r="S640" s="3" t="s">
        <v>4417</v>
      </c>
    </row>
    <row r="641" spans="1:19">
      <c r="A641" s="3" t="s">
        <v>91</v>
      </c>
      <c r="C641" s="3" t="s">
        <v>2717</v>
      </c>
      <c r="D641" s="3" t="s">
        <v>2718</v>
      </c>
      <c r="E641" s="3" t="s">
        <v>2719</v>
      </c>
      <c r="F641" s="3" t="s">
        <v>2720</v>
      </c>
      <c r="G641" s="3" t="s">
        <v>2721</v>
      </c>
      <c r="H641" s="3" t="s">
        <v>2722</v>
      </c>
      <c r="I641" s="3" t="s">
        <v>3881</v>
      </c>
      <c r="P641" s="3" t="s">
        <v>4397</v>
      </c>
      <c r="Q641" s="3" t="s">
        <v>4404</v>
      </c>
      <c r="R641" s="3" t="s">
        <v>4411</v>
      </c>
      <c r="S641" s="3" t="s">
        <v>4418</v>
      </c>
    </row>
    <row r="642" spans="1:19">
      <c r="A642" s="3" t="s">
        <v>91</v>
      </c>
      <c r="C642" s="3" t="s">
        <v>2155</v>
      </c>
      <c r="D642" s="3" t="s">
        <v>2156</v>
      </c>
      <c r="E642" s="3" t="s">
        <v>2157</v>
      </c>
      <c r="F642" s="3" t="s">
        <v>2158</v>
      </c>
      <c r="G642" s="3" t="s">
        <v>2159</v>
      </c>
      <c r="H642" s="3" t="s">
        <v>2160</v>
      </c>
      <c r="I642" s="3" t="s">
        <v>3882</v>
      </c>
      <c r="P642" s="3" t="s">
        <v>4398</v>
      </c>
      <c r="Q642" s="3" t="s">
        <v>4405</v>
      </c>
      <c r="R642" s="3" t="s">
        <v>4412</v>
      </c>
      <c r="S642" s="3" t="s">
        <v>4419</v>
      </c>
    </row>
    <row r="643" spans="1:19">
      <c r="A643" s="3" t="s">
        <v>91</v>
      </c>
      <c r="C643" s="3" t="s">
        <v>3170</v>
      </c>
      <c r="D643" s="3" t="s">
        <v>3171</v>
      </c>
      <c r="E643" s="3" t="s">
        <v>3172</v>
      </c>
      <c r="F643" s="3" t="s">
        <v>3173</v>
      </c>
      <c r="G643" s="3" t="s">
        <v>3174</v>
      </c>
      <c r="H643" s="3" t="s">
        <v>3175</v>
      </c>
      <c r="I643" s="3" t="s">
        <v>3888</v>
      </c>
      <c r="P643" s="3" t="s">
        <v>4399</v>
      </c>
      <c r="Q643" s="3" t="s">
        <v>4406</v>
      </c>
      <c r="R643" s="3" t="s">
        <v>4413</v>
      </c>
      <c r="S643" s="3" t="s">
        <v>4420</v>
      </c>
    </row>
    <row r="644" spans="1:19">
      <c r="A644" s="3" t="s">
        <v>91</v>
      </c>
      <c r="C644" s="3" t="s">
        <v>2161</v>
      </c>
      <c r="D644" s="3" t="s">
        <v>2162</v>
      </c>
      <c r="E644" s="3" t="s">
        <v>2163</v>
      </c>
      <c r="F644" s="3" t="s">
        <v>2164</v>
      </c>
      <c r="G644" s="3" t="s">
        <v>2165</v>
      </c>
      <c r="H644" s="3" t="s">
        <v>2166</v>
      </c>
      <c r="I644" s="3" t="s">
        <v>4070</v>
      </c>
      <c r="P644" s="3" t="s">
        <v>4400</v>
      </c>
      <c r="Q644" s="3" t="s">
        <v>4407</v>
      </c>
      <c r="R644" s="3" t="s">
        <v>4414</v>
      </c>
      <c r="S644" s="3" t="s">
        <v>4421</v>
      </c>
    </row>
    <row r="645" spans="1:19">
      <c r="A645" s="3" t="s">
        <v>2812</v>
      </c>
      <c r="C645" s="3" t="s">
        <v>2143</v>
      </c>
      <c r="D645" s="3" t="s">
        <v>2144</v>
      </c>
      <c r="E645" s="3" t="s">
        <v>2145</v>
      </c>
      <c r="F645" s="3" t="s">
        <v>2146</v>
      </c>
      <c r="G645" s="3" t="s">
        <v>2147</v>
      </c>
      <c r="H645" s="3" t="s">
        <v>2148</v>
      </c>
    </row>
    <row r="646" spans="1:19">
      <c r="A646" s="3" t="s">
        <v>91</v>
      </c>
      <c r="C646" s="3" t="s">
        <v>2724</v>
      </c>
      <c r="D646" s="3" t="s">
        <v>2725</v>
      </c>
      <c r="E646" s="3" t="s">
        <v>2726</v>
      </c>
      <c r="F646" s="3" t="s">
        <v>2727</v>
      </c>
      <c r="G646" s="3" t="s">
        <v>2728</v>
      </c>
      <c r="H646" s="3" t="s">
        <v>2729</v>
      </c>
      <c r="N646" s="3" t="s">
        <v>3832</v>
      </c>
      <c r="O646" s="3" t="s">
        <v>2167</v>
      </c>
      <c r="S646" s="3" t="s">
        <v>3833</v>
      </c>
    </row>
    <row r="647" spans="1:19">
      <c r="A647" s="3" t="s">
        <v>2812</v>
      </c>
      <c r="C647" s="3" t="s">
        <v>2136</v>
      </c>
      <c r="D647" s="3" t="s">
        <v>2137</v>
      </c>
      <c r="E647" s="3" t="s">
        <v>2138</v>
      </c>
      <c r="F647" s="3" t="s">
        <v>3168</v>
      </c>
    </row>
    <row r="648" spans="1:19">
      <c r="A648" s="3" t="s">
        <v>91</v>
      </c>
      <c r="C648" s="3" t="s">
        <v>2730</v>
      </c>
      <c r="D648" s="3" t="s">
        <v>2731</v>
      </c>
      <c r="E648" s="3" t="s">
        <v>2732</v>
      </c>
      <c r="F648" s="3" t="s">
        <v>2733</v>
      </c>
      <c r="K648" s="3" t="s">
        <v>3834</v>
      </c>
      <c r="L648" s="3" t="s">
        <v>2168</v>
      </c>
      <c r="M648" s="3" t="s">
        <v>2169</v>
      </c>
      <c r="S648" s="3" t="s">
        <v>3835</v>
      </c>
    </row>
    <row r="649" spans="1:19">
      <c r="A649" s="3" t="s">
        <v>91</v>
      </c>
      <c r="C649" s="3" t="s">
        <v>3836</v>
      </c>
      <c r="D649" s="3" t="s">
        <v>3837</v>
      </c>
      <c r="E649" s="3" t="s">
        <v>2170</v>
      </c>
      <c r="F649" s="3" t="s">
        <v>3838</v>
      </c>
      <c r="K649" s="3" t="s">
        <v>2787</v>
      </c>
      <c r="L649" s="3" t="s">
        <v>3839</v>
      </c>
      <c r="M649" s="3" t="s">
        <v>3840</v>
      </c>
    </row>
    <row r="650" spans="1:19">
      <c r="A650" s="3" t="s">
        <v>91</v>
      </c>
      <c r="C650" s="3" t="s">
        <v>2171</v>
      </c>
      <c r="D650" s="3" t="s">
        <v>2172</v>
      </c>
      <c r="E650" s="3" t="s">
        <v>2173</v>
      </c>
      <c r="F650" s="3" t="s">
        <v>2734</v>
      </c>
      <c r="G650" s="3" t="s">
        <v>3176</v>
      </c>
      <c r="H650" s="3" t="s">
        <v>3177</v>
      </c>
      <c r="N650" s="3" t="s">
        <v>3841</v>
      </c>
      <c r="O650" s="3" t="s">
        <v>3178</v>
      </c>
    </row>
    <row r="651" spans="1:19">
      <c r="A651" s="3" t="s">
        <v>91</v>
      </c>
      <c r="C651" s="3" t="s">
        <v>3179</v>
      </c>
      <c r="D651" s="3" t="s">
        <v>3180</v>
      </c>
      <c r="E651" s="3" t="s">
        <v>3181</v>
      </c>
      <c r="F651" s="3" t="s">
        <v>3182</v>
      </c>
      <c r="G651" s="3" t="s">
        <v>3183</v>
      </c>
      <c r="H651" s="3" t="s">
        <v>3184</v>
      </c>
      <c r="I651" s="3" t="s">
        <v>3185</v>
      </c>
      <c r="P651" s="3" t="s">
        <v>4310</v>
      </c>
      <c r="Q651" s="3" t="s">
        <v>4317</v>
      </c>
      <c r="R651" s="3" t="s">
        <v>4324</v>
      </c>
      <c r="S651" s="3" t="s">
        <v>4331</v>
      </c>
    </row>
    <row r="652" spans="1:19">
      <c r="A652" s="3" t="s">
        <v>91</v>
      </c>
      <c r="C652" s="3" t="s">
        <v>2174</v>
      </c>
      <c r="D652" s="3" t="s">
        <v>2175</v>
      </c>
      <c r="E652" s="3" t="s">
        <v>2176</v>
      </c>
      <c r="F652" s="3" t="s">
        <v>2177</v>
      </c>
      <c r="G652" s="3" t="s">
        <v>2178</v>
      </c>
      <c r="H652" s="3" t="s">
        <v>2179</v>
      </c>
      <c r="I652" s="3" t="s">
        <v>4071</v>
      </c>
      <c r="P652" s="3" t="s">
        <v>4311</v>
      </c>
      <c r="Q652" s="3" t="s">
        <v>4318</v>
      </c>
      <c r="R652" s="3" t="s">
        <v>4325</v>
      </c>
      <c r="S652" s="3" t="s">
        <v>4332</v>
      </c>
    </row>
    <row r="653" spans="1:19">
      <c r="A653" s="3" t="s">
        <v>91</v>
      </c>
      <c r="C653" s="3" t="s">
        <v>2180</v>
      </c>
      <c r="D653" s="3" t="s">
        <v>2181</v>
      </c>
      <c r="E653" s="3" t="s">
        <v>2182</v>
      </c>
      <c r="F653" s="3" t="s">
        <v>2183</v>
      </c>
      <c r="G653" s="3" t="s">
        <v>2184</v>
      </c>
      <c r="H653" s="3" t="s">
        <v>3186</v>
      </c>
      <c r="I653" s="3" t="s">
        <v>4072</v>
      </c>
      <c r="P653" s="3" t="s">
        <v>4312</v>
      </c>
      <c r="Q653" s="3" t="s">
        <v>4319</v>
      </c>
      <c r="R653" s="3" t="s">
        <v>4326</v>
      </c>
      <c r="S653" s="3" t="s">
        <v>4333</v>
      </c>
    </row>
    <row r="654" spans="1:19">
      <c r="A654" s="3" t="s">
        <v>91</v>
      </c>
      <c r="C654" s="3" t="s">
        <v>2185</v>
      </c>
      <c r="D654" s="3" t="s">
        <v>2186</v>
      </c>
      <c r="E654" s="3" t="s">
        <v>2187</v>
      </c>
      <c r="F654" s="3" t="s">
        <v>2188</v>
      </c>
      <c r="G654" s="3" t="s">
        <v>2189</v>
      </c>
      <c r="H654" s="3" t="s">
        <v>2190</v>
      </c>
      <c r="I654" s="3" t="s">
        <v>3881</v>
      </c>
      <c r="P654" s="3" t="s">
        <v>4313</v>
      </c>
      <c r="Q654" s="3" t="s">
        <v>4320</v>
      </c>
      <c r="R654" s="3" t="s">
        <v>4327</v>
      </c>
      <c r="S654" s="3" t="s">
        <v>4334</v>
      </c>
    </row>
    <row r="655" spans="1:19">
      <c r="A655" s="3" t="s">
        <v>91</v>
      </c>
      <c r="C655" s="3" t="s">
        <v>2191</v>
      </c>
      <c r="D655" s="3" t="s">
        <v>2192</v>
      </c>
      <c r="E655" s="3" t="s">
        <v>2193</v>
      </c>
      <c r="F655" s="3" t="s">
        <v>2194</v>
      </c>
      <c r="G655" s="3" t="s">
        <v>2195</v>
      </c>
      <c r="H655" s="3" t="s">
        <v>2196</v>
      </c>
      <c r="I655" s="3" t="s">
        <v>3882</v>
      </c>
      <c r="P655" s="3" t="s">
        <v>4314</v>
      </c>
      <c r="Q655" s="3" t="s">
        <v>4321</v>
      </c>
      <c r="R655" s="3" t="s">
        <v>4328</v>
      </c>
      <c r="S655" s="3" t="s">
        <v>4335</v>
      </c>
    </row>
    <row r="656" spans="1:19">
      <c r="A656" s="3" t="s">
        <v>91</v>
      </c>
      <c r="C656" s="3" t="s">
        <v>2197</v>
      </c>
      <c r="D656" s="3" t="s">
        <v>2198</v>
      </c>
      <c r="E656" s="3" t="s">
        <v>2199</v>
      </c>
      <c r="F656" s="3" t="s">
        <v>2200</v>
      </c>
      <c r="G656" s="3" t="s">
        <v>2201</v>
      </c>
      <c r="H656" s="3" t="s">
        <v>2202</v>
      </c>
      <c r="I656" s="3" t="s">
        <v>3883</v>
      </c>
      <c r="P656" s="3" t="s">
        <v>4315</v>
      </c>
      <c r="Q656" s="3" t="s">
        <v>4322</v>
      </c>
      <c r="R656" s="3" t="s">
        <v>4329</v>
      </c>
      <c r="S656" s="3" t="s">
        <v>4336</v>
      </c>
    </row>
    <row r="657" spans="1:19">
      <c r="A657" s="3" t="s">
        <v>91</v>
      </c>
      <c r="C657" s="3" t="s">
        <v>2203</v>
      </c>
      <c r="D657" s="3" t="s">
        <v>2204</v>
      </c>
      <c r="E657" s="3" t="s">
        <v>2205</v>
      </c>
      <c r="F657" s="3" t="s">
        <v>2206</v>
      </c>
      <c r="G657" s="3" t="s">
        <v>2207</v>
      </c>
      <c r="H657" s="3" t="s">
        <v>2208</v>
      </c>
      <c r="I657" s="3" t="s">
        <v>4073</v>
      </c>
      <c r="P657" s="3" t="s">
        <v>4316</v>
      </c>
      <c r="Q657" s="3" t="s">
        <v>4323</v>
      </c>
      <c r="R657" s="3" t="s">
        <v>4330</v>
      </c>
      <c r="S657" s="3" t="s">
        <v>4337</v>
      </c>
    </row>
    <row r="658" spans="1:19">
      <c r="A658" s="3" t="s">
        <v>2812</v>
      </c>
      <c r="C658" s="3" t="s">
        <v>2174</v>
      </c>
      <c r="D658" s="3" t="s">
        <v>2175</v>
      </c>
      <c r="E658" s="3" t="s">
        <v>2176</v>
      </c>
      <c r="F658" s="3" t="s">
        <v>2177</v>
      </c>
      <c r="G658" s="3" t="s">
        <v>2178</v>
      </c>
      <c r="H658" s="3" t="s">
        <v>2179</v>
      </c>
    </row>
    <row r="659" spans="1:19">
      <c r="A659" s="3" t="s">
        <v>91</v>
      </c>
      <c r="C659" s="3" t="s">
        <v>2735</v>
      </c>
      <c r="D659" s="3" t="s">
        <v>2736</v>
      </c>
      <c r="E659" s="3" t="s">
        <v>2737</v>
      </c>
      <c r="F659" s="3" t="s">
        <v>2738</v>
      </c>
      <c r="G659" s="3" t="s">
        <v>2739</v>
      </c>
      <c r="H659" s="3" t="s">
        <v>2740</v>
      </c>
      <c r="N659" s="3" t="s">
        <v>2741</v>
      </c>
      <c r="O659" s="3" t="s">
        <v>2213</v>
      </c>
      <c r="S659" s="3" t="s">
        <v>3842</v>
      </c>
    </row>
    <row r="660" spans="1:19">
      <c r="A660" s="3" t="s">
        <v>91</v>
      </c>
      <c r="C660" s="3" t="s">
        <v>2209</v>
      </c>
      <c r="D660" s="3" t="s">
        <v>2210</v>
      </c>
      <c r="E660" s="3" t="s">
        <v>2211</v>
      </c>
      <c r="F660" s="3" t="s">
        <v>2212</v>
      </c>
      <c r="G660" s="3" t="s">
        <v>2742</v>
      </c>
      <c r="H660" s="3" t="s">
        <v>2743</v>
      </c>
      <c r="N660" s="3" t="s">
        <v>2788</v>
      </c>
      <c r="O660" s="3" t="s">
        <v>2744</v>
      </c>
    </row>
    <row r="661" spans="1:19">
      <c r="A661" s="3" t="s">
        <v>91</v>
      </c>
      <c r="C661" s="3" t="s">
        <v>2215</v>
      </c>
      <c r="D661" s="3" t="s">
        <v>2216</v>
      </c>
      <c r="E661" s="3" t="s">
        <v>2217</v>
      </c>
      <c r="F661" s="3" t="s">
        <v>2218</v>
      </c>
      <c r="G661" s="3" t="s">
        <v>2214</v>
      </c>
      <c r="H661" s="3" t="s">
        <v>2745</v>
      </c>
      <c r="I661" s="3" t="s">
        <v>2810</v>
      </c>
      <c r="P661" s="3" t="s">
        <v>4338</v>
      </c>
      <c r="Q661" s="3" t="s">
        <v>4345</v>
      </c>
      <c r="R661" s="3" t="s">
        <v>4352</v>
      </c>
      <c r="S661" s="3" t="s">
        <v>4359</v>
      </c>
    </row>
    <row r="662" spans="1:19">
      <c r="A662" s="3" t="s">
        <v>91</v>
      </c>
      <c r="C662" s="3" t="s">
        <v>2219</v>
      </c>
      <c r="D662" s="3" t="s">
        <v>2220</v>
      </c>
      <c r="E662" s="3" t="s">
        <v>2221</v>
      </c>
      <c r="F662" s="3" t="s">
        <v>2222</v>
      </c>
      <c r="G662" s="3" t="s">
        <v>2223</v>
      </c>
      <c r="H662" s="3" t="s">
        <v>2224</v>
      </c>
      <c r="I662" s="3" t="s">
        <v>4071</v>
      </c>
      <c r="P662" s="3" t="s">
        <v>4339</v>
      </c>
      <c r="Q662" s="3" t="s">
        <v>4346</v>
      </c>
      <c r="R662" s="3" t="s">
        <v>4353</v>
      </c>
      <c r="S662" s="3" t="s">
        <v>4360</v>
      </c>
    </row>
    <row r="663" spans="1:19">
      <c r="A663" s="3" t="s">
        <v>91</v>
      </c>
      <c r="C663" s="3" t="s">
        <v>2225</v>
      </c>
      <c r="D663" s="3" t="s">
        <v>2226</v>
      </c>
      <c r="E663" s="3" t="s">
        <v>2227</v>
      </c>
      <c r="F663" s="3" t="s">
        <v>2228</v>
      </c>
      <c r="G663" s="3" t="s">
        <v>2229</v>
      </c>
      <c r="H663" s="3" t="s">
        <v>2230</v>
      </c>
      <c r="I663" s="3" t="s">
        <v>4072</v>
      </c>
      <c r="P663" s="3" t="s">
        <v>4340</v>
      </c>
      <c r="Q663" s="3" t="s">
        <v>4347</v>
      </c>
      <c r="R663" s="3" t="s">
        <v>4354</v>
      </c>
      <c r="S663" s="3" t="s">
        <v>4361</v>
      </c>
    </row>
    <row r="664" spans="1:19">
      <c r="A664" s="3" t="s">
        <v>91</v>
      </c>
      <c r="C664" s="3" t="s">
        <v>2231</v>
      </c>
      <c r="D664" s="3" t="s">
        <v>2232</v>
      </c>
      <c r="E664" s="3" t="s">
        <v>2233</v>
      </c>
      <c r="F664" s="3" t="s">
        <v>2234</v>
      </c>
      <c r="G664" s="3" t="s">
        <v>2235</v>
      </c>
      <c r="H664" s="3" t="s">
        <v>2236</v>
      </c>
      <c r="I664" s="3" t="s">
        <v>3881</v>
      </c>
      <c r="P664" s="3" t="s">
        <v>4341</v>
      </c>
      <c r="Q664" s="3" t="s">
        <v>4348</v>
      </c>
      <c r="R664" s="3" t="s">
        <v>4355</v>
      </c>
      <c r="S664" s="3" t="s">
        <v>4362</v>
      </c>
    </row>
    <row r="665" spans="1:19">
      <c r="A665" s="3" t="s">
        <v>91</v>
      </c>
      <c r="C665" s="3" t="s">
        <v>3187</v>
      </c>
      <c r="D665" s="3" t="s">
        <v>3188</v>
      </c>
      <c r="E665" s="3" t="s">
        <v>3189</v>
      </c>
      <c r="F665" s="3" t="s">
        <v>3190</v>
      </c>
      <c r="G665" s="3" t="s">
        <v>3191</v>
      </c>
      <c r="H665" s="3" t="s">
        <v>3192</v>
      </c>
      <c r="I665" s="3" t="s">
        <v>3882</v>
      </c>
      <c r="P665" s="3" t="s">
        <v>4342</v>
      </c>
      <c r="Q665" s="3" t="s">
        <v>4349</v>
      </c>
      <c r="R665" s="3" t="s">
        <v>4356</v>
      </c>
      <c r="S665" s="3" t="s">
        <v>4363</v>
      </c>
    </row>
    <row r="666" spans="1:19">
      <c r="A666" s="3" t="s">
        <v>91</v>
      </c>
      <c r="C666" s="3" t="s">
        <v>2237</v>
      </c>
      <c r="D666" s="3" t="s">
        <v>2238</v>
      </c>
      <c r="E666" s="3" t="s">
        <v>2239</v>
      </c>
      <c r="F666" s="3" t="s">
        <v>2240</v>
      </c>
      <c r="G666" s="3" t="s">
        <v>2241</v>
      </c>
      <c r="H666" s="3" t="s">
        <v>2242</v>
      </c>
      <c r="I666" s="3" t="s">
        <v>3883</v>
      </c>
      <c r="P666" s="3" t="s">
        <v>4343</v>
      </c>
      <c r="Q666" s="3" t="s">
        <v>4350</v>
      </c>
      <c r="R666" s="3" t="s">
        <v>4357</v>
      </c>
      <c r="S666" s="3" t="s">
        <v>4364</v>
      </c>
    </row>
    <row r="667" spans="1:19">
      <c r="A667" s="3" t="s">
        <v>91</v>
      </c>
      <c r="C667" s="3" t="s">
        <v>2243</v>
      </c>
      <c r="D667" s="3" t="s">
        <v>2244</v>
      </c>
      <c r="E667" s="3" t="s">
        <v>2245</v>
      </c>
      <c r="F667" s="3" t="s">
        <v>2246</v>
      </c>
      <c r="G667" s="3" t="s">
        <v>2247</v>
      </c>
      <c r="H667" s="3" t="s">
        <v>3193</v>
      </c>
      <c r="I667" s="3" t="s">
        <v>4073</v>
      </c>
      <c r="P667" s="3" t="s">
        <v>4344</v>
      </c>
      <c r="Q667" s="3" t="s">
        <v>4351</v>
      </c>
      <c r="R667" s="3" t="s">
        <v>4358</v>
      </c>
      <c r="S667" s="3" t="s">
        <v>4365</v>
      </c>
    </row>
    <row r="668" spans="1:19">
      <c r="A668" s="3" t="s">
        <v>2812</v>
      </c>
      <c r="C668" s="3" t="s">
        <v>2219</v>
      </c>
      <c r="D668" s="3" t="s">
        <v>2220</v>
      </c>
      <c r="E668" s="3" t="s">
        <v>2221</v>
      </c>
      <c r="F668" s="3" t="s">
        <v>2222</v>
      </c>
      <c r="G668" s="3" t="s">
        <v>2223</v>
      </c>
      <c r="H668" s="3" t="s">
        <v>2224</v>
      </c>
    </row>
    <row r="669" spans="1:19">
      <c r="A669" s="3" t="s">
        <v>91</v>
      </c>
      <c r="C669" s="3" t="s">
        <v>2747</v>
      </c>
      <c r="D669" s="3" t="s">
        <v>2748</v>
      </c>
      <c r="E669" s="3" t="s">
        <v>2749</v>
      </c>
      <c r="F669" s="3" t="s">
        <v>2750</v>
      </c>
      <c r="G669" s="3" t="s">
        <v>2751</v>
      </c>
      <c r="H669" s="3" t="s">
        <v>2752</v>
      </c>
      <c r="N669" s="3" t="s">
        <v>3843</v>
      </c>
      <c r="O669" s="3" t="s">
        <v>3844</v>
      </c>
      <c r="S669" s="3" t="s">
        <v>3845</v>
      </c>
    </row>
    <row r="670" spans="1:19">
      <c r="A670" s="3" t="s">
        <v>2812</v>
      </c>
      <c r="C670" s="3" t="s">
        <v>2209</v>
      </c>
      <c r="D670" s="3" t="s">
        <v>2210</v>
      </c>
      <c r="E670" s="3" t="s">
        <v>2211</v>
      </c>
      <c r="F670" s="3" t="s">
        <v>2212</v>
      </c>
    </row>
    <row r="671" spans="1:19">
      <c r="A671" s="3" t="s">
        <v>91</v>
      </c>
      <c r="C671" s="3" t="s">
        <v>2248</v>
      </c>
      <c r="D671" s="3" t="s">
        <v>2249</v>
      </c>
      <c r="E671" s="3" t="s">
        <v>2250</v>
      </c>
      <c r="F671" s="3" t="s">
        <v>2251</v>
      </c>
      <c r="K671" s="3" t="s">
        <v>3846</v>
      </c>
      <c r="L671" s="3" t="s">
        <v>2252</v>
      </c>
      <c r="M671" s="3" t="s">
        <v>2253</v>
      </c>
      <c r="S671" s="3" t="s">
        <v>3847</v>
      </c>
    </row>
    <row r="672" spans="1:19">
      <c r="A672" s="3" t="s">
        <v>91</v>
      </c>
      <c r="E672" s="3" t="s">
        <v>2036</v>
      </c>
    </row>
    <row r="673" spans="1:19">
      <c r="A673" s="3" t="s">
        <v>91</v>
      </c>
      <c r="E673" s="3" t="s">
        <v>2254</v>
      </c>
      <c r="J673" s="3" t="s">
        <v>3848</v>
      </c>
      <c r="S673" s="3" t="s">
        <v>3849</v>
      </c>
    </row>
    <row r="674" spans="1:19">
      <c r="A674" s="3" t="s">
        <v>91</v>
      </c>
    </row>
    <row r="675" spans="1:19">
      <c r="J675" s="3" t="s">
        <v>25</v>
      </c>
      <c r="S675" s="3" t="s">
        <v>3850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Read Me</vt:lpstr>
      <vt:lpstr>Options</vt:lpstr>
      <vt:lpstr>Report</vt:lpstr>
      <vt:lpstr>chkdte</vt:lpstr>
      <vt:lpstr>empclss</vt:lpstr>
      <vt:lpstr>empID</vt:lpstr>
      <vt:lpstr>PACde</vt:lpstr>
      <vt:lpstr>Report!Print_Area</vt:lpstr>
      <vt:lpstr>StCd</vt:lpstr>
    </vt:vector>
  </TitlesOfParts>
  <Company>Software Professionals,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HR Payroll Transactions by Class</dc:title>
  <dc:subject>Jet Reports</dc:subject>
  <dc:creator>Katherine Turner-Lawrence</dc:creator>
  <dc:description>Payroll transactions grouped by employee class, employee, and check.</dc:description>
  <cp:lastModifiedBy>Kim R. Duey</cp:lastModifiedBy>
  <cp:lastPrinted>2012-12-31T20:58:15Z</cp:lastPrinted>
  <dcterms:created xsi:type="dcterms:W3CDTF">2007-01-17T14:49:09Z</dcterms:created>
  <dcterms:modified xsi:type="dcterms:W3CDTF">2018-09-27T14:17:08Z</dcterms:modified>
  <cp:category>Human Resources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eedsREVERT">
    <vt:lpwstr>FALSE</vt:lpwstr>
  </property>
  <property fmtid="{D5CDD505-2E9C-101B-9397-08002B2CF9AE}" pid="3" name="Jet Reports Drill Button Active">
    <vt:bool>true</vt:bool>
  </property>
  <property fmtid="{D5CDD505-2E9C-101B-9397-08002B2CF9AE}" pid="4" name="OriginalName">
    <vt:lpwstr>HR Payroll Transactions by Class.xls</vt:lpwstr>
  </property>
  <property fmtid="{D5CDD505-2E9C-101B-9397-08002B2CF9AE}" pid="5" name="Jet Reports Last Version Refresh">
    <vt:lpwstr>Version 7.0.1  Released 3/12/2007 3:30:53 PM</vt:lpwstr>
  </property>
  <property fmtid="{D5CDD505-2E9C-101B-9397-08002B2CF9AE}" pid="6" name="Jet Reports Design Mode Active">
    <vt:bool>false</vt:bool>
  </property>
  <property fmtid="{D5CDD505-2E9C-101B-9397-08002B2CF9AE}" pid="7" name="Jet Reports Function Literals">
    <vt:lpwstr>,	;	,	{	}	[@[{0}]]	1033</vt:lpwstr>
  </property>
</Properties>
</file>