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0" yWindow="0" windowWidth="28800" windowHeight="12000"/>
  </bookViews>
  <sheets>
    <sheet name="Read Me" sheetId="192" r:id="rId1"/>
    <sheet name="Options" sheetId="2" state="hidden" r:id="rId2"/>
    <sheet name="Trx Actual vs Budget" sheetId="1" r:id="rId3"/>
    <sheet name="Sheet7" sheetId="235" state="veryHidden" r:id="rId4"/>
    <sheet name="Sheet8" sheetId="236" state="veryHidden" r:id="rId5"/>
    <sheet name="Sheet9" sheetId="237" state="veryHidden" r:id="rId6"/>
    <sheet name="Sheet10" sheetId="238" state="veryHidden" r:id="rId7"/>
    <sheet name="Sheet11" sheetId="239" state="veryHidden" r:id="rId8"/>
    <sheet name="Sheet12" sheetId="240" state="veryHidden" r:id="rId9"/>
  </sheets>
  <definedNames>
    <definedName name="BudgetFilter">Options!$D$11</definedName>
    <definedName name="CategoryFilter">Options!$D$6</definedName>
    <definedName name="EndPeriod">Options!$D$9</definedName>
    <definedName name="EndYear">Options!$D$10</definedName>
    <definedName name="_xlnm.Print_Area" localSheetId="2">'Trx Actual vs Budget'!$H$4:$O$735</definedName>
    <definedName name="StartPeriod">Options!$D$7</definedName>
    <definedName name="StartYear">Options!$D$8</definedName>
  </definedNames>
  <calcPr calcId="162913"/>
</workbook>
</file>

<file path=xl/calcChain.xml><?xml version="1.0" encoding="utf-8"?>
<calcChain xmlns="http://schemas.openxmlformats.org/spreadsheetml/2006/main">
  <c r="C3" i="1" l="1"/>
  <c r="D3" i="1"/>
  <c r="C4" i="1"/>
  <c r="C5" i="1"/>
  <c r="D5" i="1"/>
  <c r="C6" i="1" s="1"/>
  <c r="I6" i="1"/>
  <c r="C7" i="1"/>
  <c r="I7" i="1"/>
  <c r="I8" i="1"/>
  <c r="I9" i="1"/>
  <c r="H12" i="1"/>
  <c r="C13" i="1"/>
  <c r="H13" i="1" s="1"/>
  <c r="I13" i="1"/>
  <c r="E14" i="1"/>
  <c r="F14" i="1"/>
  <c r="J14" i="1" s="1"/>
  <c r="J13" i="1" s="1"/>
  <c r="O13" i="1" s="1"/>
  <c r="G14" i="1"/>
  <c r="K14" i="1"/>
  <c r="L14" i="1"/>
  <c r="M14" i="1"/>
  <c r="C16" i="1"/>
  <c r="H16" i="1" s="1"/>
  <c r="I16" i="1"/>
  <c r="E17" i="1"/>
  <c r="J17" i="1"/>
  <c r="K17" i="1"/>
  <c r="L17" i="1"/>
  <c r="E18" i="1"/>
  <c r="J18" i="1"/>
  <c r="K18" i="1"/>
  <c r="L18" i="1"/>
  <c r="E19" i="1"/>
  <c r="J19" i="1"/>
  <c r="K19" i="1"/>
  <c r="L19" i="1"/>
  <c r="E20" i="1"/>
  <c r="J20" i="1"/>
  <c r="K20" i="1"/>
  <c r="L20" i="1"/>
  <c r="E21" i="1"/>
  <c r="J21" i="1"/>
  <c r="K21" i="1"/>
  <c r="L21" i="1"/>
  <c r="E22" i="1"/>
  <c r="J22" i="1"/>
  <c r="K22" i="1"/>
  <c r="L22" i="1"/>
  <c r="E23" i="1"/>
  <c r="J23" i="1"/>
  <c r="K23" i="1"/>
  <c r="L23" i="1"/>
  <c r="E24" i="1"/>
  <c r="J24" i="1"/>
  <c r="K24" i="1"/>
  <c r="L24" i="1"/>
  <c r="E25" i="1"/>
  <c r="J25" i="1"/>
  <c r="K25" i="1"/>
  <c r="L25" i="1"/>
  <c r="E26" i="1"/>
  <c r="J26" i="1"/>
  <c r="K26" i="1"/>
  <c r="L26" i="1"/>
  <c r="E27" i="1"/>
  <c r="J27" i="1"/>
  <c r="K27" i="1"/>
  <c r="L27" i="1"/>
  <c r="E28" i="1"/>
  <c r="J28" i="1"/>
  <c r="K28" i="1"/>
  <c r="L28" i="1"/>
  <c r="E29" i="1"/>
  <c r="J29" i="1"/>
  <c r="K29" i="1"/>
  <c r="L29" i="1"/>
  <c r="E30" i="1"/>
  <c r="J30" i="1"/>
  <c r="K30" i="1"/>
  <c r="L30" i="1"/>
  <c r="E31" i="1"/>
  <c r="J31" i="1"/>
  <c r="K31" i="1"/>
  <c r="L31" i="1"/>
  <c r="E32" i="1"/>
  <c r="J32" i="1"/>
  <c r="K32" i="1"/>
  <c r="L32" i="1"/>
  <c r="E33" i="1"/>
  <c r="J33" i="1"/>
  <c r="K33" i="1"/>
  <c r="L33" i="1"/>
  <c r="E34" i="1"/>
  <c r="J34" i="1"/>
  <c r="K34" i="1"/>
  <c r="L34" i="1"/>
  <c r="E35" i="1"/>
  <c r="J35" i="1"/>
  <c r="K35" i="1"/>
  <c r="L35" i="1"/>
  <c r="E36" i="1"/>
  <c r="J36" i="1"/>
  <c r="K36" i="1"/>
  <c r="L36" i="1"/>
  <c r="E37" i="1"/>
  <c r="J37" i="1"/>
  <c r="K37" i="1"/>
  <c r="L37" i="1"/>
  <c r="E38" i="1"/>
  <c r="J38" i="1"/>
  <c r="K38" i="1"/>
  <c r="L38" i="1"/>
  <c r="E39" i="1"/>
  <c r="J39" i="1"/>
  <c r="K39" i="1"/>
  <c r="L39" i="1"/>
  <c r="E40" i="1"/>
  <c r="J40" i="1"/>
  <c r="K40" i="1"/>
  <c r="L40" i="1"/>
  <c r="E41" i="1"/>
  <c r="J41" i="1"/>
  <c r="K41" i="1"/>
  <c r="L41" i="1"/>
  <c r="E42" i="1"/>
  <c r="J42" i="1"/>
  <c r="K42" i="1"/>
  <c r="L42" i="1"/>
  <c r="E43" i="1"/>
  <c r="J43" i="1"/>
  <c r="K43" i="1"/>
  <c r="L43" i="1"/>
  <c r="E44" i="1"/>
  <c r="J44" i="1"/>
  <c r="K44" i="1"/>
  <c r="L44" i="1"/>
  <c r="E45" i="1"/>
  <c r="J45" i="1"/>
  <c r="K45" i="1"/>
  <c r="L45" i="1"/>
  <c r="E46" i="1"/>
  <c r="J46" i="1"/>
  <c r="K46" i="1"/>
  <c r="L46" i="1"/>
  <c r="E47" i="1"/>
  <c r="J47" i="1"/>
  <c r="K47" i="1"/>
  <c r="L47" i="1"/>
  <c r="E48" i="1"/>
  <c r="J48" i="1"/>
  <c r="K48" i="1"/>
  <c r="L48" i="1"/>
  <c r="E49" i="1"/>
  <c r="J49" i="1"/>
  <c r="K49" i="1"/>
  <c r="L49" i="1"/>
  <c r="E50" i="1"/>
  <c r="J50" i="1"/>
  <c r="K50" i="1"/>
  <c r="L50" i="1"/>
  <c r="E51" i="1"/>
  <c r="J51" i="1"/>
  <c r="K51" i="1"/>
  <c r="L51" i="1"/>
  <c r="E52" i="1"/>
  <c r="J52" i="1"/>
  <c r="K52" i="1"/>
  <c r="L52" i="1"/>
  <c r="E53" i="1"/>
  <c r="J53" i="1"/>
  <c r="K53" i="1"/>
  <c r="L53" i="1"/>
  <c r="E54" i="1"/>
  <c r="J54" i="1"/>
  <c r="K54" i="1"/>
  <c r="L54" i="1"/>
  <c r="E55" i="1"/>
  <c r="J55" i="1"/>
  <c r="K55" i="1"/>
  <c r="L55" i="1"/>
  <c r="E56" i="1"/>
  <c r="J56" i="1"/>
  <c r="K56" i="1"/>
  <c r="L56" i="1"/>
  <c r="E57" i="1"/>
  <c r="J57" i="1"/>
  <c r="K57" i="1"/>
  <c r="L57" i="1"/>
  <c r="E58" i="1"/>
  <c r="J58" i="1"/>
  <c r="K58" i="1"/>
  <c r="L58" i="1"/>
  <c r="E59" i="1"/>
  <c r="J59" i="1"/>
  <c r="K59" i="1"/>
  <c r="L59" i="1"/>
  <c r="E60" i="1"/>
  <c r="J60" i="1"/>
  <c r="K60" i="1"/>
  <c r="L60" i="1"/>
  <c r="E61" i="1"/>
  <c r="J61" i="1"/>
  <c r="K61" i="1"/>
  <c r="L61" i="1"/>
  <c r="E62" i="1"/>
  <c r="J62" i="1"/>
  <c r="K62" i="1"/>
  <c r="L62" i="1"/>
  <c r="E63" i="1"/>
  <c r="J63" i="1"/>
  <c r="K63" i="1"/>
  <c r="L63" i="1"/>
  <c r="E64" i="1"/>
  <c r="J64" i="1"/>
  <c r="K64" i="1"/>
  <c r="L64" i="1"/>
  <c r="E65" i="1"/>
  <c r="J65" i="1"/>
  <c r="K65" i="1"/>
  <c r="L65" i="1"/>
  <c r="E66" i="1"/>
  <c r="J66" i="1"/>
  <c r="K66" i="1"/>
  <c r="L66" i="1"/>
  <c r="E67" i="1"/>
  <c r="J67" i="1"/>
  <c r="K67" i="1"/>
  <c r="L67" i="1"/>
  <c r="E68" i="1"/>
  <c r="J68" i="1"/>
  <c r="K68" i="1"/>
  <c r="L68" i="1"/>
  <c r="E69" i="1"/>
  <c r="J69" i="1"/>
  <c r="K69" i="1"/>
  <c r="L69" i="1"/>
  <c r="E70" i="1"/>
  <c r="J70" i="1"/>
  <c r="K70" i="1"/>
  <c r="L70" i="1"/>
  <c r="E71" i="1"/>
  <c r="J71" i="1"/>
  <c r="K71" i="1"/>
  <c r="L71" i="1"/>
  <c r="E72" i="1"/>
  <c r="J72" i="1"/>
  <c r="K72" i="1"/>
  <c r="L72" i="1"/>
  <c r="E73" i="1"/>
  <c r="J73" i="1"/>
  <c r="K73" i="1"/>
  <c r="L73" i="1"/>
  <c r="E74" i="1"/>
  <c r="J74" i="1"/>
  <c r="K74" i="1"/>
  <c r="L74" i="1"/>
  <c r="E75" i="1"/>
  <c r="J75" i="1"/>
  <c r="K75" i="1"/>
  <c r="L75" i="1"/>
  <c r="E76" i="1"/>
  <c r="J76" i="1"/>
  <c r="K76" i="1"/>
  <c r="L76" i="1"/>
  <c r="E77" i="1"/>
  <c r="J77" i="1"/>
  <c r="K77" i="1"/>
  <c r="L77" i="1"/>
  <c r="E78" i="1"/>
  <c r="J78" i="1"/>
  <c r="K78" i="1"/>
  <c r="L78" i="1"/>
  <c r="E79" i="1"/>
  <c r="J79" i="1"/>
  <c r="K79" i="1"/>
  <c r="L79" i="1"/>
  <c r="E80" i="1"/>
  <c r="J80" i="1"/>
  <c r="K80" i="1"/>
  <c r="L80" i="1"/>
  <c r="E81" i="1"/>
  <c r="J81" i="1"/>
  <c r="K81" i="1"/>
  <c r="L81" i="1"/>
  <c r="E82" i="1"/>
  <c r="J82" i="1"/>
  <c r="K82" i="1"/>
  <c r="L82" i="1"/>
  <c r="E83" i="1"/>
  <c r="J83" i="1"/>
  <c r="K83" i="1"/>
  <c r="L83" i="1"/>
  <c r="E84" i="1"/>
  <c r="J84" i="1"/>
  <c r="K84" i="1"/>
  <c r="L84" i="1"/>
  <c r="E85" i="1"/>
  <c r="J85" i="1"/>
  <c r="K85" i="1"/>
  <c r="L85" i="1"/>
  <c r="E86" i="1"/>
  <c r="J86" i="1"/>
  <c r="K86" i="1"/>
  <c r="L86" i="1"/>
  <c r="E87" i="1"/>
  <c r="J87" i="1"/>
  <c r="K87" i="1"/>
  <c r="L87" i="1"/>
  <c r="E88" i="1"/>
  <c r="J88" i="1"/>
  <c r="K88" i="1"/>
  <c r="L88" i="1"/>
  <c r="E89" i="1"/>
  <c r="J89" i="1"/>
  <c r="K89" i="1"/>
  <c r="L89" i="1"/>
  <c r="E90" i="1"/>
  <c r="J90" i="1"/>
  <c r="K90" i="1"/>
  <c r="L90" i="1"/>
  <c r="E91" i="1"/>
  <c r="J91" i="1"/>
  <c r="K91" i="1"/>
  <c r="L91" i="1"/>
  <c r="E92" i="1"/>
  <c r="J92" i="1"/>
  <c r="K92" i="1"/>
  <c r="L92" i="1"/>
  <c r="E93" i="1"/>
  <c r="J93" i="1"/>
  <c r="K93" i="1"/>
  <c r="L93" i="1"/>
  <c r="E94" i="1"/>
  <c r="J94" i="1"/>
  <c r="K94" i="1"/>
  <c r="L94" i="1"/>
  <c r="E95" i="1"/>
  <c r="J95" i="1"/>
  <c r="K95" i="1"/>
  <c r="L95" i="1"/>
  <c r="E96" i="1"/>
  <c r="J96" i="1"/>
  <c r="K96" i="1"/>
  <c r="L96" i="1"/>
  <c r="E97" i="1"/>
  <c r="J97" i="1"/>
  <c r="K97" i="1"/>
  <c r="L97" i="1"/>
  <c r="E98" i="1"/>
  <c r="J98" i="1"/>
  <c r="K98" i="1"/>
  <c r="L98" i="1"/>
  <c r="E99" i="1"/>
  <c r="J99" i="1"/>
  <c r="K99" i="1"/>
  <c r="L99" i="1"/>
  <c r="E100" i="1"/>
  <c r="J100" i="1"/>
  <c r="K100" i="1"/>
  <c r="L100" i="1"/>
  <c r="E101" i="1"/>
  <c r="J101" i="1"/>
  <c r="K101" i="1"/>
  <c r="L101" i="1"/>
  <c r="E102" i="1"/>
  <c r="J102" i="1"/>
  <c r="K102" i="1"/>
  <c r="L102" i="1"/>
  <c r="E103" i="1"/>
  <c r="J103" i="1"/>
  <c r="K103" i="1"/>
  <c r="L103" i="1"/>
  <c r="E104" i="1"/>
  <c r="J104" i="1"/>
  <c r="K104" i="1"/>
  <c r="L104" i="1"/>
  <c r="E105" i="1"/>
  <c r="J105" i="1"/>
  <c r="K105" i="1"/>
  <c r="L105" i="1"/>
  <c r="E106" i="1"/>
  <c r="J106" i="1"/>
  <c r="K106" i="1"/>
  <c r="L106" i="1"/>
  <c r="E107" i="1"/>
  <c r="J107" i="1"/>
  <c r="K107" i="1"/>
  <c r="L107" i="1"/>
  <c r="E108" i="1"/>
  <c r="J108" i="1"/>
  <c r="K108" i="1"/>
  <c r="L108" i="1"/>
  <c r="E109" i="1"/>
  <c r="J109" i="1"/>
  <c r="K109" i="1"/>
  <c r="L109" i="1"/>
  <c r="E110" i="1"/>
  <c r="J110" i="1"/>
  <c r="K110" i="1"/>
  <c r="L110" i="1"/>
  <c r="E111" i="1"/>
  <c r="J111" i="1"/>
  <c r="K111" i="1"/>
  <c r="L111" i="1"/>
  <c r="E112" i="1"/>
  <c r="J112" i="1"/>
  <c r="K112" i="1"/>
  <c r="L112" i="1"/>
  <c r="E113" i="1"/>
  <c r="J113" i="1"/>
  <c r="K113" i="1"/>
  <c r="L113" i="1"/>
  <c r="E114" i="1"/>
  <c r="J114" i="1"/>
  <c r="K114" i="1"/>
  <c r="L114" i="1"/>
  <c r="E115" i="1"/>
  <c r="J115" i="1"/>
  <c r="K115" i="1"/>
  <c r="L115" i="1"/>
  <c r="E116" i="1"/>
  <c r="J116" i="1"/>
  <c r="K116" i="1"/>
  <c r="L116" i="1"/>
  <c r="E117" i="1"/>
  <c r="J117" i="1"/>
  <c r="K117" i="1"/>
  <c r="L117" i="1"/>
  <c r="E118" i="1"/>
  <c r="J118" i="1"/>
  <c r="K118" i="1"/>
  <c r="L118" i="1"/>
  <c r="E119" i="1"/>
  <c r="J119" i="1"/>
  <c r="K119" i="1"/>
  <c r="L119" i="1"/>
  <c r="C121" i="1"/>
  <c r="H121" i="1" s="1"/>
  <c r="I121" i="1"/>
  <c r="E122" i="1"/>
  <c r="J122" i="1"/>
  <c r="K122" i="1"/>
  <c r="L122" i="1"/>
  <c r="E123" i="1"/>
  <c r="J123" i="1"/>
  <c r="J121" i="1" s="1"/>
  <c r="O121" i="1" s="1"/>
  <c r="K123" i="1"/>
  <c r="L123" i="1"/>
  <c r="E124" i="1"/>
  <c r="J124" i="1"/>
  <c r="K124" i="1"/>
  <c r="L124" i="1"/>
  <c r="E125" i="1"/>
  <c r="J125" i="1"/>
  <c r="K125" i="1"/>
  <c r="L125" i="1"/>
  <c r="E126" i="1"/>
  <c r="J126" i="1"/>
  <c r="K126" i="1"/>
  <c r="L126" i="1"/>
  <c r="E127" i="1"/>
  <c r="J127" i="1"/>
  <c r="K127" i="1"/>
  <c r="L127" i="1"/>
  <c r="E128" i="1"/>
  <c r="J128" i="1"/>
  <c r="K128" i="1"/>
  <c r="L128" i="1"/>
  <c r="E129" i="1"/>
  <c r="J129" i="1"/>
  <c r="K129" i="1"/>
  <c r="L129" i="1"/>
  <c r="E130" i="1"/>
  <c r="J130" i="1"/>
  <c r="K130" i="1"/>
  <c r="L130" i="1"/>
  <c r="E131" i="1"/>
  <c r="J131" i="1"/>
  <c r="K131" i="1"/>
  <c r="L131" i="1"/>
  <c r="E132" i="1"/>
  <c r="J132" i="1"/>
  <c r="K132" i="1"/>
  <c r="L132" i="1"/>
  <c r="E133" i="1"/>
  <c r="J133" i="1"/>
  <c r="K133" i="1"/>
  <c r="L133" i="1"/>
  <c r="E134" i="1"/>
  <c r="J134" i="1"/>
  <c r="K134" i="1"/>
  <c r="L134" i="1"/>
  <c r="E135" i="1"/>
  <c r="J135" i="1"/>
  <c r="K135" i="1"/>
  <c r="L135" i="1"/>
  <c r="E136" i="1"/>
  <c r="J136" i="1"/>
  <c r="K136" i="1"/>
  <c r="L136" i="1"/>
  <c r="E137" i="1"/>
  <c r="J137" i="1"/>
  <c r="K137" i="1"/>
  <c r="L137" i="1"/>
  <c r="E138" i="1"/>
  <c r="J138" i="1"/>
  <c r="K138" i="1"/>
  <c r="L138" i="1"/>
  <c r="E139" i="1"/>
  <c r="J139" i="1"/>
  <c r="K139" i="1"/>
  <c r="L139" i="1"/>
  <c r="C141" i="1"/>
  <c r="H141" i="1" s="1"/>
  <c r="I141" i="1"/>
  <c r="E142" i="1"/>
  <c r="J142" i="1"/>
  <c r="J141" i="1" s="1"/>
  <c r="O141" i="1" s="1"/>
  <c r="K142" i="1"/>
  <c r="L142" i="1"/>
  <c r="E143" i="1"/>
  <c r="J143" i="1"/>
  <c r="K143" i="1"/>
  <c r="L143" i="1"/>
  <c r="E144" i="1"/>
  <c r="J144" i="1"/>
  <c r="K144" i="1"/>
  <c r="L144" i="1"/>
  <c r="E145" i="1"/>
  <c r="J145" i="1"/>
  <c r="K145" i="1"/>
  <c r="L145" i="1"/>
  <c r="E146" i="1"/>
  <c r="J146" i="1"/>
  <c r="K146" i="1"/>
  <c r="L146" i="1"/>
  <c r="E147" i="1"/>
  <c r="J147" i="1"/>
  <c r="K147" i="1"/>
  <c r="L147" i="1"/>
  <c r="C149" i="1"/>
  <c r="H149" i="1"/>
  <c r="I149" i="1"/>
  <c r="E150" i="1"/>
  <c r="F150" i="1"/>
  <c r="J150" i="1" s="1"/>
  <c r="J149" i="1" s="1"/>
  <c r="O149" i="1" s="1"/>
  <c r="G150" i="1"/>
  <c r="K150" i="1"/>
  <c r="L150" i="1"/>
  <c r="M150" i="1"/>
  <c r="C152" i="1"/>
  <c r="H152" i="1"/>
  <c r="I152" i="1"/>
  <c r="J152" i="1"/>
  <c r="O152" i="1" s="1"/>
  <c r="E153" i="1"/>
  <c r="J153" i="1"/>
  <c r="K153" i="1"/>
  <c r="L153" i="1"/>
  <c r="E154" i="1"/>
  <c r="J154" i="1"/>
  <c r="K154" i="1"/>
  <c r="L154" i="1"/>
  <c r="E155" i="1"/>
  <c r="J155" i="1"/>
  <c r="K155" i="1"/>
  <c r="L155" i="1"/>
  <c r="E156" i="1"/>
  <c r="J156" i="1"/>
  <c r="K156" i="1"/>
  <c r="L156" i="1"/>
  <c r="E157" i="1"/>
  <c r="J157" i="1"/>
  <c r="K157" i="1"/>
  <c r="L157" i="1"/>
  <c r="E158" i="1"/>
  <c r="J158" i="1"/>
  <c r="K158" i="1"/>
  <c r="L158" i="1"/>
  <c r="E159" i="1"/>
  <c r="J159" i="1"/>
  <c r="K159" i="1"/>
  <c r="L159" i="1"/>
  <c r="E160" i="1"/>
  <c r="J160" i="1"/>
  <c r="K160" i="1"/>
  <c r="L160" i="1"/>
  <c r="E161" i="1"/>
  <c r="J161" i="1"/>
  <c r="K161" i="1"/>
  <c r="L161" i="1"/>
  <c r="E162" i="1"/>
  <c r="J162" i="1"/>
  <c r="K162" i="1"/>
  <c r="L162" i="1"/>
  <c r="E163" i="1"/>
  <c r="J163" i="1"/>
  <c r="K163" i="1"/>
  <c r="L163" i="1"/>
  <c r="E164" i="1"/>
  <c r="J164" i="1"/>
  <c r="K164" i="1"/>
  <c r="L164" i="1"/>
  <c r="C166" i="1"/>
  <c r="H166" i="1"/>
  <c r="I166" i="1"/>
  <c r="E167" i="1"/>
  <c r="J167" i="1"/>
  <c r="J166" i="1" s="1"/>
  <c r="O166" i="1" s="1"/>
  <c r="K167" i="1"/>
  <c r="L167" i="1"/>
  <c r="E168" i="1"/>
  <c r="J168" i="1"/>
  <c r="K168" i="1"/>
  <c r="L168" i="1"/>
  <c r="C170" i="1"/>
  <c r="H170" i="1"/>
  <c r="I170" i="1"/>
  <c r="E171" i="1"/>
  <c r="F171" i="1"/>
  <c r="G171" i="1"/>
  <c r="J171" i="1"/>
  <c r="J170" i="1" s="1"/>
  <c r="O170" i="1" s="1"/>
  <c r="K171" i="1"/>
  <c r="L171" i="1"/>
  <c r="M171" i="1"/>
  <c r="C173" i="1"/>
  <c r="H173" i="1"/>
  <c r="I173" i="1"/>
  <c r="E174" i="1"/>
  <c r="F174" i="1"/>
  <c r="G174" i="1"/>
  <c r="J174" i="1"/>
  <c r="J173" i="1" s="1"/>
  <c r="O173" i="1" s="1"/>
  <c r="K174" i="1"/>
  <c r="L174" i="1"/>
  <c r="M174" i="1"/>
  <c r="C176" i="1"/>
  <c r="H176" i="1"/>
  <c r="I176" i="1"/>
  <c r="J176" i="1"/>
  <c r="O176" i="1"/>
  <c r="E177" i="1"/>
  <c r="J177" i="1"/>
  <c r="K177" i="1"/>
  <c r="L177" i="1"/>
  <c r="C179" i="1"/>
  <c r="H179" i="1" s="1"/>
  <c r="I179" i="1"/>
  <c r="J179" i="1"/>
  <c r="O179" i="1"/>
  <c r="E180" i="1"/>
  <c r="J180" i="1"/>
  <c r="K180" i="1"/>
  <c r="L180" i="1"/>
  <c r="C182" i="1"/>
  <c r="H182" i="1"/>
  <c r="I182" i="1"/>
  <c r="J182" i="1"/>
  <c r="O182" i="1" s="1"/>
  <c r="E183" i="1"/>
  <c r="J183" i="1"/>
  <c r="K183" i="1"/>
  <c r="L183" i="1"/>
  <c r="E184" i="1"/>
  <c r="J184" i="1"/>
  <c r="K184" i="1"/>
  <c r="L184" i="1"/>
  <c r="C186" i="1"/>
  <c r="H186" i="1"/>
  <c r="I186" i="1"/>
  <c r="E187" i="1"/>
  <c r="F187" i="1"/>
  <c r="J187" i="1" s="1"/>
  <c r="J186" i="1" s="1"/>
  <c r="O186" i="1" s="1"/>
  <c r="G187" i="1"/>
  <c r="K187" i="1"/>
  <c r="L187" i="1"/>
  <c r="M187" i="1"/>
  <c r="C189" i="1"/>
  <c r="H189" i="1"/>
  <c r="I189" i="1"/>
  <c r="E190" i="1"/>
  <c r="J190" i="1"/>
  <c r="J189" i="1" s="1"/>
  <c r="O189" i="1" s="1"/>
  <c r="K190" i="1"/>
  <c r="L190" i="1"/>
  <c r="C192" i="1"/>
  <c r="H192" i="1"/>
  <c r="I192" i="1"/>
  <c r="J192" i="1"/>
  <c r="O192" i="1"/>
  <c r="E193" i="1"/>
  <c r="J193" i="1"/>
  <c r="K193" i="1"/>
  <c r="L193" i="1"/>
  <c r="C195" i="1"/>
  <c r="H195" i="1" s="1"/>
  <c r="I195" i="1"/>
  <c r="J195" i="1"/>
  <c r="O195" i="1"/>
  <c r="E196" i="1"/>
  <c r="J196" i="1"/>
  <c r="K196" i="1"/>
  <c r="L196" i="1"/>
  <c r="E197" i="1"/>
  <c r="J197" i="1"/>
  <c r="K197" i="1"/>
  <c r="L197" i="1"/>
  <c r="E198" i="1"/>
  <c r="J198" i="1"/>
  <c r="K198" i="1"/>
  <c r="L198" i="1"/>
  <c r="E199" i="1"/>
  <c r="J199" i="1"/>
  <c r="K199" i="1"/>
  <c r="L199" i="1"/>
  <c r="E200" i="1"/>
  <c r="J200" i="1"/>
  <c r="K200" i="1"/>
  <c r="L200" i="1"/>
  <c r="E201" i="1"/>
  <c r="J201" i="1"/>
  <c r="K201" i="1"/>
  <c r="L201" i="1"/>
  <c r="E202" i="1"/>
  <c r="J202" i="1"/>
  <c r="K202" i="1"/>
  <c r="L202" i="1"/>
  <c r="E203" i="1"/>
  <c r="J203" i="1"/>
  <c r="K203" i="1"/>
  <c r="L203" i="1"/>
  <c r="E204" i="1"/>
  <c r="J204" i="1"/>
  <c r="K204" i="1"/>
  <c r="L204" i="1"/>
  <c r="E205" i="1"/>
  <c r="J205" i="1"/>
  <c r="K205" i="1"/>
  <c r="L205" i="1"/>
  <c r="E206" i="1"/>
  <c r="J206" i="1"/>
  <c r="K206" i="1"/>
  <c r="L206" i="1"/>
  <c r="E207" i="1"/>
  <c r="J207" i="1"/>
  <c r="K207" i="1"/>
  <c r="L207" i="1"/>
  <c r="E208" i="1"/>
  <c r="J208" i="1"/>
  <c r="K208" i="1"/>
  <c r="L208" i="1"/>
  <c r="E209" i="1"/>
  <c r="J209" i="1"/>
  <c r="K209" i="1"/>
  <c r="L209" i="1"/>
  <c r="E210" i="1"/>
  <c r="J210" i="1"/>
  <c r="K210" i="1"/>
  <c r="L210" i="1"/>
  <c r="E211" i="1"/>
  <c r="J211" i="1"/>
  <c r="K211" i="1"/>
  <c r="L211" i="1"/>
  <c r="E212" i="1"/>
  <c r="J212" i="1"/>
  <c r="K212" i="1"/>
  <c r="L212" i="1"/>
  <c r="E213" i="1"/>
  <c r="J213" i="1"/>
  <c r="K213" i="1"/>
  <c r="L213" i="1"/>
  <c r="C215" i="1"/>
  <c r="H215" i="1"/>
  <c r="I215" i="1"/>
  <c r="E216" i="1"/>
  <c r="F216" i="1"/>
  <c r="J216" i="1" s="1"/>
  <c r="J215" i="1" s="1"/>
  <c r="O215" i="1" s="1"/>
  <c r="G216" i="1"/>
  <c r="K216" i="1"/>
  <c r="L216" i="1"/>
  <c r="M216" i="1"/>
  <c r="C218" i="1"/>
  <c r="H218" i="1"/>
  <c r="I218" i="1"/>
  <c r="J218" i="1"/>
  <c r="O218" i="1" s="1"/>
  <c r="E219" i="1"/>
  <c r="J219" i="1"/>
  <c r="K219" i="1"/>
  <c r="L219" i="1"/>
  <c r="C221" i="1"/>
  <c r="H221" i="1"/>
  <c r="I221" i="1"/>
  <c r="E222" i="1"/>
  <c r="F222" i="1"/>
  <c r="J222" i="1" s="1"/>
  <c r="J221" i="1" s="1"/>
  <c r="O221" i="1" s="1"/>
  <c r="G222" i="1"/>
  <c r="K222" i="1"/>
  <c r="L222" i="1"/>
  <c r="M222" i="1"/>
  <c r="C224" i="1"/>
  <c r="H224" i="1"/>
  <c r="I224" i="1"/>
  <c r="E225" i="1"/>
  <c r="F225" i="1"/>
  <c r="J225" i="1" s="1"/>
  <c r="J224" i="1" s="1"/>
  <c r="O224" i="1" s="1"/>
  <c r="G225" i="1"/>
  <c r="K225" i="1"/>
  <c r="L225" i="1"/>
  <c r="M225" i="1"/>
  <c r="C227" i="1"/>
  <c r="H227" i="1"/>
  <c r="I227" i="1"/>
  <c r="E228" i="1"/>
  <c r="F228" i="1"/>
  <c r="J228" i="1" s="1"/>
  <c r="J227" i="1" s="1"/>
  <c r="O227" i="1" s="1"/>
  <c r="G228" i="1"/>
  <c r="K228" i="1"/>
  <c r="L228" i="1"/>
  <c r="M228" i="1"/>
  <c r="C230" i="1"/>
  <c r="H230" i="1"/>
  <c r="I230" i="1"/>
  <c r="E231" i="1"/>
  <c r="F231" i="1"/>
  <c r="J231" i="1" s="1"/>
  <c r="J230" i="1" s="1"/>
  <c r="O230" i="1" s="1"/>
  <c r="G231" i="1"/>
  <c r="K231" i="1"/>
  <c r="L231" i="1"/>
  <c r="M231" i="1"/>
  <c r="C233" i="1"/>
  <c r="H233" i="1"/>
  <c r="I233" i="1"/>
  <c r="E234" i="1"/>
  <c r="J234" i="1"/>
  <c r="J233" i="1" s="1"/>
  <c r="O233" i="1" s="1"/>
  <c r="K234" i="1"/>
  <c r="L234" i="1"/>
  <c r="E235" i="1"/>
  <c r="J235" i="1"/>
  <c r="K235" i="1"/>
  <c r="L235" i="1"/>
  <c r="E236" i="1"/>
  <c r="J236" i="1"/>
  <c r="K236" i="1"/>
  <c r="L236" i="1"/>
  <c r="E237" i="1"/>
  <c r="J237" i="1"/>
  <c r="K237" i="1"/>
  <c r="L237" i="1"/>
  <c r="E238" i="1"/>
  <c r="J238" i="1"/>
  <c r="K238" i="1"/>
  <c r="L238" i="1"/>
  <c r="E239" i="1"/>
  <c r="J239" i="1"/>
  <c r="K239" i="1"/>
  <c r="L239" i="1"/>
  <c r="E240" i="1"/>
  <c r="J240" i="1"/>
  <c r="K240" i="1"/>
  <c r="L240" i="1"/>
  <c r="E241" i="1"/>
  <c r="J241" i="1"/>
  <c r="K241" i="1"/>
  <c r="L241" i="1"/>
  <c r="E242" i="1"/>
  <c r="J242" i="1"/>
  <c r="K242" i="1"/>
  <c r="L242" i="1"/>
  <c r="E243" i="1"/>
  <c r="J243" i="1"/>
  <c r="K243" i="1"/>
  <c r="L243" i="1"/>
  <c r="E244" i="1"/>
  <c r="J244" i="1"/>
  <c r="K244" i="1"/>
  <c r="L244" i="1"/>
  <c r="E245" i="1"/>
  <c r="J245" i="1"/>
  <c r="K245" i="1"/>
  <c r="L245" i="1"/>
  <c r="E246" i="1"/>
  <c r="J246" i="1"/>
  <c r="K246" i="1"/>
  <c r="L246" i="1"/>
  <c r="E247" i="1"/>
  <c r="J247" i="1"/>
  <c r="K247" i="1"/>
  <c r="L247" i="1"/>
  <c r="E248" i="1"/>
  <c r="J248" i="1"/>
  <c r="K248" i="1"/>
  <c r="L248" i="1"/>
  <c r="E249" i="1"/>
  <c r="J249" i="1"/>
  <c r="K249" i="1"/>
  <c r="L249" i="1"/>
  <c r="E250" i="1"/>
  <c r="J250" i="1"/>
  <c r="K250" i="1"/>
  <c r="L250" i="1"/>
  <c r="E251" i="1"/>
  <c r="J251" i="1"/>
  <c r="K251" i="1"/>
  <c r="L251" i="1"/>
  <c r="E252" i="1"/>
  <c r="J252" i="1"/>
  <c r="K252" i="1"/>
  <c r="L252" i="1"/>
  <c r="E253" i="1"/>
  <c r="J253" i="1"/>
  <c r="K253" i="1"/>
  <c r="L253" i="1"/>
  <c r="E254" i="1"/>
  <c r="J254" i="1"/>
  <c r="K254" i="1"/>
  <c r="L254" i="1"/>
  <c r="E255" i="1"/>
  <c r="J255" i="1"/>
  <c r="K255" i="1"/>
  <c r="L255" i="1"/>
  <c r="E256" i="1"/>
  <c r="J256" i="1"/>
  <c r="K256" i="1"/>
  <c r="L256" i="1"/>
  <c r="E257" i="1"/>
  <c r="J257" i="1"/>
  <c r="K257" i="1"/>
  <c r="L257" i="1"/>
  <c r="E258" i="1"/>
  <c r="J258" i="1"/>
  <c r="K258" i="1"/>
  <c r="L258" i="1"/>
  <c r="E259" i="1"/>
  <c r="J259" i="1"/>
  <c r="K259" i="1"/>
  <c r="L259" i="1"/>
  <c r="E260" i="1"/>
  <c r="J260" i="1"/>
  <c r="K260" i="1"/>
  <c r="L260" i="1"/>
  <c r="E261" i="1"/>
  <c r="J261" i="1"/>
  <c r="K261" i="1"/>
  <c r="L261" i="1"/>
  <c r="E262" i="1"/>
  <c r="J262" i="1"/>
  <c r="K262" i="1"/>
  <c r="L262" i="1"/>
  <c r="E263" i="1"/>
  <c r="J263" i="1"/>
  <c r="K263" i="1"/>
  <c r="L263" i="1"/>
  <c r="E264" i="1"/>
  <c r="J264" i="1"/>
  <c r="K264" i="1"/>
  <c r="L264" i="1"/>
  <c r="E265" i="1"/>
  <c r="J265" i="1"/>
  <c r="K265" i="1"/>
  <c r="L265" i="1"/>
  <c r="E266" i="1"/>
  <c r="J266" i="1"/>
  <c r="K266" i="1"/>
  <c r="L266" i="1"/>
  <c r="C268" i="1"/>
  <c r="H268" i="1" s="1"/>
  <c r="I268" i="1"/>
  <c r="E269" i="1"/>
  <c r="F269" i="1"/>
  <c r="G269" i="1"/>
  <c r="J269" i="1"/>
  <c r="J268" i="1" s="1"/>
  <c r="O268" i="1" s="1"/>
  <c r="K269" i="1"/>
  <c r="L269" i="1"/>
  <c r="M269" i="1"/>
  <c r="C271" i="1"/>
  <c r="H271" i="1"/>
  <c r="I271" i="1"/>
  <c r="J271" i="1"/>
  <c r="O271" i="1"/>
  <c r="E272" i="1"/>
  <c r="J272" i="1"/>
  <c r="K272" i="1"/>
  <c r="L272" i="1"/>
  <c r="E273" i="1"/>
  <c r="J273" i="1"/>
  <c r="K273" i="1"/>
  <c r="L273" i="1"/>
  <c r="C275" i="1"/>
  <c r="H275" i="1" s="1"/>
  <c r="I275" i="1"/>
  <c r="E276" i="1"/>
  <c r="F276" i="1"/>
  <c r="G276" i="1"/>
  <c r="J276" i="1" s="1"/>
  <c r="J275" i="1" s="1"/>
  <c r="O275" i="1" s="1"/>
  <c r="K276" i="1"/>
  <c r="L276" i="1"/>
  <c r="M276" i="1"/>
  <c r="C278" i="1"/>
  <c r="H278" i="1" s="1"/>
  <c r="I278" i="1"/>
  <c r="J278" i="1"/>
  <c r="O278" i="1" s="1"/>
  <c r="E279" i="1"/>
  <c r="F279" i="1"/>
  <c r="G279" i="1"/>
  <c r="J279" i="1"/>
  <c r="K279" i="1"/>
  <c r="L279" i="1"/>
  <c r="M279" i="1"/>
  <c r="C281" i="1"/>
  <c r="H281" i="1" s="1"/>
  <c r="I281" i="1"/>
  <c r="E282" i="1"/>
  <c r="F282" i="1"/>
  <c r="G282" i="1"/>
  <c r="J282" i="1" s="1"/>
  <c r="J281" i="1" s="1"/>
  <c r="O281" i="1" s="1"/>
  <c r="K282" i="1"/>
  <c r="L282" i="1"/>
  <c r="M282" i="1"/>
  <c r="C284" i="1"/>
  <c r="H284" i="1" s="1"/>
  <c r="I284" i="1"/>
  <c r="J284" i="1"/>
  <c r="O284" i="1" s="1"/>
  <c r="E285" i="1"/>
  <c r="F285" i="1"/>
  <c r="G285" i="1"/>
  <c r="J285" i="1"/>
  <c r="K285" i="1"/>
  <c r="L285" i="1"/>
  <c r="M285" i="1"/>
  <c r="C287" i="1"/>
  <c r="H287" i="1" s="1"/>
  <c r="I287" i="1"/>
  <c r="J287" i="1"/>
  <c r="O287" i="1"/>
  <c r="E288" i="1"/>
  <c r="J288" i="1"/>
  <c r="K288" i="1"/>
  <c r="L288" i="1"/>
  <c r="E289" i="1"/>
  <c r="J289" i="1"/>
  <c r="K289" i="1"/>
  <c r="L289" i="1"/>
  <c r="E290" i="1"/>
  <c r="J290" i="1"/>
  <c r="K290" i="1"/>
  <c r="L290" i="1"/>
  <c r="E291" i="1"/>
  <c r="J291" i="1"/>
  <c r="K291" i="1"/>
  <c r="L291" i="1"/>
  <c r="E292" i="1"/>
  <c r="J292" i="1"/>
  <c r="K292" i="1"/>
  <c r="L292" i="1"/>
  <c r="E293" i="1"/>
  <c r="J293" i="1"/>
  <c r="K293" i="1"/>
  <c r="L293" i="1"/>
  <c r="E294" i="1"/>
  <c r="J294" i="1"/>
  <c r="K294" i="1"/>
  <c r="L294" i="1"/>
  <c r="E295" i="1"/>
  <c r="J295" i="1"/>
  <c r="K295" i="1"/>
  <c r="L295" i="1"/>
  <c r="E296" i="1"/>
  <c r="J296" i="1"/>
  <c r="K296" i="1"/>
  <c r="L296" i="1"/>
  <c r="E297" i="1"/>
  <c r="J297" i="1"/>
  <c r="K297" i="1"/>
  <c r="L297" i="1"/>
  <c r="E298" i="1"/>
  <c r="J298" i="1"/>
  <c r="K298" i="1"/>
  <c r="L298" i="1"/>
  <c r="E299" i="1"/>
  <c r="J299" i="1"/>
  <c r="K299" i="1"/>
  <c r="L299" i="1"/>
  <c r="E300" i="1"/>
  <c r="J300" i="1"/>
  <c r="K300" i="1"/>
  <c r="L300" i="1"/>
  <c r="E301" i="1"/>
  <c r="J301" i="1"/>
  <c r="K301" i="1"/>
  <c r="L301" i="1"/>
  <c r="E302" i="1"/>
  <c r="J302" i="1"/>
  <c r="K302" i="1"/>
  <c r="L302" i="1"/>
  <c r="E303" i="1"/>
  <c r="J303" i="1"/>
  <c r="K303" i="1"/>
  <c r="L303" i="1"/>
  <c r="E304" i="1"/>
  <c r="J304" i="1"/>
  <c r="K304" i="1"/>
  <c r="L304" i="1"/>
  <c r="E305" i="1"/>
  <c r="J305" i="1"/>
  <c r="K305" i="1"/>
  <c r="L305" i="1"/>
  <c r="E306" i="1"/>
  <c r="J306" i="1"/>
  <c r="K306" i="1"/>
  <c r="L306" i="1"/>
  <c r="E307" i="1"/>
  <c r="J307" i="1"/>
  <c r="K307" i="1"/>
  <c r="L307" i="1"/>
  <c r="E308" i="1"/>
  <c r="J308" i="1"/>
  <c r="K308" i="1"/>
  <c r="L308" i="1"/>
  <c r="E309" i="1"/>
  <c r="J309" i="1"/>
  <c r="K309" i="1"/>
  <c r="L309" i="1"/>
  <c r="E310" i="1"/>
  <c r="J310" i="1"/>
  <c r="K310" i="1"/>
  <c r="L310" i="1"/>
  <c r="E311" i="1"/>
  <c r="J311" i="1"/>
  <c r="K311" i="1"/>
  <c r="L311" i="1"/>
  <c r="E312" i="1"/>
  <c r="J312" i="1"/>
  <c r="K312" i="1"/>
  <c r="L312" i="1"/>
  <c r="E313" i="1"/>
  <c r="J313" i="1"/>
  <c r="K313" i="1"/>
  <c r="L313" i="1"/>
  <c r="E314" i="1"/>
  <c r="J314" i="1"/>
  <c r="K314" i="1"/>
  <c r="L314" i="1"/>
  <c r="E315" i="1"/>
  <c r="J315" i="1"/>
  <c r="K315" i="1"/>
  <c r="L315" i="1"/>
  <c r="E316" i="1"/>
  <c r="J316" i="1"/>
  <c r="K316" i="1"/>
  <c r="L316" i="1"/>
  <c r="E317" i="1"/>
  <c r="J317" i="1"/>
  <c r="K317" i="1"/>
  <c r="L317" i="1"/>
  <c r="E318" i="1"/>
  <c r="J318" i="1"/>
  <c r="K318" i="1"/>
  <c r="L318" i="1"/>
  <c r="E319" i="1"/>
  <c r="J319" i="1"/>
  <c r="K319" i="1"/>
  <c r="L319" i="1"/>
  <c r="E320" i="1"/>
  <c r="J320" i="1"/>
  <c r="K320" i="1"/>
  <c r="L320" i="1"/>
  <c r="E321" i="1"/>
  <c r="J321" i="1"/>
  <c r="K321" i="1"/>
  <c r="L321" i="1"/>
  <c r="E322" i="1"/>
  <c r="J322" i="1"/>
  <c r="K322" i="1"/>
  <c r="L322" i="1"/>
  <c r="E323" i="1"/>
  <c r="J323" i="1"/>
  <c r="K323" i="1"/>
  <c r="L323" i="1"/>
  <c r="E324" i="1"/>
  <c r="J324" i="1"/>
  <c r="K324" i="1"/>
  <c r="L324" i="1"/>
  <c r="E325" i="1"/>
  <c r="J325" i="1"/>
  <c r="K325" i="1"/>
  <c r="L325" i="1"/>
  <c r="E326" i="1"/>
  <c r="J326" i="1"/>
  <c r="K326" i="1"/>
  <c r="L326" i="1"/>
  <c r="E327" i="1"/>
  <c r="J327" i="1"/>
  <c r="K327" i="1"/>
  <c r="L327" i="1"/>
  <c r="E328" i="1"/>
  <c r="J328" i="1"/>
  <c r="K328" i="1"/>
  <c r="L328" i="1"/>
  <c r="E329" i="1"/>
  <c r="J329" i="1"/>
  <c r="K329" i="1"/>
  <c r="L329" i="1"/>
  <c r="C331" i="1"/>
  <c r="H331" i="1"/>
  <c r="I331" i="1"/>
  <c r="E332" i="1"/>
  <c r="J332" i="1"/>
  <c r="J331" i="1" s="1"/>
  <c r="O331" i="1" s="1"/>
  <c r="K332" i="1"/>
  <c r="L332" i="1"/>
  <c r="C334" i="1"/>
  <c r="H334" i="1"/>
  <c r="I334" i="1"/>
  <c r="E335" i="1"/>
  <c r="J335" i="1"/>
  <c r="J334" i="1" s="1"/>
  <c r="O334" i="1" s="1"/>
  <c r="K335" i="1"/>
  <c r="L335" i="1"/>
  <c r="E336" i="1"/>
  <c r="J336" i="1"/>
  <c r="K336" i="1"/>
  <c r="L336" i="1"/>
  <c r="C338" i="1"/>
  <c r="H338" i="1" s="1"/>
  <c r="I338" i="1"/>
  <c r="E339" i="1"/>
  <c r="F339" i="1"/>
  <c r="G339" i="1"/>
  <c r="J339" i="1"/>
  <c r="J338" i="1" s="1"/>
  <c r="O338" i="1" s="1"/>
  <c r="K339" i="1"/>
  <c r="L339" i="1"/>
  <c r="M339" i="1"/>
  <c r="C341" i="1"/>
  <c r="H341" i="1" s="1"/>
  <c r="I341" i="1"/>
  <c r="E342" i="1"/>
  <c r="F342" i="1"/>
  <c r="G342" i="1"/>
  <c r="J342" i="1"/>
  <c r="J341" i="1" s="1"/>
  <c r="O341" i="1" s="1"/>
  <c r="K342" i="1"/>
  <c r="L342" i="1"/>
  <c r="M342" i="1"/>
  <c r="C344" i="1"/>
  <c r="H344" i="1" s="1"/>
  <c r="I344" i="1"/>
  <c r="E345" i="1"/>
  <c r="F345" i="1"/>
  <c r="G345" i="1"/>
  <c r="J345" i="1"/>
  <c r="J344" i="1" s="1"/>
  <c r="O344" i="1" s="1"/>
  <c r="K345" i="1"/>
  <c r="L345" i="1"/>
  <c r="M345" i="1"/>
  <c r="C347" i="1"/>
  <c r="H347" i="1" s="1"/>
  <c r="I347" i="1"/>
  <c r="E348" i="1"/>
  <c r="F348" i="1"/>
  <c r="G348" i="1"/>
  <c r="J348" i="1"/>
  <c r="J347" i="1" s="1"/>
  <c r="O347" i="1" s="1"/>
  <c r="K348" i="1"/>
  <c r="L348" i="1"/>
  <c r="M348" i="1"/>
  <c r="C350" i="1"/>
  <c r="H350" i="1" s="1"/>
  <c r="I350" i="1"/>
  <c r="E351" i="1"/>
  <c r="F351" i="1"/>
  <c r="G351" i="1"/>
  <c r="J351" i="1"/>
  <c r="J350" i="1" s="1"/>
  <c r="O350" i="1" s="1"/>
  <c r="K351" i="1"/>
  <c r="L351" i="1"/>
  <c r="M351" i="1"/>
  <c r="C353" i="1"/>
  <c r="H353" i="1" s="1"/>
  <c r="I353" i="1"/>
  <c r="E354" i="1"/>
  <c r="F354" i="1"/>
  <c r="G354" i="1"/>
  <c r="J354" i="1"/>
  <c r="J353" i="1" s="1"/>
  <c r="O353" i="1" s="1"/>
  <c r="K354" i="1"/>
  <c r="L354" i="1"/>
  <c r="M354" i="1"/>
  <c r="C356" i="1"/>
  <c r="H356" i="1" s="1"/>
  <c r="I356" i="1"/>
  <c r="E357" i="1"/>
  <c r="F357" i="1"/>
  <c r="G357" i="1"/>
  <c r="J357" i="1"/>
  <c r="J356" i="1" s="1"/>
  <c r="O356" i="1" s="1"/>
  <c r="K357" i="1"/>
  <c r="L357" i="1"/>
  <c r="M357" i="1"/>
  <c r="C359" i="1"/>
  <c r="H359" i="1" s="1"/>
  <c r="I359" i="1"/>
  <c r="E360" i="1"/>
  <c r="F360" i="1"/>
  <c r="G360" i="1"/>
  <c r="J360" i="1"/>
  <c r="J359" i="1" s="1"/>
  <c r="O359" i="1" s="1"/>
  <c r="K360" i="1"/>
  <c r="L360" i="1"/>
  <c r="M360" i="1"/>
  <c r="C362" i="1"/>
  <c r="H362" i="1" s="1"/>
  <c r="I362" i="1"/>
  <c r="E363" i="1"/>
  <c r="F363" i="1"/>
  <c r="G363" i="1"/>
  <c r="J363" i="1"/>
  <c r="J362" i="1" s="1"/>
  <c r="O362" i="1" s="1"/>
  <c r="K363" i="1"/>
  <c r="L363" i="1"/>
  <c r="M363" i="1"/>
  <c r="C365" i="1"/>
  <c r="H365" i="1" s="1"/>
  <c r="I365" i="1"/>
  <c r="E366" i="1"/>
  <c r="F366" i="1"/>
  <c r="G366" i="1"/>
  <c r="J366" i="1"/>
  <c r="J365" i="1" s="1"/>
  <c r="O365" i="1" s="1"/>
  <c r="K366" i="1"/>
  <c r="L366" i="1"/>
  <c r="M366" i="1"/>
  <c r="C368" i="1"/>
  <c r="H368" i="1" s="1"/>
  <c r="I368" i="1"/>
  <c r="E369" i="1"/>
  <c r="F369" i="1"/>
  <c r="G369" i="1"/>
  <c r="J369" i="1"/>
  <c r="J368" i="1" s="1"/>
  <c r="O368" i="1" s="1"/>
  <c r="K369" i="1"/>
  <c r="L369" i="1"/>
  <c r="M369" i="1"/>
  <c r="C371" i="1"/>
  <c r="H371" i="1" s="1"/>
  <c r="I371" i="1"/>
  <c r="E372" i="1"/>
  <c r="F372" i="1"/>
  <c r="G372" i="1"/>
  <c r="J372" i="1"/>
  <c r="J371" i="1" s="1"/>
  <c r="O371" i="1" s="1"/>
  <c r="K372" i="1"/>
  <c r="L372" i="1"/>
  <c r="M372" i="1"/>
  <c r="H374" i="1"/>
  <c r="C375" i="1"/>
  <c r="H375" i="1" s="1"/>
  <c r="I375" i="1"/>
  <c r="J375" i="1"/>
  <c r="O375" i="1" s="1"/>
  <c r="E376" i="1"/>
  <c r="J376" i="1"/>
  <c r="K376" i="1"/>
  <c r="L376" i="1"/>
  <c r="E377" i="1"/>
  <c r="J377" i="1"/>
  <c r="K377" i="1"/>
  <c r="L377" i="1"/>
  <c r="E378" i="1"/>
  <c r="J378" i="1"/>
  <c r="K378" i="1"/>
  <c r="L378" i="1"/>
  <c r="E379" i="1"/>
  <c r="J379" i="1"/>
  <c r="K379" i="1"/>
  <c r="L379" i="1"/>
  <c r="E380" i="1"/>
  <c r="J380" i="1"/>
  <c r="K380" i="1"/>
  <c r="L380" i="1"/>
  <c r="E381" i="1"/>
  <c r="J381" i="1"/>
  <c r="K381" i="1"/>
  <c r="L381" i="1"/>
  <c r="C383" i="1"/>
  <c r="H383" i="1"/>
  <c r="I383" i="1"/>
  <c r="E384" i="1"/>
  <c r="F384" i="1"/>
  <c r="J384" i="1" s="1"/>
  <c r="J383" i="1" s="1"/>
  <c r="O383" i="1" s="1"/>
  <c r="G384" i="1"/>
  <c r="K384" i="1"/>
  <c r="L384" i="1"/>
  <c r="M384" i="1"/>
  <c r="C386" i="1"/>
  <c r="H386" i="1"/>
  <c r="I386" i="1"/>
  <c r="E387" i="1"/>
  <c r="F387" i="1"/>
  <c r="J387" i="1" s="1"/>
  <c r="J386" i="1" s="1"/>
  <c r="O386" i="1" s="1"/>
  <c r="G387" i="1"/>
  <c r="K387" i="1"/>
  <c r="L387" i="1"/>
  <c r="M387" i="1"/>
  <c r="C389" i="1"/>
  <c r="H389" i="1"/>
  <c r="I389" i="1"/>
  <c r="E390" i="1"/>
  <c r="J390" i="1"/>
  <c r="J389" i="1" s="1"/>
  <c r="O389" i="1" s="1"/>
  <c r="K390" i="1"/>
  <c r="L390" i="1"/>
  <c r="E391" i="1"/>
  <c r="J391" i="1"/>
  <c r="K391" i="1"/>
  <c r="L391" i="1"/>
  <c r="E392" i="1"/>
  <c r="J392" i="1"/>
  <c r="K392" i="1"/>
  <c r="L392" i="1"/>
  <c r="E393" i="1"/>
  <c r="J393" i="1"/>
  <c r="K393" i="1"/>
  <c r="L393" i="1"/>
  <c r="E394" i="1"/>
  <c r="J394" i="1"/>
  <c r="K394" i="1"/>
  <c r="L394" i="1"/>
  <c r="E395" i="1"/>
  <c r="J395" i="1"/>
  <c r="K395" i="1"/>
  <c r="L395" i="1"/>
  <c r="E396" i="1"/>
  <c r="J396" i="1"/>
  <c r="K396" i="1"/>
  <c r="L396" i="1"/>
  <c r="E397" i="1"/>
  <c r="J397" i="1"/>
  <c r="K397" i="1"/>
  <c r="L397" i="1"/>
  <c r="E398" i="1"/>
  <c r="J398" i="1"/>
  <c r="K398" i="1"/>
  <c r="L398" i="1"/>
  <c r="E399" i="1"/>
  <c r="J399" i="1"/>
  <c r="K399" i="1"/>
  <c r="L399" i="1"/>
  <c r="E400" i="1"/>
  <c r="J400" i="1"/>
  <c r="K400" i="1"/>
  <c r="L400" i="1"/>
  <c r="E401" i="1"/>
  <c r="J401" i="1"/>
  <c r="K401" i="1"/>
  <c r="L401" i="1"/>
  <c r="E402" i="1"/>
  <c r="J402" i="1"/>
  <c r="K402" i="1"/>
  <c r="L402" i="1"/>
  <c r="E403" i="1"/>
  <c r="J403" i="1"/>
  <c r="K403" i="1"/>
  <c r="L403" i="1"/>
  <c r="E404" i="1"/>
  <c r="J404" i="1"/>
  <c r="K404" i="1"/>
  <c r="L404" i="1"/>
  <c r="E405" i="1"/>
  <c r="J405" i="1"/>
  <c r="K405" i="1"/>
  <c r="L405" i="1"/>
  <c r="E406" i="1"/>
  <c r="J406" i="1"/>
  <c r="K406" i="1"/>
  <c r="L406" i="1"/>
  <c r="E407" i="1"/>
  <c r="J407" i="1"/>
  <c r="K407" i="1"/>
  <c r="L407" i="1"/>
  <c r="C409" i="1"/>
  <c r="H409" i="1"/>
  <c r="I409" i="1"/>
  <c r="E410" i="1"/>
  <c r="F410" i="1"/>
  <c r="J410" i="1" s="1"/>
  <c r="J409" i="1" s="1"/>
  <c r="O409" i="1" s="1"/>
  <c r="G410" i="1"/>
  <c r="K410" i="1"/>
  <c r="L410" i="1"/>
  <c r="M410" i="1"/>
  <c r="C412" i="1"/>
  <c r="H412" i="1"/>
  <c r="I412" i="1"/>
  <c r="E413" i="1"/>
  <c r="F413" i="1"/>
  <c r="J413" i="1" s="1"/>
  <c r="J412" i="1" s="1"/>
  <c r="O412" i="1" s="1"/>
  <c r="G413" i="1"/>
  <c r="K413" i="1"/>
  <c r="L413" i="1"/>
  <c r="M413" i="1"/>
  <c r="C415" i="1"/>
  <c r="H415" i="1"/>
  <c r="I415" i="1"/>
  <c r="E416" i="1"/>
  <c r="J416" i="1"/>
  <c r="J415" i="1" s="1"/>
  <c r="O415" i="1" s="1"/>
  <c r="K416" i="1"/>
  <c r="L416" i="1"/>
  <c r="E417" i="1"/>
  <c r="J417" i="1"/>
  <c r="K417" i="1"/>
  <c r="L417" i="1"/>
  <c r="E418" i="1"/>
  <c r="J418" i="1"/>
  <c r="K418" i="1"/>
  <c r="L418" i="1"/>
  <c r="E419" i="1"/>
  <c r="J419" i="1"/>
  <c r="K419" i="1"/>
  <c r="L419" i="1"/>
  <c r="E420" i="1"/>
  <c r="J420" i="1"/>
  <c r="K420" i="1"/>
  <c r="L420" i="1"/>
  <c r="E421" i="1"/>
  <c r="J421" i="1"/>
  <c r="K421" i="1"/>
  <c r="L421" i="1"/>
  <c r="E422" i="1"/>
  <c r="J422" i="1"/>
  <c r="K422" i="1"/>
  <c r="L422" i="1"/>
  <c r="E423" i="1"/>
  <c r="J423" i="1"/>
  <c r="K423" i="1"/>
  <c r="L423" i="1"/>
  <c r="E424" i="1"/>
  <c r="J424" i="1"/>
  <c r="K424" i="1"/>
  <c r="L424" i="1"/>
  <c r="E425" i="1"/>
  <c r="J425" i="1"/>
  <c r="K425" i="1"/>
  <c r="L425" i="1"/>
  <c r="E426" i="1"/>
  <c r="J426" i="1"/>
  <c r="K426" i="1"/>
  <c r="L426" i="1"/>
  <c r="E427" i="1"/>
  <c r="J427" i="1"/>
  <c r="K427" i="1"/>
  <c r="L427" i="1"/>
  <c r="E428" i="1"/>
  <c r="J428" i="1"/>
  <c r="K428" i="1"/>
  <c r="L428" i="1"/>
  <c r="E429" i="1"/>
  <c r="J429" i="1"/>
  <c r="K429" i="1"/>
  <c r="L429" i="1"/>
  <c r="E430" i="1"/>
  <c r="J430" i="1"/>
  <c r="K430" i="1"/>
  <c r="L430" i="1"/>
  <c r="E431" i="1"/>
  <c r="J431" i="1"/>
  <c r="K431" i="1"/>
  <c r="L431" i="1"/>
  <c r="E432" i="1"/>
  <c r="J432" i="1"/>
  <c r="K432" i="1"/>
  <c r="L432" i="1"/>
  <c r="E433" i="1"/>
  <c r="J433" i="1"/>
  <c r="K433" i="1"/>
  <c r="L433" i="1"/>
  <c r="E434" i="1"/>
  <c r="J434" i="1"/>
  <c r="K434" i="1"/>
  <c r="L434" i="1"/>
  <c r="E435" i="1"/>
  <c r="J435" i="1"/>
  <c r="K435" i="1"/>
  <c r="L435" i="1"/>
  <c r="E436" i="1"/>
  <c r="J436" i="1"/>
  <c r="K436" i="1"/>
  <c r="L436" i="1"/>
  <c r="E437" i="1"/>
  <c r="J437" i="1"/>
  <c r="K437" i="1"/>
  <c r="L437" i="1"/>
  <c r="E438" i="1"/>
  <c r="J438" i="1"/>
  <c r="K438" i="1"/>
  <c r="L438" i="1"/>
  <c r="E439" i="1"/>
  <c r="J439" i="1"/>
  <c r="K439" i="1"/>
  <c r="L439" i="1"/>
  <c r="E440" i="1"/>
  <c r="J440" i="1"/>
  <c r="K440" i="1"/>
  <c r="L440" i="1"/>
  <c r="E441" i="1"/>
  <c r="J441" i="1"/>
  <c r="K441" i="1"/>
  <c r="L441" i="1"/>
  <c r="E442" i="1"/>
  <c r="J442" i="1"/>
  <c r="K442" i="1"/>
  <c r="L442" i="1"/>
  <c r="E443" i="1"/>
  <c r="J443" i="1"/>
  <c r="K443" i="1"/>
  <c r="L443" i="1"/>
  <c r="E444" i="1"/>
  <c r="J444" i="1"/>
  <c r="K444" i="1"/>
  <c r="L444" i="1"/>
  <c r="E445" i="1"/>
  <c r="J445" i="1"/>
  <c r="K445" i="1"/>
  <c r="L445" i="1"/>
  <c r="E446" i="1"/>
  <c r="J446" i="1"/>
  <c r="K446" i="1"/>
  <c r="L446" i="1"/>
  <c r="E447" i="1"/>
  <c r="J447" i="1"/>
  <c r="K447" i="1"/>
  <c r="L447" i="1"/>
  <c r="E448" i="1"/>
  <c r="J448" i="1"/>
  <c r="K448" i="1"/>
  <c r="L448" i="1"/>
  <c r="E449" i="1"/>
  <c r="J449" i="1"/>
  <c r="K449" i="1"/>
  <c r="L449" i="1"/>
  <c r="E450" i="1"/>
  <c r="J450" i="1"/>
  <c r="K450" i="1"/>
  <c r="L450" i="1"/>
  <c r="E451" i="1"/>
  <c r="J451" i="1"/>
  <c r="K451" i="1"/>
  <c r="L451" i="1"/>
  <c r="E452" i="1"/>
  <c r="J452" i="1"/>
  <c r="K452" i="1"/>
  <c r="L452" i="1"/>
  <c r="C454" i="1"/>
  <c r="H454" i="1" s="1"/>
  <c r="I454" i="1"/>
  <c r="E455" i="1"/>
  <c r="F455" i="1"/>
  <c r="G455" i="1"/>
  <c r="J455" i="1"/>
  <c r="J454" i="1" s="1"/>
  <c r="O454" i="1" s="1"/>
  <c r="K455" i="1"/>
  <c r="L455" i="1"/>
  <c r="M455" i="1"/>
  <c r="C457" i="1"/>
  <c r="H457" i="1" s="1"/>
  <c r="I457" i="1"/>
  <c r="E458" i="1"/>
  <c r="F458" i="1"/>
  <c r="G458" i="1"/>
  <c r="J458" i="1"/>
  <c r="J457" i="1" s="1"/>
  <c r="O457" i="1" s="1"/>
  <c r="K458" i="1"/>
  <c r="L458" i="1"/>
  <c r="M458" i="1"/>
  <c r="H460" i="1"/>
  <c r="C461" i="1"/>
  <c r="H461" i="1" s="1"/>
  <c r="I461" i="1"/>
  <c r="E462" i="1"/>
  <c r="J462" i="1"/>
  <c r="K462" i="1"/>
  <c r="L462" i="1"/>
  <c r="E463" i="1"/>
  <c r="J463" i="1"/>
  <c r="K463" i="1"/>
  <c r="L463" i="1"/>
  <c r="E464" i="1"/>
  <c r="J464" i="1"/>
  <c r="K464" i="1"/>
  <c r="L464" i="1"/>
  <c r="E465" i="1"/>
  <c r="J465" i="1"/>
  <c r="K465" i="1"/>
  <c r="L465" i="1"/>
  <c r="E466" i="1"/>
  <c r="J466" i="1"/>
  <c r="K466" i="1"/>
  <c r="L466" i="1"/>
  <c r="E467" i="1"/>
  <c r="J467" i="1"/>
  <c r="K467" i="1"/>
  <c r="L467" i="1"/>
  <c r="E468" i="1"/>
  <c r="J468" i="1"/>
  <c r="K468" i="1"/>
  <c r="L468" i="1"/>
  <c r="E469" i="1"/>
  <c r="J469" i="1"/>
  <c r="K469" i="1"/>
  <c r="L469" i="1"/>
  <c r="E470" i="1"/>
  <c r="J470" i="1"/>
  <c r="K470" i="1"/>
  <c r="L470" i="1"/>
  <c r="E471" i="1"/>
  <c r="J471" i="1"/>
  <c r="K471" i="1"/>
  <c r="L471" i="1"/>
  <c r="E472" i="1"/>
  <c r="J472" i="1"/>
  <c r="K472" i="1"/>
  <c r="L472" i="1"/>
  <c r="E473" i="1"/>
  <c r="J473" i="1"/>
  <c r="K473" i="1"/>
  <c r="L473" i="1"/>
  <c r="E474" i="1"/>
  <c r="J474" i="1"/>
  <c r="K474" i="1"/>
  <c r="L474" i="1"/>
  <c r="E475" i="1"/>
  <c r="J475" i="1"/>
  <c r="K475" i="1"/>
  <c r="L475" i="1"/>
  <c r="E476" i="1"/>
  <c r="J476" i="1"/>
  <c r="K476" i="1"/>
  <c r="L476" i="1"/>
  <c r="E477" i="1"/>
  <c r="J477" i="1"/>
  <c r="K477" i="1"/>
  <c r="L477" i="1"/>
  <c r="E478" i="1"/>
  <c r="J478" i="1"/>
  <c r="K478" i="1"/>
  <c r="L478" i="1"/>
  <c r="E479" i="1"/>
  <c r="J479" i="1"/>
  <c r="K479" i="1"/>
  <c r="L479" i="1"/>
  <c r="E480" i="1"/>
  <c r="J480" i="1"/>
  <c r="K480" i="1"/>
  <c r="L480" i="1"/>
  <c r="E481" i="1"/>
  <c r="J481" i="1"/>
  <c r="K481" i="1"/>
  <c r="L481" i="1"/>
  <c r="E482" i="1"/>
  <c r="J482" i="1"/>
  <c r="K482" i="1"/>
  <c r="L482" i="1"/>
  <c r="E483" i="1"/>
  <c r="J483" i="1"/>
  <c r="K483" i="1"/>
  <c r="L483" i="1"/>
  <c r="E484" i="1"/>
  <c r="J484" i="1"/>
  <c r="K484" i="1"/>
  <c r="L484" i="1"/>
  <c r="E485" i="1"/>
  <c r="J485" i="1"/>
  <c r="K485" i="1"/>
  <c r="L485" i="1"/>
  <c r="E486" i="1"/>
  <c r="J486" i="1"/>
  <c r="K486" i="1"/>
  <c r="L486" i="1"/>
  <c r="E487" i="1"/>
  <c r="J487" i="1"/>
  <c r="K487" i="1"/>
  <c r="L487" i="1"/>
  <c r="E488" i="1"/>
  <c r="J488" i="1"/>
  <c r="K488" i="1"/>
  <c r="L488" i="1"/>
  <c r="E489" i="1"/>
  <c r="J489" i="1"/>
  <c r="K489" i="1"/>
  <c r="L489" i="1"/>
  <c r="E490" i="1"/>
  <c r="J490" i="1"/>
  <c r="K490" i="1"/>
  <c r="L490" i="1"/>
  <c r="E491" i="1"/>
  <c r="J491" i="1"/>
  <c r="K491" i="1"/>
  <c r="L491" i="1"/>
  <c r="E492" i="1"/>
  <c r="J492" i="1"/>
  <c r="K492" i="1"/>
  <c r="L492" i="1"/>
  <c r="E493" i="1"/>
  <c r="J493" i="1"/>
  <c r="K493" i="1"/>
  <c r="L493" i="1"/>
  <c r="E494" i="1"/>
  <c r="J494" i="1"/>
  <c r="K494" i="1"/>
  <c r="L494" i="1"/>
  <c r="E495" i="1"/>
  <c r="J495" i="1"/>
  <c r="K495" i="1"/>
  <c r="L495" i="1"/>
  <c r="E496" i="1"/>
  <c r="J496" i="1"/>
  <c r="K496" i="1"/>
  <c r="L496" i="1"/>
  <c r="E497" i="1"/>
  <c r="J497" i="1"/>
  <c r="K497" i="1"/>
  <c r="L497" i="1"/>
  <c r="E498" i="1"/>
  <c r="J498" i="1"/>
  <c r="K498" i="1"/>
  <c r="L498" i="1"/>
  <c r="E499" i="1"/>
  <c r="J499" i="1"/>
  <c r="K499" i="1"/>
  <c r="L499" i="1"/>
  <c r="E500" i="1"/>
  <c r="J500" i="1"/>
  <c r="K500" i="1"/>
  <c r="L500" i="1"/>
  <c r="E501" i="1"/>
  <c r="J501" i="1"/>
  <c r="K501" i="1"/>
  <c r="L501" i="1"/>
  <c r="E502" i="1"/>
  <c r="J502" i="1"/>
  <c r="K502" i="1"/>
  <c r="L502" i="1"/>
  <c r="E503" i="1"/>
  <c r="J503" i="1"/>
  <c r="K503" i="1"/>
  <c r="L503" i="1"/>
  <c r="E504" i="1"/>
  <c r="J504" i="1"/>
  <c r="K504" i="1"/>
  <c r="L504" i="1"/>
  <c r="E505" i="1"/>
  <c r="J505" i="1"/>
  <c r="K505" i="1"/>
  <c r="L505" i="1"/>
  <c r="E506" i="1"/>
  <c r="J506" i="1"/>
  <c r="K506" i="1"/>
  <c r="L506" i="1"/>
  <c r="E507" i="1"/>
  <c r="J507" i="1"/>
  <c r="K507" i="1"/>
  <c r="L507" i="1"/>
  <c r="E508" i="1"/>
  <c r="J508" i="1"/>
  <c r="K508" i="1"/>
  <c r="L508" i="1"/>
  <c r="E509" i="1"/>
  <c r="J509" i="1"/>
  <c r="K509" i="1"/>
  <c r="L509" i="1"/>
  <c r="E510" i="1"/>
  <c r="J510" i="1"/>
  <c r="K510" i="1"/>
  <c r="L510" i="1"/>
  <c r="E511" i="1"/>
  <c r="J511" i="1"/>
  <c r="K511" i="1"/>
  <c r="L511" i="1"/>
  <c r="E512" i="1"/>
  <c r="J512" i="1"/>
  <c r="K512" i="1"/>
  <c r="L512" i="1"/>
  <c r="E513" i="1"/>
  <c r="J513" i="1"/>
  <c r="K513" i="1"/>
  <c r="L513" i="1"/>
  <c r="E514" i="1"/>
  <c r="J514" i="1"/>
  <c r="K514" i="1"/>
  <c r="L514" i="1"/>
  <c r="E515" i="1"/>
  <c r="J515" i="1"/>
  <c r="K515" i="1"/>
  <c r="L515" i="1"/>
  <c r="E516" i="1"/>
  <c r="J516" i="1"/>
  <c r="K516" i="1"/>
  <c r="L516" i="1"/>
  <c r="E517" i="1"/>
  <c r="J517" i="1"/>
  <c r="K517" i="1"/>
  <c r="L517" i="1"/>
  <c r="E518" i="1"/>
  <c r="J518" i="1"/>
  <c r="K518" i="1"/>
  <c r="L518" i="1"/>
  <c r="E519" i="1"/>
  <c r="J519" i="1"/>
  <c r="K519" i="1"/>
  <c r="L519" i="1"/>
  <c r="E520" i="1"/>
  <c r="J520" i="1"/>
  <c r="K520" i="1"/>
  <c r="L520" i="1"/>
  <c r="E521" i="1"/>
  <c r="J521" i="1"/>
  <c r="K521" i="1"/>
  <c r="L521" i="1"/>
  <c r="E522" i="1"/>
  <c r="J522" i="1"/>
  <c r="K522" i="1"/>
  <c r="L522" i="1"/>
  <c r="E523" i="1"/>
  <c r="J523" i="1"/>
  <c r="K523" i="1"/>
  <c r="L523" i="1"/>
  <c r="E524" i="1"/>
  <c r="J524" i="1"/>
  <c r="K524" i="1"/>
  <c r="L524" i="1"/>
  <c r="E525" i="1"/>
  <c r="J525" i="1"/>
  <c r="K525" i="1"/>
  <c r="L525" i="1"/>
  <c r="E526" i="1"/>
  <c r="J526" i="1"/>
  <c r="K526" i="1"/>
  <c r="L526" i="1"/>
  <c r="E527" i="1"/>
  <c r="J527" i="1"/>
  <c r="K527" i="1"/>
  <c r="L527" i="1"/>
  <c r="E528" i="1"/>
  <c r="J528" i="1"/>
  <c r="K528" i="1"/>
  <c r="L528" i="1"/>
  <c r="E529" i="1"/>
  <c r="J529" i="1"/>
  <c r="K529" i="1"/>
  <c r="L529" i="1"/>
  <c r="E530" i="1"/>
  <c r="J530" i="1"/>
  <c r="K530" i="1"/>
  <c r="L530" i="1"/>
  <c r="E531" i="1"/>
  <c r="J531" i="1"/>
  <c r="K531" i="1"/>
  <c r="L531" i="1"/>
  <c r="E532" i="1"/>
  <c r="J532" i="1"/>
  <c r="K532" i="1"/>
  <c r="L532" i="1"/>
  <c r="E533" i="1"/>
  <c r="J533" i="1"/>
  <c r="K533" i="1"/>
  <c r="L533" i="1"/>
  <c r="E534" i="1"/>
  <c r="J534" i="1"/>
  <c r="K534" i="1"/>
  <c r="L534" i="1"/>
  <c r="E535" i="1"/>
  <c r="J535" i="1"/>
  <c r="K535" i="1"/>
  <c r="L535" i="1"/>
  <c r="E536" i="1"/>
  <c r="J536" i="1"/>
  <c r="K536" i="1"/>
  <c r="L536" i="1"/>
  <c r="E537" i="1"/>
  <c r="J537" i="1"/>
  <c r="K537" i="1"/>
  <c r="L537" i="1"/>
  <c r="E538" i="1"/>
  <c r="J538" i="1"/>
  <c r="K538" i="1"/>
  <c r="L538" i="1"/>
  <c r="E539" i="1"/>
  <c r="J539" i="1"/>
  <c r="K539" i="1"/>
  <c r="L539" i="1"/>
  <c r="E540" i="1"/>
  <c r="J540" i="1"/>
  <c r="K540" i="1"/>
  <c r="L540" i="1"/>
  <c r="E541" i="1"/>
  <c r="J541" i="1"/>
  <c r="K541" i="1"/>
  <c r="L541" i="1"/>
  <c r="E542" i="1"/>
  <c r="J542" i="1"/>
  <c r="K542" i="1"/>
  <c r="L542" i="1"/>
  <c r="E543" i="1"/>
  <c r="J543" i="1"/>
  <c r="K543" i="1"/>
  <c r="L543" i="1"/>
  <c r="E544" i="1"/>
  <c r="J544" i="1"/>
  <c r="K544" i="1"/>
  <c r="L544" i="1"/>
  <c r="E545" i="1"/>
  <c r="J545" i="1"/>
  <c r="K545" i="1"/>
  <c r="L545" i="1"/>
  <c r="E546" i="1"/>
  <c r="J546" i="1"/>
  <c r="K546" i="1"/>
  <c r="L546" i="1"/>
  <c r="E547" i="1"/>
  <c r="J547" i="1"/>
  <c r="K547" i="1"/>
  <c r="L547" i="1"/>
  <c r="E548" i="1"/>
  <c r="J548" i="1"/>
  <c r="K548" i="1"/>
  <c r="L548" i="1"/>
  <c r="E549" i="1"/>
  <c r="J549" i="1"/>
  <c r="K549" i="1"/>
  <c r="L549" i="1"/>
  <c r="E550" i="1"/>
  <c r="J550" i="1"/>
  <c r="K550" i="1"/>
  <c r="L550" i="1"/>
  <c r="E551" i="1"/>
  <c r="J551" i="1"/>
  <c r="K551" i="1"/>
  <c r="L551" i="1"/>
  <c r="E552" i="1"/>
  <c r="J552" i="1"/>
  <c r="K552" i="1"/>
  <c r="L552" i="1"/>
  <c r="E553" i="1"/>
  <c r="J553" i="1"/>
  <c r="K553" i="1"/>
  <c r="L553" i="1"/>
  <c r="E554" i="1"/>
  <c r="J554" i="1"/>
  <c r="K554" i="1"/>
  <c r="L554" i="1"/>
  <c r="E555" i="1"/>
  <c r="J555" i="1"/>
  <c r="K555" i="1"/>
  <c r="L555" i="1"/>
  <c r="E556" i="1"/>
  <c r="J556" i="1"/>
  <c r="K556" i="1"/>
  <c r="L556" i="1"/>
  <c r="E557" i="1"/>
  <c r="J557" i="1"/>
  <c r="K557" i="1"/>
  <c r="L557" i="1"/>
  <c r="E558" i="1"/>
  <c r="J558" i="1"/>
  <c r="K558" i="1"/>
  <c r="L558" i="1"/>
  <c r="E559" i="1"/>
  <c r="J559" i="1"/>
  <c r="K559" i="1"/>
  <c r="L559" i="1"/>
  <c r="E560" i="1"/>
  <c r="J560" i="1"/>
  <c r="K560" i="1"/>
  <c r="L560" i="1"/>
  <c r="E561" i="1"/>
  <c r="J561" i="1"/>
  <c r="K561" i="1"/>
  <c r="L561" i="1"/>
  <c r="E562" i="1"/>
  <c r="J562" i="1"/>
  <c r="K562" i="1"/>
  <c r="L562" i="1"/>
  <c r="E563" i="1"/>
  <c r="J563" i="1"/>
  <c r="K563" i="1"/>
  <c r="L563" i="1"/>
  <c r="E564" i="1"/>
  <c r="J564" i="1"/>
  <c r="K564" i="1"/>
  <c r="L564" i="1"/>
  <c r="E565" i="1"/>
  <c r="J565" i="1"/>
  <c r="K565" i="1"/>
  <c r="L565" i="1"/>
  <c r="E566" i="1"/>
  <c r="J566" i="1"/>
  <c r="K566" i="1"/>
  <c r="L566" i="1"/>
  <c r="E567" i="1"/>
  <c r="J567" i="1"/>
  <c r="K567" i="1"/>
  <c r="L567" i="1"/>
  <c r="E568" i="1"/>
  <c r="J568" i="1"/>
  <c r="K568" i="1"/>
  <c r="L568" i="1"/>
  <c r="E569" i="1"/>
  <c r="J569" i="1"/>
  <c r="K569" i="1"/>
  <c r="L569" i="1"/>
  <c r="E570" i="1"/>
  <c r="J570" i="1"/>
  <c r="K570" i="1"/>
  <c r="L570" i="1"/>
  <c r="E571" i="1"/>
  <c r="J571" i="1"/>
  <c r="J461" i="1" s="1"/>
  <c r="O461" i="1" s="1"/>
  <c r="K571" i="1"/>
  <c r="L571" i="1"/>
  <c r="E572" i="1"/>
  <c r="J572" i="1"/>
  <c r="K572" i="1"/>
  <c r="L572" i="1"/>
  <c r="E573" i="1"/>
  <c r="J573" i="1"/>
  <c r="K573" i="1"/>
  <c r="L573" i="1"/>
  <c r="E574" i="1"/>
  <c r="J574" i="1"/>
  <c r="K574" i="1"/>
  <c r="L574" i="1"/>
  <c r="E575" i="1"/>
  <c r="J575" i="1"/>
  <c r="K575" i="1"/>
  <c r="L575" i="1"/>
  <c r="E576" i="1"/>
  <c r="J576" i="1"/>
  <c r="K576" i="1"/>
  <c r="L576" i="1"/>
  <c r="E577" i="1"/>
  <c r="J577" i="1"/>
  <c r="K577" i="1"/>
  <c r="L577" i="1"/>
  <c r="E578" i="1"/>
  <c r="J578" i="1"/>
  <c r="K578" i="1"/>
  <c r="L578" i="1"/>
  <c r="E579" i="1"/>
  <c r="J579" i="1"/>
  <c r="K579" i="1"/>
  <c r="L579" i="1"/>
  <c r="E580" i="1"/>
  <c r="J580" i="1"/>
  <c r="K580" i="1"/>
  <c r="L580" i="1"/>
  <c r="E581" i="1"/>
  <c r="J581" i="1"/>
  <c r="K581" i="1"/>
  <c r="L581" i="1"/>
  <c r="E582" i="1"/>
  <c r="J582" i="1"/>
  <c r="K582" i="1"/>
  <c r="L582" i="1"/>
  <c r="E583" i="1"/>
  <c r="J583" i="1"/>
  <c r="K583" i="1"/>
  <c r="L583" i="1"/>
  <c r="E584" i="1"/>
  <c r="J584" i="1"/>
  <c r="K584" i="1"/>
  <c r="L584" i="1"/>
  <c r="E585" i="1"/>
  <c r="J585" i="1"/>
  <c r="K585" i="1"/>
  <c r="L585" i="1"/>
  <c r="E586" i="1"/>
  <c r="J586" i="1"/>
  <c r="K586" i="1"/>
  <c r="L586" i="1"/>
  <c r="E587" i="1"/>
  <c r="J587" i="1"/>
  <c r="K587" i="1"/>
  <c r="L587" i="1"/>
  <c r="E588" i="1"/>
  <c r="J588" i="1"/>
  <c r="K588" i="1"/>
  <c r="L588" i="1"/>
  <c r="E589" i="1"/>
  <c r="J589" i="1"/>
  <c r="K589" i="1"/>
  <c r="L589" i="1"/>
  <c r="E590" i="1"/>
  <c r="J590" i="1"/>
  <c r="K590" i="1"/>
  <c r="L590" i="1"/>
  <c r="E591" i="1"/>
  <c r="J591" i="1"/>
  <c r="K591" i="1"/>
  <c r="L591" i="1"/>
  <c r="E592" i="1"/>
  <c r="J592" i="1"/>
  <c r="K592" i="1"/>
  <c r="L592" i="1"/>
  <c r="E593" i="1"/>
  <c r="J593" i="1"/>
  <c r="K593" i="1"/>
  <c r="L593" i="1"/>
  <c r="E594" i="1"/>
  <c r="J594" i="1"/>
  <c r="K594" i="1"/>
  <c r="L594" i="1"/>
  <c r="E595" i="1"/>
  <c r="J595" i="1"/>
  <c r="K595" i="1"/>
  <c r="L595" i="1"/>
  <c r="E596" i="1"/>
  <c r="J596" i="1"/>
  <c r="K596" i="1"/>
  <c r="L596" i="1"/>
  <c r="E597" i="1"/>
  <c r="J597" i="1"/>
  <c r="K597" i="1"/>
  <c r="L597" i="1"/>
  <c r="E598" i="1"/>
  <c r="J598" i="1"/>
  <c r="K598" i="1"/>
  <c r="L598" i="1"/>
  <c r="E599" i="1"/>
  <c r="J599" i="1"/>
  <c r="K599" i="1"/>
  <c r="L599" i="1"/>
  <c r="E600" i="1"/>
  <c r="J600" i="1"/>
  <c r="K600" i="1"/>
  <c r="L600" i="1"/>
  <c r="E601" i="1"/>
  <c r="J601" i="1"/>
  <c r="K601" i="1"/>
  <c r="L601" i="1"/>
  <c r="E602" i="1"/>
  <c r="J602" i="1"/>
  <c r="K602" i="1"/>
  <c r="L602" i="1"/>
  <c r="E603" i="1"/>
  <c r="J603" i="1"/>
  <c r="K603" i="1"/>
  <c r="L603" i="1"/>
  <c r="E604" i="1"/>
  <c r="J604" i="1"/>
  <c r="K604" i="1"/>
  <c r="L604" i="1"/>
  <c r="E605" i="1"/>
  <c r="J605" i="1"/>
  <c r="K605" i="1"/>
  <c r="L605" i="1"/>
  <c r="E606" i="1"/>
  <c r="J606" i="1"/>
  <c r="K606" i="1"/>
  <c r="L606" i="1"/>
  <c r="E607" i="1"/>
  <c r="J607" i="1"/>
  <c r="K607" i="1"/>
  <c r="L607" i="1"/>
  <c r="E608" i="1"/>
  <c r="J608" i="1"/>
  <c r="K608" i="1"/>
  <c r="L608" i="1"/>
  <c r="E609" i="1"/>
  <c r="J609" i="1"/>
  <c r="K609" i="1"/>
  <c r="L609" i="1"/>
  <c r="E610" i="1"/>
  <c r="J610" i="1"/>
  <c r="K610" i="1"/>
  <c r="L610" i="1"/>
  <c r="E611" i="1"/>
  <c r="J611" i="1"/>
  <c r="K611" i="1"/>
  <c r="L611" i="1"/>
  <c r="E612" i="1"/>
  <c r="J612" i="1"/>
  <c r="K612" i="1"/>
  <c r="L612" i="1"/>
  <c r="E613" i="1"/>
  <c r="J613" i="1"/>
  <c r="K613" i="1"/>
  <c r="L613" i="1"/>
  <c r="E614" i="1"/>
  <c r="J614" i="1"/>
  <c r="K614" i="1"/>
  <c r="L614" i="1"/>
  <c r="E615" i="1"/>
  <c r="J615" i="1"/>
  <c r="K615" i="1"/>
  <c r="L615" i="1"/>
  <c r="E616" i="1"/>
  <c r="J616" i="1"/>
  <c r="K616" i="1"/>
  <c r="L616" i="1"/>
  <c r="E617" i="1"/>
  <c r="J617" i="1"/>
  <c r="K617" i="1"/>
  <c r="L617" i="1"/>
  <c r="E618" i="1"/>
  <c r="J618" i="1"/>
  <c r="K618" i="1"/>
  <c r="L618" i="1"/>
  <c r="E619" i="1"/>
  <c r="J619" i="1"/>
  <c r="K619" i="1"/>
  <c r="L619" i="1"/>
  <c r="E620" i="1"/>
  <c r="J620" i="1"/>
  <c r="K620" i="1"/>
  <c r="L620" i="1"/>
  <c r="E621" i="1"/>
  <c r="J621" i="1"/>
  <c r="K621" i="1"/>
  <c r="L621" i="1"/>
  <c r="E622" i="1"/>
  <c r="J622" i="1"/>
  <c r="K622" i="1"/>
  <c r="L622" i="1"/>
  <c r="E623" i="1"/>
  <c r="J623" i="1"/>
  <c r="K623" i="1"/>
  <c r="L623" i="1"/>
  <c r="E624" i="1"/>
  <c r="J624" i="1"/>
  <c r="K624" i="1"/>
  <c r="L624" i="1"/>
  <c r="E625" i="1"/>
  <c r="J625" i="1"/>
  <c r="K625" i="1"/>
  <c r="L625" i="1"/>
  <c r="E626" i="1"/>
  <c r="J626" i="1"/>
  <c r="K626" i="1"/>
  <c r="L626" i="1"/>
  <c r="E627" i="1"/>
  <c r="J627" i="1"/>
  <c r="K627" i="1"/>
  <c r="L627" i="1"/>
  <c r="E628" i="1"/>
  <c r="J628" i="1"/>
  <c r="K628" i="1"/>
  <c r="L628" i="1"/>
  <c r="C630" i="1"/>
  <c r="H630" i="1" s="1"/>
  <c r="I630" i="1"/>
  <c r="E631" i="1"/>
  <c r="J631" i="1"/>
  <c r="J630" i="1" s="1"/>
  <c r="O630" i="1" s="1"/>
  <c r="K631" i="1"/>
  <c r="L631" i="1"/>
  <c r="E632" i="1"/>
  <c r="J632" i="1"/>
  <c r="K632" i="1"/>
  <c r="L632" i="1"/>
  <c r="E633" i="1"/>
  <c r="J633" i="1"/>
  <c r="K633" i="1"/>
  <c r="L633" i="1"/>
  <c r="E634" i="1"/>
  <c r="J634" i="1"/>
  <c r="K634" i="1"/>
  <c r="L634" i="1"/>
  <c r="E635" i="1"/>
  <c r="J635" i="1"/>
  <c r="K635" i="1"/>
  <c r="L635" i="1"/>
  <c r="E636" i="1"/>
  <c r="J636" i="1"/>
  <c r="K636" i="1"/>
  <c r="L636" i="1"/>
  <c r="E637" i="1"/>
  <c r="J637" i="1"/>
  <c r="K637" i="1"/>
  <c r="L637" i="1"/>
  <c r="E638" i="1"/>
  <c r="J638" i="1"/>
  <c r="K638" i="1"/>
  <c r="L638" i="1"/>
  <c r="E639" i="1"/>
  <c r="J639" i="1"/>
  <c r="K639" i="1"/>
  <c r="L639" i="1"/>
  <c r="E640" i="1"/>
  <c r="J640" i="1"/>
  <c r="K640" i="1"/>
  <c r="L640" i="1"/>
  <c r="E641" i="1"/>
  <c r="J641" i="1"/>
  <c r="K641" i="1"/>
  <c r="L641" i="1"/>
  <c r="E642" i="1"/>
  <c r="J642" i="1"/>
  <c r="K642" i="1"/>
  <c r="L642" i="1"/>
  <c r="E643" i="1"/>
  <c r="J643" i="1"/>
  <c r="K643" i="1"/>
  <c r="L643" i="1"/>
  <c r="E644" i="1"/>
  <c r="J644" i="1"/>
  <c r="K644" i="1"/>
  <c r="L644" i="1"/>
  <c r="E645" i="1"/>
  <c r="J645" i="1"/>
  <c r="K645" i="1"/>
  <c r="L645" i="1"/>
  <c r="E646" i="1"/>
  <c r="J646" i="1"/>
  <c r="K646" i="1"/>
  <c r="L646" i="1"/>
  <c r="E647" i="1"/>
  <c r="J647" i="1"/>
  <c r="K647" i="1"/>
  <c r="L647" i="1"/>
  <c r="E648" i="1"/>
  <c r="J648" i="1"/>
  <c r="K648" i="1"/>
  <c r="L648" i="1"/>
  <c r="E649" i="1"/>
  <c r="J649" i="1"/>
  <c r="K649" i="1"/>
  <c r="L649" i="1"/>
  <c r="E650" i="1"/>
  <c r="J650" i="1"/>
  <c r="K650" i="1"/>
  <c r="L650" i="1"/>
  <c r="E651" i="1"/>
  <c r="J651" i="1"/>
  <c r="K651" i="1"/>
  <c r="L651" i="1"/>
  <c r="E652" i="1"/>
  <c r="J652" i="1"/>
  <c r="K652" i="1"/>
  <c r="L652" i="1"/>
  <c r="C654" i="1"/>
  <c r="H654" i="1"/>
  <c r="I654" i="1"/>
  <c r="J654" i="1"/>
  <c r="O654" i="1" s="1"/>
  <c r="E655" i="1"/>
  <c r="F655" i="1"/>
  <c r="G655" i="1"/>
  <c r="J655" i="1"/>
  <c r="K655" i="1"/>
  <c r="L655" i="1"/>
  <c r="M655" i="1"/>
  <c r="C657" i="1"/>
  <c r="H657" i="1"/>
  <c r="I657" i="1"/>
  <c r="E658" i="1"/>
  <c r="F658" i="1"/>
  <c r="J658" i="1" s="1"/>
  <c r="J657" i="1" s="1"/>
  <c r="O657" i="1" s="1"/>
  <c r="G658" i="1"/>
  <c r="K658" i="1"/>
  <c r="L658" i="1"/>
  <c r="M658" i="1"/>
  <c r="C660" i="1"/>
  <c r="H660" i="1"/>
  <c r="I660" i="1"/>
  <c r="J660" i="1"/>
  <c r="O660" i="1" s="1"/>
  <c r="E661" i="1"/>
  <c r="F661" i="1"/>
  <c r="G661" i="1"/>
  <c r="J661" i="1"/>
  <c r="K661" i="1"/>
  <c r="L661" i="1"/>
  <c r="M661" i="1"/>
  <c r="C663" i="1"/>
  <c r="H663" i="1"/>
  <c r="I663" i="1"/>
  <c r="E664" i="1"/>
  <c r="F664" i="1"/>
  <c r="J664" i="1" s="1"/>
  <c r="J663" i="1" s="1"/>
  <c r="O663" i="1" s="1"/>
  <c r="G664" i="1"/>
  <c r="K664" i="1"/>
  <c r="L664" i="1"/>
  <c r="M664" i="1"/>
  <c r="C666" i="1"/>
  <c r="H666" i="1"/>
  <c r="I666" i="1"/>
  <c r="J666" i="1"/>
  <c r="O666" i="1" s="1"/>
  <c r="E667" i="1"/>
  <c r="F667" i="1"/>
  <c r="G667" i="1"/>
  <c r="J667" i="1"/>
  <c r="K667" i="1"/>
  <c r="L667" i="1"/>
  <c r="M667" i="1"/>
  <c r="C669" i="1"/>
  <c r="H669" i="1"/>
  <c r="I669" i="1"/>
  <c r="E670" i="1"/>
  <c r="F670" i="1"/>
  <c r="J670" i="1" s="1"/>
  <c r="J669" i="1" s="1"/>
  <c r="O669" i="1" s="1"/>
  <c r="G670" i="1"/>
  <c r="K670" i="1"/>
  <c r="L670" i="1"/>
  <c r="M670" i="1"/>
  <c r="C672" i="1"/>
  <c r="H672" i="1"/>
  <c r="I672" i="1"/>
  <c r="J672" i="1"/>
  <c r="O672" i="1" s="1"/>
  <c r="E673" i="1"/>
  <c r="F673" i="1"/>
  <c r="G673" i="1"/>
  <c r="J673" i="1"/>
  <c r="K673" i="1"/>
  <c r="L673" i="1"/>
  <c r="M673" i="1"/>
  <c r="C675" i="1"/>
  <c r="H675" i="1"/>
  <c r="I675" i="1"/>
  <c r="E676" i="1"/>
  <c r="F676" i="1"/>
  <c r="J676" i="1" s="1"/>
  <c r="J675" i="1" s="1"/>
  <c r="O675" i="1" s="1"/>
  <c r="G676" i="1"/>
  <c r="K676" i="1"/>
  <c r="L676" i="1"/>
  <c r="M676" i="1"/>
  <c r="C678" i="1"/>
  <c r="H678" i="1"/>
  <c r="I678" i="1"/>
  <c r="J678" i="1"/>
  <c r="O678" i="1" s="1"/>
  <c r="E679" i="1"/>
  <c r="F679" i="1"/>
  <c r="G679" i="1"/>
  <c r="J679" i="1"/>
  <c r="K679" i="1"/>
  <c r="L679" i="1"/>
  <c r="M679" i="1"/>
  <c r="C681" i="1"/>
  <c r="H681" i="1"/>
  <c r="I681" i="1"/>
  <c r="E682" i="1"/>
  <c r="F682" i="1"/>
  <c r="J682" i="1" s="1"/>
  <c r="J681" i="1" s="1"/>
  <c r="O681" i="1" s="1"/>
  <c r="G682" i="1"/>
  <c r="K682" i="1"/>
  <c r="L682" i="1"/>
  <c r="M682" i="1"/>
  <c r="C684" i="1"/>
  <c r="H684" i="1"/>
  <c r="I684" i="1"/>
  <c r="J684" i="1"/>
  <c r="O684" i="1" s="1"/>
  <c r="E685" i="1"/>
  <c r="J685" i="1"/>
  <c r="K685" i="1"/>
  <c r="L685" i="1"/>
  <c r="E686" i="1"/>
  <c r="J686" i="1"/>
  <c r="K686" i="1"/>
  <c r="L686" i="1"/>
  <c r="C688" i="1"/>
  <c r="H688" i="1" s="1"/>
  <c r="I688" i="1"/>
  <c r="E689" i="1"/>
  <c r="F689" i="1"/>
  <c r="G689" i="1"/>
  <c r="J689" i="1"/>
  <c r="J688" i="1" s="1"/>
  <c r="O688" i="1" s="1"/>
  <c r="K689" i="1"/>
  <c r="L689" i="1"/>
  <c r="M689" i="1"/>
  <c r="C691" i="1"/>
  <c r="H691" i="1" s="1"/>
  <c r="I691" i="1"/>
  <c r="E692" i="1"/>
  <c r="J692" i="1"/>
  <c r="J691" i="1" s="1"/>
  <c r="O691" i="1" s="1"/>
  <c r="K692" i="1"/>
  <c r="L692" i="1"/>
  <c r="C694" i="1"/>
  <c r="H694" i="1"/>
  <c r="I694" i="1"/>
  <c r="J694" i="1"/>
  <c r="O694" i="1" s="1"/>
  <c r="E695" i="1"/>
  <c r="J695" i="1"/>
  <c r="K695" i="1"/>
  <c r="L695" i="1"/>
  <c r="E696" i="1"/>
  <c r="J696" i="1"/>
  <c r="K696" i="1"/>
  <c r="L696" i="1"/>
  <c r="E697" i="1"/>
  <c r="J697" i="1"/>
  <c r="K697" i="1"/>
  <c r="L697" i="1"/>
  <c r="E698" i="1"/>
  <c r="J698" i="1"/>
  <c r="K698" i="1"/>
  <c r="L698" i="1"/>
  <c r="E699" i="1"/>
  <c r="J699" i="1"/>
  <c r="K699" i="1"/>
  <c r="L699" i="1"/>
  <c r="E700" i="1"/>
  <c r="J700" i="1"/>
  <c r="K700" i="1"/>
  <c r="L700" i="1"/>
  <c r="E701" i="1"/>
  <c r="J701" i="1"/>
  <c r="K701" i="1"/>
  <c r="L701" i="1"/>
  <c r="E702" i="1"/>
  <c r="J702" i="1"/>
  <c r="K702" i="1"/>
  <c r="L702" i="1"/>
  <c r="E703" i="1"/>
  <c r="J703" i="1"/>
  <c r="K703" i="1"/>
  <c r="L703" i="1"/>
  <c r="E704" i="1"/>
  <c r="J704" i="1"/>
  <c r="K704" i="1"/>
  <c r="L704" i="1"/>
  <c r="E705" i="1"/>
  <c r="J705" i="1"/>
  <c r="K705" i="1"/>
  <c r="L705" i="1"/>
  <c r="E706" i="1"/>
  <c r="J706" i="1"/>
  <c r="K706" i="1"/>
  <c r="L706" i="1"/>
  <c r="E707" i="1"/>
  <c r="J707" i="1"/>
  <c r="K707" i="1"/>
  <c r="L707" i="1"/>
  <c r="E708" i="1"/>
  <c r="J708" i="1"/>
  <c r="K708" i="1"/>
  <c r="L708" i="1"/>
  <c r="E709" i="1"/>
  <c r="J709" i="1"/>
  <c r="K709" i="1"/>
  <c r="L709" i="1"/>
  <c r="E710" i="1"/>
  <c r="J710" i="1"/>
  <c r="K710" i="1"/>
  <c r="L710" i="1"/>
  <c r="E711" i="1"/>
  <c r="J711" i="1"/>
  <c r="K711" i="1"/>
  <c r="L711" i="1"/>
  <c r="E712" i="1"/>
  <c r="J712" i="1"/>
  <c r="K712" i="1"/>
  <c r="L712" i="1"/>
  <c r="E713" i="1"/>
  <c r="J713" i="1"/>
  <c r="K713" i="1"/>
  <c r="L713" i="1"/>
  <c r="E714" i="1"/>
  <c r="J714" i="1"/>
  <c r="K714" i="1"/>
  <c r="L714" i="1"/>
  <c r="E715" i="1"/>
  <c r="J715" i="1"/>
  <c r="K715" i="1"/>
  <c r="L715" i="1"/>
  <c r="E716" i="1"/>
  <c r="J716" i="1"/>
  <c r="K716" i="1"/>
  <c r="L716" i="1"/>
  <c r="E717" i="1"/>
  <c r="J717" i="1"/>
  <c r="K717" i="1"/>
  <c r="L717" i="1"/>
  <c r="E718" i="1"/>
  <c r="J718" i="1"/>
  <c r="K718" i="1"/>
  <c r="L718" i="1"/>
  <c r="C720" i="1"/>
  <c r="H720" i="1" s="1"/>
  <c r="I720" i="1"/>
  <c r="E721" i="1"/>
  <c r="J721" i="1"/>
  <c r="J720" i="1" s="1"/>
  <c r="O720" i="1" s="1"/>
  <c r="K721" i="1"/>
  <c r="L721" i="1"/>
  <c r="E722" i="1"/>
  <c r="J722" i="1"/>
  <c r="K722" i="1"/>
  <c r="L722" i="1"/>
  <c r="E723" i="1"/>
  <c r="J723" i="1"/>
  <c r="K723" i="1"/>
  <c r="L723" i="1"/>
  <c r="E724" i="1"/>
  <c r="J724" i="1"/>
  <c r="K724" i="1"/>
  <c r="L724" i="1"/>
  <c r="E725" i="1"/>
  <c r="J725" i="1"/>
  <c r="K725" i="1"/>
  <c r="L725" i="1"/>
  <c r="E726" i="1"/>
  <c r="J726" i="1"/>
  <c r="K726" i="1"/>
  <c r="L726" i="1"/>
  <c r="H728" i="1"/>
  <c r="C729" i="1"/>
  <c r="H729" i="1" s="1"/>
  <c r="I729" i="1"/>
  <c r="E730" i="1"/>
  <c r="F730" i="1"/>
  <c r="G730" i="1"/>
  <c r="J730" i="1"/>
  <c r="J729" i="1" s="1"/>
  <c r="O729" i="1" s="1"/>
  <c r="K730" i="1"/>
  <c r="L730" i="1"/>
  <c r="M730" i="1"/>
  <c r="E6" i="2"/>
  <c r="E11" i="2"/>
  <c r="R377" i="1"/>
  <c r="R378" i="1" s="1"/>
  <c r="R379" i="1" s="1"/>
  <c r="R380" i="1" s="1"/>
  <c r="R381" i="1" s="1"/>
  <c r="R289" i="1"/>
  <c r="R290" i="1" s="1"/>
  <c r="R291" i="1" s="1"/>
  <c r="R292" i="1" s="1"/>
  <c r="R293" i="1" s="1"/>
  <c r="R294" i="1" s="1"/>
  <c r="R295" i="1" s="1"/>
  <c r="R296" i="1" s="1"/>
  <c r="R297" i="1" s="1"/>
  <c r="R298" i="1" s="1"/>
  <c r="R299" i="1" s="1"/>
  <c r="R300" i="1" s="1"/>
  <c r="R301" i="1" s="1"/>
  <c r="R302" i="1" s="1"/>
  <c r="R303" i="1" s="1"/>
  <c r="R304" i="1" s="1"/>
  <c r="R305" i="1" s="1"/>
  <c r="R306" i="1" s="1"/>
  <c r="R307" i="1" s="1"/>
  <c r="R308" i="1" s="1"/>
  <c r="R309" i="1" s="1"/>
  <c r="R310" i="1" s="1"/>
  <c r="R311" i="1" s="1"/>
  <c r="R312" i="1" s="1"/>
  <c r="R313" i="1" s="1"/>
  <c r="R314" i="1" s="1"/>
  <c r="R315" i="1" s="1"/>
  <c r="R316" i="1" s="1"/>
  <c r="R317" i="1" s="1"/>
  <c r="R318" i="1" s="1"/>
  <c r="R319" i="1" s="1"/>
  <c r="R320" i="1" s="1"/>
  <c r="R321" i="1" s="1"/>
  <c r="R322" i="1" s="1"/>
  <c r="R323" i="1" s="1"/>
  <c r="R324" i="1" s="1"/>
  <c r="R325" i="1" s="1"/>
  <c r="R326" i="1" s="1"/>
  <c r="R327" i="1" s="1"/>
  <c r="R328" i="1" s="1"/>
  <c r="R329" i="1" s="1"/>
  <c r="R458" i="1"/>
  <c r="R455" i="1"/>
  <c r="R416" i="1"/>
  <c r="R417" i="1" s="1"/>
  <c r="R418" i="1" s="1"/>
  <c r="R419" i="1" s="1"/>
  <c r="R420" i="1" s="1"/>
  <c r="R421" i="1" s="1"/>
  <c r="R422" i="1" s="1"/>
  <c r="R423" i="1" s="1"/>
  <c r="R424" i="1" s="1"/>
  <c r="R425" i="1" s="1"/>
  <c r="R426" i="1" s="1"/>
  <c r="R427" i="1" s="1"/>
  <c r="R428" i="1" s="1"/>
  <c r="R429" i="1" s="1"/>
  <c r="R430" i="1" s="1"/>
  <c r="R431" i="1" s="1"/>
  <c r="R432" i="1" s="1"/>
  <c r="R433" i="1" s="1"/>
  <c r="R434" i="1" s="1"/>
  <c r="R435" i="1" s="1"/>
  <c r="R436" i="1" s="1"/>
  <c r="R437" i="1" s="1"/>
  <c r="R438" i="1" s="1"/>
  <c r="R439" i="1" s="1"/>
  <c r="R440" i="1" s="1"/>
  <c r="R441" i="1" s="1"/>
  <c r="R442" i="1" s="1"/>
  <c r="R443" i="1" s="1"/>
  <c r="R444" i="1" s="1"/>
  <c r="R445" i="1" s="1"/>
  <c r="R446" i="1" s="1"/>
  <c r="R447" i="1" s="1"/>
  <c r="R448" i="1" s="1"/>
  <c r="R449" i="1" s="1"/>
  <c r="R450" i="1" s="1"/>
  <c r="R451" i="1" s="1"/>
  <c r="R452" i="1" s="1"/>
  <c r="R413" i="1"/>
  <c r="R410" i="1"/>
  <c r="R390" i="1"/>
  <c r="R391" i="1" s="1"/>
  <c r="R392" i="1" s="1"/>
  <c r="R393" i="1" s="1"/>
  <c r="R394" i="1" s="1"/>
  <c r="R395" i="1" s="1"/>
  <c r="R396" i="1" s="1"/>
  <c r="R397" i="1" s="1"/>
  <c r="R398" i="1" s="1"/>
  <c r="R399" i="1" s="1"/>
  <c r="R400" i="1" s="1"/>
  <c r="R401" i="1" s="1"/>
  <c r="R402" i="1" s="1"/>
  <c r="R403" i="1" s="1"/>
  <c r="R404" i="1" s="1"/>
  <c r="R405" i="1" s="1"/>
  <c r="R406" i="1" s="1"/>
  <c r="R407" i="1" s="1"/>
  <c r="R387" i="1"/>
  <c r="R384" i="1"/>
  <c r="R721" i="1"/>
  <c r="R722" i="1" s="1"/>
  <c r="R723" i="1" s="1"/>
  <c r="R724" i="1" s="1"/>
  <c r="R725" i="1" s="1"/>
  <c r="R726" i="1" s="1"/>
  <c r="R695" i="1"/>
  <c r="R696" i="1" s="1"/>
  <c r="R697" i="1" s="1"/>
  <c r="R698" i="1" s="1"/>
  <c r="R699" i="1" s="1"/>
  <c r="R700" i="1" s="1"/>
  <c r="R701" i="1" s="1"/>
  <c r="R702" i="1" s="1"/>
  <c r="R703" i="1" s="1"/>
  <c r="R704" i="1" s="1"/>
  <c r="R705" i="1" s="1"/>
  <c r="R706" i="1" s="1"/>
  <c r="R707" i="1" s="1"/>
  <c r="R708" i="1" s="1"/>
  <c r="R709" i="1" s="1"/>
  <c r="R710" i="1" s="1"/>
  <c r="R711" i="1" s="1"/>
  <c r="R712" i="1" s="1"/>
  <c r="R713" i="1" s="1"/>
  <c r="R714" i="1" s="1"/>
  <c r="R715" i="1" s="1"/>
  <c r="R716" i="1" s="1"/>
  <c r="R717" i="1" s="1"/>
  <c r="R718" i="1" s="1"/>
  <c r="R692" i="1"/>
  <c r="R689" i="1"/>
  <c r="R685" i="1"/>
  <c r="R686" i="1" s="1"/>
  <c r="R682" i="1"/>
  <c r="R679" i="1"/>
  <c r="R676" i="1"/>
  <c r="R673" i="1"/>
  <c r="R670" i="1"/>
  <c r="R667" i="1"/>
  <c r="R664" i="1"/>
  <c r="R661" i="1"/>
  <c r="R658" i="1"/>
  <c r="R655" i="1"/>
  <c r="R631" i="1"/>
  <c r="R632" i="1" s="1"/>
  <c r="R633" i="1" s="1"/>
  <c r="R634" i="1" s="1"/>
  <c r="R635" i="1" s="1"/>
  <c r="R636" i="1" s="1"/>
  <c r="R637" i="1" s="1"/>
  <c r="R638" i="1" s="1"/>
  <c r="R639" i="1" s="1"/>
  <c r="R640" i="1" s="1"/>
  <c r="R641" i="1" s="1"/>
  <c r="R642" i="1" s="1"/>
  <c r="R643" i="1" s="1"/>
  <c r="R644" i="1" s="1"/>
  <c r="R645" i="1" s="1"/>
  <c r="R646" i="1" s="1"/>
  <c r="R647" i="1" s="1"/>
  <c r="R648" i="1" s="1"/>
  <c r="R649" i="1" s="1"/>
  <c r="R650" i="1" s="1"/>
  <c r="R651" i="1" s="1"/>
  <c r="R652" i="1" s="1"/>
  <c r="R372" i="1"/>
  <c r="R369" i="1"/>
  <c r="R366" i="1"/>
  <c r="R363" i="1"/>
  <c r="R360" i="1"/>
  <c r="R357" i="1"/>
  <c r="R354" i="1"/>
  <c r="R351" i="1"/>
  <c r="R348" i="1"/>
  <c r="R345" i="1"/>
  <c r="R342" i="1"/>
  <c r="R339" i="1"/>
  <c r="R335" i="1"/>
  <c r="R336" i="1" s="1"/>
  <c r="R332" i="1"/>
  <c r="R288" i="1"/>
  <c r="R285" i="1"/>
  <c r="R282" i="1"/>
  <c r="R279" i="1"/>
  <c r="R276" i="1"/>
  <c r="R272" i="1"/>
  <c r="R273" i="1" s="1"/>
  <c r="R269" i="1"/>
  <c r="R234" i="1"/>
  <c r="R235" i="1" s="1"/>
  <c r="R236" i="1" s="1"/>
  <c r="R237" i="1" s="1"/>
  <c r="R238" i="1" s="1"/>
  <c r="R239" i="1" s="1"/>
  <c r="R240" i="1" s="1"/>
  <c r="R241" i="1" s="1"/>
  <c r="R242" i="1" s="1"/>
  <c r="R243" i="1" s="1"/>
  <c r="R244" i="1" s="1"/>
  <c r="R245" i="1" s="1"/>
  <c r="R246" i="1" s="1"/>
  <c r="R247" i="1" s="1"/>
  <c r="R248" i="1" s="1"/>
  <c r="R249" i="1" s="1"/>
  <c r="R250" i="1" s="1"/>
  <c r="R251" i="1" s="1"/>
  <c r="R252" i="1" s="1"/>
  <c r="R253" i="1" s="1"/>
  <c r="R254" i="1" s="1"/>
  <c r="R255" i="1" s="1"/>
  <c r="R256" i="1" s="1"/>
  <c r="R257" i="1" s="1"/>
  <c r="R258" i="1" s="1"/>
  <c r="R259" i="1" s="1"/>
  <c r="R260" i="1" s="1"/>
  <c r="R261" i="1" s="1"/>
  <c r="R262" i="1" s="1"/>
  <c r="R263" i="1" s="1"/>
  <c r="R264" i="1" s="1"/>
  <c r="R265" i="1" s="1"/>
  <c r="R266" i="1" s="1"/>
  <c r="R231" i="1"/>
  <c r="R228" i="1"/>
  <c r="R225" i="1"/>
  <c r="R222" i="1"/>
  <c r="R219" i="1"/>
  <c r="R216" i="1"/>
  <c r="R196" i="1"/>
  <c r="R197" i="1" s="1"/>
  <c r="R198" i="1" s="1"/>
  <c r="R199" i="1" s="1"/>
  <c r="R200" i="1" s="1"/>
  <c r="R201" i="1" s="1"/>
  <c r="R202" i="1" s="1"/>
  <c r="R203" i="1" s="1"/>
  <c r="R204" i="1" s="1"/>
  <c r="R205" i="1" s="1"/>
  <c r="R206" i="1" s="1"/>
  <c r="R207" i="1" s="1"/>
  <c r="R208" i="1" s="1"/>
  <c r="R209" i="1" s="1"/>
  <c r="R210" i="1" s="1"/>
  <c r="R211" i="1" s="1"/>
  <c r="R212" i="1" s="1"/>
  <c r="R213" i="1" s="1"/>
  <c r="R193" i="1"/>
  <c r="R190" i="1"/>
  <c r="R187" i="1"/>
  <c r="R183" i="1"/>
  <c r="R184" i="1" s="1"/>
  <c r="R180" i="1"/>
  <c r="R177" i="1"/>
  <c r="R174" i="1"/>
  <c r="R171" i="1"/>
  <c r="R167" i="1"/>
  <c r="R168" i="1" s="1"/>
  <c r="R153" i="1"/>
  <c r="R154" i="1" s="1"/>
  <c r="R155" i="1" s="1"/>
  <c r="R156" i="1" s="1"/>
  <c r="R157" i="1" s="1"/>
  <c r="R158" i="1" s="1"/>
  <c r="R159" i="1" s="1"/>
  <c r="R160" i="1" s="1"/>
  <c r="R161" i="1" s="1"/>
  <c r="R162" i="1" s="1"/>
  <c r="R163" i="1" s="1"/>
  <c r="R164" i="1" s="1"/>
  <c r="R150" i="1"/>
  <c r="R142" i="1"/>
  <c r="R143" i="1" s="1"/>
  <c r="R144" i="1" s="1"/>
  <c r="R145" i="1" s="1"/>
  <c r="R146" i="1" s="1"/>
  <c r="R147" i="1" s="1"/>
  <c r="R122" i="1"/>
  <c r="R123" i="1" s="1"/>
  <c r="R124" i="1" s="1"/>
  <c r="R125" i="1" s="1"/>
  <c r="R126" i="1" s="1"/>
  <c r="R127" i="1" s="1"/>
  <c r="R128" i="1" s="1"/>
  <c r="R129" i="1" s="1"/>
  <c r="R130" i="1" s="1"/>
  <c r="R131" i="1" s="1"/>
  <c r="R132" i="1" s="1"/>
  <c r="R133" i="1" s="1"/>
  <c r="R134" i="1" s="1"/>
  <c r="R135" i="1" s="1"/>
  <c r="R136" i="1" s="1"/>
  <c r="R137" i="1" s="1"/>
  <c r="R138" i="1" s="1"/>
  <c r="R139" i="1" s="1"/>
  <c r="R17" i="1"/>
  <c r="R18" i="1" s="1"/>
  <c r="R19" i="1" s="1"/>
  <c r="R20" i="1" s="1"/>
  <c r="R21" i="1" s="1"/>
  <c r="R22" i="1" s="1"/>
  <c r="R23" i="1" s="1"/>
  <c r="R24" i="1" s="1"/>
  <c r="R25" i="1" s="1"/>
  <c r="R26" i="1" s="1"/>
  <c r="R27" i="1" s="1"/>
  <c r="R28" i="1" s="1"/>
  <c r="R29" i="1" s="1"/>
  <c r="R30" i="1" s="1"/>
  <c r="R31" i="1" s="1"/>
  <c r="R32" i="1" s="1"/>
  <c r="R33" i="1" s="1"/>
  <c r="R34" i="1" s="1"/>
  <c r="R35" i="1" s="1"/>
  <c r="R36" i="1" s="1"/>
  <c r="R37" i="1" s="1"/>
  <c r="R38" i="1" s="1"/>
  <c r="R39" i="1" s="1"/>
  <c r="R40" i="1" s="1"/>
  <c r="R41" i="1" s="1"/>
  <c r="R42" i="1" s="1"/>
  <c r="R43" i="1" s="1"/>
  <c r="R44" i="1" s="1"/>
  <c r="R45" i="1" s="1"/>
  <c r="R46" i="1" s="1"/>
  <c r="R47" i="1" s="1"/>
  <c r="R48" i="1" s="1"/>
  <c r="R49" i="1" s="1"/>
  <c r="R50" i="1" s="1"/>
  <c r="R51" i="1" s="1"/>
  <c r="R52" i="1" s="1"/>
  <c r="R53" i="1" s="1"/>
  <c r="R54" i="1" s="1"/>
  <c r="R55" i="1" s="1"/>
  <c r="R56" i="1" s="1"/>
  <c r="R57" i="1" s="1"/>
  <c r="R58" i="1" s="1"/>
  <c r="R59" i="1" s="1"/>
  <c r="R60" i="1" s="1"/>
  <c r="R61" i="1" s="1"/>
  <c r="R62" i="1" s="1"/>
  <c r="R63" i="1" s="1"/>
  <c r="R64" i="1" s="1"/>
  <c r="R65" i="1" s="1"/>
  <c r="R66" i="1" s="1"/>
  <c r="R67" i="1" s="1"/>
  <c r="R68" i="1" s="1"/>
  <c r="R69" i="1" s="1"/>
  <c r="R70" i="1" s="1"/>
  <c r="R71" i="1" s="1"/>
  <c r="R72" i="1" s="1"/>
  <c r="R73" i="1" s="1"/>
  <c r="R74" i="1" s="1"/>
  <c r="R75" i="1" s="1"/>
  <c r="R76" i="1" s="1"/>
  <c r="R77" i="1" s="1"/>
  <c r="R78" i="1" s="1"/>
  <c r="R79" i="1" s="1"/>
  <c r="R80" i="1" s="1"/>
  <c r="R81" i="1" s="1"/>
  <c r="R82" i="1" s="1"/>
  <c r="R83" i="1" s="1"/>
  <c r="R84" i="1" s="1"/>
  <c r="R85" i="1" s="1"/>
  <c r="R86" i="1" s="1"/>
  <c r="R87" i="1" s="1"/>
  <c r="R88" i="1" s="1"/>
  <c r="R89" i="1" s="1"/>
  <c r="R90" i="1" s="1"/>
  <c r="R91" i="1" s="1"/>
  <c r="R92" i="1" s="1"/>
  <c r="R93" i="1" s="1"/>
  <c r="R94" i="1" s="1"/>
  <c r="R95" i="1" s="1"/>
  <c r="R96" i="1" s="1"/>
  <c r="R97" i="1" s="1"/>
  <c r="R98" i="1" s="1"/>
  <c r="R99" i="1" s="1"/>
  <c r="R100" i="1" s="1"/>
  <c r="R101" i="1" s="1"/>
  <c r="R102" i="1" s="1"/>
  <c r="R103" i="1" s="1"/>
  <c r="R104" i="1" s="1"/>
  <c r="R105" i="1" s="1"/>
  <c r="R106" i="1" s="1"/>
  <c r="R107" i="1" s="1"/>
  <c r="R108" i="1" s="1"/>
  <c r="R109" i="1" s="1"/>
  <c r="R110" i="1" s="1"/>
  <c r="R111" i="1" s="1"/>
  <c r="R112" i="1" s="1"/>
  <c r="R113" i="1" s="1"/>
  <c r="R114" i="1" s="1"/>
  <c r="R115" i="1" s="1"/>
  <c r="R116" i="1" s="1"/>
  <c r="R117" i="1" s="1"/>
  <c r="R118" i="1" s="1"/>
  <c r="R119" i="1" s="1"/>
  <c r="R730" i="1"/>
  <c r="R462" i="1"/>
  <c r="R463" i="1" s="1"/>
  <c r="R464" i="1" s="1"/>
  <c r="R465" i="1" s="1"/>
  <c r="R466" i="1" s="1"/>
  <c r="R467" i="1" s="1"/>
  <c r="R468" i="1" s="1"/>
  <c r="R469" i="1" s="1"/>
  <c r="R470" i="1" s="1"/>
  <c r="R471" i="1" s="1"/>
  <c r="R472" i="1" s="1"/>
  <c r="R473" i="1" s="1"/>
  <c r="R474" i="1" s="1"/>
  <c r="R475" i="1" s="1"/>
  <c r="R476" i="1" s="1"/>
  <c r="R477" i="1" s="1"/>
  <c r="R478" i="1" s="1"/>
  <c r="R479" i="1" s="1"/>
  <c r="R480" i="1" s="1"/>
  <c r="R481" i="1" s="1"/>
  <c r="R482" i="1" s="1"/>
  <c r="R483" i="1" s="1"/>
  <c r="R484" i="1" s="1"/>
  <c r="R485" i="1" s="1"/>
  <c r="R486" i="1" s="1"/>
  <c r="R487" i="1" s="1"/>
  <c r="R488" i="1" s="1"/>
  <c r="R489" i="1" s="1"/>
  <c r="R490" i="1" s="1"/>
  <c r="R491" i="1" s="1"/>
  <c r="R492" i="1" s="1"/>
  <c r="R493" i="1" s="1"/>
  <c r="R494" i="1" s="1"/>
  <c r="R495" i="1" s="1"/>
  <c r="R496" i="1" s="1"/>
  <c r="R497" i="1" s="1"/>
  <c r="R498" i="1" s="1"/>
  <c r="R499" i="1" s="1"/>
  <c r="R500" i="1" s="1"/>
  <c r="R501" i="1" s="1"/>
  <c r="R502" i="1" s="1"/>
  <c r="R503" i="1" s="1"/>
  <c r="R504" i="1" s="1"/>
  <c r="R505" i="1" s="1"/>
  <c r="R506" i="1" s="1"/>
  <c r="R507" i="1" s="1"/>
  <c r="R508" i="1" s="1"/>
  <c r="R509" i="1" s="1"/>
  <c r="R510" i="1" s="1"/>
  <c r="R511" i="1" s="1"/>
  <c r="R512" i="1" s="1"/>
  <c r="R513" i="1" s="1"/>
  <c r="R514" i="1" s="1"/>
  <c r="R515" i="1" s="1"/>
  <c r="R516" i="1" s="1"/>
  <c r="R517" i="1" s="1"/>
  <c r="R518" i="1" s="1"/>
  <c r="R519" i="1" s="1"/>
  <c r="R520" i="1" s="1"/>
  <c r="R521" i="1" s="1"/>
  <c r="R522" i="1" s="1"/>
  <c r="R523" i="1" s="1"/>
  <c r="R524" i="1" s="1"/>
  <c r="R525" i="1" s="1"/>
  <c r="R526" i="1" s="1"/>
  <c r="R527" i="1" s="1"/>
  <c r="R528" i="1" s="1"/>
  <c r="R529" i="1" s="1"/>
  <c r="R530" i="1" s="1"/>
  <c r="R531" i="1" s="1"/>
  <c r="R532" i="1" s="1"/>
  <c r="R533" i="1" s="1"/>
  <c r="R534" i="1" s="1"/>
  <c r="R535" i="1" s="1"/>
  <c r="R536" i="1" s="1"/>
  <c r="R537" i="1" s="1"/>
  <c r="R538" i="1" s="1"/>
  <c r="R539" i="1" s="1"/>
  <c r="R540" i="1" s="1"/>
  <c r="R541" i="1" s="1"/>
  <c r="R542" i="1" s="1"/>
  <c r="R543" i="1" s="1"/>
  <c r="R544" i="1" s="1"/>
  <c r="R545" i="1" s="1"/>
  <c r="R546" i="1" s="1"/>
  <c r="R547" i="1" s="1"/>
  <c r="R548" i="1" s="1"/>
  <c r="R549" i="1" s="1"/>
  <c r="R550" i="1" s="1"/>
  <c r="R551" i="1" s="1"/>
  <c r="R552" i="1" s="1"/>
  <c r="R553" i="1" s="1"/>
  <c r="R554" i="1" s="1"/>
  <c r="R555" i="1" s="1"/>
  <c r="R556" i="1" s="1"/>
  <c r="R557" i="1" s="1"/>
  <c r="R558" i="1" s="1"/>
  <c r="R559" i="1" s="1"/>
  <c r="R560" i="1" s="1"/>
  <c r="R561" i="1" s="1"/>
  <c r="R562" i="1" s="1"/>
  <c r="R563" i="1" s="1"/>
  <c r="R564" i="1" s="1"/>
  <c r="R565" i="1" s="1"/>
  <c r="R566" i="1" s="1"/>
  <c r="R567" i="1" s="1"/>
  <c r="R568" i="1" s="1"/>
  <c r="R569" i="1" s="1"/>
  <c r="R570" i="1" s="1"/>
  <c r="R571" i="1" s="1"/>
  <c r="R572" i="1" s="1"/>
  <c r="R573" i="1" s="1"/>
  <c r="R574" i="1" s="1"/>
  <c r="R575" i="1" s="1"/>
  <c r="R576" i="1" s="1"/>
  <c r="R577" i="1" s="1"/>
  <c r="R578" i="1" s="1"/>
  <c r="R579" i="1" s="1"/>
  <c r="R580" i="1" s="1"/>
  <c r="R581" i="1" s="1"/>
  <c r="R582" i="1" s="1"/>
  <c r="R583" i="1" s="1"/>
  <c r="R584" i="1" s="1"/>
  <c r="R585" i="1" s="1"/>
  <c r="R586" i="1" s="1"/>
  <c r="R587" i="1" s="1"/>
  <c r="R588" i="1" s="1"/>
  <c r="R589" i="1" s="1"/>
  <c r="R590" i="1" s="1"/>
  <c r="R591" i="1" s="1"/>
  <c r="R592" i="1" s="1"/>
  <c r="R593" i="1" s="1"/>
  <c r="R594" i="1" s="1"/>
  <c r="R595" i="1" s="1"/>
  <c r="R596" i="1" s="1"/>
  <c r="R597" i="1" s="1"/>
  <c r="R598" i="1" s="1"/>
  <c r="R599" i="1" s="1"/>
  <c r="R600" i="1" s="1"/>
  <c r="R601" i="1" s="1"/>
  <c r="R602" i="1" s="1"/>
  <c r="R603" i="1" s="1"/>
  <c r="R604" i="1" s="1"/>
  <c r="R605" i="1" s="1"/>
  <c r="R606" i="1" s="1"/>
  <c r="R607" i="1" s="1"/>
  <c r="R608" i="1" s="1"/>
  <c r="R609" i="1" s="1"/>
  <c r="R610" i="1" s="1"/>
  <c r="R611" i="1" s="1"/>
  <c r="R612" i="1" s="1"/>
  <c r="R613" i="1" s="1"/>
  <c r="R614" i="1" s="1"/>
  <c r="R615" i="1" s="1"/>
  <c r="R616" i="1" s="1"/>
  <c r="R617" i="1" s="1"/>
  <c r="R618" i="1" s="1"/>
  <c r="R619" i="1" s="1"/>
  <c r="R620" i="1" s="1"/>
  <c r="R621" i="1" s="1"/>
  <c r="R622" i="1" s="1"/>
  <c r="R623" i="1" s="1"/>
  <c r="R624" i="1" s="1"/>
  <c r="R625" i="1" s="1"/>
  <c r="R626" i="1" s="1"/>
  <c r="R627" i="1" s="1"/>
  <c r="R628" i="1" s="1"/>
  <c r="R376" i="1"/>
  <c r="R14" i="1"/>
  <c r="J16" i="1" l="1"/>
  <c r="O16" i="1" s="1"/>
  <c r="D11" i="2"/>
  <c r="D10" i="2"/>
  <c r="D9" i="2"/>
  <c r="D8" i="2"/>
  <c r="D7" i="2"/>
  <c r="D6" i="2"/>
</calcChain>
</file>

<file path=xl/sharedStrings.xml><?xml version="1.0" encoding="utf-8"?>
<sst xmlns="http://schemas.openxmlformats.org/spreadsheetml/2006/main" count="7155" uniqueCount="5186">
  <si>
    <t>fit</t>
  </si>
  <si>
    <t>Budget</t>
  </si>
  <si>
    <t>Variance</t>
  </si>
  <si>
    <t>Categories</t>
  </si>
  <si>
    <t>Hide</t>
  </si>
  <si>
    <t>Account Index</t>
  </si>
  <si>
    <t>Description</t>
  </si>
  <si>
    <t>Date</t>
  </si>
  <si>
    <t>CRDTAMNT</t>
  </si>
  <si>
    <t>Fit</t>
  </si>
  <si>
    <t>DEBITAMT</t>
  </si>
  <si>
    <t>Actual</t>
  </si>
  <si>
    <t>ACTUAL VS. BUDGET</t>
  </si>
  <si>
    <t>Start:</t>
  </si>
  <si>
    <t>End:</t>
  </si>
  <si>
    <t>Categories:</t>
  </si>
  <si>
    <t>Budget:</t>
  </si>
  <si>
    <t>Run Date:</t>
  </si>
  <si>
    <t>Option</t>
  </si>
  <si>
    <t>Title</t>
  </si>
  <si>
    <t>Value</t>
  </si>
  <si>
    <t>Lookup</t>
  </si>
  <si>
    <t>Credit Amount</t>
  </si>
  <si>
    <t>Debit Amount</t>
  </si>
  <si>
    <t>Vendor Name</t>
  </si>
  <si>
    <t>Transaction Description</t>
  </si>
  <si>
    <t>Transaction Date</t>
  </si>
  <si>
    <t xml:space="preserve">Report Readme </t>
  </si>
  <si>
    <t>About the report</t>
  </si>
  <si>
    <t>Modifying your report</t>
  </si>
  <si>
    <t>Version of Jet</t>
  </si>
  <si>
    <t>Services</t>
  </si>
  <si>
    <t>Training</t>
  </si>
  <si>
    <t>Sales</t>
  </si>
  <si>
    <t>DISCLAIMER</t>
  </si>
  <si>
    <t>Copyrights</t>
  </si>
  <si>
    <t>=NL("Lookup","Jet GL Account",{"Category Number","Category Description"},"Headers=",{"Category","Description"},"Category Number","&lt;&gt;''")</t>
  </si>
  <si>
    <t>=NL("Lookup","GL00200","BUDGETID","BUDGETID","&lt;&gt;''")</t>
  </si>
  <si>
    <t>=NP("Eval","=CategoryFilter")</t>
  </si>
  <si>
    <t>=NP("Eval","=BudgetFilter")</t>
  </si>
  <si>
    <t>=NP("Eval","=Today()")</t>
  </si>
  <si>
    <t>=GL("Rows=4","Categories",,,,$I$8)</t>
  </si>
  <si>
    <t>=GL(,"CatName",,,,$C12)</t>
  </si>
  <si>
    <t>=GL("Rows=3","Accounts",,,,$C12)</t>
  </si>
  <si>
    <t>=NL(,"Jet GL Account","Account Index","Account Number",$C13)</t>
  </si>
  <si>
    <t>="  "&amp;C13</t>
  </si>
  <si>
    <t>=GL(,"Name",$C13)</t>
  </si>
  <si>
    <t>=SUM(J14:J15)</t>
  </si>
  <si>
    <t>=GL(,"Budget",$C13,$I$6,$I$7)</t>
  </si>
  <si>
    <t>=NF($E14,K$2)</t>
  </si>
  <si>
    <t>=NF($E14,L$2)</t>
  </si>
  <si>
    <t>=IF(AND(F14="",G14=""),"",$F14-$G14)</t>
  </si>
  <si>
    <t>=NF($E14,O$2)</t>
  </si>
  <si>
    <t>Auto</t>
  </si>
  <si>
    <t>=IF(AND(F17="",G17=""),"",$F17-$G17)</t>
  </si>
  <si>
    <t>=IF(AND(F18="",G18=""),"",$F18-$G18)</t>
  </si>
  <si>
    <t>=IF(AND(F19="",G19=""),"",$F19-$G19)</t>
  </si>
  <si>
    <t>=IF(AND(F20="",G20=""),"",$F20-$G20)</t>
  </si>
  <si>
    <t>=IF(AND(F21="",G21=""),"",$F21-$G21)</t>
  </si>
  <si>
    <t>=IF(AND(F22="",G22=""),"",$F22-$G22)</t>
  </si>
  <si>
    <t>=IF(AND(F23="",G23=""),"",$F23-$G23)</t>
  </si>
  <si>
    <t>=IF(AND(F24="",G24=""),"",$F24-$G24)</t>
  </si>
  <si>
    <t>=IF(AND(F25="",G25=""),"",$F25-$G25)</t>
  </si>
  <si>
    <t>=IF(AND(F26="",G26=""),"",$F26-$G26)</t>
  </si>
  <si>
    <t>=IF(AND(F27="",G27=""),"",$F27-$G27)</t>
  </si>
  <si>
    <t>=IF(AND(F28="",G28=""),"",$F28-$G28)</t>
  </si>
  <si>
    <t>=IF(AND(F29="",G29=""),"",$F29-$G29)</t>
  </si>
  <si>
    <t>=IF(AND(F30="",G30=""),"",$F30-$G30)</t>
  </si>
  <si>
    <t>=IF(AND(F31="",G31=""),"",$F31-$G31)</t>
  </si>
  <si>
    <t>=IF(AND(F32="",G32=""),"",$F32-$G32)</t>
  </si>
  <si>
    <t>=IF(AND(F33="",G33=""),"",$F33-$G33)</t>
  </si>
  <si>
    <t>=IF(AND(F34="",G34=""),"",$F34-$G34)</t>
  </si>
  <si>
    <t>=IF(AND(F35="",G35=""),"",$F35-$G35)</t>
  </si>
  <si>
    <t>=IF(AND(F36="",G36=""),"",$F36-$G36)</t>
  </si>
  <si>
    <t>=IF(AND(F37="",G37=""),"",$F37-$G37)</t>
  </si>
  <si>
    <t>=IF(AND(F38="",G38=""),"",$F38-$G38)</t>
  </si>
  <si>
    <t>=IF(AND(F39="",G39=""),"",$F39-$G39)</t>
  </si>
  <si>
    <t>=IF(AND(F40="",G40=""),"",$F40-$G40)</t>
  </si>
  <si>
    <t>=IF(AND(F41="",G41=""),"",$F41-$G41)</t>
  </si>
  <si>
    <t>=IF(AND(F42="",G42=""),"",$F42-$G42)</t>
  </si>
  <si>
    <t>=IF(AND(F43="",G43=""),"",$F43-$G43)</t>
  </si>
  <si>
    <t>=IF(AND(F44="",G44=""),"",$F44-$G44)</t>
  </si>
  <si>
    <t>=IF(AND(F45="",G45=""),"",$F45-$G45)</t>
  </si>
  <si>
    <t>=IF(AND(F46="",G46=""),"",$F46-$G46)</t>
  </si>
  <si>
    <t>=IF(AND(F47="",G47=""),"",$F47-$G47)</t>
  </si>
  <si>
    <t>=IF(AND(F48="",G48=""),"",$F48-$G48)</t>
  </si>
  <si>
    <t>=IF(AND(F49="",G49=""),"",$F49-$G49)</t>
  </si>
  <si>
    <t>=IF(AND(F50="",G50=""),"",$F50-$G50)</t>
  </si>
  <si>
    <t>=IF(AND(F51="",G51=""),"",$F51-$G51)</t>
  </si>
  <si>
    <t>=IF(AND(F52="",G52=""),"",$F52-$G52)</t>
  </si>
  <si>
    <t>=IF(AND(F53="",G53=""),"",$F53-$G53)</t>
  </si>
  <si>
    <t>=IF(AND(F54="",G54=""),"",$F54-$G54)</t>
  </si>
  <si>
    <t>=IF(AND(F55="",G55=""),"",$F55-$G55)</t>
  </si>
  <si>
    <t>=IF(AND(F56="",G56=""),"",$F56-$G56)</t>
  </si>
  <si>
    <t>=IF(AND(F57="",G57=""),"",$F57-$G57)</t>
  </si>
  <si>
    <t>=IF(AND(F58="",G58=""),"",$F58-$G58)</t>
  </si>
  <si>
    <t>=IF(AND(F59="",G59=""),"",$F59-$G59)</t>
  </si>
  <si>
    <t>=IF(AND(F60="",G60=""),"",$F60-$G60)</t>
  </si>
  <si>
    <t>=IF(AND(F61="",G61=""),"",$F61-$G61)</t>
  </si>
  <si>
    <t>=IF(AND(F62="",G62=""),"",$F62-$G62)</t>
  </si>
  <si>
    <t>=IF(AND(F63="",G63=""),"",$F63-$G63)</t>
  </si>
  <si>
    <t>=IF(AND(F64="",G64=""),"",$F64-$G64)</t>
  </si>
  <si>
    <t>=IF(AND(F65="",G65=""),"",$F65-$G65)</t>
  </si>
  <si>
    <t>=IF(AND(F66="",G66=""),"",$F66-$G66)</t>
  </si>
  <si>
    <t>=IF(AND(F67="",G67=""),"",$F67-$G67)</t>
  </si>
  <si>
    <t>=IF(AND(F68="",G68=""),"",$F68-$G68)</t>
  </si>
  <si>
    <t>=IF(AND(F69="",G69=""),"",$F69-$G69)</t>
  </si>
  <si>
    <t>=IF(AND(F70="",G70=""),"",$F70-$G70)</t>
  </si>
  <si>
    <t>=IF(AND(F71="",G71=""),"",$F71-$G71)</t>
  </si>
  <si>
    <t>=IF(AND(F72="",G72=""),"",$F72-$G72)</t>
  </si>
  <si>
    <t>=IF(AND(F73="",G73=""),"",$F73-$G73)</t>
  </si>
  <si>
    <t>=IF(AND(F74="",G74=""),"",$F74-$G74)</t>
  </si>
  <si>
    <t>=IF(AND(F75="",G75=""),"",$F75-$G75)</t>
  </si>
  <si>
    <t>=IF(AND(F76="",G76=""),"",$F76-$G76)</t>
  </si>
  <si>
    <t>=IF(AND(F77="",G77=""),"",$F77-$G77)</t>
  </si>
  <si>
    <t>=IF(AND(F78="",G78=""),"",$F78-$G78)</t>
  </si>
  <si>
    <t>=IF(AND(F79="",G79=""),"",$F79-$G79)</t>
  </si>
  <si>
    <t>=IF(AND(F80="",G80=""),"",$F80-$G80)</t>
  </si>
  <si>
    <t>=IF(AND(F81="",G81=""),"",$F81-$G81)</t>
  </si>
  <si>
    <t>=IF(AND(F82="",G82=""),"",$F82-$G82)</t>
  </si>
  <si>
    <t>=IF(AND(F83="",G83=""),"",$F83-$G83)</t>
  </si>
  <si>
    <t>=IF(AND(F84="",G84=""),"",$F84-$G84)</t>
  </si>
  <si>
    <t>=IF(AND(F85="",G85=""),"",$F85-$G85)</t>
  </si>
  <si>
    <t>=IF(AND(F86="",G86=""),"",$F86-$G86)</t>
  </si>
  <si>
    <t>=IF(AND(F87="",G87=""),"",$F87-$G87)</t>
  </si>
  <si>
    <t>=IF(AND(F88="",G88=""),"",$F88-$G88)</t>
  </si>
  <si>
    <t>=IF(AND(F89="",G89=""),"",$F89-$G89)</t>
  </si>
  <si>
    <t>=IF(AND(F90="",G90=""),"",$F90-$G90)</t>
  </si>
  <si>
    <t>=IF(AND(F91="",G91=""),"",$F91-$G91)</t>
  </si>
  <si>
    <t>=IF(AND(F92="",G92=""),"",$F92-$G92)</t>
  </si>
  <si>
    <t>=IF(AND(F93="",G93=""),"",$F93-$G93)</t>
  </si>
  <si>
    <t>=IF(AND(F94="",G94=""),"",$F94-$G94)</t>
  </si>
  <si>
    <t>=IF(AND(F95="",G95=""),"",$F95-$G95)</t>
  </si>
  <si>
    <t>=IF(AND(F96="",G96=""),"",$F96-$G96)</t>
  </si>
  <si>
    <t>=IF(AND(F97="",G97=""),"",$F97-$G97)</t>
  </si>
  <si>
    <t>=IF(AND(F98="",G98=""),"",$F98-$G98)</t>
  </si>
  <si>
    <t>=IF(AND(F99="",G99=""),"",$F99-$G99)</t>
  </si>
  <si>
    <t>=IF(AND(F100="",G100=""),"",$F100-$G100)</t>
  </si>
  <si>
    <t>=IF(AND(F101="",G101=""),"",$F101-$G101)</t>
  </si>
  <si>
    <t>=IF(AND(F102="",G102=""),"",$F102-$G102)</t>
  </si>
  <si>
    <t>=IF(AND(F103="",G103=""),"",$F103-$G103)</t>
  </si>
  <si>
    <t>=IF(AND(F104="",G104=""),"",$F104-$G104)</t>
  </si>
  <si>
    <t>=IF(AND(F105="",G105=""),"",$F105-$G105)</t>
  </si>
  <si>
    <t>=IF(AND(F106="",G106=""),"",$F106-$G106)</t>
  </si>
  <si>
    <t>=IF(AND(F107="",G107=""),"",$F107-$G107)</t>
  </si>
  <si>
    <t>=IF(AND(F108="",G108=""),"",$F108-$G108)</t>
  </si>
  <si>
    <t>=IF(AND(F109="",G109=""),"",$F109-$G109)</t>
  </si>
  <si>
    <t>=IF(AND(F110="",G110=""),"",$F110-$G110)</t>
  </si>
  <si>
    <t>=IF(AND(F111="",G111=""),"",$F111-$G111)</t>
  </si>
  <si>
    <t>=IF(AND(F112="",G112=""),"",$F112-$G112)</t>
  </si>
  <si>
    <t>=IF(AND(F113="",G113=""),"",$F113-$G113)</t>
  </si>
  <si>
    <t>=IF(AND(F114="",G114=""),"",$F114-$G114)</t>
  </si>
  <si>
    <t>=IF(AND(F115="",G115=""),"",$F115-$G115)</t>
  </si>
  <si>
    <t>=IF(AND(F116="",G116=""),"",$F116-$G116)</t>
  </si>
  <si>
    <t>=IF(AND(F117="",G117=""),"",$F117-$G117)</t>
  </si>
  <si>
    <t>=IF(AND(F118="",G118=""),"",$F118-$G118)</t>
  </si>
  <si>
    <t>=IF(AND(F119="",G119=""),"",$F119-$G119)</t>
  </si>
  <si>
    <t>=IF(AND(F122="",G122=""),"",$F122-$G122)</t>
  </si>
  <si>
    <t>=IF(AND(F123="",G123=""),"",$F123-$G123)</t>
  </si>
  <si>
    <t>=IF(AND(F124="",G124=""),"",$F124-$G124)</t>
  </si>
  <si>
    <t>=IF(AND(F125="",G125=""),"",$F125-$G125)</t>
  </si>
  <si>
    <t>=IF(AND(F126="",G126=""),"",$F126-$G126)</t>
  </si>
  <si>
    <t>=IF(AND(F127="",G127=""),"",$F127-$G127)</t>
  </si>
  <si>
    <t>=IF(AND(F128="",G128=""),"",$F128-$G128)</t>
  </si>
  <si>
    <t>=IF(AND(F129="",G129=""),"",$F129-$G129)</t>
  </si>
  <si>
    <t>=IF(AND(F130="",G130=""),"",$F130-$G130)</t>
  </si>
  <si>
    <t>=IF(AND(F131="",G131=""),"",$F131-$G131)</t>
  </si>
  <si>
    <t>=IF(AND(F132="",G132=""),"",$F132-$G132)</t>
  </si>
  <si>
    <t>=IF(AND(F133="",G133=""),"",$F133-$G133)</t>
  </si>
  <si>
    <t>=IF(AND(F134="",G134=""),"",$F134-$G134)</t>
  </si>
  <si>
    <t>=IF(AND(F135="",G135=""),"",$F135-$G135)</t>
  </si>
  <si>
    <t>=IF(AND(F136="",G136=""),"",$F136-$G136)</t>
  </si>
  <si>
    <t>=IF(AND(F137="",G137=""),"",$F137-$G137)</t>
  </si>
  <si>
    <t>=IF(AND(F138="",G138=""),"",$F138-$G138)</t>
  </si>
  <si>
    <t>=IF(AND(F139="",G139=""),"",$F139-$G139)</t>
  </si>
  <si>
    <t>=IF(AND(F142="",G142=""),"",$F142-$G142)</t>
  </si>
  <si>
    <t>=IF(AND(F143="",G143=""),"",$F143-$G143)</t>
  </si>
  <si>
    <t>=IF(AND(F144="",G144=""),"",$F144-$G144)</t>
  </si>
  <si>
    <t>=IF(AND(F145="",G145=""),"",$F145-$G145)</t>
  </si>
  <si>
    <t>=IF(AND(F146="",G146=""),"",$F146-$G146)</t>
  </si>
  <si>
    <t>=IF(AND(F147="",G147=""),"",$F147-$G147)</t>
  </si>
  <si>
    <t>=NF($E150,K$2)</t>
  </si>
  <si>
    <t>=NF($E150,L$2)</t>
  </si>
  <si>
    <t>=IF(AND(F150="",G150=""),"",$F150-$G150)</t>
  </si>
  <si>
    <t>=NF($E150,O$2)</t>
  </si>
  <si>
    <t>=IF(AND(F153="",G153=""),"",$F153-$G153)</t>
  </si>
  <si>
    <t>=IF(AND(F154="",G154=""),"",$F154-$G154)</t>
  </si>
  <si>
    <t>=IF(AND(F155="",G155=""),"",$F155-$G155)</t>
  </si>
  <si>
    <t>=IF(AND(F156="",G156=""),"",$F156-$G156)</t>
  </si>
  <si>
    <t>=IF(AND(F159="",G159=""),"",$F159-$G159)</t>
  </si>
  <si>
    <t>=IF(AND(F162="",G162=""),"",$F162-$G162)</t>
  </si>
  <si>
    <t>=IF(AND(F168="",G168=""),"",$F168-$G168)</t>
  </si>
  <si>
    <t>=NF($E171,K$2)</t>
  </si>
  <si>
    <t>=NF($E171,L$2)</t>
  </si>
  <si>
    <t>=IF(AND(F171="",G171=""),"",$F171-$G171)</t>
  </si>
  <si>
    <t>=NF($E171,O$2)</t>
  </si>
  <si>
    <t>=NF($E174,K$2)</t>
  </si>
  <si>
    <t>=NF($E174,L$2)</t>
  </si>
  <si>
    <t>=IF(AND(F174="",G174=""),"",$F174-$G174)</t>
  </si>
  <si>
    <t>=NF($E174,O$2)</t>
  </si>
  <si>
    <t>=IF(AND(F177="",G177=""),"",$F177-$G177)</t>
  </si>
  <si>
    <t>=IF(AND(F180="",G180=""),"",$F180-$G180)</t>
  </si>
  <si>
    <t>=IF(AND(F183="",G183=""),"",$F183-$G183)</t>
  </si>
  <si>
    <t>=IF(AND(F184="",G184=""),"",$F184-$G184)</t>
  </si>
  <si>
    <t>=NF($E187,K$2)</t>
  </si>
  <si>
    <t>=NF($E187,L$2)</t>
  </si>
  <si>
    <t>=IF(AND(F187="",G187=""),"",$F187-$G187)</t>
  </si>
  <si>
    <t>=NF($E187,O$2)</t>
  </si>
  <si>
    <t>=IF(AND(F190="",G190=""),"",$F190-$G190)</t>
  </si>
  <si>
    <t>=IF(AND(F193="",G193=""),"",$F193-$G193)</t>
  </si>
  <si>
    <t>=IF(AND(F196="",G196=""),"",$F196-$G196)</t>
  </si>
  <si>
    <t>=IF(AND(F197="",G197=""),"",$F197-$G197)</t>
  </si>
  <si>
    <t>=IF(AND(F198="",G198=""),"",$F198-$G198)</t>
  </si>
  <si>
    <t>=IF(AND(F199="",G199=""),"",$F199-$G199)</t>
  </si>
  <si>
    <t>=IF(AND(F200="",G200=""),"",$F200-$G200)</t>
  </si>
  <si>
    <t>=IF(AND(F201="",G201=""),"",$F201-$G201)</t>
  </si>
  <si>
    <t>=IF(AND(F202="",G202=""),"",$F202-$G202)</t>
  </si>
  <si>
    <t>=IF(AND(F203="",G203=""),"",$F203-$G203)</t>
  </si>
  <si>
    <t>=IF(AND(F204="",G204=""),"",$F204-$G204)</t>
  </si>
  <si>
    <t>=IF(AND(F205="",G205=""),"",$F205-$G205)</t>
  </si>
  <si>
    <t>=IF(AND(F206="",G206=""),"",$F206-$G206)</t>
  </si>
  <si>
    <t>=IF(AND(F207="",G207=""),"",$F207-$G207)</t>
  </si>
  <si>
    <t>=IF(AND(F208="",G208=""),"",$F208-$G208)</t>
  </si>
  <si>
    <t>=IF(AND(F209="",G209=""),"",$F209-$G209)</t>
  </si>
  <si>
    <t>=IF(AND(F210="",G210=""),"",$F210-$G210)</t>
  </si>
  <si>
    <t>=IF(AND(F211="",G211=""),"",$F211-$G211)</t>
  </si>
  <si>
    <t>=IF(AND(F212="",G212=""),"",$F212-$G212)</t>
  </si>
  <si>
    <t>=IF(AND(F213="",G213=""),"",$F213-$G213)</t>
  </si>
  <si>
    <t>=NF($E216,K$2)</t>
  </si>
  <si>
    <t>=NF($E216,L$2)</t>
  </si>
  <si>
    <t>=IF(AND(F216="",G216=""),"",$F216-$G216)</t>
  </si>
  <si>
    <t>=NF($E216,O$2)</t>
  </si>
  <si>
    <t>=IF(AND(F219="",G219=""),"",$F219-$G219)</t>
  </si>
  <si>
    <t>=NF($E222,K$2)</t>
  </si>
  <si>
    <t>=NF($E222,L$2)</t>
  </si>
  <si>
    <t>=IF(AND(F222="",G222=""),"",$F222-$G222)</t>
  </si>
  <si>
    <t>=NF($E222,O$2)</t>
  </si>
  <si>
    <t>=NF($E225,K$2)</t>
  </si>
  <si>
    <t>=NF($E225,L$2)</t>
  </si>
  <si>
    <t>=IF(AND(F225="",G225=""),"",$F225-$G225)</t>
  </si>
  <si>
    <t>=NF($E225,O$2)</t>
  </si>
  <si>
    <t>=NF($E228,K$2)</t>
  </si>
  <si>
    <t>=NF($E228,L$2)</t>
  </si>
  <si>
    <t>=IF(AND(F228="",G228=""),"",$F228-$G228)</t>
  </si>
  <si>
    <t>=NF($E228,O$2)</t>
  </si>
  <si>
    <t>=NF($E231,K$2)</t>
  </si>
  <si>
    <t>=NF($E231,L$2)</t>
  </si>
  <si>
    <t>=IF(AND(F231="",G231=""),"",$F231-$G231)</t>
  </si>
  <si>
    <t>=NF($E231,O$2)</t>
  </si>
  <si>
    <t>=IF(AND(F234="",G234=""),"",$F234-$G234)</t>
  </si>
  <si>
    <t>=IF(AND(F235="",G235=""),"",$F235-$G235)</t>
  </si>
  <si>
    <t>=IF(AND(F236="",G236=""),"",$F236-$G236)</t>
  </si>
  <si>
    <t>=IF(AND(F237="",G237=""),"",$F237-$G237)</t>
  </si>
  <si>
    <t>=IF(AND(F238="",G238=""),"",$F238-$G238)</t>
  </si>
  <si>
    <t>=IF(AND(F239="",G239=""),"",$F239-$G239)</t>
  </si>
  <si>
    <t>=IF(AND(F240="",G240=""),"",$F240-$G240)</t>
  </si>
  <si>
    <t>=IF(AND(F241="",G241=""),"",$F241-$G241)</t>
  </si>
  <si>
    <t>=IF(AND(F242="",G242=""),"",$F242-$G242)</t>
  </si>
  <si>
    <t>=IF(AND(F243="",G243=""),"",$F243-$G243)</t>
  </si>
  <si>
    <t>=IF(AND(F244="",G244=""),"",$F244-$G244)</t>
  </si>
  <si>
    <t>=IF(AND(F245="",G245=""),"",$F245-$G245)</t>
  </si>
  <si>
    <t>=IF(AND(F246="",G246=""),"",$F246-$G246)</t>
  </si>
  <si>
    <t>=IF(AND(F247="",G247=""),"",$F247-$G247)</t>
  </si>
  <si>
    <t>=IF(AND(F248="",G248=""),"",$F248-$G248)</t>
  </si>
  <si>
    <t>=IF(AND(F249="",G249=""),"",$F249-$G249)</t>
  </si>
  <si>
    <t>=IF(AND(F250="",G250=""),"",$F250-$G250)</t>
  </si>
  <si>
    <t>=IF(AND(F251="",G251=""),"",$F251-$G251)</t>
  </si>
  <si>
    <t>=IF(AND(F252="",G252=""),"",$F252-$G252)</t>
  </si>
  <si>
    <t>=IF(AND(F253="",G253=""),"",$F253-$G253)</t>
  </si>
  <si>
    <t>=IF(AND(F254="",G254=""),"",$F254-$G254)</t>
  </si>
  <si>
    <t>=IF(AND(F255="",G255=""),"",$F255-$G255)</t>
  </si>
  <si>
    <t>=IF(AND(F256="",G256=""),"",$F256-$G256)</t>
  </si>
  <si>
    <t>=IF(AND(F257="",G257=""),"",$F257-$G257)</t>
  </si>
  <si>
    <t>=IF(AND(F258="",G258=""),"",$F258-$G258)</t>
  </si>
  <si>
    <t>=IF(AND(F259="",G259=""),"",$F259-$G259)</t>
  </si>
  <si>
    <t>=IF(AND(F262="",G262=""),"",$F262-$G262)</t>
  </si>
  <si>
    <t>=IF(AND(F263="",G263=""),"",$F263-$G263)</t>
  </si>
  <si>
    <t>=IF(AND(F266="",G266=""),"",$F266-$G266)</t>
  </si>
  <si>
    <t>=NF($E269,K$2)</t>
  </si>
  <si>
    <t>=NF($E269,L$2)</t>
  </si>
  <si>
    <t>=IF(AND(F269="",G269=""),"",$F269-$G269)</t>
  </si>
  <si>
    <t>=NF($E269,O$2)</t>
  </si>
  <si>
    <t>=IF(AND(F273="",G273=""),"",$F273-$G273)</t>
  </si>
  <si>
    <t>=NF($E276,K$2)</t>
  </si>
  <si>
    <t>=NF($E276,L$2)</t>
  </si>
  <si>
    <t>=IF(AND(F276="",G276=""),"",$F276-$G276)</t>
  </si>
  <si>
    <t>=NF($E276,O$2)</t>
  </si>
  <si>
    <t>=NF($E279,K$2)</t>
  </si>
  <si>
    <t>=NF($E279,L$2)</t>
  </si>
  <si>
    <t>=IF(AND(F279="",G279=""),"",$F279-$G279)</t>
  </si>
  <si>
    <t>=NF($E279,O$2)</t>
  </si>
  <si>
    <t>=NF($E285,K$2)</t>
  </si>
  <si>
    <t>=NF($E285,L$2)</t>
  </si>
  <si>
    <t>=IF(AND(F285="",G285=""),"",$F285-$G285)</t>
  </si>
  <si>
    <t>=NF($E285,O$2)</t>
  </si>
  <si>
    <t>=IF(AND(F289="",G289=""),"",$F289-$G289)</t>
  </si>
  <si>
    <t>=IF(AND(F290="",G290=""),"",$F290-$G290)</t>
  </si>
  <si>
    <t>=IF(AND(F291="",G291=""),"",$F291-$G291)</t>
  </si>
  <si>
    <t>=IF(AND(F294="",G294=""),"",$F294-$G294)</t>
  </si>
  <si>
    <t>=IF(AND(F295="",G295=""),"",$F295-$G295)</t>
  </si>
  <si>
    <t>=IF(AND(F296="",G296=""),"",$F296-$G296)</t>
  </si>
  <si>
    <t>=IF(AND(F297="",G297=""),"",$F297-$G297)</t>
  </si>
  <si>
    <t>=IF(AND(F298="",G298=""),"",$F298-$G298)</t>
  </si>
  <si>
    <t>=IF(AND(F299="",G299=""),"",$F299-$G299)</t>
  </si>
  <si>
    <t>=IF(AND(F300="",G300=""),"",$F300-$G300)</t>
  </si>
  <si>
    <t>=IF(AND(F301="",G301=""),"",$F301-$G301)</t>
  </si>
  <si>
    <t>=IF(AND(F302="",G302=""),"",$F302-$G302)</t>
  </si>
  <si>
    <t>=IF(AND(F303="",G303=""),"",$F303-$G303)</t>
  </si>
  <si>
    <t>=IF(AND(F304="",G304=""),"",$F304-$G304)</t>
  </si>
  <si>
    <t>=IF(AND(F305="",G305=""),"",$F305-$G305)</t>
  </si>
  <si>
    <t>=IF(AND(F306="",G306=""),"",$F306-$G306)</t>
  </si>
  <si>
    <t>=IF(AND(F307="",G307=""),"",$F307-$G307)</t>
  </si>
  <si>
    <t>=IF(AND(F308="",G308=""),"",$F308-$G308)</t>
  </si>
  <si>
    <t>=IF(AND(F309="",G309=""),"",$F309-$G309)</t>
  </si>
  <si>
    <t>=IF(AND(F310="",G310=""),"",$F310-$G310)</t>
  </si>
  <si>
    <t>=IF(AND(F311="",G311=""),"",$F311-$G311)</t>
  </si>
  <si>
    <t>=IF(AND(F312="",G312=""),"",$F312-$G312)</t>
  </si>
  <si>
    <t>=IF(AND(F313="",G313=""),"",$F313-$G313)</t>
  </si>
  <si>
    <t>=IF(AND(F314="",G314=""),"",$F314-$G314)</t>
  </si>
  <si>
    <t>=IF(AND(F315="",G315=""),"",$F315-$G315)</t>
  </si>
  <si>
    <t>=IF(AND(F316="",G316=""),"",$F316-$G316)</t>
  </si>
  <si>
    <t>=IF(AND(F317="",G317=""),"",$F317-$G317)</t>
  </si>
  <si>
    <t>=IF(AND(F318="",G318=""),"",$F318-$G318)</t>
  </si>
  <si>
    <t>=IF(AND(F319="",G319=""),"",$F319-$G319)</t>
  </si>
  <si>
    <t>=IF(AND(F320="",G320=""),"",$F320-$G320)</t>
  </si>
  <si>
    <t>=IF(AND(F321="",G321=""),"",$F321-$G321)</t>
  </si>
  <si>
    <t>=IF(AND(F322="",G322=""),"",$F322-$G322)</t>
  </si>
  <si>
    <t>=IF(AND(F323="",G323=""),"",$F323-$G323)</t>
  </si>
  <si>
    <t>=IF(AND(F324="",G324=""),"",$F324-$G324)</t>
  </si>
  <si>
    <t>=IF(AND(F325="",G325=""),"",$F325-$G325)</t>
  </si>
  <si>
    <t>=IF(AND(F326="",G326=""),"",$F326-$G326)</t>
  </si>
  <si>
    <t>=IF(AND(F327="",G327=""),"",$F327-$G327)</t>
  </si>
  <si>
    <t>=IF(AND(F328="",G328=""),"",$F328-$G328)</t>
  </si>
  <si>
    <t>=IF(AND(F329="",G329=""),"",$F329-$G329)</t>
  </si>
  <si>
    <t>=IF(AND(F332="",G332=""),"",$F332-$G332)</t>
  </si>
  <si>
    <t>=IF(AND(F335="",G335=""),"",$F335-$G335)</t>
  </si>
  <si>
    <t>=IF(AND(F336="",G336=""),"",$F336-$G336)</t>
  </si>
  <si>
    <t>=NF($E339,K$2)</t>
  </si>
  <si>
    <t>=NF($E339,L$2)</t>
  </si>
  <si>
    <t>=IF(AND(F339="",G339=""),"",$F339-$G339)</t>
  </si>
  <si>
    <t>=NF($E339,O$2)</t>
  </si>
  <si>
    <t>=NF($E342,K$2)</t>
  </si>
  <si>
    <t>=NF($E342,L$2)</t>
  </si>
  <si>
    <t>=IF(AND(F342="",G342=""),"",$F342-$G342)</t>
  </si>
  <si>
    <t>=NF($E342,O$2)</t>
  </si>
  <si>
    <t>=NF($E345,K$2)</t>
  </si>
  <si>
    <t>=NF($E345,L$2)</t>
  </si>
  <si>
    <t>=IF(AND(F345="",G345=""),"",$F345-$G345)</t>
  </si>
  <si>
    <t>=NF($E345,O$2)</t>
  </si>
  <si>
    <t>=NF($E348,K$2)</t>
  </si>
  <si>
    <t>=NF($E348,L$2)</t>
  </si>
  <si>
    <t>=IF(AND(F348="",G348=""),"",$F348-$G348)</t>
  </si>
  <si>
    <t>=NF($E348,O$2)</t>
  </si>
  <si>
    <t>=NF($E351,K$2)</t>
  </si>
  <si>
    <t>=NF($E351,L$2)</t>
  </si>
  <si>
    <t>=IF(AND(F351="",G351=""),"",$F351-$G351)</t>
  </si>
  <si>
    <t>=NF($E351,O$2)</t>
  </si>
  <si>
    <t>=NF($E354,K$2)</t>
  </si>
  <si>
    <t>=NF($E354,L$2)</t>
  </si>
  <si>
    <t>=IF(AND(F354="",G354=""),"",$F354-$G354)</t>
  </si>
  <si>
    <t>=NF($E354,O$2)</t>
  </si>
  <si>
    <t>=NF($E357,K$2)</t>
  </si>
  <si>
    <t>=NF($E357,L$2)</t>
  </si>
  <si>
    <t>=IF(AND(F357="",G357=""),"",$F357-$G357)</t>
  </si>
  <si>
    <t>=NF($E357,O$2)</t>
  </si>
  <si>
    <t>=NF($E360,K$2)</t>
  </si>
  <si>
    <t>=NF($E360,L$2)</t>
  </si>
  <si>
    <t>=IF(AND(F360="",G360=""),"",$F360-$G360)</t>
  </si>
  <si>
    <t>=NF($E360,O$2)</t>
  </si>
  <si>
    <t>=NF($E363,K$2)</t>
  </si>
  <si>
    <t>=NF($E363,L$2)</t>
  </si>
  <si>
    <t>=IF(AND(F363="",G363=""),"",$F363-$G363)</t>
  </si>
  <si>
    <t>=NF($E363,O$2)</t>
  </si>
  <si>
    <t>=NF($E366,K$2)</t>
  </si>
  <si>
    <t>=NF($E366,L$2)</t>
  </si>
  <si>
    <t>=IF(AND(F366="",G366=""),"",$F366-$G366)</t>
  </si>
  <si>
    <t>=NF($E366,O$2)</t>
  </si>
  <si>
    <t>=NF($E369,K$2)</t>
  </si>
  <si>
    <t>=NF($E369,L$2)</t>
  </si>
  <si>
    <t>=IF(AND(F369="",G369=""),"",$F369-$G369)</t>
  </si>
  <si>
    <t>=NF($E369,O$2)</t>
  </si>
  <si>
    <t>=NF($E372,K$2)</t>
  </si>
  <si>
    <t>=NF($E372,L$2)</t>
  </si>
  <si>
    <t>=IF(AND(F372="",G372=""),"",$F372-$G372)</t>
  </si>
  <si>
    <t>=NF($E372,O$2)</t>
  </si>
  <si>
    <t>=IF(AND(F376="",G376=""),"",$F376-$G376)</t>
  </si>
  <si>
    <t>=IF(AND(F377="",G377=""),"",$F377-$G377)</t>
  </si>
  <si>
    <t>=IF(AND(F378="",G378=""),"",$F378-$G378)</t>
  </si>
  <si>
    <t>=IF(AND(F379="",G379=""),"",$F379-$G379)</t>
  </si>
  <si>
    <t>=IF(AND(F380="",G380=""),"",$F380-$G380)</t>
  </si>
  <si>
    <t>=IF(AND(F381="",G381=""),"",$F381-$G381)</t>
  </si>
  <si>
    <t>=NF($E384,K$2)</t>
  </si>
  <si>
    <t>=NF($E384,L$2)</t>
  </si>
  <si>
    <t>=IF(AND(F384="",G384=""),"",$F384-$G384)</t>
  </si>
  <si>
    <t>=NF($E384,O$2)</t>
  </si>
  <si>
    <t>=NF($E387,K$2)</t>
  </si>
  <si>
    <t>=NF($E387,L$2)</t>
  </si>
  <si>
    <t>=IF(AND(F387="",G387=""),"",$F387-$G387)</t>
  </si>
  <si>
    <t>=NF($E387,O$2)</t>
  </si>
  <si>
    <t>=IF(AND(F390="",G390=""),"",$F390-$G390)</t>
  </si>
  <si>
    <t>=IF(AND(F391="",G391=""),"",$F391-$G391)</t>
  </si>
  <si>
    <t>=IF(AND(F392="",G392=""),"",$F392-$G392)</t>
  </si>
  <si>
    <t>=IF(AND(F393="",G393=""),"",$F393-$G393)</t>
  </si>
  <si>
    <t>=IF(AND(F394="",G394=""),"",$F394-$G394)</t>
  </si>
  <si>
    <t>=IF(AND(F395="",G395=""),"",$F395-$G395)</t>
  </si>
  <si>
    <t>=IF(AND(F396="",G396=""),"",$F396-$G396)</t>
  </si>
  <si>
    <t>=IF(AND(F397="",G397=""),"",$F397-$G397)</t>
  </si>
  <si>
    <t>=IF(AND(F398="",G398=""),"",$F398-$G398)</t>
  </si>
  <si>
    <t>=IF(AND(F399="",G399=""),"",$F399-$G399)</t>
  </si>
  <si>
    <t>=IF(AND(F400="",G400=""),"",$F400-$G400)</t>
  </si>
  <si>
    <t>=IF(AND(F401="",G401=""),"",$F401-$G401)</t>
  </si>
  <si>
    <t>=IF(AND(F402="",G402=""),"",$F402-$G402)</t>
  </si>
  <si>
    <t>=IF(AND(F403="",G403=""),"",$F403-$G403)</t>
  </si>
  <si>
    <t>=IF(AND(F404="",G404=""),"",$F404-$G404)</t>
  </si>
  <si>
    <t>=IF(AND(F405="",G405=""),"",$F405-$G405)</t>
  </si>
  <si>
    <t>=IF(AND(F406="",G406=""),"",$F406-$G406)</t>
  </si>
  <si>
    <t>=IF(AND(F407="",G407=""),"",$F407-$G407)</t>
  </si>
  <si>
    <t>=NF($E410,K$2)</t>
  </si>
  <si>
    <t>=NF($E410,L$2)</t>
  </si>
  <si>
    <t>=IF(AND(F410="",G410=""),"",$F410-$G410)</t>
  </si>
  <si>
    <t>=NF($E410,O$2)</t>
  </si>
  <si>
    <t>=NF($E413,K$2)</t>
  </si>
  <si>
    <t>=NF($E413,L$2)</t>
  </si>
  <si>
    <t>=IF(AND(F413="",G413=""),"",$F413-$G413)</t>
  </si>
  <si>
    <t>=NF($E413,O$2)</t>
  </si>
  <si>
    <t>=IF(AND(F416="",G416=""),"",$F416-$G416)</t>
  </si>
  <si>
    <t>=IF(AND(F417="",G417=""),"",$F417-$G417)</t>
  </si>
  <si>
    <t>=IF(AND(F418="",G418=""),"",$F418-$G418)</t>
  </si>
  <si>
    <t>=IF(AND(F419="",G419=""),"",$F419-$G419)</t>
  </si>
  <si>
    <t>=IF(AND(F420="",G420=""),"",$F420-$G420)</t>
  </si>
  <si>
    <t>=IF(AND(F421="",G421=""),"",$F421-$G421)</t>
  </si>
  <si>
    <t>=IF(AND(F422="",G422=""),"",$F422-$G422)</t>
  </si>
  <si>
    <t>=IF(AND(F423="",G423=""),"",$F423-$G423)</t>
  </si>
  <si>
    <t>=IF(AND(F424="",G424=""),"",$F424-$G424)</t>
  </si>
  <si>
    <t>=IF(AND(F425="",G425=""),"",$F425-$G425)</t>
  </si>
  <si>
    <t>=IF(AND(F426="",G426=""),"",$F426-$G426)</t>
  </si>
  <si>
    <t>=IF(AND(F427="",G427=""),"",$F427-$G427)</t>
  </si>
  <si>
    <t>=IF(AND(F428="",G428=""),"",$F428-$G428)</t>
  </si>
  <si>
    <t>=IF(AND(F429="",G429=""),"",$F429-$G429)</t>
  </si>
  <si>
    <t>=IF(AND(F430="",G430=""),"",$F430-$G430)</t>
  </si>
  <si>
    <t>=IF(AND(F431="",G431=""),"",$F431-$G431)</t>
  </si>
  <si>
    <t>=IF(AND(F432="",G432=""),"",$F432-$G432)</t>
  </si>
  <si>
    <t>=IF(AND(F433="",G433=""),"",$F433-$G433)</t>
  </si>
  <si>
    <t>=IF(AND(F434="",G434=""),"",$F434-$G434)</t>
  </si>
  <si>
    <t>=IF(AND(F435="",G435=""),"",$F435-$G435)</t>
  </si>
  <si>
    <t>=IF(AND(F436="",G436=""),"",$F436-$G436)</t>
  </si>
  <si>
    <t>=IF(AND(F437="",G437=""),"",$F437-$G437)</t>
  </si>
  <si>
    <t>=IF(AND(F438="",G438=""),"",$F438-$G438)</t>
  </si>
  <si>
    <t>=IF(AND(F439="",G439=""),"",$F439-$G439)</t>
  </si>
  <si>
    <t>=IF(AND(F440="",G440=""),"",$F440-$G440)</t>
  </si>
  <si>
    <t>=IF(AND(F441="",G441=""),"",$F441-$G441)</t>
  </si>
  <si>
    <t>=IF(AND(F442="",G442=""),"",$F442-$G442)</t>
  </si>
  <si>
    <t>=IF(AND(F443="",G443=""),"",$F443-$G443)</t>
  </si>
  <si>
    <t>=IF(AND(F444="",G444=""),"",$F444-$G444)</t>
  </si>
  <si>
    <t>=IF(AND(F445="",G445=""),"",$F445-$G445)</t>
  </si>
  <si>
    <t>=IF(AND(F446="",G446=""),"",$F446-$G446)</t>
  </si>
  <si>
    <t>=IF(AND(F447="",G447=""),"",$F447-$G447)</t>
  </si>
  <si>
    <t>=IF(AND(F448="",G448=""),"",$F448-$G448)</t>
  </si>
  <si>
    <t>=IF(AND(F449="",G449=""),"",$F449-$G449)</t>
  </si>
  <si>
    <t>=IF(AND(F450="",G450=""),"",$F450-$G450)</t>
  </si>
  <si>
    <t>=IF(AND(F451="",G451=""),"",$F451-$G451)</t>
  </si>
  <si>
    <t>=IF(AND(F452="",G452=""),"",$F452-$G452)</t>
  </si>
  <si>
    <t>=NF($E455,K$2)</t>
  </si>
  <si>
    <t>=NF($E455,L$2)</t>
  </si>
  <si>
    <t>=IF(AND(F455="",G455=""),"",$F455-$G455)</t>
  </si>
  <si>
    <t>=NF($E455,O$2)</t>
  </si>
  <si>
    <t>=NF($E458,K$2)</t>
  </si>
  <si>
    <t>=NF($E458,L$2)</t>
  </si>
  <si>
    <t>=IF(AND(F458="",G458=""),"",$F458-$G458)</t>
  </si>
  <si>
    <t>=NF($E458,O$2)</t>
  </si>
  <si>
    <t>=IF(AND(F462="",G462=""),"",$F462-$G462)</t>
  </si>
  <si>
    <t>=IF(AND(F463="",G463=""),"",$F463-$G463)</t>
  </si>
  <si>
    <t>=IF(AND(F464="",G464=""),"",$F464-$G464)</t>
  </si>
  <si>
    <t>=IF(AND(F465="",G465=""),"",$F465-$G465)</t>
  </si>
  <si>
    <t>=IF(AND(F466="",G466=""),"",$F466-$G466)</t>
  </si>
  <si>
    <t>=IF(AND(F467="",G467=""),"",$F467-$G467)</t>
  </si>
  <si>
    <t>=IF(AND(F468="",G468=""),"",$F468-$G468)</t>
  </si>
  <si>
    <t>=IF(AND(F469="",G469=""),"",$F469-$G469)</t>
  </si>
  <si>
    <t>=IF(AND(F470="",G470=""),"",$F470-$G470)</t>
  </si>
  <si>
    <t>=IF(AND(F471="",G471=""),"",$F471-$G471)</t>
  </si>
  <si>
    <t>=IF(AND(F472="",G472=""),"",$F472-$G472)</t>
  </si>
  <si>
    <t>=IF(AND(F473="",G473=""),"",$F473-$G473)</t>
  </si>
  <si>
    <t>=IF(AND(F474="",G474=""),"",$F474-$G474)</t>
  </si>
  <si>
    <t>=IF(AND(F475="",G475=""),"",$F475-$G475)</t>
  </si>
  <si>
    <t>=IF(AND(F476="",G476=""),"",$F476-$G476)</t>
  </si>
  <si>
    <t>=IF(AND(F477="",G477=""),"",$F477-$G477)</t>
  </si>
  <si>
    <t>=IF(AND(F478="",G478=""),"",$F478-$G478)</t>
  </si>
  <si>
    <t>=IF(AND(F479="",G479=""),"",$F479-$G479)</t>
  </si>
  <si>
    <t>=IF(AND(F480="",G480=""),"",$F480-$G480)</t>
  </si>
  <si>
    <t>=IF(AND(F481="",G481=""),"",$F481-$G481)</t>
  </si>
  <si>
    <t>=IF(AND(F482="",G482=""),"",$F482-$G482)</t>
  </si>
  <si>
    <t>=IF(AND(F483="",G483=""),"",$F483-$G483)</t>
  </si>
  <si>
    <t>=IF(AND(F484="",G484=""),"",$F484-$G484)</t>
  </si>
  <si>
    <t>=IF(AND(F485="",G485=""),"",$F485-$G485)</t>
  </si>
  <si>
    <t>=IF(AND(F486="",G486=""),"",$F486-$G486)</t>
  </si>
  <si>
    <t>=IF(AND(F487="",G487=""),"",$F487-$G487)</t>
  </si>
  <si>
    <t>=IF(AND(F488="",G488=""),"",$F488-$G488)</t>
  </si>
  <si>
    <t>=IF(AND(F489="",G489=""),"",$F489-$G489)</t>
  </si>
  <si>
    <t>=IF(AND(F490="",G490=""),"",$F490-$G490)</t>
  </si>
  <si>
    <t>=IF(AND(F491="",G491=""),"",$F491-$G491)</t>
  </si>
  <si>
    <t>=IF(AND(F492="",G492=""),"",$F492-$G492)</t>
  </si>
  <si>
    <t>=IF(AND(F493="",G493=""),"",$F493-$G493)</t>
  </si>
  <si>
    <t>=IF(AND(F494="",G494=""),"",$F494-$G494)</t>
  </si>
  <si>
    <t>=IF(AND(F495="",G495=""),"",$F495-$G495)</t>
  </si>
  <si>
    <t>=IF(AND(F496="",G496=""),"",$F496-$G496)</t>
  </si>
  <si>
    <t>=IF(AND(F497="",G497=""),"",$F497-$G497)</t>
  </si>
  <si>
    <t>=IF(AND(F498="",G498=""),"",$F498-$G498)</t>
  </si>
  <si>
    <t>=IF(AND(F499="",G499=""),"",$F499-$G499)</t>
  </si>
  <si>
    <t>=IF(AND(F500="",G500=""),"",$F500-$G500)</t>
  </si>
  <si>
    <t>=IF(AND(F501="",G501=""),"",$F501-$G501)</t>
  </si>
  <si>
    <t>=IF(AND(F502="",G502=""),"",$F502-$G502)</t>
  </si>
  <si>
    <t>=IF(AND(F503="",G503=""),"",$F503-$G503)</t>
  </si>
  <si>
    <t>=IF(AND(F504="",G504=""),"",$F504-$G504)</t>
  </si>
  <si>
    <t>=IF(AND(F505="",G505=""),"",$F505-$G505)</t>
  </si>
  <si>
    <t>=IF(AND(F506="",G506=""),"",$F506-$G506)</t>
  </si>
  <si>
    <t>=IF(AND(F507="",G507=""),"",$F507-$G507)</t>
  </si>
  <si>
    <t>=IF(AND(F508="",G508=""),"",$F508-$G508)</t>
  </si>
  <si>
    <t>=IF(AND(F509="",G509=""),"",$F509-$G509)</t>
  </si>
  <si>
    <t>=IF(AND(F510="",G510=""),"",$F510-$G510)</t>
  </si>
  <si>
    <t>=IF(AND(F511="",G511=""),"",$F511-$G511)</t>
  </si>
  <si>
    <t>=IF(AND(F512="",G512=""),"",$F512-$G512)</t>
  </si>
  <si>
    <t>=IF(AND(F513="",G513=""),"",$F513-$G513)</t>
  </si>
  <si>
    <t>=IF(AND(F514="",G514=""),"",$F514-$G514)</t>
  </si>
  <si>
    <t>=IF(AND(F515="",G515=""),"",$F515-$G515)</t>
  </si>
  <si>
    <t>=IF(AND(F516="",G516=""),"",$F516-$G516)</t>
  </si>
  <si>
    <t>=IF(AND(F517="",G517=""),"",$F517-$G517)</t>
  </si>
  <si>
    <t>=IF(AND(F518="",G518=""),"",$F518-$G518)</t>
  </si>
  <si>
    <t>=IF(AND(F519="",G519=""),"",$F519-$G519)</t>
  </si>
  <si>
    <t>=IF(AND(F520="",G520=""),"",$F520-$G520)</t>
  </si>
  <si>
    <t>=IF(AND(F521="",G521=""),"",$F521-$G521)</t>
  </si>
  <si>
    <t>=IF(AND(F522="",G522=""),"",$F522-$G522)</t>
  </si>
  <si>
    <t>=IF(AND(F523="",G523=""),"",$F523-$G523)</t>
  </si>
  <si>
    <t>=IF(AND(F524="",G524=""),"",$F524-$G524)</t>
  </si>
  <si>
    <t>=IF(AND(F525="",G525=""),"",$F525-$G525)</t>
  </si>
  <si>
    <t>=IF(AND(F526="",G526=""),"",$F526-$G526)</t>
  </si>
  <si>
    <t>=IF(AND(F529="",G529=""),"",$F529-$G529)</t>
  </si>
  <si>
    <t>=IF(AND(F532="",G532=""),"",$F532-$G532)</t>
  </si>
  <si>
    <t>=IF(AND(F533="",G533=""),"",$F533-$G533)</t>
  </si>
  <si>
    <t>=IF(AND(F534="",G534=""),"",$F534-$G534)</t>
  </si>
  <si>
    <t>=IF(AND(F535="",G535=""),"",$F535-$G535)</t>
  </si>
  <si>
    <t>=IF(AND(F536="",G536=""),"",$F536-$G536)</t>
  </si>
  <si>
    <t>=IF(AND(F537="",G537=""),"",$F537-$G537)</t>
  </si>
  <si>
    <t>=IF(AND(F538="",G538=""),"",$F538-$G538)</t>
  </si>
  <si>
    <t>=IF(AND(F539="",G539=""),"",$F539-$G539)</t>
  </si>
  <si>
    <t>=IF(AND(F540="",G540=""),"",$F540-$G540)</t>
  </si>
  <si>
    <t>=IF(AND(F541="",G541=""),"",$F541-$G541)</t>
  </si>
  <si>
    <t>=IF(AND(F542="",G542=""),"",$F542-$G542)</t>
  </si>
  <si>
    <t>=IF(AND(F543="",G543=""),"",$F543-$G543)</t>
  </si>
  <si>
    <t>=IF(AND(F544="",G544=""),"",$F544-$G544)</t>
  </si>
  <si>
    <t>=IF(AND(F545="",G545=""),"",$F545-$G545)</t>
  </si>
  <si>
    <t>=IF(AND(F546="",G546=""),"",$F546-$G546)</t>
  </si>
  <si>
    <t>=IF(AND(F547="",G547=""),"",$F547-$G547)</t>
  </si>
  <si>
    <t>=IF(AND(F548="",G548=""),"",$F548-$G548)</t>
  </si>
  <si>
    <t>=IF(AND(F549="",G549=""),"",$F549-$G549)</t>
  </si>
  <si>
    <t>=IF(AND(F550="",G550=""),"",$F550-$G550)</t>
  </si>
  <si>
    <t>=IF(AND(F551="",G551=""),"",$F551-$G551)</t>
  </si>
  <si>
    <t>=IF(AND(F552="",G552=""),"",$F552-$G552)</t>
  </si>
  <si>
    <t>=IF(AND(F553="",G553=""),"",$F553-$G553)</t>
  </si>
  <si>
    <t>=IF(AND(F554="",G554=""),"",$F554-$G554)</t>
  </si>
  <si>
    <t>=IF(AND(F555="",G555=""),"",$F555-$G555)</t>
  </si>
  <si>
    <t>=IF(AND(F556="",G556=""),"",$F556-$G556)</t>
  </si>
  <si>
    <t>=IF(AND(F557="",G557=""),"",$F557-$G557)</t>
  </si>
  <si>
    <t>=IF(AND(F558="",G558=""),"",$F558-$G558)</t>
  </si>
  <si>
    <t>=IF(AND(F559="",G559=""),"",$F559-$G559)</t>
  </si>
  <si>
    <t>=IF(AND(F560="",G560=""),"",$F560-$G560)</t>
  </si>
  <si>
    <t>=IF(AND(F561="",G561=""),"",$F561-$G561)</t>
  </si>
  <si>
    <t>=IF(AND(F562="",G562=""),"",$F562-$G562)</t>
  </si>
  <si>
    <t>=IF(AND(F563="",G563=""),"",$F563-$G563)</t>
  </si>
  <si>
    <t>=IF(AND(F564="",G564=""),"",$F564-$G564)</t>
  </si>
  <si>
    <t>=IF(AND(F565="",G565=""),"",$F565-$G565)</t>
  </si>
  <si>
    <t>=IF(AND(F568="",G568=""),"",$F568-$G568)</t>
  </si>
  <si>
    <t>=IF(AND(F572="",G572=""),"",$F572-$G572)</t>
  </si>
  <si>
    <t>=IF(AND(F573="",G573=""),"",$F573-$G573)</t>
  </si>
  <si>
    <t>=IF(AND(F574="",G574=""),"",$F574-$G574)</t>
  </si>
  <si>
    <t>=IF(AND(F575="",G575=""),"",$F575-$G575)</t>
  </si>
  <si>
    <t>=IF(AND(F576="",G576=""),"",$F576-$G576)</t>
  </si>
  <si>
    <t>=IF(AND(F577="",G577=""),"",$F577-$G577)</t>
  </si>
  <si>
    <t>=IF(AND(F578="",G578=""),"",$F578-$G578)</t>
  </si>
  <si>
    <t>=IF(AND(F579="",G579=""),"",$F579-$G579)</t>
  </si>
  <si>
    <t>=IF(AND(F580="",G580=""),"",$F580-$G580)</t>
  </si>
  <si>
    <t>=IF(AND(F581="",G581=""),"",$F581-$G581)</t>
  </si>
  <si>
    <t>=IF(AND(F582="",G582=""),"",$F582-$G582)</t>
  </si>
  <si>
    <t>=IF(AND(F583="",G583=""),"",$F583-$G583)</t>
  </si>
  <si>
    <t>=IF(AND(F584="",G584=""),"",$F584-$G584)</t>
  </si>
  <si>
    <t>=IF(AND(F585="",G585=""),"",$F585-$G585)</t>
  </si>
  <si>
    <t>=IF(AND(F586="",G586=""),"",$F586-$G586)</t>
  </si>
  <si>
    <t>=IF(AND(F587="",G587=""),"",$F587-$G587)</t>
  </si>
  <si>
    <t>=IF(AND(F588="",G588=""),"",$F588-$G588)</t>
  </si>
  <si>
    <t>=IF(AND(F589="",G589=""),"",$F589-$G589)</t>
  </si>
  <si>
    <t>=IF(AND(F590="",G590=""),"",$F590-$G590)</t>
  </si>
  <si>
    <t>=IF(AND(F591="",G591=""),"",$F591-$G591)</t>
  </si>
  <si>
    <t>=IF(AND(F592="",G592=""),"",$F592-$G592)</t>
  </si>
  <si>
    <t>=IF(AND(F593="",G593=""),"",$F593-$G593)</t>
  </si>
  <si>
    <t>=IF(AND(F594="",G594=""),"",$F594-$G594)</t>
  </si>
  <si>
    <t>=IF(AND(F595="",G595=""),"",$F595-$G595)</t>
  </si>
  <si>
    <t>=IF(AND(F596="",G596=""),"",$F596-$G596)</t>
  </si>
  <si>
    <t>=IF(AND(F597="",G597=""),"",$F597-$G597)</t>
  </si>
  <si>
    <t>=IF(AND(F598="",G598=""),"",$F598-$G598)</t>
  </si>
  <si>
    <t>=IF(AND(F599="",G599=""),"",$F599-$G599)</t>
  </si>
  <si>
    <t>=IF(AND(F600="",G600=""),"",$F600-$G600)</t>
  </si>
  <si>
    <t>=IF(AND(F601="",G601=""),"",$F601-$G601)</t>
  </si>
  <si>
    <t>=IF(AND(F602="",G602=""),"",$F602-$G602)</t>
  </si>
  <si>
    <t>=IF(AND(F603="",G603=""),"",$F603-$G603)</t>
  </si>
  <si>
    <t>=IF(AND(F604="",G604=""),"",$F604-$G604)</t>
  </si>
  <si>
    <t>=IF(AND(F605="",G605=""),"",$F605-$G605)</t>
  </si>
  <si>
    <t>=IF(AND(F606="",G606=""),"",$F606-$G606)</t>
  </si>
  <si>
    <t>=IF(AND(F607="",G607=""),"",$F607-$G607)</t>
  </si>
  <si>
    <t>=IF(AND(F608="",G608=""),"",$F608-$G608)</t>
  </si>
  <si>
    <t>=IF(AND(F609="",G609=""),"",$F609-$G609)</t>
  </si>
  <si>
    <t>=IF(AND(F610="",G610=""),"",$F610-$G610)</t>
  </si>
  <si>
    <t>=IF(AND(F611="",G611=""),"",$F611-$G611)</t>
  </si>
  <si>
    <t>=IF(AND(F612="",G612=""),"",$F612-$G612)</t>
  </si>
  <si>
    <t>=IF(AND(F613="",G613=""),"",$F613-$G613)</t>
  </si>
  <si>
    <t>=IF(AND(F614="",G614=""),"",$F614-$G614)</t>
  </si>
  <si>
    <t>=IF(AND(F615="",G615=""),"",$F615-$G615)</t>
  </si>
  <si>
    <t>=IF(AND(F616="",G616=""),"",$F616-$G616)</t>
  </si>
  <si>
    <t>=IF(AND(F617="",G617=""),"",$F617-$G617)</t>
  </si>
  <si>
    <t>=IF(AND(F618="",G618=""),"",$F618-$G618)</t>
  </si>
  <si>
    <t>=IF(AND(F619="",G619=""),"",$F619-$G619)</t>
  </si>
  <si>
    <t>=IF(AND(F620="",G620=""),"",$F620-$G620)</t>
  </si>
  <si>
    <t>=IF(AND(F621="",G621=""),"",$F621-$G621)</t>
  </si>
  <si>
    <t>=IF(AND(F622="",G622=""),"",$F622-$G622)</t>
  </si>
  <si>
    <t>=IF(AND(F623="",G623=""),"",$F623-$G623)</t>
  </si>
  <si>
    <t>=IF(AND(F624="",G624=""),"",$F624-$G624)</t>
  </si>
  <si>
    <t>=IF(AND(F625="",G625=""),"",$F625-$G625)</t>
  </si>
  <si>
    <t>=IF(AND(F626="",G626=""),"",$F626-$G626)</t>
  </si>
  <si>
    <t>=IF(AND(F627="",G627=""),"",$F627-$G627)</t>
  </si>
  <si>
    <t>=IF(AND(F628="",G628=""),"",$F628-$G628)</t>
  </si>
  <si>
    <t>=IF(AND(F631="",G631=""),"",$F631-$G631)</t>
  </si>
  <si>
    <t>=IF(AND(F632="",G632=""),"",$F632-$G632)</t>
  </si>
  <si>
    <t>=IF(AND(F633="",G633=""),"",$F633-$G633)</t>
  </si>
  <si>
    <t>=IF(AND(F634="",G634=""),"",$F634-$G634)</t>
  </si>
  <si>
    <t>=IF(AND(F635="",G635=""),"",$F635-$G635)</t>
  </si>
  <si>
    <t>=IF(AND(F636="",G636=""),"",$F636-$G636)</t>
  </si>
  <si>
    <t>=IF(AND(F637="",G637=""),"",$F637-$G637)</t>
  </si>
  <si>
    <t>=IF(AND(F638="",G638=""),"",$F638-$G638)</t>
  </si>
  <si>
    <t>=IF(AND(F639="",G639=""),"",$F639-$G639)</t>
  </si>
  <si>
    <t>=IF(AND(F640="",G640=""),"",$F640-$G640)</t>
  </si>
  <si>
    <t>=IF(AND(F641="",G641=""),"",$F641-$G641)</t>
  </si>
  <si>
    <t>=IF(AND(F642="",G642=""),"",$F642-$G642)</t>
  </si>
  <si>
    <t>=IF(AND(F643="",G643=""),"",$F643-$G643)</t>
  </si>
  <si>
    <t>=IF(AND(F644="",G644=""),"",$F644-$G644)</t>
  </si>
  <si>
    <t>=IF(AND(F645="",G645=""),"",$F645-$G645)</t>
  </si>
  <si>
    <t>=IF(AND(F646="",G646=""),"",$F646-$G646)</t>
  </si>
  <si>
    <t>=IF(AND(F647="",G647=""),"",$F647-$G647)</t>
  </si>
  <si>
    <t>=IF(AND(F648="",G648=""),"",$F648-$G648)</t>
  </si>
  <si>
    <t>=IF(AND(F649="",G649=""),"",$F649-$G649)</t>
  </si>
  <si>
    <t>=IF(AND(F650="",G650=""),"",$F650-$G650)</t>
  </si>
  <si>
    <t>=IF(AND(F651="",G651=""),"",$F651-$G651)</t>
  </si>
  <si>
    <t>=IF(AND(F652="",G652=""),"",$F652-$G652)</t>
  </si>
  <si>
    <t>=NF($E655,K$2)</t>
  </si>
  <si>
    <t>=NF($E655,L$2)</t>
  </si>
  <si>
    <t>=IF(AND(F655="",G655=""),"",$F655-$G655)</t>
  </si>
  <si>
    <t>=NF($E655,O$2)</t>
  </si>
  <si>
    <t>=NF($E658,K$2)</t>
  </si>
  <si>
    <t>=NF($E658,L$2)</t>
  </si>
  <si>
    <t>=IF(AND(F658="",G658=""),"",$F658-$G658)</t>
  </si>
  <si>
    <t>=NF($E658,O$2)</t>
  </si>
  <si>
    <t>=NF($E661,K$2)</t>
  </si>
  <si>
    <t>=NF($E661,L$2)</t>
  </si>
  <si>
    <t>=IF(AND(F661="",G661=""),"",$F661-$G661)</t>
  </si>
  <si>
    <t>=NF($E661,O$2)</t>
  </si>
  <si>
    <t>=NF($E664,K$2)</t>
  </si>
  <si>
    <t>=NF($E664,L$2)</t>
  </si>
  <si>
    <t>=IF(AND(F664="",G664=""),"",$F664-$G664)</t>
  </si>
  <si>
    <t>=NF($E664,O$2)</t>
  </si>
  <si>
    <t>=NF($E667,K$2)</t>
  </si>
  <si>
    <t>=NF($E667,L$2)</t>
  </si>
  <si>
    <t>=IF(AND(F667="",G667=""),"",$F667-$G667)</t>
  </si>
  <si>
    <t>=NF($E667,O$2)</t>
  </si>
  <si>
    <t>=NF($E670,K$2)</t>
  </si>
  <si>
    <t>=NF($E670,L$2)</t>
  </si>
  <si>
    <t>=IF(AND(F670="",G670=""),"",$F670-$G670)</t>
  </si>
  <si>
    <t>=NF($E670,O$2)</t>
  </si>
  <si>
    <t>=NF($E673,K$2)</t>
  </si>
  <si>
    <t>=NF($E673,L$2)</t>
  </si>
  <si>
    <t>=IF(AND(F673="",G673=""),"",$F673-$G673)</t>
  </si>
  <si>
    <t>=NF($E673,O$2)</t>
  </si>
  <si>
    <t>=NF($E676,K$2)</t>
  </si>
  <si>
    <t>=NF($E676,L$2)</t>
  </si>
  <si>
    <t>=IF(AND(F676="",G676=""),"",$F676-$G676)</t>
  </si>
  <si>
    <t>=NF($E676,O$2)</t>
  </si>
  <si>
    <t>=NF($E679,K$2)</t>
  </si>
  <si>
    <t>=NF($E679,L$2)</t>
  </si>
  <si>
    <t>=IF(AND(F679="",G679=""),"",$F679-$G679)</t>
  </si>
  <si>
    <t>=NF($E679,O$2)</t>
  </si>
  <si>
    <t>=NF($E682,K$2)</t>
  </si>
  <si>
    <t>=NF($E682,L$2)</t>
  </si>
  <si>
    <t>=IF(AND(F682="",G682=""),"",$F682-$G682)</t>
  </si>
  <si>
    <t>=NF($E682,O$2)</t>
  </si>
  <si>
    <t>=IF(AND(F695="",G695=""),"",$F695-$G695)</t>
  </si>
  <si>
    <t>=IF(AND(F696="",G696=""),"",$F696-$G696)</t>
  </si>
  <si>
    <t>=IF(AND(F697="",G697=""),"",$F697-$G697)</t>
  </si>
  <si>
    <t>=IF(AND(F698="",G698=""),"",$F698-$G698)</t>
  </si>
  <si>
    <t>=IF(AND(F699="",G699=""),"",$F699-$G699)</t>
  </si>
  <si>
    <t>=IF(AND(F700="",G700=""),"",$F700-$G700)</t>
  </si>
  <si>
    <t>=IF(AND(F701="",G701=""),"",$F701-$G701)</t>
  </si>
  <si>
    <t>=IF(AND(F702="",G702=""),"",$F702-$G702)</t>
  </si>
  <si>
    <t>=IF(AND(F703="",G703=""),"",$F703-$G703)</t>
  </si>
  <si>
    <t>=IF(AND(F704="",G704=""),"",$F704-$G704)</t>
  </si>
  <si>
    <t>=IF(AND(F705="",G705=""),"",$F705-$G705)</t>
  </si>
  <si>
    <t>=IF(AND(F706="",G706=""),"",$F706-$G706)</t>
  </si>
  <si>
    <t>=IF(AND(F707="",G707=""),"",$F707-$G707)</t>
  </si>
  <si>
    <t>=IF(AND(F708="",G708=""),"",$F708-$G708)</t>
  </si>
  <si>
    <t>=IF(AND(F709="",G709=""),"",$F709-$G709)</t>
  </si>
  <si>
    <t>=IF(AND(F710="",G710=""),"",$F710-$G710)</t>
  </si>
  <si>
    <t>=IF(AND(F711="",G711=""),"",$F711-$G711)</t>
  </si>
  <si>
    <t>=IF(AND(F712="",G712=""),"",$F712-$G712)</t>
  </si>
  <si>
    <t>=IF(AND(F713="",G713=""),"",$F713-$G713)</t>
  </si>
  <si>
    <t>=IF(AND(F714="",G714=""),"",$F714-$G714)</t>
  </si>
  <si>
    <t>=IF(AND(F715="",G715=""),"",$F715-$G715)</t>
  </si>
  <si>
    <t>=IF(AND(F716="",G716=""),"",$F716-$G716)</t>
  </si>
  <si>
    <t>=IF(AND(F717="",G717=""),"",$F717-$G717)</t>
  </si>
  <si>
    <t>=IF(AND(F718="",G718=""),"",$F718-$G718)</t>
  </si>
  <si>
    <t>=IF(AND(F721="",G721=""),"",$F721-$G721)</t>
  </si>
  <si>
    <t>=IF(AND(F722="",G722=""),"",$F722-$G722)</t>
  </si>
  <si>
    <t>=IF(AND(F723="",G723=""),"",$F723-$G723)</t>
  </si>
  <si>
    <t>=IF(AND(F724="",G724=""),"",$F724-$G724)</t>
  </si>
  <si>
    <t>=IF(AND(F725="",G725=""),"",$F725-$G725)</t>
  </si>
  <si>
    <t>=IF(AND(F726="",G726=""),"",$F726-$G726)</t>
  </si>
  <si>
    <t>=NF($E730,K$2)</t>
  </si>
  <si>
    <t>=NF($E730,L$2)</t>
  </si>
  <si>
    <t>=IF(AND(F730="",G730=""),"",$F730-$G730)</t>
  </si>
  <si>
    <t>=NF($E730,O$2)</t>
  </si>
  <si>
    <t>Start Period</t>
  </si>
  <si>
    <t>End Period</t>
  </si>
  <si>
    <t>Start Year</t>
  </si>
  <si>
    <t>End Year</t>
  </si>
  <si>
    <t>=NP("Eval","=StartPeriod")</t>
  </si>
  <si>
    <t>=NP("Eval","=StartYear")</t>
  </si>
  <si>
    <t>=DATE($D$3,$C$3,1)</t>
  </si>
  <si>
    <t>=NP("Eval","=EndPeriod")</t>
  </si>
  <si>
    <t>=NP("Eval","=EndYear")</t>
  </si>
  <si>
    <t>=DATE($D$5,$C$5+1,1-1)</t>
  </si>
  <si>
    <t>=NP("Eval","=StartYear")&amp;"/"&amp;NP("Eval","=StartPeriod")</t>
  </si>
  <si>
    <t>=NP("DateFilter",$C$4,$C$6)</t>
  </si>
  <si>
    <t>=NP("Eval","=EndYear")&amp;"/"&amp;NP("Eval","=EndPeriod")</t>
  </si>
  <si>
    <t>Report Options</t>
  </si>
  <si>
    <t>="2014"</t>
  </si>
  <si>
    <t>="BUDGET 4"</t>
  </si>
  <si>
    <t>=IF(AND(F157="",G157=""),"",$F157-$G157)</t>
  </si>
  <si>
    <t>=IF(AND(F158="",G158=""),"",$F158-$G158)</t>
  </si>
  <si>
    <t>=IF(AND(F160="",G160=""),"",$F160-$G160)</t>
  </si>
  <si>
    <t>=IF(AND(F161="",G161=""),"",$F161-$G161)</t>
  </si>
  <si>
    <t>=IF(AND(F163="",G163=""),"",$F163-$G163)</t>
  </si>
  <si>
    <t>=IF(AND(F164="",G164=""),"",$F164-$G164)</t>
  </si>
  <si>
    <t>=IF(AND(F167="",G167=""),"",$F167-$G167)</t>
  </si>
  <si>
    <t>=NL(,"Jet GL Account","Account Index","Account Number",$C275)</t>
  </si>
  <si>
    <t>="  "&amp;C275</t>
  </si>
  <si>
    <t>=GL(,"Name",$C275)</t>
  </si>
  <si>
    <t>=SUM(J276:J277)</t>
  </si>
  <si>
    <t>=GL(,"Budget",$C275,$I$6,$I$7)</t>
  </si>
  <si>
    <t>=NL(,"Jet GL Account","Account Index","Account Number",$C278)</t>
  </si>
  <si>
    <t>="  "&amp;C278</t>
  </si>
  <si>
    <t>=GL(,"Name",$C278)</t>
  </si>
  <si>
    <t>=GL(,"Budget",$C278,$I$6,$I$7)</t>
  </si>
  <si>
    <t>=IF(AND(F527="",G527=""),"",$F527-$G527)</t>
  </si>
  <si>
    <t>=IF(AND(F528="",G528=""),"",$F528-$G528)</t>
  </si>
  <si>
    <t>=IF(AND(F530="",G530=""),"",$F530-$G530)</t>
  </si>
  <si>
    <t>=IF(AND(F531="",G531=""),"",$F531-$G531)</t>
  </si>
  <si>
    <t>=IF(AND(F566="",G566=""),"",$F566-$G566)</t>
  </si>
  <si>
    <t>=IF(AND(F567="",G567=""),"",$F567-$G567)</t>
  </si>
  <si>
    <t>=IF(AND(F569="",G569=""),"",$F569-$G569)</t>
  </si>
  <si>
    <t>=IF(AND(F570="",G570=""),"",$F570-$G570)</t>
  </si>
  <si>
    <t>=IF(AND(F571="",G571=""),"",$F571-$G571)</t>
  </si>
  <si>
    <t>=NL(,"Jet GL Account","Account Index","Account Number",$C681)</t>
  </si>
  <si>
    <t>="  "&amp;C681</t>
  </si>
  <si>
    <t>=GL(,"Name",$C681)</t>
  </si>
  <si>
    <t>=GL(,"Budget",$C681,$I$6,$I$7)</t>
  </si>
  <si>
    <t>=NL(,"Jet GL Account","Account Index","Account Number",$C694)</t>
  </si>
  <si>
    <t>="  "&amp;C694</t>
  </si>
  <si>
    <t>=GL(,"Name",$C694)</t>
  </si>
  <si>
    <t>=GL(,"Budget",$C694,$I$6,$I$7)</t>
  </si>
  <si>
    <t>="1"</t>
  </si>
  <si>
    <t>Document No.</t>
  </si>
  <si>
    <t>Document Number</t>
  </si>
  <si>
    <t>=NF($E14,M$2)</t>
  </si>
  <si>
    <t>=NF($E14,P$2)</t>
  </si>
  <si>
    <t>=R13+1</t>
  </si>
  <si>
    <t>=R16+1</t>
  </si>
  <si>
    <t>=R17+1</t>
  </si>
  <si>
    <t>=R18+1</t>
  </si>
  <si>
    <t>=R19+1</t>
  </si>
  <si>
    <t>=R20+1</t>
  </si>
  <si>
    <t>=R21+1</t>
  </si>
  <si>
    <t>=R22+1</t>
  </si>
  <si>
    <t>=R23+1</t>
  </si>
  <si>
    <t>=R24+1</t>
  </si>
  <si>
    <t>=R25+1</t>
  </si>
  <si>
    <t>=R26+1</t>
  </si>
  <si>
    <t>=R27+1</t>
  </si>
  <si>
    <t>=R28+1</t>
  </si>
  <si>
    <t>=R29+1</t>
  </si>
  <si>
    <t>=R30+1</t>
  </si>
  <si>
    <t>=R31+1</t>
  </si>
  <si>
    <t>=R32+1</t>
  </si>
  <si>
    <t>=R33+1</t>
  </si>
  <si>
    <t>=R34+1</t>
  </si>
  <si>
    <t>=R35+1</t>
  </si>
  <si>
    <t>=R36+1</t>
  </si>
  <si>
    <t>=R37+1</t>
  </si>
  <si>
    <t>=R38+1</t>
  </si>
  <si>
    <t>=R39+1</t>
  </si>
  <si>
    <t>=R40+1</t>
  </si>
  <si>
    <t>=R41+1</t>
  </si>
  <si>
    <t>=R42+1</t>
  </si>
  <si>
    <t>=R43+1</t>
  </si>
  <si>
    <t>=R44+1</t>
  </si>
  <si>
    <t>=R45+1</t>
  </si>
  <si>
    <t>=R46+1</t>
  </si>
  <si>
    <t>=R47+1</t>
  </si>
  <si>
    <t>=R48+1</t>
  </si>
  <si>
    <t>=R49+1</t>
  </si>
  <si>
    <t>=R50+1</t>
  </si>
  <si>
    <t>=R51+1</t>
  </si>
  <si>
    <t>=R52+1</t>
  </si>
  <si>
    <t>=R53+1</t>
  </si>
  <si>
    <t>=R54+1</t>
  </si>
  <si>
    <t>=R55+1</t>
  </si>
  <si>
    <t>=R56+1</t>
  </si>
  <si>
    <t>=R57+1</t>
  </si>
  <si>
    <t>=R58+1</t>
  </si>
  <si>
    <t>=R59+1</t>
  </si>
  <si>
    <t>=R60+1</t>
  </si>
  <si>
    <t>=R61+1</t>
  </si>
  <si>
    <t>=R62+1</t>
  </si>
  <si>
    <t>=R63+1</t>
  </si>
  <si>
    <t>=R64+1</t>
  </si>
  <si>
    <t>=R65+1</t>
  </si>
  <si>
    <t>=R66+1</t>
  </si>
  <si>
    <t>=R67+1</t>
  </si>
  <si>
    <t>=R68+1</t>
  </si>
  <si>
    <t>=R69+1</t>
  </si>
  <si>
    <t>=R70+1</t>
  </si>
  <si>
    <t>=R71+1</t>
  </si>
  <si>
    <t>=R72+1</t>
  </si>
  <si>
    <t>=R73+1</t>
  </si>
  <si>
    <t>=R74+1</t>
  </si>
  <si>
    <t>=R75+1</t>
  </si>
  <si>
    <t>=R76+1</t>
  </si>
  <si>
    <t>=R77+1</t>
  </si>
  <si>
    <t>=R78+1</t>
  </si>
  <si>
    <t>=R79+1</t>
  </si>
  <si>
    <t>=R80+1</t>
  </si>
  <si>
    <t>=R81+1</t>
  </si>
  <si>
    <t>=R82+1</t>
  </si>
  <si>
    <t>=R83+1</t>
  </si>
  <si>
    <t>=R84+1</t>
  </si>
  <si>
    <t>=R85+1</t>
  </si>
  <si>
    <t>=R86+1</t>
  </si>
  <si>
    <t>=R87+1</t>
  </si>
  <si>
    <t>=R88+1</t>
  </si>
  <si>
    <t>=R89+1</t>
  </si>
  <si>
    <t>=R90+1</t>
  </si>
  <si>
    <t>=R91+1</t>
  </si>
  <si>
    <t>=R92+1</t>
  </si>
  <si>
    <t>=R93+1</t>
  </si>
  <si>
    <t>=R94+1</t>
  </si>
  <si>
    <t>=R95+1</t>
  </si>
  <si>
    <t>=R96+1</t>
  </si>
  <si>
    <t>=R97+1</t>
  </si>
  <si>
    <t>=R98+1</t>
  </si>
  <si>
    <t>=R99+1</t>
  </si>
  <si>
    <t>=R100+1</t>
  </si>
  <si>
    <t>=R101+1</t>
  </si>
  <si>
    <t>=R102+1</t>
  </si>
  <si>
    <t>=R103+1</t>
  </si>
  <si>
    <t>=R104+1</t>
  </si>
  <si>
    <t>=R105+1</t>
  </si>
  <si>
    <t>=R106+1</t>
  </si>
  <si>
    <t>=R107+1</t>
  </si>
  <si>
    <t>=R108+1</t>
  </si>
  <si>
    <t>=R109+1</t>
  </si>
  <si>
    <t>=R110+1</t>
  </si>
  <si>
    <t>=R111+1</t>
  </si>
  <si>
    <t>=R112+1</t>
  </si>
  <si>
    <t>=R113+1</t>
  </si>
  <si>
    <t>=R114+1</t>
  </si>
  <si>
    <t>=R115+1</t>
  </si>
  <si>
    <t>=R116+1</t>
  </si>
  <si>
    <t>=R117+1</t>
  </si>
  <si>
    <t>=R118+1</t>
  </si>
  <si>
    <t>=R121+1</t>
  </si>
  <si>
    <t>=R122+1</t>
  </si>
  <si>
    <t>=R123+1</t>
  </si>
  <si>
    <t>=R124+1</t>
  </si>
  <si>
    <t>=R125+1</t>
  </si>
  <si>
    <t>=R126+1</t>
  </si>
  <si>
    <t>=R127+1</t>
  </si>
  <si>
    <t>=R128+1</t>
  </si>
  <si>
    <t>=R129+1</t>
  </si>
  <si>
    <t>=R130+1</t>
  </si>
  <si>
    <t>=R131+1</t>
  </si>
  <si>
    <t>=R132+1</t>
  </si>
  <si>
    <t>=R133+1</t>
  </si>
  <si>
    <t>=R134+1</t>
  </si>
  <si>
    <t>=R135+1</t>
  </si>
  <si>
    <t>=R136+1</t>
  </si>
  <si>
    <t>=R137+1</t>
  </si>
  <si>
    <t>=R138+1</t>
  </si>
  <si>
    <t>=R141+1</t>
  </si>
  <si>
    <t>=R142+1</t>
  </si>
  <si>
    <t>=R143+1</t>
  </si>
  <si>
    <t>=R144+1</t>
  </si>
  <si>
    <t>=R145+1</t>
  </si>
  <si>
    <t>=R146+1</t>
  </si>
  <si>
    <t>=R149+1</t>
  </si>
  <si>
    <t>=R152+1</t>
  </si>
  <si>
    <t>=R153+1</t>
  </si>
  <si>
    <t>=R154+1</t>
  </si>
  <si>
    <t>=R155+1</t>
  </si>
  <si>
    <t>=R156+1</t>
  </si>
  <si>
    <t>=R157+1</t>
  </si>
  <si>
    <t>=R158+1</t>
  </si>
  <si>
    <t>=R159+1</t>
  </si>
  <si>
    <t>=R160+1</t>
  </si>
  <si>
    <t>=R161+1</t>
  </si>
  <si>
    <t>=R162+1</t>
  </si>
  <si>
    <t>=R163+1</t>
  </si>
  <si>
    <t>=R166+1</t>
  </si>
  <si>
    <t>=R167+1</t>
  </si>
  <si>
    <t>=R170+1</t>
  </si>
  <si>
    <t>=R173+1</t>
  </si>
  <si>
    <t>=R176+1</t>
  </si>
  <si>
    <t>=R179+1</t>
  </si>
  <si>
    <t>=R182+1</t>
  </si>
  <si>
    <t>=R183+1</t>
  </si>
  <si>
    <t>=R186+1</t>
  </si>
  <si>
    <t>=R189+1</t>
  </si>
  <si>
    <t>=R192+1</t>
  </si>
  <si>
    <t>=R195+1</t>
  </si>
  <si>
    <t>=R196+1</t>
  </si>
  <si>
    <t>=R197+1</t>
  </si>
  <si>
    <t>=R198+1</t>
  </si>
  <si>
    <t>=R199+1</t>
  </si>
  <si>
    <t>=R200+1</t>
  </si>
  <si>
    <t>=R201+1</t>
  </si>
  <si>
    <t>=R202+1</t>
  </si>
  <si>
    <t>=R203+1</t>
  </si>
  <si>
    <t>=R204+1</t>
  </si>
  <si>
    <t>=R205+1</t>
  </si>
  <si>
    <t>=R206+1</t>
  </si>
  <si>
    <t>=R207+1</t>
  </si>
  <si>
    <t>=R208+1</t>
  </si>
  <si>
    <t>=R209+1</t>
  </si>
  <si>
    <t>=R210+1</t>
  </si>
  <si>
    <t>=R211+1</t>
  </si>
  <si>
    <t>=R212+1</t>
  </si>
  <si>
    <t>=R215+1</t>
  </si>
  <si>
    <t>=R218+1</t>
  </si>
  <si>
    <t>=R221+1</t>
  </si>
  <si>
    <t>=R224+1</t>
  </si>
  <si>
    <t>=R227+1</t>
  </si>
  <si>
    <t>=R230+1</t>
  </si>
  <si>
    <t>=R233+1</t>
  </si>
  <si>
    <t>=R234+1</t>
  </si>
  <si>
    <t>=R235+1</t>
  </si>
  <si>
    <t>=R236+1</t>
  </si>
  <si>
    <t>=R237+1</t>
  </si>
  <si>
    <t>=R238+1</t>
  </si>
  <si>
    <t>=R239+1</t>
  </si>
  <si>
    <t>=R240+1</t>
  </si>
  <si>
    <t>=R241+1</t>
  </si>
  <si>
    <t>=R242+1</t>
  </si>
  <si>
    <t>=R243+1</t>
  </si>
  <si>
    <t>=R244+1</t>
  </si>
  <si>
    <t>=R245+1</t>
  </si>
  <si>
    <t>=R246+1</t>
  </si>
  <si>
    <t>=R247+1</t>
  </si>
  <si>
    <t>=R248+1</t>
  </si>
  <si>
    <t>=R249+1</t>
  </si>
  <si>
    <t>=R250+1</t>
  </si>
  <si>
    <t>=R251+1</t>
  </si>
  <si>
    <t>=R252+1</t>
  </si>
  <si>
    <t>=R253+1</t>
  </si>
  <si>
    <t>=R254+1</t>
  </si>
  <si>
    <t>=R255+1</t>
  </si>
  <si>
    <t>=R256+1</t>
  </si>
  <si>
    <t>=R257+1</t>
  </si>
  <si>
    <t>=R258+1</t>
  </si>
  <si>
    <t>=R261+1</t>
  </si>
  <si>
    <t>=R262+1</t>
  </si>
  <si>
    <t>=R265+1</t>
  </si>
  <si>
    <t>=R268+1</t>
  </si>
  <si>
    <t>=R272+1</t>
  </si>
  <si>
    <t>=NF($E276,M$2)</t>
  </si>
  <si>
    <t>=NF($E276,P$2)</t>
  </si>
  <si>
    <t>=R275+1</t>
  </si>
  <si>
    <t>=R278+1</t>
  </si>
  <si>
    <t>=R284+1</t>
  </si>
  <si>
    <t>=R288+1</t>
  </si>
  <si>
    <t>=R289+1</t>
  </si>
  <si>
    <t>=R290+1</t>
  </si>
  <si>
    <t>=R293+1</t>
  </si>
  <si>
    <t>=R294+1</t>
  </si>
  <si>
    <t>=R295+1</t>
  </si>
  <si>
    <t>=R296+1</t>
  </si>
  <si>
    <t>=R297+1</t>
  </si>
  <si>
    <t>=R298+1</t>
  </si>
  <si>
    <t>=R299+1</t>
  </si>
  <si>
    <t>=R300+1</t>
  </si>
  <si>
    <t>=R301+1</t>
  </si>
  <si>
    <t>=R302+1</t>
  </si>
  <si>
    <t>=R303+1</t>
  </si>
  <si>
    <t>=R304+1</t>
  </si>
  <si>
    <t>=R305+1</t>
  </si>
  <si>
    <t>=R306+1</t>
  </si>
  <si>
    <t>=R307+1</t>
  </si>
  <si>
    <t>=R308+1</t>
  </si>
  <si>
    <t>=R309+1</t>
  </si>
  <si>
    <t>=R310+1</t>
  </si>
  <si>
    <t>=R311+1</t>
  </si>
  <si>
    <t>=R312+1</t>
  </si>
  <si>
    <t>=R313+1</t>
  </si>
  <si>
    <t>=R314+1</t>
  </si>
  <si>
    <t>=R315+1</t>
  </si>
  <si>
    <t>=R316+1</t>
  </si>
  <si>
    <t>=R317+1</t>
  </si>
  <si>
    <t>=R318+1</t>
  </si>
  <si>
    <t>=R319+1</t>
  </si>
  <si>
    <t>=R320+1</t>
  </si>
  <si>
    <t>=R321+1</t>
  </si>
  <si>
    <t>=R322+1</t>
  </si>
  <si>
    <t>=R323+1</t>
  </si>
  <si>
    <t>=R324+1</t>
  </si>
  <si>
    <t>=R325+1</t>
  </si>
  <si>
    <t>=R326+1</t>
  </si>
  <si>
    <t>=R327+1</t>
  </si>
  <si>
    <t>=R328+1</t>
  </si>
  <si>
    <t>=R331+1</t>
  </si>
  <si>
    <t>=R334+1</t>
  </si>
  <si>
    <t>=R335+1</t>
  </si>
  <si>
    <t>=R338+1</t>
  </si>
  <si>
    <t>=R341+1</t>
  </si>
  <si>
    <t>=R344+1</t>
  </si>
  <si>
    <t>=R347+1</t>
  </si>
  <si>
    <t>=R350+1</t>
  </si>
  <si>
    <t>=R353+1</t>
  </si>
  <si>
    <t>=R356+1</t>
  </si>
  <si>
    <t>=R359+1</t>
  </si>
  <si>
    <t>=R362+1</t>
  </si>
  <si>
    <t>=R365+1</t>
  </si>
  <si>
    <t>=R368+1</t>
  </si>
  <si>
    <t>=R371+1</t>
  </si>
  <si>
    <t>=R375+1</t>
  </si>
  <si>
    <t>=R376+1</t>
  </si>
  <si>
    <t>=R377+1</t>
  </si>
  <si>
    <t>=R378+1</t>
  </si>
  <si>
    <t>=R379+1</t>
  </si>
  <si>
    <t>=R380+1</t>
  </si>
  <si>
    <t>=R383+1</t>
  </si>
  <si>
    <t>=R386+1</t>
  </si>
  <si>
    <t>=R389+1</t>
  </si>
  <si>
    <t>=R390+1</t>
  </si>
  <si>
    <t>=R391+1</t>
  </si>
  <si>
    <t>=R392+1</t>
  </si>
  <si>
    <t>=R393+1</t>
  </si>
  <si>
    <t>=R394+1</t>
  </si>
  <si>
    <t>=R395+1</t>
  </si>
  <si>
    <t>=R396+1</t>
  </si>
  <si>
    <t>=R397+1</t>
  </si>
  <si>
    <t>=R398+1</t>
  </si>
  <si>
    <t>=R399+1</t>
  </si>
  <si>
    <t>=R400+1</t>
  </si>
  <si>
    <t>=R401+1</t>
  </si>
  <si>
    <t>=R402+1</t>
  </si>
  <si>
    <t>=R403+1</t>
  </si>
  <si>
    <t>=R404+1</t>
  </si>
  <si>
    <t>=R405+1</t>
  </si>
  <si>
    <t>=R406+1</t>
  </si>
  <si>
    <t>=R409+1</t>
  </si>
  <si>
    <t>=R412+1</t>
  </si>
  <si>
    <t>=R415+1</t>
  </si>
  <si>
    <t>=R416+1</t>
  </si>
  <si>
    <t>=R417+1</t>
  </si>
  <si>
    <t>=R418+1</t>
  </si>
  <si>
    <t>=R419+1</t>
  </si>
  <si>
    <t>=R420+1</t>
  </si>
  <si>
    <t>=R421+1</t>
  </si>
  <si>
    <t>=R422+1</t>
  </si>
  <si>
    <t>=R423+1</t>
  </si>
  <si>
    <t>=R424+1</t>
  </si>
  <si>
    <t>=R425+1</t>
  </si>
  <si>
    <t>=R426+1</t>
  </si>
  <si>
    <t>=R427+1</t>
  </si>
  <si>
    <t>=R428+1</t>
  </si>
  <si>
    <t>=R429+1</t>
  </si>
  <si>
    <t>=R430+1</t>
  </si>
  <si>
    <t>=R431+1</t>
  </si>
  <si>
    <t>=R432+1</t>
  </si>
  <si>
    <t>=R433+1</t>
  </si>
  <si>
    <t>=R434+1</t>
  </si>
  <si>
    <t>=R435+1</t>
  </si>
  <si>
    <t>=R436+1</t>
  </si>
  <si>
    <t>=R437+1</t>
  </si>
  <si>
    <t>=R438+1</t>
  </si>
  <si>
    <t>=R439+1</t>
  </si>
  <si>
    <t>=R440+1</t>
  </si>
  <si>
    <t>=R441+1</t>
  </si>
  <si>
    <t>=R442+1</t>
  </si>
  <si>
    <t>=R443+1</t>
  </si>
  <si>
    <t>=R444+1</t>
  </si>
  <si>
    <t>=R445+1</t>
  </si>
  <si>
    <t>=R446+1</t>
  </si>
  <si>
    <t>=R447+1</t>
  </si>
  <si>
    <t>=R448+1</t>
  </si>
  <si>
    <t>=R449+1</t>
  </si>
  <si>
    <t>=R450+1</t>
  </si>
  <si>
    <t>=R451+1</t>
  </si>
  <si>
    <t>=R454+1</t>
  </si>
  <si>
    <t>=R457+1</t>
  </si>
  <si>
    <t>=R461+1</t>
  </si>
  <si>
    <t>=R462+1</t>
  </si>
  <si>
    <t>=R463+1</t>
  </si>
  <si>
    <t>=R464+1</t>
  </si>
  <si>
    <t>=R465+1</t>
  </si>
  <si>
    <t>=R466+1</t>
  </si>
  <si>
    <t>=R467+1</t>
  </si>
  <si>
    <t>=R468+1</t>
  </si>
  <si>
    <t>=R469+1</t>
  </si>
  <si>
    <t>=R470+1</t>
  </si>
  <si>
    <t>=R471+1</t>
  </si>
  <si>
    <t>=R472+1</t>
  </si>
  <si>
    <t>=R473+1</t>
  </si>
  <si>
    <t>=R474+1</t>
  </si>
  <si>
    <t>=R475+1</t>
  </si>
  <si>
    <t>=R476+1</t>
  </si>
  <si>
    <t>=R477+1</t>
  </si>
  <si>
    <t>=R478+1</t>
  </si>
  <si>
    <t>=R479+1</t>
  </si>
  <si>
    <t>=R480+1</t>
  </si>
  <si>
    <t>=R481+1</t>
  </si>
  <si>
    <t>=R482+1</t>
  </si>
  <si>
    <t>=R483+1</t>
  </si>
  <si>
    <t>=R484+1</t>
  </si>
  <si>
    <t>=R485+1</t>
  </si>
  <si>
    <t>=R486+1</t>
  </si>
  <si>
    <t>=R487+1</t>
  </si>
  <si>
    <t>=R488+1</t>
  </si>
  <si>
    <t>=R489+1</t>
  </si>
  <si>
    <t>=R490+1</t>
  </si>
  <si>
    <t>=R491+1</t>
  </si>
  <si>
    <t>=R492+1</t>
  </si>
  <si>
    <t>=R493+1</t>
  </si>
  <si>
    <t>=R494+1</t>
  </si>
  <si>
    <t>=R495+1</t>
  </si>
  <si>
    <t>=R496+1</t>
  </si>
  <si>
    <t>=R497+1</t>
  </si>
  <si>
    <t>=R498+1</t>
  </si>
  <si>
    <t>=R499+1</t>
  </si>
  <si>
    <t>=R500+1</t>
  </si>
  <si>
    <t>=R501+1</t>
  </si>
  <si>
    <t>=R502+1</t>
  </si>
  <si>
    <t>=R503+1</t>
  </si>
  <si>
    <t>=R504+1</t>
  </si>
  <si>
    <t>=R505+1</t>
  </si>
  <si>
    <t>=R506+1</t>
  </si>
  <si>
    <t>=R507+1</t>
  </si>
  <si>
    <t>=R508+1</t>
  </si>
  <si>
    <t>=R509+1</t>
  </si>
  <si>
    <t>=R510+1</t>
  </si>
  <si>
    <t>=R511+1</t>
  </si>
  <si>
    <t>=R512+1</t>
  </si>
  <si>
    <t>=R513+1</t>
  </si>
  <si>
    <t>=R514+1</t>
  </si>
  <si>
    <t>=R515+1</t>
  </si>
  <si>
    <t>=R516+1</t>
  </si>
  <si>
    <t>=R517+1</t>
  </si>
  <si>
    <t>=R518+1</t>
  </si>
  <si>
    <t>=R519+1</t>
  </si>
  <si>
    <t>=R520+1</t>
  </si>
  <si>
    <t>=R521+1</t>
  </si>
  <si>
    <t>=R522+1</t>
  </si>
  <si>
    <t>=R523+1</t>
  </si>
  <si>
    <t>=R524+1</t>
  </si>
  <si>
    <t>=R525+1</t>
  </si>
  <si>
    <t>=R526+1</t>
  </si>
  <si>
    <t>=R527+1</t>
  </si>
  <si>
    <t>=R528+1</t>
  </si>
  <si>
    <t>=R529+1</t>
  </si>
  <si>
    <t>=R530+1</t>
  </si>
  <si>
    <t>=R531+1</t>
  </si>
  <si>
    <t>=R532+1</t>
  </si>
  <si>
    <t>=R533+1</t>
  </si>
  <si>
    <t>=R534+1</t>
  </si>
  <si>
    <t>=R535+1</t>
  </si>
  <si>
    <t>=R536+1</t>
  </si>
  <si>
    <t>=R537+1</t>
  </si>
  <si>
    <t>=R538+1</t>
  </si>
  <si>
    <t>=R539+1</t>
  </si>
  <si>
    <t>=R540+1</t>
  </si>
  <si>
    <t>=R541+1</t>
  </si>
  <si>
    <t>=R542+1</t>
  </si>
  <si>
    <t>=R543+1</t>
  </si>
  <si>
    <t>=R544+1</t>
  </si>
  <si>
    <t>=R545+1</t>
  </si>
  <si>
    <t>=R546+1</t>
  </si>
  <si>
    <t>=R547+1</t>
  </si>
  <si>
    <t>=R548+1</t>
  </si>
  <si>
    <t>=R549+1</t>
  </si>
  <si>
    <t>=R550+1</t>
  </si>
  <si>
    <t>=R551+1</t>
  </si>
  <si>
    <t>=R552+1</t>
  </si>
  <si>
    <t>=R553+1</t>
  </si>
  <si>
    <t>=R554+1</t>
  </si>
  <si>
    <t>=R555+1</t>
  </si>
  <si>
    <t>=R556+1</t>
  </si>
  <si>
    <t>=R557+1</t>
  </si>
  <si>
    <t>=R558+1</t>
  </si>
  <si>
    <t>=R559+1</t>
  </si>
  <si>
    <t>=R560+1</t>
  </si>
  <si>
    <t>=R561+1</t>
  </si>
  <si>
    <t>=R562+1</t>
  </si>
  <si>
    <t>=R563+1</t>
  </si>
  <si>
    <t>=R564+1</t>
  </si>
  <si>
    <t>=R565+1</t>
  </si>
  <si>
    <t>=R566+1</t>
  </si>
  <si>
    <t>=R567+1</t>
  </si>
  <si>
    <t>=R568+1</t>
  </si>
  <si>
    <t>=R569+1</t>
  </si>
  <si>
    <t>=R570+1</t>
  </si>
  <si>
    <t>=R571+1</t>
  </si>
  <si>
    <t>=R572+1</t>
  </si>
  <si>
    <t>=R573+1</t>
  </si>
  <si>
    <t>=R574+1</t>
  </si>
  <si>
    <t>=R575+1</t>
  </si>
  <si>
    <t>=R576+1</t>
  </si>
  <si>
    <t>=R577+1</t>
  </si>
  <si>
    <t>=R578+1</t>
  </si>
  <si>
    <t>=R579+1</t>
  </si>
  <si>
    <t>=R580+1</t>
  </si>
  <si>
    <t>=R581+1</t>
  </si>
  <si>
    <t>=R582+1</t>
  </si>
  <si>
    <t>=R583+1</t>
  </si>
  <si>
    <t>=R584+1</t>
  </si>
  <si>
    <t>=R585+1</t>
  </si>
  <si>
    <t>=R586+1</t>
  </si>
  <si>
    <t>=R587+1</t>
  </si>
  <si>
    <t>=R588+1</t>
  </si>
  <si>
    <t>=R589+1</t>
  </si>
  <si>
    <t>=R590+1</t>
  </si>
  <si>
    <t>=R591+1</t>
  </si>
  <si>
    <t>=R592+1</t>
  </si>
  <si>
    <t>=R593+1</t>
  </si>
  <si>
    <t>=R594+1</t>
  </si>
  <si>
    <t>=R595+1</t>
  </si>
  <si>
    <t>=R596+1</t>
  </si>
  <si>
    <t>=R597+1</t>
  </si>
  <si>
    <t>=R598+1</t>
  </si>
  <si>
    <t>=R599+1</t>
  </si>
  <si>
    <t>=R600+1</t>
  </si>
  <si>
    <t>=R601+1</t>
  </si>
  <si>
    <t>=R602+1</t>
  </si>
  <si>
    <t>=R603+1</t>
  </si>
  <si>
    <t>=R604+1</t>
  </si>
  <si>
    <t>=R605+1</t>
  </si>
  <si>
    <t>=R606+1</t>
  </si>
  <si>
    <t>=R607+1</t>
  </si>
  <si>
    <t>=R608+1</t>
  </si>
  <si>
    <t>=R609+1</t>
  </si>
  <si>
    <t>=R610+1</t>
  </si>
  <si>
    <t>=R611+1</t>
  </si>
  <si>
    <t>=R612+1</t>
  </si>
  <si>
    <t>=R613+1</t>
  </si>
  <si>
    <t>=R614+1</t>
  </si>
  <si>
    <t>=R615+1</t>
  </si>
  <si>
    <t>=R616+1</t>
  </si>
  <si>
    <t>=R617+1</t>
  </si>
  <si>
    <t>=R618+1</t>
  </si>
  <si>
    <t>=R619+1</t>
  </si>
  <si>
    <t>=R620+1</t>
  </si>
  <si>
    <t>=R621+1</t>
  </si>
  <si>
    <t>=R622+1</t>
  </si>
  <si>
    <t>=R623+1</t>
  </si>
  <si>
    <t>=R624+1</t>
  </si>
  <si>
    <t>=R625+1</t>
  </si>
  <si>
    <t>=R626+1</t>
  </si>
  <si>
    <t>=R627+1</t>
  </si>
  <si>
    <t>=R630+1</t>
  </si>
  <si>
    <t>=R631+1</t>
  </si>
  <si>
    <t>=R632+1</t>
  </si>
  <si>
    <t>=R633+1</t>
  </si>
  <si>
    <t>=R634+1</t>
  </si>
  <si>
    <t>=R635+1</t>
  </si>
  <si>
    <t>=R636+1</t>
  </si>
  <si>
    <t>=R637+1</t>
  </si>
  <si>
    <t>=R638+1</t>
  </si>
  <si>
    <t>=R639+1</t>
  </si>
  <si>
    <t>=R640+1</t>
  </si>
  <si>
    <t>=R641+1</t>
  </si>
  <si>
    <t>=R642+1</t>
  </si>
  <si>
    <t>=R643+1</t>
  </si>
  <si>
    <t>=R644+1</t>
  </si>
  <si>
    <t>=R645+1</t>
  </si>
  <si>
    <t>=R646+1</t>
  </si>
  <si>
    <t>=R647+1</t>
  </si>
  <si>
    <t>=R648+1</t>
  </si>
  <si>
    <t>=R649+1</t>
  </si>
  <si>
    <t>=R650+1</t>
  </si>
  <si>
    <t>=R651+1</t>
  </si>
  <si>
    <t>=R654+1</t>
  </si>
  <si>
    <t>=R657+1</t>
  </si>
  <si>
    <t>=R660+1</t>
  </si>
  <si>
    <t>=R663+1</t>
  </si>
  <si>
    <t>=R666+1</t>
  </si>
  <si>
    <t>=R669+1</t>
  </si>
  <si>
    <t>=R672+1</t>
  </si>
  <si>
    <t>=R675+1</t>
  </si>
  <si>
    <t>=R678+1</t>
  </si>
  <si>
    <t>=R681+1</t>
  </si>
  <si>
    <t>=R694+1</t>
  </si>
  <si>
    <t>=R695+1</t>
  </si>
  <si>
    <t>=R696+1</t>
  </si>
  <si>
    <t>=R697+1</t>
  </si>
  <si>
    <t>=R698+1</t>
  </si>
  <si>
    <t>=R699+1</t>
  </si>
  <si>
    <t>=R700+1</t>
  </si>
  <si>
    <t>=R701+1</t>
  </si>
  <si>
    <t>=R702+1</t>
  </si>
  <si>
    <t>=R703+1</t>
  </si>
  <si>
    <t>=R704+1</t>
  </si>
  <si>
    <t>=R705+1</t>
  </si>
  <si>
    <t>=R706+1</t>
  </si>
  <si>
    <t>=R707+1</t>
  </si>
  <si>
    <t>=R708+1</t>
  </si>
  <si>
    <t>=R709+1</t>
  </si>
  <si>
    <t>=R710+1</t>
  </si>
  <si>
    <t>=R711+1</t>
  </si>
  <si>
    <t>=R712+1</t>
  </si>
  <si>
    <t>=R713+1</t>
  </si>
  <si>
    <t>=R714+1</t>
  </si>
  <si>
    <t>=R715+1</t>
  </si>
  <si>
    <t>=R716+1</t>
  </si>
  <si>
    <t>=R717+1</t>
  </si>
  <si>
    <t>=R720+1</t>
  </si>
  <si>
    <t>=R721+1</t>
  </si>
  <si>
    <t>=R722+1</t>
  </si>
  <si>
    <t>=R723+1</t>
  </si>
  <si>
    <t>=R724+1</t>
  </si>
  <si>
    <t>=R725+1</t>
  </si>
  <si>
    <t>=R729+1</t>
  </si>
  <si>
    <t>=NL(,"Jet GL Account","Account Index","Account Number",$C16)</t>
  </si>
  <si>
    <t>="  "&amp;C16</t>
  </si>
  <si>
    <t>=GL(,"Name",$C16)</t>
  </si>
  <si>
    <t>=GL(,"Budget",$C16,$I$6,$I$7)</t>
  </si>
  <si>
    <t>=IF(AND(F260="",G260=""),"",$F260-$G260)</t>
  </si>
  <si>
    <t>=R259+1</t>
  </si>
  <si>
    <t>=IF(AND(F261="",G261=""),"",$F261-$G261)</t>
  </si>
  <si>
    <t>=R260+1</t>
  </si>
  <si>
    <t>=IF(AND(F264="",G264=""),"",$F264-$G264)</t>
  </si>
  <si>
    <t>=R263+1</t>
  </si>
  <si>
    <t>=IF(AND(F265="",G265=""),"",$F265-$G265)</t>
  </si>
  <si>
    <t>=R264+1</t>
  </si>
  <si>
    <t>=IF(AND(F272="",G272=""),"",$F272-$G272)</t>
  </si>
  <si>
    <t>=R271+1</t>
  </si>
  <si>
    <t>=IF(AND(F282="",G282=""),"",$F282-$G282)</t>
  </si>
  <si>
    <t>=R281+1</t>
  </si>
  <si>
    <t>=IF(AND(F288="",G288=""),"",$F288-$G288)</t>
  </si>
  <si>
    <t>=R287+1</t>
  </si>
  <si>
    <t>=IF(AND(F292="",G292=""),"",$F292-$G292)</t>
  </si>
  <si>
    <t>=R291+1</t>
  </si>
  <si>
    <t>=IF(AND(F293="",G293=""),"",$F293-$G293)</t>
  </si>
  <si>
    <t>=R292+1</t>
  </si>
  <si>
    <t>=NL(,"Jet GL Account","Account Index","Account Number",$C457)</t>
  </si>
  <si>
    <t>="  "&amp;C457</t>
  </si>
  <si>
    <t>=GL(,"Name",$C457)</t>
  </si>
  <si>
    <t>=GL(,"Budget",$C457,$I$6,$I$7)</t>
  </si>
  <si>
    <t>=NF($E458,M$2)</t>
  </si>
  <si>
    <t>=NF($E458,P$2)</t>
  </si>
  <si>
    <t>=NL(,"Jet GL Account","Account Index","Account Number",$C461)</t>
  </si>
  <si>
    <t>="  "&amp;C461</t>
  </si>
  <si>
    <t>=GL(,"Name",$C461)</t>
  </si>
  <si>
    <t>=GL(,"Budget",$C461,$I$6,$I$7)</t>
  </si>
  <si>
    <t>="3"</t>
  </si>
  <si>
    <t>=NL(,"Jet GL Account","Account Index","Account Number",$C281)</t>
  </si>
  <si>
    <t>="  "&amp;C281</t>
  </si>
  <si>
    <t>=GL(,"Name",$C281)</t>
  </si>
  <si>
    <t>=GL(,"Budget",$C281,$I$6,$I$7)</t>
  </si>
  <si>
    <t>=IF(AND(F685="",G685=""),"",$F685-$G685)</t>
  </si>
  <si>
    <t>=R684+1</t>
  </si>
  <si>
    <t>=IF(AND(F686="",G686=""),"",$F686-$G686)</t>
  </si>
  <si>
    <t>=R685+1</t>
  </si>
  <si>
    <t>=IF(AND(F689="",G689=""),"",$F689-$G689)</t>
  </si>
  <si>
    <t>=R688+1</t>
  </si>
  <si>
    <t>=IF(AND(F692="",G692=""),"",$F692-$G692)</t>
  </si>
  <si>
    <t>=R691+1</t>
  </si>
  <si>
    <t>Hide+Auto</t>
  </si>
  <si>
    <t>=NL(,"Jet GL Account","Account Index","Account Number",$C268)</t>
  </si>
  <si>
    <t>="  "&amp;C268</t>
  </si>
  <si>
    <t>=GL(,"Name",$C268)</t>
  </si>
  <si>
    <t>=SUM(J269:J270)</t>
  </si>
  <si>
    <t>=GL(,"Budget",$C268,$I$6,$I$7)</t>
  </si>
  <si>
    <t>=NL(,"Jet GL Account","Account Index","Account Number",$C271)</t>
  </si>
  <si>
    <t>="  "&amp;C271</t>
  </si>
  <si>
    <t>=GL(,"Name",$C271)</t>
  </si>
  <si>
    <t>=GL(,"Budget",$C271,$I$6,$I$7)</t>
  </si>
  <si>
    <t>=NL(,"Jet GL Account","Account Index","Account Number",$C284)</t>
  </si>
  <si>
    <t>="  "&amp;C284</t>
  </si>
  <si>
    <t>=GL(,"Name",$C284)</t>
  </si>
  <si>
    <t>=GL(,"Budget",$C284,$I$6,$I$7)</t>
  </si>
  <si>
    <t>=NL("Rows","Jet GL Transactions",$J$2:$P$2,"Account Index",$D13,"+Transaction Date",$C$7)</t>
  </si>
  <si>
    <t>=NL("Rows","Jet GL Transactions",$J$2:$P$2,"Account Index",$D268,"+Transaction Date",$C$7)</t>
  </si>
  <si>
    <t>=NL("Rows","Jet GL Transactions",$J$2:$P$2,"Account Index",$D271,"+Transaction Date",$C$7)</t>
  </si>
  <si>
    <t>=NL("Rows","Jet GL Transactions",$J$2:$P$2,"Account Index",$D284,"+Transaction Date",$C$7)</t>
  </si>
  <si>
    <t>="000-4110-01"</t>
  </si>
  <si>
    <t>=SUM(J17:J120)</t>
  </si>
  <si>
    <t>=NL("Rows","Jet GL Transactions",$J$2:$P$2,"Account Index",$D16,"+Transaction Date",$C$7)</t>
  </si>
  <si>
    <t>="000-4110-02"</t>
  </si>
  <si>
    <t>=NL(,"Jet GL Account","Account Index","Account Number",$C121)</t>
  </si>
  <si>
    <t>="  "&amp;C121</t>
  </si>
  <si>
    <t>=GL(,"Name",$C121)</t>
  </si>
  <si>
    <t>=SUM(J122:J140)</t>
  </si>
  <si>
    <t>=GL(,"Budget",$C121,$I$6,$I$7)</t>
  </si>
  <si>
    <t>=NL("Rows","Jet GL Transactions",$J$2:$P$2,"Account Index",$D121,"+Transaction Date",$C$7)</t>
  </si>
  <si>
    <t>="000-4111-01"</t>
  </si>
  <si>
    <t>=NL(,"Jet GL Account","Account Index","Account Number",$C141)</t>
  </si>
  <si>
    <t>="  "&amp;C141</t>
  </si>
  <si>
    <t>=GL(,"Name",$C141)</t>
  </si>
  <si>
    <t>=SUM(J142:J148)</t>
  </si>
  <si>
    <t>=GL(,"Budget",$C141,$I$6,$I$7)</t>
  </si>
  <si>
    <t>=NL("Rows","Jet GL Transactions",$J$2:$P$2,"Account Index",$D141,"+Transaction Date",$C$7)</t>
  </si>
  <si>
    <t>="000-4111-02"</t>
  </si>
  <si>
    <t>=NL(,"Jet GL Account","Account Index","Account Number",$C149)</t>
  </si>
  <si>
    <t>="  "&amp;C149</t>
  </si>
  <si>
    <t>=GL(,"Name",$C149)</t>
  </si>
  <si>
    <t>=SUM(J150:J151)</t>
  </si>
  <si>
    <t>=GL(,"Budget",$C149,$I$6,$I$7)</t>
  </si>
  <si>
    <t>=NL("Rows","Jet GL Transactions",$J$2:$P$2,"Account Index",$D149,"+Transaction Date",$C$7)</t>
  </si>
  <si>
    <t>=NF($E150,M$2)</t>
  </si>
  <si>
    <t>=NF($E150,P$2)</t>
  </si>
  <si>
    <t>="000-4112-01"</t>
  </si>
  <si>
    <t>=NL(,"Jet GL Account","Account Index","Account Number",$C152)</t>
  </si>
  <si>
    <t>="  "&amp;C152</t>
  </si>
  <si>
    <t>=GL(,"Name",$C152)</t>
  </si>
  <si>
    <t>=SUM(J153:J165)</t>
  </si>
  <si>
    <t>=GL(,"Budget",$C152,$I$6,$I$7)</t>
  </si>
  <si>
    <t>=NL("Rows","Jet GL Transactions",$J$2:$P$2,"Account Index",$D152,"+Transaction Date",$C$7)</t>
  </si>
  <si>
    <t>="000-4112-02"</t>
  </si>
  <si>
    <t>=NL(,"Jet GL Account","Account Index","Account Number",$C166)</t>
  </si>
  <si>
    <t>="  "&amp;C166</t>
  </si>
  <si>
    <t>=GL(,"Name",$C166)</t>
  </si>
  <si>
    <t>=SUM(J167:J169)</t>
  </si>
  <si>
    <t>=GL(,"Budget",$C166,$I$6,$I$7)</t>
  </si>
  <si>
    <t>=NL("Rows","Jet GL Transactions",$J$2:$P$2,"Account Index",$D166,"+Transaction Date",$C$7)</t>
  </si>
  <si>
    <t>="000-4114-01"</t>
  </si>
  <si>
    <t>=NL(,"Jet GL Account","Account Index","Account Number",$C170)</t>
  </si>
  <si>
    <t>="  "&amp;C170</t>
  </si>
  <si>
    <t>=GL(,"Name",$C170)</t>
  </si>
  <si>
    <t>=SUM(J171:J172)</t>
  </si>
  <si>
    <t>=GL(,"Budget",$C170,$I$6,$I$7)</t>
  </si>
  <si>
    <t>=NL("Rows","Jet GL Transactions",$J$2:$P$2,"Account Index",$D170,"+Transaction Date",$C$7)</t>
  </si>
  <si>
    <t>=NF($E171,M$2)</t>
  </si>
  <si>
    <t>=NF($E171,P$2)</t>
  </si>
  <si>
    <t>="000-4114-02"</t>
  </si>
  <si>
    <t>=NL(,"Jet GL Account","Account Index","Account Number",$C173)</t>
  </si>
  <si>
    <t>="  "&amp;C173</t>
  </si>
  <si>
    <t>=GL(,"Name",$C173)</t>
  </si>
  <si>
    <t>=SUM(J174:J175)</t>
  </si>
  <si>
    <t>=GL(,"Budget",$C173,$I$6,$I$7)</t>
  </si>
  <si>
    <t>=NL("Rows","Jet GL Transactions",$J$2:$P$2,"Account Index",$D173,"+Transaction Date",$C$7)</t>
  </si>
  <si>
    <t>=NF($E174,M$2)</t>
  </si>
  <si>
    <t>=NF($E174,P$2)</t>
  </si>
  <si>
    <t>="000-4115-01"</t>
  </si>
  <si>
    <t>=NL(,"Jet GL Account","Account Index","Account Number",$C176)</t>
  </si>
  <si>
    <t>="  "&amp;C176</t>
  </si>
  <si>
    <t>=GL(,"Name",$C176)</t>
  </si>
  <si>
    <t>=SUM(J177:J178)</t>
  </si>
  <si>
    <t>=GL(,"Budget",$C176,$I$6,$I$7)</t>
  </si>
  <si>
    <t>=NL("Rows","Jet GL Transactions",$J$2:$P$2,"Account Index",$D176,"+Transaction Date",$C$7)</t>
  </si>
  <si>
    <t>="000-4115-02"</t>
  </si>
  <si>
    <t>=NL(,"Jet GL Account","Account Index","Account Number",$C179)</t>
  </si>
  <si>
    <t>="  "&amp;C179</t>
  </si>
  <si>
    <t>=GL(,"Name",$C179)</t>
  </si>
  <si>
    <t>=SUM(J180:J181)</t>
  </si>
  <si>
    <t>=GL(,"Budget",$C179,$I$6,$I$7)</t>
  </si>
  <si>
    <t>=NL("Rows","Jet GL Transactions",$J$2:$P$2,"Account Index",$D179,"+Transaction Date",$C$7)</t>
  </si>
  <si>
    <t>="000-4116-01"</t>
  </si>
  <si>
    <t>=NL(,"Jet GL Account","Account Index","Account Number",$C182)</t>
  </si>
  <si>
    <t>="  "&amp;C182</t>
  </si>
  <si>
    <t>=GL(,"Name",$C182)</t>
  </si>
  <si>
    <t>=SUM(J183:J185)</t>
  </si>
  <si>
    <t>=GL(,"Budget",$C182,$I$6,$I$7)</t>
  </si>
  <si>
    <t>=NL("Rows","Jet GL Transactions",$J$2:$P$2,"Account Index",$D182,"+Transaction Date",$C$7)</t>
  </si>
  <si>
    <t>="000-4116-02"</t>
  </si>
  <si>
    <t>=NL(,"Jet GL Account","Account Index","Account Number",$C186)</t>
  </si>
  <si>
    <t>="  "&amp;C186</t>
  </si>
  <si>
    <t>=GL(,"Name",$C186)</t>
  </si>
  <si>
    <t>=SUM(J187:J188)</t>
  </si>
  <si>
    <t>=GL(,"Budget",$C186,$I$6,$I$7)</t>
  </si>
  <si>
    <t>=NL("Rows","Jet GL Transactions",$J$2:$P$2,"Account Index",$D186,"+Transaction Date",$C$7)</t>
  </si>
  <si>
    <t>=NF($E187,M$2)</t>
  </si>
  <si>
    <t>=NF($E187,P$2)</t>
  </si>
  <si>
    <t>="000-4117-01"</t>
  </si>
  <si>
    <t>=NL(,"Jet GL Account","Account Index","Account Number",$C189)</t>
  </si>
  <si>
    <t>="  "&amp;C189</t>
  </si>
  <si>
    <t>=GL(,"Name",$C189)</t>
  </si>
  <si>
    <t>=SUM(J190:J191)</t>
  </si>
  <si>
    <t>=GL(,"Budget",$C189,$I$6,$I$7)</t>
  </si>
  <si>
    <t>=NL("Rows","Jet GL Transactions",$J$2:$P$2,"Account Index",$D189,"+Transaction Date",$C$7)</t>
  </si>
  <si>
    <t>="000-4117-02"</t>
  </si>
  <si>
    <t>=NL(,"Jet GL Account","Account Index","Account Number",$C192)</t>
  </si>
  <si>
    <t>="  "&amp;C192</t>
  </si>
  <si>
    <t>=GL(,"Name",$C192)</t>
  </si>
  <si>
    <t>=SUM(J193:J194)</t>
  </si>
  <si>
    <t>=GL(,"Budget",$C192,$I$6,$I$7)</t>
  </si>
  <si>
    <t>=NL("Rows","Jet GL Transactions",$J$2:$P$2,"Account Index",$D192,"+Transaction Date",$C$7)</t>
  </si>
  <si>
    <t>="000-4120-00"</t>
  </si>
  <si>
    <t>=NL(,"Jet GL Account","Account Index","Account Number",$C195)</t>
  </si>
  <si>
    <t>="  "&amp;C195</t>
  </si>
  <si>
    <t>=GL(,"Name",$C195)</t>
  </si>
  <si>
    <t>=SUM(J196:J214)</t>
  </si>
  <si>
    <t>=GL(,"Budget",$C195,$I$6,$I$7)</t>
  </si>
  <si>
    <t>=NL("Rows","Jet GL Transactions",$J$2:$P$2,"Account Index",$D195,"+Transaction Date",$C$7)</t>
  </si>
  <si>
    <t>="000-4121-00"</t>
  </si>
  <si>
    <t>=NL(,"Jet GL Account","Account Index","Account Number",$C215)</t>
  </si>
  <si>
    <t>="  "&amp;C215</t>
  </si>
  <si>
    <t>=GL(,"Name",$C215)</t>
  </si>
  <si>
    <t>=SUM(J216:J217)</t>
  </si>
  <si>
    <t>=GL(,"Budget",$C215,$I$6,$I$7)</t>
  </si>
  <si>
    <t>=NL("Rows","Jet GL Transactions",$J$2:$P$2,"Account Index",$D215,"+Transaction Date",$C$7)</t>
  </si>
  <si>
    <t>=NF($E216,M$2)</t>
  </si>
  <si>
    <t>=NF($E216,P$2)</t>
  </si>
  <si>
    <t>="000-4122-00"</t>
  </si>
  <si>
    <t>=NL(,"Jet GL Account","Account Index","Account Number",$C218)</t>
  </si>
  <si>
    <t>="  "&amp;C218</t>
  </si>
  <si>
    <t>=GL(,"Name",$C218)</t>
  </si>
  <si>
    <t>=SUM(J219:J220)</t>
  </si>
  <si>
    <t>=GL(,"Budget",$C218,$I$6,$I$7)</t>
  </si>
  <si>
    <t>=NL("Rows","Jet GL Transactions",$J$2:$P$2,"Account Index",$D218,"+Transaction Date",$C$7)</t>
  </si>
  <si>
    <t>="000-4124-00"</t>
  </si>
  <si>
    <t>=NL(,"Jet GL Account","Account Index","Account Number",$C221)</t>
  </si>
  <si>
    <t>="  "&amp;C221</t>
  </si>
  <si>
    <t>=GL(,"Name",$C221)</t>
  </si>
  <si>
    <t>=SUM(J222:J223)</t>
  </si>
  <si>
    <t>=GL(,"Budget",$C221,$I$6,$I$7)</t>
  </si>
  <si>
    <t>=NL("Rows","Jet GL Transactions",$J$2:$P$2,"Account Index",$D221,"+Transaction Date",$C$7)</t>
  </si>
  <si>
    <t>=NF($E222,M$2)</t>
  </si>
  <si>
    <t>=NF($E222,P$2)</t>
  </si>
  <si>
    <t>="000-4125-00"</t>
  </si>
  <si>
    <t>=NL(,"Jet GL Account","Account Index","Account Number",$C224)</t>
  </si>
  <si>
    <t>="  "&amp;C224</t>
  </si>
  <si>
    <t>=GL(,"Name",$C224)</t>
  </si>
  <si>
    <t>=SUM(J225:J226)</t>
  </si>
  <si>
    <t>=GL(,"Budget",$C224,$I$6,$I$7)</t>
  </si>
  <si>
    <t>=NL("Rows","Jet GL Transactions",$J$2:$P$2,"Account Index",$D224,"+Transaction Date",$C$7)</t>
  </si>
  <si>
    <t>=NF($E225,M$2)</t>
  </si>
  <si>
    <t>=NF($E225,P$2)</t>
  </si>
  <si>
    <t>="000-4126-00"</t>
  </si>
  <si>
    <t>=NL(,"Jet GL Account","Account Index","Account Number",$C227)</t>
  </si>
  <si>
    <t>="  "&amp;C227</t>
  </si>
  <si>
    <t>=GL(,"Name",$C227)</t>
  </si>
  <si>
    <t>=SUM(J228:J229)</t>
  </si>
  <si>
    <t>=GL(,"Budget",$C227,$I$6,$I$7)</t>
  </si>
  <si>
    <t>=NL("Rows","Jet GL Transactions",$J$2:$P$2,"Account Index",$D227,"+Transaction Date",$C$7)</t>
  </si>
  <si>
    <t>=NF($E228,M$2)</t>
  </si>
  <si>
    <t>=NF($E228,P$2)</t>
  </si>
  <si>
    <t>="000-4127-00"</t>
  </si>
  <si>
    <t>=NL(,"Jet GL Account","Account Index","Account Number",$C230)</t>
  </si>
  <si>
    <t>="  "&amp;C230</t>
  </si>
  <si>
    <t>=GL(,"Name",$C230)</t>
  </si>
  <si>
    <t>=SUM(J231:J232)</t>
  </si>
  <si>
    <t>=GL(,"Budget",$C230,$I$6,$I$7)</t>
  </si>
  <si>
    <t>=NL("Rows","Jet GL Transactions",$J$2:$P$2,"Account Index",$D230,"+Transaction Date",$C$7)</t>
  </si>
  <si>
    <t>=NF($E231,M$2)</t>
  </si>
  <si>
    <t>=NF($E231,P$2)</t>
  </si>
  <si>
    <t>="000-4130-00"</t>
  </si>
  <si>
    <t>=NL(,"Jet GL Account","Account Index","Account Number",$C233)</t>
  </si>
  <si>
    <t>="  "&amp;C233</t>
  </si>
  <si>
    <t>=GL(,"Name",$C233)</t>
  </si>
  <si>
    <t>=SUM(J234:J267)</t>
  </si>
  <si>
    <t>=GL(,"Budget",$C233,$I$6,$I$7)</t>
  </si>
  <si>
    <t>=NL("Rows","Jet GL Transactions",$J$2:$P$2,"Account Index",$D233,"+Transaction Date",$C$7)</t>
  </si>
  <si>
    <t>="000-4131-00"</t>
  </si>
  <si>
    <t>=NF($E269,M$2)</t>
  </si>
  <si>
    <t>=NF($E269,P$2)</t>
  </si>
  <si>
    <t>="000-4132-00"</t>
  </si>
  <si>
    <t>=SUM(J272:J274)</t>
  </si>
  <si>
    <t>="000-4134-00"</t>
  </si>
  <si>
    <t>=NL("Rows","Jet GL Transactions",$J$2:$P$2,"Account Index",$D275,"+Transaction Date",$C$7)</t>
  </si>
  <si>
    <t>="000-4135-00"</t>
  </si>
  <si>
    <t>=SUM(J279:J280)</t>
  </si>
  <si>
    <t>=NL("Rows","Jet GL Transactions",$J$2:$P$2,"Account Index",$D278,"+Transaction Date",$C$7)</t>
  </si>
  <si>
    <t>=NF($E279,M$2)</t>
  </si>
  <si>
    <t>=NF($E279,P$2)</t>
  </si>
  <si>
    <t>="000-4136-00"</t>
  </si>
  <si>
    <t>=SUM(J282:J283)</t>
  </si>
  <si>
    <t>=NL("Rows","Jet GL Transactions",$J$2:$P$2,"Account Index",$D281,"+Transaction Date",$C$7)</t>
  </si>
  <si>
    <t>=NF($E282,K$2)</t>
  </si>
  <si>
    <t>=NF($E282,M$2)</t>
  </si>
  <si>
    <t>=NF($E282,O$2)</t>
  </si>
  <si>
    <t>=NF($E282,L$2)</t>
  </si>
  <si>
    <t>=NF($E282,P$2)</t>
  </si>
  <si>
    <t>="000-4137-00"</t>
  </si>
  <si>
    <t>=SUM(J285:J286)</t>
  </si>
  <si>
    <t>=NF($E285,M$2)</t>
  </si>
  <si>
    <t>=NF($E285,P$2)</t>
  </si>
  <si>
    <t>="000-4140-00"</t>
  </si>
  <si>
    <t>=NL(,"Jet GL Account","Account Index","Account Number",$C287)</t>
  </si>
  <si>
    <t>="  "&amp;C287</t>
  </si>
  <si>
    <t>=GL(,"Name",$C287)</t>
  </si>
  <si>
    <t>=SUM(J288:J330)</t>
  </si>
  <si>
    <t>=GL(,"Budget",$C287,$I$6,$I$7)</t>
  </si>
  <si>
    <t>=NL("Rows","Jet GL Transactions",$J$2:$P$2,"Account Index",$D287,"+Transaction Date",$C$7)</t>
  </si>
  <si>
    <t>="000-4141-00"</t>
  </si>
  <si>
    <t>=NL(,"Jet GL Account","Account Index","Account Number",$C331)</t>
  </si>
  <si>
    <t>="  "&amp;C331</t>
  </si>
  <si>
    <t>=GL(,"Name",$C331)</t>
  </si>
  <si>
    <t>=SUM(J332:J333)</t>
  </si>
  <si>
    <t>=GL(,"Budget",$C331,$I$6,$I$7)</t>
  </si>
  <si>
    <t>=NL("Rows","Jet GL Transactions",$J$2:$P$2,"Account Index",$D331,"+Transaction Date",$C$7)</t>
  </si>
  <si>
    <t>="000-4142-00"</t>
  </si>
  <si>
    <t>=NL(,"Jet GL Account","Account Index","Account Number",$C334)</t>
  </si>
  <si>
    <t>="  "&amp;C334</t>
  </si>
  <si>
    <t>=GL(,"Name",$C334)</t>
  </si>
  <si>
    <t>=SUM(J335:J337)</t>
  </si>
  <si>
    <t>=GL(,"Budget",$C334,$I$6,$I$7)</t>
  </si>
  <si>
    <t>=NL("Rows","Jet GL Transactions",$J$2:$P$2,"Account Index",$D334,"+Transaction Date",$C$7)</t>
  </si>
  <si>
    <t>="000-4176-00"</t>
  </si>
  <si>
    <t>=NL(,"Jet GL Account","Account Index","Account Number",$C338)</t>
  </si>
  <si>
    <t>="  "&amp;C338</t>
  </si>
  <si>
    <t>=GL(,"Name",$C338)</t>
  </si>
  <si>
    <t>=SUM(J339:J340)</t>
  </si>
  <si>
    <t>=GL(,"Budget",$C338,$I$6,$I$7)</t>
  </si>
  <si>
    <t>=NL("Rows","Jet GL Transactions",$J$2:$P$2,"Account Index",$D338,"+Transaction Date",$C$7)</t>
  </si>
  <si>
    <t>=NF($E339,M$2)</t>
  </si>
  <si>
    <t>=NF($E339,P$2)</t>
  </si>
  <si>
    <t>="000-4177-00"</t>
  </si>
  <si>
    <t>=NL(,"Jet GL Account","Account Index","Account Number",$C341)</t>
  </si>
  <si>
    <t>="  "&amp;C341</t>
  </si>
  <si>
    <t>=GL(,"Name",$C341)</t>
  </si>
  <si>
    <t>=SUM(J342:J343)</t>
  </si>
  <si>
    <t>=GL(,"Budget",$C341,$I$6,$I$7)</t>
  </si>
  <si>
    <t>=NL("Rows","Jet GL Transactions",$J$2:$P$2,"Account Index",$D341,"+Transaction Date",$C$7)</t>
  </si>
  <si>
    <t>=NF($E342,M$2)</t>
  </si>
  <si>
    <t>=NF($E342,P$2)</t>
  </si>
  <si>
    <t>="000-4178-00"</t>
  </si>
  <si>
    <t>=NL(,"Jet GL Account","Account Index","Account Number",$C344)</t>
  </si>
  <si>
    <t>="  "&amp;C344</t>
  </si>
  <si>
    <t>=GL(,"Name",$C344)</t>
  </si>
  <si>
    <t>=SUM(J345:J346)</t>
  </si>
  <si>
    <t>=GL(,"Budget",$C344,$I$6,$I$7)</t>
  </si>
  <si>
    <t>=NL("Rows","Jet GL Transactions",$J$2:$P$2,"Account Index",$D344,"+Transaction Date",$C$7)</t>
  </si>
  <si>
    <t>=NF($E345,M$2)</t>
  </si>
  <si>
    <t>=NF($E345,P$2)</t>
  </si>
  <si>
    <t>="000-4179-00"</t>
  </si>
  <si>
    <t>=NL(,"Jet GL Account","Account Index","Account Number",$C347)</t>
  </si>
  <si>
    <t>="  "&amp;C347</t>
  </si>
  <si>
    <t>=GL(,"Name",$C347)</t>
  </si>
  <si>
    <t>=SUM(J348:J349)</t>
  </si>
  <si>
    <t>=GL(,"Budget",$C347,$I$6,$I$7)</t>
  </si>
  <si>
    <t>=NL("Rows","Jet GL Transactions",$J$2:$P$2,"Account Index",$D347,"+Transaction Date",$C$7)</t>
  </si>
  <si>
    <t>=NF($E348,M$2)</t>
  </si>
  <si>
    <t>=NF($E348,P$2)</t>
  </si>
  <si>
    <t>="000-4186-00"</t>
  </si>
  <si>
    <t>=NL(,"Jet GL Account","Account Index","Account Number",$C350)</t>
  </si>
  <si>
    <t>="  "&amp;C350</t>
  </si>
  <si>
    <t>=GL(,"Name",$C350)</t>
  </si>
  <si>
    <t>=SUM(J351:J352)</t>
  </si>
  <si>
    <t>=GL(,"Budget",$C350,$I$6,$I$7)</t>
  </si>
  <si>
    <t>=NL("Rows","Jet GL Transactions",$J$2:$P$2,"Account Index",$D350,"+Transaction Date",$C$7)</t>
  </si>
  <si>
    <t>=NF($E351,M$2)</t>
  </si>
  <si>
    <t>=NF($E351,P$2)</t>
  </si>
  <si>
    <t>="000-4187-00"</t>
  </si>
  <si>
    <t>=NL(,"Jet GL Account","Account Index","Account Number",$C353)</t>
  </si>
  <si>
    <t>="  "&amp;C353</t>
  </si>
  <si>
    <t>=GL(,"Name",$C353)</t>
  </si>
  <si>
    <t>=SUM(J354:J355)</t>
  </si>
  <si>
    <t>=GL(,"Budget",$C353,$I$6,$I$7)</t>
  </si>
  <si>
    <t>=NL("Rows","Jet GL Transactions",$J$2:$P$2,"Account Index",$D353,"+Transaction Date",$C$7)</t>
  </si>
  <si>
    <t>=NF($E354,M$2)</t>
  </si>
  <si>
    <t>=NF($E354,P$2)</t>
  </si>
  <si>
    <t>="000-4188-00"</t>
  </si>
  <si>
    <t>=NL(,"Jet GL Account","Account Index","Account Number",$C356)</t>
  </si>
  <si>
    <t>="  "&amp;C356</t>
  </si>
  <si>
    <t>=GL(,"Name",$C356)</t>
  </si>
  <si>
    <t>=SUM(J357:J358)</t>
  </si>
  <si>
    <t>=GL(,"Budget",$C356,$I$6,$I$7)</t>
  </si>
  <si>
    <t>=NL("Rows","Jet GL Transactions",$J$2:$P$2,"Account Index",$D356,"+Transaction Date",$C$7)</t>
  </si>
  <si>
    <t>=NF($E357,M$2)</t>
  </si>
  <si>
    <t>=NF($E357,P$2)</t>
  </si>
  <si>
    <t>="000-4189-00"</t>
  </si>
  <si>
    <t>=NL(,"Jet GL Account","Account Index","Account Number",$C359)</t>
  </si>
  <si>
    <t>="  "&amp;C359</t>
  </si>
  <si>
    <t>=GL(,"Name",$C359)</t>
  </si>
  <si>
    <t>=SUM(J360:J361)</t>
  </si>
  <si>
    <t>=GL(,"Budget",$C359,$I$6,$I$7)</t>
  </si>
  <si>
    <t>=NL("Rows","Jet GL Transactions",$J$2:$P$2,"Account Index",$D359,"+Transaction Date",$C$7)</t>
  </si>
  <si>
    <t>=NF($E360,M$2)</t>
  </si>
  <si>
    <t>=NF($E360,P$2)</t>
  </si>
  <si>
    <t>="000-4200-00"</t>
  </si>
  <si>
    <t>=NL(,"Jet GL Account","Account Index","Account Number",$C362)</t>
  </si>
  <si>
    <t>="  "&amp;C362</t>
  </si>
  <si>
    <t>=GL(,"Name",$C362)</t>
  </si>
  <si>
    <t>=SUM(J363:J364)</t>
  </si>
  <si>
    <t>=GL(,"Budget",$C362,$I$6,$I$7)</t>
  </si>
  <si>
    <t>=NL("Rows","Jet GL Transactions",$J$2:$P$2,"Account Index",$D362,"+Transaction Date",$C$7)</t>
  </si>
  <si>
    <t>=NF($E363,M$2)</t>
  </si>
  <si>
    <t>=NF($E363,P$2)</t>
  </si>
  <si>
    <t>="000-4210-01"</t>
  </si>
  <si>
    <t>=NL(,"Jet GL Account","Account Index","Account Number",$C365)</t>
  </si>
  <si>
    <t>="  "&amp;C365</t>
  </si>
  <si>
    <t>=GL(,"Name",$C365)</t>
  </si>
  <si>
    <t>=SUM(J366:J367)</t>
  </si>
  <si>
    <t>=GL(,"Budget",$C365,$I$6,$I$7)</t>
  </si>
  <si>
    <t>=NL("Rows","Jet GL Transactions",$J$2:$P$2,"Account Index",$D365,"+Transaction Date",$C$7)</t>
  </si>
  <si>
    <t>=NF($E366,M$2)</t>
  </si>
  <si>
    <t>=NF($E366,P$2)</t>
  </si>
  <si>
    <t>="000-4280-01"</t>
  </si>
  <si>
    <t>=NL(,"Jet GL Account","Account Index","Account Number",$C368)</t>
  </si>
  <si>
    <t>="  "&amp;C368</t>
  </si>
  <si>
    <t>=GL(,"Name",$C368)</t>
  </si>
  <si>
    <t>=SUM(J369:J370)</t>
  </si>
  <si>
    <t>=GL(,"Budget",$C368,$I$6,$I$7)</t>
  </si>
  <si>
    <t>=NL("Rows","Jet GL Transactions",$J$2:$P$2,"Account Index",$D368,"+Transaction Date",$C$7)</t>
  </si>
  <si>
    <t>=NF($E369,M$2)</t>
  </si>
  <si>
    <t>=NF($E369,P$2)</t>
  </si>
  <si>
    <t>="000-4500-01"</t>
  </si>
  <si>
    <t>=NL(,"Jet GL Account","Account Index","Account Number",$C371)</t>
  </si>
  <si>
    <t>="  "&amp;C371</t>
  </si>
  <si>
    <t>=GL(,"Name",$C371)</t>
  </si>
  <si>
    <t>=SUM(J372:J373)</t>
  </si>
  <si>
    <t>=GL(,"Budget",$C371,$I$6,$I$7)</t>
  </si>
  <si>
    <t>=NL("Rows","Jet GL Transactions",$J$2:$P$2,"Account Index",$D371,"+Transaction Date",$C$7)</t>
  </si>
  <si>
    <t>=NF($E372,M$2)</t>
  </si>
  <si>
    <t>=NF($E372,P$2)</t>
  </si>
  <si>
    <t>32</t>
  </si>
  <si>
    <t>=GL(,"CatName",,,,$C374)</t>
  </si>
  <si>
    <t>=GL("Rows=3","Accounts",,,,$C374)</t>
  </si>
  <si>
    <t>=NL(,"Jet GL Account","Account Index","Account Number",$C375)</t>
  </si>
  <si>
    <t>="  "&amp;C375</t>
  </si>
  <si>
    <t>=GL(,"Name",$C375)</t>
  </si>
  <si>
    <t>=SUM(J376:J382)</t>
  </si>
  <si>
    <t>=GL(,"Budget",$C375,$I$6,$I$7)</t>
  </si>
  <si>
    <t>=NL("Rows","Jet GL Transactions",$J$2:$P$2,"Account Index",$D375,"+Transaction Date",$C$7)</t>
  </si>
  <si>
    <t>="000-4181-00"</t>
  </si>
  <si>
    <t>=NL(,"Jet GL Account","Account Index","Account Number",$C383)</t>
  </si>
  <si>
    <t>="  "&amp;C383</t>
  </si>
  <si>
    <t>=GL(,"Name",$C383)</t>
  </si>
  <si>
    <t>=SUM(J384:J385)</t>
  </si>
  <si>
    <t>=GL(,"Budget",$C383,$I$6,$I$7)</t>
  </si>
  <si>
    <t>=NL("Rows","Jet GL Transactions",$J$2:$P$2,"Account Index",$D383,"+Transaction Date",$C$7)</t>
  </si>
  <si>
    <t>=NF($E384,M$2)</t>
  </si>
  <si>
    <t>=NF($E384,P$2)</t>
  </si>
  <si>
    <t>="000-4182-00"</t>
  </si>
  <si>
    <t>=NL(,"Jet GL Account","Account Index","Account Number",$C386)</t>
  </si>
  <si>
    <t>="  "&amp;C386</t>
  </si>
  <si>
    <t>=GL(,"Name",$C386)</t>
  </si>
  <si>
    <t>=SUM(J387:J388)</t>
  </si>
  <si>
    <t>=GL(,"Budget",$C386,$I$6,$I$7)</t>
  </si>
  <si>
    <t>=NL("Rows","Jet GL Transactions",$J$2:$P$2,"Account Index",$D386,"+Transaction Date",$C$7)</t>
  </si>
  <si>
    <t>=NF($E387,M$2)</t>
  </si>
  <si>
    <t>=NF($E387,P$2)</t>
  </si>
  <si>
    <t>="000-4183-00"</t>
  </si>
  <si>
    <t>=NL(,"Jet GL Account","Account Index","Account Number",$C389)</t>
  </si>
  <si>
    <t>="  "&amp;C389</t>
  </si>
  <si>
    <t>=GL(,"Name",$C389)</t>
  </si>
  <si>
    <t>=SUM(J390:J408)</t>
  </si>
  <si>
    <t>=GL(,"Budget",$C389,$I$6,$I$7)</t>
  </si>
  <si>
    <t>=NL("Rows","Jet GL Transactions",$J$2:$P$2,"Account Index",$D389,"+Transaction Date",$C$7)</t>
  </si>
  <si>
    <t>="000-4184-00"</t>
  </si>
  <si>
    <t>=NL(,"Jet GL Account","Account Index","Account Number",$C409)</t>
  </si>
  <si>
    <t>="  "&amp;C409</t>
  </si>
  <si>
    <t>=GL(,"Name",$C409)</t>
  </si>
  <si>
    <t>=SUM(J410:J411)</t>
  </si>
  <si>
    <t>=GL(,"Budget",$C409,$I$6,$I$7)</t>
  </si>
  <si>
    <t>=NL("Rows","Jet GL Transactions",$J$2:$P$2,"Account Index",$D409,"+Transaction Date",$C$7)</t>
  </si>
  <si>
    <t>=NF($E410,M$2)</t>
  </si>
  <si>
    <t>=NF($E410,P$2)</t>
  </si>
  <si>
    <t>="000-4185-00"</t>
  </si>
  <si>
    <t>=NL(,"Jet GL Account","Account Index","Account Number",$C412)</t>
  </si>
  <si>
    <t>="  "&amp;C412</t>
  </si>
  <si>
    <t>=GL(,"Name",$C412)</t>
  </si>
  <si>
    <t>=SUM(J413:J414)</t>
  </si>
  <si>
    <t>=GL(,"Budget",$C412,$I$6,$I$7)</t>
  </si>
  <si>
    <t>=NL("Rows","Jet GL Transactions",$J$2:$P$2,"Account Index",$D412,"+Transaction Date",$C$7)</t>
  </si>
  <si>
    <t>=NF($E413,M$2)</t>
  </si>
  <si>
    <t>=NF($E413,P$2)</t>
  </si>
  <si>
    <t>="000-4190-00"</t>
  </si>
  <si>
    <t>=NL(,"Jet GL Account","Account Index","Account Number",$C415)</t>
  </si>
  <si>
    <t>="  "&amp;C415</t>
  </si>
  <si>
    <t>=GL(,"Name",$C415)</t>
  </si>
  <si>
    <t>=SUM(J416:J453)</t>
  </si>
  <si>
    <t>=GL(,"Budget",$C415,$I$6,$I$7)</t>
  </si>
  <si>
    <t>=NL("Rows","Jet GL Transactions",$J$2:$P$2,"Account Index",$D415,"+Transaction Date",$C$7)</t>
  </si>
  <si>
    <t>="000-4191-00"</t>
  </si>
  <si>
    <t>=NL(,"Jet GL Account","Account Index","Account Number",$C454)</t>
  </si>
  <si>
    <t>="  "&amp;C454</t>
  </si>
  <si>
    <t>=GL(,"Name",$C454)</t>
  </si>
  <si>
    <t>=SUM(J455:J456)</t>
  </si>
  <si>
    <t>=GL(,"Budget",$C454,$I$6,$I$7)</t>
  </si>
  <si>
    <t>=NL("Rows","Jet GL Transactions",$J$2:$P$2,"Account Index",$D454,"+Transaction Date",$C$7)</t>
  </si>
  <si>
    <t>=NF($E455,M$2)</t>
  </si>
  <si>
    <t>=NF($E455,P$2)</t>
  </si>
  <si>
    <t>="000-4192-00"</t>
  </si>
  <si>
    <t>=SUM(J458:J459)</t>
  </si>
  <si>
    <t>=NL("Rows","Jet GL Transactions",$J$2:$P$2,"Account Index",$D457,"+Transaction Date",$C$7)</t>
  </si>
  <si>
    <t>33</t>
  </si>
  <si>
    <t>=GL(,"CatName",,,,$C460)</t>
  </si>
  <si>
    <t>=GL("Rows=3","Accounts",,,,$C460)</t>
  </si>
  <si>
    <t>=SUM(J462:J629)</t>
  </si>
  <si>
    <t>=NL("Rows","Jet GL Transactions",$J$2:$P$2,"Account Index",$D461,"+Transaction Date",$C$7)</t>
  </si>
  <si>
    <t>="000-4510-02"</t>
  </si>
  <si>
    <t>=NL(,"Jet GL Account","Account Index","Account Number",$C630)</t>
  </si>
  <si>
    <t>="  "&amp;C630</t>
  </si>
  <si>
    <t>=GL(,"Name",$C630)</t>
  </si>
  <si>
    <t>=SUM(J631:J653)</t>
  </si>
  <si>
    <t>=GL(,"Budget",$C630,$I$6,$I$7)</t>
  </si>
  <si>
    <t>=NL("Rows","Jet GL Transactions",$J$2:$P$2,"Account Index",$D630,"+Transaction Date",$C$7)</t>
  </si>
  <si>
    <t>="000-4520-01"</t>
  </si>
  <si>
    <t>=NL(,"Jet GL Account","Account Index","Account Number",$C654)</t>
  </si>
  <si>
    <t>="  "&amp;C654</t>
  </si>
  <si>
    <t>=GL(,"Name",$C654)</t>
  </si>
  <si>
    <t>=SUM(J655:J656)</t>
  </si>
  <si>
    <t>=GL(,"Budget",$C654,$I$6,$I$7)</t>
  </si>
  <si>
    <t>=NL("Rows","Jet GL Transactions",$J$2:$P$2,"Account Index",$D654,"+Transaction Date",$C$7)</t>
  </si>
  <si>
    <t>=NF($E655,M$2)</t>
  </si>
  <si>
    <t>=NF($E655,P$2)</t>
  </si>
  <si>
    <t>="000-4520-02"</t>
  </si>
  <si>
    <t>=NL(,"Jet GL Account","Account Index","Account Number",$C657)</t>
  </si>
  <si>
    <t>="  "&amp;C657</t>
  </si>
  <si>
    <t>=GL(,"Name",$C657)</t>
  </si>
  <si>
    <t>=SUM(J658:J659)</t>
  </si>
  <si>
    <t>=GL(,"Budget",$C657,$I$6,$I$7)</t>
  </si>
  <si>
    <t>=NL("Rows","Jet GL Transactions",$J$2:$P$2,"Account Index",$D657,"+Transaction Date",$C$7)</t>
  </si>
  <si>
    <t>=NF($E658,M$2)</t>
  </si>
  <si>
    <t>=NF($E658,P$2)</t>
  </si>
  <si>
    <t>="000-4520-03"</t>
  </si>
  <si>
    <t>=NL(,"Jet GL Account","Account Index","Account Number",$C660)</t>
  </si>
  <si>
    <t>="  "&amp;C660</t>
  </si>
  <si>
    <t>=GL(,"Name",$C660)</t>
  </si>
  <si>
    <t>=SUM(J661:J662)</t>
  </si>
  <si>
    <t>=GL(,"Budget",$C660,$I$6,$I$7)</t>
  </si>
  <si>
    <t>=NL("Rows","Jet GL Transactions",$J$2:$P$2,"Account Index",$D660,"+Transaction Date",$C$7)</t>
  </si>
  <si>
    <t>=NF($E661,M$2)</t>
  </si>
  <si>
    <t>=NF($E661,P$2)</t>
  </si>
  <si>
    <t>="000-4520-04"</t>
  </si>
  <si>
    <t>=NL(,"Jet GL Account","Account Index","Account Number",$C663)</t>
  </si>
  <si>
    <t>="  "&amp;C663</t>
  </si>
  <si>
    <t>=GL(,"Name",$C663)</t>
  </si>
  <si>
    <t>=SUM(J664:J665)</t>
  </si>
  <si>
    <t>=GL(,"Budget",$C663,$I$6,$I$7)</t>
  </si>
  <si>
    <t>=NL("Rows","Jet GL Transactions",$J$2:$P$2,"Account Index",$D663,"+Transaction Date",$C$7)</t>
  </si>
  <si>
    <t>=NF($E664,M$2)</t>
  </si>
  <si>
    <t>=NF($E664,P$2)</t>
  </si>
  <si>
    <t>="000-4520-05"</t>
  </si>
  <si>
    <t>=NL(,"Jet GL Account","Account Index","Account Number",$C666)</t>
  </si>
  <si>
    <t>="  "&amp;C666</t>
  </si>
  <si>
    <t>=GL(,"Name",$C666)</t>
  </si>
  <si>
    <t>=SUM(J667:J668)</t>
  </si>
  <si>
    <t>=GL(,"Budget",$C666,$I$6,$I$7)</t>
  </si>
  <si>
    <t>=NL("Rows","Jet GL Transactions",$J$2:$P$2,"Account Index",$D666,"+Transaction Date",$C$7)</t>
  </si>
  <si>
    <t>=NF($E667,M$2)</t>
  </si>
  <si>
    <t>=NF($E667,P$2)</t>
  </si>
  <si>
    <t>="000-4520-06"</t>
  </si>
  <si>
    <t>=NL(,"Jet GL Account","Account Index","Account Number",$C669)</t>
  </si>
  <si>
    <t>="  "&amp;C669</t>
  </si>
  <si>
    <t>=GL(,"Name",$C669)</t>
  </si>
  <si>
    <t>=SUM(J670:J671)</t>
  </si>
  <si>
    <t>=GL(,"Budget",$C669,$I$6,$I$7)</t>
  </si>
  <si>
    <t>=NL("Rows","Jet GL Transactions",$J$2:$P$2,"Account Index",$D669,"+Transaction Date",$C$7)</t>
  </si>
  <si>
    <t>=NF($E670,M$2)</t>
  </si>
  <si>
    <t>=NF($E670,P$2)</t>
  </si>
  <si>
    <t>="000-4520-07"</t>
  </si>
  <si>
    <t>=NL(,"Jet GL Account","Account Index","Account Number",$C672)</t>
  </si>
  <si>
    <t>="  "&amp;C672</t>
  </si>
  <si>
    <t>=GL(,"Name",$C672)</t>
  </si>
  <si>
    <t>=SUM(J673:J674)</t>
  </si>
  <si>
    <t>=GL(,"Budget",$C672,$I$6,$I$7)</t>
  </si>
  <si>
    <t>=NL("Rows","Jet GL Transactions",$J$2:$P$2,"Account Index",$D672,"+Transaction Date",$C$7)</t>
  </si>
  <si>
    <t>=NF($E673,M$2)</t>
  </si>
  <si>
    <t>=NF($E673,P$2)</t>
  </si>
  <si>
    <t>="000-4520-08"</t>
  </si>
  <si>
    <t>=NL(,"Jet GL Account","Account Index","Account Number",$C675)</t>
  </si>
  <si>
    <t>="  "&amp;C675</t>
  </si>
  <si>
    <t>=GL(,"Name",$C675)</t>
  </si>
  <si>
    <t>=SUM(J676:J677)</t>
  </si>
  <si>
    <t>=GL(,"Budget",$C675,$I$6,$I$7)</t>
  </si>
  <si>
    <t>=NL("Rows","Jet GL Transactions",$J$2:$P$2,"Account Index",$D675,"+Transaction Date",$C$7)</t>
  </si>
  <si>
    <t>=NF($E676,M$2)</t>
  </si>
  <si>
    <t>=NF($E676,P$2)</t>
  </si>
  <si>
    <t>="000-4520-09"</t>
  </si>
  <si>
    <t>=NL(,"Jet GL Account","Account Index","Account Number",$C678)</t>
  </si>
  <si>
    <t>="  "&amp;C678</t>
  </si>
  <si>
    <t>=GL(,"Name",$C678)</t>
  </si>
  <si>
    <t>=SUM(J679:J680)</t>
  </si>
  <si>
    <t>=GL(,"Budget",$C678,$I$6,$I$7)</t>
  </si>
  <si>
    <t>=NL("Rows","Jet GL Transactions",$J$2:$P$2,"Account Index",$D678,"+Transaction Date",$C$7)</t>
  </si>
  <si>
    <t>=NF($E679,M$2)</t>
  </si>
  <si>
    <t>=NF($E679,P$2)</t>
  </si>
  <si>
    <t>="000-4530-01"</t>
  </si>
  <si>
    <t>=SUM(J682:J683)</t>
  </si>
  <si>
    <t>=NL("Rows","Jet GL Transactions",$J$2:$P$2,"Account Index",$D681,"+Transaction Date",$C$7)</t>
  </si>
  <si>
    <t>=NF($E682,M$2)</t>
  </si>
  <si>
    <t>=NF($E682,P$2)</t>
  </si>
  <si>
    <t>="000-4600-00"</t>
  </si>
  <si>
    <t>=NL(,"Jet GL Account","Account Index","Account Number",$C684)</t>
  </si>
  <si>
    <t>="  "&amp;C684</t>
  </si>
  <si>
    <t>=GL(,"Name",$C684)</t>
  </si>
  <si>
    <t>=SUM(J685:J687)</t>
  </si>
  <si>
    <t>=GL(,"Budget",$C684,$I$6,$I$7)</t>
  </si>
  <si>
    <t>=NL("Rows","Jet GL Transactions",$J$2:$P$2,"Account Index",$D684,"+Transaction Date",$C$7)</t>
  </si>
  <si>
    <t>="000-4601-00"</t>
  </si>
  <si>
    <t>=NL(,"Jet GL Account","Account Index","Account Number",$C688)</t>
  </si>
  <si>
    <t>="  "&amp;C688</t>
  </si>
  <si>
    <t>=GL(,"Name",$C688)</t>
  </si>
  <si>
    <t>=SUM(J689:J690)</t>
  </si>
  <si>
    <t>=GL(,"Budget",$C688,$I$6,$I$7)</t>
  </si>
  <si>
    <t>=NL("Rows","Jet GL Transactions",$J$2:$P$2,"Account Index",$D688,"+Transaction Date",$C$7)</t>
  </si>
  <si>
    <t>=NF($E689,K$2)</t>
  </si>
  <si>
    <t>=NF($E689,M$2)</t>
  </si>
  <si>
    <t>=NF($E689,O$2)</t>
  </si>
  <si>
    <t>=NF($E689,L$2)</t>
  </si>
  <si>
    <t>=NF($E689,P$2)</t>
  </si>
  <si>
    <t>="000-4700-00"</t>
  </si>
  <si>
    <t>=NL(,"Jet GL Account","Account Index","Account Number",$C691)</t>
  </si>
  <si>
    <t>="  "&amp;C691</t>
  </si>
  <si>
    <t>=GL(,"Name",$C691)</t>
  </si>
  <si>
    <t>=SUM(J692:J693)</t>
  </si>
  <si>
    <t>=GL(,"Budget",$C691,$I$6,$I$7)</t>
  </si>
  <si>
    <t>=NL("Rows","Jet GL Transactions",$J$2:$P$2,"Account Index",$D691,"+Transaction Date",$C$7)</t>
  </si>
  <si>
    <t>="000-4710-00"</t>
  </si>
  <si>
    <t>=SUM(J695:J719)</t>
  </si>
  <si>
    <t>=NL("Rows","Jet GL Transactions",$J$2:$P$2,"Account Index",$D694,"+Transaction Date",$C$7)</t>
  </si>
  <si>
    <t>="000-4720-00"</t>
  </si>
  <si>
    <t>=NL(,"Jet GL Account","Account Index","Account Number",$C720)</t>
  </si>
  <si>
    <t>="  "&amp;C720</t>
  </si>
  <si>
    <t>=GL(,"Name",$C720)</t>
  </si>
  <si>
    <t>=SUM(J721:J727)</t>
  </si>
  <si>
    <t>=GL(,"Budget",$C720,$I$6,$I$7)</t>
  </si>
  <si>
    <t>=NL("Rows","Jet GL Transactions",$J$2:$P$2,"Account Index",$D720,"+Transaction Date",$C$7)</t>
  </si>
  <si>
    <t>34</t>
  </si>
  <si>
    <t>=GL(,"CatName",,,,$C728)</t>
  </si>
  <si>
    <t>=GL("Rows=3","Accounts",,,,$C728)</t>
  </si>
  <si>
    <t>=NL(,"Jet GL Account","Account Index","Account Number",$C729)</t>
  </si>
  <si>
    <t>="  "&amp;C729</t>
  </si>
  <si>
    <t>=GL(,"Name",$C729)</t>
  </si>
  <si>
    <t>=SUM(J730:J731)</t>
  </si>
  <si>
    <t>=GL(,"Budget",$C729,$I$6,$I$7)</t>
  </si>
  <si>
    <t>=NL("Rows","Jet GL Transactions",$J$2:$P$2,"Account Index",$D729,"+Transaction Date",$C$7)</t>
  </si>
  <si>
    <t>=NF($E730,M$2)</t>
  </si>
  <si>
    <t>=NF($E730,P$2)</t>
  </si>
  <si>
    <t>="31..34"</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</si>
  <si>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</si>
  <si>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</si>
  <si>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</si>
  <si>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</si>
  <si>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</si>
  <si>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</si>
  <si>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</si>
  <si>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</si>
  <si>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</si>
  <si>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</si>
  <si>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</si>
  <si>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</si>
  <si>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</si>
  <si>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</si>
  <si>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</si>
  <si>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</si>
  <si>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</si>
  <si>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</si>
  <si>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="""GP Direct"",""Fabrikam, Inc."",""Jet GL Transactions"",""Account Index"",""113"",""Credit Amount"",""0.00000"",""Document Number"",""CM111000"",""Debit Amount"",""7245.28000"",""Vendor Name"",""International Mailing Corp."",""Transaction Description"",""CRMEMO"",""Transaction Date"","""&amp;"1/1/2014"""</t>
  </si>
  <si>
    <t>="""GP Direct"",""Fabrikam, Inc."",""Jet GL Transactions"",""Account Index"",""113"",""Credit Amount"",""0.00000"",""Document Number"",""CM111001"",""Debit Amount"",""15250.00000"",""Vendor Name"",""International Mailing Corp."",""Transaction Description"",""CRMEMO"",""Transaction Date"","&amp;"""1/1/2014"""</t>
  </si>
  <si>
    <t>="""GP Direct"",""Fabrikam, Inc."",""Jet GL Transactions"",""Account Index"",""113"",""Credit Amount"",""0.00000"",""Document Number"",""CM112000"",""Debit Amount"",""18.57000"",""Vendor Name"",""Central Illinois Hospital"",""Transaction Description"",""CRMEMO"",""Transaction Date"",""1/1/"&amp;"2014"""</t>
  </si>
  <si>
    <t>="""GP Direct"",""Fabrikam, Inc."",""Jet GL Transactions"",""Account Index"",""113"",""Credit Amount"",""0.00000"",""Document Number"",""CM115000"",""Debit Amount"",""845.67000"",""Vendor Name"",""Coho Winery"",""Transaction Description"",""CRMEMO"",""Transaction Date"",""1/1/2014"""</t>
  </si>
  <si>
    <t>="""GP Direct"",""Fabrikam, Inc."",""Jet GL Transactions"",""Account Index"",""113"",""Credit Amount"",""0.00000"",""Document Number"",""CM121001"",""Debit Amount"",""1287.04000"",""Vendor Name"",""Rainbow Research"",""Transaction Description"",""CRMEMO"",""Transaction Date"",""1/1/2014"""</t>
  </si>
  <si>
    <t>="""GP Direct"",""Fabrikam, Inc."",""Jet GL Transactions"",""Account Index"",""113"",""Credit Amount"",""0.00000"",""Document Number"",""CM126002"",""Debit Amount"",""1712.08000"",""Vendor Name"",""Snelling Communications Inc."",""Transaction Description"",""CRMEMO"",""Transaction Date"","&amp;"""1/1/2014"""</t>
  </si>
  <si>
    <t>="""GP Direct"",""Fabrikam, Inc."",""Jet GL Transactions"",""Account Index"",""113"",""Credit Amount"",""0.00000"",""Document Number"",""CM13000"",""Debit Amount"",""488.79000"",""Vendor Name"",""Advanced Paper Co."",""Transaction Description"",""CRMEMO"",""Transaction Date"",""1/1/2014"""</t>
  </si>
  <si>
    <t>="""GP Direct"",""Fabrikam, Inc."",""Jet GL Transactions"",""Account Index"",""113"",""Credit Amount"",""0.00000"",""Document Number"",""CM13001"",""Debit Amount"",""655.89000"",""Vendor Name"",""Advanced Paper Co."",""Transaction Description"",""CRMEMO"",""Transaction Date"",""1/1/2014"""</t>
  </si>
  <si>
    <t>="""GP Direct"",""Fabrikam, Inc."",""Jet GL Transactions"",""Account Index"",""113"",""Credit Amount"",""0.00000"",""Document Number"",""CM14000"",""Debit Amount"",""21.97000"",""Vendor Name"",""American Science Museum"",""Transaction Description"",""CRMEMO"",""Transaction Date"",""1/1/201"&amp;"4"""</t>
  </si>
  <si>
    <t>="""GP Direct"",""Fabrikam, Inc."",""Jet GL Transactions"",""Account Index"",""113"",""Credit Amount"",""0.00000"",""Document Number"",""CM14066"",""Debit Amount"",""120.33000"",""Vendor Name"",""Novia Scotia Tech. Institute"",""Transaction Description"",""CRMEMO"",""Transaction Date"",""1"&amp;"/1/2014"""</t>
  </si>
  <si>
    <t>="""GP Direct"",""Fabrikam, Inc."",""Jet GL Transactions"",""Account Index"",""113"",""Credit Amount"",""0.00000"",""Document Number"",""CM15001"",""Debit Amount"",""635.41000"",""Vendor Name"",""Cellular Express"",""Transaction Description"",""CRMEMO"",""Transaction Date"",""1/1/2014"""</t>
  </si>
  <si>
    <t>="""GP Direct"",""Fabrikam, Inc."",""Jet GL Transactions"",""Account Index"",""113"",""Credit Amount"",""0.00000"",""Document Number"",""CM16222"",""Debit Amount"",""108.07000"",""Vendor Name"",""Multitech Office Components"",""Transaction Description"",""CRMEMO"",""Transaction Date"",""1/"&amp;"1/2014"""</t>
  </si>
  <si>
    <t>="""GP Direct"",""Fabrikam, Inc."",""Jet GL Transactions"",""Account Index"",""113"",""Credit Amount"",""0.00000"",""Document Number"",""CM17000"",""Debit Amount"",""971.29000"",""Vendor Name"",""Crawfords, Inc."",""Transaction Description"",""CRMEMO"",""Transaction Date"",""1/1/2014"""</t>
  </si>
  <si>
    <t>="""GP Direct"",""Fabrikam, Inc."",""Jet GL Transactions"",""Account Index"",""113"",""Credit Amount"",""0.00000"",""Document Number"",""SLS13061"",""Debit Amount"",""3190.09000"",""Vendor Name"",""Northern Family Hospital"",""Transaction Description"",""COGS"",""Transaction Date"",""1/1/2"&amp;"014"""</t>
  </si>
  <si>
    <t>="""GP Direct"",""Fabrikam, Inc."",""Jet GL Transactions"",""Account Index"",""113"",""Credit Amount"",""42.39000"",""Document Number"",""SLS17034"",""Debit Amount"",""0.00000"",""Vendor Name"",""Metropolitan Fiber Systems"",""Transaction Description"",""SALES"",""Transaction Date"",""1/1/"&amp;"2014"""</t>
  </si>
  <si>
    <t>="""GP Direct"",""Fabrikam, Inc."",""Jet GL Transactions"",""Account Index"",""113"",""Credit Amount"",""634.50000"",""Document Number"",""SLS19002"",""Debit Amount"",""0.00000"",""Vendor Name"",""Greenway Foods"",""Transaction Description"",""SALES"",""Transaction Date"",""1/1/2014"""</t>
  </si>
  <si>
    <t>="""GP Direct"",""Fabrikam, Inc."",""Jet GL Transactions"",""Account Index"",""113"",""Credit Amount"",""988.50000"",""Document Number"",""SLS17003"",""Debit Amount"",""0.00000"",""Vendor Name"",""Midland Construction"",""Transaction Description"",""SALES"",""Transaction Date"",""1/1/2014"""</t>
  </si>
  <si>
    <t>="""GP Direct"",""Fabrikam, Inc."",""Jet GL Transactions"",""Account Index"",""113"",""Credit Amount"",""1856.31000"",""Document Number"",""SLS117000"",""Debit Amount"",""0.00000"",""Vendor Name"",""Northern State College"",""Transaction Description"",""SALES"",""Transaction Date"",""1/1/2"&amp;"014"""</t>
  </si>
  <si>
    <t>="""GP Direct"",""Fabrikam, Inc."",""Jet GL Transactions"",""Account Index"",""113"",""Credit Amount"",""1945.89000"",""Document Number"",""SLS15012"",""Debit Amount"",""0.00000"",""Vendor Name"",""Home Furnishings Limited"",""Transaction Description"",""SALES"",""Transaction Date"",""1/1/"&amp;"2014"""</t>
  </si>
  <si>
    <t>="""GP Direct"",""Fabrikam, Inc."",""Jet GL Transactions"",""Account Index"",""113"",""Credit Amount"",""2488.97000"",""Document Number"",""SLS15080"",""Debit Amount"",""0.00000"",""Vendor Name"",""Riverside University"",""Transaction Description"",""SALES"",""Transaction Date"",""1/1/2014"&amp;""""</t>
  </si>
  <si>
    <t>="""GP Direct"",""Fabrikam, Inc."",""Jet GL Transactions"",""Account Index"",""113"",""Credit Amount"",""2533.19000"",""Document Number"",""SLS120001"",""Debit Amount"",""0.00000"",""Vendor Name"",""Franchise Office Machines"",""Transaction Description"",""SALES"",""Transaction Date"",""1/"&amp;"1/2014"""</t>
  </si>
  <si>
    <t>="""GP Direct"",""Fabrikam, Inc."",""Jet GL Transactions"",""Account Index"",""113"",""Credit Amount"",""2599.67000"",""Document Number"",""SLS12061"",""Debit Amount"",""0.00000"",""Vendor Name"",""LeClerc &amp; Associates"",""Transaction Description"",""SALES"",""Transaction Date"",""1/1/2014"&amp;""""</t>
  </si>
  <si>
    <t>="""GP Direct"",""Fabrikam, Inc."",""Jet GL Transactions"",""Account Index"",""113"",""Credit Amount"",""2988.78000"",""Document Number"",""SLS13072"",""Debit Amount"",""0.00000"",""Vendor Name"",""Communication Connections"",""Transaction Description"",""SALES"",""Transaction Date"",""1/1"&amp;"/2014"""</t>
  </si>
  <si>
    <t>="""GP Direct"",""Fabrikam, Inc."",""Jet GL Transactions"",""Account Index"",""113"",""Credit Amount"",""3946.66000"",""Document Number"",""SLS17012"",""Debit Amount"",""0.00000"",""Vendor Name"",""Crawfords, Inc."",""Transaction Description"",""SALES"",""Transaction Date"",""1/1/2014"""</t>
  </si>
  <si>
    <t>="""GP Direct"",""Fabrikam, Inc."",""Jet GL Transactions"",""Account Index"",""113"",""Credit Amount"",""4500.00000"",""Document Number"",""SLS112031"",""Debit Amount"",""0.00000"",""Vendor Name"",""Northstar Mall"",""Transaction Description"",""SALES"",""Transaction Date"",""1/1/2014"""</t>
  </si>
  <si>
    <t>="""GP Direct"",""Fabrikam, Inc."",""Jet GL Transactions"",""Account Index"",""113"",""Credit Amount"",""4585.75000"",""Document Number"",""SLS11031"",""Debit Amount"",""0.00000"",""Vendor Name"",""Compu-Tech Solutions"",""Transaction Description"",""SALES"",""Transaction Date"",""1/1/2014"&amp;""""</t>
  </si>
  <si>
    <t>="""GP Direct"",""Fabrikam, Inc."",""Jet GL Transactions"",""Account Index"",""113"",""Credit Amount"",""4589.74000"",""Document Number"",""SLS12020"",""Debit Amount"",""0.00000"",""Vendor Name"",""American Electrical Contractor"",""Transaction Description"",""SALES"",""Transaction Date"""&amp;",""1/1/2014"""</t>
  </si>
  <si>
    <t>="""GP Direct"",""Fabrikam, Inc."",""Jet GL Transactions"",""Account Index"",""113"",""Credit Amount"",""4625.87000"",""Document Number"",""SLS114012"",""Debit Amount"",""0.00000"",""Vendor Name"",""National Shopping World"",""Transaction Description"",""SALES"",""Transaction Date"",""1/1/"&amp;"2014"""</t>
  </si>
  <si>
    <t>="""GP Direct"",""Fabrikam, Inc."",""Jet GL Transactions"",""Account Index"",""113"",""Credit Amount"",""5000.00000"",""Document Number"",""SLS113050"",""Debit Amount"",""0.00000"",""Vendor Name"",""Mahler State University"",""Transaction Description"",""SALES"",""Transaction Date"",""1/1/"&amp;"2014"""</t>
  </si>
  <si>
    <t>="""GP Direct"",""Fabrikam, Inc."",""Jet GL Transactions"",""Account Index"",""113"",""Credit Amount"",""5112.33000"",""Document Number"",""SLS13015"",""Debit Amount"",""0.00000"",""Vendor Name"",""Adam Park Resort"",""Transaction Description"",""SALES"",""Transaction Date"",""1/1/2014"""</t>
  </si>
  <si>
    <t>="""GP Direct"",""Fabrikam, Inc."",""Jet GL Transactions"",""Account Index"",""113"",""Credit Amount"",""5334.34000"",""Document Number"",""SLS12074"",""Debit Amount"",""0.00000"",""Vendor Name"",""Castle Inn Resort"",""Transaction Description"",""SALES"",""Transaction Date"",""1/1/2014"""</t>
  </si>
  <si>
    <t>="""GP Direct"",""Fabrikam, Inc."",""Jet GL Transactions"",""Account Index"",""113"",""Credit Amount"",""5344.34000"",""Document Number"",""SLS11074"",""Debit Amount"",""0.00000"",""Vendor Name"",""Advanced Tech Satellite System"",""Transaction Description"",""SALES"",""Transaction Date"""&amp;",""1/1/2014"""</t>
  </si>
  <si>
    <t>="""GP Direct"",""Fabrikam, Inc."",""Jet GL Transactions"",""Account Index"",""113"",""Credit Amount"",""5488.23000"",""Document Number"",""SLS11012"",""Debit Amount"",""0.00000"",""Vendor Name"",""Aaron Fitz Electrical"",""Transaction Description"",""SALES"",""Transaction Date"",""1/1/201"&amp;"4"""</t>
  </si>
  <si>
    <t>="""GP Direct"",""Fabrikam, Inc."",""Jet GL Transactions"",""Account Index"",""113"",""Credit Amount"",""5877.69000"",""Document Number"",""SLS11084"",""Debit Amount"",""0.00000"",""Vendor Name"",""Place One Suites"",""Transaction Description"",""SALES"",""Transaction Date"",""1/1/2014"""</t>
  </si>
  <si>
    <t>="""GP Direct"",""Fabrikam, Inc."",""Jet GL Transactions"",""Account Index"",""113"",""Credit Amount"",""6040.57000"",""Document Number"",""SLS14023"",""Debit Amount"",""0.00000"",""Vendor Name"",""Comtel-Page Inc."",""Transaction Description"",""SALES"",""Transaction Date"",""1/1/2014"""</t>
  </si>
  <si>
    <t>="""GP Direct"",""Fabrikam, Inc."",""Jet GL Transactions"",""Account Index"",""113"",""Credit Amount"",""6548.79000"",""Document Number"",""SLS11062"",""Debit Amount"",""0.00000"",""Vendor Name"",""Breakthrough Telemarketing"",""Transaction Description"",""SALES"",""Transaction Date"",""1/"&amp;"1/2014"""</t>
  </si>
  <si>
    <t>="""GP Direct"",""Fabrikam, Inc."",""Jet GL Transactions"",""Account Index"",""113"",""Credit Amount"",""6559.75000"",""Document Number"",""SLS12023"",""Debit Amount"",""0.00000"",""Vendor Name"",""American Electrical Contractor"",""Transaction Description"",""SALES"",""Transaction Date"""&amp;",""1/1/2014"""</t>
  </si>
  <si>
    <t>="""GP Direct"",""Fabrikam, Inc."",""Jet GL Transactions"",""Account Index"",""113"",""Credit Amount"",""6874.50000"",""Document Number"",""SLS113052"",""Debit Amount"",""0.00000"",""Vendor Name"",""Mahler State University"",""Transaction Description"",""SALES"",""Transaction Date"",""1/1/"&amp;"2014"""</t>
  </si>
  <si>
    <t>="""GP Direct"",""Fabrikam, Inc."",""Jet GL Transactions"",""Account Index"",""113"",""Credit Amount"",""6899.54000"",""Document Number"",""SLS14062"",""Debit Amount"",""0.00000"",""Vendor Name"",""Novia Scotia Tech. Institute"",""Transaction Description"",""SALES"",""Transaction Date"","""&amp;"1/1/2014"""</t>
  </si>
  <si>
    <t>="""GP Direct"",""Fabrikam, Inc."",""Jet GL Transactions"",""Account Index"",""113"",""Credit Amount"",""6985.25000"",""Document Number"",""SLS15074"",""Debit Amount"",""0.00000"",""Vendor Name"",""Vista Travel"",""Transaction Description"",""SALES"",""Transaction Date"",""1/1/2014"""</t>
  </si>
  <si>
    <t>="""GP Direct"",""Fabrikam, Inc."",""Jet GL Transactions"",""Account Index"",""113"",""Credit Amount"",""7456.65000"",""Document Number"",""SLS13080"",""Debit Amount"",""0.00000"",""Vendor Name"",""Office Design Systems Ltd"",""Transaction Description"",""SALES"",""Transaction Date"",""1/1"&amp;"/2014"""</t>
  </si>
  <si>
    <t>="""GP Direct"",""Fabrikam, Inc."",""Jet GL Transactions"",""Account Index"",""113"",""Credit Amount"",""7458.23000"",""Document Number"",""SLS110002"",""Debit Amount"",""0.00000"",""Vendor Name"",""Holling Communications Inc."",""Transaction Description"",""SALES"",""Transaction Date"","""&amp;"1/1/2014"""</t>
  </si>
  <si>
    <t>="""GP Direct"",""Fabrikam, Inc."",""Jet GL Transactions"",""Account Index"",""113"",""Credit Amount"",""7458.96000"",""Document Number"",""SLS15020"",""Debit Amount"",""0.00000"",""Vendor Name"",""Comtel-Page Inc."",""Transaction Description"",""SALES"",""Transaction Date"",""1/1/2014"""</t>
  </si>
  <si>
    <t>="""GP Direct"",""Fabrikam, Inc."",""Jet GL Transactions"",""Account Index"",""113"",""Credit Amount"",""7905.84000"",""Document Number"",""SLS15014"",""Debit Amount"",""0.00000"",""Vendor Name"",""Cellular Express"",""Transaction Description"",""SALES"",""Transaction Date"",""1/1/2014"""</t>
  </si>
  <si>
    <t>="""GP Direct"",""Fabrikam, Inc."",""Jet GL Transactions"",""Account Index"",""113"",""Credit Amount"",""7961.66000"",""Document Number"",""SLS19031"",""Debit Amount"",""0.00000"",""Vendor Name"",""Pulaski Enterprises Inc."",""Transaction Description"",""SALES"",""Transaction Date"",""1/1/"&amp;"2014"""</t>
  </si>
  <si>
    <t>="""GP Direct"",""Fabrikam, Inc."",""Jet GL Transactions"",""Account Index"",""113"",""Credit Amount"",""8044.96000"",""Document Number"",""SLS122000"",""Debit Amount"",""0.00000"",""Vendor Name"",""Pacific Digital"",""Transaction Description"",""SALES"",""Transaction Date"",""1/1/2014"""</t>
  </si>
  <si>
    <t>="""GP Direct"",""Fabrikam, Inc."",""Jet GL Transactions"",""Account Index"",""113"",""Credit Amount"",""8314.79000"",""Document Number"",""SLS112001"",""Debit Amount"",""0.00000"",""Vendor Name"",""Central Illinois Hospital"",""Transaction Description"",""SALES"",""Transaction Date"",""1/"&amp;"1/2014"""</t>
  </si>
  <si>
    <t>="""GP Direct"",""Fabrikam, Inc."",""Jet GL Transactions"",""Account Index"",""113"",""Credit Amount"",""8469.23000"",""Document Number"",""SLS115002"",""Debit Amount"",""0.00000"",""Vendor Name"",""Coho Winery"",""Transaction Description"",""SALES"",""Transaction Date"",""1/1/2014"""</t>
  </si>
  <si>
    <t>="""GP Direct"",""Fabrikam, Inc."",""Jet GL Transactions"",""Account Index"",""113"",""Credit Amount"",""8475.69000"",""Document Number"",""SLS116002"",""Debit Amount"",""0.00000"",""Vendor Name"",""Polk Valley Highway Dept."",""Transaction Description"",""SALES"",""Transaction Date"",""1/"&amp;"1/2014"""</t>
  </si>
  <si>
    <t>="""GP Direct"",""Fabrikam, Inc."",""Jet GL Transactions"",""Account Index"",""113"",""Credit Amount"",""8499.00000"",""Document Number"",""SLS18080"",""Debit Amount"",""0.00000"",""Vendor Name"",""Vancouver Resort Hotels"",""Transaction Description"",""SALES"",""Transaction Date"",""1/1/2"&amp;"014"""</t>
  </si>
  <si>
    <t>="""GP Direct"",""Fabrikam, Inc."",""Jet GL Transactions"",""Account Index"",""113"",""Credit Amount"",""8521.89000"",""Document Number"",""SLS119002"",""Debit Amount"",""0.00000"",""Vendor Name"",""Johnson, Kimberly"",""Transaction Description"",""SALES"",""Transaction Date"",""1/1/2014"""</t>
  </si>
  <si>
    <t>="""GP Direct"",""Fabrikam, Inc."",""Jet GL Transactions"",""Account Index"",""113"",""Credit Amount"",""8545.22000"",""Document Number"",""SLS14012"",""Debit Amount"",""0.00000"",""Vendor Name"",""Astor Suites"",""Transaction Description"",""SALES"",""Transaction Date"",""1/1/2014"""</t>
  </si>
  <si>
    <t>="""GP Direct"",""Fabrikam, Inc."",""Jet GL Transactions"",""Account Index"",""113"",""Credit Amount"",""8599.36000"",""Document Number"",""SLS12060"",""Debit Amount"",""0.00000"",""Vendor Name"",""Westside Cable Service"",""Transaction Description"",""SALES"",""Transaction Date"",""1/1/20"&amp;"14"""</t>
  </si>
  <si>
    <t>="""GP Direct"",""Fabrikam, Inc."",""Jet GL Transactions"",""Account Index"",""113"",""Credit Amount"",""8977.45000"",""Document Number"",""SLS111032"",""Debit Amount"",""0.00000"",""Vendor Name"",""Margie's Travel"",""Transaction Description"",""SALES"",""Transaction Date"",""1/1/2014"""</t>
  </si>
  <si>
    <t>="""GP Direct"",""Fabrikam, Inc."",""Jet GL Transactions"",""Account Index"",""113"",""Credit Amount"",""8977.52000"",""Document Number"",""SLS11033"",""Debit Amount"",""0.00000"",""Vendor Name"",""Compu-Tech Solutions"",""Transaction Description"",""SALES"",""Transaction Date"",""1/1/2014"&amp;""""</t>
  </si>
  <si>
    <t>="""GP Direct"",""Fabrikam, Inc."",""Jet GL Transactions"",""Account Index"",""113"",""Credit Amount"",""8988.25000"",""Document Number"",""SLS14021"",""Debit Amount"",""0.00000"",""Vendor Name"",""Comtel-Page Inc."",""Transaction Description"",""SALES"",""Transaction Date"",""1/1/2014"""</t>
  </si>
  <si>
    <t>="""GP Direct"",""Fabrikam, Inc."",""Jet GL Transactions"",""Account Index"",""113"",""Credit Amount"",""9341.00000"",""Document Number"",""SLS14031"",""Debit Amount"",""0.00000"",""Vendor Name"",""Laser Messenger Service"",""Transaction Description"",""SALES"",""Transaction Date"",""1/1/2"&amp;"014"""</t>
  </si>
  <si>
    <t>="""GP Direct"",""Fabrikam, Inc."",""Jet GL Transactions"",""Account Index"",""113"",""Credit Amount"",""9500.00000"",""Document Number"",""SLS19021"",""Debit Amount"",""0.00000"",""Vendor Name"",""McConnell A.F. B."",""Transaction Description"",""SALES"",""Transaction Date"",""1/1/2014"""</t>
  </si>
  <si>
    <t>="""GP Direct"",""Fabrikam, Inc."",""Jet GL Transactions"",""Account Index"",""113"",""Credit Amount"",""9504.78000"",""Document Number"",""SLS123001"",""Debit Amount"",""0.00000"",""Vendor Name"",""Network Solutions"",""Transaction Description"",""SALES"",""Transaction Date"",""1/1/2014"""</t>
  </si>
  <si>
    <t>="""GP Direct"",""Fabrikam, Inc."",""Jet GL Transactions"",""Account Index"",""113"",""Credit Amount"",""9544.21000"",""Document Number"",""SLS11072"",""Debit Amount"",""0.00000"",""Vendor Name"",""Advanced Tech Satellite System"",""Transaction Description"",""SALES"",""Transaction Date"""&amp;",""1/1/2014"""</t>
  </si>
  <si>
    <t>="""GP Direct"",""Fabrikam, Inc."",""Jet GL Transactions"",""Account Index"",""113"",""Credit Amount"",""9570.23000"",""Document Number"",""SLS117002"",""Debit Amount"",""0.00000"",""Vendor Name"",""Northern State College"",""Transaction Description"",""SALES"",""Transaction Date"",""1/1/2"&amp;"014"""</t>
  </si>
  <si>
    <t>="""GP Direct"",""Fabrikam, Inc."",""Jet GL Transactions"",""Account Index"",""113"",""Credit Amount"",""9621.79000"",""Document Number"",""SLS17023"",""Debit Amount"",""0.00000"",""Vendor Name"",""Mutual of  Omaha"",""Transaction Description"",""SALES"",""Transaction Date"",""1/1/2014"""</t>
  </si>
  <si>
    <t>="""GP Direct"",""Fabrikam, Inc."",""Jet GL Transactions"",""Account Index"",""113"",""Credit Amount"",""9735.25000"",""Document Number"",""SLS115000"",""Debit Amount"",""0.00000"",""Vendor Name"",""Mid-City Hospital"",""Transaction Description"",""SALES"",""Transaction Date"",""1/1/2014"""</t>
  </si>
  <si>
    <t>="""GP Direct"",""Fabrikam, Inc."",""Jet GL Transactions"",""Account Index"",""113"",""Credit Amount"",""9856.25000"",""Document Number"",""SLS18010"",""Debit Amount"",""0.00000"",""Vendor Name"",""Mendota University"",""Transaction Description"",""SALES"",""Transaction Date"",""1/1/2014"""</t>
  </si>
  <si>
    <t>="""GP Direct"",""Fabrikam, Inc."",""Jet GL Transactions"",""Account Index"",""113"",""Credit Amount"",""10005.78000"",""Document Number"",""SLS13012"",""Debit Amount"",""0.00000"",""Vendor Name"",""Advanced Paper Co."",""Transaction Description"",""SALES"",""Transaction Date"",""1/1/2014"""</t>
  </si>
  <si>
    <t>="""GP Direct"",""Fabrikam, Inc."",""Jet GL Transactions"",""Account Index"",""113"",""Credit Amount"",""10455.25000"",""Document Number"",""SLS12030"",""Debit Amount"",""0.00000"",""Vendor Name"",""Kensington Gardens Resort"",""Transaction Description"",""SALES"",""Transaction Date"",""1/"&amp;"1/2014"""</t>
  </si>
  <si>
    <t>="""GP Direct"",""Fabrikam, Inc."",""Jet GL Transactions"",""Account Index"",""113"",""Credit Amount"",""11255.41000"",""Document Number"",""SLS18002"",""Debit Amount"",""0.00000"",""Vendor Name"",""Dial Direct Paging Inc."",""Transaction Description"",""SALES"",""Transaction Date"",""1/1/"&amp;"2014"""</t>
  </si>
  <si>
    <t>="""GP Direct"",""Fabrikam, Inc."",""Jet GL Transactions"",""Account Index"",""113"",""Credit Amount"",""11530.67000"",""Document Number"",""SLS110031"",""Debit Amount"",""0.00000"",""Vendor Name"",""Plaza One"",""Transaction Description"",""SALES"",""Transaction Date"",""1/1/2014"""</t>
  </si>
  <si>
    <t>="""GP Direct"",""Fabrikam, Inc."",""Jet GL Transactions"",""Account Index"",""113"",""Credit Amount"",""11605.18000"",""Document Number"",""SLS12071"",""Debit Amount"",""0.00000"",""Vendor Name"",""Castle Inn Resort"",""Transaction Description"",""SALES"",""Transaction Date"",""1/1/2014"""</t>
  </si>
  <si>
    <t>="""GP Direct"",""Fabrikam, Inc."",""Jet GL Transactions"",""Account Index"",""113"",""Credit Amount"",""11874.23000"",""Document Number"",""SLS16082"",""Debit Amount"",""0.00000"",""Vendor Name"",""Data Communications Inc."",""Transaction Description"",""SALES"",""Transaction Date"",""1/1"&amp;"/2014"""</t>
  </si>
  <si>
    <t>="""GP Direct"",""Fabrikam, Inc."",""Jet GL Transactions"",""Account Index"",""113"",""Credit Amount"",""12496.55000"",""Document Number"",""SLS12012"",""Debit Amount"",""0.00000"",""Vendor Name"",""World Enterprises"",""Transaction Description"",""SALES"",""Transaction Date"",""1/1/2014"""</t>
  </si>
  <si>
    <t>="""GP Direct"",""Fabrikam, Inc."",""Jet GL Transactions"",""Account Index"",""113"",""Credit Amount"",""12549.21000"",""Document Number"",""SLS19000"",""Debit Amount"",""0.00000"",""Vendor Name"",""Greenway Foods"",""Transaction Description"",""SALES"",""Transaction Date"",""1/1/2014"""</t>
  </si>
  <si>
    <t>="""GP Direct"",""Fabrikam, Inc."",""Jet GL Transactions"",""Account Index"",""113"",""Credit Amount"",""12575.98000"",""Document Number"",""SLS17084"",""Debit Amount"",""0.00000"",""Vendor Name"",""Place &amp; MacDero Associates"",""Transaction Description"",""SALES"",""Transaction Date"",""1"&amp;"/1/2014"""</t>
  </si>
  <si>
    <t>="""GP Direct"",""Fabrikam, Inc."",""Jet GL Transactions"",""Account Index"",""113"",""Credit Amount"",""12585.75000"",""Document Number"",""SLS116004"",""Debit Amount"",""0.00000"",""Vendor Name"",""Reynolds State College"",""Transaction Description"",""SALES"",""Transaction Date"",""1/1/"&amp;"2014"""</t>
  </si>
  <si>
    <t>="""GP Direct"",""Fabrikam, Inc."",""Jet GL Transactions"",""Account Index"",""113"",""Credit Amount"",""12589.79000"",""Document Number"",""SLS114001"",""Debit Amount"",""0.00000"",""Vendor Name"",""Hampton Village Eatery"",""Transaction Description"",""SALES"",""Transaction Date"",""1/1/"&amp;"2014"""</t>
  </si>
  <si>
    <t>="""GP Direct"",""Fabrikam, Inc."",""Jet GL Transactions"",""Account Index"",""113"",""Credit Amount"",""12859.00000"",""Document Number"",""SLS11010"",""Debit Amount"",""0.00000"",""Vendor Name"",""Alton Manufacturing"",""Transaction Description"",""SALES"",""Transaction Date"",""1/1/2014"&amp;""""</t>
  </si>
  <si>
    <t>="""GP Direct"",""Fabrikam, Inc."",""Jet GL Transactions"",""Account Index"",""113"",""Credit Amount"",""12880.13000"",""Document Number"",""SLS17020"",""Debit Amount"",""0.00000"",""Vendor Name"",""Mutual of  Omaha"",""Transaction Description"",""SALES"",""Transaction Date"",""1/1/2014"""</t>
  </si>
  <si>
    <t>="""GP Direct"",""Fabrikam, Inc."",""Jet GL Transactions"",""Account Index"",""113"",""Credit Amount"",""13894.67000"",""Document Number"",""SLS118002"",""Debit Amount"",""0.00000"",""Vendor Name"",""Downtown Hotel"",""Transaction Description"",""SALES"",""Transaction Date"",""1/1/2014"""</t>
  </si>
  <si>
    <t>="""GP Direct"",""Fabrikam, Inc."",""Jet GL Transactions"",""Account Index"",""113"",""Credit Amount"",""14585.63000"",""Document Number"",""SLS14002"",""Debit Amount"",""0.00000"",""Vendor Name"",""American Science Museum"",""Transaction Description"",""SALES"",""Transaction Date"",""1/1/"&amp;"2014"""</t>
  </si>
  <si>
    <t>="""GP Direct"",""Fabrikam, Inc."",""Jet GL Transactions"",""Account Index"",""113"",""Credit Amount"",""14595.89000"",""Document Number"",""SLS14072"",""Debit Amount"",""0.00000"",""Vendor Name"",""Rosellen General Hospital"",""Transaction Description"",""SALES"",""Transaction Date"",""1/"&amp;"1/2014"""</t>
  </si>
  <si>
    <t>="""GP Direct"",""Fabrikam, Inc."",""Jet GL Transactions"",""Account Index"",""113"",""Credit Amount"",""15466.32000"",""Document Number"",""SLS19003"",""Debit Amount"",""0.00000"",""Vendor Name"",""Greenway Foods"",""Transaction Description"",""SALES"",""Transaction Date"",""1/1/2014"""</t>
  </si>
  <si>
    <t>="""GP Direct"",""Fabrikam, Inc."",""Jet GL Transactions"",""Account Index"",""113"",""Credit Amount"",""15785.54000"",""Document Number"",""SLS116011"",""Debit Amount"",""0.00000"",""Vendor Name"",""Reynolds State College"",""Transaction Description"",""SALES"",""Transaction Date"",""1/1/"&amp;"2014"""</t>
  </si>
  <si>
    <t>="""GP Direct"",""Fabrikam, Inc."",""Jet GL Transactions"",""Account Index"",""113"",""Credit Amount"",""16134.16000"",""Document Number"",""SLS11081"",""Debit Amount"",""0.00000"",""Vendor Name"",""Place One Suites"",""Transaction Description"",""SALES"",""Transaction Date"",""1/1/2014"""</t>
  </si>
  <si>
    <t>="""GP Direct"",""Fabrikam, Inc."",""Jet GL Transactions"",""Account Index"",""113"",""Credit Amount"",""16302.54000"",""Document Number"",""SLS17082"",""Debit Amount"",""0.00000"",""Vendor Name"",""Place &amp; MacDero Associates"",""Transaction Description"",""SALES"",""Transaction Date"",""1"&amp;"/1/2014"""</t>
  </si>
  <si>
    <t>="""GP Direct"",""Fabrikam, Inc."",""Jet GL Transactions"",""Account Index"",""113"",""Credit Amount"",""17053.50000"",""Document Number"",""SLS14070"",""Debit Amount"",""0.00000"",""Vendor Name"",""World Enterprises"",""Transaction Description"",""SALES"",""Transaction Date"",""1/1/2014"""</t>
  </si>
  <si>
    <t>="""GP Direct"",""Fabrikam, Inc."",""Jet GL Transactions"",""Account Index"",""113"",""Credit Amount"",""17806.19000"",""Document Number"",""SLS124001"",""Debit Amount"",""0.00000"",""Vendor Name"",""ISN Industries"",""Transaction Description"",""SALES"",""Transaction Date"",""1/1/2014"""</t>
  </si>
  <si>
    <t>="""GP Direct"",""Fabrikam, Inc."",""Jet GL Transactions"",""Account Index"",""113"",""Credit Amount"",""17852.96000"",""Document Number"",""SLS119000"",""Debit Amount"",""0.00000"",""Vendor Name"",""Johnson, Kimberly"",""Transaction Description"",""SALES"",""Transaction Date"",""1/1/2014"""</t>
  </si>
  <si>
    <t>="""GP Direct"",""Fabrikam, Inc."",""Jet GL Transactions"",""Account Index"",""113"",""Credit Amount"",""18887.50000"",""Document Number"",""SLS117011"",""Debit Amount"",""0.00000"",""Vendor Name"",""Baker's Emporium Inc."",""Transaction Description"",""SALES"",""Transaction Date"",""1/1/2"&amp;"014"""</t>
  </si>
  <si>
    <t>="""GP Direct"",""Fabrikam, Inc."",""Jet GL Transactions"",""Account Index"",""113"",""Credit Amount"",""19498.43000"",""Document Number"",""SLS19022"",""Debit Amount"",""0.00000"",""Vendor Name"",""McConnell A.F. B."",""Transaction Description"",""SALES"",""Transaction Date"",""1/1/2014"""</t>
  </si>
  <si>
    <t>="""GP Direct"",""Fabrikam, Inc."",""Jet GL Transactions"",""Account Index"",""113"",""Credit Amount"",""19564.67000"",""Document Number"",""SLS110020"",""Debit Amount"",""0.00000"",""Vendor Name"",""Lawrence Telemarketing"",""Transaction Description"",""SALES"",""Transaction Date"",""1/1/"&amp;"2014"""</t>
  </si>
  <si>
    <t>="""GP Direct"",""Fabrikam, Inc."",""Jet GL Transactions"",""Account Index"",""113"",""Credit Amount"",""19876.35000"",""Document Number"",""SLS11013"",""Debit Amount"",""0.00000"",""Vendor Name"",""Alton Manufacturing"",""Transaction Description"",""SALES"",""Transaction Date"",""1/1/2014"&amp;""""</t>
  </si>
  <si>
    <t>="""GP Direct"",""Fabrikam, Inc."",""Jet GL Transactions"",""Account Index"",""113"",""Credit Amount"",""21854.25000"",""Document Number"",""SLS113000"",""Debit Amount"",""0.00000"",""Vendor Name"",""Heartland Tower Systems"",""Transaction Description"",""SALES"",""Transaction Date"",""1/1"&amp;"/2014"""</t>
  </si>
  <si>
    <t>="""GP Direct"",""Fabrikam, Inc."",""Jet GL Transactions"",""Account Index"",""113"",""Credit Amount"",""21895.64000"",""Document Number"",""SLS18081"",""Debit Amount"",""0.00000"",""Vendor Name"",""Vancouver Resort Hotels"",""Transaction Description"",""SALES"",""Transaction Date"",""1/1/"&amp;"2014"""</t>
  </si>
  <si>
    <t>="""GP Direct"",""Fabrikam, Inc."",""Jet GL Transactions"",""Account Index"",""113"",""Credit Amount"",""25481.84000"",""Document Number"",""SLS113013"",""Debit Amount"",""0.00000"",""Vendor Name"",""S &amp; S Properties"",""Transaction Description"",""SALES"",""Transaction Date"",""1/1/2014"""</t>
  </si>
  <si>
    <t>="""GP Direct"",""Fabrikam, Inc."",""Jet GL Transactions"",""Account Index"",""113"",""Credit Amount"",""25846.25000"",""Document Number"",""SLS11011"",""Debit Amount"",""0.00000"",""Vendor Name"",""Alton Manufacturing"",""Transaction Description"",""SALES"",""Transaction Date"",""1/1/2014"&amp;""""</t>
  </si>
  <si>
    <t>="""GP Direct"",""Fabrikam, Inc."",""Jet GL Transactions"",""Account Index"",""113"",""Credit Amount"",""25897.55000"",""Document Number"",""SLS118010"",""Debit Amount"",""0.00000"",""Vendor Name"",""Unified Wire and Cable Systems"",""Transaction Description"",""SALES"",""Transaction Dat"&amp;"e"",""1/1/2014"""</t>
  </si>
  <si>
    <t>="""GP Direct"",""Fabrikam, Inc."",""Jet GL Transactions"",""Account Index"",""113"",""Credit Amount"",""27655.89000"",""Document Number"",""SLS11116"",""Debit Amount"",""0.00000"",""Vendor Name"",""Alton Manufacturing"",""Transaction Description"",""SALES"",""Transaction Date"",""1/1/2014"&amp;""""</t>
  </si>
  <si>
    <t>="""GP Direct"",""Fabrikam, Inc."",""Jet GL Transactions"",""Account Index"",""113"",""Credit Amount"",""27806.57000"",""Document Number"",""SLS114050"",""Debit Amount"",""0.00000"",""Vendor Name"",""St. Mary's Hospital"",""Transaction Description"",""SALES"",""Transaction Date"",""1/1/201"&amp;"4"""</t>
  </si>
  <si>
    <t>="""GP Direct"",""Fabrikam, Inc."",""Jet GL Transactions"",""Account Index"",""113"",""Credit Amount"",""32159.85000"",""Document Number"",""SLS18012"",""Debit Amount"",""0.00000"",""Vendor Name"",""Mendota University"",""Transaction Description"",""SALES"",""Transaction Date"",""1/1/2014"""</t>
  </si>
  <si>
    <t>="""GP Direct"",""Fabrikam, Inc."",""Jet GL Transactions"",""Account Index"",""113"",""Credit Amount"",""35805.79000"",""Document Number"",""SLS125000"",""Debit Amount"",""0.00000"",""Vendor Name"",""Red's Food Market"",""Transaction Description"",""SALES"",""Transaction Date"",""1/1/2014"""</t>
  </si>
  <si>
    <t>="""GP Direct"",""Fabrikam, Inc."",""Jet GL Transactions"",""Account Index"",""113"",""Credit Amount"",""43500.96000"",""Document Number"",""SLS126000"",""Debit Amount"",""0.00000"",""Vendor Name"",""Snelling Communications Inc."",""Transaction Description"",""SALES"",""Transaction Date"""&amp;",""1/1/2014"""</t>
  </si>
  <si>
    <t>="""GP Direct"",""Fabrikam, Inc."",""Jet GL Transactions"",""Account Index"",""113"",""Credit Amount"",""54401.72000"",""Document Number"",""SLS115050"",""Debit Amount"",""0.00000"",""Vendor Name"",""Berry Medical Center"",""Transaction Description"",""SALES"",""Transaction Date"",""1/1/20"&amp;"14"""</t>
  </si>
  <si>
    <t>="""GP Direct"",""Fabrikam, Inc."",""Jet GL Transactions"",""Account Index"",""114"",""Credit Amount"",""1255.89000"",""Document Number"",""SLS110002"",""Debit Amount"",""0.00000"",""Vendor Name"",""Holling Communications Inc."",""Transaction Description"",""SALES"",""Transaction Date"","""&amp;"1/1/2014"""</t>
  </si>
  <si>
    <t>="""GP Direct"",""Fabrikam, Inc."",""Jet GL Transactions"",""Account Index"",""114"",""Credit Amount"",""1500.00000"",""Document Number"",""SLS112031"",""Debit Amount"",""0.00000"",""Vendor Name"",""Northstar Mall"",""Transaction Description"",""SALES"",""Transaction Date"",""1/1/2014"""</t>
  </si>
  <si>
    <t>="""GP Direct"",""Fabrikam, Inc."",""Jet GL Transactions"",""Account Index"",""114"",""Credit Amount"",""1505.79000"",""Document Number"",""SLS115002"",""Debit Amount"",""0.00000"",""Vendor Name"",""Coho Winery"",""Transaction Description"",""SALES"",""Transaction Date"",""1/1/2014"""</t>
  </si>
  <si>
    <t>="""GP Direct"",""Fabrikam, Inc."",""Jet GL Transactions"",""Account Index"",""114"",""Credit Amount"",""1564.23000"",""Document Number"",""SLS14012"",""Debit Amount"",""0.00000"",""Vendor Name"",""Astor Suites"",""Transaction Description"",""SALES"",""Transaction Date"",""1/1/2014"""</t>
  </si>
  <si>
    <t>="""GP Direct"",""Fabrikam, Inc."",""Jet GL Transactions"",""Account Index"",""114"",""Credit Amount"",""1697.96000"",""Document Number"",""SLS17023"",""Debit Amount"",""0.00000"",""Vendor Name"",""Mutual of  Omaha"",""Transaction Description"",""SALES"",""Transaction Date"",""1/1/2014"""</t>
  </si>
  <si>
    <t>="""GP Direct"",""Fabrikam, Inc."",""Jet GL Transactions"",""Account Index"",""114"",""Credit Amount"",""2034.83000"",""Document Number"",""SLS110031"",""Debit Amount"",""0.00000"",""Vendor Name"",""Plaza One"",""Transaction Description"",""SALES"",""Transaction Date"",""1/1/2014"""</t>
  </si>
  <si>
    <t>="""GP Direct"",""Fabrikam, Inc."",""Jet GL Transactions"",""Account Index"",""114"",""Credit Amount"",""2042.73000"",""Document Number"",""SLS110020"",""Debit Amount"",""0.00000"",""Vendor Name"",""Lawrence Telemarketing"",""Transaction Description"",""SALES"",""Transaction Date"",""1/1/2"&amp;"014"""</t>
  </si>
  <si>
    <t>="""GP Direct"",""Fabrikam, Inc."",""Jet GL Transactions"",""Account Index"",""114"",""Credit Amount"",""2090.63000"",""Document Number"",""SLS116011"",""Debit Amount"",""0.00000"",""Vendor Name"",""Reynolds State College"",""Transaction Description"",""SALES"",""Transaction Date"",""1/1/2"&amp;"014"""</t>
  </si>
  <si>
    <t>="""GP Direct"",""Fabrikam, Inc."",""Jet GL Transactions"",""Account Index"",""114"",""Credit Amount"",""2488.25000"",""Document Number"",""SLS12012"",""Debit Amount"",""0.00000"",""Vendor Name"",""World Enterprises"",""Transaction Description"",""SALES"",""Transaction Date"",""1/1/2014"""</t>
  </si>
  <si>
    <t>="""GP Direct"",""Fabrikam, Inc."",""Jet GL Transactions"",""Account Index"",""114"",""Credit Amount"",""3300.70000"",""Document Number"",""SLS11014"",""Debit Amount"",""0.00000"",""Vendor Name"",""Aaron Fitz Electrical"",""Transaction Description"",""SALES"",""Transaction Date"",""1/1/201"&amp;"4"""</t>
  </si>
  <si>
    <t>="""GP Direct"",""Fabrikam, Inc."",""Jet GL Transactions"",""Account Index"",""114"",""Credit Amount"",""4293.37000"",""Document Number"",""SLS17020"",""Debit Amount"",""0.00000"",""Vendor Name"",""Mutual of  Omaha"",""Transaction Description"",""SALES"",""Transaction Date"",""1/1/2014"""</t>
  </si>
  <si>
    <t>="""GP Direct"",""Fabrikam, Inc."",""Jet GL Transactions"",""Account Index"",""114"",""Credit Amount"",""5240.00000"",""Document Number"",""SLS18012"",""Debit Amount"",""0.00000"",""Vendor Name"",""Mendota University"",""Transaction Description"",""SALES"",""Transaction Date"",""1/1/2014"""</t>
  </si>
  <si>
    <t>="""GP Direct"",""Fabrikam, Inc."",""Jet GL Transactions"",""Account Index"",""114"",""Credit Amount"",""5698.61000"",""Document Number"",""SLS119000"",""Debit Amount"",""0.00000"",""Vendor Name"",""Johnson, Kimberly"",""Transaction Description"",""SALES"",""Transaction Date"",""1/1/2014"""</t>
  </si>
  <si>
    <t>="""GP Direct"",""Fabrikam, Inc."",""Jet GL Transactions"",""Account Index"",""114"",""Credit Amount"",""5791.95000"",""Document Number"",""SLS19000"",""Debit Amount"",""0.00000"",""Vendor Name"",""Greenway Foods"",""Transaction Description"",""SALES"",""Transaction Date"",""1/1/2014"""</t>
  </si>
  <si>
    <t>="""GP Direct"",""Fabrikam, Inc."",""Jet GL Transactions"",""Account Index"",""114"",""Credit Amount"",""6549.25000"",""Document Number"",""SLS114001"",""Debit Amount"",""0.00000"",""Vendor Name"",""Hampton Village Eatery"",""Transaction Description"",""SALES"",""Transaction Date"",""1/1/2"&amp;"014"""</t>
  </si>
  <si>
    <t>="""GP Direct"",""Fabrikam, Inc."",""Jet GL Transactions"",""Account Index"",""114"",""Credit Amount"",""8945.25000"",""Document Number"",""SLS11013"",""Debit Amount"",""0.00000"",""Vendor Name"",""Alton Manufacturing"",""Transaction Description"",""SALES"",""Transaction Date"",""1/1/2014"""</t>
  </si>
  <si>
    <t>="""GP Direct"",""Fabrikam, Inc."",""Jet GL Transactions"",""Account Index"",""114"",""Credit Amount"",""109.95000"",""Document Number"","""",""Debit Amount"",""0.00000"",""Vendor Name"",""Aaron Fitz Electrical"",""Transaction Description"",""SALES"",""Transaction Date"",""2/15/2014"""</t>
  </si>
  <si>
    <t>="""GP Direct"",""Fabrikam, Inc."",""Jet GL Transactions"",""Account Index"",""115"",""Credit Amount"",""7393.77000"",""Document Number"",""SLS15081"",""Debit Amount"",""0.00000"",""Vendor Name"",""Riverside University"",""Transaction Description"",""SALES"",""Transaction Date"",""1/1/2014"&amp;""""</t>
  </si>
  <si>
    <t>="""GP Direct"",""Fabrikam, Inc."",""Jet GL Transactions"",""Account Index"",""115"",""Credit Amount"",""7620.29000"",""Document Number"",""SLS13061"",""Debit Amount"",""0.00000"",""Vendor Name"",""Northern Family Hospital"",""Transaction Description"",""SALES"",""Transaction Date"",""1/1/"&amp;"2014"""</t>
  </si>
  <si>
    <t>="""GP Direct"",""Fabrikam, Inc."",""Jet GL Transactions"",""Account Index"",""115"",""Credit Amount"",""8911.60000"",""Document Number"",""SLS15063"",""Debit Amount"",""0.00000"",""Vendor Name"",""Dollis Cove Resort"",""Transaction Description"",""SALES"",""Transaction Date"",""1/1/2014"""</t>
  </si>
  <si>
    <t>="""GP Direct"",""Fabrikam, Inc."",""Jet GL Transactions"",""Account Index"",""115"",""Credit Amount"",""12452.00000"",""Document Number"",""SLS15060"",""Debit Amount"",""0.00000"",""Vendor Name"",""Dollis Cove Resort"",""Transaction Description"",""SALES"",""Transaction Date"",""1/1/2014"""</t>
  </si>
  <si>
    <t>="""GP Direct"",""Fabrikam, Inc."",""Jet GL Transactions"",""Account Index"",""115"",""Credit Amount"",""5842.15000"",""Document Number"","""",""Debit Amount"",""0.00000"",""Vendor Name"","""",""Transaction Description"","""",""Transaction Date"",""1/10/2014"""</t>
  </si>
  <si>
    <t>="""GP Direct"",""Fabrikam, Inc."",""Jet GL Transactions"",""Account Index"",""117"",""Credit Amount"",""3258.48000"",""Document Number"",""SLS14095"",""Debit Amount"",""0.00000"",""Vendor Name"",""Computer Equipment Leasing"",""Transaction Description"",""SALES"",""Transaction Date"",""1/"&amp;"1/2014"""</t>
  </si>
  <si>
    <t>="""GP Direct"",""Fabrikam, Inc."",""Jet GL Transactions"",""Account Index"",""117"",""Credit Amount"",""6068.07000"",""Document Number"",""SLS13092"",""Debit Amount"",""0.00000"",""Vendor Name"",""St. Patrick's Hospital"",""Transaction Description"",""SALES"",""Transaction Date"",""1/1/20"&amp;"14"""</t>
  </si>
  <si>
    <t>="""GP Direct"",""Fabrikam, Inc."",""Jet GL Transactions"",""Account Index"",""117"",""Credit Amount"",""6351.29000"",""Document Number"",""SLS14091"",""Debit Amount"",""0.00000"",""Vendor Name"",""Computer Equipment Leasing"",""Transaction Description"",""SALES"",""Transaction Date"",""1/"&amp;"1/2014"""</t>
  </si>
  <si>
    <t>="""GP Direct"",""Fabrikam, Inc."",""Jet GL Transactions"",""Account Index"",""117"",""Credit Amount"",""7856.36000"",""Document Number"",""SLS15094"",""Debit Amount"",""0.00000"",""Vendor Name"",""Leisure &amp; Travel Consultants"",""Transaction Description"",""SALES"",""Transaction Date"","""&amp;"1/1/2014"""</t>
  </si>
  <si>
    <t>="""GP Direct"",""Fabrikam, Inc."",""Jet GL Transactions"",""Account Index"",""117"",""Credit Amount"",""9545.22000"",""Document Number"",""SALES000000000001"",""Debit Amount"",""0.00000"",""Vendor Name"",""Executive Resources"",""Transaction Description"",""SALES"",""Transaction Date"","""&amp;"1/1/2014"""</t>
  </si>
  <si>
    <t>="""GP Direct"",""Fabrikam, Inc."",""Jet GL Transactions"",""Account Index"",""117"",""Credit Amount"",""10259.87000"",""Document Number"",""SLS15097"",""Debit Amount"",""0.00000"",""Vendor Name"",""Leisure &amp; Travel Consultants"",""Transaction Description"",""SALES"",""Transaction Date"","&amp;"""1/1/2014"""</t>
  </si>
  <si>
    <t>="""GP Direct"",""Fabrikam, Inc."",""Jet GL Transactions"",""Account Index"",""117"",""Credit Amount"",""12899.65000"",""Document Number"",""SLS12093"",""Debit Amount"",""0.00000"",""Vendor Name"",""Boyle's Country Inn's"",""Transaction Description"",""SALES"",""Transaction Date"",""1/1/20"&amp;"14"""</t>
  </si>
  <si>
    <t>="""GP Direct"",""Fabrikam, Inc."",""Jet GL Transactions"",""Account Index"",""117"",""Credit Amount"",""15485.97000"",""Document Number"",""SLS15093"",""Debit Amount"",""0.00000"",""Vendor Name"",""Leisure &amp; Travel Consultants"",""Transaction Description"",""SALES"",""Transaction Date"","&amp;"""1/1/2014"""</t>
  </si>
  <si>
    <t>="""GP Direct"",""Fabrikam, Inc."",""Jet GL Transactions"",""Account Index"",""117"",""Credit Amount"",""16843.75000"",""Document Number"",""SLS11091"",""Debit Amount"",""0.00000"",""Vendor Name"",""Country View Estates"",""Transaction Description"",""SALES"",""Transaction Date"",""1/1/201"&amp;"4"""</t>
  </si>
  <si>
    <t>="""GP Direct"",""Fabrikam, Inc."",""Jet GL Transactions"",""Account Index"",""117"",""Credit Amount"",""1658.23000"",""Document Number"","""",""Debit Amount"",""0.00000"",""Vendor Name"","""",""Transaction Description"","""",""Transaction Date"",""1/4/2014"""</t>
  </si>
  <si>
    <t>="""GP Direct"",""Fabrikam, Inc."",""Jet GL Transactions"",""Account Index"",""117"",""Credit Amount"",""5412.36000"",""Document Number"","""",""Debit Amount"",""0.00000"",""Vendor Name"","""",""Transaction Description"","""",""Transaction Date"",""1/24/2014"""</t>
  </si>
  <si>
    <t>=NF($E167,K$2)</t>
  </si>
  <si>
    <t>=NF($E167,M$2)</t>
  </si>
  <si>
    <t>=NF($E167,O$2)</t>
  </si>
  <si>
    <t>=NF($E167,L$2)</t>
  </si>
  <si>
    <t>=NF($E167,P$2)</t>
  </si>
  <si>
    <t>="""GP Direct"",""Fabrikam, Inc."",""Jet GL Transactions"",""Account Index"",""118"",""Credit Amount"",""3701.68000"",""Document Number"",""SLS16090"",""Debit Amount"",""0.00000"",""Vendor Name"",""Executive Resources"",""Transaction Description"",""SALES"",""Transaction Date"",""1/1/2014"""</t>
  </si>
  <si>
    <t>=NF($E168,K$2)</t>
  </si>
  <si>
    <t>=NF($E168,M$2)</t>
  </si>
  <si>
    <t>=NF($E168,O$2)</t>
  </si>
  <si>
    <t>=NF($E168,L$2)</t>
  </si>
  <si>
    <t>=NF($E168,P$2)</t>
  </si>
  <si>
    <t>=NF($E177,K$2)</t>
  </si>
  <si>
    <t>=NF($E177,M$2)</t>
  </si>
  <si>
    <t>=NF($E177,O$2)</t>
  </si>
  <si>
    <t>=NF($E177,L$2)</t>
  </si>
  <si>
    <t>=NF($E177,P$2)</t>
  </si>
  <si>
    <t>=NF($E180,K$2)</t>
  </si>
  <si>
    <t>=NF($E180,M$2)</t>
  </si>
  <si>
    <t>=NF($E180,O$2)</t>
  </si>
  <si>
    <t>=NF($E180,L$2)</t>
  </si>
  <si>
    <t>=NF($E180,P$2)</t>
  </si>
  <si>
    <t>=NF($E183,K$2)</t>
  </si>
  <si>
    <t>=NF($E183,M$2)</t>
  </si>
  <si>
    <t>=NF($E183,O$2)</t>
  </si>
  <si>
    <t>=NF($E183,L$2)</t>
  </si>
  <si>
    <t>=NF($E183,P$2)</t>
  </si>
  <si>
    <t>="""GP Direct"",""Fabrikam, Inc."",""Jet GL Transactions"",""Account Index"",""373"",""Credit Amount"",""1889.11000"",""Document Number"","""",""Debit Amount"",""0.00000"",""Vendor Name"","""",""Transaction Description"","""",""Transaction Date"",""1/19/2014"""</t>
  </si>
  <si>
    <t>=NF($E184,K$2)</t>
  </si>
  <si>
    <t>=NF($E184,M$2)</t>
  </si>
  <si>
    <t>=NF($E184,O$2)</t>
  </si>
  <si>
    <t>=NF($E184,L$2)</t>
  </si>
  <si>
    <t>=NF($E184,P$2)</t>
  </si>
  <si>
    <t>=NF($E190,K$2)</t>
  </si>
  <si>
    <t>=NF($E190,M$2)</t>
  </si>
  <si>
    <t>=NF($E190,O$2)</t>
  </si>
  <si>
    <t>=NF($E190,L$2)</t>
  </si>
  <si>
    <t>=NF($E190,P$2)</t>
  </si>
  <si>
    <t>=NF($E193,K$2)</t>
  </si>
  <si>
    <t>=NF($E193,M$2)</t>
  </si>
  <si>
    <t>=NF($E193,O$2)</t>
  </si>
  <si>
    <t>=NF($E193,L$2)</t>
  </si>
  <si>
    <t>=NF($E193,P$2)</t>
  </si>
  <si>
    <t>="""GP Direct"",""Fabrikam, Inc."",""Jet GL Transactions"",""Account Index"",""119"",""Credit Amount"",""3500.00000"",""Document Number"",""SLS118000"",""Debit Amount"",""0.00000"",""Vendor Name"",""Downtown Hotel"",""Transaction Description"",""SALES"",""Transaction Date"",""1/1/2014"""</t>
  </si>
  <si>
    <t>="""GP Direct"",""Fabrikam, Inc."",""Jet GL Transactions"",""Account Index"",""119"",""Credit Amount"",""3500.00000"",""Document Number"",""SLS14065"",""Debit Amount"",""0.00000"",""Vendor Name"",""Novia Scotia Tech. Institute"",""Transaction Description"",""SALES"",""Transaction Date"","""&amp;"1/1/2014"""</t>
  </si>
  <si>
    <t>="""GP Direct"",""Fabrikam, Inc."",""Jet GL Transactions"",""Account Index"",""119"",""Credit Amount"",""4150.00000"",""Document Number"",""SLS13064"",""Debit Amount"",""0.00000"",""Vendor Name"",""Northern Family Hospital"",""Transaction Description"",""SALES"",""Transaction Date"",""1/1/"&amp;"2014"""</t>
  </si>
  <si>
    <t>="""GP Direct"",""Fabrikam, Inc."",""Jet GL Transactions"",""Account Index"",""119"",""Credit Amount"",""5000.00000"",""Document Number"",""SLS11016"",""Debit Amount"",""0.00000"",""Vendor Name"",""Aaron Fitz Electrical"",""Transaction Description"",""SALES"",""Transaction Date"",""1/1/201"&amp;"4"""</t>
  </si>
  <si>
    <t>="""GP Direct"",""Fabrikam, Inc."",""Jet GL Transactions"",""Account Index"",""119"",""Credit Amount"",""7500.00000"",""Document Number"",""SLS114011"",""Debit Amount"",""0.00000"",""Vendor Name"",""National Shopping World"",""Transaction Description"",""SALES"",""Transaction Date"",""1/1/"&amp;"2014"""</t>
  </si>
  <si>
    <t>="""GP Direct"",""Fabrikam, Inc."",""Jet GL Transactions"",""Account Index"",""119"",""Credit Amount"",""8150.00000"",""Document Number"",""SLS114003"",""Debit Amount"",""0.00000"",""Vendor Name"",""Hampton Village Eatery"",""Transaction Description"",""SALES"",""Transaction Date"",""1/1/2"&amp;"014"""</t>
  </si>
  <si>
    <t>="""GP Direct"",""Fabrikam, Inc."",""Jet GL Transactions"",""Account Index"",""119"",""Credit Amount"",""8500.00000"",""Document Number"",""SLS13014"",""Debit Amount"",""0.00000"",""Vendor Name"",""Adam Park Resort"",""Transaction Description"",""SALES"",""Transaction Date"",""1/1/2014"""</t>
  </si>
  <si>
    <t>="""GP Direct"",""Fabrikam, Inc."",""Jet GL Transactions"",""Account Index"",""119"",""Credit Amount"",""9500.00000"",""Document Number"",""SLS111031"",""Debit Amount"",""0.00000"",""Vendor Name"",""Margie's Travel"",""Transaction Description"",""SALES"",""Transaction Date"",""1/1/2014"""</t>
  </si>
  <si>
    <t>="""GP Direct"",""Fabrikam, Inc."",""Jet GL Transactions"",""Account Index"",""119"",""Credit Amount"",""9500.00000"",""Document Number"",""SLS123003"",""Debit Amount"",""0.00000"",""Vendor Name"",""Network Solutions"",""Transaction Description"",""SALES"",""Transaction Date"",""1/1/2014"""</t>
  </si>
  <si>
    <t>="""GP Direct"",""Fabrikam, Inc."",""Jet GL Transactions"",""Account Index"",""119"",""Credit Amount"",""10000.00000"",""Document Number"",""SLS110005"",""Debit Amount"",""0.00000"",""Vendor Name"",""Holling Communications Inc."",""Transaction Description"",""SALES"",""Transaction Date"","&amp;"""1/1/2014"""</t>
  </si>
  <si>
    <t>="""GP Direct"",""Fabrikam, Inc."",""Jet GL Transactions"",""Account Index"",""119"",""Credit Amount"",""10500.00000"",""Document Number"",""SLS112012"",""Debit Amount"",""0.00000"",""Vendor Name"",""Octagon Marketing Org."",""Transaction Description"",""SALES"",""Transaction Date"",""1/1/"&amp;"2014"""</t>
  </si>
  <si>
    <t>="""GP Direct"",""Fabrikam, Inc."",""Jet GL Transactions"",""Account Index"",""119"",""Credit Amount"",""10500.00000"",""Document Number"",""SLS15075"",""Debit Amount"",""0.00000"",""Vendor Name"",""Vista Travel"",""Transaction Description"",""SALES"",""Transaction Date"",""1/1/2014"""</t>
  </si>
  <si>
    <t>="""GP Direct"",""Fabrikam, Inc."",""Jet GL Transactions"",""Account Index"",""119"",""Credit Amount"",""12000.00000"",""Document Number"",""SLS121002"",""Debit Amount"",""0.00000"",""Vendor Name"",""Rainbow Research"",""Transaction Description"",""SALES"",""Transaction Date"",""1/1/2014"""</t>
  </si>
  <si>
    <t>="""GP Direct"",""Fabrikam, Inc."",""Jet GL Transactions"",""Account Index"",""119"",""Credit Amount"",""15000.00000"",""Document Number"",""SLS11086"",""Debit Amount"",""0.00000"",""Vendor Name"",""Place One Suites"",""Transaction Description"",""SALES"",""Transaction Date"",""1/1/2014"""</t>
  </si>
  <si>
    <t>="""GP Direct"",""Fabrikam, Inc."",""Jet GL Transactions"",""Account Index"",""119"",""Credit Amount"",""15000.00000"",""Document Number"",""SLS16011"",""Debit Amount"",""0.00000"",""Vendor Name"",""Getaway Inn"",""Transaction Description"",""SALES"",""Transaction Date"",""1/1/2014"""</t>
  </si>
  <si>
    <t>="""GP Direct"",""Fabrikam, Inc."",""Jet GL Transactions"",""Account Index"",""119"",""Credit Amount"",""16000.00000"",""Document Number"",""SLS17024"",""Debit Amount"",""0.00000"",""Vendor Name"",""Mutual of  Omaha"",""Transaction Description"",""SALES"",""Transaction Date"",""1/1/2014"""</t>
  </si>
  <si>
    <t>="""GP Direct"",""Fabrikam, Inc."",""Jet GL Transactions"",""Account Index"",""119"",""Credit Amount"",""16000.00000"",""Document Number"",""SLS17032"",""Debit Amount"",""0.00000"",""Vendor Name"",""Metropolitan Fiber Systems"",""Transaction Description"",""SALES"",""Transaction Date"",""1"&amp;"/1/2014"""</t>
  </si>
  <si>
    <t>=NF($E219,K$2)</t>
  </si>
  <si>
    <t>=NF($E219,M$2)</t>
  </si>
  <si>
    <t>=NF($E219,O$2)</t>
  </si>
  <si>
    <t>=NF($E219,L$2)</t>
  </si>
  <si>
    <t>=NF($E219,P$2)</t>
  </si>
  <si>
    <t>="""GP Direct"",""Fabrikam, Inc."",""Jet GL Transactions"",""Account Index"",""122"",""Credit Amount"",""833.33000"",""Document Number"",""SLS11015"",""Debit Amount"",""0.00000"",""Vendor Name"",""Aaron Fitz Electrical"",""Transaction Description"",""SALES"",""Transaction Date"",""1/1/2014"&amp;""""</t>
  </si>
  <si>
    <t>="""GP Direct"",""Fabrikam, Inc."",""Jet GL Transactions"",""Account Index"",""122"",""Credit Amount"",""1389.74000"",""Document Number"",""SLS110004"",""Debit Amount"",""0.00000"",""Vendor Name"",""Holling Communications Inc."",""Transaction Description"",""SALES"",""Transaction Date"","""&amp;"1/1/2014"""</t>
  </si>
  <si>
    <t>="""GP Direct"",""Fabrikam, Inc."",""Jet GL Transactions"",""Account Index"",""122"",""Credit Amount"",""1956.87000"",""Document Number"",""SLS14063"",""Debit Amount"",""0.00000"",""Vendor Name"",""Novia Scotia Tech. Institute"",""Transaction Description"",""SALES"",""Transaction Date"","""&amp;"1/1/2014"""</t>
  </si>
  <si>
    <t>="""GP Direct"",""Fabrikam, Inc."",""Jet GL Transactions"",""Account Index"",""122"",""Credit Amount"",""2564.88000"",""Document Number"",""SLS12062"",""Debit Amount"",""0.00000"",""Vendor Name"",""LeClerc &amp; Associates"",""Transaction Description"",""SALES"",""Transaction Date"",""1/1/2014"&amp;""""</t>
  </si>
  <si>
    <t>="""GP Direct"",""Fabrikam, Inc."",""Jet GL Transactions"",""Account Index"",""122"",""Credit Amount"",""2892.25000"",""Document Number"",""SLS13062"",""Debit Amount"",""0.00000"",""Vendor Name"",""Northern Family Hospital"",""Transaction Description"",""SALES"",""Transaction Date"",""1/1/"&amp;"2014"""</t>
  </si>
  <si>
    <t>="""GP Direct"",""Fabrikam, Inc."",""Jet GL Transactions"",""Account Index"",""122"",""Credit Amount"",""3000.00000"",""Document Number"",""SLS12031"",""Debit Amount"",""0.00000"",""Vendor Name"",""Kensington Gardens Resort"",""Transaction Description"",""SALES"",""Transaction Date"",""1/1"&amp;"/2014"""</t>
  </si>
  <si>
    <t>="""GP Direct"",""Fabrikam, Inc."",""Jet GL Transactions"",""Account Index"",""122"",""Credit Amount"",""3250.25000"",""Document Number"",""SLS123002"",""Debit Amount"",""0.00000"",""Vendor Name"",""Network Solutions"",""Transaction Description"",""SALES"",""Transaction Date"",""1/1/2014"""</t>
  </si>
  <si>
    <t>="""GP Direct"",""Fabrikam, Inc."",""Jet GL Transactions"",""Account Index"",""122"",""Credit Amount"",""3276.46000"",""Document Number"",""SLS125001"",""Debit Amount"",""0.00000"",""Vendor Name"",""Red's Food Market"",""Transaction Description"",""SALES"",""Transaction Date"",""1/1/2014"""</t>
  </si>
  <si>
    <t>="""GP Direct"",""Fabrikam, Inc."",""Jet GL Transactions"",""Account Index"",""122"",""Credit Amount"",""3687.45000"",""Document Number"",""SLS19001"",""Debit Amount"",""0.00000"",""Vendor Name"",""Greenway Foods"",""Transaction Description"",""SALES"",""Transaction Date"",""1/1/2014"""</t>
  </si>
  <si>
    <t>="""GP Direct"",""Fabrikam, Inc."",""Jet GL Transactions"",""Account Index"",""122"",""Credit Amount"",""3971.48000"",""Document Number"",""SLS17014"",""Debit Amount"",""0.00000"",""Vendor Name"",""Midland Construction"",""Transaction Description"",""SALES"",""Transaction Date"",""1/1/2014"&amp;""""</t>
  </si>
  <si>
    <t>="""GP Direct"",""Fabrikam, Inc."",""Jet GL Transactions"",""Account Index"",""122"",""Credit Amount"",""4141.94000"",""Document Number"",""SLS15064"",""Debit Amount"",""0.00000"",""Vendor Name"",""Dollis Cove Resort"",""Transaction Description"",""SALES"",""Transaction Date"",""1/1/2014"""</t>
  </si>
  <si>
    <t>="""GP Direct"",""Fabrikam, Inc."",""Jet GL Transactions"",""Account Index"",""122"",""Credit Amount"",""4338.82000"",""Document Number"",""SLS14013"",""Debit Amount"",""0.00000"",""Vendor Name"",""Astor Suites"",""Transaction Description"",""SALES"",""Transaction Date"",""1/1/2014"""</t>
  </si>
  <si>
    <t>="""GP Direct"",""Fabrikam, Inc."",""Jet GL Transactions"",""Account Index"",""122"",""Credit Amount"",""4506.97000"",""Document Number"",""SLS119003"",""Debit Amount"",""0.00000"",""Vendor Name"",""Johnson, Kimberly"",""Transaction Description"",""SALES"",""Transaction Date"",""1/1/2014"""</t>
  </si>
  <si>
    <t>="""GP Direct"",""Fabrikam, Inc."",""Jet GL Transactions"",""Account Index"",""122"",""Credit Amount"",""4703.82000"",""Document Number"",""SLS19020"",""Debit Amount"",""0.00000"",""Vendor Name"",""McConnell A.F. B."",""Transaction Description"",""SALES"",""Transaction Date"",""1/1/2014"""</t>
  </si>
  <si>
    <t>="""GP Direct"",""Fabrikam, Inc."",""Jet GL Transactions"",""Account Index"",""122"",""Credit Amount"",""5295.15000"",""Document Number"",""SLS117012"",""Debit Amount"",""0.00000"",""Vendor Name"",""Baker's Emporium Inc."",""Transaction Description"",""SALES"",""Transaction Date"",""1/1/20"&amp;"14"""</t>
  </si>
  <si>
    <t>="""GP Direct"",""Fabrikam, Inc."",""Jet GL Transactions"",""Account Index"",""122"",""Credit Amount"",""5405.75000"",""Document Number"",""SLS112002"",""Debit Amount"",""0.00000"",""Vendor Name"",""Central Illinois Hospital"",""Transaction Description"",""SALES"",""Transaction Date"",""1/"&amp;"1/2014"""</t>
  </si>
  <si>
    <t>="""GP Direct"",""Fabrikam, Inc."",""Jet GL Transactions"",""Account Index"",""122"",""Credit Amount"",""5608.38000"",""Document Number"",""SLS11085"",""Debit Amount"",""0.00000"",""Vendor Name"",""Place One Suites"",""Transaction Description"",""SALES"",""Transaction Date"",""1/1/2014"""</t>
  </si>
  <si>
    <t>="""GP Direct"",""Fabrikam, Inc."",""Jet GL Transactions"",""Account Index"",""122"",""Credit Amount"",""5660.75000"",""Document Number"",""SLS116015"",""Debit Amount"",""0.00000"",""Vendor Name"",""Reynolds State College"",""Transaction Description"",""SALES"",""Transaction Date"",""1/1/2"&amp;"014"""</t>
  </si>
  <si>
    <t>="""GP Direct"",""Fabrikam, Inc."",""Jet GL Transactions"",""Account Index"",""122"",""Credit Amount"",""5880.25000"",""Document Number"",""SLS14073"",""Debit Amount"",""0.00000"",""Vendor Name"",""Rosellen General Hospital"",""Transaction Description"",""SALES"",""Transaction Date"",""1/1"&amp;"/2014"""</t>
  </si>
  <si>
    <t>="""GP Direct"",""Fabrikam, Inc."",""Jet GL Transactions"",""Account Index"",""122"",""Credit Amount"",""7109.47000"",""Document Number"",""SLS12013"",""Debit Amount"",""0.00000"",""Vendor Name"",""World Enterprises"",""Transaction Description"",""SALES"",""Transaction Date"",""1/1/2014"""</t>
  </si>
  <si>
    <t>="""GP Direct"",""Fabrikam, Inc."",""Jet GL Transactions"",""Account Index"",""122"",""Credit Amount"",""7829.27000"",""Document Number"",""SLS115012"",""Debit Amount"",""0.00000"",""Vendor Name"",""Mid-City Hospital"",""Transaction Description"",""SALES"",""Transaction Date"",""1/1/2014"""</t>
  </si>
  <si>
    <t>="""GP Direct"",""Fabrikam, Inc."",""Jet GL Transactions"",""Account Index"",""122"",""Credit Amount"",""8281.52000"",""Document Number"",""SLS115003"",""Debit Amount"",""0.00000"",""Vendor Name"",""Coho Winery"",""Transaction Description"",""SALES"",""Transaction Date"",""1/1/2014"""</t>
  </si>
  <si>
    <t>="""GP Direct"",""Fabrikam, Inc."",""Jet GL Transactions"",""Account Index"",""122"",""Credit Amount"",""8573.98000"",""Document Number"",""SLS119001"",""Debit Amount"",""0.00000"",""Vendor Name"",""Johnson, Kimberly"",""Transaction Description"",""SALES"",""Transaction Date"",""1/1/2014"""</t>
  </si>
  <si>
    <t>="""GP Direct"",""Fabrikam, Inc."",""Jet GL Transactions"",""Account Index"",""122"",""Credit Amount"",""8579.63000"",""Document Number"",""SLS114002"",""Debit Amount"",""0.00000"",""Vendor Name"",""Hampton Village Eatery"",""Transaction Description"",""SALES"",""Transaction Date"",""1/1/2"&amp;"014"""</t>
  </si>
  <si>
    <t>="""GP Direct"",""Fabrikam, Inc."",""Jet GL Transactions"",""Account Index"",""122"",""Credit Amount"",""9353.64000"",""Document Number"",""SLS126001"",""Debit Amount"",""0.00000"",""Vendor Name"",""Snelling Communications Inc."",""Transaction Description"",""SALES"",""Transaction Date"","&amp;"""1/1/2014"""</t>
  </si>
  <si>
    <t>="""GP Direct"",""Fabrikam, Inc."",""Jet GL Transactions"",""Account Index"",""122"",""Credit Amount"",""9856.74000"",""Document Number"",""SLS124002"",""Debit Amount"",""0.00000"",""Vendor Name"",""ISN Industries"",""Transaction Description"",""SALES"",""Transaction Date"",""1/1/2014"""</t>
  </si>
  <si>
    <t>="""GP Direct"",""Fabrikam, Inc."",""Jet GL Transactions"",""Account Index"",""122"",""Credit Amount"",""9858.52000"",""Document Number"",""SLS18083"",""Debit Amount"",""0.00000"",""Vendor Name"",""Vancouver Resort Hotels"",""Transaction Description"",""SALES"",""Transaction Date"",""1/1/2"&amp;"014"""</t>
  </si>
  <si>
    <t>="""GP Direct"",""Fabrikam, Inc."",""Jet GL Transactions"",""Account Index"",""122"",""Credit Amount"",""9946.37000"",""Document Number"",""SLS12073"",""Debit Amount"",""0.00000"",""Vendor Name"",""Castle Inn Resort"",""Transaction Description"",""SALES"",""Transaction Date"",""1/1/2014"""</t>
  </si>
  <si>
    <t>="""GP Direct"",""Fabrikam, Inc."",""Jet GL Transactions"",""Account Index"",""122"",""Credit Amount"",""12621.97000"",""Document Number"",""SLS18014"",""Debit Amount"",""0.00000"",""Vendor Name"",""Mendota University"",""Transaction Description"",""SALES"",""Transaction Date"",""1/1/2014"""</t>
  </si>
  <si>
    <t>="""GP Direct"",""Fabrikam, Inc."",""Jet GL Transactions"",""Account Index"",""122"",""Credit Amount"",""12650.00000"",""Document Number"",""SLS14030"",""Debit Amount"",""0.00000"",""Vendor Name"",""Laser Messenger Service"",""Transaction Description"",""SALES"",""Transaction Date"",""1/1/"&amp;"2014"""</t>
  </si>
  <si>
    <t>="""GP Direct"",""Fabrikam, Inc."",""Jet GL Transactions"",""Account Index"",""122"",""Credit Amount"",""15896.25000"",""Document Number"",""SLS11114"",""Debit Amount"",""0.00000"",""Vendor Name"",""Alton Manufacturing"",""Transaction Description"",""SALES"",""Transaction Date"",""1/1/2014"&amp;""""</t>
  </si>
  <si>
    <t>="""GP Direct"",""Fabrikam, Inc."",""Jet GL Transactions"",""Account Index"",""122"",""Credit Amount"",""19575.88000"",""Document Number"",""SLS17022"",""Debit Amount"",""0.00000"",""Vendor Name"",""Mutual of  Omaha"",""Transaction Description"",""SALES"",""Transaction Date"",""1/1/2014"""</t>
  </si>
  <si>
    <t>=NF($E272,K$2)</t>
  </si>
  <si>
    <t>=NF($E272,M$2)</t>
  </si>
  <si>
    <t>=NF($E272,O$2)</t>
  </si>
  <si>
    <t>=NF($E272,L$2)</t>
  </si>
  <si>
    <t>=NF($E272,P$2)</t>
  </si>
  <si>
    <t>="""GP Direct"",""Fabrikam, Inc."",""Jet GL Transactions"",""Account Index"",""124"",""Credit Amount"",""6961.81000"",""Document Number"",""SLS16091"",""Debit Amount"",""0.00000"",""Vendor Name"",""Executive Resources"",""Transaction Description"",""SALES"",""Transaction Date"",""1/1/2014"""</t>
  </si>
  <si>
    <t>=NF($E273,K$2)</t>
  </si>
  <si>
    <t>=NF($E273,M$2)</t>
  </si>
  <si>
    <t>=NF($E273,O$2)</t>
  </si>
  <si>
    <t>=NF($E273,L$2)</t>
  </si>
  <si>
    <t>=NF($E273,P$2)</t>
  </si>
  <si>
    <t>="""GP Direct"",""Fabrikam, Inc."",""Jet GL Transactions"",""Account Index"",""125"",""Credit Amount"",""258.97000"",""Document Number"",""SVC19011"",""Debit Amount"",""0.00000"",""Vendor Name"",""Manchester Suites"",""Transaction Description"",""SERVICE"",""Transaction Date"",""1/1/2014"""</t>
  </si>
  <si>
    <t>="""GP Direct"",""Fabrikam, Inc."",""Jet GL Transactions"",""Account Index"",""125"",""Credit Amount"",""676.21000"",""Document Number"",""SVC16080"",""Debit Amount"",""0.00000"",""Vendor Name"",""Data Communications Inc."",""Transaction Description"",""SERVICE"",""Transaction Date"",""1/1"&amp;"/2014"""</t>
  </si>
  <si>
    <t>="""GP Direct"",""Fabrikam, Inc."",""Jet GL Transactions"",""Account Index"",""125"",""Credit Amount"",""825.59000"",""Document Number"",""SVC17031"",""Debit Amount"",""0.00000"",""Vendor Name"",""Metropolitan Fiber Systems"",""Transaction Description"",""SERVICE"",""Transaction Date"",""1"&amp;"/1/2014"""</t>
  </si>
  <si>
    <t>="""GP Direct"",""Fabrikam, Inc."",""Jet GL Transactions"",""Account Index"",""125"",""Credit Amount"",""825.64000"",""Document Number"",""SVC11020"",""Debit Amount"",""0.00000"",""Vendor Name"",""Associated Insurance Company"",""Transaction Description"",""SERVICE"",""Transaction Date"","&amp;"""1/1/2014"""</t>
  </si>
  <si>
    <t>="""GP Direct"",""Fabrikam, Inc."",""Jet GL Transactions"",""Account Index"",""125"",""Credit Amount"",""890.00000"",""Document Number"",""SVC112030"",""Debit Amount"",""0.00000"",""Vendor Name"",""Northstar Mall"",""Transaction Description"",""SERVICE"",""Transaction Date"",""1/1/2014"""</t>
  </si>
  <si>
    <t>="""GP Direct"",""Fabrikam, Inc."",""Jet GL Transactions"",""Account Index"",""125"",""Credit Amount"",""984.25000"",""Document Number"",""SVC14014"",""Debit Amount"",""0.00000"",""Vendor Name"",""Astor Suites"",""Transaction Description"",""SERVICE"",""Transaction Date"",""1/1/2014"""</t>
  </si>
  <si>
    <t>="""GP Direct"",""Fabrikam, Inc."",""Jet GL Transactions"",""Account Index"",""125"",""Credit Amount"",""986.97000"",""Document Number"",""SVC111012"",""Debit Amount"",""0.00000"",""Vendor Name"",""North College"",""Transaction Description"",""SERVICE"",""Transaction Date"",""1/1/2014"""</t>
  </si>
  <si>
    <t>="""GP Direct"",""Fabrikam, Inc."",""Jet GL Transactions"",""Account Index"",""125"",""Credit Amount"",""1015.99000"",""Document Number"",""SVC14064"",""Debit Amount"",""0.00000"",""Vendor Name"",""Novia Scotia Tech. Institute"",""Transaction Description"",""SERVICE"",""Transaction Date"""&amp;",""1/1/2014"""</t>
  </si>
  <si>
    <t>="""GP Direct"",""Fabrikam, Inc."",""Jet GL Transactions"",""Account Index"",""125"",""Credit Amount"",""1023.87000"",""Document Number"",""SVC11051"",""Debit Amount"",""0.00000"",""Vendor Name"",""Continental Properties"",""Transaction Description"",""SERVICE"",""Transaction Date"",""1/1/"&amp;"2014"""</t>
  </si>
  <si>
    <t>="""GP Direct"",""Fabrikam, Inc."",""Jet GL Transactions"",""Account Index"",""125"",""Credit Amount"",""1266.39000"",""Document Number"",""SVC110013"",""Debit Amount"",""0.00000"",""Vendor Name"",""Super Foods Plus"",""Transaction Description"",""SERVICE"",""Transaction Date"",""1/1/2014"""</t>
  </si>
  <si>
    <t>="""GP Direct"",""Fabrikam, Inc."",""Jet GL Transactions"",""Account Index"",""125"",""Credit Amount"",""1369.87000"",""Document Number"",""SVC16000"",""Debit Amount"",""0.00000"",""Vendor Name"",""Central Communications LTD"",""Transaction Description"",""SALES"",""Transaction Date"",""1/"&amp;"1/2014"""</t>
  </si>
  <si>
    <t>="""GP Direct"",""Fabrikam, Inc."",""Jet GL Transactions"",""Account Index"",""125"",""Credit Amount"",""1435.32000"",""Document Number"",""SVC14082"",""Debit Amount"",""0.00000"",""Vendor Name"",""Communication Connections"",""Transaction Description"",""SERVICE"",""Transaction Date"",""1"&amp;"/1/2014"""</t>
  </si>
  <si>
    <t>="""GP Direct"",""Fabrikam, Inc."",""Jet GL Transactions"",""Account Index"",""125"",""Credit Amount"",""1566.32000"",""Document Number"",""SVC15072"",""Debit Amount"",""0.00000"",""Vendor Name"",""Vista Travel"",""Transaction Description"",""SERVICE"",""Transaction Date"",""1/1/2014"""</t>
  </si>
  <si>
    <t>="""GP Direct"",""Fabrikam, Inc."",""Jet GL Transactions"",""Account Index"",""125"",""Credit Amount"",""1569.31000"",""Document Number"",""SVC14013"",""Debit Amount"",""0.00000"",""Vendor Name"",""American Science Museum"",""Transaction Description"",""SERVICE"",""Transaction Date"",""1/1"&amp;"/2014"""</t>
  </si>
  <si>
    <t>="""GP Direct"",""Fabrikam, Inc."",""Jet GL Transactions"",""Account Index"",""125"",""Credit Amount"",""1569.74000"",""Document Number"",""SVC12010"",""Debit Amount"",""0.00000"",""Vendor Name"",""Atmore Retirement Center"",""Transaction Description"",""SERVICE"",""Transaction Date"",""1/"&amp;"1/2014"""</t>
  </si>
  <si>
    <t>="""GP Direct"",""Fabrikam, Inc."",""Jet GL Transactions"",""Account Index"",""125"",""Credit Amount"",""1608.97000"",""Document Number"",""SVC17085"",""Debit Amount"",""0.00000"",""Vendor Name"",""Place &amp; MacDero Associates"",""Transaction Description"",""SERVICE"",""Transaction Date"","""&amp;"1/1/2014"""</t>
  </si>
  <si>
    <t>="""GP Direct"",""Fabrikam, Inc."",""Jet GL Transactions"",""Account Index"",""125"",""Credit Amount"",""1684.79000"",""Document Number"",""SVC13013"",""Debit Amount"",""0.00000"",""Vendor Name"",""Advanced Paper Co."",""Transaction Description"",""SERVICE"",""Transaction Date"",""1/1/2014"&amp;""""</t>
  </si>
  <si>
    <t>="""GP Direct"",""Fabrikam, Inc."",""Jet GL Transactions"",""Account Index"",""125"",""Credit Amount"",""1722.87000"",""Document Number"",""SVC11082"",""Debit Amount"",""0.00000"",""Vendor Name"",""Place One Suites"",""Transaction Description"",""SERVICE"",""Transaction Date"",""1/1/2014"""</t>
  </si>
  <si>
    <t>="""GP Direct"",""Fabrikam, Inc."",""Jet GL Transactions"",""Account Index"",""125"",""Credit Amount"",""1723.98000"",""Document Number"",""SLS13063"",""Debit Amount"",""0.00000"",""Vendor Name"",""Northern Family Hospital"",""Transaction Description"",""SALES"",""Transaction Date"",""1/1/"&amp;"2014"""</t>
  </si>
  <si>
    <t>="""GP Direct"",""Fabrikam, Inc."",""Jet GL Transactions"",""Account Index"",""125"",""Credit Amount"",""1732.82000"",""Document Number"",""SLS14075"",""Debit Amount"",""0.00000"",""Vendor Name"",""Rosellen General Hospital"",""Transaction Description"",""SALES"",""Transaction Date"",""1/1"&amp;"/2014"""</t>
  </si>
  <si>
    <t>="""GP Direct"",""Fabrikam, Inc."",""Jet GL Transactions"",""Account Index"",""125"",""Credit Amount"",""1784.52000"",""Document Number"",""SVC13081"",""Debit Amount"",""0.00000"",""Vendor Name"",""Office Design Systems Ltd"",""Transaction Description"",""SERVICE"",""Transaction Date"",""1"&amp;"/1/2014"""</t>
  </si>
  <si>
    <t>="""GP Direct"",""Fabrikam, Inc."",""Jet GL Transactions"",""Account Index"",""125"",""Credit Amount"",""1799.04000"",""Document Number"",""SVC117001"",""Debit Amount"",""0.00000"",""Vendor Name"",""Northern State College"",""Transaction Description"",""SERVICE"",""Transaction Date"",""1/1"&amp;"/2014"""</t>
  </si>
  <si>
    <t>="""GP Direct"",""Fabrikam, Inc."",""Jet GL Transactions"",""Account Index"",""125"",""Credit Amount"",""1855.69000"",""Document Number"",""SVC13071"",""Debit Amount"",""0.00000"",""Vendor Name"",""Communication Connections"",""Transaction Description"",""SERVICE"",""Transaction Date"",""1"&amp;"/1/2014"""</t>
  </si>
  <si>
    <t>="""GP Direct"",""Fabrikam, Inc."",""Jet GL Transactions"",""Account Index"",""125"",""Credit Amount"",""1859.63000"",""Document Number"",""SVC11004"",""Debit Amount"",""0.00000"",""Vendor Name"",""Aaron Fitz Electrical"",""Transaction Description"",""SERVICE"",""Transaction Date"",""1/1/2"&amp;"014"""</t>
  </si>
  <si>
    <t>="""GP Direct"",""Fabrikam, Inc."",""Jet GL Transactions"",""Account Index"",""125"",""Credit Amount"",""2080.94000"",""Document Number"",""SVC115004"",""Debit Amount"",""0.00000"",""Vendor Name"",""Coho Winery"",""Transaction Description"",""SERVICE"",""Transaction Date"",""1/1/2014"""</t>
  </si>
  <si>
    <t>="""GP Direct"",""Fabrikam, Inc."",""Jet GL Transactions"",""Account Index"",""125"",""Credit Amount"",""2109.87000"",""Document Number"",""SVC113001"",""Debit Amount"",""0.00000"",""Vendor Name"",""Heartland Tower Systems"",""Transaction Description"",""SERVICE"",""Transaction Date"",""1/"&amp;"1/2014"""</t>
  </si>
  <si>
    <t>="""GP Direct"",""Fabrikam, Inc."",""Jet GL Transactions"",""Account Index"",""125"",""Credit Amount"",""2157.63000"",""Document Number"",""SLS13024"",""Debit Amount"",""0.00000"",""Vendor Name"",""Contoso, Ltd."",""Transaction Description"",""SALES"",""Transaction Date"",""1/1/2014"""</t>
  </si>
  <si>
    <t>="""GP Direct"",""Fabrikam, Inc."",""Jet GL Transactions"",""Account Index"",""125"",""Credit Amount"",""2158.96000"",""Document Number"",""SLS18013"",""Debit Amount"",""0.00000"",""Vendor Name"",""Dial Direct Paging Inc."",""Transaction Description"",""SALES"",""Transaction Date"",""1/1/2"&amp;"014"""</t>
  </si>
  <si>
    <t>="""GP Direct"",""Fabrikam, Inc."",""Jet GL Transactions"",""Account Index"",""125"",""Credit Amount"",""2159.87000"",""Document Number"",""SVC11021"",""Debit Amount"",""0.00000"",""Vendor Name"",""Associated Insurance Company"",""Transaction Description"",""SERVICE"",""Transaction Date"""&amp;",""1/1/2014"""</t>
  </si>
  <si>
    <t>="""GP Direct"",""Fabrikam, Inc."",""Jet GL Transactions"",""Account Index"",""125"",""Credit Amount"",""2356.89000"",""Document Number"",""SVC11013"",""Debit Amount"",""0.00000"",""Vendor Name"",""Aaron Fitz Electrical"",""Transaction Description"",""SERVICE"",""Transaction Date"",""1/1/2"&amp;"014"""</t>
  </si>
  <si>
    <t>="""GP Direct"",""Fabrikam, Inc."",""Jet GL Transactions"",""Account Index"",""125"",""Credit Amount"",""2399.74000"",""Document Number"",""SVC116001"",""Debit Amount"",""0.00000"",""Vendor Name"",""Polk Valley Highway Dept."",""Transaction Description"",""SERVICE"",""Transaction Date"","""&amp;"1/1/2014"""</t>
  </si>
  <si>
    <t>="""GP Direct"",""Fabrikam, Inc."",""Jet GL Transactions"",""Account Index"",""125"",""Credit Amount"",""2477.31000"",""Document Number"",""SVC13012"",""Debit Amount"",""0.00000"",""Vendor Name"",""Adam Park Resort"",""Transaction Description"",""SERVICE"",""Transaction Date"",""1/1/2014"""</t>
  </si>
  <si>
    <t>="""GP Direct"",""Fabrikam, Inc."",""Jet GL Transactions"",""Account Index"",""125"",""Credit Amount"",""2495.53000"",""Document Number"",""SVC17035"",""Debit Amount"",""0.00000"",""Vendor Name"",""Metropolitan Fiber Systems"",""Transaction Description"",""SERVICE"",""Transaction Date"","""&amp;"1/1/2014"""</t>
  </si>
  <si>
    <t>="""GP Direct"",""Fabrikam, Inc."",""Jet GL Transactions"",""Account Index"",""125"",""Credit Amount"",""2764.91000"",""Document Number"",""SLS16020"",""Debit Amount"",""0.00000"",""Vendor Name"",""Multitech Office Components"",""Transaction Description"",""SALES"",""Transaction Date"",""1"&amp;"/1/2014"""</t>
  </si>
  <si>
    <t>="""GP Direct"",""Fabrikam, Inc."",""Jet GL Transactions"",""Account Index"",""125"",""Credit Amount"",""2883.93000"",""Document Number"",""SVS113051"",""Debit Amount"",""0.00000"",""Vendor Name"",""Mahler State University"",""Transaction Description"",""SERVICE"",""Transaction Date"",""1/"&amp;"1/2014"""</t>
  </si>
  <si>
    <t>="""GP Direct"",""Fabrikam, Inc."",""Jet GL Transactions"",""Account Index"",""125"",""Credit Amount"",""2966.78000"",""Document Number"",""SVC17012"",""Debit Amount"",""0.00000"",""Vendor Name"",""Midland Construction"",""Transaction Description"",""SERVICE"",""Transaction Date"",""1/1/20"&amp;"14"""</t>
  </si>
  <si>
    <t>="""GP Direct"",""Fabrikam, Inc."",""Jet GL Transactions"",""Account Index"",""125"",""Credit Amount"",""2977.74000"",""Document Number"",""SVC120002"",""Debit Amount"",""0.00000"",""Vendor Name"",""Franchise Office Machines"",""Transaction Description"",""SERVICE"",""Transaction Date"","""&amp;"1/1/2014"""</t>
  </si>
  <si>
    <t>="""GP Direct"",""Fabrikam, Inc."",""Jet GL Transactions"",""Account Index"",""125"",""Credit Amount"",""3145.29000"",""Document Number"",""SVC18031"",""Debit Amount"",""0.00000"",""Vendor Name"",""Nova Systems, Inc."",""Transaction Description"",""SERVICE"",""Transaction Date"",""1/1/2014"&amp;""""</t>
  </si>
  <si>
    <t>="""GP Direct"",""Fabrikam, Inc."",""Jet GL Transactions"",""Account Index"",""125"",""Credit Amount"",""3488.57000"",""Document Number"",""SVC16010"",""Debit Amount"",""0.00000"",""Vendor Name"",""Getaway Inn"",""Transaction Description"",""SERVICE"",""Transaction Date"",""1/1/2014"""</t>
  </si>
  <si>
    <t>="""GP Direct"",""Fabrikam, Inc."",""Jet GL Transactions"",""Account Index"",""125"",""Credit Amount"",""3598.75000"",""Document Number"",""SVC15031"",""Debit Amount"",""0.00000"",""Vendor Name"",""Direct Marketers"",""Transaction Description"",""SERVICE"",""Transaction Date"",""1/1/2014"""</t>
  </si>
  <si>
    <t>="""GP Direct"",""Fabrikam, Inc."",""Jet GL Transactions"",""Account Index"",""125"",""Credit Amount"",""7972.75000"",""Document Number"",""SVC115011"",""Debit Amount"",""0.00000"",""Vendor Name"",""Mid-City Hospital"",""Transaction Description"",""SERVICE"",""Transaction Date"",""1/1/2014"&amp;""""</t>
  </si>
  <si>
    <t>=NF($E332,K$2)</t>
  </si>
  <si>
    <t>=NF($E332,M$2)</t>
  </si>
  <si>
    <t>=NF($E332,O$2)</t>
  </si>
  <si>
    <t>=NF($E332,L$2)</t>
  </si>
  <si>
    <t>=NF($E332,P$2)</t>
  </si>
  <si>
    <t>=NF($E335,K$2)</t>
  </si>
  <si>
    <t>=NF($E335,M$2)</t>
  </si>
  <si>
    <t>=NF($E335,O$2)</t>
  </si>
  <si>
    <t>=NF($E335,L$2)</t>
  </si>
  <si>
    <t>=NF($E335,P$2)</t>
  </si>
  <si>
    <t>="""GP Direct"",""Fabrikam, Inc."",""Jet GL Transactions"",""Account Index"",""127"",""Credit Amount"",""2499.76000"",""Document Number"",""SVC16094"",""Debit Amount"",""0.00000"",""Vendor Name"",""Executive Resources"",""Transaction Description"",""SERVICE"",""Transaction Date"",""1/1/201"&amp;"4"""</t>
  </si>
  <si>
    <t>=NF($E336,K$2)</t>
  </si>
  <si>
    <t>=NF($E336,M$2)</t>
  </si>
  <si>
    <t>=NF($E336,O$2)</t>
  </si>
  <si>
    <t>=NF($E336,L$2)</t>
  </si>
  <si>
    <t>=NF($E336,P$2)</t>
  </si>
  <si>
    <t>="""GP Direct"",""Fabrikam, Inc."",""Jet GL Transactions"",""Account Index"",""128"",""Credit Amount"",""0.00000"",""Document Number"",""PMT11005"",""Debit Amount"",""516.93000"",""Vendor Name"",""Alton Manufacturing"",""Transaction Description"",""TAKEN"",""Transaction Date"",""1/31/2014"""</t>
  </si>
  <si>
    <t>="""GP Direct"",""Fabrikam, Inc."",""Jet GL Transactions"",""Account Index"",""128"",""Credit Amount"",""0.00000"",""Document Number"",""PMT125002"",""Debit Amount"",""716.12000"",""Vendor Name"",""Red's Food Market"",""Transaction Description"",""TAKEN"",""Transaction Date"",""1/31/2014"""</t>
  </si>
  <si>
    <t>="""GP Direct"",""Fabrikam, Inc."",""Jet GL Transactions"",""Account Index"",""128"",""Credit Amount"",""0.00000"",""Document Number"",""PMT14022"",""Debit Amount"",""179.77000"",""Vendor Name"",""Comtel-Page Inc."",""Transaction Description"",""TAKEN"",""Transaction Date"",""1/31/2014"""</t>
  </si>
  <si>
    <t>="""GP Direct"",""Fabrikam, Inc."",""Jet GL Transactions"",""Account Index"",""128"",""Credit Amount"",""0.00000"",""Document Number"",""PMT17021"",""Debit Amount"",""343.47000"",""Vendor Name"",""Mutual of  Omaha"",""Transaction Description"",""TAKEN"",""Transaction Date"",""1/31/2014"""</t>
  </si>
  <si>
    <t>="""GP Direct"",""Fabrikam, Inc."",""Jet GL Transactions"",""Account Index"",""128"",""Credit Amount"",""0.00000"",""Document Number"",""PMT18011"",""Debit Amount"",""197.13000"",""Vendor Name"",""Mendota University"",""Transaction Description"",""TAKEN"",""Transaction Date"",""1/31/2014"""</t>
  </si>
  <si>
    <t>="""GP Direct"",""Fabrikam, Inc."",""Jet GL Transactions"",""Account Index"",""131"",""Credit Amount"",""0.00000"",""Document Number"",""SLS11011"",""Debit Amount"",""516.93000"",""Vendor Name"",""Alton Manufacturing"",""Transaction Description"",""TRADE"",""Transaction Date"",""1/1/2014"""</t>
  </si>
  <si>
    <t>="""GP Direct"",""Fabrikam, Inc."",""Jet GL Transactions"",""Account Index"",""131"",""Credit Amount"",""0.00000"",""Document Number"",""SLS11081"",""Debit Amount"",""322.68000"",""Vendor Name"",""Place One Suites"",""Transaction Description"",""TRADE"",""Transaction Date"",""1/1/2014"""</t>
  </si>
  <si>
    <t>="""GP Direct"",""Fabrikam, Inc."",""Jet GL Transactions"",""Account Index"",""131"",""Credit Amount"",""0.00000"",""Document Number"",""SLS117011"",""Debit Amount"",""377.75000"",""Vendor Name"",""Baker's Emporium Inc."",""Transaction Description"",""TRADE"",""Transaction Date"",""1/1/201"&amp;"4"""</t>
  </si>
  <si>
    <t>="""GP Direct"",""Fabrikam, Inc."",""Jet GL Transactions"",""Account Index"",""131"",""Credit Amount"",""0.00000"",""Document Number"",""SLS12030"",""Debit Amount"",""209.10000"",""Vendor Name"",""Kensington Gardens Resort"",""Transaction Description"",""TRADE"",""Transaction Date"",""1/1/"&amp;"2014"""</t>
  </si>
  <si>
    <t>="""GP Direct"",""Fabrikam, Inc."",""Jet GL Transactions"",""Account Index"",""131"",""Credit Amount"",""0.00000"",""Document Number"",""SLS124001"",""Debit Amount"",""356.12000"",""Vendor Name"",""ISN Industries"",""Transaction Description"",""TRADE"",""Transaction Date"",""1/1/2014"""</t>
  </si>
  <si>
    <t>="""GP Direct"",""Fabrikam, Inc."",""Jet GL Transactions"",""Account Index"",""131"",""Credit Amount"",""0.00000"",""Document Number"",""SLS125000"",""Debit Amount"",""716.12000"",""Vendor Name"",""Red's Food Market"",""Transaction Description"",""TRADE"",""Transaction Date"",""1/1/2014"""</t>
  </si>
  <si>
    <t>="""GP Direct"",""Fabrikam, Inc."",""Jet GL Transactions"",""Account Index"",""131"",""Credit Amount"",""0.00000"",""Document Number"",""SLS14021"",""Debit Amount"",""179.77000"",""Vendor Name"",""Comtel-Page Inc."",""Transaction Description"",""TRADE"",""Transaction Date"",""1/1/2014"""</t>
  </si>
  <si>
    <t>="""GP Direct"",""Fabrikam, Inc."",""Jet GL Transactions"",""Account Index"",""131"",""Credit Amount"",""0.00000"",""Document Number"",""SLS14031"",""Debit Amount"",""186.82000"",""Vendor Name"",""Laser Messenger Service"",""Transaction Description"",""TRADE"",""Transaction Date"",""1/1/20"&amp;"14"""</t>
  </si>
  <si>
    <t>="""GP Direct"",""Fabrikam, Inc."",""Jet GL Transactions"",""Account Index"",""131"",""Credit Amount"",""0.00000"",""Document Number"",""SLS14070"",""Debit Amount"",""341.07000"",""Vendor Name"",""World Enterprises"",""Transaction Description"",""TRADE"",""Transaction Date"",""1/1/2014"""</t>
  </si>
  <si>
    <t>="""GP Direct"",""Fabrikam, Inc."",""Jet GL Transactions"",""Account Index"",""131"",""Credit Amount"",""0.00000"",""Document Number"",""SLS15060"",""Debit Amount"",""249.04000"",""Vendor Name"",""Dollis Cove Resort"",""Transaction Description"",""TRADE"",""Transaction Date"",""1/1/2014"""</t>
  </si>
  <si>
    <t>="""GP Direct"",""Fabrikam, Inc."",""Jet GL Transactions"",""Account Index"",""131"",""Credit Amount"",""0.00000"",""Document Number"",""SLS15093"",""Debit Amount"",""309.72000"",""Vendor Name"",""Leisure &amp; Travel Consultants"",""Transaction Description"",""TRADE"",""Transaction Date"",""1"&amp;"/1/2014"""</t>
  </si>
  <si>
    <t>="""GP Direct"",""Fabrikam, Inc."",""Jet GL Transactions"",""Account Index"",""131"",""Credit Amount"",""0.00000"",""Document Number"",""SLS16090"",""Debit Amount"",""99.98000"",""Vendor Name"",""Executive Resources"",""Transaction Description"",""TRADE"",""Transaction Date"",""1/1/2014"""</t>
  </si>
  <si>
    <t>="""GP Direct"",""Fabrikam, Inc."",""Jet GL Transactions"",""Account Index"",""131"",""Credit Amount"",""0.00000"",""Document Number"",""SLS17020"",""Debit Amount"",""343.47000"",""Vendor Name"",""Mutual of  Omaha"",""Transaction Description"",""TRADE"",""Transaction Date"",""1/1/2014"""</t>
  </si>
  <si>
    <t>="""GP Direct"",""Fabrikam, Inc."",""Jet GL Transactions"",""Account Index"",""131"",""Credit Amount"",""0.00000"",""Document Number"",""SLS18010"",""Debit Amount"",""197.13000"",""Vendor Name"",""Mendota University"",""Transaction Description"",""TRADE"",""Transaction Date"",""1/1/2014"""</t>
  </si>
  <si>
    <t>="""GP Direct"",""Fabrikam, Inc."",""Jet GL Transactions"",""Account Index"",""131"",""Credit Amount"",""0.00000"",""Document Number"",""SLS18080"",""Debit Amount"",""169.98000"",""Vendor Name"",""Vancouver Resort Hotels"",""Transaction Description"",""TRADE"",""Transaction Date"",""1/1/20"&amp;"14"""</t>
  </si>
  <si>
    <t>="""GP Direct"",""Fabrikam, Inc."",""Jet GL Transactions"",""Account Index"",""131"",""Credit Amount"",""0.00000"",""Document Number"",""SLS19000"",""Debit Amount"",""366.82000"",""Vendor Name"",""Greenway Foods"",""Transaction Description"",""TRADE"",""Transaction Date"",""1/1/2014"""</t>
  </si>
  <si>
    <t>="""GP Direct"",""Fabrikam, Inc."",""Jet GL Transactions"",""Account Index"",""131"",""Credit Amount"",""0.00000"",""Document Number"",""SLS19002"",""Debit Amount"",""12.69000"",""Vendor Name"",""Greenway Foods"",""Transaction Description"",""TRADE"",""Transaction Date"",""1/1/2014"""</t>
  </si>
  <si>
    <t>="""GP Direct"",""Fabrikam, Inc."",""Jet GL Transactions"",""Account Index"",""134"",""Credit Amount"",""0.00000"",""Document Number"",""CM11071"",""Debit Amount"",""799.23000"",""Vendor Name"",""Advanced Tech Satellite System"",""Transaction Description"",""CRMEMO"",""Transaction Date"","&amp;"""1/1/2014"""</t>
  </si>
  <si>
    <t>="""GP Direct"",""Fabrikam, Inc."",""Jet GL Transactions"",""Account Index"",""134"",""Credit Amount"",""0.00000"",""Document Number"",""CM115054"",""Debit Amount"",""1899.40000"",""Vendor Name"",""Berry Medical Center"",""Transaction Description"",""CRMEMO"",""Transaction Date"",""1/1/201"&amp;"4"""</t>
  </si>
  <si>
    <t>="""GP Direct"",""Fabrikam, Inc."",""Jet GL Transactions"",""Account Index"",""134"",""Credit Amount"",""0.00000"",""Document Number"",""CM122001"",""Debit Amount"",""1682.84000"",""Vendor Name"",""Pacific Digital"",""Transaction Description"",""CRMEMO"",""Transaction Date"",""1/1/2014"""</t>
  </si>
  <si>
    <t>="""GP Direct"",""Fabrikam, Inc."",""Jet GL Transactions"",""Account Index"",""134"",""Credit Amount"",""0.00000"",""Document Number"",""CM17005"",""Debit Amount"",""793.59000"",""Vendor Name"",""Midland Construction"",""Transaction Description"",""CRMEMO"",""Transaction Date"",""1/1/2014"""</t>
  </si>
  <si>
    <t>="""GP Direct"",""Fabrikam, Inc."",""Jet GL Transactions"",""Account Index"",""134"",""Credit Amount"",""0.00000"",""Document Number"",""RTN110010"",""Debit Amount"",""651.00000"",""Vendor Name"",""Super Foods Plus"",""Transaction Description"",""RETURNS"",""Transaction Date"",""1/1/2014"""</t>
  </si>
  <si>
    <t>="""GP Direct"",""Fabrikam, Inc."",""Jet GL Transactions"",""Account Index"",""134"",""Credit Amount"",""0.00000"",""Document Number"",""RTN110012"",""Debit Amount"",""912.42000"",""Vendor Name"",""Super Foods Plus"",""Transaction Description"",""RETURNS"",""Transaction Date"",""1/1/2014"""</t>
  </si>
  <si>
    <t>="""GP Direct"",""Fabrikam, Inc."",""Jet GL Transactions"",""Account Index"",""134"",""Credit Amount"",""0.00000"",""Document Number"",""RTN112010"",""Debit Amount"",""1427.05000"",""Vendor Name"",""Octagon Marketing Org."",""Transaction Description"",""RETURNS"",""Transaction Date"",""1/1"&amp;"/2014"""</t>
  </si>
  <si>
    <t>="""GP Direct"",""Fabrikam, Inc."",""Jet GL Transactions"",""Account Index"",""134"",""Credit Amount"",""0.00000"",""Document Number"",""RTN113010"",""Debit Amount"",""563.97000"",""Vendor Name"",""S &amp; S Properties"",""Transaction Description"",""RETURNS"",""Transaction Date"",""1/1/2014"""</t>
  </si>
  <si>
    <t>="""GP Direct"",""Fabrikam, Inc."",""Jet GL Transactions"",""Account Index"",""134"",""Credit Amount"",""0.00000"",""Document Number"",""RTN113011"",""Debit Amount"",""1436.60000"",""Vendor Name"",""S &amp; S Properties"",""Transaction Description"",""RETURNS"",""Transaction Date"",""1/1/2014"""</t>
  </si>
  <si>
    <t>="""GP Direct"",""Fabrikam, Inc."",""Jet GL Transactions"",""Account Index"",""134"",""Credit Amount"",""0.00000"",""Document Number"",""RTN116013"",""Debit Amount"",""1119.51000"",""Vendor Name"",""Reynolds State College"",""Transaction Description"",""RETURNS"",""Transaction Date"",""1/1"&amp;"/2014"""</t>
  </si>
  <si>
    <t>="""GP Direct"",""Fabrikam, Inc."",""Jet GL Transactions"",""Account Index"",""134"",""Credit Amount"",""0.00000"",""Document Number"",""RTN12010"",""Debit Amount"",""3599.41000"",""Vendor Name"",""World Enterprises"",""Transaction Description"",""RETURNS"",""Transaction Date"",""1/1/2014"""</t>
  </si>
  <si>
    <t>="""GP Direct"",""Fabrikam, Inc."",""Jet GL Transactions"",""Account Index"",""134"",""Credit Amount"",""0.00000"",""Document Number"",""RTN12080"",""Debit Amount"",""597.96000"",""Vendor Name"",""Computers Unlimited"",""Transaction Description"",""RETURNS"",""Transaction Date"",""1/1/2014"&amp;""""</t>
  </si>
  <si>
    <t>="""GP Direct"",""Fabrikam, Inc."",""Jet GL Transactions"",""Account Index"",""134"",""Credit Amount"",""0.00000"",""Document Number"",""RTN12092"",""Debit Amount"",""1666.67000"",""Vendor Name"",""Boyle's Country Inn's"",""Transaction Description"",""RETURNS"",""Transaction Date"",""1/1/2"&amp;"014"""</t>
  </si>
  <si>
    <t>="""GP Direct"",""Fabrikam, Inc."",""Jet GL Transactions"",""Account Index"",""134"",""Credit Amount"",""0.00000"",""Document Number"",""RTN13010"",""Debit Amount"",""466.89000"",""Vendor Name"",""Adam Park Resort"",""Transaction Description"",""RETURNS"",""Transaction Date"",""1/1/2014"""</t>
  </si>
  <si>
    <t>="""GP Direct"",""Fabrikam, Inc."",""Jet GL Transactions"",""Account Index"",""134"",""Credit Amount"",""0.00000"",""Document Number"",""RTN13021"",""Debit Amount"",""2302.93000"",""Vendor Name"",""Contoso, Ltd."",""Transaction Description"",""RETURNS"",""Transaction Date"",""1/1/2014"""</t>
  </si>
  <si>
    <t>="""GP Direct"",""Fabrikam, Inc."",""Jet GL Transactions"",""Account Index"",""134"",""Credit Amount"",""0.00000"",""Document Number"",""RTN13022"",""Debit Amount"",""2368.74000"",""Vendor Name"",""Contoso, Ltd."",""Transaction Description"",""RETURNS"",""Transaction Date"",""1/1/2014"""</t>
  </si>
  <si>
    <t>="""GP Direct"",""Fabrikam, Inc."",""Jet GL Transactions"",""Account Index"",""134"",""Credit Amount"",""0.00000"",""Document Number"",""RTN13030"",""Debit Amount"",""549.36000"",""Vendor Name"",""Central Distributing"",""Transaction Description"",""RETURNS"",""Transaction Date"",""1/1/201"&amp;"4"""</t>
  </si>
  <si>
    <t>="""GP Direct"",""Fabrikam, Inc."",""Jet GL Transactions"",""Account Index"",""134"",""Credit Amount"",""0.00000"",""Document Number"",""RTN13031"",""Debit Amount"",""9209.88000"",""Vendor Name"",""Central Distributing"",""Transaction Description"",""RETURNS"",""Transaction Date"",""1/1/20"&amp;"14"""</t>
  </si>
  <si>
    <t>="""GP Direct"",""Fabrikam, Inc."",""Jet GL Transactions"",""Account Index"",""134"",""Credit Amount"",""0.00000"",""Document Number"",""RTN13073"",""Debit Amount"",""1584.83000"",""Vendor Name"",""Communication Connections"",""Transaction Description"",""RETURNS"",""Transaction Date"",""1"&amp;"/1/2014"""</t>
  </si>
  <si>
    <t>="""GP Direct"",""Fabrikam, Inc."",""Jet GL Transactions"",""Account Index"",""134"",""Credit Amount"",""0.00000"",""Document Number"",""RTN13094"",""Debit Amount"",""394.28000"",""Vendor Name"",""St. Patrick's Hospital"",""Transaction Description"",""RETURNS"",""Transaction Date"",""1/1/2"&amp;"014"""</t>
  </si>
  <si>
    <t>="""GP Direct"",""Fabrikam, Inc."",""Jet GL Transactions"",""Account Index"",""134"",""Credit Amount"",""0.00000"",""Document Number"",""RTN14010"",""Debit Amount"",""1989.05000"",""Vendor Name"",""Astor Suites"",""Transaction Description"",""RETURNS"",""Transaction Date"",""1/1/2014"""</t>
  </si>
  <si>
    <t>="""GP Direct"",""Fabrikam, Inc."",""Jet GL Transactions"",""Account Index"",""134"",""Credit Amount"",""0.00000"",""Document Number"",""RTN14060"",""Debit Amount"",""1646.32000"",""Vendor Name"",""Novia Scotia Tech. Institute"",""Transaction Description"",""RETURNS"",""Transaction Date"""&amp;",""1/1/2014"""</t>
  </si>
  <si>
    <t>="""GP Direct"",""Fabrikam, Inc."",""Jet GL Transactions"",""Account Index"",""134"",""Credit Amount"",""0.00000"",""Document Number"",""RTN14074"",""Debit Amount"",""649.68000"",""Vendor Name"",""Rosellen General Hospital"",""Transaction Description"",""RETURNS"",""Transaction Date"",""1/"&amp;"1/2014"""</t>
  </si>
  <si>
    <t>="""GP Direct"",""Fabrikam, Inc."",""Jet GL Transactions"",""Account Index"",""134"",""Credit Amount"",""0.00000"",""Document Number"",""RTN14094"",""Debit Amount"",""859.74000"",""Vendor Name"",""Computer Equipment Leasing"",""Transaction Description"",""RETURNS"",""Transaction Date"",""1"&amp;"/1/2014"""</t>
  </si>
  <si>
    <t>="""GP Direct"",""Fabrikam, Inc."",""Jet GL Transactions"",""Account Index"",""134"",""Credit Amount"",""0.00000"",""Document Number"",""RTN14097"",""Debit Amount"",""350.00000"",""Vendor Name"",""Computer Equipment Leasing"",""Transaction Description"",""RETURNS"",""Transaction Date"",""1"&amp;"/1/2014"""</t>
  </si>
  <si>
    <t>="""GP Direct"",""Fabrikam, Inc."",""Jet GL Transactions"",""Account Index"",""134"",""Credit Amount"",""0.00000"",""Document Number"",""RTN15061"",""Debit Amount"",""844.05000"",""Vendor Name"",""Dollis Cove Resort"",""Transaction Description"",""CRMEMO"",""Transaction Date"",""1/1/2014"""</t>
  </si>
  <si>
    <t>="""GP Direct"",""Fabrikam, Inc."",""Jet GL Transactions"",""Account Index"",""134"",""Credit Amount"",""0.00000"",""Document Number"",""RTN15071"",""Debit Amount"",""376.99000"",""Vendor Name"",""Vista Travel"",""Transaction Description"",""RETURNS"",""Transaction Date"",""1/1/2014"""</t>
  </si>
  <si>
    <t>="""GP Direct"",""Fabrikam, Inc."",""Jet GL Transactions"",""Account Index"",""134"",""Credit Amount"",""0.00000"",""Document Number"",""RTN15095"",""Debit Amount"",""212.90000"",""Vendor Name"",""Leisure &amp; Travel Consultants"",""Transaction Description"",""RETURNS"",""Transaction Date"","&amp;"""1/1/2014"""</t>
  </si>
  <si>
    <t>="""GP Direct"",""Fabrikam, Inc."",""Jet GL Transactions"",""Account Index"",""134"",""Credit Amount"",""0.00000"",""Document Number"",""RTN16092"",""Debit Amount"",""613.38000"",""Vendor Name"",""Executive Resources"",""Transaction Description"",""RETURNS"",""Transaction Date"",""1/1/2014"&amp;""""</t>
  </si>
  <si>
    <t>="""GP Direct"",""Fabrikam, Inc."",""Jet GL Transactions"",""Account Index"",""134"",""Credit Amount"",""0.00000"",""Document Number"",""RTN17010"",""Debit Amount"",""544.21000"",""Vendor Name"",""Midland Construction"",""Transaction Description"",""RETURNS"",""Transaction Date"",""1/1/201"&amp;"4"""</t>
  </si>
  <si>
    <t>="""GP Direct"",""Fabrikam, Inc."",""Jet GL Transactions"",""Account Index"",""134"",""Credit Amount"",""0.00000"",""Document Number"",""RTN17080"",""Debit Amount"",""2484.92000"",""Vendor Name"",""Place &amp; MacDero Associates"",""Transaction Description"",""RETURNS"",""Transaction Date"","""&amp;"1/1/2014"""</t>
  </si>
  <si>
    <t>="""GP Direct"",""Fabrikam, Inc."",""Jet GL Transactions"",""Account Index"",""134"",""Credit Amount"",""0.00000"",""Document Number"",""RTN18021"",""Debit Amount"",""218.31000"",""Vendor Name"",""Fourth Coffee"",""Transaction Description"",""RETURNS"",""Transaction Date"",""1/1/2014"""</t>
  </si>
  <si>
    <t>="""GP Direct"",""Fabrikam, Inc."",""Jet GL Transactions"",""Account Index"",""134"",""Credit Amount"",""0.00000"",""Document Number"",""RTN18022"",""Debit Amount"",""376.75000"",""Vendor Name"",""Fourth Coffee"",""Transaction Description"",""RETURNS"",""Transaction Date"",""1/1/2014"""</t>
  </si>
  <si>
    <t>="""GP Direct"",""Fabrikam, Inc."",""Jet GL Transactions"",""Account Index"",""134"",""Credit Amount"",""0.00000"",""Document Number"",""RTN19010"",""Debit Amount"",""563.58000"",""Vendor Name"",""Manchester Suites"",""Transaction Description"",""RETURNS"",""Transaction Date"",""1/1/2014"""</t>
  </si>
  <si>
    <t>="""GP Direct"",""Fabrikam, Inc."",""Jet GL Transactions"",""Account Index"",""134"",""Credit Amount"",""0.00000"",""Document Number"",""RTN19012"",""Debit Amount"",""243.37000"",""Vendor Name"",""Manchester Suites"",""Transaction Description"",""RETURNS"",""Transaction Date"",""1/1/2014"""</t>
  </si>
  <si>
    <t>="""GP Direct"",""Fabrikam, Inc."",""Jet GL Transactions"",""Account Index"",""134"",""Credit Amount"",""0.00000"",""Document Number"",""TRN17083"",""Debit Amount"",""1843.72000"",""Vendor Name"",""Place &amp; MacDero Associates"",""Transaction Description"",""RETURNS"",""Transaction Date"","""&amp;"1/1/2014"""</t>
  </si>
  <si>
    <t>="""GP Direct"",""Fabrikam, Inc."",""Jet GL Transactions"",""Account Index"",""137"",""Credit Amount"",""0.00000"",""Document Number"",""SLS110002"",""Debit Amount"",""3714.20000"",""Vendor Name"",""Holling Communications Inc."",""Transaction Description"",""COGS"",""Transaction Date"",""1"&amp;"/1/2014"""</t>
  </si>
  <si>
    <t>="""GP Direct"",""Fabrikam, Inc."",""Jet GL Transactions"",""Account Index"",""137"",""Credit Amount"",""0.00000"",""Document Number"",""SLS110020"",""Debit Amount"",""9688.42000"",""Vendor Name"",""Lawrence Telemarketing"",""Transaction Description"",""COGS"",""Transaction Date"",""1/1/20"&amp;"14"""</t>
  </si>
  <si>
    <t>="""GP Direct"",""Fabrikam, Inc."",""Jet GL Transactions"",""Account Index"",""137"",""Credit Amount"",""0.00000"",""Document Number"",""SLS110031"",""Debit Amount"",""5776.87000"",""Vendor Name"",""Plaza One"",""Transaction Description"",""COGS"",""Transaction Date"",""1/1/2014"""</t>
  </si>
  <si>
    <t>="""GP Direct"",""Fabrikam, Inc."",""Jet GL Transactions"",""Account Index"",""137"",""Credit Amount"",""0.00000"",""Document Number"",""SLS11010"",""Debit Amount"",""6145.26000"",""Vendor Name"",""Alton Manufacturing"",""Transaction Description"",""COGS"",""Transaction Date"",""1/1/2014"""</t>
  </si>
  <si>
    <t>="""GP Direct"",""Fabrikam, Inc."",""Jet GL Transactions"",""Account Index"",""137"",""Credit Amount"",""0.00000"",""Document Number"",""SLS11011"",""Debit Amount"",""12892.11000"",""Vendor Name"",""Alton Manufacturing"",""Transaction Description"",""COGS"",""Transaction Date"",""1/1/2014"""</t>
  </si>
  <si>
    <t>="""GP Direct"",""Fabrikam, Inc."",""Jet GL Transactions"",""Account Index"",""137"",""Credit Amount"",""0.00000"",""Document Number"",""SLS11012"",""Debit Amount"",""2741.37000"",""Vendor Name"",""Aaron Fitz Electrical"",""Transaction Description"",""COGS"",""Transaction Date"",""1/1/2014"&amp;""""</t>
  </si>
  <si>
    <t>="""GP Direct"",""Fabrikam, Inc."",""Jet GL Transactions"",""Account Index"",""137"",""Credit Amount"",""0.00000"",""Document Number"",""SLS11013"",""Debit Amount"",""9739.41000"",""Vendor Name"",""Alton Manufacturing"",""Transaction Description"",""COGS"",""Transaction Date"",""1/1/2014"""</t>
  </si>
  <si>
    <t>="""GP Direct"",""Fabrikam, Inc."",""Jet GL Transactions"",""Account Index"",""137"",""Credit Amount"",""0.00000"",""Document Number"",""SLS11031"",""Debit Amount"",""2132.37000"",""Vendor Name"",""Compu-Tech Solutions"",""Transaction Description"",""COGS"",""Transaction Date"",""1/1/2014"""</t>
  </si>
  <si>
    <t>="""GP Direct"",""Fabrikam, Inc."",""Jet GL Transactions"",""Account Index"",""137"",""Credit Amount"",""0.00000"",""Document Number"",""SLS11033"",""Debit Amount"",""4605.47000"",""Vendor Name"",""Compu-Tech Solutions"",""Transaction Description"",""COGS"",""Transaction Date"",""1/1/2014"""</t>
  </si>
  <si>
    <t>="""GP Direct"",""Fabrikam, Inc."",""Jet GL Transactions"",""Account Index"",""137"",""Credit Amount"",""0.00000"",""Document Number"",""SLS11062"",""Debit Amount"",""3307.14000"",""Vendor Name"",""Breakthrough Telemarketing"",""Transaction Description"",""COGS"",""Transaction Date"",""1/1"&amp;"/2014"""</t>
  </si>
  <si>
    <t>="""GP Direct"",""Fabrikam, Inc."",""Jet GL Transactions"",""Account Index"",""137"",""Credit Amount"",""0.00000"",""Document Number"",""SLS11072"",""Debit Amount"",""4767.33000"",""Vendor Name"",""Advanced Tech Satellite System"",""Transaction Description"",""COGS"",""Transaction Date"","&amp;"""1/1/2014"""</t>
  </si>
  <si>
    <t>="""GP Direct"",""Fabrikam, Inc."",""Jet GL Transactions"",""Account Index"",""137"",""Credit Amount"",""0.00000"",""Document Number"",""SLS11074"",""Debit Amount"",""2682.86000"",""Vendor Name"",""Advanced Tech Satellite System"",""Transaction Description"",""COGS"",""Transaction Date"","&amp;"""1/1/2014"""</t>
  </si>
  <si>
    <t>="""GP Direct"",""Fabrikam, Inc."",""Jet GL Transactions"",""Account Index"",""137"",""Credit Amount"",""0.00000"",""Document Number"",""SLS11081"",""Debit Amount"",""8243.24000"",""Vendor Name"",""Place One Suites"",""Transaction Description"",""COGS"",""Transaction Date"",""1/1/2014"""</t>
  </si>
  <si>
    <t>="""GP Direct"",""Fabrikam, Inc."",""Jet GL Transactions"",""Account Index"",""137"",""Credit Amount"",""0.00000"",""Document Number"",""SLS11084"",""Debit Amount"",""2938.85000"",""Vendor Name"",""Place One Suites"",""Transaction Description"",""COGS"",""Transaction Date"",""1/1/2014"""</t>
  </si>
  <si>
    <t>="""GP Direct"",""Fabrikam, Inc."",""Jet GL Transactions"",""Account Index"",""137"",""Credit Amount"",""0.00000"",""Document Number"",""SLS11091"",""Debit Amount"",""8337.66000"",""Vendor Name"",""Country View Estates"",""Transaction Description"",""COGS"",""Transaction Date"",""1/1/2014"""</t>
  </si>
  <si>
    <t>="""GP Direct"",""Fabrikam, Inc."",""Jet GL Transactions"",""Account Index"",""137"",""Credit Amount"",""0.00000"",""Document Number"",""SLS111032"",""Debit Amount"",""4578.50000"",""Vendor Name"",""Margie's Travel"",""Transaction Description"",""COGS"",""Transaction Date"",""1/1/2014"""</t>
  </si>
  <si>
    <t>="""GP Direct"",""Fabrikam, Inc."",""Jet GL Transactions"",""Account Index"",""137"",""Credit Amount"",""0.00000"",""Document Number"",""SLS11116"",""Debit Amount"",""13825.18000"",""Vendor Name"",""Alton Manufacturing"",""Transaction Description"",""COGS"",""Transaction Date"",""1/1/2014"""</t>
  </si>
  <si>
    <t>="""GP Direct"",""Fabrikam, Inc."",""Jet GL Transactions"",""Account Index"",""137"",""Credit Amount"",""0.00000"",""Document Number"",""SLS112001"",""Debit Amount"",""4174.02000"",""Vendor Name"",""Central Illinois Hospital"",""Transaction Description"",""COGS"",""Transaction Date"",""1/1"&amp;"/2014"""</t>
  </si>
  <si>
    <t>="""GP Direct"",""Fabrikam, Inc."",""Jet GL Transactions"",""Account Index"",""137"",""Credit Amount"",""0.00000"",""Document Number"",""SLS112031"",""Debit Amount"",""2255.40000"",""Vendor Name"",""Northstar Mall"",""Transaction Description"",""COGS"",""Transaction Date"",""1/1/2014"""</t>
  </si>
  <si>
    <t>="""GP Direct"",""Fabrikam, Inc."",""Jet GL Transactions"",""Account Index"",""137"",""Credit Amount"",""0.00000"",""Document Number"",""SLS113000"",""Debit Amount"",""11123.81000"",""Vendor Name"",""Heartland Tower Systems"",""Transaction Description"",""COGS"",""Transaction Date"",""1/1/"&amp;"2014"""</t>
  </si>
  <si>
    <t>="""GP Direct"",""Fabrikam, Inc."",""Jet GL Transactions"",""Account Index"",""137"",""Credit Amount"",""0.00000"",""Document Number"",""SLS113013"",""Debit Amount"",""12710.34000"",""Vendor Name"",""S &amp; S Properties"",""Transaction Description"",""COGS"",""Transaction Date"",""1/1/2014"""</t>
  </si>
  <si>
    <t>="""GP Direct"",""Fabrikam, Inc."",""Jet GL Transactions"",""Account Index"",""137"",""Credit Amount"",""0.00000"",""Document Number"",""SLS113052"",""Debit Amount"",""3574.74000"",""Vendor Name"",""Mahler State University"",""Transaction Description"",""COGS"",""Transaction Date"",""1/1/2"&amp;"014"""</t>
  </si>
  <si>
    <t>="""GP Direct"",""Fabrikam, Inc."",""Jet GL Transactions"",""Account Index"",""137"",""Credit Amount"",""0.00000"",""Document Number"",""SLS114001"",""Debit Amount"",""6310.01000"",""Vendor Name"",""Hampton Village Eatery"",""Transaction Description"",""COGS"",""Transaction Date"",""1/1/20"&amp;"14"""</t>
  </si>
  <si>
    <t>="""GP Direct"",""Fabrikam, Inc."",""Jet GL Transactions"",""Account Index"",""137"",""Credit Amount"",""0.00000"",""Document Number"",""SLS114012"",""Debit Amount"",""2359.19000"",""Vendor Name"",""National Shopping World"",""Transaction Description"",""COGS"",""Transaction Date"",""1/1/2"&amp;"014"""</t>
  </si>
  <si>
    <t>="""GP Direct"",""Fabrikam, Inc."",""Jet GL Transactions"",""Account Index"",""137"",""Credit Amount"",""0.00000"",""Document Number"",""SLS114050"",""Debit Amount"",""14035.30000"",""Vendor Name"",""St. Mary's Hospital"",""Transaction Description"",""COGS"",""Transaction Date"",""1/1/2014"&amp;""""</t>
  </si>
  <si>
    <t>="""GP Direct"",""Fabrikam, Inc."",""Jet GL Transactions"",""Account Index"",""137"",""Credit Amount"",""0.00000"",""Document Number"",""SLS115000"",""Debit Amount"",""4887.10000"",""Vendor Name"",""Mid-City Hospital"",""Transaction Description"",""COGS"",""Transaction Date"",""1/1/2014"""</t>
  </si>
  <si>
    <t>="""GP Direct"",""Fabrikam, Inc."",""Jet GL Transactions"",""Account Index"",""137"",""Credit Amount"",""0.00000"",""Document Number"",""SLS115002"",""Debit Amount"",""4221.91000"",""Vendor Name"",""Coho Winery"",""Transaction Description"",""COGS"",""Transaction Date"",""1/1/2014"""</t>
  </si>
  <si>
    <t>="""GP Direct"",""Fabrikam, Inc."",""Jet GL Transactions"",""Account Index"",""137"",""Credit Amount"",""0.00000"",""Document Number"",""SLS115050"",""Debit Amount"",""27588.42000"",""Vendor Name"",""Berry Medical Center"",""Transaction Description"",""COGS"",""Transaction Date"",""1/1/201"&amp;"4"""</t>
  </si>
  <si>
    <t>="""GP Direct"",""Fabrikam, Inc."",""Jet GL Transactions"",""Account Index"",""137"",""Credit Amount"",""0.00000"",""Document Number"",""SLS115052"",""Debit Amount"",""22589.47000"",""Vendor Name"",""Berry Medical Center"",""Transaction Description"",""COGS"",""Transaction Date"",""1/1/201"&amp;"4"""</t>
  </si>
  <si>
    <t>="""GP Direct"",""Fabrikam, Inc."",""Jet GL Transactions"",""Account Index"",""137"",""Credit Amount"",""0.00000"",""Document Number"",""SLS116002"",""Debit Amount"",""4254.80000"",""Vendor Name"",""Polk Valley Highway Dept."",""Transaction Description"",""COGS"",""Transaction Date"",""1/1"&amp;"/2014"""</t>
  </si>
  <si>
    <t>="""GP Direct"",""Fabrikam, Inc."",""Jet GL Transactions"",""Account Index"",""137"",""Credit Amount"",""0.00000"",""Document Number"",""SLS116004"",""Debit Amount"",""6236.24000"",""Vendor Name"",""Reynolds State College"",""Transaction Description"",""COGS"",""Transaction Date"",""1/1/20"&amp;"14"""</t>
  </si>
  <si>
    <t>="""GP Direct"",""Fabrikam, Inc."",""Jet GL Transactions"",""Account Index"",""137"",""Credit Amount"",""0.00000"",""Document Number"",""SLS116011"",""Debit Amount"",""7848.26000"",""Vendor Name"",""Reynolds State College"",""Transaction Description"",""COGS"",""Transaction Date"",""1/1/20"&amp;"14"""</t>
  </si>
  <si>
    <t>="""GP Direct"",""Fabrikam, Inc."",""Jet GL Transactions"",""Account Index"",""137"",""Credit Amount"",""0.00000"",""Document Number"",""SLS117000"",""Debit Amount"",""928.34000"",""Vendor Name"",""Northern State College"",""Transaction Description"",""COGS"",""Transaction Date"",""1/1/201"&amp;"4"""</t>
  </si>
  <si>
    <t>="""GP Direct"",""Fabrikam, Inc."",""Jet GL Transactions"",""Account Index"",""137"",""Credit Amount"",""0.00000"",""Document Number"",""SLS117002"",""Debit Amount"",""4785.32000"",""Vendor Name"",""Northern State College"",""Transaction Description"",""COGS"",""Transaction Date"",""1/1/20"&amp;"14"""</t>
  </si>
  <si>
    <t>="""GP Direct"",""Fabrikam, Inc."",""Jet GL Transactions"",""Account Index"",""137"",""Credit Amount"",""0.00000"",""Document Number"",""SLS117011"",""Debit Amount"",""9466.42000"",""Vendor Name"",""Baker's Emporium Inc."",""Transaction Description"",""COGS"",""Transaction Date"",""1/1/201"&amp;"4"""</t>
  </si>
  <si>
    <t>="""GP Direct"",""Fabrikam, Inc."",""Jet GL Transactions"",""Account Index"",""137"",""Credit Amount"",""0.00000"",""Document Number"",""SLS118002"",""Debit Amount"",""6481.15000"",""Vendor Name"",""Downtown Hotel"",""Transaction Description"",""COGS"",""Transaction Date"",""1/1/2014"""</t>
  </si>
  <si>
    <t>="""GP Direct"",""Fabrikam, Inc."",""Jet GL Transactions"",""Account Index"",""137"",""Credit Amount"",""0.00000"",""Document Number"",""SLS118010"",""Debit Amount"",""13005.75000"",""Vendor Name"",""Unified Wire and Cable Systems"",""Transaction Description"",""COGS"",""Transaction Date"&amp;""",""1/1/2014"""</t>
  </si>
  <si>
    <t>="""GP Direct"",""Fabrikam, Inc."",""Jet GL Transactions"",""Account Index"",""137"",""Credit Amount"",""0.00000"",""Document Number"",""SLS119000"",""Debit Amount"",""8935.41000"",""Vendor Name"",""Johnson, Kimberly"",""Transaction Description"",""COGS"",""Transaction Date"",""1/1/2014"""</t>
  </si>
  <si>
    <t>="""GP Direct"",""Fabrikam, Inc."",""Jet GL Transactions"",""Account Index"",""137"",""Credit Amount"",""0.00000"",""Document Number"",""SLS119002"",""Debit Amount"",""4248.16000"",""Vendor Name"",""Johnson, Kimberly"",""Transaction Description"",""COGS"",""Transaction Date"",""1/1/2014"""</t>
  </si>
  <si>
    <t>="""GP Direct"",""Fabrikam, Inc."",""Jet GL Transactions"",""Account Index"",""137"",""Credit Amount"",""0.00000"",""Document Number"",""SLS120001"",""Debit Amount"",""1271.66000"",""Vendor Name"",""Franchise Office Machines"",""Transaction Description"",""COGS"",""Transaction Date"",""1/1"&amp;"/2014"""</t>
  </si>
  <si>
    <t>="""GP Direct"",""Fabrikam, Inc."",""Jet GL Transactions"",""Account Index"",""137"",""Credit Amount"",""0.00000"",""Document Number"",""SLS12012"",""Debit Amount"",""7510.38000"",""Vendor Name"",""World Enterprises"",""Transaction Description"",""COGS"",""Transaction Date"",""1/1/2014"""</t>
  </si>
  <si>
    <t>="""GP Direct"",""Fabrikam, Inc."",""Jet GL Transactions"",""Account Index"",""137"",""Credit Amount"",""0.00000"",""Document Number"",""SLS12020"",""Debit Amount"",""2244.38000"",""Vendor Name"",""American Electrical Contractor"",""Transaction Description"",""COGS"",""Transaction Date"","&amp;"""1/1/2014"""</t>
  </si>
  <si>
    <t>="""GP Direct"",""Fabrikam, Inc."",""Jet GL Transactions"",""Account Index"",""137"",""Credit Amount"",""0.00000"",""Document Number"",""SLS12023"",""Debit Amount"",""3266.76000"",""Vendor Name"",""American Electrical Contractor"",""Transaction Description"",""COGS"",""Transaction Date"","&amp;"""1/1/2014"""</t>
  </si>
  <si>
    <t>="""GP Direct"",""Fabrikam, Inc."",""Jet GL Transactions"",""Account Index"",""137"",""Credit Amount"",""0.00000"",""Document Number"",""SLS12030"",""Debit Amount"",""5248.54000"",""Vendor Name"",""Kensington Gardens Resort"",""Transaction Description"",""COGS"",""Transaction Date"",""1/1/"&amp;"2014"""</t>
  </si>
  <si>
    <t>="""GP Direct"",""Fabrikam, Inc."",""Jet GL Transactions"",""Account Index"",""137"",""Credit Amount"",""0.00000"",""Document Number"",""SLS12060"",""Debit Amount"",""4319.46000"",""Vendor Name"",""Westside Cable Service"",""Transaction Description"",""COGS"",""Transaction Date"",""1/1/201"&amp;"4"""</t>
  </si>
  <si>
    <t>="""GP Direct"",""Fabrikam, Inc."",""Jet GL Transactions"",""Account Index"",""137"",""Credit Amount"",""0.00000"",""Document Number"",""SLS12061"",""Debit Amount"",""1302.43000"",""Vendor Name"",""LeClerc &amp; Associates"",""Transaction Description"",""COGS"",""Transaction Date"",""1/1/2014"""</t>
  </si>
  <si>
    <t>="""GP Direct"",""Fabrikam, Inc."",""Jet GL Transactions"",""Account Index"",""137"",""Credit Amount"",""0.00000"",""Document Number"",""SLS12071"",""Debit Amount"",""5959.04000"",""Vendor Name"",""Castle Inn Resort"",""Transaction Description"",""COGS"",""Transaction Date"",""1/1/2014"""</t>
  </si>
  <si>
    <t>="""GP Direct"",""Fabrikam, Inc."",""Jet GL Transactions"",""Account Index"",""137"",""Credit Amount"",""0.00000"",""Document Number"",""SLS12074"",""Debit Amount"",""2668.77000"",""Vendor Name"",""Castle Inn Resort"",""Transaction Description"",""COGS"",""Transaction Date"",""1/1/2014"""</t>
  </si>
  <si>
    <t>="""GP Direct"",""Fabrikam, Inc."",""Jet GL Transactions"",""Account Index"",""137"",""Credit Amount"",""0.00000"",""Document Number"",""SLS12093"",""Debit Amount"",""6578.82000"",""Vendor Name"",""Boyle's Country Inn's"",""Transaction Description"",""COGS"",""Transaction Date"",""1/1/2014"&amp;""""</t>
  </si>
  <si>
    <t>="""GP Direct"",""Fabrikam, Inc."",""Jet GL Transactions"",""Account Index"",""137"",""Credit Amount"",""0.00000"",""Document Number"",""SLS122000"",""Debit Amount"",""4038.57000"",""Vendor Name"",""Pacific Digital"",""Transaction Description"",""COGS"",""Transaction Date"",""1/1/2014"""</t>
  </si>
  <si>
    <t>="""GP Direct"",""Fabrikam, Inc."",""Jet GL Transactions"",""Account Index"",""137"",""Credit Amount"",""0.00000"",""Document Number"",""SLS123001"",""Debit Amount"",""4771.40000"",""Vendor Name"",""Network Solutions"",""Transaction Description"",""COGS"",""Transaction Date"",""1/1/2014"""</t>
  </si>
  <si>
    <t>="""GP Direct"",""Fabrikam, Inc."",""Jet GL Transactions"",""Account Index"",""137"",""Credit Amount"",""0.00000"",""Document Number"",""SLS124001"",""Debit Amount"",""8956.51000"",""Vendor Name"",""ISN Industries"",""Transaction Description"",""COGS"",""Transaction Date"",""1/1/2014"""</t>
  </si>
  <si>
    <t>="""GP Direct"",""Fabrikam, Inc."",""Jet GL Transactions"",""Account Index"",""137"",""Credit Amount"",""0.00000"",""Document Number"",""SLS125000"",""Debit Amount"",""17945.86000"",""Vendor Name"",""Red's Food Market"",""Transaction Description"",""COGS"",""Transaction Date"",""1/1/2014"""</t>
  </si>
  <si>
    <t>="""GP Direct"",""Fabrikam, Inc."",""Jet GL Transactions"",""Account Index"",""137"",""Credit Amount"",""0.00000"",""Document Number"",""SLS126000"",""Debit Amount"",""21837.48000"",""Vendor Name"",""Snelling Communications Inc."",""Transaction Description"",""COGS"",""Transaction Date"","&amp;"""1/1/2014"""</t>
  </si>
  <si>
    <t>="""GP Direct"",""Fabrikam, Inc."",""Jet GL Transactions"",""Account Index"",""137"",""Credit Amount"",""0.00000"",""Document Number"",""SLS13012"",""Debit Amount"",""4991.88000"",""Vendor Name"",""Advanced Paper Co."",""Transaction Description"",""COGS"",""Transaction Date"",""1/1/2014"""</t>
  </si>
  <si>
    <t>="""GP Direct"",""Fabrikam, Inc."",""Jet GL Transactions"",""Account Index"",""137"",""Credit Amount"",""0.00000"",""Document Number"",""SLS13015"",""Debit Amount"",""2545.94000"",""Vendor Name"",""Adam Park Resort"",""Transaction Description"",""COGS"",""Transaction Date"",""1/1/2014"""</t>
  </si>
  <si>
    <t>="""GP Direct"",""Fabrikam, Inc."",""Jet GL Transactions"",""Account Index"",""137"",""Credit Amount"",""0.00000"",""Document Number"",""SLS13072"",""Debit Amount"",""1527.27000"",""Vendor Name"",""Communication Connections"",""Transaction Description"",""COGS"",""Transaction Date"",""1/1/"&amp;"2014"""</t>
  </si>
  <si>
    <t>="""GP Direct"",""Fabrikam, Inc."",""Jet GL Transactions"",""Account Index"",""137"",""Credit Amount"",""0.00000"",""Document Number"",""SLS13080"",""Debit Amount"",""2748.47000"",""Vendor Name"",""Office Design Systems Ltd"",""Transaction Description"",""COGS"",""Transaction Date"",""1/1/"&amp;"2014"""</t>
  </si>
  <si>
    <t>="""GP Direct"",""Fabrikam, Inc."",""Jet GL Transactions"",""Account Index"",""137"",""Credit Amount"",""0.00000"",""Document Number"",""SLS13092"",""Debit Amount"",""3027.97000"",""Vendor Name"",""St. Patrick's Hospital"",""Transaction Description"",""COGS"",""Transaction Date"",""1/1/201"&amp;"4"""</t>
  </si>
  <si>
    <t>="""GP Direct"",""Fabrikam, Inc."",""Jet GL Transactions"",""Account Index"",""137"",""Credit Amount"",""0.00000"",""Document Number"",""SLS14002"",""Debit Amount"",""7270.94000"",""Vendor Name"",""American Science Museum"",""Transaction Description"",""COGS"",""Transaction Date"",""1/1/20"&amp;"14"""</t>
  </si>
  <si>
    <t>="""GP Direct"",""Fabrikam, Inc."",""Jet GL Transactions"",""Account Index"",""137"",""Credit Amount"",""0.00000"",""Document Number"",""SLS14012"",""Debit Amount"",""4183.74000"",""Vendor Name"",""Astor Suites"",""Transaction Description"",""COGS"",""Transaction Date"",""1/1/2014"""</t>
  </si>
  <si>
    <t>="""GP Direct"",""Fabrikam, Inc."",""Jet GL Transactions"",""Account Index"",""137"",""Credit Amount"",""0.00000"",""Document Number"",""SLS14021"",""Debit Amount"",""4483.34000"",""Vendor Name"",""Comtel-Page Inc."",""Transaction Description"",""COGS"",""Transaction Date"",""1/1/2014"""</t>
  </si>
  <si>
    <t>="""GP Direct"",""Fabrikam, Inc."",""Jet GL Transactions"",""Account Index"",""137"",""Credit Amount"",""0.00000"",""Document Number"",""SLS14023"",""Debit Amount"",""3040.22000"",""Vendor Name"",""Comtel-Page Inc."",""Transaction Description"",""COGS"",""Transaction Date"",""1/1/2014"""</t>
  </si>
  <si>
    <t>="""GP Direct"",""Fabrikam, Inc."",""Jet GL Transactions"",""Account Index"",""137"",""Credit Amount"",""0.00000"",""Document Number"",""SLS14031"",""Debit Amount"",""4656.49000"",""Vendor Name"",""Laser Messenger Service"",""Transaction Description"",""COGS"",""Transaction Date"",""1/1/20"&amp;"14"""</t>
  </si>
  <si>
    <t>="""GP Direct"",""Fabrikam, Inc."",""Jet GL Transactions"",""Account Index"",""137"",""Credit Amount"",""0.00000"",""Document Number"",""SLS14062"",""Debit Amount"",""3518.77000"",""Vendor Name"",""Novia Scotia Tech. Institute"",""Transaction Description"",""COGS"",""Transaction Date"",""1"&amp;"/1/2014"""</t>
  </si>
  <si>
    <t>="""GP Direct"",""Fabrikam, Inc."",""Jet GL Transactions"",""Account Index"",""137"",""Credit Amount"",""0.00000"",""Document Number"",""SLS14070"",""Debit Amount"",""8547.21000"",""Vendor Name"",""World Enterprises"",""Transaction Description"",""COGS"",""Transaction Date"",""1/1/2014"""</t>
  </si>
  <si>
    <t>="""GP Direct"",""Fabrikam, Inc."",""Jet GL Transactions"",""Account Index"",""137"",""Credit Amount"",""0.00000"",""Document Number"",""SLS14072"",""Debit Amount"",""7397.28000"",""Vendor Name"",""Rosellen General Hospital"",""Transaction Description"",""COGS"",""Transaction Date"",""1/1/"&amp;"2014"""</t>
  </si>
  <si>
    <t>="""GP Direct"",""Fabrikam, Inc."",""Jet GL Transactions"",""Account Index"",""137"",""Credit Amount"",""0.00000"",""Document Number"",""SLS14081"",""Debit Amount"",""1503.34000"",""Vendor Name"",""Communication Connections"",""Transaction Description"",""COGS"",""Transaction Date"",""1/1/"&amp;"2014"""</t>
  </si>
  <si>
    <t>="""GP Direct"",""Fabrikam, Inc."",""Jet GL Transactions"",""Account Index"",""137"",""Credit Amount"",""0.00000"",""Document Number"",""SLS14091"",""Debit Amount"",""3173.10000"",""Vendor Name"",""Computer Equipment Leasing"",""Transaction Description"",""COGS"",""Transaction Date"",""1/1"&amp;"/2014"""</t>
  </si>
  <si>
    <t>="""GP Direct"",""Fabrikam, Inc."",""Jet GL Transactions"",""Account Index"",""137"",""Credit Amount"",""0.00000"",""Document Number"",""SLS14095"",""Debit Amount"",""1624.35000"",""Vendor Name"",""Computer Equipment Leasing"",""Transaction Description"",""COGS"",""Transaction Date"",""1/1"&amp;"/2014"""</t>
  </si>
  <si>
    <t>="""GP Direct"",""Fabrikam, Inc."",""Jet GL Transactions"",""Account Index"",""137"",""Credit Amount"",""0.00000"",""Document Number"",""SLS15012"",""Debit Amount"",""989.64000"",""Vendor Name"",""Home Furnishings Limited"",""Transaction Description"",""COGS"",""Transaction Date"",""1/1/20"&amp;"14"""</t>
  </si>
  <si>
    <t>="""GP Direct"",""Fabrikam, Inc."",""Jet GL Transactions"",""Account Index"",""137"",""Credit Amount"",""0.00000"",""Document Number"",""SLS15014"",""Debit Amount"",""3968.73000"",""Vendor Name"",""Cellular Express"",""Transaction Description"",""COGS"",""Transaction Date"",""1/1/2014"""</t>
  </si>
  <si>
    <t>="""GP Direct"",""Fabrikam, Inc."",""Jet GL Transactions"",""Account Index"",""137"",""Credit Amount"",""0.00000"",""Document Number"",""SLS15020"",""Debit Amount"",""3737.68000"",""Vendor Name"",""Comtel-Page Inc."",""Transaction Description"",""COGS"",""Transaction Date"",""1/1/2014"""</t>
  </si>
  <si>
    <t>="""GP Direct"",""Fabrikam, Inc."",""Jet GL Transactions"",""Account Index"",""137"",""Credit Amount"",""0.00000"",""Document Number"",""SLS15060"",""Debit Amount"",""6345.73000"",""Vendor Name"",""Dollis Cove Resort"",""Transaction Description"",""COGS"",""Transaction Date"",""1/1/2014"""</t>
  </si>
  <si>
    <t>="""GP Direct"",""Fabrikam, Inc."",""Jet GL Transactions"",""Account Index"",""137"",""Credit Amount"",""0.00000"",""Document Number"",""SLS15063"",""Debit Amount"",""4451.34000"",""Vendor Name"",""Dollis Cove Resort"",""Transaction Description"",""COGS"",""Transaction Date"",""1/1/2014"""</t>
  </si>
  <si>
    <t>="""GP Direct"",""Fabrikam, Inc."",""Jet GL Transactions"",""Account Index"",""137"",""Credit Amount"",""0.00000"",""Document Number"",""SLS15074"",""Debit Amount"",""3506.60000"",""Vendor Name"",""Vista Travel"",""Transaction Description"",""COGS"",""Transaction Date"",""1/1/2014"""</t>
  </si>
  <si>
    <t>="""GP Direct"",""Fabrikam, Inc."",""Jet GL Transactions"",""Account Index"",""137"",""Credit Amount"",""0.00000"",""Document Number"",""SLS15080"",""Debit Amount"",""1243.24000"",""Vendor Name"",""Riverside University"",""Transaction Description"",""COGS"",""Transaction Date"",""1/1/2014"""</t>
  </si>
  <si>
    <t>="""GP Direct"",""Fabrikam, Inc."",""Jet GL Transactions"",""Account Index"",""137"",""Credit Amount"",""0.00000"",""Document Number"",""SLS15093"",""Debit Amount"",""7588.13000"",""Vendor Name"",""Leisure &amp; Travel Consultants"",""Transaction Description"",""COGS"",""Transaction Date"",""1"&amp;"/1/2014"""</t>
  </si>
  <si>
    <t>="""GP Direct"",""Fabrikam, Inc."",""Jet GL Transactions"",""Account Index"",""137"",""Credit Amount"",""0.00000"",""Document Number"",""SLS15097"",""Debit Amount"",""5253.05000"",""Vendor Name"",""Leisure &amp; Travel Consultants"",""Transaction Description"",""COGS"",""Transaction Date"",""1"&amp;"/1/2014"""</t>
  </si>
  <si>
    <t>="""GP Direct"",""Fabrikam, Inc."",""Jet GL Transactions"",""Account Index"",""137"",""Credit Amount"",""0.00000"",""Document Number"",""SLS16082"",""Debit Amount"",""6032.11000"",""Vendor Name"",""Data Communications Inc."",""Transaction Description"",""COGS"",""Transaction Date"",""1/1/2"&amp;"014"""</t>
  </si>
  <si>
    <t>="""GP Direct"",""Fabrikam, Inc."",""Jet GL Transactions"",""Account Index"",""137"",""Credit Amount"",""0.00000"",""Document Number"",""SLS16090"",""Debit Amount"",""656.44000"",""Vendor Name"",""Executive Resources"",""Transaction Description"",""COGS"",""Transaction Date"",""1/1/2014"""</t>
  </si>
  <si>
    <t>="""GP Direct"",""Fabrikam, Inc."",""Jet GL Transactions"",""Account Index"",""137"",""Credit Amount"",""0.00000"",""Document Number"",""SLS17003"",""Debit Amount"",""483.87000"",""Vendor Name"",""Midland Construction"",""Transaction Description"",""COGS"",""Transaction Date"",""1/1/2014"""</t>
  </si>
  <si>
    <t>="""GP Direct"",""Fabrikam, Inc."",""Jet GL Transactions"",""Account Index"",""137"",""Credit Amount"",""0.00000"",""Document Number"",""SLS17020"",""Debit Amount"",""6451.66000"",""Vendor Name"",""Mutual of  Omaha"",""Transaction Description"",""COGS"",""Transaction Date"",""1/1/2014"""</t>
  </si>
  <si>
    <t>="""GP Direct"",""Fabrikam, Inc."",""Jet GL Transactions"",""Account Index"",""137"",""Credit Amount"",""0.00000"",""Document Number"",""SLS17023"",""Debit Amount"",""4746.43000"",""Vendor Name"",""Mutual of  Omaha"",""Transaction Description"",""COGS"",""Transaction Date"",""1/1/2014"""</t>
  </si>
  <si>
    <t>="""GP Direct"",""Fabrikam, Inc."",""Jet GL Transactions"",""Account Index"",""137"",""Credit Amount"",""0.00000"",""Document Number"",""SLS17034"",""Debit Amount"",""27.35000"",""Vendor Name"",""Metropolitan Fiber Systems"",""Transaction Description"",""COGS"",""Transaction Date"",""1/1/2"&amp;"014"""</t>
  </si>
  <si>
    <t>="""GP Direct"",""Fabrikam, Inc."",""Jet GL Transactions"",""Account Index"",""137"",""Credit Amount"",""0.00000"",""Document Number"",""SLS17082"",""Debit Amount"",""8183.88000"",""Vendor Name"",""Place &amp; MacDero Associates"",""Transaction Description"",""COGS"",""Transaction Date"",""1/1"&amp;"/2014"""</t>
  </si>
  <si>
    <t>="""GP Direct"",""Fabrikam, Inc."",""Jet GL Transactions"",""Account Index"",""137"",""Credit Amount"",""0.00000"",""Document Number"",""SLS17084"",""Debit Amount"",""6298.05000"",""Vendor Name"",""Place &amp; MacDero Associates"",""Transaction Description"",""COGS"",""Transaction Date"",""1/1"&amp;"/2014"""</t>
  </si>
  <si>
    <t>="""GP Direct"",""Fabrikam, Inc."",""Jet GL Transactions"",""Account Index"",""137"",""Credit Amount"",""0.00000"",""Document Number"",""SLS18002"",""Debit Amount"",""5637.83000"",""Vendor Name"",""Dial Direct Paging Inc."",""Transaction Description"",""COGS"",""Transaction Date"",""1/1/20"&amp;"14"""</t>
  </si>
  <si>
    <t>="""GP Direct"",""Fabrikam, Inc."",""Jet GL Transactions"",""Account Index"",""137"",""Credit Amount"",""0.00000"",""Document Number"",""SLS18010"",""Debit Amount"",""4878.84000"",""Vendor Name"",""Mendota University"",""Transaction Description"",""COGS"",""Transaction Date"",""1/1/2014"""</t>
  </si>
  <si>
    <t>="""GP Direct"",""Fabrikam, Inc."",""Jet GL Transactions"",""Account Index"",""137"",""Credit Amount"",""0.00000"",""Document Number"",""SLS18012"",""Debit Amount"",""15822.65000"",""Vendor Name"",""Mendota University"",""Transaction Description"",""COGS"",""Transaction Date"",""1/1/2014"""</t>
  </si>
  <si>
    <t>="""GP Direct"",""Fabrikam, Inc."",""Jet GL Transactions"",""Account Index"",""137"",""Credit Amount"",""0.00000"",""Document Number"",""SLS18080"",""Debit Amount"",""4464.85000"",""Vendor Name"",""Vancouver Resort Hotels"",""Transaction Description"",""COGS"",""Transaction Date"",""1/1/20"&amp;"14"""</t>
  </si>
  <si>
    <t>="""GP Direct"",""Fabrikam, Inc."",""Jet GL Transactions"",""Account Index"",""137"",""Credit Amount"",""0.00000"",""Document Number"",""SLS18081"",""Debit Amount"",""10945.63000"",""Vendor Name"",""Vancouver Resort Hotels"",""Transaction Description"",""COGS"",""Transaction Date"",""1/1/2"&amp;"014"""</t>
  </si>
  <si>
    <t>="""GP Direct"",""Fabrikam, Inc."",""Jet GL Transactions"",""Account Index"",""137"",""Credit Amount"",""0.00000"",""Document Number"",""SLS19000"",""Debit Amount"",""6299.70000"",""Vendor Name"",""Greenway Foods"",""Transaction Description"",""COGS"",""Transaction Date"",""1/1/2014"""</t>
  </si>
  <si>
    <t>="""GP Direct"",""Fabrikam, Inc."",""Jet GL Transactions"",""Account Index"",""137"",""Credit Amount"",""0.00000"",""Document Number"",""SLS19002"",""Debit Amount"",""317.38000"",""Vendor Name"",""Greenway Foods"",""Transaction Description"",""COGS"",""Transaction Date"",""1/1/2014"""</t>
  </si>
  <si>
    <t>="""GP Direct"",""Fabrikam, Inc."",""Jet GL Transactions"",""Account Index"",""137"",""Credit Amount"",""0.00000"",""Document Number"",""SLS19003"",""Debit Amount"",""7764.09000"",""Vendor Name"",""Greenway Foods"",""Transaction Description"",""COGS"",""Transaction Date"",""1/1/2014"""</t>
  </si>
  <si>
    <t>="""GP Direct"",""Fabrikam, Inc."",""Jet GL Transactions"",""Account Index"",""137"",""Credit Amount"",""0.00000"",""Document Number"",""SLS19021"",""Debit Amount"",""4737.65000"",""Vendor Name"",""McConnell A.F. B."",""Transaction Description"",""COGS"",""Transaction Date"",""1/1/2014"""</t>
  </si>
  <si>
    <t>="""GP Direct"",""Fabrikam, Inc."",""Jet GL Transactions"",""Account Index"",""137"",""Credit Amount"",""0.00000"",""Document Number"",""SLS19022"",""Debit Amount"",""9616.63000"",""Vendor Name"",""McConnell A.F. B."",""Transaction Description"",""COGS"",""Transaction Date"",""1/1/2014"""</t>
  </si>
  <si>
    <t>="""GP Direct"",""Fabrikam, Inc."",""Jet GL Transactions"",""Account Index"",""137"",""Credit Amount"",""0.00000"",""Document Number"",""SLS19031"",""Debit Amount"",""3971.28000"",""Vendor Name"",""Pulaski Enterprises Inc."",""Transaction Description"",""COGS"",""Transaction Date"",""1/1/2"&amp;"014"""</t>
  </si>
  <si>
    <t>="""GP Direct"",""Fabrikam, Inc."",""Jet GL Transactions"",""Account Index"",""137"",""Credit Amount"",""59.92000"",""Document Number"",""CM14066"",""Debit Amount"",""0.00000"",""Vendor Name"",""Novia Scotia Tech. Institute"",""Transaction Description"",""COGS"",""Transaction Date"",""1/1/"&amp;"2014"""</t>
  </si>
  <si>
    <t>="""GP Direct"",""Fabrikam, Inc."",""Jet GL Transactions"",""Account Index"",""137"",""Credit Amount"",""105.60000"",""Document Number"",""RTN15095"",""Debit Amount"",""0.00000"",""Vendor Name"",""Leisure &amp; Travel Consultants"",""Transaction Description"",""COGS"",""Transaction Date"",""1/"&amp;"1/2014"""</t>
  </si>
  <si>
    <t>="""GP Direct"",""Fabrikam, Inc."",""Jet GL Transactions"",""Account Index"",""137"",""Credit Amount"",""109.59000"",""Document Number"",""RTN18021"",""Debit Amount"",""0.00000"",""Vendor Name"",""Fourth Coffee"",""Transaction Description"",""COGS"",""Transaction Date"",""1/1/2014"""</t>
  </si>
  <si>
    <t>="""GP Direct"",""Fabrikam, Inc."",""Jet GL Transactions"",""Account Index"",""137"",""Credit Amount"",""119.25000"",""Document Number"",""RTN19012"",""Debit Amount"",""0.00000"",""Vendor Name"",""Manchester Suites"",""Transaction Description"",""COGS"",""Transaction Date"",""1/1/2014"""</t>
  </si>
  <si>
    <t>="""GP Direct"",""Fabrikam, Inc."",""Jet GL Transactions"",""Account Index"",""137"",""Credit Amount"",""136.50000"",""Document Number"",""00000000000000026"",""Debit Amount"",""0.00000"",""Vendor Name"","""",""Transaction Description"","""",""Transaction Date"",""1/1/2014"""</t>
  </si>
  <si>
    <t>="""GP Direct"",""Fabrikam, Inc."",""Jet GL Transactions"",""Account Index"",""137"",""Credit Amount"",""170.45000"",""Document Number"",""RTN14097"",""Debit Amount"",""0.00000"",""Vendor Name"",""Computer Equipment Leasing"",""Transaction Description"",""COGS"",""Transaction Date"",""1/1/"&amp;"2014"""</t>
  </si>
  <si>
    <t>="""GP Direct"",""Fabrikam, Inc."",""Jet GL Transactions"",""Account Index"",""137"",""Credit Amount"",""176.85000"",""Document Number"",""00000000000000026"",""Debit Amount"",""0.00000"",""Vendor Name"","""",""Transaction Description"","""",""Transaction Date"",""1/1/2014"""</t>
  </si>
  <si>
    <t>="""GP Direct"",""Fabrikam, Inc."",""Jet GL Transactions"",""Account Index"",""137"",""Credit Amount"",""184.61000"",""Document Number"",""RTN18022"",""Debit Amount"",""0.00000"",""Vendor Name"",""Fourth Coffee"",""Transaction Description"",""COGS"",""Transaction Date"",""1/1/2014"""</t>
  </si>
  <si>
    <t>="""GP Direct"",""Fabrikam, Inc."",""Jet GL Transactions"",""Account Index"",""137"",""Credit Amount"",""188.85000"",""Document Number"",""RTN15071"",""Debit Amount"",""0.00000"",""Vendor Name"",""Vista Travel"",""Transaction Description"",""COGS"",""Transaction Date"",""1/1/2014"""</t>
  </si>
  <si>
    <t>="""GP Direct"",""Fabrikam, Inc."",""Jet GL Transactions"",""Account Index"",""137"",""Credit Amount"",""192.01000"",""Document Number"",""RTN13094"",""Debit Amount"",""0.00000"",""Vendor Name"",""St. Patrick's Hospital"",""Transaction Description"",""COGS"",""Transaction Date"",""1/1/2014"&amp;""""</t>
  </si>
  <si>
    <t>="""GP Direct"",""Fabrikam, Inc."",""Jet GL Transactions"",""Account Index"",""137"",""Credit Amount"",""200.69000"",""Document Number"",""00000000000000026"",""Debit Amount"",""0.00000"",""Vendor Name"","""",""Transaction Description"","""",""Transaction Date"",""1/1/2014"""</t>
  </si>
  <si>
    <t>="""GP Direct"",""Fabrikam, Inc."",""Jet GL Transactions"",""Account Index"",""137"",""Credit Amount"",""228.78000"",""Document Number"",""RTN13010"",""Debit Amount"",""0.00000"",""Vendor Name"",""Adam Park Resort"",""Transaction Description"",""COGS"",""Transaction Date"",""1/1/2014"""</t>
  </si>
  <si>
    <t>="""GP Direct"",""Fabrikam, Inc."",""Jet GL Transactions"",""Account Index"",""137"",""Credit Amount"",""243.42000"",""Document Number"",""CM13000"",""Debit Amount"",""0.00000"",""Vendor Name"",""Advanced Paper Co."",""Transaction Description"",""COGS"",""Transaction Date"",""1/1/2014"""</t>
  </si>
  <si>
    <t>="""GP Direct"",""Fabrikam, Inc."",""Jet GL Transactions"",""Account Index"",""137"",""Credit Amount"",""266.19000"",""Document Number"",""RTN17010"",""Debit Amount"",""0.00000"",""Vendor Name"",""Midland Construction"",""Transaction Description"",""COGS"",""Transaction Date"",""1/1/2014"""</t>
  </si>
  <si>
    <t>="""GP Direct"",""Fabrikam, Inc."",""Jet GL Transactions"",""Account Index"",""137"",""Credit Amount"",""275.78000"",""Document Number"",""RTN13030"",""Debit Amount"",""0.00000"",""Vendor Name"",""Central Distributing"",""Transaction Description"",""COGS"",""Transaction Date"",""1/1/2014"""</t>
  </si>
  <si>
    <t>="""GP Direct"",""Fabrikam, Inc."",""Jet GL Transactions"",""Account Index"",""137"",""Credit Amount"",""299.33000"",""Document Number"",""RTN16092"",""Debit Amount"",""0.00000"",""Vendor Name"",""Executive Resources"",""Transaction Description"",""COGS"",""Transaction Date"",""1/1/2014"""</t>
  </si>
  <si>
    <t>="""GP Direct"",""Fabrikam, Inc."",""Jet GL Transactions"",""Account Index"",""137"",""Credit Amount"",""300.77000"",""Document Number"",""RTN12080"",""Debit Amount"",""0.00000"",""Vendor Name"",""Computers Unlimited"",""Transaction Description"",""COGS"",""Transaction Date"",""1/1/2014"""</t>
  </si>
  <si>
    <t>="""GP Direct"",""Fabrikam, Inc."",""Jet GL Transactions"",""Account Index"",""137"",""Credit Amount"",""311.35000"",""Document Number"",""CM15001"",""Debit Amount"",""0.00000"",""Vendor Name"",""Cellular Express"",""Transaction Description"",""COGS"",""Transaction Date"",""1/1/2014"""</t>
  </si>
  <si>
    <t>="""GP Direct"",""Fabrikam, Inc."",""Jet GL Transactions"",""Account Index"",""137"",""Credit Amount"",""321.89000"",""Document Number"",""RTN110010"",""Debit Amount"",""0.00000"",""Vendor Name"",""Super Foods Plus"",""Transaction Description"",""COGS"",""Transaction Date"",""1/1/2014"""</t>
  </si>
  <si>
    <t>="""GP Direct"",""Fabrikam, Inc."",""Jet GL Transactions"",""Account Index"",""137"",""Credit Amount"",""323.35000"",""Document Number"",""CM13001"",""Debit Amount"",""0.00000"",""Vendor Name"",""Advanced Paper Co."",""Transaction Description"",""COGS"",""Transaction Date"",""1/1/2014"""</t>
  </si>
  <si>
    <t>="""GP Direct"",""Fabrikam, Inc."",""Jet GL Transactions"",""Account Index"",""137"",""Credit Amount"",""326.14000"",""Document Number"",""RTN14074"",""Debit Amount"",""0.00000"",""Vendor Name"",""Rosellen General Hospital"",""Transaction Description"",""COGS"",""Transaction Date"",""1/1/2"&amp;"014"""</t>
  </si>
  <si>
    <t>="""GP Direct"",""Fabrikam, Inc."",""Jet GL Transactions"",""Account Index"",""137"",""Credit Amount"",""391.62000"",""Document Number"",""CM11071"",""Debit Amount"",""0.00000"",""Vendor Name"",""Advanced Tech Satellite System"",""Transaction Description"",""COGS"",""Transaction Date"",""1"&amp;"/1/2014"""</t>
  </si>
  <si>
    <t>="""GP Direct"",""Fabrikam, Inc."",""Jet GL Transactions"",""Account Index"",""137"",""Credit Amount"",""414.38000"",""Document Number"",""CM115000"",""Debit Amount"",""0.00000"",""Vendor Name"",""Coho Winery"",""Transaction Description"",""COGS"",""Transaction Date"",""1/1/2014"""</t>
  </si>
  <si>
    <t>="""GP Direct"",""Fabrikam, Inc."",""Jet GL Transactions"",""Account Index"",""137"",""Credit Amount"",""418.69000"",""Document Number"",""RTN14094"",""Debit Amount"",""0.00000"",""Vendor Name"",""Computer Equipment Leasing"",""Transaction Description"",""COGS"",""Transaction Date"",""1/1/"&amp;"2014"""</t>
  </si>
  <si>
    <t>="""GP Direct"",""Fabrikam, Inc."",""Jet GL Transactions"",""Account Index"",""137"",""Credit Amount"",""441.45000"",""Document Number"",""00000000000000026"",""Debit Amount"",""0.00000"",""Vendor Name"","""",""Transaction Description"","""",""Transaction Date"",""1/1/2014"""</t>
  </si>
  <si>
    <t>="""GP Direct"",""Fabrikam, Inc."",""Jet GL Transactions"",""Account Index"",""137"",""Credit Amount"",""452.56000"",""Document Number"",""RTN110012"",""Debit Amount"",""0.00000"",""Vendor Name"",""Super Foods Plus"",""Transaction Description"",""COGS"",""Transaction Date"",""1/1/2014"""</t>
  </si>
  <si>
    <t>="""GP Direct"",""Fabrikam, Inc."",""Jet GL Transactions"",""Account Index"",""137"",""Credit Amount"",""466.22000"",""Document Number"",""CM17000"",""Debit Amount"",""0.00000"",""Vendor Name"",""Crawfords, Inc."",""Transaction Description"",""COGS"",""Transaction Date"",""1/1/2014"""</t>
  </si>
  <si>
    <t>="""GP Direct"",""Fabrikam, Inc."",""Jet GL Transactions"",""Account Index"",""137"",""Credit Amount"",""547.44000"",""Document Number"",""RTN116013"",""Debit Amount"",""0.00000"",""Vendor Name"",""Reynolds State College"",""Transaction Description"",""COGS"",""Transaction Date"",""1/1/201"&amp;"4"""</t>
  </si>
  <si>
    <t>="""GP Direct"",""Fabrikam, Inc."",""Jet GL Transactions"",""Account Index"",""137"",""Credit Amount"",""646.09000"",""Document Number"",""CM121001"",""Debit Amount"",""0.00000"",""Vendor Name"",""Rainbow Research"",""Transaction Description"",""COGS"",""Transaction Date"",""1/1/2014"""</t>
  </si>
  <si>
    <t>="""GP Direct"",""Fabrikam, Inc."",""Jet GL Transactions"",""Account Index"",""137"",""Credit Amount"",""679.05000"",""Document Number"",""CM110032"",""Debit Amount"",""0.00000"",""Vendor Name"",""Plaza One"",""Transaction Description"",""COGS"",""Transaction Date"",""1/1/2014"""</t>
  </si>
  <si>
    <t>="""GP Direct"",""Fabrikam, Inc."",""Jet GL Transactions"",""Account Index"",""137"",""Credit Amount"",""712.55000"",""Document Number"",""RTN113011"",""Debit Amount"",""0.00000"",""Vendor Name"",""S &amp; S Properties"",""Transaction Description"",""COGS"",""Transaction Date"",""1/1/2014"""</t>
  </si>
  <si>
    <t>="""GP Direct"",""Fabrikam, Inc."",""Jet GL Transactions"",""Account Index"",""137"",""Credit Amount"",""795.76000"",""Document Number"",""RTN13073"",""Debit Amount"",""0.00000"",""Vendor Name"",""Communication Connections"",""Transaction Description"",""COGS"",""Transaction Date"",""1/1/2"&amp;"014"""</t>
  </si>
  <si>
    <t>="""GP Direct"",""Fabrikam, Inc."",""Jet GL Transactions"",""Account Index"",""137"",""Credit Amount"",""819.87000"",""Document Number"",""RTN14060"",""Debit Amount"",""0.00000"",""Vendor Name"",""Novia Scotia Tech. Institute"",""Transaction Description"",""COGS"",""Transaction Date"",""1/"&amp;"1/2014"""</t>
  </si>
  <si>
    <t>="""GP Direct"",""Fabrikam, Inc."",""Jet GL Transactions"",""Account Index"",""137"",""Credit Amount"",""829.39000"",""Document Number"",""CM122001"",""Debit Amount"",""0.00000"",""Vendor Name"",""Pacific Digital"",""Transaction Description"",""COGS"",""Transaction Date"",""1/1/2014"""</t>
  </si>
  <si>
    <t>="""GP Direct"",""Fabrikam, Inc."",""Jet GL Transactions"",""Account Index"",""137"",""Credit Amount"",""831.67000"",""Document Number"",""RTN12092"",""Debit Amount"",""0.00000"",""Vendor Name"",""Boyle's Country Inn's"",""Transaction Description"",""COGS"",""Transaction Date"",""1/1/2014"""</t>
  </si>
  <si>
    <t>="""GP Direct"",""Fabrikam, Inc."",""Jet GL Transactions"",""Account Index"",""137"",""Credit Amount"",""849.19000"",""Document Number"",""CM126002"",""Debit Amount"",""0.00000"",""Vendor Name"",""Snelling Communications Inc."",""Transaction Description"",""COGS"",""Transaction Date"",""1/"&amp;"1/2014"""</t>
  </si>
  <si>
    <t>="""GP Direct"",""Fabrikam, Inc."",""Jet GL Transactions"",""Account Index"",""137"",""Credit Amount"",""914.90000"",""Document Number"",""CM110000"",""Debit Amount"",""0.00000"",""Vendor Name"",""Holling Communications Inc."",""Transaction Description"",""COGS"",""Transaction Date"",""1/1"&amp;"/2014"""</t>
  </si>
  <si>
    <t>="""GP Direct"",""Fabrikam, Inc."",""Jet GL Transactions"",""Account Index"",""137"",""Credit Amount"",""927.39000"",""Document Number"",""TRN17083"",""Debit Amount"",""0.00000"",""Vendor Name"",""Place &amp; MacDero Associates"",""Transaction Description"",""COGS"",""Transaction Date"",""1/1/"&amp;"2014"""</t>
  </si>
  <si>
    <t>="""GP Direct"",""Fabrikam, Inc."",""Jet GL Transactions"",""Account Index"",""137"",""Credit Amount"",""944.00000"",""Document Number"",""CM115054"",""Debit Amount"",""0.00000"",""Vendor Name"",""Berry Medical Center"",""Transaction Description"",""COGS"",""Transaction Date"",""1/1/2014"""</t>
  </si>
  <si>
    <t>="""GP Direct"",""Fabrikam, Inc."",""Jet GL Transactions"",""Account Index"",""137"",""Credit Amount"",""974.63000"",""Document Number"",""RTN14010"",""Debit Amount"",""0.00000"",""Vendor Name"",""Astor Suites"",""Transaction Description"",""COGS"",""Transaction Date"",""1/1/2014"""</t>
  </si>
  <si>
    <t>="""GP Direct"",""Fabrikam, Inc."",""Jet GL Transactions"",""Account Index"",""137"",""Credit Amount"",""1130.00000"",""Document Number"",""00000000000000026"",""Debit Amount"",""0.00000"",""Vendor Name"","""",""Transaction Description"","""",""Transaction Date"",""1/1/2014"""</t>
  </si>
  <si>
    <t>="""GP Direct"",""Fabrikam, Inc."",""Jet GL Transactions"",""Account Index"",""137"",""Credit Amount"",""1146.86000"",""Document Number"",""RTN13021"",""Debit Amount"",""0.00000"",""Vendor Name"",""Contoso, Ltd."",""Transaction Description"",""COGS"",""Transaction Date"",""1/1/2014"""</t>
  </si>
  <si>
    <t>="""GP Direct"",""Fabrikam, Inc."",""Jet GL Transactions"",""Account Index"",""137"",""Credit Amount"",""1158.31000"",""Document Number"",""RTN13022"",""Debit Amount"",""0.00000"",""Vendor Name"",""Contoso, Ltd."",""Transaction Description"",""COGS"",""Transaction Date"",""1/1/2014"""</t>
  </si>
  <si>
    <t>="""GP Direct"",""Fabrikam, Inc."",""Jet GL Transactions"",""Account Index"",""137"",""Credit Amount"",""1239.48000"",""Document Number"",""RTN17080"",""Debit Amount"",""0.00000"",""Vendor Name"",""Place &amp; MacDero Associates"",""Transaction Description"",""COGS"",""Transaction Date"",""1/1"&amp;"/2014"""</t>
  </si>
  <si>
    <t>="""GP Direct"",""Fabrikam, Inc."",""Jet GL Transactions"",""Account Index"",""137"",""Credit Amount"",""1543.60000"",""Document Number"",""00000000000000026"",""Debit Amount"",""0.00000"",""Vendor Name"","""",""Transaction Description"","""",""Transaction Date"",""1/1/2014"""</t>
  </si>
  <si>
    <t>="""GP Direct"",""Fabrikam, Inc."",""Jet GL Transactions"",""Account Index"",""137"",""Credit Amount"",""1796.11000"",""Document Number"",""RTN12010"",""Debit Amount"",""0.00000"",""Vendor Name"",""World Enterprises"",""Transaction Description"",""COGS"",""Transaction Date"",""1/1/2014"""</t>
  </si>
  <si>
    <t>="""GP Direct"",""Fabrikam, Inc."",""Jet GL Transactions"",""Account Index"",""137"",""Credit Amount"",""3564.68000"",""Document Number"",""CM111000"",""Debit Amount"",""0.00000"",""Vendor Name"",""International Mailing Corp."",""Transaction Description"",""COGS"",""Transaction Date"",""1/"&amp;"1/2014"""</t>
  </si>
  <si>
    <t>="""GP Direct"",""Fabrikam, Inc."",""Jet GL Transactions"",""Account Index"",""137"",""Credit Amount"",""4623.36000"",""Document Number"",""RTN13031"",""Debit Amount"",""0.00000"",""Vendor Name"",""Central Distributing"",""Transaction Description"",""COGS"",""Transaction Date"",""1/1/2014"""</t>
  </si>
  <si>
    <t>="""GP Direct"",""Fabrikam, Inc."",""Jet GL Transactions"",""Account Index"",""137"",""Credit Amount"",""38901.25000"",""Document Number"",""00000000000000026"",""Debit Amount"",""0.00000"",""Vendor Name"","""",""Transaction Description"","""",""Transaction Date"",""1/1/2014"""</t>
  </si>
  <si>
    <t>="""GP Direct"",""Fabrikam, Inc."",""Jet GL Transactions"",""Account Index"",""137"",""Credit Amount"",""41531.28000"",""Document Number"",""00000000000000026"",""Debit Amount"",""0.00000"",""Vendor Name"","""",""Transaction Description"","""",""Transaction Date"",""1/1/2014"""</t>
  </si>
  <si>
    <t>="""GP Direct"",""Fabrikam, Inc."",""Jet GL Transactions"",""Account Index"",""137"",""Credit Amount"",""0.00000"",""Document Number"","""",""Debit Amount"",""829.12000"",""Vendor Name"","""",""Transaction Description"","""",""Transaction Date"",""1/4/2014"""</t>
  </si>
  <si>
    <t>="""GP Direct"",""Fabrikam, Inc."",""Jet GL Transactions"",""Account Index"",""137"",""Credit Amount"",""0.00000"",""Document Number"","""",""Debit Amount"",""1572.61000"",""Vendor Name"","""",""Transaction Description"","""",""Transaction Date"",""1/10/2014"""</t>
  </si>
  <si>
    <t>="""GP Direct"",""Fabrikam, Inc."",""Jet GL Transactions"",""Account Index"",""137"",""Credit Amount"",""0.00000"",""Document Number"","""",""Debit Amount"",""2921.08000"",""Vendor Name"","""",""Transaction Description"","""",""Transaction Date"",""1/10/2014"""</t>
  </si>
  <si>
    <t>="""GP Direct"",""Fabrikam, Inc."",""Jet GL Transactions"",""Account Index"",""137"",""Credit Amount"",""0.00000"",""Document Number"","""",""Debit Amount"",""944.55000"",""Vendor Name"","""",""Transaction Description"","""",""Transaction Date"",""1/19/2014"""</t>
  </si>
  <si>
    <t>="""GP Direct"",""Fabrikam, Inc."",""Jet GL Transactions"",""Account Index"",""137"",""Credit Amount"",""0.00000"",""Document Number"","""",""Debit Amount"",""447.06000"",""Vendor Name"","""",""Transaction Description"","""",""Transaction Date"",""1/22/2014"""</t>
  </si>
  <si>
    <t>="""GP Direct"",""Fabrikam, Inc."",""Jet GL Transactions"",""Account Index"",""137"",""Credit Amount"",""0.00000"",""Document Number"","""",""Debit Amount"",""846.66000"",""Vendor Name"","""",""Transaction Description"","""",""Transaction Date"",""1/22/2014"""</t>
  </si>
  <si>
    <t>="""GP Direct"",""Fabrikam, Inc."",""Jet GL Transactions"",""Account Index"",""137"",""Credit Amount"",""0.00000"",""Document Number"","""",""Debit Amount"",""2706.18000"",""Vendor Name"","""",""Transaction Description"","""",""Transaction Date"",""1/24/2014"""</t>
  </si>
  <si>
    <t>="""GP Direct"",""Fabrikam, Inc."",""Jet GL Transactions"",""Account Index"",""137"",""Credit Amount"",""0.00000"",""Document Number"","""",""Debit Amount"",""50.25000"",""Vendor Name"",""Aaron Fitz Electrical"",""Transaction Description"",""COGS"",""Transaction Date"",""2/15/2014"""</t>
  </si>
  <si>
    <t>="""GP Direct"",""Fabrikam, Inc."",""Jet GL Transactions"",""Account Index"",""137"",""Credit Amount"",""86.25000"",""Document Number"",""00000000000000027"",""Debit Amount"",""0.00000"",""Vendor Name"","""",""Transaction Description"","""",""Transaction Date"",""3/25/2014"""</t>
  </si>
  <si>
    <t>="""GP Direct"",""Fabrikam, Inc."",""Jet GL Transactions"",""Account Index"",""137"",""Credit Amount"",""2263.50000"",""Document Number"",""00000000000000027"",""Debit Amount"",""0.00000"",""Vendor Name"","""",""Transaction Description"","""",""Transaction Date"",""3/25/2014"""</t>
  </si>
  <si>
    <t>="""GP Direct"",""Fabrikam, Inc."",""Jet GL Transactions"",""Account Index"",""137"",""Credit Amount"",""559.60000"",""Document Number"",""00000000000000025"",""Debit Amount"",""0.00000"",""Vendor Name"","""",""Transaction Description"","""",""Transaction Date"",""3/28/2014"""</t>
  </si>
  <si>
    <t>="""GP Direct"",""Fabrikam, Inc."",""Jet GL Transactions"",""Account Index"",""137"",""Credit Amount"",""748.40000"",""Document Number"",""00000000000000025"",""Debit Amount"",""0.00000"",""Vendor Name"","""",""Transaction Description"","""",""Transaction Date"",""3/28/2014"""</t>
  </si>
  <si>
    <t>="""GP Direct"",""Fabrikam, Inc."",""Jet GL Transactions"",""Account Index"",""137"",""Credit Amount"",""1758.10000"",""Document Number"",""00000000000000025"",""Debit Amount"",""0.00000"",""Vendor Name"","""",""Transaction Description"","""",""Transaction Date"",""3/28/2014"""</t>
  </si>
  <si>
    <t>="""GP Direct"",""Fabrikam, Inc."",""Jet GL Transactions"",""Account Index"",""137"",""Credit Amount"",""2394.00000"",""Document Number"",""00000000000000025"",""Debit Amount"",""0.00000"",""Vendor Name"","""",""Transaction Description"","""",""Transaction Date"",""3/28/2014"""</t>
  </si>
  <si>
    <t>="""GP Direct"",""Fabrikam, Inc."",""Jet GL Transactions"",""Account Index"",""137"",""Credit Amount"",""3148.50000"",""Document Number"",""00000000000000025"",""Debit Amount"",""0.00000"",""Vendor Name"","""",""Transaction Description"","""",""Transaction Date"",""3/28/2014"""</t>
  </si>
  <si>
    <t>="""GP Direct"",""Fabrikam, Inc."",""Jet GL Transactions"",""Account Index"",""137"",""Credit Amount"",""16896.25000"",""Document Number"",""00000000000000025"",""Debit Amount"",""0.00000"",""Vendor Name"","""",""Transaction Description"","""",""Transaction Date"",""3/28/2014"""</t>
  </si>
  <si>
    <t>="""GP Direct"",""Fabrikam, Inc."",""Jet GL Transactions"",""Account Index"",""137"",""Credit Amount"",""20987.05000"",""Document Number"",""00000000000000025"",""Debit Amount"",""0.00000"",""Vendor Name"","""",""Transaction Description"","""",""Transaction Date"",""3/28/2014"""</t>
  </si>
  <si>
    <t>="""GP Direct"",""Fabrikam, Inc."",""Jet GL Transactions"",""Account Index"",""137"",""Credit Amount"",""44962.50000"",""Document Number"",""00000000000000025"",""Debit Amount"",""0.00000"",""Vendor Name"","""",""Transaction Description"","""",""Transaction Date"",""3/28/2014"""</t>
  </si>
  <si>
    <t>="""GP Direct"",""Fabrikam, Inc."",""Jet GL Transactions"",""Account Index"",""138"",""Credit Amount"",""0.00000"",""Document Number"",""SLS110020"",""Debit Amount"",""1123.30000"",""Vendor Name"",""Lawrence Telemarketing"",""Transaction Description"",""COGS"",""Transaction Date"",""1/1/20"&amp;"14"""</t>
  </si>
  <si>
    <t>="""GP Direct"",""Fabrikam, Inc."",""Jet GL Transactions"",""Account Index"",""138"",""Credit Amount"",""0.00000"",""Document Number"",""SLS110031"",""Debit Amount"",""1119.16000"",""Vendor Name"",""Plaza One"",""Transaction Description"",""COGS"",""Transaction Date"",""1/1/2014"""</t>
  </si>
  <si>
    <t>="""GP Direct"",""Fabrikam, Inc."",""Jet GL Transactions"",""Account Index"",""138"",""Credit Amount"",""0.00000"",""Document Number"",""SLS11013"",""Debit Amount"",""4919.89000"",""Vendor Name"",""Alton Manufacturing"",""Transaction Description"",""COGS"",""Transaction Date"",""1/1/2014"""</t>
  </si>
  <si>
    <t>="""GP Direct"",""Fabrikam, Inc."",""Jet GL Transactions"",""Account Index"",""138"",""Credit Amount"",""0.00000"",""Document Number"",""SLS11014"",""Debit Amount"",""1815.38000"",""Vendor Name"",""Aaron Fitz Electrical"",""Transaction Description"",""COGS"",""Transaction Date"",""1/1/2014"&amp;""""</t>
  </si>
  <si>
    <t>="""GP Direct"",""Fabrikam, Inc."",""Jet GL Transactions"",""Account Index"",""138"",""Credit Amount"",""0.00000"",""Document Number"",""SLS11091"",""Debit Amount"",""1439.47000"",""Vendor Name"",""Country View Estates"",""Transaction Description"",""COGS"",""Transaction Date"",""1/1/2014"""</t>
  </si>
  <si>
    <t>="""GP Direct"",""Fabrikam, Inc."",""Jet GL Transactions"",""Account Index"",""138"",""Credit Amount"",""0.00000"",""Document Number"",""SLS112031"",""Debit Amount"",""813.45000"",""Vendor Name"",""Northstar Mall"",""Transaction Description"",""COGS"",""Transaction Date"",""1/1/2014"""</t>
  </si>
  <si>
    <t>="""GP Direct"",""Fabrikam, Inc."",""Jet GL Transactions"",""Account Index"",""138"",""Credit Amount"",""0.00000"",""Document Number"",""SLS114001"",""Debit Amount"",""3621.74000"",""Vendor Name"",""Hampton Village Eatery"",""Transaction Description"",""COGS"",""Transaction Date"",""1/1/20"&amp;"14"""</t>
  </si>
  <si>
    <t>="""GP Direct"",""Fabrikam, Inc."",""Jet GL Transactions"",""Account Index"",""138"",""Credit Amount"",""0.00000"",""Document Number"",""SLS115002"",""Debit Amount"",""832.70000"",""Vendor Name"",""Coho Winery"",""Transaction Description"",""COGS"",""Transaction Date"",""1/1/2014"""</t>
  </si>
  <si>
    <t>="""GP Direct"",""Fabrikam, Inc."",""Jet GL Transactions"",""Account Index"",""138"",""Credit Amount"",""0.00000"",""Document Number"",""SLS116011"",""Debit Amount"",""1170.75000"",""Vendor Name"",""Reynolds State College"",""Transaction Description"",""COGS"",""Transaction Date"",""1/1/20"&amp;"14"""</t>
  </si>
  <si>
    <t>="""GP Direct"",""Fabrikam, Inc."",""Jet GL Transactions"",""Account Index"",""138"",""Credit Amount"",""0.00000"",""Document Number"",""SLS119000"",""Debit Amount"",""3135.95000"",""Vendor Name"",""Johnson, Kimberly"",""Transaction Description"",""COGS"",""Transaction Date"",""1/1/2014"""</t>
  </si>
  <si>
    <t>="""GP Direct"",""Fabrikam, Inc."",""Jet GL Transactions"",""Account Index"",""138"",""Credit Amount"",""0.00000"",""Document Number"",""SLS12012"",""Debit Amount"",""1368.04000"",""Vendor Name"",""World Enterprises"",""Transaction Description"",""COGS"",""Transaction Date"",""1/1/2014"""</t>
  </si>
  <si>
    <t>="""GP Direct"",""Fabrikam, Inc."",""Jet GL Transactions"",""Account Index"",""138"",""Credit Amount"",""0.00000"",""Document Number"",""SLS14012"",""Debit Amount"",""907.51000"",""Vendor Name"",""Astor Suites"",""Transaction Description"",""COGS"",""Transaction Date"",""1/1/2014"""</t>
  </si>
  <si>
    <t>="""GP Direct"",""Fabrikam, Inc."",""Jet GL Transactions"",""Account Index"",""138"",""Credit Amount"",""0.00000"",""Document Number"",""SLS16090"",""Debit Amount"",""2098.85000"",""Vendor Name"",""Executive Resources"",""Transaction Description"",""COGS"",""Transaction Date"",""1/1/2014"""</t>
  </si>
  <si>
    <t>="""GP Direct"",""Fabrikam, Inc."",""Jet GL Transactions"",""Account Index"",""138"",""Credit Amount"",""0.00000"",""Document Number"",""SLS17003"",""Debit Amount"",""233.61000"",""Vendor Name"",""Midland Construction"",""Transaction Description"",""COGS"",""Transaction Date"",""1/1/2014"""</t>
  </si>
  <si>
    <t>="""GP Direct"",""Fabrikam, Inc."",""Jet GL Transactions"",""Account Index"",""138"",""Credit Amount"",""0.00000"",""Document Number"",""SLS17020"",""Debit Amount"",""2378.53000"",""Vendor Name"",""Mutual of  Omaha"",""Transaction Description"",""COGS"",""Transaction Date"",""1/1/2014"""</t>
  </si>
  <si>
    <t>="""GP Direct"",""Fabrikam, Inc."",""Jet GL Transactions"",""Account Index"",""138"",""Credit Amount"",""0.00000"",""Document Number"",""SLS17023"",""Debit Amount"",""942.37000"",""Vendor Name"",""Mutual of  Omaha"",""Transaction Description"",""COGS"",""Transaction Date"",""1/1/2014"""</t>
  </si>
  <si>
    <t>="""GP Direct"",""Fabrikam, Inc."",""Jet GL Transactions"",""Account Index"",""138"",""Credit Amount"",""0.00000"",""Document Number"",""SLS18012"",""Debit Amount"",""2858.42000"",""Vendor Name"",""Mendota University"",""Transaction Description"",""COGS"",""Transaction Date"",""1/1/2014"""</t>
  </si>
  <si>
    <t>="""GP Direct"",""Fabrikam, Inc."",""Jet GL Transactions"",""Account Index"",""138"",""Credit Amount"",""0.00000"",""Document Number"",""SLS19000"",""Debit Amount"",""3208.74000"",""Vendor Name"",""Greenway Foods"",""Transaction Description"",""COGS"",""Transaction Date"",""1/1/2014"""</t>
  </si>
  <si>
    <t>="""GP Direct"",""Fabrikam, Inc."",""Jet GL Transactions"",""Account Index"",""138"",""Credit Amount"",""0.00000"",""Document Number"","""",""Debit Amount"",""3271.06000"",""Vendor Name"","""",""Transaction Description"","""",""Transaction Date"",""1/5/2014"""</t>
  </si>
  <si>
    <t>="""GP Direct"",""Fabrikam, Inc."",""Jet GL Transactions"",""Account Index"",""138"",""Credit Amount"",""0.00000"",""Document Number"","""",""Debit Amount"",""931.33000"",""Vendor Name"","""",""Transaction Description"","""",""Transaction Date"",""1/6/2014"""</t>
  </si>
  <si>
    <t>="""GP Direct"",""Fabrikam, Inc."",""Jet GL Transactions"",""Account Index"",""138"",""Credit Amount"",""303.96000"",""Document Number"",""00000000000000027"",""Debit Amount"",""0.00000"",""Vendor Name"","""",""Transaction Description"","""",""Transaction Date"",""3/25/2014"""</t>
  </si>
  <si>
    <t>=NF($E685,K$2)</t>
  </si>
  <si>
    <t>=NF($E685,M$2)</t>
  </si>
  <si>
    <t>=NF($E685,O$2)</t>
  </si>
  <si>
    <t>=NF($E685,L$2)</t>
  </si>
  <si>
    <t>=NF($E685,P$2)</t>
  </si>
  <si>
    <t>="""GP Direct"",""Fabrikam, Inc."",""Jet GL Transactions"",""Account Index"",""139"",""Credit Amount"",""93.86000"",""Document Number"",""115003"",""Debit Amount"",""0.00000"",""Vendor Name"",""Trey Research"",""Transaction Description"",""Term Discounts Taken"",""Transaction Date"",""1/23"&amp;"/2014"""</t>
  </si>
  <si>
    <t>=NF($E686,K$2)</t>
  </si>
  <si>
    <t>=NF($E686,M$2)</t>
  </si>
  <si>
    <t>=NF($E686,O$2)</t>
  </si>
  <si>
    <t>=NF($E686,L$2)</t>
  </si>
  <si>
    <t>=NF($E686,P$2)</t>
  </si>
  <si>
    <t>=NF($E692,K$2)</t>
  </si>
  <si>
    <t>=NF($E692,M$2)</t>
  </si>
  <si>
    <t>=NF($E692,O$2)</t>
  </si>
  <si>
    <t>=NF($E692,L$2)</t>
  </si>
  <si>
    <t>=NF($E692,P$2)</t>
  </si>
  <si>
    <t>="""GP Direct"",""Fabrikam, Inc."",""Jet GL Transactions"",""Account Index"",""142"",""Credit Amount"",""0.00000"",""Document Number"",""110002"",""Debit Amount"",""497.60000"",""Vendor Name"",""ComVex, Inc."",""Transaction Description"",""Freight"",""Transaction Date"",""1/31/2014"""</t>
  </si>
  <si>
    <t>="""GP Direct"",""Fabrikam, Inc."",""Jet GL Transactions"",""Account Index"",""142"",""Credit Amount"",""0.00000"",""Document Number"",""112000"",""Debit Amount"",""632.47000"",""Vendor Name"",""International Wire"",""Transaction Description"",""Freight"",""Transaction Date"",""1/31/2014"""</t>
  </si>
  <si>
    <t>="""GP Direct"",""Fabrikam, Inc."",""Jet GL Transactions"",""Account Index"",""142"",""Credit Amount"",""0.00000"",""Document Number"",""112001"",""Debit Amount"",""307.81000"",""Vendor Name"",""International Wire"",""Transaction Description"",""Freight"",""Transaction Date"",""1/31/2014"""</t>
  </si>
  <si>
    <t>="""GP Direct"",""Fabrikam, Inc."",""Jet GL Transactions"",""Account Index"",""142"",""Credit Amount"",""0.00000"",""Document Number"",""113000"",""Debit Amount"",""511.71000"",""Vendor Name"",""Fabrikam, Inc."",""Transaction Description"",""Freight"",""Transaction Date"",""1/31/2014"""</t>
  </si>
  <si>
    <t>="""GP Direct"",""Fabrikam, Inc."",""Jet GL Transactions"",""Account Index"",""142"",""Credit Amount"",""0.00000"",""Document Number"",""113002"",""Debit Amount"",""699.72000"",""Vendor Name"",""Fabrikam, Inc."",""Transaction Description"",""Freight"",""Transaction Date"",""1/31/2014"""</t>
  </si>
  <si>
    <t>="""GP Direct"",""Fabrikam, Inc."",""Jet GL Transactions"",""Account Index"",""142"",""Credit Amount"",""0.00000"",""Document Number"",""113005"",""Debit Amount"",""827.36000"",""Vendor Name"",""Fabrikam, Inc."",""Transaction Description"",""Freight"",""Transaction Date"",""1/31/2014"""</t>
  </si>
  <si>
    <t>="""GP Direct"",""Fabrikam, Inc."",""Jet GL Transactions"",""Account Index"",""142"",""Credit Amount"",""0.00000"",""Document Number"",""114000"",""Debit Amount"",""609.09000"",""Vendor Name"",""Attractive Telephone Co."",""Transaction Description"",""Freight"",""Transaction Date"",""1/31/"&amp;"2014"""</t>
  </si>
  <si>
    <t>="""GP Direct"",""Fabrikam, Inc."",""Jet GL Transactions"",""Account Index"",""142"",""Credit Amount"",""0.00000"",""Document Number"",""114001"",""Debit Amount"",""593.68000"",""Vendor Name"",""Attractive Telephone Co."",""Transaction Description"",""Freight"",""Transaction Date"",""1/31/"&amp;"2014"""</t>
  </si>
  <si>
    <t>="""GP Direct"",""Fabrikam, Inc."",""Jet GL Transactions"",""Account Index"",""142"",""Credit Amount"",""0.00000"",""Document Number"",""115002"",""Debit Amount"",""527.57000"",""Vendor Name"",""Skylab Satellite Inc."",""Transaction Description"",""Freight"",""Transaction Date"",""1/31/201"&amp;"4"""</t>
  </si>
  <si>
    <t>="""GP Direct"",""Fabrikam, Inc."",""Jet GL Transactions"",""Account Index"",""142"",""Credit Amount"",""0.00000"",""Document Number"",""116000"",""Debit Amount"",""1568.59000"",""Vendor Name"",""Green Lake Wire Company"",""Transaction Description"",""Freight"",""Transaction Date"",""1/31/"&amp;"2014"""</t>
  </si>
  <si>
    <t>="""GP Direct"",""Fabrikam, Inc."",""Jet GL Transactions"",""Account Index"",""142"",""Credit Amount"",""0.00000"",""Document Number"",""116002"",""Debit Amount"",""614.42000"",""Vendor Name"",""Green Lake Wire Company"",""Transaction Description"",""Freight"",""Transaction Date"",""1/31/2"&amp;"014"""</t>
  </si>
  <si>
    <t>="""GP Direct"",""Fabrikam, Inc."",""Jet GL Transactions"",""Account Index"",""142"",""Credit Amount"",""0.00000"",""Document Number"",""12005"",""Debit Amount"",""1397.08000"",""Vendor Name"",""Attractive Telephone Co."",""Transaction Description"",""Freight"",""Transaction Date"",""1/31/"&amp;"2014"""</t>
  </si>
  <si>
    <t>="""GP Direct"",""Fabrikam, Inc."",""Jet GL Transactions"",""Account Index"",""142"",""Credit Amount"",""0.00000"",""Document Number"",""15001"",""Debit Amount"",""632.62000"",""Vendor Name"",""Leaf River Paging Systems"",""Transaction Description"",""Freight"",""Transaction Date"",""1/31/"&amp;"2014"""</t>
  </si>
  <si>
    <t>="""GP Direct"",""Fabrikam, Inc."",""Jet GL Transactions"",""Account Index"",""142"",""Credit Amount"",""0.00000"",""Document Number"",""16000"",""Debit Amount"",""799.76000"",""Vendor Name"",""Signature Systems"",""Transaction Description"",""Freight"",""Transaction Date"",""1/31/2014"""</t>
  </si>
  <si>
    <t>="""GP Direct"",""Fabrikam, Inc."",""Jet GL Transactions"",""Account Index"",""142"",""Credit Amount"",""0.00000"",""Document Number"",""16001"",""Debit Amount"",""524.39000"",""Vendor Name"",""Signature Systems"",""Transaction Description"",""Freight"",""Transaction Date"",""1/31/2014"""</t>
  </si>
  <si>
    <t>="""GP Direct"",""Fabrikam, Inc."",""Jet GL Transactions"",""Account Index"",""142"",""Credit Amount"",""0.00000"",""Document Number"",""17000"",""Debit Amount"",""256.94000"",""Vendor Name"",""Central Cellular, Inc."",""Transaction Description"",""Freight"",""Transaction Date"",""1/31/201"&amp;"4"""</t>
  </si>
  <si>
    <t>="""GP Direct"",""Fabrikam, Inc."",""Jet GL Transactions"",""Account Index"",""142"",""Credit Amount"",""0.00000"",""Document Number"",""17001"",""Debit Amount"",""570.20000"",""Vendor Name"",""Cruger Engineering Company"",""Transaction Description"",""Freight"",""Transaction Date"",""1/31"&amp;"/2014"""</t>
  </si>
  <si>
    <t>="""GP Direct"",""Fabrikam, Inc."",""Jet GL Transactions"",""Account Index"",""142"",""Credit Amount"",""0.00000"",""Document Number"",""18000"",""Debit Amount"",""525.76000"",""Vendor Name"",""SofTel, Inc."",""Transaction Description"",""Freight"",""Transaction Date"",""1/31/2014"""</t>
  </si>
  <si>
    <t>="""GP Direct"",""Fabrikam, Inc."",""Jet GL Transactions"",""Account Index"",""142"",""Credit Amount"",""0.00000"",""Document Number"",""18002"",""Debit Amount"",""322.82000"",""Vendor Name"",""SofTel, Inc."",""Transaction Description"",""Freight"",""Transaction Date"",""1/31/2014"""</t>
  </si>
  <si>
    <t>="""GP Direct"",""Fabrikam, Inc."",""Jet GL Transactions"",""Account Index"",""142"",""Credit Amount"",""0.00000"",""Document Number"",""19000"",""Debit Amount"",""516.77000"",""Vendor Name"",""PageMaster"",""Transaction Description"",""Freight"",""Transaction Date"",""1/31/2014"""</t>
  </si>
  <si>
    <t>="""GP Direct"",""Fabrikam, Inc."",""Jet GL Transactions"",""Account Index"",""142"",""Credit Amount"",""322.82000"",""Document Number"",""18002"",""Debit Amount"",""0.00000"",""Vendor Name"",""SofTel, Inc."",""Transaction Description"",""Freight"",""Transaction Date"",""1/31/2014"""</t>
  </si>
  <si>
    <t>="""GP Direct"",""Fabrikam, Inc."",""Jet GL Transactions"",""Account Index"",""142"",""Credit Amount"",""774.58000"",""Document Number"",""17002"",""Debit Amount"",""0.00000"",""Vendor Name"",""Central Cellular, Inc."",""Transaction Description"",""Freight"",""Transaction Date"",""1/31/201"&amp;"4"""</t>
  </si>
  <si>
    <t>="""GP Direct"",""Fabrikam, Inc."",""Jet GL Transactions"",""Account Index"",""142"",""Credit Amount"",""879.45000"",""Document Number"",""111001"",""Debit Amount"",""0.00000"",""Vendor Name"",""Cruger Engineering Company"",""Transaction Description"",""Freight"",""Transaction Date"",""1/3"&amp;"1/2014"""</t>
  </si>
  <si>
    <t>="""GP Direct"",""Fabrikam, Inc."",""Jet GL Transactions"",""Account Index"",""143"",""Credit Amount"",""0.00000"",""Document Number"",""12004"",""Debit Amount"",""2703.18000"",""Vendor Name"",""Capital Printed Circuits"",""Transaction Description"",""Freight"",""Transaction Date"",""1/31/"&amp;"2014"""</t>
  </si>
  <si>
    <t>="""GP Direct"",""Fabrikam, Inc."",""Jet GL Transactions"",""Account Index"",""143"",""Credit Amount"",""0.00000"",""Document Number"",""12005"",""Debit Amount"",""752.14000"",""Vendor Name"",""Capital Printed Circuits"",""Transaction Description"",""Freight"",""Transaction Date"",""1/31/2"&amp;"014"""</t>
  </si>
  <si>
    <t>="""GP Direct"",""Fabrikam, Inc."",""Jet GL Transactions"",""Account Index"",""143"",""Credit Amount"",""0.00000"",""Document Number"",""13003"",""Debit Amount"",""1980.51000"",""Vendor Name"",""Continental Connectors"",""Transaction Description"",""Freight"",""Transaction Date"",""1/31/20"&amp;"14"""</t>
  </si>
  <si>
    <t>="""GP Direct"",""Fabrikam, Inc."",""Jet GL Transactions"",""Account Index"",""143"",""Credit Amount"",""0.00000"",""Document Number"",""13004"",""Debit Amount"",""2398.96000"",""Vendor Name"",""Continental Connectors"",""Transaction Description"",""Freight"",""Transaction Date"",""1/31/20"&amp;"14"""</t>
  </si>
  <si>
    <t>="""GP Direct"",""Fabrikam, Inc."",""Jet GL Transactions"",""Account Index"",""143"",""Credit Amount"",""752.14000"",""Document Number"",""12005"",""Debit Amount"",""0.00000"",""Vendor Name"",""Capital Printed Circuits"",""Transaction Description"",""Freight"",""Transaction Date"",""1/31/2"&amp;"014"""</t>
  </si>
  <si>
    <t>=NF($E288,K$2)</t>
  </si>
  <si>
    <t>=NF($E289,K$2)</t>
  </si>
  <si>
    <t>=NF($E290,K$2)</t>
  </si>
  <si>
    <t>=NF($E291,K$2)</t>
  </si>
  <si>
    <t>=NF($E292,K$2)</t>
  </si>
  <si>
    <t>=NF($E293,K$2)</t>
  </si>
  <si>
    <t>=NF($E294,K$2)</t>
  </si>
  <si>
    <t>=NF($E295,K$2)</t>
  </si>
  <si>
    <t>=NF($E296,K$2)</t>
  </si>
  <si>
    <t>=NF($E297,K$2)</t>
  </si>
  <si>
    <t>=NF($E298,K$2)</t>
  </si>
  <si>
    <t>=NF($E299,K$2)</t>
  </si>
  <si>
    <t>=NF($E300,K$2)</t>
  </si>
  <si>
    <t>=NF($E301,K$2)</t>
  </si>
  <si>
    <t>=NF($E302,K$2)</t>
  </si>
  <si>
    <t>=NF($E303,K$2)</t>
  </si>
  <si>
    <t>=NF($E304,K$2)</t>
  </si>
  <si>
    <t>=NF($E305,K$2)</t>
  </si>
  <si>
    <t>=NF($E306,K$2)</t>
  </si>
  <si>
    <t>=NF($E307,K$2)</t>
  </si>
  <si>
    <t>=NF($E308,K$2)</t>
  </si>
  <si>
    <t>=NF($E309,K$2)</t>
  </si>
  <si>
    <t>=NF($E310,K$2)</t>
  </si>
  <si>
    <t>=NF($E311,K$2)</t>
  </si>
  <si>
    <t>=NF($E312,K$2)</t>
  </si>
  <si>
    <t>=NF($E313,K$2)</t>
  </si>
  <si>
    <t>=NF($E314,K$2)</t>
  </si>
  <si>
    <t>=NF($E315,K$2)</t>
  </si>
  <si>
    <t>=NF($E316,K$2)</t>
  </si>
  <si>
    <t>=NF($E317,K$2)</t>
  </si>
  <si>
    <t>=NF($E318,K$2)</t>
  </si>
  <si>
    <t>=NF($E319,K$2)</t>
  </si>
  <si>
    <t>=NF($E320,K$2)</t>
  </si>
  <si>
    <t>=NF($E321,K$2)</t>
  </si>
  <si>
    <t>=NF($E322,K$2)</t>
  </si>
  <si>
    <t>=NF($E323,K$2)</t>
  </si>
  <si>
    <t>=NF($E324,K$2)</t>
  </si>
  <si>
    <t>=NF($E325,K$2)</t>
  </si>
  <si>
    <t>=NF($E326,K$2)</t>
  </si>
  <si>
    <t>=NF($E327,K$2)</t>
  </si>
  <si>
    <t>=NF($E328,K$2)</t>
  </si>
  <si>
    <t>=NF($E329,K$2)</t>
  </si>
  <si>
    <t>=NF($E288,M$2)</t>
  </si>
  <si>
    <t>=NF($E289,M$2)</t>
  </si>
  <si>
    <t>=NF($E290,M$2)</t>
  </si>
  <si>
    <t>=NF($E291,M$2)</t>
  </si>
  <si>
    <t>=NF($E292,M$2)</t>
  </si>
  <si>
    <t>=NF($E293,M$2)</t>
  </si>
  <si>
    <t>=NF($E294,M$2)</t>
  </si>
  <si>
    <t>=NF($E295,M$2)</t>
  </si>
  <si>
    <t>=NF($E296,M$2)</t>
  </si>
  <si>
    <t>=NF($E297,M$2)</t>
  </si>
  <si>
    <t>=NF($E298,M$2)</t>
  </si>
  <si>
    <t>=NF($E299,M$2)</t>
  </si>
  <si>
    <t>=NF($E300,M$2)</t>
  </si>
  <si>
    <t>=NF($E301,M$2)</t>
  </si>
  <si>
    <t>=NF($E302,M$2)</t>
  </si>
  <si>
    <t>=NF($E303,M$2)</t>
  </si>
  <si>
    <t>=NF($E304,M$2)</t>
  </si>
  <si>
    <t>=NF($E305,M$2)</t>
  </si>
  <si>
    <t>=NF($E306,M$2)</t>
  </si>
  <si>
    <t>=NF($E307,M$2)</t>
  </si>
  <si>
    <t>=NF($E308,M$2)</t>
  </si>
  <si>
    <t>=NF($E309,M$2)</t>
  </si>
  <si>
    <t>=NF($E310,M$2)</t>
  </si>
  <si>
    <t>=NF($E311,M$2)</t>
  </si>
  <si>
    <t>=NF($E312,M$2)</t>
  </si>
  <si>
    <t>=NF($E313,M$2)</t>
  </si>
  <si>
    <t>=NF($E314,M$2)</t>
  </si>
  <si>
    <t>=NF($E315,M$2)</t>
  </si>
  <si>
    <t>=NF($E316,M$2)</t>
  </si>
  <si>
    <t>=NF($E317,M$2)</t>
  </si>
  <si>
    <t>=NF($E318,M$2)</t>
  </si>
  <si>
    <t>=NF($E319,M$2)</t>
  </si>
  <si>
    <t>=NF($E320,M$2)</t>
  </si>
  <si>
    <t>=NF($E321,M$2)</t>
  </si>
  <si>
    <t>=NF($E322,M$2)</t>
  </si>
  <si>
    <t>=NF($E323,M$2)</t>
  </si>
  <si>
    <t>=NF($E324,M$2)</t>
  </si>
  <si>
    <t>=NF($E325,M$2)</t>
  </si>
  <si>
    <t>=NF($E326,M$2)</t>
  </si>
  <si>
    <t>=NF($E327,M$2)</t>
  </si>
  <si>
    <t>=NF($E328,M$2)</t>
  </si>
  <si>
    <t>=NF($E329,M$2)</t>
  </si>
  <si>
    <t>=NF($E288,O$2)</t>
  </si>
  <si>
    <t>=NF($E289,O$2)</t>
  </si>
  <si>
    <t>=NF($E290,O$2)</t>
  </si>
  <si>
    <t>=NF($E291,O$2)</t>
  </si>
  <si>
    <t>=NF($E292,O$2)</t>
  </si>
  <si>
    <t>=NF($E293,O$2)</t>
  </si>
  <si>
    <t>=NF($E294,O$2)</t>
  </si>
  <si>
    <t>=NF($E295,O$2)</t>
  </si>
  <si>
    <t>=NF($E296,O$2)</t>
  </si>
  <si>
    <t>=NF($E297,O$2)</t>
  </si>
  <si>
    <t>=NF($E298,O$2)</t>
  </si>
  <si>
    <t>=NF($E299,O$2)</t>
  </si>
  <si>
    <t>=NF($E300,O$2)</t>
  </si>
  <si>
    <t>=NF($E301,O$2)</t>
  </si>
  <si>
    <t>=NF($E302,O$2)</t>
  </si>
  <si>
    <t>=NF($E303,O$2)</t>
  </si>
  <si>
    <t>=NF($E304,O$2)</t>
  </si>
  <si>
    <t>=NF($E305,O$2)</t>
  </si>
  <si>
    <t>=NF($E306,O$2)</t>
  </si>
  <si>
    <t>=NF($E307,O$2)</t>
  </si>
  <si>
    <t>=NF($E308,O$2)</t>
  </si>
  <si>
    <t>=NF($E309,O$2)</t>
  </si>
  <si>
    <t>=NF($E310,O$2)</t>
  </si>
  <si>
    <t>=NF($E311,O$2)</t>
  </si>
  <si>
    <t>=NF($E312,O$2)</t>
  </si>
  <si>
    <t>=NF($E313,O$2)</t>
  </si>
  <si>
    <t>=NF($E314,O$2)</t>
  </si>
  <si>
    <t>=NF($E315,O$2)</t>
  </si>
  <si>
    <t>=NF($E316,O$2)</t>
  </si>
  <si>
    <t>=NF($E317,O$2)</t>
  </si>
  <si>
    <t>=NF($E318,O$2)</t>
  </si>
  <si>
    <t>=NF($E319,O$2)</t>
  </si>
  <si>
    <t>=NF($E320,O$2)</t>
  </si>
  <si>
    <t>=NF($E321,O$2)</t>
  </si>
  <si>
    <t>=NF($E322,O$2)</t>
  </si>
  <si>
    <t>=NF($E323,O$2)</t>
  </si>
  <si>
    <t>=NF($E324,O$2)</t>
  </si>
  <si>
    <t>=NF($E325,O$2)</t>
  </si>
  <si>
    <t>=NF($E326,O$2)</t>
  </si>
  <si>
    <t>=NF($E327,O$2)</t>
  </si>
  <si>
    <t>=NF($E328,O$2)</t>
  </si>
  <si>
    <t>=NF($E329,O$2)</t>
  </si>
  <si>
    <t>=NF($E288,L$2)</t>
  </si>
  <si>
    <t>=NF($E289,L$2)</t>
  </si>
  <si>
    <t>=NF($E290,L$2)</t>
  </si>
  <si>
    <t>=NF($E291,L$2)</t>
  </si>
  <si>
    <t>=NF($E292,L$2)</t>
  </si>
  <si>
    <t>=NF($E293,L$2)</t>
  </si>
  <si>
    <t>=NF($E294,L$2)</t>
  </si>
  <si>
    <t>=NF($E295,L$2)</t>
  </si>
  <si>
    <t>=NF($E296,L$2)</t>
  </si>
  <si>
    <t>=NF($E297,L$2)</t>
  </si>
  <si>
    <t>=NF($E298,L$2)</t>
  </si>
  <si>
    <t>=NF($E299,L$2)</t>
  </si>
  <si>
    <t>=NF($E300,L$2)</t>
  </si>
  <si>
    <t>=NF($E301,L$2)</t>
  </si>
  <si>
    <t>=NF($E302,L$2)</t>
  </si>
  <si>
    <t>=NF($E303,L$2)</t>
  </si>
  <si>
    <t>=NF($E304,L$2)</t>
  </si>
  <si>
    <t>=NF($E305,L$2)</t>
  </si>
  <si>
    <t>=NF($E306,L$2)</t>
  </si>
  <si>
    <t>=NF($E307,L$2)</t>
  </si>
  <si>
    <t>=NF($E308,L$2)</t>
  </si>
  <si>
    <t>=NF($E309,L$2)</t>
  </si>
  <si>
    <t>=NF($E310,L$2)</t>
  </si>
  <si>
    <t>=NF($E311,L$2)</t>
  </si>
  <si>
    <t>=NF($E312,L$2)</t>
  </si>
  <si>
    <t>=NF($E313,L$2)</t>
  </si>
  <si>
    <t>=NF($E314,L$2)</t>
  </si>
  <si>
    <t>=NF($E315,L$2)</t>
  </si>
  <si>
    <t>=NF($E316,L$2)</t>
  </si>
  <si>
    <t>=NF($E317,L$2)</t>
  </si>
  <si>
    <t>=NF($E318,L$2)</t>
  </si>
  <si>
    <t>=NF($E319,L$2)</t>
  </si>
  <si>
    <t>=NF($E320,L$2)</t>
  </si>
  <si>
    <t>=NF($E321,L$2)</t>
  </si>
  <si>
    <t>=NF($E322,L$2)</t>
  </si>
  <si>
    <t>=NF($E323,L$2)</t>
  </si>
  <si>
    <t>=NF($E324,L$2)</t>
  </si>
  <si>
    <t>=NF($E325,L$2)</t>
  </si>
  <si>
    <t>=NF($E326,L$2)</t>
  </si>
  <si>
    <t>=NF($E327,L$2)</t>
  </si>
  <si>
    <t>=NF($E328,L$2)</t>
  </si>
  <si>
    <t>=NF($E329,L$2)</t>
  </si>
  <si>
    <t>=NF($E288,P$2)</t>
  </si>
  <si>
    <t>=NF($E289,P$2)</t>
  </si>
  <si>
    <t>=NF($E290,P$2)</t>
  </si>
  <si>
    <t>=NF($E291,P$2)</t>
  </si>
  <si>
    <t>=NF($E292,P$2)</t>
  </si>
  <si>
    <t>=NF($E293,P$2)</t>
  </si>
  <si>
    <t>=NF($E294,P$2)</t>
  </si>
  <si>
    <t>=NF($E295,P$2)</t>
  </si>
  <si>
    <t>=NF($E296,P$2)</t>
  </si>
  <si>
    <t>=NF($E297,P$2)</t>
  </si>
  <si>
    <t>=NF($E298,P$2)</t>
  </si>
  <si>
    <t>=NF($E299,P$2)</t>
  </si>
  <si>
    <t>=NF($E300,P$2)</t>
  </si>
  <si>
    <t>=NF($E301,P$2)</t>
  </si>
  <si>
    <t>=NF($E302,P$2)</t>
  </si>
  <si>
    <t>=NF($E303,P$2)</t>
  </si>
  <si>
    <t>=NF($E304,P$2)</t>
  </si>
  <si>
    <t>=NF($E305,P$2)</t>
  </si>
  <si>
    <t>=NF($E306,P$2)</t>
  </si>
  <si>
    <t>=NF($E307,P$2)</t>
  </si>
  <si>
    <t>=NF($E308,P$2)</t>
  </si>
  <si>
    <t>=NF($E309,P$2)</t>
  </si>
  <si>
    <t>=NF($E310,P$2)</t>
  </si>
  <si>
    <t>=NF($E311,P$2)</t>
  </si>
  <si>
    <t>=NF($E312,P$2)</t>
  </si>
  <si>
    <t>=NF($E313,P$2)</t>
  </si>
  <si>
    <t>=NF($E314,P$2)</t>
  </si>
  <si>
    <t>=NF($E315,P$2)</t>
  </si>
  <si>
    <t>=NF($E316,P$2)</t>
  </si>
  <si>
    <t>=NF($E317,P$2)</t>
  </si>
  <si>
    <t>=NF($E318,P$2)</t>
  </si>
  <si>
    <t>=NF($E319,P$2)</t>
  </si>
  <si>
    <t>=NF($E320,P$2)</t>
  </si>
  <si>
    <t>=NF($E321,P$2)</t>
  </si>
  <si>
    <t>=NF($E322,P$2)</t>
  </si>
  <si>
    <t>=NF($E323,P$2)</t>
  </si>
  <si>
    <t>=NF($E324,P$2)</t>
  </si>
  <si>
    <t>=NF($E325,P$2)</t>
  </si>
  <si>
    <t>=NF($E326,P$2)</t>
  </si>
  <si>
    <t>=NF($E327,P$2)</t>
  </si>
  <si>
    <t>=NF($E328,P$2)</t>
  </si>
  <si>
    <t>=NF($E329,P$2)</t>
  </si>
  <si>
    <t>=NF($E234,K$2)</t>
  </si>
  <si>
    <t>=NF($E235,K$2)</t>
  </si>
  <si>
    <t>=NF($E236,K$2)</t>
  </si>
  <si>
    <t>=NF($E237,K$2)</t>
  </si>
  <si>
    <t>=NF($E238,K$2)</t>
  </si>
  <si>
    <t>=NF($E239,K$2)</t>
  </si>
  <si>
    <t>=NF($E240,K$2)</t>
  </si>
  <si>
    <t>=NF($E241,K$2)</t>
  </si>
  <si>
    <t>=NF($E242,K$2)</t>
  </si>
  <si>
    <t>=NF($E243,K$2)</t>
  </si>
  <si>
    <t>=NF($E244,K$2)</t>
  </si>
  <si>
    <t>=NF($E245,K$2)</t>
  </si>
  <si>
    <t>=NF($E246,K$2)</t>
  </si>
  <si>
    <t>=NF($E247,K$2)</t>
  </si>
  <si>
    <t>=NF($E248,K$2)</t>
  </si>
  <si>
    <t>=NF($E249,K$2)</t>
  </si>
  <si>
    <t>=NF($E250,K$2)</t>
  </si>
  <si>
    <t>=NF($E251,K$2)</t>
  </si>
  <si>
    <t>=NF($E252,K$2)</t>
  </si>
  <si>
    <t>=NF($E253,K$2)</t>
  </si>
  <si>
    <t>=NF($E254,K$2)</t>
  </si>
  <si>
    <t>=NF($E255,K$2)</t>
  </si>
  <si>
    <t>=NF($E256,K$2)</t>
  </si>
  <si>
    <t>=NF($E257,K$2)</t>
  </si>
  <si>
    <t>=NF($E258,K$2)</t>
  </si>
  <si>
    <t>=NF($E259,K$2)</t>
  </si>
  <si>
    <t>=NF($E260,K$2)</t>
  </si>
  <si>
    <t>=NF($E261,K$2)</t>
  </si>
  <si>
    <t>=NF($E262,K$2)</t>
  </si>
  <si>
    <t>=NF($E263,K$2)</t>
  </si>
  <si>
    <t>=NF($E264,K$2)</t>
  </si>
  <si>
    <t>=NF($E265,K$2)</t>
  </si>
  <si>
    <t>=NF($E266,K$2)</t>
  </si>
  <si>
    <t>=NF($E234,M$2)</t>
  </si>
  <si>
    <t>=NF($E235,M$2)</t>
  </si>
  <si>
    <t>=NF($E236,M$2)</t>
  </si>
  <si>
    <t>=NF($E237,M$2)</t>
  </si>
  <si>
    <t>=NF($E238,M$2)</t>
  </si>
  <si>
    <t>=NF($E239,M$2)</t>
  </si>
  <si>
    <t>=NF($E240,M$2)</t>
  </si>
  <si>
    <t>=NF($E241,M$2)</t>
  </si>
  <si>
    <t>=NF($E242,M$2)</t>
  </si>
  <si>
    <t>=NF($E243,M$2)</t>
  </si>
  <si>
    <t>=NF($E244,M$2)</t>
  </si>
  <si>
    <t>=NF($E245,M$2)</t>
  </si>
  <si>
    <t>=NF($E246,M$2)</t>
  </si>
  <si>
    <t>=NF($E247,M$2)</t>
  </si>
  <si>
    <t>=NF($E248,M$2)</t>
  </si>
  <si>
    <t>=NF($E249,M$2)</t>
  </si>
  <si>
    <t>=NF($E250,M$2)</t>
  </si>
  <si>
    <t>=NF($E251,M$2)</t>
  </si>
  <si>
    <t>=NF($E252,M$2)</t>
  </si>
  <si>
    <t>=NF($E253,M$2)</t>
  </si>
  <si>
    <t>=NF($E254,M$2)</t>
  </si>
  <si>
    <t>=NF($E255,M$2)</t>
  </si>
  <si>
    <t>=NF($E256,M$2)</t>
  </si>
  <si>
    <t>=NF($E257,M$2)</t>
  </si>
  <si>
    <t>=NF($E258,M$2)</t>
  </si>
  <si>
    <t>=NF($E259,M$2)</t>
  </si>
  <si>
    <t>=NF($E260,M$2)</t>
  </si>
  <si>
    <t>=NF($E261,M$2)</t>
  </si>
  <si>
    <t>=NF($E262,M$2)</t>
  </si>
  <si>
    <t>=NF($E263,M$2)</t>
  </si>
  <si>
    <t>=NF($E264,M$2)</t>
  </si>
  <si>
    <t>=NF($E265,M$2)</t>
  </si>
  <si>
    <t>=NF($E266,M$2)</t>
  </si>
  <si>
    <t>=NF($E234,O$2)</t>
  </si>
  <si>
    <t>=NF($E235,O$2)</t>
  </si>
  <si>
    <t>=NF($E236,O$2)</t>
  </si>
  <si>
    <t>=NF($E237,O$2)</t>
  </si>
  <si>
    <t>=NF($E238,O$2)</t>
  </si>
  <si>
    <t>=NF($E239,O$2)</t>
  </si>
  <si>
    <t>=NF($E240,O$2)</t>
  </si>
  <si>
    <t>=NF($E241,O$2)</t>
  </si>
  <si>
    <t>=NF($E242,O$2)</t>
  </si>
  <si>
    <t>=NF($E243,O$2)</t>
  </si>
  <si>
    <t>=NF($E244,O$2)</t>
  </si>
  <si>
    <t>=NF($E245,O$2)</t>
  </si>
  <si>
    <t>=NF($E246,O$2)</t>
  </si>
  <si>
    <t>=NF($E247,O$2)</t>
  </si>
  <si>
    <t>=NF($E248,O$2)</t>
  </si>
  <si>
    <t>=NF($E249,O$2)</t>
  </si>
  <si>
    <t>=NF($E250,O$2)</t>
  </si>
  <si>
    <t>=NF($E251,O$2)</t>
  </si>
  <si>
    <t>=NF($E252,O$2)</t>
  </si>
  <si>
    <t>=NF($E253,O$2)</t>
  </si>
  <si>
    <t>=NF($E254,O$2)</t>
  </si>
  <si>
    <t>=NF($E255,O$2)</t>
  </si>
  <si>
    <t>=NF($E256,O$2)</t>
  </si>
  <si>
    <t>=NF($E257,O$2)</t>
  </si>
  <si>
    <t>=NF($E258,O$2)</t>
  </si>
  <si>
    <t>=NF($E259,O$2)</t>
  </si>
  <si>
    <t>=NF($E260,O$2)</t>
  </si>
  <si>
    <t>=NF($E261,O$2)</t>
  </si>
  <si>
    <t>=NF($E262,O$2)</t>
  </si>
  <si>
    <t>=NF($E263,O$2)</t>
  </si>
  <si>
    <t>=NF($E264,O$2)</t>
  </si>
  <si>
    <t>=NF($E265,O$2)</t>
  </si>
  <si>
    <t>=NF($E266,O$2)</t>
  </si>
  <si>
    <t>=NF($E234,L$2)</t>
  </si>
  <si>
    <t>=NF($E235,L$2)</t>
  </si>
  <si>
    <t>=NF($E236,L$2)</t>
  </si>
  <si>
    <t>=NF($E237,L$2)</t>
  </si>
  <si>
    <t>=NF($E238,L$2)</t>
  </si>
  <si>
    <t>=NF($E239,L$2)</t>
  </si>
  <si>
    <t>=NF($E240,L$2)</t>
  </si>
  <si>
    <t>=NF($E241,L$2)</t>
  </si>
  <si>
    <t>=NF($E242,L$2)</t>
  </si>
  <si>
    <t>=NF($E243,L$2)</t>
  </si>
  <si>
    <t>=NF($E244,L$2)</t>
  </si>
  <si>
    <t>=NF($E245,L$2)</t>
  </si>
  <si>
    <t>=NF($E246,L$2)</t>
  </si>
  <si>
    <t>=NF($E247,L$2)</t>
  </si>
  <si>
    <t>=NF($E248,L$2)</t>
  </si>
  <si>
    <t>=NF($E249,L$2)</t>
  </si>
  <si>
    <t>=NF($E250,L$2)</t>
  </si>
  <si>
    <t>=NF($E251,L$2)</t>
  </si>
  <si>
    <t>=NF($E252,L$2)</t>
  </si>
  <si>
    <t>=NF($E253,L$2)</t>
  </si>
  <si>
    <t>=NF($E254,L$2)</t>
  </si>
  <si>
    <t>=NF($E255,L$2)</t>
  </si>
  <si>
    <t>=NF($E256,L$2)</t>
  </si>
  <si>
    <t>=NF($E257,L$2)</t>
  </si>
  <si>
    <t>=NF($E258,L$2)</t>
  </si>
  <si>
    <t>=NF($E259,L$2)</t>
  </si>
  <si>
    <t>=NF($E260,L$2)</t>
  </si>
  <si>
    <t>=NF($E261,L$2)</t>
  </si>
  <si>
    <t>=NF($E262,L$2)</t>
  </si>
  <si>
    <t>=NF($E263,L$2)</t>
  </si>
  <si>
    <t>=NF($E264,L$2)</t>
  </si>
  <si>
    <t>=NF($E265,L$2)</t>
  </si>
  <si>
    <t>=NF($E266,L$2)</t>
  </si>
  <si>
    <t>=NF($E234,P$2)</t>
  </si>
  <si>
    <t>=NF($E235,P$2)</t>
  </si>
  <si>
    <t>=NF($E236,P$2)</t>
  </si>
  <si>
    <t>=NF($E237,P$2)</t>
  </si>
  <si>
    <t>=NF($E238,P$2)</t>
  </si>
  <si>
    <t>=NF($E239,P$2)</t>
  </si>
  <si>
    <t>=NF($E240,P$2)</t>
  </si>
  <si>
    <t>=NF($E241,P$2)</t>
  </si>
  <si>
    <t>=NF($E242,P$2)</t>
  </si>
  <si>
    <t>=NF($E243,P$2)</t>
  </si>
  <si>
    <t>=NF($E244,P$2)</t>
  </si>
  <si>
    <t>=NF($E245,P$2)</t>
  </si>
  <si>
    <t>=NF($E246,P$2)</t>
  </si>
  <si>
    <t>=NF($E247,P$2)</t>
  </si>
  <si>
    <t>=NF($E248,P$2)</t>
  </si>
  <si>
    <t>=NF($E249,P$2)</t>
  </si>
  <si>
    <t>=NF($E250,P$2)</t>
  </si>
  <si>
    <t>=NF($E251,P$2)</t>
  </si>
  <si>
    <t>=NF($E252,P$2)</t>
  </si>
  <si>
    <t>=NF($E253,P$2)</t>
  </si>
  <si>
    <t>=NF($E254,P$2)</t>
  </si>
  <si>
    <t>=NF($E255,P$2)</t>
  </si>
  <si>
    <t>=NF($E256,P$2)</t>
  </si>
  <si>
    <t>=NF($E257,P$2)</t>
  </si>
  <si>
    <t>=NF($E258,P$2)</t>
  </si>
  <si>
    <t>=NF($E259,P$2)</t>
  </si>
  <si>
    <t>=NF($E260,P$2)</t>
  </si>
  <si>
    <t>=NF($E261,P$2)</t>
  </si>
  <si>
    <t>=NF($E262,P$2)</t>
  </si>
  <si>
    <t>=NF($E263,P$2)</t>
  </si>
  <si>
    <t>=NF($E264,P$2)</t>
  </si>
  <si>
    <t>=NF($E265,P$2)</t>
  </si>
  <si>
    <t>=NF($E266,P$2)</t>
  </si>
  <si>
    <t>=NF($E196,K$2)</t>
  </si>
  <si>
    <t>=NF($E197,K$2)</t>
  </si>
  <si>
    <t>=NF($E198,K$2)</t>
  </si>
  <si>
    <t>=NF($E199,K$2)</t>
  </si>
  <si>
    <t>=NF($E200,K$2)</t>
  </si>
  <si>
    <t>=NF($E201,K$2)</t>
  </si>
  <si>
    <t>=NF($E202,K$2)</t>
  </si>
  <si>
    <t>=NF($E203,K$2)</t>
  </si>
  <si>
    <t>=NF($E204,K$2)</t>
  </si>
  <si>
    <t>=NF($E205,K$2)</t>
  </si>
  <si>
    <t>=NF($E206,K$2)</t>
  </si>
  <si>
    <t>=NF($E207,K$2)</t>
  </si>
  <si>
    <t>=NF($E208,K$2)</t>
  </si>
  <si>
    <t>=NF($E209,K$2)</t>
  </si>
  <si>
    <t>=NF($E210,K$2)</t>
  </si>
  <si>
    <t>=NF($E211,K$2)</t>
  </si>
  <si>
    <t>=NF($E212,K$2)</t>
  </si>
  <si>
    <t>=NF($E213,K$2)</t>
  </si>
  <si>
    <t>=NF($E196,M$2)</t>
  </si>
  <si>
    <t>=NF($E197,M$2)</t>
  </si>
  <si>
    <t>=NF($E198,M$2)</t>
  </si>
  <si>
    <t>=NF($E199,M$2)</t>
  </si>
  <si>
    <t>=NF($E200,M$2)</t>
  </si>
  <si>
    <t>=NF($E201,M$2)</t>
  </si>
  <si>
    <t>=NF($E202,M$2)</t>
  </si>
  <si>
    <t>=NF($E203,M$2)</t>
  </si>
  <si>
    <t>=NF($E204,M$2)</t>
  </si>
  <si>
    <t>=NF($E205,M$2)</t>
  </si>
  <si>
    <t>=NF($E206,M$2)</t>
  </si>
  <si>
    <t>=NF($E207,M$2)</t>
  </si>
  <si>
    <t>=NF($E208,M$2)</t>
  </si>
  <si>
    <t>=NF($E209,M$2)</t>
  </si>
  <si>
    <t>=NF($E210,M$2)</t>
  </si>
  <si>
    <t>=NF($E211,M$2)</t>
  </si>
  <si>
    <t>=NF($E212,M$2)</t>
  </si>
  <si>
    <t>=NF($E213,M$2)</t>
  </si>
  <si>
    <t>=NF($E196,O$2)</t>
  </si>
  <si>
    <t>=NF($E197,O$2)</t>
  </si>
  <si>
    <t>=NF($E198,O$2)</t>
  </si>
  <si>
    <t>=NF($E199,O$2)</t>
  </si>
  <si>
    <t>=NF($E200,O$2)</t>
  </si>
  <si>
    <t>=NF($E201,O$2)</t>
  </si>
  <si>
    <t>=NF($E202,O$2)</t>
  </si>
  <si>
    <t>=NF($E203,O$2)</t>
  </si>
  <si>
    <t>=NF($E204,O$2)</t>
  </si>
  <si>
    <t>=NF($E205,O$2)</t>
  </si>
  <si>
    <t>=NF($E206,O$2)</t>
  </si>
  <si>
    <t>=NF($E207,O$2)</t>
  </si>
  <si>
    <t>=NF($E208,O$2)</t>
  </si>
  <si>
    <t>=NF($E209,O$2)</t>
  </si>
  <si>
    <t>=NF($E210,O$2)</t>
  </si>
  <si>
    <t>=NF($E211,O$2)</t>
  </si>
  <si>
    <t>=NF($E212,O$2)</t>
  </si>
  <si>
    <t>=NF($E213,O$2)</t>
  </si>
  <si>
    <t>=NF($E196,L$2)</t>
  </si>
  <si>
    <t>=NF($E197,L$2)</t>
  </si>
  <si>
    <t>=NF($E198,L$2)</t>
  </si>
  <si>
    <t>=NF($E199,L$2)</t>
  </si>
  <si>
    <t>=NF($E200,L$2)</t>
  </si>
  <si>
    <t>=NF($E201,L$2)</t>
  </si>
  <si>
    <t>=NF($E202,L$2)</t>
  </si>
  <si>
    <t>=NF($E203,L$2)</t>
  </si>
  <si>
    <t>=NF($E204,L$2)</t>
  </si>
  <si>
    <t>=NF($E205,L$2)</t>
  </si>
  <si>
    <t>=NF($E206,L$2)</t>
  </si>
  <si>
    <t>=NF($E207,L$2)</t>
  </si>
  <si>
    <t>=NF($E208,L$2)</t>
  </si>
  <si>
    <t>=NF($E209,L$2)</t>
  </si>
  <si>
    <t>=NF($E210,L$2)</t>
  </si>
  <si>
    <t>=NF($E211,L$2)</t>
  </si>
  <si>
    <t>=NF($E212,L$2)</t>
  </si>
  <si>
    <t>=NF($E213,L$2)</t>
  </si>
  <si>
    <t>=NF($E196,P$2)</t>
  </si>
  <si>
    <t>=NF($E197,P$2)</t>
  </si>
  <si>
    <t>=NF($E198,P$2)</t>
  </si>
  <si>
    <t>=NF($E199,P$2)</t>
  </si>
  <si>
    <t>=NF($E200,P$2)</t>
  </si>
  <si>
    <t>=NF($E201,P$2)</t>
  </si>
  <si>
    <t>=NF($E202,P$2)</t>
  </si>
  <si>
    <t>=NF($E203,P$2)</t>
  </si>
  <si>
    <t>=NF($E204,P$2)</t>
  </si>
  <si>
    <t>=NF($E205,P$2)</t>
  </si>
  <si>
    <t>=NF($E206,P$2)</t>
  </si>
  <si>
    <t>=NF($E207,P$2)</t>
  </si>
  <si>
    <t>=NF($E208,P$2)</t>
  </si>
  <si>
    <t>=NF($E209,P$2)</t>
  </si>
  <si>
    <t>=NF($E210,P$2)</t>
  </si>
  <si>
    <t>=NF($E211,P$2)</t>
  </si>
  <si>
    <t>=NF($E212,P$2)</t>
  </si>
  <si>
    <t>=NF($E213,P$2)</t>
  </si>
  <si>
    <t>=NF($E153,K$2)</t>
  </si>
  <si>
    <t>=NF($E154,K$2)</t>
  </si>
  <si>
    <t>=NF($E155,K$2)</t>
  </si>
  <si>
    <t>=NF($E156,K$2)</t>
  </si>
  <si>
    <t>=NF($E157,K$2)</t>
  </si>
  <si>
    <t>=NF($E158,K$2)</t>
  </si>
  <si>
    <t>=NF($E159,K$2)</t>
  </si>
  <si>
    <t>=NF($E160,K$2)</t>
  </si>
  <si>
    <t>=NF($E161,K$2)</t>
  </si>
  <si>
    <t>=NF($E162,K$2)</t>
  </si>
  <si>
    <t>=NF($E163,K$2)</t>
  </si>
  <si>
    <t>=NF($E164,K$2)</t>
  </si>
  <si>
    <t>=NF($E153,M$2)</t>
  </si>
  <si>
    <t>=NF($E154,M$2)</t>
  </si>
  <si>
    <t>=NF($E155,M$2)</t>
  </si>
  <si>
    <t>=NF($E156,M$2)</t>
  </si>
  <si>
    <t>=NF($E157,M$2)</t>
  </si>
  <si>
    <t>=NF($E158,M$2)</t>
  </si>
  <si>
    <t>=NF($E159,M$2)</t>
  </si>
  <si>
    <t>=NF($E160,M$2)</t>
  </si>
  <si>
    <t>=NF($E161,M$2)</t>
  </si>
  <si>
    <t>=NF($E162,M$2)</t>
  </si>
  <si>
    <t>=NF($E163,M$2)</t>
  </si>
  <si>
    <t>=NF($E164,M$2)</t>
  </si>
  <si>
    <t>=NF($E153,O$2)</t>
  </si>
  <si>
    <t>=NF($E154,O$2)</t>
  </si>
  <si>
    <t>=NF($E155,O$2)</t>
  </si>
  <si>
    <t>=NF($E156,O$2)</t>
  </si>
  <si>
    <t>=NF($E157,O$2)</t>
  </si>
  <si>
    <t>=NF($E158,O$2)</t>
  </si>
  <si>
    <t>=NF($E159,O$2)</t>
  </si>
  <si>
    <t>=NF($E160,O$2)</t>
  </si>
  <si>
    <t>=NF($E161,O$2)</t>
  </si>
  <si>
    <t>=NF($E162,O$2)</t>
  </si>
  <si>
    <t>=NF($E163,O$2)</t>
  </si>
  <si>
    <t>=NF($E164,O$2)</t>
  </si>
  <si>
    <t>=NF($E153,L$2)</t>
  </si>
  <si>
    <t>=NF($E154,L$2)</t>
  </si>
  <si>
    <t>=NF($E155,L$2)</t>
  </si>
  <si>
    <t>=NF($E156,L$2)</t>
  </si>
  <si>
    <t>=NF($E157,L$2)</t>
  </si>
  <si>
    <t>=NF($E158,L$2)</t>
  </si>
  <si>
    <t>=NF($E159,L$2)</t>
  </si>
  <si>
    <t>=NF($E160,L$2)</t>
  </si>
  <si>
    <t>=NF($E161,L$2)</t>
  </si>
  <si>
    <t>=NF($E162,L$2)</t>
  </si>
  <si>
    <t>=NF($E163,L$2)</t>
  </si>
  <si>
    <t>=NF($E164,L$2)</t>
  </si>
  <si>
    <t>=NF($E153,P$2)</t>
  </si>
  <si>
    <t>=NF($E154,P$2)</t>
  </si>
  <si>
    <t>=NF($E155,P$2)</t>
  </si>
  <si>
    <t>=NF($E156,P$2)</t>
  </si>
  <si>
    <t>=NF($E157,P$2)</t>
  </si>
  <si>
    <t>=NF($E158,P$2)</t>
  </si>
  <si>
    <t>=NF($E159,P$2)</t>
  </si>
  <si>
    <t>=NF($E160,P$2)</t>
  </si>
  <si>
    <t>=NF($E161,P$2)</t>
  </si>
  <si>
    <t>=NF($E162,P$2)</t>
  </si>
  <si>
    <t>=NF($E163,P$2)</t>
  </si>
  <si>
    <t>=NF($E164,P$2)</t>
  </si>
  <si>
    <t>=NF($E142,K$2)</t>
  </si>
  <si>
    <t>=NF($E143,K$2)</t>
  </si>
  <si>
    <t>=NF($E144,K$2)</t>
  </si>
  <si>
    <t>=NF($E145,K$2)</t>
  </si>
  <si>
    <t>=NF($E146,K$2)</t>
  </si>
  <si>
    <t>=NF($E147,K$2)</t>
  </si>
  <si>
    <t>=NF($E142,M$2)</t>
  </si>
  <si>
    <t>=NF($E143,M$2)</t>
  </si>
  <si>
    <t>=NF($E144,M$2)</t>
  </si>
  <si>
    <t>=NF($E145,M$2)</t>
  </si>
  <si>
    <t>=NF($E146,M$2)</t>
  </si>
  <si>
    <t>=NF($E147,M$2)</t>
  </si>
  <si>
    <t>=NF($E142,O$2)</t>
  </si>
  <si>
    <t>=NF($E143,O$2)</t>
  </si>
  <si>
    <t>=NF($E144,O$2)</t>
  </si>
  <si>
    <t>=NF($E145,O$2)</t>
  </si>
  <si>
    <t>=NF($E146,O$2)</t>
  </si>
  <si>
    <t>=NF($E147,O$2)</t>
  </si>
  <si>
    <t>=NF($E142,L$2)</t>
  </si>
  <si>
    <t>=NF($E143,L$2)</t>
  </si>
  <si>
    <t>=NF($E144,L$2)</t>
  </si>
  <si>
    <t>=NF($E145,L$2)</t>
  </si>
  <si>
    <t>=NF($E146,L$2)</t>
  </si>
  <si>
    <t>=NF($E147,L$2)</t>
  </si>
  <si>
    <t>=NF($E142,P$2)</t>
  </si>
  <si>
    <t>=NF($E143,P$2)</t>
  </si>
  <si>
    <t>=NF($E144,P$2)</t>
  </si>
  <si>
    <t>=NF($E145,P$2)</t>
  </si>
  <si>
    <t>=NF($E146,P$2)</t>
  </si>
  <si>
    <t>=NF($E147,P$2)</t>
  </si>
  <si>
    <t>=NF($E122,K$2)</t>
  </si>
  <si>
    <t>=NF($E123,K$2)</t>
  </si>
  <si>
    <t>=NF($E124,K$2)</t>
  </si>
  <si>
    <t>=NF($E125,K$2)</t>
  </si>
  <si>
    <t>=NF($E126,K$2)</t>
  </si>
  <si>
    <t>=NF($E127,K$2)</t>
  </si>
  <si>
    <t>=NF($E128,K$2)</t>
  </si>
  <si>
    <t>=NF($E129,K$2)</t>
  </si>
  <si>
    <t>=NF($E130,K$2)</t>
  </si>
  <si>
    <t>=NF($E131,K$2)</t>
  </si>
  <si>
    <t>=NF($E132,K$2)</t>
  </si>
  <si>
    <t>=NF($E133,K$2)</t>
  </si>
  <si>
    <t>=NF($E134,K$2)</t>
  </si>
  <si>
    <t>=NF($E135,K$2)</t>
  </si>
  <si>
    <t>=NF($E136,K$2)</t>
  </si>
  <si>
    <t>=NF($E137,K$2)</t>
  </si>
  <si>
    <t>=NF($E138,K$2)</t>
  </si>
  <si>
    <t>=NF($E139,K$2)</t>
  </si>
  <si>
    <t>=NF($E122,M$2)</t>
  </si>
  <si>
    <t>=NF($E123,M$2)</t>
  </si>
  <si>
    <t>=NF($E124,M$2)</t>
  </si>
  <si>
    <t>=NF($E125,M$2)</t>
  </si>
  <si>
    <t>=NF($E126,M$2)</t>
  </si>
  <si>
    <t>=NF($E127,M$2)</t>
  </si>
  <si>
    <t>=NF($E128,M$2)</t>
  </si>
  <si>
    <t>=NF($E129,M$2)</t>
  </si>
  <si>
    <t>=NF($E130,M$2)</t>
  </si>
  <si>
    <t>=NF($E131,M$2)</t>
  </si>
  <si>
    <t>=NF($E132,M$2)</t>
  </si>
  <si>
    <t>=NF($E133,M$2)</t>
  </si>
  <si>
    <t>=NF($E134,M$2)</t>
  </si>
  <si>
    <t>=NF($E135,M$2)</t>
  </si>
  <si>
    <t>=NF($E136,M$2)</t>
  </si>
  <si>
    <t>=NF($E137,M$2)</t>
  </si>
  <si>
    <t>=NF($E138,M$2)</t>
  </si>
  <si>
    <t>=NF($E139,M$2)</t>
  </si>
  <si>
    <t>=NF($E122,O$2)</t>
  </si>
  <si>
    <t>=NF($E123,O$2)</t>
  </si>
  <si>
    <t>=NF($E124,O$2)</t>
  </si>
  <si>
    <t>=NF($E125,O$2)</t>
  </si>
  <si>
    <t>=NF($E126,O$2)</t>
  </si>
  <si>
    <t>=NF($E127,O$2)</t>
  </si>
  <si>
    <t>=NF($E128,O$2)</t>
  </si>
  <si>
    <t>=NF($E129,O$2)</t>
  </si>
  <si>
    <t>=NF($E130,O$2)</t>
  </si>
  <si>
    <t>=NF($E131,O$2)</t>
  </si>
  <si>
    <t>=NF($E132,O$2)</t>
  </si>
  <si>
    <t>=NF($E133,O$2)</t>
  </si>
  <si>
    <t>=NF($E134,O$2)</t>
  </si>
  <si>
    <t>=NF($E135,O$2)</t>
  </si>
  <si>
    <t>=NF($E136,O$2)</t>
  </si>
  <si>
    <t>=NF($E137,O$2)</t>
  </si>
  <si>
    <t>=NF($E138,O$2)</t>
  </si>
  <si>
    <t>=NF($E139,O$2)</t>
  </si>
  <si>
    <t>=NF($E122,L$2)</t>
  </si>
  <si>
    <t>=NF($E123,L$2)</t>
  </si>
  <si>
    <t>=NF($E124,L$2)</t>
  </si>
  <si>
    <t>=NF($E125,L$2)</t>
  </si>
  <si>
    <t>=NF($E126,L$2)</t>
  </si>
  <si>
    <t>=NF($E127,L$2)</t>
  </si>
  <si>
    <t>=NF($E128,L$2)</t>
  </si>
  <si>
    <t>=NF($E129,L$2)</t>
  </si>
  <si>
    <t>=NF($E130,L$2)</t>
  </si>
  <si>
    <t>=NF($E131,L$2)</t>
  </si>
  <si>
    <t>=NF($E132,L$2)</t>
  </si>
  <si>
    <t>=NF($E133,L$2)</t>
  </si>
  <si>
    <t>=NF($E134,L$2)</t>
  </si>
  <si>
    <t>=NF($E135,L$2)</t>
  </si>
  <si>
    <t>=NF($E136,L$2)</t>
  </si>
  <si>
    <t>=NF($E137,L$2)</t>
  </si>
  <si>
    <t>=NF($E138,L$2)</t>
  </si>
  <si>
    <t>=NF($E139,L$2)</t>
  </si>
  <si>
    <t>=NF($E122,P$2)</t>
  </si>
  <si>
    <t>=NF($E123,P$2)</t>
  </si>
  <si>
    <t>=NF($E124,P$2)</t>
  </si>
  <si>
    <t>=NF($E125,P$2)</t>
  </si>
  <si>
    <t>=NF($E126,P$2)</t>
  </si>
  <si>
    <t>=NF($E127,P$2)</t>
  </si>
  <si>
    <t>=NF($E128,P$2)</t>
  </si>
  <si>
    <t>=NF($E129,P$2)</t>
  </si>
  <si>
    <t>=NF($E130,P$2)</t>
  </si>
  <si>
    <t>=NF($E131,P$2)</t>
  </si>
  <si>
    <t>=NF($E132,P$2)</t>
  </si>
  <si>
    <t>=NF($E133,P$2)</t>
  </si>
  <si>
    <t>=NF($E134,P$2)</t>
  </si>
  <si>
    <t>=NF($E135,P$2)</t>
  </si>
  <si>
    <t>=NF($E136,P$2)</t>
  </si>
  <si>
    <t>=NF($E137,P$2)</t>
  </si>
  <si>
    <t>=NF($E138,P$2)</t>
  </si>
  <si>
    <t>=NF($E139,P$2)</t>
  </si>
  <si>
    <t>=NF($E17,K$2)</t>
  </si>
  <si>
    <t>=NF($E18,K$2)</t>
  </si>
  <si>
    <t>=NF($E19,K$2)</t>
  </si>
  <si>
    <t>=NF($E20,K$2)</t>
  </si>
  <si>
    <t>=NF($E21,K$2)</t>
  </si>
  <si>
    <t>=NF($E22,K$2)</t>
  </si>
  <si>
    <t>=NF($E23,K$2)</t>
  </si>
  <si>
    <t>=NF($E24,K$2)</t>
  </si>
  <si>
    <t>=NF($E25,K$2)</t>
  </si>
  <si>
    <t>=NF($E26,K$2)</t>
  </si>
  <si>
    <t>=NF($E27,K$2)</t>
  </si>
  <si>
    <t>=NF($E28,K$2)</t>
  </si>
  <si>
    <t>=NF($E29,K$2)</t>
  </si>
  <si>
    <t>=NF($E30,K$2)</t>
  </si>
  <si>
    <t>=NF($E31,K$2)</t>
  </si>
  <si>
    <t>=NF($E32,K$2)</t>
  </si>
  <si>
    <t>=NF($E33,K$2)</t>
  </si>
  <si>
    <t>=NF($E34,K$2)</t>
  </si>
  <si>
    <t>=NF($E35,K$2)</t>
  </si>
  <si>
    <t>=NF($E36,K$2)</t>
  </si>
  <si>
    <t>=NF($E37,K$2)</t>
  </si>
  <si>
    <t>=NF($E38,K$2)</t>
  </si>
  <si>
    <t>=NF($E39,K$2)</t>
  </si>
  <si>
    <t>=NF($E40,K$2)</t>
  </si>
  <si>
    <t>=NF($E41,K$2)</t>
  </si>
  <si>
    <t>=NF($E42,K$2)</t>
  </si>
  <si>
    <t>=NF($E43,K$2)</t>
  </si>
  <si>
    <t>=NF($E44,K$2)</t>
  </si>
  <si>
    <t>=NF($E45,K$2)</t>
  </si>
  <si>
    <t>=NF($E46,K$2)</t>
  </si>
  <si>
    <t>=NF($E47,K$2)</t>
  </si>
  <si>
    <t>=NF($E48,K$2)</t>
  </si>
  <si>
    <t>=NF($E49,K$2)</t>
  </si>
  <si>
    <t>=NF($E50,K$2)</t>
  </si>
  <si>
    <t>=NF($E51,K$2)</t>
  </si>
  <si>
    <t>=NF($E52,K$2)</t>
  </si>
  <si>
    <t>=NF($E53,K$2)</t>
  </si>
  <si>
    <t>=NF($E54,K$2)</t>
  </si>
  <si>
    <t>=NF($E55,K$2)</t>
  </si>
  <si>
    <t>=NF($E56,K$2)</t>
  </si>
  <si>
    <t>=NF($E57,K$2)</t>
  </si>
  <si>
    <t>=NF($E58,K$2)</t>
  </si>
  <si>
    <t>=NF($E59,K$2)</t>
  </si>
  <si>
    <t>=NF($E60,K$2)</t>
  </si>
  <si>
    <t>=NF($E61,K$2)</t>
  </si>
  <si>
    <t>=NF($E62,K$2)</t>
  </si>
  <si>
    <t>=NF($E63,K$2)</t>
  </si>
  <si>
    <t>=NF($E64,K$2)</t>
  </si>
  <si>
    <t>=NF($E65,K$2)</t>
  </si>
  <si>
    <t>=NF($E66,K$2)</t>
  </si>
  <si>
    <t>=NF($E67,K$2)</t>
  </si>
  <si>
    <t>=NF($E68,K$2)</t>
  </si>
  <si>
    <t>=NF($E69,K$2)</t>
  </si>
  <si>
    <t>=NF($E70,K$2)</t>
  </si>
  <si>
    <t>=NF($E71,K$2)</t>
  </si>
  <si>
    <t>=NF($E72,K$2)</t>
  </si>
  <si>
    <t>=NF($E73,K$2)</t>
  </si>
  <si>
    <t>=NF($E74,K$2)</t>
  </si>
  <si>
    <t>=NF($E75,K$2)</t>
  </si>
  <si>
    <t>=NF($E76,K$2)</t>
  </si>
  <si>
    <t>=NF($E77,K$2)</t>
  </si>
  <si>
    <t>=NF($E78,K$2)</t>
  </si>
  <si>
    <t>=NF($E79,K$2)</t>
  </si>
  <si>
    <t>=NF($E80,K$2)</t>
  </si>
  <si>
    <t>=NF($E81,K$2)</t>
  </si>
  <si>
    <t>=NF($E82,K$2)</t>
  </si>
  <si>
    <t>=NF($E83,K$2)</t>
  </si>
  <si>
    <t>=NF($E84,K$2)</t>
  </si>
  <si>
    <t>=NF($E85,K$2)</t>
  </si>
  <si>
    <t>=NF($E86,K$2)</t>
  </si>
  <si>
    <t>=NF($E87,K$2)</t>
  </si>
  <si>
    <t>=NF($E88,K$2)</t>
  </si>
  <si>
    <t>=NF($E89,K$2)</t>
  </si>
  <si>
    <t>=NF($E90,K$2)</t>
  </si>
  <si>
    <t>=NF($E91,K$2)</t>
  </si>
  <si>
    <t>=NF($E92,K$2)</t>
  </si>
  <si>
    <t>=NF($E93,K$2)</t>
  </si>
  <si>
    <t>=NF($E94,K$2)</t>
  </si>
  <si>
    <t>=NF($E95,K$2)</t>
  </si>
  <si>
    <t>=NF($E96,K$2)</t>
  </si>
  <si>
    <t>=NF($E97,K$2)</t>
  </si>
  <si>
    <t>=NF($E98,K$2)</t>
  </si>
  <si>
    <t>=NF($E99,K$2)</t>
  </si>
  <si>
    <t>=NF($E100,K$2)</t>
  </si>
  <si>
    <t>=NF($E101,K$2)</t>
  </si>
  <si>
    <t>=NF($E102,K$2)</t>
  </si>
  <si>
    <t>=NF($E103,K$2)</t>
  </si>
  <si>
    <t>=NF($E104,K$2)</t>
  </si>
  <si>
    <t>=NF($E105,K$2)</t>
  </si>
  <si>
    <t>=NF($E106,K$2)</t>
  </si>
  <si>
    <t>=NF($E107,K$2)</t>
  </si>
  <si>
    <t>=NF($E108,K$2)</t>
  </si>
  <si>
    <t>=NF($E109,K$2)</t>
  </si>
  <si>
    <t>=NF($E110,K$2)</t>
  </si>
  <si>
    <t>=NF($E111,K$2)</t>
  </si>
  <si>
    <t>=NF($E112,K$2)</t>
  </si>
  <si>
    <t>=NF($E113,K$2)</t>
  </si>
  <si>
    <t>=NF($E114,K$2)</t>
  </si>
  <si>
    <t>=NF($E115,K$2)</t>
  </si>
  <si>
    <t>=NF($E116,K$2)</t>
  </si>
  <si>
    <t>=NF($E117,K$2)</t>
  </si>
  <si>
    <t>=NF($E118,K$2)</t>
  </si>
  <si>
    <t>=NF($E119,K$2)</t>
  </si>
  <si>
    <t>=NF($E17,M$2)</t>
  </si>
  <si>
    <t>=NF($E18,M$2)</t>
  </si>
  <si>
    <t>=NF($E19,M$2)</t>
  </si>
  <si>
    <t>=NF($E20,M$2)</t>
  </si>
  <si>
    <t>=NF($E21,M$2)</t>
  </si>
  <si>
    <t>=NF($E22,M$2)</t>
  </si>
  <si>
    <t>=NF($E23,M$2)</t>
  </si>
  <si>
    <t>=NF($E24,M$2)</t>
  </si>
  <si>
    <t>=NF($E25,M$2)</t>
  </si>
  <si>
    <t>=NF($E26,M$2)</t>
  </si>
  <si>
    <t>=NF($E27,M$2)</t>
  </si>
  <si>
    <t>=NF($E28,M$2)</t>
  </si>
  <si>
    <t>=NF($E29,M$2)</t>
  </si>
  <si>
    <t>=NF($E30,M$2)</t>
  </si>
  <si>
    <t>=NF($E31,M$2)</t>
  </si>
  <si>
    <t>=NF($E32,M$2)</t>
  </si>
  <si>
    <t>=NF($E33,M$2)</t>
  </si>
  <si>
    <t>=NF($E34,M$2)</t>
  </si>
  <si>
    <t>=NF($E35,M$2)</t>
  </si>
  <si>
    <t>=NF($E36,M$2)</t>
  </si>
  <si>
    <t>=NF($E37,M$2)</t>
  </si>
  <si>
    <t>=NF($E38,M$2)</t>
  </si>
  <si>
    <t>=NF($E39,M$2)</t>
  </si>
  <si>
    <t>=NF($E40,M$2)</t>
  </si>
  <si>
    <t>=NF($E41,M$2)</t>
  </si>
  <si>
    <t>=NF($E42,M$2)</t>
  </si>
  <si>
    <t>=NF($E43,M$2)</t>
  </si>
  <si>
    <t>=NF($E44,M$2)</t>
  </si>
  <si>
    <t>=NF($E45,M$2)</t>
  </si>
  <si>
    <t>=NF($E46,M$2)</t>
  </si>
  <si>
    <t>=NF($E47,M$2)</t>
  </si>
  <si>
    <t>=NF($E48,M$2)</t>
  </si>
  <si>
    <t>=NF($E49,M$2)</t>
  </si>
  <si>
    <t>=NF($E50,M$2)</t>
  </si>
  <si>
    <t>=NF($E51,M$2)</t>
  </si>
  <si>
    <t>=NF($E52,M$2)</t>
  </si>
  <si>
    <t>=NF($E53,M$2)</t>
  </si>
  <si>
    <t>=NF($E54,M$2)</t>
  </si>
  <si>
    <t>=NF($E55,M$2)</t>
  </si>
  <si>
    <t>=NF($E56,M$2)</t>
  </si>
  <si>
    <t>=NF($E57,M$2)</t>
  </si>
  <si>
    <t>=NF($E58,M$2)</t>
  </si>
  <si>
    <t>=NF($E59,M$2)</t>
  </si>
  <si>
    <t>=NF($E60,M$2)</t>
  </si>
  <si>
    <t>=NF($E61,M$2)</t>
  </si>
  <si>
    <t>=NF($E62,M$2)</t>
  </si>
  <si>
    <t>=NF($E63,M$2)</t>
  </si>
  <si>
    <t>=NF($E64,M$2)</t>
  </si>
  <si>
    <t>=NF($E65,M$2)</t>
  </si>
  <si>
    <t>=NF($E66,M$2)</t>
  </si>
  <si>
    <t>=NF($E67,M$2)</t>
  </si>
  <si>
    <t>=NF($E68,M$2)</t>
  </si>
  <si>
    <t>=NF($E69,M$2)</t>
  </si>
  <si>
    <t>=NF($E70,M$2)</t>
  </si>
  <si>
    <t>=NF($E71,M$2)</t>
  </si>
  <si>
    <t>=NF($E72,M$2)</t>
  </si>
  <si>
    <t>=NF($E73,M$2)</t>
  </si>
  <si>
    <t>=NF($E74,M$2)</t>
  </si>
  <si>
    <t>=NF($E75,M$2)</t>
  </si>
  <si>
    <t>=NF($E76,M$2)</t>
  </si>
  <si>
    <t>=NF($E77,M$2)</t>
  </si>
  <si>
    <t>=NF($E78,M$2)</t>
  </si>
  <si>
    <t>=NF($E79,M$2)</t>
  </si>
  <si>
    <t>=NF($E80,M$2)</t>
  </si>
  <si>
    <t>=NF($E81,M$2)</t>
  </si>
  <si>
    <t>=NF($E82,M$2)</t>
  </si>
  <si>
    <t>=NF($E83,M$2)</t>
  </si>
  <si>
    <t>=NF($E84,M$2)</t>
  </si>
  <si>
    <t>=NF($E85,M$2)</t>
  </si>
  <si>
    <t>=NF($E86,M$2)</t>
  </si>
  <si>
    <t>=NF($E87,M$2)</t>
  </si>
  <si>
    <t>=NF($E88,M$2)</t>
  </si>
  <si>
    <t>=NF($E89,M$2)</t>
  </si>
  <si>
    <t>=NF($E90,M$2)</t>
  </si>
  <si>
    <t>=NF($E91,M$2)</t>
  </si>
  <si>
    <t>=NF($E92,M$2)</t>
  </si>
  <si>
    <t>=NF($E93,M$2)</t>
  </si>
  <si>
    <t>=NF($E94,M$2)</t>
  </si>
  <si>
    <t>=NF($E95,M$2)</t>
  </si>
  <si>
    <t>=NF($E96,M$2)</t>
  </si>
  <si>
    <t>=NF($E97,M$2)</t>
  </si>
  <si>
    <t>=NF($E98,M$2)</t>
  </si>
  <si>
    <t>=NF($E99,M$2)</t>
  </si>
  <si>
    <t>=NF($E100,M$2)</t>
  </si>
  <si>
    <t>=NF($E101,M$2)</t>
  </si>
  <si>
    <t>=NF($E102,M$2)</t>
  </si>
  <si>
    <t>=NF($E103,M$2)</t>
  </si>
  <si>
    <t>=NF($E104,M$2)</t>
  </si>
  <si>
    <t>=NF($E105,M$2)</t>
  </si>
  <si>
    <t>=NF($E106,M$2)</t>
  </si>
  <si>
    <t>=NF($E107,M$2)</t>
  </si>
  <si>
    <t>=NF($E108,M$2)</t>
  </si>
  <si>
    <t>=NF($E109,M$2)</t>
  </si>
  <si>
    <t>=NF($E110,M$2)</t>
  </si>
  <si>
    <t>=NF($E111,M$2)</t>
  </si>
  <si>
    <t>=NF($E112,M$2)</t>
  </si>
  <si>
    <t>=NF($E113,M$2)</t>
  </si>
  <si>
    <t>=NF($E114,M$2)</t>
  </si>
  <si>
    <t>=NF($E115,M$2)</t>
  </si>
  <si>
    <t>=NF($E116,M$2)</t>
  </si>
  <si>
    <t>=NF($E117,M$2)</t>
  </si>
  <si>
    <t>=NF($E118,M$2)</t>
  </si>
  <si>
    <t>=NF($E119,M$2)</t>
  </si>
  <si>
    <t>=NF($E17,O$2)</t>
  </si>
  <si>
    <t>=NF($E18,O$2)</t>
  </si>
  <si>
    <t>=NF($E19,O$2)</t>
  </si>
  <si>
    <t>=NF($E20,O$2)</t>
  </si>
  <si>
    <t>=NF($E21,O$2)</t>
  </si>
  <si>
    <t>=NF($E22,O$2)</t>
  </si>
  <si>
    <t>=NF($E23,O$2)</t>
  </si>
  <si>
    <t>=NF($E24,O$2)</t>
  </si>
  <si>
    <t>=NF($E25,O$2)</t>
  </si>
  <si>
    <t>=NF($E26,O$2)</t>
  </si>
  <si>
    <t>=NF($E27,O$2)</t>
  </si>
  <si>
    <t>=NF($E28,O$2)</t>
  </si>
  <si>
    <t>=NF($E29,O$2)</t>
  </si>
  <si>
    <t>=NF($E30,O$2)</t>
  </si>
  <si>
    <t>=NF($E31,O$2)</t>
  </si>
  <si>
    <t>=NF($E32,O$2)</t>
  </si>
  <si>
    <t>=NF($E33,O$2)</t>
  </si>
  <si>
    <t>=NF($E34,O$2)</t>
  </si>
  <si>
    <t>=NF($E35,O$2)</t>
  </si>
  <si>
    <t>=NF($E36,O$2)</t>
  </si>
  <si>
    <t>=NF($E37,O$2)</t>
  </si>
  <si>
    <t>=NF($E38,O$2)</t>
  </si>
  <si>
    <t>=NF($E39,O$2)</t>
  </si>
  <si>
    <t>=NF($E40,O$2)</t>
  </si>
  <si>
    <t>=NF($E41,O$2)</t>
  </si>
  <si>
    <t>=NF($E42,O$2)</t>
  </si>
  <si>
    <t>=NF($E43,O$2)</t>
  </si>
  <si>
    <t>=NF($E44,O$2)</t>
  </si>
  <si>
    <t>=NF($E45,O$2)</t>
  </si>
  <si>
    <t>=NF($E46,O$2)</t>
  </si>
  <si>
    <t>=NF($E47,O$2)</t>
  </si>
  <si>
    <t>=NF($E48,O$2)</t>
  </si>
  <si>
    <t>=NF($E49,O$2)</t>
  </si>
  <si>
    <t>=NF($E50,O$2)</t>
  </si>
  <si>
    <t>=NF($E51,O$2)</t>
  </si>
  <si>
    <t>=NF($E52,O$2)</t>
  </si>
  <si>
    <t>=NF($E53,O$2)</t>
  </si>
  <si>
    <t>=NF($E54,O$2)</t>
  </si>
  <si>
    <t>=NF($E55,O$2)</t>
  </si>
  <si>
    <t>=NF($E56,O$2)</t>
  </si>
  <si>
    <t>=NF($E57,O$2)</t>
  </si>
  <si>
    <t>=NF($E58,O$2)</t>
  </si>
  <si>
    <t>=NF($E59,O$2)</t>
  </si>
  <si>
    <t>=NF($E60,O$2)</t>
  </si>
  <si>
    <t>=NF($E61,O$2)</t>
  </si>
  <si>
    <t>=NF($E62,O$2)</t>
  </si>
  <si>
    <t>=NF($E63,O$2)</t>
  </si>
  <si>
    <t>=NF($E64,O$2)</t>
  </si>
  <si>
    <t>=NF($E65,O$2)</t>
  </si>
  <si>
    <t>=NF($E66,O$2)</t>
  </si>
  <si>
    <t>=NF($E67,O$2)</t>
  </si>
  <si>
    <t>=NF($E68,O$2)</t>
  </si>
  <si>
    <t>=NF($E69,O$2)</t>
  </si>
  <si>
    <t>=NF($E70,O$2)</t>
  </si>
  <si>
    <t>=NF($E71,O$2)</t>
  </si>
  <si>
    <t>=NF($E72,O$2)</t>
  </si>
  <si>
    <t>=NF($E73,O$2)</t>
  </si>
  <si>
    <t>=NF($E74,O$2)</t>
  </si>
  <si>
    <t>=NF($E75,O$2)</t>
  </si>
  <si>
    <t>=NF($E76,O$2)</t>
  </si>
  <si>
    <t>=NF($E77,O$2)</t>
  </si>
  <si>
    <t>=NF($E78,O$2)</t>
  </si>
  <si>
    <t>=NF($E79,O$2)</t>
  </si>
  <si>
    <t>=NF($E80,O$2)</t>
  </si>
  <si>
    <t>=NF($E81,O$2)</t>
  </si>
  <si>
    <t>=NF($E82,O$2)</t>
  </si>
  <si>
    <t>=NF($E83,O$2)</t>
  </si>
  <si>
    <t>=NF($E84,O$2)</t>
  </si>
  <si>
    <t>=NF($E85,O$2)</t>
  </si>
  <si>
    <t>=NF($E86,O$2)</t>
  </si>
  <si>
    <t>=NF($E87,O$2)</t>
  </si>
  <si>
    <t>=NF($E88,O$2)</t>
  </si>
  <si>
    <t>=NF($E89,O$2)</t>
  </si>
  <si>
    <t>=NF($E90,O$2)</t>
  </si>
  <si>
    <t>=NF($E91,O$2)</t>
  </si>
  <si>
    <t>=NF($E92,O$2)</t>
  </si>
  <si>
    <t>=NF($E93,O$2)</t>
  </si>
  <si>
    <t>=NF($E94,O$2)</t>
  </si>
  <si>
    <t>=NF($E95,O$2)</t>
  </si>
  <si>
    <t>=NF($E96,O$2)</t>
  </si>
  <si>
    <t>=NF($E97,O$2)</t>
  </si>
  <si>
    <t>=NF($E98,O$2)</t>
  </si>
  <si>
    <t>=NF($E99,O$2)</t>
  </si>
  <si>
    <t>=NF($E100,O$2)</t>
  </si>
  <si>
    <t>=NF($E101,O$2)</t>
  </si>
  <si>
    <t>=NF($E102,O$2)</t>
  </si>
  <si>
    <t>=NF($E103,O$2)</t>
  </si>
  <si>
    <t>=NF($E104,O$2)</t>
  </si>
  <si>
    <t>=NF($E105,O$2)</t>
  </si>
  <si>
    <t>=NF($E106,O$2)</t>
  </si>
  <si>
    <t>=NF($E107,O$2)</t>
  </si>
  <si>
    <t>=NF($E108,O$2)</t>
  </si>
  <si>
    <t>=NF($E109,O$2)</t>
  </si>
  <si>
    <t>=NF($E110,O$2)</t>
  </si>
  <si>
    <t>=NF($E111,O$2)</t>
  </si>
  <si>
    <t>=NF($E112,O$2)</t>
  </si>
  <si>
    <t>=NF($E113,O$2)</t>
  </si>
  <si>
    <t>=NF($E114,O$2)</t>
  </si>
  <si>
    <t>=NF($E115,O$2)</t>
  </si>
  <si>
    <t>=NF($E116,O$2)</t>
  </si>
  <si>
    <t>=NF($E117,O$2)</t>
  </si>
  <si>
    <t>=NF($E118,O$2)</t>
  </si>
  <si>
    <t>=NF($E119,O$2)</t>
  </si>
  <si>
    <t>=NF($E17,L$2)</t>
  </si>
  <si>
    <t>=NF($E18,L$2)</t>
  </si>
  <si>
    <t>=NF($E19,L$2)</t>
  </si>
  <si>
    <t>=NF($E20,L$2)</t>
  </si>
  <si>
    <t>=NF($E21,L$2)</t>
  </si>
  <si>
    <t>=NF($E22,L$2)</t>
  </si>
  <si>
    <t>=NF($E23,L$2)</t>
  </si>
  <si>
    <t>=NF($E24,L$2)</t>
  </si>
  <si>
    <t>=NF($E25,L$2)</t>
  </si>
  <si>
    <t>=NF($E26,L$2)</t>
  </si>
  <si>
    <t>=NF($E27,L$2)</t>
  </si>
  <si>
    <t>=NF($E28,L$2)</t>
  </si>
  <si>
    <t>=NF($E29,L$2)</t>
  </si>
  <si>
    <t>=NF($E30,L$2)</t>
  </si>
  <si>
    <t>=NF($E31,L$2)</t>
  </si>
  <si>
    <t>=NF($E32,L$2)</t>
  </si>
  <si>
    <t>=NF($E33,L$2)</t>
  </si>
  <si>
    <t>=NF($E34,L$2)</t>
  </si>
  <si>
    <t>=NF($E35,L$2)</t>
  </si>
  <si>
    <t>=NF($E36,L$2)</t>
  </si>
  <si>
    <t>=NF($E37,L$2)</t>
  </si>
  <si>
    <t>=NF($E38,L$2)</t>
  </si>
  <si>
    <t>=NF($E39,L$2)</t>
  </si>
  <si>
    <t>=NF($E40,L$2)</t>
  </si>
  <si>
    <t>=NF($E41,L$2)</t>
  </si>
  <si>
    <t>=NF($E42,L$2)</t>
  </si>
  <si>
    <t>=NF($E43,L$2)</t>
  </si>
  <si>
    <t>=NF($E44,L$2)</t>
  </si>
  <si>
    <t>=NF($E45,L$2)</t>
  </si>
  <si>
    <t>=NF($E46,L$2)</t>
  </si>
  <si>
    <t>=NF($E47,L$2)</t>
  </si>
  <si>
    <t>=NF($E48,L$2)</t>
  </si>
  <si>
    <t>=NF($E49,L$2)</t>
  </si>
  <si>
    <t>=NF($E50,L$2)</t>
  </si>
  <si>
    <t>=NF($E51,L$2)</t>
  </si>
  <si>
    <t>=NF($E52,L$2)</t>
  </si>
  <si>
    <t>=NF($E53,L$2)</t>
  </si>
  <si>
    <t>=NF($E54,L$2)</t>
  </si>
  <si>
    <t>=NF($E55,L$2)</t>
  </si>
  <si>
    <t>=NF($E56,L$2)</t>
  </si>
  <si>
    <t>=NF($E57,L$2)</t>
  </si>
  <si>
    <t>=NF($E58,L$2)</t>
  </si>
  <si>
    <t>=NF($E59,L$2)</t>
  </si>
  <si>
    <t>=NF($E60,L$2)</t>
  </si>
  <si>
    <t>=NF($E61,L$2)</t>
  </si>
  <si>
    <t>=NF($E62,L$2)</t>
  </si>
  <si>
    <t>=NF($E63,L$2)</t>
  </si>
  <si>
    <t>=NF($E64,L$2)</t>
  </si>
  <si>
    <t>=NF($E65,L$2)</t>
  </si>
  <si>
    <t>=NF($E66,L$2)</t>
  </si>
  <si>
    <t>=NF($E67,L$2)</t>
  </si>
  <si>
    <t>=NF($E68,L$2)</t>
  </si>
  <si>
    <t>=NF($E69,L$2)</t>
  </si>
  <si>
    <t>=NF($E70,L$2)</t>
  </si>
  <si>
    <t>=NF($E71,L$2)</t>
  </si>
  <si>
    <t>=NF($E72,L$2)</t>
  </si>
  <si>
    <t>=NF($E73,L$2)</t>
  </si>
  <si>
    <t>=NF($E74,L$2)</t>
  </si>
  <si>
    <t>=NF($E75,L$2)</t>
  </si>
  <si>
    <t>=NF($E76,L$2)</t>
  </si>
  <si>
    <t>=NF($E77,L$2)</t>
  </si>
  <si>
    <t>=NF($E78,L$2)</t>
  </si>
  <si>
    <t>=NF($E79,L$2)</t>
  </si>
  <si>
    <t>=NF($E80,L$2)</t>
  </si>
  <si>
    <t>=NF($E81,L$2)</t>
  </si>
  <si>
    <t>=NF($E82,L$2)</t>
  </si>
  <si>
    <t>=NF($E83,L$2)</t>
  </si>
  <si>
    <t>=NF($E84,L$2)</t>
  </si>
  <si>
    <t>=NF($E85,L$2)</t>
  </si>
  <si>
    <t>=NF($E86,L$2)</t>
  </si>
  <si>
    <t>=NF($E87,L$2)</t>
  </si>
  <si>
    <t>=NF($E88,L$2)</t>
  </si>
  <si>
    <t>=NF($E89,L$2)</t>
  </si>
  <si>
    <t>=NF($E90,L$2)</t>
  </si>
  <si>
    <t>=NF($E91,L$2)</t>
  </si>
  <si>
    <t>=NF($E92,L$2)</t>
  </si>
  <si>
    <t>=NF($E93,L$2)</t>
  </si>
  <si>
    <t>=NF($E94,L$2)</t>
  </si>
  <si>
    <t>=NF($E95,L$2)</t>
  </si>
  <si>
    <t>=NF($E96,L$2)</t>
  </si>
  <si>
    <t>=NF($E97,L$2)</t>
  </si>
  <si>
    <t>=NF($E98,L$2)</t>
  </si>
  <si>
    <t>=NF($E99,L$2)</t>
  </si>
  <si>
    <t>=NF($E100,L$2)</t>
  </si>
  <si>
    <t>=NF($E101,L$2)</t>
  </si>
  <si>
    <t>=NF($E102,L$2)</t>
  </si>
  <si>
    <t>=NF($E103,L$2)</t>
  </si>
  <si>
    <t>=NF($E104,L$2)</t>
  </si>
  <si>
    <t>=NF($E105,L$2)</t>
  </si>
  <si>
    <t>=NF($E106,L$2)</t>
  </si>
  <si>
    <t>=NF($E107,L$2)</t>
  </si>
  <si>
    <t>=NF($E108,L$2)</t>
  </si>
  <si>
    <t>=NF($E109,L$2)</t>
  </si>
  <si>
    <t>=NF($E110,L$2)</t>
  </si>
  <si>
    <t>=NF($E111,L$2)</t>
  </si>
  <si>
    <t>=NF($E112,L$2)</t>
  </si>
  <si>
    <t>=NF($E113,L$2)</t>
  </si>
  <si>
    <t>=NF($E114,L$2)</t>
  </si>
  <si>
    <t>=NF($E115,L$2)</t>
  </si>
  <si>
    <t>=NF($E116,L$2)</t>
  </si>
  <si>
    <t>=NF($E117,L$2)</t>
  </si>
  <si>
    <t>=NF($E118,L$2)</t>
  </si>
  <si>
    <t>=NF($E119,L$2)</t>
  </si>
  <si>
    <t>=NF($E17,P$2)</t>
  </si>
  <si>
    <t>=NF($E18,P$2)</t>
  </si>
  <si>
    <t>=NF($E19,P$2)</t>
  </si>
  <si>
    <t>=NF($E20,P$2)</t>
  </si>
  <si>
    <t>=NF($E21,P$2)</t>
  </si>
  <si>
    <t>=NF($E22,P$2)</t>
  </si>
  <si>
    <t>=NF($E23,P$2)</t>
  </si>
  <si>
    <t>=NF($E24,P$2)</t>
  </si>
  <si>
    <t>=NF($E25,P$2)</t>
  </si>
  <si>
    <t>=NF($E26,P$2)</t>
  </si>
  <si>
    <t>=NF($E27,P$2)</t>
  </si>
  <si>
    <t>=NF($E28,P$2)</t>
  </si>
  <si>
    <t>=NF($E29,P$2)</t>
  </si>
  <si>
    <t>=NF($E30,P$2)</t>
  </si>
  <si>
    <t>=NF($E31,P$2)</t>
  </si>
  <si>
    <t>=NF($E32,P$2)</t>
  </si>
  <si>
    <t>=NF($E33,P$2)</t>
  </si>
  <si>
    <t>=NF($E34,P$2)</t>
  </si>
  <si>
    <t>=NF($E35,P$2)</t>
  </si>
  <si>
    <t>=NF($E36,P$2)</t>
  </si>
  <si>
    <t>=NF($E37,P$2)</t>
  </si>
  <si>
    <t>=NF($E38,P$2)</t>
  </si>
  <si>
    <t>=NF($E39,P$2)</t>
  </si>
  <si>
    <t>=NF($E40,P$2)</t>
  </si>
  <si>
    <t>=NF($E41,P$2)</t>
  </si>
  <si>
    <t>=NF($E42,P$2)</t>
  </si>
  <si>
    <t>=NF($E43,P$2)</t>
  </si>
  <si>
    <t>=NF($E44,P$2)</t>
  </si>
  <si>
    <t>=NF($E45,P$2)</t>
  </si>
  <si>
    <t>=NF($E46,P$2)</t>
  </si>
  <si>
    <t>=NF($E47,P$2)</t>
  </si>
  <si>
    <t>=NF($E48,P$2)</t>
  </si>
  <si>
    <t>=NF($E49,P$2)</t>
  </si>
  <si>
    <t>=NF($E50,P$2)</t>
  </si>
  <si>
    <t>=NF($E51,P$2)</t>
  </si>
  <si>
    <t>=NF($E52,P$2)</t>
  </si>
  <si>
    <t>=NF($E53,P$2)</t>
  </si>
  <si>
    <t>=NF($E54,P$2)</t>
  </si>
  <si>
    <t>=NF($E55,P$2)</t>
  </si>
  <si>
    <t>=NF($E56,P$2)</t>
  </si>
  <si>
    <t>=NF($E57,P$2)</t>
  </si>
  <si>
    <t>=NF($E58,P$2)</t>
  </si>
  <si>
    <t>=NF($E59,P$2)</t>
  </si>
  <si>
    <t>=NF($E60,P$2)</t>
  </si>
  <si>
    <t>=NF($E61,P$2)</t>
  </si>
  <si>
    <t>=NF($E62,P$2)</t>
  </si>
  <si>
    <t>=NF($E63,P$2)</t>
  </si>
  <si>
    <t>=NF($E64,P$2)</t>
  </si>
  <si>
    <t>=NF($E65,P$2)</t>
  </si>
  <si>
    <t>=NF($E66,P$2)</t>
  </si>
  <si>
    <t>=NF($E67,P$2)</t>
  </si>
  <si>
    <t>=NF($E68,P$2)</t>
  </si>
  <si>
    <t>=NF($E69,P$2)</t>
  </si>
  <si>
    <t>=NF($E70,P$2)</t>
  </si>
  <si>
    <t>=NF($E71,P$2)</t>
  </si>
  <si>
    <t>=NF($E72,P$2)</t>
  </si>
  <si>
    <t>=NF($E73,P$2)</t>
  </si>
  <si>
    <t>=NF($E74,P$2)</t>
  </si>
  <si>
    <t>=NF($E75,P$2)</t>
  </si>
  <si>
    <t>=NF($E76,P$2)</t>
  </si>
  <si>
    <t>=NF($E77,P$2)</t>
  </si>
  <si>
    <t>=NF($E78,P$2)</t>
  </si>
  <si>
    <t>=NF($E79,P$2)</t>
  </si>
  <si>
    <t>=NF($E80,P$2)</t>
  </si>
  <si>
    <t>=NF($E81,P$2)</t>
  </si>
  <si>
    <t>=NF($E82,P$2)</t>
  </si>
  <si>
    <t>=NF($E83,P$2)</t>
  </si>
  <si>
    <t>=NF($E84,P$2)</t>
  </si>
  <si>
    <t>=NF($E85,P$2)</t>
  </si>
  <si>
    <t>=NF($E86,P$2)</t>
  </si>
  <si>
    <t>=NF($E87,P$2)</t>
  </si>
  <si>
    <t>=NF($E88,P$2)</t>
  </si>
  <si>
    <t>=NF($E89,P$2)</t>
  </si>
  <si>
    <t>=NF($E90,P$2)</t>
  </si>
  <si>
    <t>=NF($E91,P$2)</t>
  </si>
  <si>
    <t>=NF($E92,P$2)</t>
  </si>
  <si>
    <t>=NF($E93,P$2)</t>
  </si>
  <si>
    <t>=NF($E94,P$2)</t>
  </si>
  <si>
    <t>=NF($E95,P$2)</t>
  </si>
  <si>
    <t>=NF($E96,P$2)</t>
  </si>
  <si>
    <t>=NF($E97,P$2)</t>
  </si>
  <si>
    <t>=NF($E98,P$2)</t>
  </si>
  <si>
    <t>=NF($E99,P$2)</t>
  </si>
  <si>
    <t>=NF($E100,P$2)</t>
  </si>
  <si>
    <t>=NF($E101,P$2)</t>
  </si>
  <si>
    <t>=NF($E102,P$2)</t>
  </si>
  <si>
    <t>=NF($E103,P$2)</t>
  </si>
  <si>
    <t>=NF($E104,P$2)</t>
  </si>
  <si>
    <t>=NF($E105,P$2)</t>
  </si>
  <si>
    <t>=NF($E106,P$2)</t>
  </si>
  <si>
    <t>=NF($E107,P$2)</t>
  </si>
  <si>
    <t>=NF($E108,P$2)</t>
  </si>
  <si>
    <t>=NF($E109,P$2)</t>
  </si>
  <si>
    <t>=NF($E110,P$2)</t>
  </si>
  <si>
    <t>=NF($E111,P$2)</t>
  </si>
  <si>
    <t>=NF($E112,P$2)</t>
  </si>
  <si>
    <t>=NF($E113,P$2)</t>
  </si>
  <si>
    <t>=NF($E114,P$2)</t>
  </si>
  <si>
    <t>=NF($E115,P$2)</t>
  </si>
  <si>
    <t>=NF($E116,P$2)</t>
  </si>
  <si>
    <t>=NF($E117,P$2)</t>
  </si>
  <si>
    <t>=NF($E118,P$2)</t>
  </si>
  <si>
    <t>=NF($E119,P$2)</t>
  </si>
  <si>
    <t>=NF($E462,K$2)</t>
  </si>
  <si>
    <t>=NF($E463,K$2)</t>
  </si>
  <si>
    <t>=NF($E464,K$2)</t>
  </si>
  <si>
    <t>=NF($E465,K$2)</t>
  </si>
  <si>
    <t>=NF($E466,K$2)</t>
  </si>
  <si>
    <t>=NF($E467,K$2)</t>
  </si>
  <si>
    <t>=NF($E468,K$2)</t>
  </si>
  <si>
    <t>=NF($E469,K$2)</t>
  </si>
  <si>
    <t>=NF($E470,K$2)</t>
  </si>
  <si>
    <t>=NF($E471,K$2)</t>
  </si>
  <si>
    <t>=NF($E472,K$2)</t>
  </si>
  <si>
    <t>=NF($E473,K$2)</t>
  </si>
  <si>
    <t>=NF($E474,K$2)</t>
  </si>
  <si>
    <t>=NF($E475,K$2)</t>
  </si>
  <si>
    <t>=NF($E476,K$2)</t>
  </si>
  <si>
    <t>=NF($E477,K$2)</t>
  </si>
  <si>
    <t>=NF($E478,K$2)</t>
  </si>
  <si>
    <t>=NF($E479,K$2)</t>
  </si>
  <si>
    <t>=NF($E480,K$2)</t>
  </si>
  <si>
    <t>=NF($E481,K$2)</t>
  </si>
  <si>
    <t>=NF($E482,K$2)</t>
  </si>
  <si>
    <t>=NF($E483,K$2)</t>
  </si>
  <si>
    <t>=NF($E484,K$2)</t>
  </si>
  <si>
    <t>=NF($E485,K$2)</t>
  </si>
  <si>
    <t>=NF($E486,K$2)</t>
  </si>
  <si>
    <t>=NF($E487,K$2)</t>
  </si>
  <si>
    <t>=NF($E488,K$2)</t>
  </si>
  <si>
    <t>=NF($E489,K$2)</t>
  </si>
  <si>
    <t>=NF($E490,K$2)</t>
  </si>
  <si>
    <t>=NF($E491,K$2)</t>
  </si>
  <si>
    <t>=NF($E492,K$2)</t>
  </si>
  <si>
    <t>=NF($E493,K$2)</t>
  </si>
  <si>
    <t>=NF($E494,K$2)</t>
  </si>
  <si>
    <t>=NF($E495,K$2)</t>
  </si>
  <si>
    <t>=NF($E496,K$2)</t>
  </si>
  <si>
    <t>=NF($E497,K$2)</t>
  </si>
  <si>
    <t>=NF($E498,K$2)</t>
  </si>
  <si>
    <t>=NF($E499,K$2)</t>
  </si>
  <si>
    <t>=NF($E500,K$2)</t>
  </si>
  <si>
    <t>=NF($E501,K$2)</t>
  </si>
  <si>
    <t>=NF($E502,K$2)</t>
  </si>
  <si>
    <t>=NF($E503,K$2)</t>
  </si>
  <si>
    <t>=NF($E504,K$2)</t>
  </si>
  <si>
    <t>=NF($E505,K$2)</t>
  </si>
  <si>
    <t>=NF($E506,K$2)</t>
  </si>
  <si>
    <t>=NF($E507,K$2)</t>
  </si>
  <si>
    <t>=NF($E508,K$2)</t>
  </si>
  <si>
    <t>=NF($E509,K$2)</t>
  </si>
  <si>
    <t>=NF($E510,K$2)</t>
  </si>
  <si>
    <t>=NF($E511,K$2)</t>
  </si>
  <si>
    <t>=NF($E512,K$2)</t>
  </si>
  <si>
    <t>=NF($E513,K$2)</t>
  </si>
  <si>
    <t>=NF($E514,K$2)</t>
  </si>
  <si>
    <t>=NF($E515,K$2)</t>
  </si>
  <si>
    <t>=NF($E516,K$2)</t>
  </si>
  <si>
    <t>=NF($E517,K$2)</t>
  </si>
  <si>
    <t>=NF($E518,K$2)</t>
  </si>
  <si>
    <t>=NF($E519,K$2)</t>
  </si>
  <si>
    <t>=NF($E520,K$2)</t>
  </si>
  <si>
    <t>=NF($E521,K$2)</t>
  </si>
  <si>
    <t>=NF($E522,K$2)</t>
  </si>
  <si>
    <t>=NF($E523,K$2)</t>
  </si>
  <si>
    <t>=NF($E524,K$2)</t>
  </si>
  <si>
    <t>=NF($E525,K$2)</t>
  </si>
  <si>
    <t>=NF($E526,K$2)</t>
  </si>
  <si>
    <t>=NF($E527,K$2)</t>
  </si>
  <si>
    <t>=NF($E528,K$2)</t>
  </si>
  <si>
    <t>=NF($E529,K$2)</t>
  </si>
  <si>
    <t>=NF($E530,K$2)</t>
  </si>
  <si>
    <t>=NF($E531,K$2)</t>
  </si>
  <si>
    <t>=NF($E532,K$2)</t>
  </si>
  <si>
    <t>=NF($E533,K$2)</t>
  </si>
  <si>
    <t>=NF($E534,K$2)</t>
  </si>
  <si>
    <t>=NF($E535,K$2)</t>
  </si>
  <si>
    <t>=NF($E536,K$2)</t>
  </si>
  <si>
    <t>=NF($E537,K$2)</t>
  </si>
  <si>
    <t>=NF($E538,K$2)</t>
  </si>
  <si>
    <t>=NF($E539,K$2)</t>
  </si>
  <si>
    <t>=NF($E540,K$2)</t>
  </si>
  <si>
    <t>=NF($E541,K$2)</t>
  </si>
  <si>
    <t>=NF($E542,K$2)</t>
  </si>
  <si>
    <t>=NF($E543,K$2)</t>
  </si>
  <si>
    <t>=NF($E544,K$2)</t>
  </si>
  <si>
    <t>=NF($E545,K$2)</t>
  </si>
  <si>
    <t>=NF($E546,K$2)</t>
  </si>
  <si>
    <t>=NF($E547,K$2)</t>
  </si>
  <si>
    <t>=NF($E548,K$2)</t>
  </si>
  <si>
    <t>=NF($E549,K$2)</t>
  </si>
  <si>
    <t>=NF($E550,K$2)</t>
  </si>
  <si>
    <t>=NF($E551,K$2)</t>
  </si>
  <si>
    <t>=NF($E552,K$2)</t>
  </si>
  <si>
    <t>=NF($E553,K$2)</t>
  </si>
  <si>
    <t>=NF($E554,K$2)</t>
  </si>
  <si>
    <t>=NF($E555,K$2)</t>
  </si>
  <si>
    <t>=NF($E556,K$2)</t>
  </si>
  <si>
    <t>=NF($E557,K$2)</t>
  </si>
  <si>
    <t>=NF($E558,K$2)</t>
  </si>
  <si>
    <t>=NF($E559,K$2)</t>
  </si>
  <si>
    <t>=NF($E560,K$2)</t>
  </si>
  <si>
    <t>=NF($E561,K$2)</t>
  </si>
  <si>
    <t>=NF($E562,K$2)</t>
  </si>
  <si>
    <t>=NF($E563,K$2)</t>
  </si>
  <si>
    <t>=NF($E564,K$2)</t>
  </si>
  <si>
    <t>=NF($E565,K$2)</t>
  </si>
  <si>
    <t>=NF($E566,K$2)</t>
  </si>
  <si>
    <t>=NF($E567,K$2)</t>
  </si>
  <si>
    <t>=NF($E568,K$2)</t>
  </si>
  <si>
    <t>=NF($E569,K$2)</t>
  </si>
  <si>
    <t>=NF($E570,K$2)</t>
  </si>
  <si>
    <t>=NF($E571,K$2)</t>
  </si>
  <si>
    <t>=NF($E572,K$2)</t>
  </si>
  <si>
    <t>=NF($E573,K$2)</t>
  </si>
  <si>
    <t>=NF($E574,K$2)</t>
  </si>
  <si>
    <t>=NF($E575,K$2)</t>
  </si>
  <si>
    <t>=NF($E576,K$2)</t>
  </si>
  <si>
    <t>=NF($E577,K$2)</t>
  </si>
  <si>
    <t>=NF($E578,K$2)</t>
  </si>
  <si>
    <t>=NF($E579,K$2)</t>
  </si>
  <si>
    <t>=NF($E580,K$2)</t>
  </si>
  <si>
    <t>=NF($E581,K$2)</t>
  </si>
  <si>
    <t>=NF($E582,K$2)</t>
  </si>
  <si>
    <t>=NF($E583,K$2)</t>
  </si>
  <si>
    <t>=NF($E584,K$2)</t>
  </si>
  <si>
    <t>=NF($E585,K$2)</t>
  </si>
  <si>
    <t>=NF($E586,K$2)</t>
  </si>
  <si>
    <t>=NF($E587,K$2)</t>
  </si>
  <si>
    <t>=NF($E588,K$2)</t>
  </si>
  <si>
    <t>=NF($E589,K$2)</t>
  </si>
  <si>
    <t>=NF($E590,K$2)</t>
  </si>
  <si>
    <t>=NF($E591,K$2)</t>
  </si>
  <si>
    <t>=NF($E592,K$2)</t>
  </si>
  <si>
    <t>=NF($E593,K$2)</t>
  </si>
  <si>
    <t>=NF($E594,K$2)</t>
  </si>
  <si>
    <t>=NF($E595,K$2)</t>
  </si>
  <si>
    <t>=NF($E596,K$2)</t>
  </si>
  <si>
    <t>=NF($E597,K$2)</t>
  </si>
  <si>
    <t>=NF($E598,K$2)</t>
  </si>
  <si>
    <t>=NF($E599,K$2)</t>
  </si>
  <si>
    <t>=NF($E600,K$2)</t>
  </si>
  <si>
    <t>=NF($E601,K$2)</t>
  </si>
  <si>
    <t>=NF($E602,K$2)</t>
  </si>
  <si>
    <t>=NF($E603,K$2)</t>
  </si>
  <si>
    <t>=NF($E604,K$2)</t>
  </si>
  <si>
    <t>=NF($E605,K$2)</t>
  </si>
  <si>
    <t>=NF($E606,K$2)</t>
  </si>
  <si>
    <t>=NF($E607,K$2)</t>
  </si>
  <si>
    <t>=NF($E608,K$2)</t>
  </si>
  <si>
    <t>=NF($E609,K$2)</t>
  </si>
  <si>
    <t>=NF($E610,K$2)</t>
  </si>
  <si>
    <t>=NF($E611,K$2)</t>
  </si>
  <si>
    <t>=NF($E612,K$2)</t>
  </si>
  <si>
    <t>=NF($E613,K$2)</t>
  </si>
  <si>
    <t>=NF($E614,K$2)</t>
  </si>
  <si>
    <t>=NF($E615,K$2)</t>
  </si>
  <si>
    <t>=NF($E616,K$2)</t>
  </si>
  <si>
    <t>=NF($E617,K$2)</t>
  </si>
  <si>
    <t>=NF($E618,K$2)</t>
  </si>
  <si>
    <t>=NF($E619,K$2)</t>
  </si>
  <si>
    <t>=NF($E620,K$2)</t>
  </si>
  <si>
    <t>=NF($E621,K$2)</t>
  </si>
  <si>
    <t>=NF($E622,K$2)</t>
  </si>
  <si>
    <t>=NF($E623,K$2)</t>
  </si>
  <si>
    <t>=NF($E624,K$2)</t>
  </si>
  <si>
    <t>=NF($E625,K$2)</t>
  </si>
  <si>
    <t>=NF($E626,K$2)</t>
  </si>
  <si>
    <t>=NF($E627,K$2)</t>
  </si>
  <si>
    <t>=NF($E628,K$2)</t>
  </si>
  <si>
    <t>=NF($E462,M$2)</t>
  </si>
  <si>
    <t>=NF($E463,M$2)</t>
  </si>
  <si>
    <t>=NF($E464,M$2)</t>
  </si>
  <si>
    <t>=NF($E465,M$2)</t>
  </si>
  <si>
    <t>=NF($E466,M$2)</t>
  </si>
  <si>
    <t>=NF($E467,M$2)</t>
  </si>
  <si>
    <t>=NF($E468,M$2)</t>
  </si>
  <si>
    <t>=NF($E469,M$2)</t>
  </si>
  <si>
    <t>=NF($E470,M$2)</t>
  </si>
  <si>
    <t>=NF($E471,M$2)</t>
  </si>
  <si>
    <t>=NF($E472,M$2)</t>
  </si>
  <si>
    <t>=NF($E473,M$2)</t>
  </si>
  <si>
    <t>=NF($E474,M$2)</t>
  </si>
  <si>
    <t>=NF($E475,M$2)</t>
  </si>
  <si>
    <t>=NF($E476,M$2)</t>
  </si>
  <si>
    <t>=NF($E477,M$2)</t>
  </si>
  <si>
    <t>=NF($E478,M$2)</t>
  </si>
  <si>
    <t>=NF($E479,M$2)</t>
  </si>
  <si>
    <t>=NF($E480,M$2)</t>
  </si>
  <si>
    <t>=NF($E481,M$2)</t>
  </si>
  <si>
    <t>=NF($E482,M$2)</t>
  </si>
  <si>
    <t>=NF($E483,M$2)</t>
  </si>
  <si>
    <t>=NF($E484,M$2)</t>
  </si>
  <si>
    <t>=NF($E485,M$2)</t>
  </si>
  <si>
    <t>=NF($E486,M$2)</t>
  </si>
  <si>
    <t>=NF($E487,M$2)</t>
  </si>
  <si>
    <t>=NF($E488,M$2)</t>
  </si>
  <si>
    <t>=NF($E489,M$2)</t>
  </si>
  <si>
    <t>=NF($E490,M$2)</t>
  </si>
  <si>
    <t>=NF($E491,M$2)</t>
  </si>
  <si>
    <t>=NF($E492,M$2)</t>
  </si>
  <si>
    <t>=NF($E493,M$2)</t>
  </si>
  <si>
    <t>=NF($E494,M$2)</t>
  </si>
  <si>
    <t>=NF($E495,M$2)</t>
  </si>
  <si>
    <t>=NF($E496,M$2)</t>
  </si>
  <si>
    <t>=NF($E497,M$2)</t>
  </si>
  <si>
    <t>=NF($E498,M$2)</t>
  </si>
  <si>
    <t>=NF($E499,M$2)</t>
  </si>
  <si>
    <t>=NF($E500,M$2)</t>
  </si>
  <si>
    <t>=NF($E501,M$2)</t>
  </si>
  <si>
    <t>=NF($E502,M$2)</t>
  </si>
  <si>
    <t>=NF($E503,M$2)</t>
  </si>
  <si>
    <t>=NF($E504,M$2)</t>
  </si>
  <si>
    <t>=NF($E505,M$2)</t>
  </si>
  <si>
    <t>=NF($E506,M$2)</t>
  </si>
  <si>
    <t>=NF($E507,M$2)</t>
  </si>
  <si>
    <t>=NF($E508,M$2)</t>
  </si>
  <si>
    <t>=NF($E509,M$2)</t>
  </si>
  <si>
    <t>=NF($E510,M$2)</t>
  </si>
  <si>
    <t>=NF($E511,M$2)</t>
  </si>
  <si>
    <t>=NF($E512,M$2)</t>
  </si>
  <si>
    <t>=NF($E513,M$2)</t>
  </si>
  <si>
    <t>=NF($E514,M$2)</t>
  </si>
  <si>
    <t>=NF($E515,M$2)</t>
  </si>
  <si>
    <t>=NF($E516,M$2)</t>
  </si>
  <si>
    <t>=NF($E517,M$2)</t>
  </si>
  <si>
    <t>=NF($E518,M$2)</t>
  </si>
  <si>
    <t>=NF($E519,M$2)</t>
  </si>
  <si>
    <t>=NF($E520,M$2)</t>
  </si>
  <si>
    <t>=NF($E521,M$2)</t>
  </si>
  <si>
    <t>=NF($E522,M$2)</t>
  </si>
  <si>
    <t>=NF($E523,M$2)</t>
  </si>
  <si>
    <t>=NF($E524,M$2)</t>
  </si>
  <si>
    <t>=NF($E525,M$2)</t>
  </si>
  <si>
    <t>=NF($E526,M$2)</t>
  </si>
  <si>
    <t>=NF($E527,M$2)</t>
  </si>
  <si>
    <t>=NF($E528,M$2)</t>
  </si>
  <si>
    <t>=NF($E529,M$2)</t>
  </si>
  <si>
    <t>=NF($E530,M$2)</t>
  </si>
  <si>
    <t>=NF($E531,M$2)</t>
  </si>
  <si>
    <t>=NF($E532,M$2)</t>
  </si>
  <si>
    <t>=NF($E533,M$2)</t>
  </si>
  <si>
    <t>=NF($E534,M$2)</t>
  </si>
  <si>
    <t>=NF($E535,M$2)</t>
  </si>
  <si>
    <t>=NF($E536,M$2)</t>
  </si>
  <si>
    <t>=NF($E537,M$2)</t>
  </si>
  <si>
    <t>=NF($E538,M$2)</t>
  </si>
  <si>
    <t>=NF($E539,M$2)</t>
  </si>
  <si>
    <t>=NF($E540,M$2)</t>
  </si>
  <si>
    <t>=NF($E541,M$2)</t>
  </si>
  <si>
    <t>=NF($E542,M$2)</t>
  </si>
  <si>
    <t>=NF($E543,M$2)</t>
  </si>
  <si>
    <t>=NF($E544,M$2)</t>
  </si>
  <si>
    <t>=NF($E545,M$2)</t>
  </si>
  <si>
    <t>=NF($E546,M$2)</t>
  </si>
  <si>
    <t>=NF($E547,M$2)</t>
  </si>
  <si>
    <t>=NF($E548,M$2)</t>
  </si>
  <si>
    <t>=NF($E549,M$2)</t>
  </si>
  <si>
    <t>=NF($E550,M$2)</t>
  </si>
  <si>
    <t>=NF($E551,M$2)</t>
  </si>
  <si>
    <t>=NF($E552,M$2)</t>
  </si>
  <si>
    <t>=NF($E553,M$2)</t>
  </si>
  <si>
    <t>=NF($E554,M$2)</t>
  </si>
  <si>
    <t>=NF($E555,M$2)</t>
  </si>
  <si>
    <t>=NF($E556,M$2)</t>
  </si>
  <si>
    <t>=NF($E557,M$2)</t>
  </si>
  <si>
    <t>=NF($E558,M$2)</t>
  </si>
  <si>
    <t>=NF($E559,M$2)</t>
  </si>
  <si>
    <t>=NF($E560,M$2)</t>
  </si>
  <si>
    <t>=NF($E561,M$2)</t>
  </si>
  <si>
    <t>=NF($E562,M$2)</t>
  </si>
  <si>
    <t>=NF($E563,M$2)</t>
  </si>
  <si>
    <t>=NF($E564,M$2)</t>
  </si>
  <si>
    <t>=NF($E565,M$2)</t>
  </si>
  <si>
    <t>=NF($E566,M$2)</t>
  </si>
  <si>
    <t>=NF($E567,M$2)</t>
  </si>
  <si>
    <t>=NF($E568,M$2)</t>
  </si>
  <si>
    <t>=NF($E569,M$2)</t>
  </si>
  <si>
    <t>=NF($E570,M$2)</t>
  </si>
  <si>
    <t>=NF($E571,M$2)</t>
  </si>
  <si>
    <t>=NF($E572,M$2)</t>
  </si>
  <si>
    <t>=NF($E573,M$2)</t>
  </si>
  <si>
    <t>=NF($E574,M$2)</t>
  </si>
  <si>
    <t>=NF($E575,M$2)</t>
  </si>
  <si>
    <t>=NF($E576,M$2)</t>
  </si>
  <si>
    <t>=NF($E577,M$2)</t>
  </si>
  <si>
    <t>=NF($E578,M$2)</t>
  </si>
  <si>
    <t>=NF($E579,M$2)</t>
  </si>
  <si>
    <t>=NF($E580,M$2)</t>
  </si>
  <si>
    <t>=NF($E581,M$2)</t>
  </si>
  <si>
    <t>=NF($E582,M$2)</t>
  </si>
  <si>
    <t>=NF($E583,M$2)</t>
  </si>
  <si>
    <t>=NF($E584,M$2)</t>
  </si>
  <si>
    <t>=NF($E585,M$2)</t>
  </si>
  <si>
    <t>=NF($E586,M$2)</t>
  </si>
  <si>
    <t>=NF($E587,M$2)</t>
  </si>
  <si>
    <t>=NF($E588,M$2)</t>
  </si>
  <si>
    <t>=NF($E589,M$2)</t>
  </si>
  <si>
    <t>=NF($E590,M$2)</t>
  </si>
  <si>
    <t>=NF($E591,M$2)</t>
  </si>
  <si>
    <t>=NF($E592,M$2)</t>
  </si>
  <si>
    <t>=NF($E593,M$2)</t>
  </si>
  <si>
    <t>=NF($E594,M$2)</t>
  </si>
  <si>
    <t>=NF($E595,M$2)</t>
  </si>
  <si>
    <t>=NF($E596,M$2)</t>
  </si>
  <si>
    <t>=NF($E597,M$2)</t>
  </si>
  <si>
    <t>=NF($E598,M$2)</t>
  </si>
  <si>
    <t>=NF($E599,M$2)</t>
  </si>
  <si>
    <t>=NF($E600,M$2)</t>
  </si>
  <si>
    <t>=NF($E601,M$2)</t>
  </si>
  <si>
    <t>=NF($E602,M$2)</t>
  </si>
  <si>
    <t>=NF($E603,M$2)</t>
  </si>
  <si>
    <t>=NF($E604,M$2)</t>
  </si>
  <si>
    <t>=NF($E605,M$2)</t>
  </si>
  <si>
    <t>=NF($E606,M$2)</t>
  </si>
  <si>
    <t>=NF($E607,M$2)</t>
  </si>
  <si>
    <t>=NF($E608,M$2)</t>
  </si>
  <si>
    <t>=NF($E609,M$2)</t>
  </si>
  <si>
    <t>=NF($E610,M$2)</t>
  </si>
  <si>
    <t>=NF($E611,M$2)</t>
  </si>
  <si>
    <t>=NF($E612,M$2)</t>
  </si>
  <si>
    <t>=NF($E613,M$2)</t>
  </si>
  <si>
    <t>=NF($E614,M$2)</t>
  </si>
  <si>
    <t>=NF($E615,M$2)</t>
  </si>
  <si>
    <t>=NF($E616,M$2)</t>
  </si>
  <si>
    <t>=NF($E617,M$2)</t>
  </si>
  <si>
    <t>=NF($E618,M$2)</t>
  </si>
  <si>
    <t>=NF($E619,M$2)</t>
  </si>
  <si>
    <t>=NF($E620,M$2)</t>
  </si>
  <si>
    <t>=NF($E621,M$2)</t>
  </si>
  <si>
    <t>=NF($E622,M$2)</t>
  </si>
  <si>
    <t>=NF($E623,M$2)</t>
  </si>
  <si>
    <t>=NF($E624,M$2)</t>
  </si>
  <si>
    <t>=NF($E625,M$2)</t>
  </si>
  <si>
    <t>=NF($E626,M$2)</t>
  </si>
  <si>
    <t>=NF($E627,M$2)</t>
  </si>
  <si>
    <t>=NF($E628,M$2)</t>
  </si>
  <si>
    <t>=NF($E462,O$2)</t>
  </si>
  <si>
    <t>=NF($E463,O$2)</t>
  </si>
  <si>
    <t>=NF($E464,O$2)</t>
  </si>
  <si>
    <t>=NF($E465,O$2)</t>
  </si>
  <si>
    <t>=NF($E466,O$2)</t>
  </si>
  <si>
    <t>=NF($E467,O$2)</t>
  </si>
  <si>
    <t>=NF($E468,O$2)</t>
  </si>
  <si>
    <t>=NF($E469,O$2)</t>
  </si>
  <si>
    <t>=NF($E470,O$2)</t>
  </si>
  <si>
    <t>=NF($E471,O$2)</t>
  </si>
  <si>
    <t>=NF($E472,O$2)</t>
  </si>
  <si>
    <t>=NF($E473,O$2)</t>
  </si>
  <si>
    <t>=NF($E474,O$2)</t>
  </si>
  <si>
    <t>=NF($E475,O$2)</t>
  </si>
  <si>
    <t>=NF($E476,O$2)</t>
  </si>
  <si>
    <t>=NF($E477,O$2)</t>
  </si>
  <si>
    <t>=NF($E478,O$2)</t>
  </si>
  <si>
    <t>=NF($E479,O$2)</t>
  </si>
  <si>
    <t>=NF($E480,O$2)</t>
  </si>
  <si>
    <t>=NF($E481,O$2)</t>
  </si>
  <si>
    <t>=NF($E482,O$2)</t>
  </si>
  <si>
    <t>=NF($E483,O$2)</t>
  </si>
  <si>
    <t>=NF($E484,O$2)</t>
  </si>
  <si>
    <t>=NF($E485,O$2)</t>
  </si>
  <si>
    <t>=NF($E486,O$2)</t>
  </si>
  <si>
    <t>=NF($E487,O$2)</t>
  </si>
  <si>
    <t>=NF($E488,O$2)</t>
  </si>
  <si>
    <t>=NF($E489,O$2)</t>
  </si>
  <si>
    <t>=NF($E490,O$2)</t>
  </si>
  <si>
    <t>=NF($E491,O$2)</t>
  </si>
  <si>
    <t>=NF($E492,O$2)</t>
  </si>
  <si>
    <t>=NF($E493,O$2)</t>
  </si>
  <si>
    <t>=NF($E494,O$2)</t>
  </si>
  <si>
    <t>=NF($E495,O$2)</t>
  </si>
  <si>
    <t>=NF($E496,O$2)</t>
  </si>
  <si>
    <t>=NF($E497,O$2)</t>
  </si>
  <si>
    <t>=NF($E498,O$2)</t>
  </si>
  <si>
    <t>=NF($E499,O$2)</t>
  </si>
  <si>
    <t>=NF($E500,O$2)</t>
  </si>
  <si>
    <t>=NF($E501,O$2)</t>
  </si>
  <si>
    <t>=NF($E502,O$2)</t>
  </si>
  <si>
    <t>=NF($E503,O$2)</t>
  </si>
  <si>
    <t>=NF($E504,O$2)</t>
  </si>
  <si>
    <t>=NF($E505,O$2)</t>
  </si>
  <si>
    <t>=NF($E506,O$2)</t>
  </si>
  <si>
    <t>=NF($E507,O$2)</t>
  </si>
  <si>
    <t>=NF($E508,O$2)</t>
  </si>
  <si>
    <t>=NF($E509,O$2)</t>
  </si>
  <si>
    <t>=NF($E510,O$2)</t>
  </si>
  <si>
    <t>=NF($E511,O$2)</t>
  </si>
  <si>
    <t>=NF($E512,O$2)</t>
  </si>
  <si>
    <t>=NF($E513,O$2)</t>
  </si>
  <si>
    <t>=NF($E514,O$2)</t>
  </si>
  <si>
    <t>=NF($E515,O$2)</t>
  </si>
  <si>
    <t>=NF($E516,O$2)</t>
  </si>
  <si>
    <t>=NF($E517,O$2)</t>
  </si>
  <si>
    <t>=NF($E518,O$2)</t>
  </si>
  <si>
    <t>=NF($E519,O$2)</t>
  </si>
  <si>
    <t>=NF($E520,O$2)</t>
  </si>
  <si>
    <t>=NF($E521,O$2)</t>
  </si>
  <si>
    <t>=NF($E522,O$2)</t>
  </si>
  <si>
    <t>=NF($E523,O$2)</t>
  </si>
  <si>
    <t>=NF($E524,O$2)</t>
  </si>
  <si>
    <t>=NF($E525,O$2)</t>
  </si>
  <si>
    <t>=NF($E526,O$2)</t>
  </si>
  <si>
    <t>=NF($E527,O$2)</t>
  </si>
  <si>
    <t>=NF($E528,O$2)</t>
  </si>
  <si>
    <t>=NF($E529,O$2)</t>
  </si>
  <si>
    <t>=NF($E530,O$2)</t>
  </si>
  <si>
    <t>=NF($E531,O$2)</t>
  </si>
  <si>
    <t>=NF($E532,O$2)</t>
  </si>
  <si>
    <t>=NF($E533,O$2)</t>
  </si>
  <si>
    <t>=NF($E534,O$2)</t>
  </si>
  <si>
    <t>=NF($E535,O$2)</t>
  </si>
  <si>
    <t>=NF($E536,O$2)</t>
  </si>
  <si>
    <t>=NF($E537,O$2)</t>
  </si>
  <si>
    <t>=NF($E538,O$2)</t>
  </si>
  <si>
    <t>=NF($E539,O$2)</t>
  </si>
  <si>
    <t>=NF($E540,O$2)</t>
  </si>
  <si>
    <t>=NF($E541,O$2)</t>
  </si>
  <si>
    <t>=NF($E542,O$2)</t>
  </si>
  <si>
    <t>=NF($E543,O$2)</t>
  </si>
  <si>
    <t>=NF($E544,O$2)</t>
  </si>
  <si>
    <t>=NF($E545,O$2)</t>
  </si>
  <si>
    <t>=NF($E546,O$2)</t>
  </si>
  <si>
    <t>=NF($E547,O$2)</t>
  </si>
  <si>
    <t>=NF($E548,O$2)</t>
  </si>
  <si>
    <t>=NF($E549,O$2)</t>
  </si>
  <si>
    <t>=NF($E550,O$2)</t>
  </si>
  <si>
    <t>=NF($E551,O$2)</t>
  </si>
  <si>
    <t>=NF($E552,O$2)</t>
  </si>
  <si>
    <t>=NF($E553,O$2)</t>
  </si>
  <si>
    <t>=NF($E554,O$2)</t>
  </si>
  <si>
    <t>=NF($E555,O$2)</t>
  </si>
  <si>
    <t>=NF($E556,O$2)</t>
  </si>
  <si>
    <t>=NF($E557,O$2)</t>
  </si>
  <si>
    <t>=NF($E558,O$2)</t>
  </si>
  <si>
    <t>=NF($E559,O$2)</t>
  </si>
  <si>
    <t>=NF($E560,O$2)</t>
  </si>
  <si>
    <t>=NF($E561,O$2)</t>
  </si>
  <si>
    <t>=NF($E562,O$2)</t>
  </si>
  <si>
    <t>=NF($E563,O$2)</t>
  </si>
  <si>
    <t>=NF($E564,O$2)</t>
  </si>
  <si>
    <t>=NF($E565,O$2)</t>
  </si>
  <si>
    <t>=NF($E566,O$2)</t>
  </si>
  <si>
    <t>=NF($E567,O$2)</t>
  </si>
  <si>
    <t>=NF($E568,O$2)</t>
  </si>
  <si>
    <t>=NF($E569,O$2)</t>
  </si>
  <si>
    <t>=NF($E570,O$2)</t>
  </si>
  <si>
    <t>=NF($E571,O$2)</t>
  </si>
  <si>
    <t>=NF($E572,O$2)</t>
  </si>
  <si>
    <t>=NF($E573,O$2)</t>
  </si>
  <si>
    <t>=NF($E574,O$2)</t>
  </si>
  <si>
    <t>=NF($E575,O$2)</t>
  </si>
  <si>
    <t>=NF($E576,O$2)</t>
  </si>
  <si>
    <t>=NF($E577,O$2)</t>
  </si>
  <si>
    <t>=NF($E578,O$2)</t>
  </si>
  <si>
    <t>=NF($E579,O$2)</t>
  </si>
  <si>
    <t>=NF($E580,O$2)</t>
  </si>
  <si>
    <t>=NF($E581,O$2)</t>
  </si>
  <si>
    <t>=NF($E582,O$2)</t>
  </si>
  <si>
    <t>=NF($E583,O$2)</t>
  </si>
  <si>
    <t>=NF($E584,O$2)</t>
  </si>
  <si>
    <t>=NF($E585,O$2)</t>
  </si>
  <si>
    <t>=NF($E586,O$2)</t>
  </si>
  <si>
    <t>=NF($E587,O$2)</t>
  </si>
  <si>
    <t>=NF($E588,O$2)</t>
  </si>
  <si>
    <t>=NF($E589,O$2)</t>
  </si>
  <si>
    <t>=NF($E590,O$2)</t>
  </si>
  <si>
    <t>=NF($E591,O$2)</t>
  </si>
  <si>
    <t>=NF($E592,O$2)</t>
  </si>
  <si>
    <t>=NF($E593,O$2)</t>
  </si>
  <si>
    <t>=NF($E594,O$2)</t>
  </si>
  <si>
    <t>=NF($E595,O$2)</t>
  </si>
  <si>
    <t>=NF($E596,O$2)</t>
  </si>
  <si>
    <t>=NF($E597,O$2)</t>
  </si>
  <si>
    <t>=NF($E598,O$2)</t>
  </si>
  <si>
    <t>=NF($E599,O$2)</t>
  </si>
  <si>
    <t>=NF($E600,O$2)</t>
  </si>
  <si>
    <t>=NF($E601,O$2)</t>
  </si>
  <si>
    <t>=NF($E602,O$2)</t>
  </si>
  <si>
    <t>=NF($E603,O$2)</t>
  </si>
  <si>
    <t>=NF($E604,O$2)</t>
  </si>
  <si>
    <t>=NF($E605,O$2)</t>
  </si>
  <si>
    <t>=NF($E606,O$2)</t>
  </si>
  <si>
    <t>=NF($E607,O$2)</t>
  </si>
  <si>
    <t>=NF($E608,O$2)</t>
  </si>
  <si>
    <t>=NF($E609,O$2)</t>
  </si>
  <si>
    <t>=NF($E610,O$2)</t>
  </si>
  <si>
    <t>=NF($E611,O$2)</t>
  </si>
  <si>
    <t>=NF($E612,O$2)</t>
  </si>
  <si>
    <t>=NF($E613,O$2)</t>
  </si>
  <si>
    <t>=NF($E614,O$2)</t>
  </si>
  <si>
    <t>=NF($E615,O$2)</t>
  </si>
  <si>
    <t>=NF($E616,O$2)</t>
  </si>
  <si>
    <t>=NF($E617,O$2)</t>
  </si>
  <si>
    <t>=NF($E618,O$2)</t>
  </si>
  <si>
    <t>=NF($E619,O$2)</t>
  </si>
  <si>
    <t>=NF($E620,O$2)</t>
  </si>
  <si>
    <t>=NF($E621,O$2)</t>
  </si>
  <si>
    <t>=NF($E622,O$2)</t>
  </si>
  <si>
    <t>=NF($E623,O$2)</t>
  </si>
  <si>
    <t>=NF($E624,O$2)</t>
  </si>
  <si>
    <t>=NF($E625,O$2)</t>
  </si>
  <si>
    <t>=NF($E626,O$2)</t>
  </si>
  <si>
    <t>=NF($E627,O$2)</t>
  </si>
  <si>
    <t>=NF($E628,O$2)</t>
  </si>
  <si>
    <t>=NF($E462,L$2)</t>
  </si>
  <si>
    <t>=NF($E463,L$2)</t>
  </si>
  <si>
    <t>=NF($E464,L$2)</t>
  </si>
  <si>
    <t>=NF($E465,L$2)</t>
  </si>
  <si>
    <t>=NF($E466,L$2)</t>
  </si>
  <si>
    <t>=NF($E467,L$2)</t>
  </si>
  <si>
    <t>=NF($E468,L$2)</t>
  </si>
  <si>
    <t>=NF($E469,L$2)</t>
  </si>
  <si>
    <t>=NF($E470,L$2)</t>
  </si>
  <si>
    <t>=NF($E471,L$2)</t>
  </si>
  <si>
    <t>=NF($E472,L$2)</t>
  </si>
  <si>
    <t>=NF($E473,L$2)</t>
  </si>
  <si>
    <t>=NF($E474,L$2)</t>
  </si>
  <si>
    <t>=NF($E475,L$2)</t>
  </si>
  <si>
    <t>=NF($E476,L$2)</t>
  </si>
  <si>
    <t>=NF($E477,L$2)</t>
  </si>
  <si>
    <t>=NF($E478,L$2)</t>
  </si>
  <si>
    <t>=NF($E479,L$2)</t>
  </si>
  <si>
    <t>=NF($E480,L$2)</t>
  </si>
  <si>
    <t>=NF($E481,L$2)</t>
  </si>
  <si>
    <t>=NF($E482,L$2)</t>
  </si>
  <si>
    <t>=NF($E483,L$2)</t>
  </si>
  <si>
    <t>=NF($E484,L$2)</t>
  </si>
  <si>
    <t>=NF($E485,L$2)</t>
  </si>
  <si>
    <t>=NF($E486,L$2)</t>
  </si>
  <si>
    <t>=NF($E487,L$2)</t>
  </si>
  <si>
    <t>=NF($E488,L$2)</t>
  </si>
  <si>
    <t>=NF($E489,L$2)</t>
  </si>
  <si>
    <t>=NF($E490,L$2)</t>
  </si>
  <si>
    <t>=NF($E491,L$2)</t>
  </si>
  <si>
    <t>=NF($E492,L$2)</t>
  </si>
  <si>
    <t>=NF($E493,L$2)</t>
  </si>
  <si>
    <t>=NF($E494,L$2)</t>
  </si>
  <si>
    <t>=NF($E495,L$2)</t>
  </si>
  <si>
    <t>=NF($E496,L$2)</t>
  </si>
  <si>
    <t>=NF($E497,L$2)</t>
  </si>
  <si>
    <t>=NF($E498,L$2)</t>
  </si>
  <si>
    <t>=NF($E499,L$2)</t>
  </si>
  <si>
    <t>=NF($E500,L$2)</t>
  </si>
  <si>
    <t>=NF($E501,L$2)</t>
  </si>
  <si>
    <t>=NF($E502,L$2)</t>
  </si>
  <si>
    <t>=NF($E503,L$2)</t>
  </si>
  <si>
    <t>=NF($E504,L$2)</t>
  </si>
  <si>
    <t>=NF($E505,L$2)</t>
  </si>
  <si>
    <t>=NF($E506,L$2)</t>
  </si>
  <si>
    <t>=NF($E507,L$2)</t>
  </si>
  <si>
    <t>=NF($E508,L$2)</t>
  </si>
  <si>
    <t>=NF($E509,L$2)</t>
  </si>
  <si>
    <t>=NF($E510,L$2)</t>
  </si>
  <si>
    <t>=NF($E511,L$2)</t>
  </si>
  <si>
    <t>=NF($E512,L$2)</t>
  </si>
  <si>
    <t>=NF($E513,L$2)</t>
  </si>
  <si>
    <t>=NF($E514,L$2)</t>
  </si>
  <si>
    <t>=NF($E515,L$2)</t>
  </si>
  <si>
    <t>=NF($E516,L$2)</t>
  </si>
  <si>
    <t>=NF($E517,L$2)</t>
  </si>
  <si>
    <t>=NF($E518,L$2)</t>
  </si>
  <si>
    <t>=NF($E519,L$2)</t>
  </si>
  <si>
    <t>=NF($E520,L$2)</t>
  </si>
  <si>
    <t>=NF($E521,L$2)</t>
  </si>
  <si>
    <t>=NF($E522,L$2)</t>
  </si>
  <si>
    <t>=NF($E523,L$2)</t>
  </si>
  <si>
    <t>=NF($E524,L$2)</t>
  </si>
  <si>
    <t>=NF($E525,L$2)</t>
  </si>
  <si>
    <t>=NF($E526,L$2)</t>
  </si>
  <si>
    <t>=NF($E527,L$2)</t>
  </si>
  <si>
    <t>=NF($E528,L$2)</t>
  </si>
  <si>
    <t>=NF($E529,L$2)</t>
  </si>
  <si>
    <t>=NF($E530,L$2)</t>
  </si>
  <si>
    <t>=NF($E531,L$2)</t>
  </si>
  <si>
    <t>=NF($E532,L$2)</t>
  </si>
  <si>
    <t>=NF($E533,L$2)</t>
  </si>
  <si>
    <t>=NF($E534,L$2)</t>
  </si>
  <si>
    <t>=NF($E535,L$2)</t>
  </si>
  <si>
    <t>=NF($E536,L$2)</t>
  </si>
  <si>
    <t>=NF($E537,L$2)</t>
  </si>
  <si>
    <t>=NF($E538,L$2)</t>
  </si>
  <si>
    <t>=NF($E539,L$2)</t>
  </si>
  <si>
    <t>=NF($E540,L$2)</t>
  </si>
  <si>
    <t>=NF($E541,L$2)</t>
  </si>
  <si>
    <t>=NF($E542,L$2)</t>
  </si>
  <si>
    <t>=NF($E543,L$2)</t>
  </si>
  <si>
    <t>=NF($E544,L$2)</t>
  </si>
  <si>
    <t>=NF($E545,L$2)</t>
  </si>
  <si>
    <t>=NF($E546,L$2)</t>
  </si>
  <si>
    <t>=NF($E547,L$2)</t>
  </si>
  <si>
    <t>=NF($E548,L$2)</t>
  </si>
  <si>
    <t>=NF($E549,L$2)</t>
  </si>
  <si>
    <t>=NF($E550,L$2)</t>
  </si>
  <si>
    <t>=NF($E551,L$2)</t>
  </si>
  <si>
    <t>=NF($E552,L$2)</t>
  </si>
  <si>
    <t>=NF($E553,L$2)</t>
  </si>
  <si>
    <t>=NF($E554,L$2)</t>
  </si>
  <si>
    <t>=NF($E555,L$2)</t>
  </si>
  <si>
    <t>=NF($E556,L$2)</t>
  </si>
  <si>
    <t>=NF($E557,L$2)</t>
  </si>
  <si>
    <t>=NF($E558,L$2)</t>
  </si>
  <si>
    <t>=NF($E559,L$2)</t>
  </si>
  <si>
    <t>=NF($E560,L$2)</t>
  </si>
  <si>
    <t>=NF($E561,L$2)</t>
  </si>
  <si>
    <t>=NF($E562,L$2)</t>
  </si>
  <si>
    <t>=NF($E563,L$2)</t>
  </si>
  <si>
    <t>=NF($E564,L$2)</t>
  </si>
  <si>
    <t>=NF($E565,L$2)</t>
  </si>
  <si>
    <t>=NF($E566,L$2)</t>
  </si>
  <si>
    <t>=NF($E567,L$2)</t>
  </si>
  <si>
    <t>=NF($E568,L$2)</t>
  </si>
  <si>
    <t>=NF($E569,L$2)</t>
  </si>
  <si>
    <t>=NF($E570,L$2)</t>
  </si>
  <si>
    <t>=NF($E571,L$2)</t>
  </si>
  <si>
    <t>=NF($E572,L$2)</t>
  </si>
  <si>
    <t>=NF($E573,L$2)</t>
  </si>
  <si>
    <t>=NF($E574,L$2)</t>
  </si>
  <si>
    <t>=NF($E575,L$2)</t>
  </si>
  <si>
    <t>=NF($E576,L$2)</t>
  </si>
  <si>
    <t>=NF($E577,L$2)</t>
  </si>
  <si>
    <t>=NF($E578,L$2)</t>
  </si>
  <si>
    <t>=NF($E579,L$2)</t>
  </si>
  <si>
    <t>=NF($E580,L$2)</t>
  </si>
  <si>
    <t>=NF($E581,L$2)</t>
  </si>
  <si>
    <t>=NF($E582,L$2)</t>
  </si>
  <si>
    <t>=NF($E583,L$2)</t>
  </si>
  <si>
    <t>=NF($E584,L$2)</t>
  </si>
  <si>
    <t>=NF($E585,L$2)</t>
  </si>
  <si>
    <t>=NF($E586,L$2)</t>
  </si>
  <si>
    <t>=NF($E587,L$2)</t>
  </si>
  <si>
    <t>=NF($E588,L$2)</t>
  </si>
  <si>
    <t>=NF($E589,L$2)</t>
  </si>
  <si>
    <t>=NF($E590,L$2)</t>
  </si>
  <si>
    <t>=NF($E591,L$2)</t>
  </si>
  <si>
    <t>=NF($E592,L$2)</t>
  </si>
  <si>
    <t>=NF($E593,L$2)</t>
  </si>
  <si>
    <t>=NF($E594,L$2)</t>
  </si>
  <si>
    <t>=NF($E595,L$2)</t>
  </si>
  <si>
    <t>=NF($E596,L$2)</t>
  </si>
  <si>
    <t>=NF($E597,L$2)</t>
  </si>
  <si>
    <t>=NF($E598,L$2)</t>
  </si>
  <si>
    <t>=NF($E599,L$2)</t>
  </si>
  <si>
    <t>=NF($E600,L$2)</t>
  </si>
  <si>
    <t>=NF($E601,L$2)</t>
  </si>
  <si>
    <t>=NF($E602,L$2)</t>
  </si>
  <si>
    <t>=NF($E603,L$2)</t>
  </si>
  <si>
    <t>=NF($E604,L$2)</t>
  </si>
  <si>
    <t>=NF($E605,L$2)</t>
  </si>
  <si>
    <t>=NF($E606,L$2)</t>
  </si>
  <si>
    <t>=NF($E607,L$2)</t>
  </si>
  <si>
    <t>=NF($E608,L$2)</t>
  </si>
  <si>
    <t>=NF($E609,L$2)</t>
  </si>
  <si>
    <t>=NF($E610,L$2)</t>
  </si>
  <si>
    <t>=NF($E611,L$2)</t>
  </si>
  <si>
    <t>=NF($E612,L$2)</t>
  </si>
  <si>
    <t>=NF($E613,L$2)</t>
  </si>
  <si>
    <t>=NF($E614,L$2)</t>
  </si>
  <si>
    <t>=NF($E615,L$2)</t>
  </si>
  <si>
    <t>=NF($E616,L$2)</t>
  </si>
  <si>
    <t>=NF($E617,L$2)</t>
  </si>
  <si>
    <t>=NF($E618,L$2)</t>
  </si>
  <si>
    <t>=NF($E619,L$2)</t>
  </si>
  <si>
    <t>=NF($E620,L$2)</t>
  </si>
  <si>
    <t>=NF($E621,L$2)</t>
  </si>
  <si>
    <t>=NF($E622,L$2)</t>
  </si>
  <si>
    <t>=NF($E623,L$2)</t>
  </si>
  <si>
    <t>=NF($E624,L$2)</t>
  </si>
  <si>
    <t>=NF($E625,L$2)</t>
  </si>
  <si>
    <t>=NF($E626,L$2)</t>
  </si>
  <si>
    <t>=NF($E627,L$2)</t>
  </si>
  <si>
    <t>=NF($E628,L$2)</t>
  </si>
  <si>
    <t>=NF($E462,P$2)</t>
  </si>
  <si>
    <t>=NF($E463,P$2)</t>
  </si>
  <si>
    <t>=NF($E464,P$2)</t>
  </si>
  <si>
    <t>=NF($E465,P$2)</t>
  </si>
  <si>
    <t>=NF($E466,P$2)</t>
  </si>
  <si>
    <t>=NF($E467,P$2)</t>
  </si>
  <si>
    <t>=NF($E468,P$2)</t>
  </si>
  <si>
    <t>=NF($E469,P$2)</t>
  </si>
  <si>
    <t>=NF($E470,P$2)</t>
  </si>
  <si>
    <t>=NF($E471,P$2)</t>
  </si>
  <si>
    <t>=NF($E472,P$2)</t>
  </si>
  <si>
    <t>=NF($E473,P$2)</t>
  </si>
  <si>
    <t>=NF($E474,P$2)</t>
  </si>
  <si>
    <t>=NF($E475,P$2)</t>
  </si>
  <si>
    <t>=NF($E476,P$2)</t>
  </si>
  <si>
    <t>=NF($E477,P$2)</t>
  </si>
  <si>
    <t>=NF($E478,P$2)</t>
  </si>
  <si>
    <t>=NF($E479,P$2)</t>
  </si>
  <si>
    <t>=NF($E480,P$2)</t>
  </si>
  <si>
    <t>=NF($E481,P$2)</t>
  </si>
  <si>
    <t>=NF($E482,P$2)</t>
  </si>
  <si>
    <t>=NF($E483,P$2)</t>
  </si>
  <si>
    <t>=NF($E484,P$2)</t>
  </si>
  <si>
    <t>=NF($E485,P$2)</t>
  </si>
  <si>
    <t>=NF($E486,P$2)</t>
  </si>
  <si>
    <t>=NF($E487,P$2)</t>
  </si>
  <si>
    <t>=NF($E488,P$2)</t>
  </si>
  <si>
    <t>=NF($E489,P$2)</t>
  </si>
  <si>
    <t>=NF($E490,P$2)</t>
  </si>
  <si>
    <t>=NF($E491,P$2)</t>
  </si>
  <si>
    <t>=NF($E492,P$2)</t>
  </si>
  <si>
    <t>=NF($E493,P$2)</t>
  </si>
  <si>
    <t>=NF($E494,P$2)</t>
  </si>
  <si>
    <t>=NF($E495,P$2)</t>
  </si>
  <si>
    <t>=NF($E496,P$2)</t>
  </si>
  <si>
    <t>=NF($E497,P$2)</t>
  </si>
  <si>
    <t>=NF($E498,P$2)</t>
  </si>
  <si>
    <t>=NF($E499,P$2)</t>
  </si>
  <si>
    <t>=NF($E500,P$2)</t>
  </si>
  <si>
    <t>=NF($E501,P$2)</t>
  </si>
  <si>
    <t>=NF($E502,P$2)</t>
  </si>
  <si>
    <t>=NF($E503,P$2)</t>
  </si>
  <si>
    <t>=NF($E504,P$2)</t>
  </si>
  <si>
    <t>=NF($E505,P$2)</t>
  </si>
  <si>
    <t>=NF($E506,P$2)</t>
  </si>
  <si>
    <t>=NF($E507,P$2)</t>
  </si>
  <si>
    <t>=NF($E508,P$2)</t>
  </si>
  <si>
    <t>=NF($E509,P$2)</t>
  </si>
  <si>
    <t>=NF($E510,P$2)</t>
  </si>
  <si>
    <t>=NF($E511,P$2)</t>
  </si>
  <si>
    <t>=NF($E512,P$2)</t>
  </si>
  <si>
    <t>=NF($E513,P$2)</t>
  </si>
  <si>
    <t>=NF($E514,P$2)</t>
  </si>
  <si>
    <t>=NF($E515,P$2)</t>
  </si>
  <si>
    <t>=NF($E516,P$2)</t>
  </si>
  <si>
    <t>=NF($E517,P$2)</t>
  </si>
  <si>
    <t>=NF($E518,P$2)</t>
  </si>
  <si>
    <t>=NF($E519,P$2)</t>
  </si>
  <si>
    <t>=NF($E520,P$2)</t>
  </si>
  <si>
    <t>=NF($E521,P$2)</t>
  </si>
  <si>
    <t>=NF($E522,P$2)</t>
  </si>
  <si>
    <t>=NF($E523,P$2)</t>
  </si>
  <si>
    <t>=NF($E524,P$2)</t>
  </si>
  <si>
    <t>=NF($E525,P$2)</t>
  </si>
  <si>
    <t>=NF($E526,P$2)</t>
  </si>
  <si>
    <t>=NF($E527,P$2)</t>
  </si>
  <si>
    <t>=NF($E528,P$2)</t>
  </si>
  <si>
    <t>=NF($E529,P$2)</t>
  </si>
  <si>
    <t>=NF($E530,P$2)</t>
  </si>
  <si>
    <t>=NF($E531,P$2)</t>
  </si>
  <si>
    <t>=NF($E532,P$2)</t>
  </si>
  <si>
    <t>=NF($E533,P$2)</t>
  </si>
  <si>
    <t>=NF($E534,P$2)</t>
  </si>
  <si>
    <t>=NF($E535,P$2)</t>
  </si>
  <si>
    <t>=NF($E536,P$2)</t>
  </si>
  <si>
    <t>=NF($E537,P$2)</t>
  </si>
  <si>
    <t>=NF($E538,P$2)</t>
  </si>
  <si>
    <t>=NF($E539,P$2)</t>
  </si>
  <si>
    <t>=NF($E540,P$2)</t>
  </si>
  <si>
    <t>=NF($E541,P$2)</t>
  </si>
  <si>
    <t>=NF($E542,P$2)</t>
  </si>
  <si>
    <t>=NF($E543,P$2)</t>
  </si>
  <si>
    <t>=NF($E544,P$2)</t>
  </si>
  <si>
    <t>=NF($E545,P$2)</t>
  </si>
  <si>
    <t>=NF($E546,P$2)</t>
  </si>
  <si>
    <t>=NF($E547,P$2)</t>
  </si>
  <si>
    <t>=NF($E548,P$2)</t>
  </si>
  <si>
    <t>=NF($E549,P$2)</t>
  </si>
  <si>
    <t>=NF($E550,P$2)</t>
  </si>
  <si>
    <t>=NF($E551,P$2)</t>
  </si>
  <si>
    <t>=NF($E552,P$2)</t>
  </si>
  <si>
    <t>=NF($E553,P$2)</t>
  </si>
  <si>
    <t>=NF($E554,P$2)</t>
  </si>
  <si>
    <t>=NF($E555,P$2)</t>
  </si>
  <si>
    <t>=NF($E556,P$2)</t>
  </si>
  <si>
    <t>=NF($E557,P$2)</t>
  </si>
  <si>
    <t>=NF($E558,P$2)</t>
  </si>
  <si>
    <t>=NF($E559,P$2)</t>
  </si>
  <si>
    <t>=NF($E560,P$2)</t>
  </si>
  <si>
    <t>=NF($E561,P$2)</t>
  </si>
  <si>
    <t>=NF($E562,P$2)</t>
  </si>
  <si>
    <t>=NF($E563,P$2)</t>
  </si>
  <si>
    <t>=NF($E564,P$2)</t>
  </si>
  <si>
    <t>=NF($E565,P$2)</t>
  </si>
  <si>
    <t>=NF($E566,P$2)</t>
  </si>
  <si>
    <t>=NF($E567,P$2)</t>
  </si>
  <si>
    <t>=NF($E568,P$2)</t>
  </si>
  <si>
    <t>=NF($E569,P$2)</t>
  </si>
  <si>
    <t>=NF($E570,P$2)</t>
  </si>
  <si>
    <t>=NF($E571,P$2)</t>
  </si>
  <si>
    <t>=NF($E572,P$2)</t>
  </si>
  <si>
    <t>=NF($E573,P$2)</t>
  </si>
  <si>
    <t>=NF($E574,P$2)</t>
  </si>
  <si>
    <t>=NF($E575,P$2)</t>
  </si>
  <si>
    <t>=NF($E576,P$2)</t>
  </si>
  <si>
    <t>=NF($E577,P$2)</t>
  </si>
  <si>
    <t>=NF($E578,P$2)</t>
  </si>
  <si>
    <t>=NF($E579,P$2)</t>
  </si>
  <si>
    <t>=NF($E580,P$2)</t>
  </si>
  <si>
    <t>=NF($E581,P$2)</t>
  </si>
  <si>
    <t>=NF($E582,P$2)</t>
  </si>
  <si>
    <t>=NF($E583,P$2)</t>
  </si>
  <si>
    <t>=NF($E584,P$2)</t>
  </si>
  <si>
    <t>=NF($E585,P$2)</t>
  </si>
  <si>
    <t>=NF($E586,P$2)</t>
  </si>
  <si>
    <t>=NF($E587,P$2)</t>
  </si>
  <si>
    <t>=NF($E588,P$2)</t>
  </si>
  <si>
    <t>=NF($E589,P$2)</t>
  </si>
  <si>
    <t>=NF($E590,P$2)</t>
  </si>
  <si>
    <t>=NF($E591,P$2)</t>
  </si>
  <si>
    <t>=NF($E592,P$2)</t>
  </si>
  <si>
    <t>=NF($E593,P$2)</t>
  </si>
  <si>
    <t>=NF($E594,P$2)</t>
  </si>
  <si>
    <t>=NF($E595,P$2)</t>
  </si>
  <si>
    <t>=NF($E596,P$2)</t>
  </si>
  <si>
    <t>=NF($E597,P$2)</t>
  </si>
  <si>
    <t>=NF($E598,P$2)</t>
  </si>
  <si>
    <t>=NF($E599,P$2)</t>
  </si>
  <si>
    <t>=NF($E600,P$2)</t>
  </si>
  <si>
    <t>=NF($E601,P$2)</t>
  </si>
  <si>
    <t>=NF($E602,P$2)</t>
  </si>
  <si>
    <t>=NF($E603,P$2)</t>
  </si>
  <si>
    <t>=NF($E604,P$2)</t>
  </si>
  <si>
    <t>=NF($E605,P$2)</t>
  </si>
  <si>
    <t>=NF($E606,P$2)</t>
  </si>
  <si>
    <t>=NF($E607,P$2)</t>
  </si>
  <si>
    <t>=NF($E608,P$2)</t>
  </si>
  <si>
    <t>=NF($E609,P$2)</t>
  </si>
  <si>
    <t>=NF($E610,P$2)</t>
  </si>
  <si>
    <t>=NF($E611,P$2)</t>
  </si>
  <si>
    <t>=NF($E612,P$2)</t>
  </si>
  <si>
    <t>=NF($E613,P$2)</t>
  </si>
  <si>
    <t>=NF($E614,P$2)</t>
  </si>
  <si>
    <t>=NF($E615,P$2)</t>
  </si>
  <si>
    <t>=NF($E616,P$2)</t>
  </si>
  <si>
    <t>=NF($E617,P$2)</t>
  </si>
  <si>
    <t>=NF($E618,P$2)</t>
  </si>
  <si>
    <t>=NF($E619,P$2)</t>
  </si>
  <si>
    <t>=NF($E620,P$2)</t>
  </si>
  <si>
    <t>=NF($E621,P$2)</t>
  </si>
  <si>
    <t>=NF($E622,P$2)</t>
  </si>
  <si>
    <t>=NF($E623,P$2)</t>
  </si>
  <si>
    <t>=NF($E624,P$2)</t>
  </si>
  <si>
    <t>=NF($E625,P$2)</t>
  </si>
  <si>
    <t>=NF($E626,P$2)</t>
  </si>
  <si>
    <t>=NF($E627,P$2)</t>
  </si>
  <si>
    <t>=NF($E628,P$2)</t>
  </si>
  <si>
    <t>=NF($E721,K$2)</t>
  </si>
  <si>
    <t>=NF($E722,K$2)</t>
  </si>
  <si>
    <t>=NF($E723,K$2)</t>
  </si>
  <si>
    <t>=NF($E724,K$2)</t>
  </si>
  <si>
    <t>=NF($E725,K$2)</t>
  </si>
  <si>
    <t>=NF($E726,K$2)</t>
  </si>
  <si>
    <t>=NF($E721,M$2)</t>
  </si>
  <si>
    <t>=NF($E722,M$2)</t>
  </si>
  <si>
    <t>=NF($E723,M$2)</t>
  </si>
  <si>
    <t>=NF($E724,M$2)</t>
  </si>
  <si>
    <t>=NF($E725,M$2)</t>
  </si>
  <si>
    <t>=NF($E726,M$2)</t>
  </si>
  <si>
    <t>=NF($E721,O$2)</t>
  </si>
  <si>
    <t>=NF($E722,O$2)</t>
  </si>
  <si>
    <t>=NF($E723,O$2)</t>
  </si>
  <si>
    <t>=NF($E724,O$2)</t>
  </si>
  <si>
    <t>=NF($E725,O$2)</t>
  </si>
  <si>
    <t>=NF($E726,O$2)</t>
  </si>
  <si>
    <t>=NF($E721,L$2)</t>
  </si>
  <si>
    <t>=NF($E722,L$2)</t>
  </si>
  <si>
    <t>=NF($E723,L$2)</t>
  </si>
  <si>
    <t>=NF($E724,L$2)</t>
  </si>
  <si>
    <t>=NF($E725,L$2)</t>
  </si>
  <si>
    <t>=NF($E726,L$2)</t>
  </si>
  <si>
    <t>=NF($E721,P$2)</t>
  </si>
  <si>
    <t>=NF($E722,P$2)</t>
  </si>
  <si>
    <t>=NF($E723,P$2)</t>
  </si>
  <si>
    <t>=NF($E724,P$2)</t>
  </si>
  <si>
    <t>=NF($E725,P$2)</t>
  </si>
  <si>
    <t>=NF($E726,P$2)</t>
  </si>
  <si>
    <t>=NF($E695,K$2)</t>
  </si>
  <si>
    <t>=NF($E696,K$2)</t>
  </si>
  <si>
    <t>=NF($E697,K$2)</t>
  </si>
  <si>
    <t>=NF($E698,K$2)</t>
  </si>
  <si>
    <t>=NF($E699,K$2)</t>
  </si>
  <si>
    <t>=NF($E700,K$2)</t>
  </si>
  <si>
    <t>=NF($E701,K$2)</t>
  </si>
  <si>
    <t>=NF($E702,K$2)</t>
  </si>
  <si>
    <t>=NF($E703,K$2)</t>
  </si>
  <si>
    <t>=NF($E704,K$2)</t>
  </si>
  <si>
    <t>=NF($E705,K$2)</t>
  </si>
  <si>
    <t>=NF($E706,K$2)</t>
  </si>
  <si>
    <t>=NF($E707,K$2)</t>
  </si>
  <si>
    <t>=NF($E708,K$2)</t>
  </si>
  <si>
    <t>=NF($E709,K$2)</t>
  </si>
  <si>
    <t>=NF($E710,K$2)</t>
  </si>
  <si>
    <t>=NF($E711,K$2)</t>
  </si>
  <si>
    <t>=NF($E712,K$2)</t>
  </si>
  <si>
    <t>=NF($E713,K$2)</t>
  </si>
  <si>
    <t>=NF($E714,K$2)</t>
  </si>
  <si>
    <t>=NF($E715,K$2)</t>
  </si>
  <si>
    <t>=NF($E716,K$2)</t>
  </si>
  <si>
    <t>=NF($E717,K$2)</t>
  </si>
  <si>
    <t>=NF($E718,K$2)</t>
  </si>
  <si>
    <t>=NF($E695,M$2)</t>
  </si>
  <si>
    <t>=NF($E696,M$2)</t>
  </si>
  <si>
    <t>=NF($E697,M$2)</t>
  </si>
  <si>
    <t>=NF($E698,M$2)</t>
  </si>
  <si>
    <t>=NF($E699,M$2)</t>
  </si>
  <si>
    <t>=NF($E700,M$2)</t>
  </si>
  <si>
    <t>=NF($E701,M$2)</t>
  </si>
  <si>
    <t>=NF($E702,M$2)</t>
  </si>
  <si>
    <t>=NF($E703,M$2)</t>
  </si>
  <si>
    <t>=NF($E704,M$2)</t>
  </si>
  <si>
    <t>=NF($E705,M$2)</t>
  </si>
  <si>
    <t>=NF($E706,M$2)</t>
  </si>
  <si>
    <t>=NF($E707,M$2)</t>
  </si>
  <si>
    <t>=NF($E708,M$2)</t>
  </si>
  <si>
    <t>=NF($E709,M$2)</t>
  </si>
  <si>
    <t>=NF($E710,M$2)</t>
  </si>
  <si>
    <t>=NF($E711,M$2)</t>
  </si>
  <si>
    <t>=NF($E712,M$2)</t>
  </si>
  <si>
    <t>=NF($E713,M$2)</t>
  </si>
  <si>
    <t>=NF($E714,M$2)</t>
  </si>
  <si>
    <t>=NF($E715,M$2)</t>
  </si>
  <si>
    <t>=NF($E716,M$2)</t>
  </si>
  <si>
    <t>=NF($E717,M$2)</t>
  </si>
  <si>
    <t>=NF($E718,M$2)</t>
  </si>
  <si>
    <t>=NF($E695,O$2)</t>
  </si>
  <si>
    <t>=NF($E696,O$2)</t>
  </si>
  <si>
    <t>=NF($E697,O$2)</t>
  </si>
  <si>
    <t>=NF($E698,O$2)</t>
  </si>
  <si>
    <t>=NF($E699,O$2)</t>
  </si>
  <si>
    <t>=NF($E700,O$2)</t>
  </si>
  <si>
    <t>=NF($E701,O$2)</t>
  </si>
  <si>
    <t>=NF($E702,O$2)</t>
  </si>
  <si>
    <t>=NF($E703,O$2)</t>
  </si>
  <si>
    <t>=NF($E704,O$2)</t>
  </si>
  <si>
    <t>=NF($E705,O$2)</t>
  </si>
  <si>
    <t>=NF($E706,O$2)</t>
  </si>
  <si>
    <t>=NF($E707,O$2)</t>
  </si>
  <si>
    <t>=NF($E708,O$2)</t>
  </si>
  <si>
    <t>=NF($E709,O$2)</t>
  </si>
  <si>
    <t>=NF($E710,O$2)</t>
  </si>
  <si>
    <t>=NF($E711,O$2)</t>
  </si>
  <si>
    <t>=NF($E712,O$2)</t>
  </si>
  <si>
    <t>=NF($E713,O$2)</t>
  </si>
  <si>
    <t>=NF($E714,O$2)</t>
  </si>
  <si>
    <t>=NF($E715,O$2)</t>
  </si>
  <si>
    <t>=NF($E716,O$2)</t>
  </si>
  <si>
    <t>=NF($E717,O$2)</t>
  </si>
  <si>
    <t>=NF($E718,O$2)</t>
  </si>
  <si>
    <t>=NF($E695,L$2)</t>
  </si>
  <si>
    <t>=NF($E696,L$2)</t>
  </si>
  <si>
    <t>=NF($E697,L$2)</t>
  </si>
  <si>
    <t>=NF($E698,L$2)</t>
  </si>
  <si>
    <t>=NF($E699,L$2)</t>
  </si>
  <si>
    <t>=NF($E700,L$2)</t>
  </si>
  <si>
    <t>=NF($E701,L$2)</t>
  </si>
  <si>
    <t>=NF($E702,L$2)</t>
  </si>
  <si>
    <t>=NF($E703,L$2)</t>
  </si>
  <si>
    <t>=NF($E704,L$2)</t>
  </si>
  <si>
    <t>=NF($E705,L$2)</t>
  </si>
  <si>
    <t>=NF($E706,L$2)</t>
  </si>
  <si>
    <t>=NF($E707,L$2)</t>
  </si>
  <si>
    <t>=NF($E708,L$2)</t>
  </si>
  <si>
    <t>=NF($E709,L$2)</t>
  </si>
  <si>
    <t>=NF($E710,L$2)</t>
  </si>
  <si>
    <t>=NF($E711,L$2)</t>
  </si>
  <si>
    <t>=NF($E712,L$2)</t>
  </si>
  <si>
    <t>=NF($E713,L$2)</t>
  </si>
  <si>
    <t>=NF($E714,L$2)</t>
  </si>
  <si>
    <t>=NF($E715,L$2)</t>
  </si>
  <si>
    <t>=NF($E716,L$2)</t>
  </si>
  <si>
    <t>=NF($E717,L$2)</t>
  </si>
  <si>
    <t>=NF($E718,L$2)</t>
  </si>
  <si>
    <t>=NF($E695,P$2)</t>
  </si>
  <si>
    <t>=NF($E696,P$2)</t>
  </si>
  <si>
    <t>=NF($E697,P$2)</t>
  </si>
  <si>
    <t>=NF($E698,P$2)</t>
  </si>
  <si>
    <t>=NF($E699,P$2)</t>
  </si>
  <si>
    <t>=NF($E700,P$2)</t>
  </si>
  <si>
    <t>=NF($E701,P$2)</t>
  </si>
  <si>
    <t>=NF($E702,P$2)</t>
  </si>
  <si>
    <t>=NF($E703,P$2)</t>
  </si>
  <si>
    <t>=NF($E704,P$2)</t>
  </si>
  <si>
    <t>=NF($E705,P$2)</t>
  </si>
  <si>
    <t>=NF($E706,P$2)</t>
  </si>
  <si>
    <t>=NF($E707,P$2)</t>
  </si>
  <si>
    <t>=NF($E708,P$2)</t>
  </si>
  <si>
    <t>=NF($E709,P$2)</t>
  </si>
  <si>
    <t>=NF($E710,P$2)</t>
  </si>
  <si>
    <t>=NF($E711,P$2)</t>
  </si>
  <si>
    <t>=NF($E712,P$2)</t>
  </si>
  <si>
    <t>=NF($E713,P$2)</t>
  </si>
  <si>
    <t>=NF($E714,P$2)</t>
  </si>
  <si>
    <t>=NF($E715,P$2)</t>
  </si>
  <si>
    <t>=NF($E716,P$2)</t>
  </si>
  <si>
    <t>=NF($E717,P$2)</t>
  </si>
  <si>
    <t>=NF($E718,P$2)</t>
  </si>
  <si>
    <t>=NF($E631,K$2)</t>
  </si>
  <si>
    <t>=NF($E632,K$2)</t>
  </si>
  <si>
    <t>=NF($E633,K$2)</t>
  </si>
  <si>
    <t>=NF($E634,K$2)</t>
  </si>
  <si>
    <t>=NF($E635,K$2)</t>
  </si>
  <si>
    <t>=NF($E636,K$2)</t>
  </si>
  <si>
    <t>=NF($E637,K$2)</t>
  </si>
  <si>
    <t>=NF($E638,K$2)</t>
  </si>
  <si>
    <t>=NF($E639,K$2)</t>
  </si>
  <si>
    <t>=NF($E640,K$2)</t>
  </si>
  <si>
    <t>=NF($E641,K$2)</t>
  </si>
  <si>
    <t>=NF($E642,K$2)</t>
  </si>
  <si>
    <t>=NF($E643,K$2)</t>
  </si>
  <si>
    <t>=NF($E644,K$2)</t>
  </si>
  <si>
    <t>=NF($E645,K$2)</t>
  </si>
  <si>
    <t>=NF($E646,K$2)</t>
  </si>
  <si>
    <t>=NF($E647,K$2)</t>
  </si>
  <si>
    <t>=NF($E648,K$2)</t>
  </si>
  <si>
    <t>=NF($E649,K$2)</t>
  </si>
  <si>
    <t>=NF($E650,K$2)</t>
  </si>
  <si>
    <t>=NF($E651,K$2)</t>
  </si>
  <si>
    <t>=NF($E652,K$2)</t>
  </si>
  <si>
    <t>=NF($E631,M$2)</t>
  </si>
  <si>
    <t>=NF($E632,M$2)</t>
  </si>
  <si>
    <t>=NF($E633,M$2)</t>
  </si>
  <si>
    <t>=NF($E634,M$2)</t>
  </si>
  <si>
    <t>=NF($E635,M$2)</t>
  </si>
  <si>
    <t>=NF($E636,M$2)</t>
  </si>
  <si>
    <t>=NF($E637,M$2)</t>
  </si>
  <si>
    <t>=NF($E638,M$2)</t>
  </si>
  <si>
    <t>=NF($E639,M$2)</t>
  </si>
  <si>
    <t>=NF($E640,M$2)</t>
  </si>
  <si>
    <t>=NF($E641,M$2)</t>
  </si>
  <si>
    <t>=NF($E642,M$2)</t>
  </si>
  <si>
    <t>=NF($E643,M$2)</t>
  </si>
  <si>
    <t>=NF($E644,M$2)</t>
  </si>
  <si>
    <t>=NF($E645,M$2)</t>
  </si>
  <si>
    <t>=NF($E646,M$2)</t>
  </si>
  <si>
    <t>=NF($E647,M$2)</t>
  </si>
  <si>
    <t>=NF($E648,M$2)</t>
  </si>
  <si>
    <t>=NF($E649,M$2)</t>
  </si>
  <si>
    <t>=NF($E650,M$2)</t>
  </si>
  <si>
    <t>=NF($E651,M$2)</t>
  </si>
  <si>
    <t>=NF($E652,M$2)</t>
  </si>
  <si>
    <t>=NF($E631,O$2)</t>
  </si>
  <si>
    <t>=NF($E632,O$2)</t>
  </si>
  <si>
    <t>=NF($E633,O$2)</t>
  </si>
  <si>
    <t>=NF($E634,O$2)</t>
  </si>
  <si>
    <t>=NF($E635,O$2)</t>
  </si>
  <si>
    <t>=NF($E636,O$2)</t>
  </si>
  <si>
    <t>=NF($E637,O$2)</t>
  </si>
  <si>
    <t>=NF($E638,O$2)</t>
  </si>
  <si>
    <t>=NF($E639,O$2)</t>
  </si>
  <si>
    <t>=NF($E640,O$2)</t>
  </si>
  <si>
    <t>=NF($E641,O$2)</t>
  </si>
  <si>
    <t>=NF($E642,O$2)</t>
  </si>
  <si>
    <t>=NF($E643,O$2)</t>
  </si>
  <si>
    <t>=NF($E644,O$2)</t>
  </si>
  <si>
    <t>=NF($E645,O$2)</t>
  </si>
  <si>
    <t>=NF($E646,O$2)</t>
  </si>
  <si>
    <t>=NF($E647,O$2)</t>
  </si>
  <si>
    <t>=NF($E648,O$2)</t>
  </si>
  <si>
    <t>=NF($E649,O$2)</t>
  </si>
  <si>
    <t>=NF($E650,O$2)</t>
  </si>
  <si>
    <t>=NF($E651,O$2)</t>
  </si>
  <si>
    <t>=NF($E652,O$2)</t>
  </si>
  <si>
    <t>=NF($E631,L$2)</t>
  </si>
  <si>
    <t>=NF($E632,L$2)</t>
  </si>
  <si>
    <t>=NF($E633,L$2)</t>
  </si>
  <si>
    <t>=NF($E634,L$2)</t>
  </si>
  <si>
    <t>=NF($E635,L$2)</t>
  </si>
  <si>
    <t>=NF($E636,L$2)</t>
  </si>
  <si>
    <t>=NF($E637,L$2)</t>
  </si>
  <si>
    <t>=NF($E638,L$2)</t>
  </si>
  <si>
    <t>=NF($E639,L$2)</t>
  </si>
  <si>
    <t>=NF($E640,L$2)</t>
  </si>
  <si>
    <t>=NF($E641,L$2)</t>
  </si>
  <si>
    <t>=NF($E642,L$2)</t>
  </si>
  <si>
    <t>=NF($E643,L$2)</t>
  </si>
  <si>
    <t>=NF($E644,L$2)</t>
  </si>
  <si>
    <t>=NF($E645,L$2)</t>
  </si>
  <si>
    <t>=NF($E646,L$2)</t>
  </si>
  <si>
    <t>=NF($E647,L$2)</t>
  </si>
  <si>
    <t>=NF($E648,L$2)</t>
  </si>
  <si>
    <t>=NF($E649,L$2)</t>
  </si>
  <si>
    <t>=NF($E650,L$2)</t>
  </si>
  <si>
    <t>=NF($E651,L$2)</t>
  </si>
  <si>
    <t>=NF($E652,L$2)</t>
  </si>
  <si>
    <t>=NF($E631,P$2)</t>
  </si>
  <si>
    <t>=NF($E632,P$2)</t>
  </si>
  <si>
    <t>=NF($E633,P$2)</t>
  </si>
  <si>
    <t>=NF($E634,P$2)</t>
  </si>
  <si>
    <t>=NF($E635,P$2)</t>
  </si>
  <si>
    <t>=NF($E636,P$2)</t>
  </si>
  <si>
    <t>=NF($E637,P$2)</t>
  </si>
  <si>
    <t>=NF($E638,P$2)</t>
  </si>
  <si>
    <t>=NF($E639,P$2)</t>
  </si>
  <si>
    <t>=NF($E640,P$2)</t>
  </si>
  <si>
    <t>=NF($E641,P$2)</t>
  </si>
  <si>
    <t>=NF($E642,P$2)</t>
  </si>
  <si>
    <t>=NF($E643,P$2)</t>
  </si>
  <si>
    <t>=NF($E644,P$2)</t>
  </si>
  <si>
    <t>=NF($E645,P$2)</t>
  </si>
  <si>
    <t>=NF($E646,P$2)</t>
  </si>
  <si>
    <t>=NF($E647,P$2)</t>
  </si>
  <si>
    <t>=NF($E648,P$2)</t>
  </si>
  <si>
    <t>=NF($E649,P$2)</t>
  </si>
  <si>
    <t>=NF($E650,P$2)</t>
  </si>
  <si>
    <t>=NF($E651,P$2)</t>
  </si>
  <si>
    <t>=NF($E652,P$2)</t>
  </si>
  <si>
    <t>=NF($E376,K$2)</t>
  </si>
  <si>
    <t>=NF($E377,K$2)</t>
  </si>
  <si>
    <t>=NF($E378,K$2)</t>
  </si>
  <si>
    <t>=NF($E379,K$2)</t>
  </si>
  <si>
    <t>=NF($E380,K$2)</t>
  </si>
  <si>
    <t>=NF($E381,K$2)</t>
  </si>
  <si>
    <t>=NF($E376,M$2)</t>
  </si>
  <si>
    <t>=NF($E377,M$2)</t>
  </si>
  <si>
    <t>=NF($E378,M$2)</t>
  </si>
  <si>
    <t>=NF($E379,M$2)</t>
  </si>
  <si>
    <t>=NF($E380,M$2)</t>
  </si>
  <si>
    <t>=NF($E381,M$2)</t>
  </si>
  <si>
    <t>=NF($E376,O$2)</t>
  </si>
  <si>
    <t>=NF($E377,O$2)</t>
  </si>
  <si>
    <t>=NF($E378,O$2)</t>
  </si>
  <si>
    <t>=NF($E379,O$2)</t>
  </si>
  <si>
    <t>=NF($E380,O$2)</t>
  </si>
  <si>
    <t>=NF($E381,O$2)</t>
  </si>
  <si>
    <t>=NF($E376,L$2)</t>
  </si>
  <si>
    <t>=NF($E377,L$2)</t>
  </si>
  <si>
    <t>=NF($E378,L$2)</t>
  </si>
  <si>
    <t>=NF($E379,L$2)</t>
  </si>
  <si>
    <t>=NF($E380,L$2)</t>
  </si>
  <si>
    <t>=NF($E381,L$2)</t>
  </si>
  <si>
    <t>=NF($E376,P$2)</t>
  </si>
  <si>
    <t>=NF($E377,P$2)</t>
  </si>
  <si>
    <t>=NF($E378,P$2)</t>
  </si>
  <si>
    <t>=NF($E379,P$2)</t>
  </si>
  <si>
    <t>=NF($E380,P$2)</t>
  </si>
  <si>
    <t>=NF($E381,P$2)</t>
  </si>
  <si>
    <t>=NF($E416,K$2)</t>
  </si>
  <si>
    <t>=NF($E417,K$2)</t>
  </si>
  <si>
    <t>=NF($E418,K$2)</t>
  </si>
  <si>
    <t>=NF($E419,K$2)</t>
  </si>
  <si>
    <t>=NF($E420,K$2)</t>
  </si>
  <si>
    <t>=NF($E421,K$2)</t>
  </si>
  <si>
    <t>=NF($E422,K$2)</t>
  </si>
  <si>
    <t>=NF($E423,K$2)</t>
  </si>
  <si>
    <t>=NF($E424,K$2)</t>
  </si>
  <si>
    <t>=NF($E425,K$2)</t>
  </si>
  <si>
    <t>=NF($E426,K$2)</t>
  </si>
  <si>
    <t>=NF($E427,K$2)</t>
  </si>
  <si>
    <t>=NF($E428,K$2)</t>
  </si>
  <si>
    <t>=NF($E429,K$2)</t>
  </si>
  <si>
    <t>=NF($E430,K$2)</t>
  </si>
  <si>
    <t>=NF($E431,K$2)</t>
  </si>
  <si>
    <t>=NF($E432,K$2)</t>
  </si>
  <si>
    <t>=NF($E433,K$2)</t>
  </si>
  <si>
    <t>=NF($E434,K$2)</t>
  </si>
  <si>
    <t>=NF($E435,K$2)</t>
  </si>
  <si>
    <t>=NF($E436,K$2)</t>
  </si>
  <si>
    <t>=NF($E437,K$2)</t>
  </si>
  <si>
    <t>=NF($E438,K$2)</t>
  </si>
  <si>
    <t>=NF($E439,K$2)</t>
  </si>
  <si>
    <t>=NF($E440,K$2)</t>
  </si>
  <si>
    <t>=NF($E441,K$2)</t>
  </si>
  <si>
    <t>=NF($E442,K$2)</t>
  </si>
  <si>
    <t>=NF($E443,K$2)</t>
  </si>
  <si>
    <t>=NF($E444,K$2)</t>
  </si>
  <si>
    <t>=NF($E445,K$2)</t>
  </si>
  <si>
    <t>=NF($E446,K$2)</t>
  </si>
  <si>
    <t>=NF($E447,K$2)</t>
  </si>
  <si>
    <t>=NF($E448,K$2)</t>
  </si>
  <si>
    <t>=NF($E449,K$2)</t>
  </si>
  <si>
    <t>=NF($E450,K$2)</t>
  </si>
  <si>
    <t>=NF($E451,K$2)</t>
  </si>
  <si>
    <t>=NF($E452,K$2)</t>
  </si>
  <si>
    <t>=NF($E416,M$2)</t>
  </si>
  <si>
    <t>=NF($E417,M$2)</t>
  </si>
  <si>
    <t>=NF($E418,M$2)</t>
  </si>
  <si>
    <t>=NF($E419,M$2)</t>
  </si>
  <si>
    <t>=NF($E420,M$2)</t>
  </si>
  <si>
    <t>=NF($E421,M$2)</t>
  </si>
  <si>
    <t>=NF($E422,M$2)</t>
  </si>
  <si>
    <t>=NF($E423,M$2)</t>
  </si>
  <si>
    <t>=NF($E424,M$2)</t>
  </si>
  <si>
    <t>=NF($E425,M$2)</t>
  </si>
  <si>
    <t>=NF($E426,M$2)</t>
  </si>
  <si>
    <t>=NF($E427,M$2)</t>
  </si>
  <si>
    <t>=NF($E428,M$2)</t>
  </si>
  <si>
    <t>=NF($E429,M$2)</t>
  </si>
  <si>
    <t>=NF($E430,M$2)</t>
  </si>
  <si>
    <t>=NF($E431,M$2)</t>
  </si>
  <si>
    <t>=NF($E432,M$2)</t>
  </si>
  <si>
    <t>=NF($E433,M$2)</t>
  </si>
  <si>
    <t>=NF($E434,M$2)</t>
  </si>
  <si>
    <t>=NF($E435,M$2)</t>
  </si>
  <si>
    <t>=NF($E436,M$2)</t>
  </si>
  <si>
    <t>=NF($E437,M$2)</t>
  </si>
  <si>
    <t>=NF($E438,M$2)</t>
  </si>
  <si>
    <t>=NF($E439,M$2)</t>
  </si>
  <si>
    <t>=NF($E440,M$2)</t>
  </si>
  <si>
    <t>=NF($E441,M$2)</t>
  </si>
  <si>
    <t>=NF($E442,M$2)</t>
  </si>
  <si>
    <t>=NF($E443,M$2)</t>
  </si>
  <si>
    <t>=NF($E444,M$2)</t>
  </si>
  <si>
    <t>=NF($E445,M$2)</t>
  </si>
  <si>
    <t>=NF($E446,M$2)</t>
  </si>
  <si>
    <t>=NF($E447,M$2)</t>
  </si>
  <si>
    <t>=NF($E448,M$2)</t>
  </si>
  <si>
    <t>=NF($E449,M$2)</t>
  </si>
  <si>
    <t>=NF($E450,M$2)</t>
  </si>
  <si>
    <t>=NF($E451,M$2)</t>
  </si>
  <si>
    <t>=NF($E452,M$2)</t>
  </si>
  <si>
    <t>=NF($E416,O$2)</t>
  </si>
  <si>
    <t>=NF($E417,O$2)</t>
  </si>
  <si>
    <t>=NF($E418,O$2)</t>
  </si>
  <si>
    <t>=NF($E419,O$2)</t>
  </si>
  <si>
    <t>=NF($E420,O$2)</t>
  </si>
  <si>
    <t>=NF($E421,O$2)</t>
  </si>
  <si>
    <t>=NF($E422,O$2)</t>
  </si>
  <si>
    <t>=NF($E423,O$2)</t>
  </si>
  <si>
    <t>=NF($E424,O$2)</t>
  </si>
  <si>
    <t>=NF($E425,O$2)</t>
  </si>
  <si>
    <t>=NF($E426,O$2)</t>
  </si>
  <si>
    <t>=NF($E427,O$2)</t>
  </si>
  <si>
    <t>=NF($E428,O$2)</t>
  </si>
  <si>
    <t>=NF($E429,O$2)</t>
  </si>
  <si>
    <t>=NF($E430,O$2)</t>
  </si>
  <si>
    <t>=NF($E431,O$2)</t>
  </si>
  <si>
    <t>=NF($E432,O$2)</t>
  </si>
  <si>
    <t>=NF($E433,O$2)</t>
  </si>
  <si>
    <t>=NF($E434,O$2)</t>
  </si>
  <si>
    <t>=NF($E435,O$2)</t>
  </si>
  <si>
    <t>=NF($E436,O$2)</t>
  </si>
  <si>
    <t>=NF($E437,O$2)</t>
  </si>
  <si>
    <t>=NF($E438,O$2)</t>
  </si>
  <si>
    <t>=NF($E439,O$2)</t>
  </si>
  <si>
    <t>=NF($E440,O$2)</t>
  </si>
  <si>
    <t>=NF($E441,O$2)</t>
  </si>
  <si>
    <t>=NF($E442,O$2)</t>
  </si>
  <si>
    <t>=NF($E443,O$2)</t>
  </si>
  <si>
    <t>=NF($E444,O$2)</t>
  </si>
  <si>
    <t>=NF($E445,O$2)</t>
  </si>
  <si>
    <t>=NF($E446,O$2)</t>
  </si>
  <si>
    <t>=NF($E447,O$2)</t>
  </si>
  <si>
    <t>=NF($E448,O$2)</t>
  </si>
  <si>
    <t>=NF($E449,O$2)</t>
  </si>
  <si>
    <t>=NF($E450,O$2)</t>
  </si>
  <si>
    <t>=NF($E451,O$2)</t>
  </si>
  <si>
    <t>=NF($E452,O$2)</t>
  </si>
  <si>
    <t>=NF($E416,L$2)</t>
  </si>
  <si>
    <t>=NF($E417,L$2)</t>
  </si>
  <si>
    <t>=NF($E418,L$2)</t>
  </si>
  <si>
    <t>=NF($E419,L$2)</t>
  </si>
  <si>
    <t>=NF($E420,L$2)</t>
  </si>
  <si>
    <t>=NF($E421,L$2)</t>
  </si>
  <si>
    <t>=NF($E422,L$2)</t>
  </si>
  <si>
    <t>=NF($E423,L$2)</t>
  </si>
  <si>
    <t>=NF($E424,L$2)</t>
  </si>
  <si>
    <t>=NF($E425,L$2)</t>
  </si>
  <si>
    <t>=NF($E426,L$2)</t>
  </si>
  <si>
    <t>=NF($E427,L$2)</t>
  </si>
  <si>
    <t>=NF($E428,L$2)</t>
  </si>
  <si>
    <t>=NF($E429,L$2)</t>
  </si>
  <si>
    <t>=NF($E430,L$2)</t>
  </si>
  <si>
    <t>=NF($E431,L$2)</t>
  </si>
  <si>
    <t>=NF($E432,L$2)</t>
  </si>
  <si>
    <t>=NF($E433,L$2)</t>
  </si>
  <si>
    <t>=NF($E434,L$2)</t>
  </si>
  <si>
    <t>=NF($E435,L$2)</t>
  </si>
  <si>
    <t>=NF($E436,L$2)</t>
  </si>
  <si>
    <t>=NF($E437,L$2)</t>
  </si>
  <si>
    <t>=NF($E438,L$2)</t>
  </si>
  <si>
    <t>=NF($E439,L$2)</t>
  </si>
  <si>
    <t>=NF($E440,L$2)</t>
  </si>
  <si>
    <t>=NF($E441,L$2)</t>
  </si>
  <si>
    <t>=NF($E442,L$2)</t>
  </si>
  <si>
    <t>=NF($E443,L$2)</t>
  </si>
  <si>
    <t>=NF($E444,L$2)</t>
  </si>
  <si>
    <t>=NF($E445,L$2)</t>
  </si>
  <si>
    <t>=NF($E446,L$2)</t>
  </si>
  <si>
    <t>=NF($E447,L$2)</t>
  </si>
  <si>
    <t>=NF($E448,L$2)</t>
  </si>
  <si>
    <t>=NF($E449,L$2)</t>
  </si>
  <si>
    <t>=NF($E450,L$2)</t>
  </si>
  <si>
    <t>=NF($E451,L$2)</t>
  </si>
  <si>
    <t>=NF($E452,L$2)</t>
  </si>
  <si>
    <t>=NF($E416,P$2)</t>
  </si>
  <si>
    <t>=NF($E417,P$2)</t>
  </si>
  <si>
    <t>=NF($E418,P$2)</t>
  </si>
  <si>
    <t>=NF($E419,P$2)</t>
  </si>
  <si>
    <t>=NF($E420,P$2)</t>
  </si>
  <si>
    <t>=NF($E421,P$2)</t>
  </si>
  <si>
    <t>=NF($E422,P$2)</t>
  </si>
  <si>
    <t>=NF($E423,P$2)</t>
  </si>
  <si>
    <t>=NF($E424,P$2)</t>
  </si>
  <si>
    <t>=NF($E425,P$2)</t>
  </si>
  <si>
    <t>=NF($E426,P$2)</t>
  </si>
  <si>
    <t>=NF($E427,P$2)</t>
  </si>
  <si>
    <t>=NF($E428,P$2)</t>
  </si>
  <si>
    <t>=NF($E429,P$2)</t>
  </si>
  <si>
    <t>=NF($E430,P$2)</t>
  </si>
  <si>
    <t>=NF($E431,P$2)</t>
  </si>
  <si>
    <t>=NF($E432,P$2)</t>
  </si>
  <si>
    <t>=NF($E433,P$2)</t>
  </si>
  <si>
    <t>=NF($E434,P$2)</t>
  </si>
  <si>
    <t>=NF($E435,P$2)</t>
  </si>
  <si>
    <t>=NF($E436,P$2)</t>
  </si>
  <si>
    <t>=NF($E437,P$2)</t>
  </si>
  <si>
    <t>=NF($E438,P$2)</t>
  </si>
  <si>
    <t>=NF($E439,P$2)</t>
  </si>
  <si>
    <t>=NF($E440,P$2)</t>
  </si>
  <si>
    <t>=NF($E441,P$2)</t>
  </si>
  <si>
    <t>=NF($E442,P$2)</t>
  </si>
  <si>
    <t>=NF($E443,P$2)</t>
  </si>
  <si>
    <t>=NF($E444,P$2)</t>
  </si>
  <si>
    <t>=NF($E445,P$2)</t>
  </si>
  <si>
    <t>=NF($E446,P$2)</t>
  </si>
  <si>
    <t>=NF($E447,P$2)</t>
  </si>
  <si>
    <t>=NF($E448,P$2)</t>
  </si>
  <si>
    <t>=NF($E449,P$2)</t>
  </si>
  <si>
    <t>=NF($E450,P$2)</t>
  </si>
  <si>
    <t>=NF($E451,P$2)</t>
  </si>
  <si>
    <t>=NF($E452,P$2)</t>
  </si>
  <si>
    <t>=NF($E390,K$2)</t>
  </si>
  <si>
    <t>=NF($E391,K$2)</t>
  </si>
  <si>
    <t>=NF($E392,K$2)</t>
  </si>
  <si>
    <t>=NF($E393,K$2)</t>
  </si>
  <si>
    <t>=NF($E394,K$2)</t>
  </si>
  <si>
    <t>=NF($E395,K$2)</t>
  </si>
  <si>
    <t>=NF($E396,K$2)</t>
  </si>
  <si>
    <t>=NF($E397,K$2)</t>
  </si>
  <si>
    <t>=NF($E398,K$2)</t>
  </si>
  <si>
    <t>=NF($E399,K$2)</t>
  </si>
  <si>
    <t>=NF($E400,K$2)</t>
  </si>
  <si>
    <t>=NF($E401,K$2)</t>
  </si>
  <si>
    <t>=NF($E402,K$2)</t>
  </si>
  <si>
    <t>=NF($E403,K$2)</t>
  </si>
  <si>
    <t>=NF($E404,K$2)</t>
  </si>
  <si>
    <t>=NF($E405,K$2)</t>
  </si>
  <si>
    <t>=NF($E406,K$2)</t>
  </si>
  <si>
    <t>=NF($E407,K$2)</t>
  </si>
  <si>
    <t>=NF($E390,M$2)</t>
  </si>
  <si>
    <t>=NF($E391,M$2)</t>
  </si>
  <si>
    <t>=NF($E392,M$2)</t>
  </si>
  <si>
    <t>=NF($E393,M$2)</t>
  </si>
  <si>
    <t>=NF($E394,M$2)</t>
  </si>
  <si>
    <t>=NF($E395,M$2)</t>
  </si>
  <si>
    <t>=NF($E396,M$2)</t>
  </si>
  <si>
    <t>=NF($E397,M$2)</t>
  </si>
  <si>
    <t>=NF($E398,M$2)</t>
  </si>
  <si>
    <t>=NF($E399,M$2)</t>
  </si>
  <si>
    <t>=NF($E400,M$2)</t>
  </si>
  <si>
    <t>=NF($E401,M$2)</t>
  </si>
  <si>
    <t>=NF($E402,M$2)</t>
  </si>
  <si>
    <t>=NF($E403,M$2)</t>
  </si>
  <si>
    <t>=NF($E404,M$2)</t>
  </si>
  <si>
    <t>=NF($E405,M$2)</t>
  </si>
  <si>
    <t>=NF($E406,M$2)</t>
  </si>
  <si>
    <t>=NF($E407,M$2)</t>
  </si>
  <si>
    <t>=NF($E390,O$2)</t>
  </si>
  <si>
    <t>=NF($E391,O$2)</t>
  </si>
  <si>
    <t>=NF($E392,O$2)</t>
  </si>
  <si>
    <t>=NF($E393,O$2)</t>
  </si>
  <si>
    <t>=NF($E394,O$2)</t>
  </si>
  <si>
    <t>=NF($E395,O$2)</t>
  </si>
  <si>
    <t>=NF($E396,O$2)</t>
  </si>
  <si>
    <t>=NF($E397,O$2)</t>
  </si>
  <si>
    <t>=NF($E398,O$2)</t>
  </si>
  <si>
    <t>=NF($E399,O$2)</t>
  </si>
  <si>
    <t>=NF($E400,O$2)</t>
  </si>
  <si>
    <t>=NF($E401,O$2)</t>
  </si>
  <si>
    <t>=NF($E402,O$2)</t>
  </si>
  <si>
    <t>=NF($E403,O$2)</t>
  </si>
  <si>
    <t>=NF($E404,O$2)</t>
  </si>
  <si>
    <t>=NF($E405,O$2)</t>
  </si>
  <si>
    <t>=NF($E406,O$2)</t>
  </si>
  <si>
    <t>=NF($E407,O$2)</t>
  </si>
  <si>
    <t>=NF($E390,L$2)</t>
  </si>
  <si>
    <t>=NF($E391,L$2)</t>
  </si>
  <si>
    <t>=NF($E392,L$2)</t>
  </si>
  <si>
    <t>=NF($E393,L$2)</t>
  </si>
  <si>
    <t>=NF($E394,L$2)</t>
  </si>
  <si>
    <t>=NF($E395,L$2)</t>
  </si>
  <si>
    <t>=NF($E396,L$2)</t>
  </si>
  <si>
    <t>=NF($E397,L$2)</t>
  </si>
  <si>
    <t>=NF($E398,L$2)</t>
  </si>
  <si>
    <t>=NF($E399,L$2)</t>
  </si>
  <si>
    <t>=NF($E400,L$2)</t>
  </si>
  <si>
    <t>=NF($E401,L$2)</t>
  </si>
  <si>
    <t>=NF($E402,L$2)</t>
  </si>
  <si>
    <t>=NF($E403,L$2)</t>
  </si>
  <si>
    <t>=NF($E404,L$2)</t>
  </si>
  <si>
    <t>=NF($E405,L$2)</t>
  </si>
  <si>
    <t>=NF($E406,L$2)</t>
  </si>
  <si>
    <t>=NF($E407,L$2)</t>
  </si>
  <si>
    <t>=NF($E390,P$2)</t>
  </si>
  <si>
    <t>=NF($E391,P$2)</t>
  </si>
  <si>
    <t>=NF($E392,P$2)</t>
  </si>
  <si>
    <t>=NF($E393,P$2)</t>
  </si>
  <si>
    <t>=NF($E394,P$2)</t>
  </si>
  <si>
    <t>=NF($E395,P$2)</t>
  </si>
  <si>
    <t>=NF($E396,P$2)</t>
  </si>
  <si>
    <t>=NF($E397,P$2)</t>
  </si>
  <si>
    <t>=NF($E398,P$2)</t>
  </si>
  <si>
    <t>=NF($E399,P$2)</t>
  </si>
  <si>
    <t>=NF($E400,P$2)</t>
  </si>
  <si>
    <t>=NF($E401,P$2)</t>
  </si>
  <si>
    <t>=NF($E402,P$2)</t>
  </si>
  <si>
    <t>=NF($E403,P$2)</t>
  </si>
  <si>
    <t>=NF($E404,P$2)</t>
  </si>
  <si>
    <t>=NF($E405,P$2)</t>
  </si>
  <si>
    <t>=NF($E406,P$2)</t>
  </si>
  <si>
    <t>=NF($E407,P$2)</t>
  </si>
  <si>
    <r>
      <t xml:space="preserve">This report is intended to group GL accounts by category, the budget amount for each account, and the account's individual transactions. It uses database views created by Jet Global, specifically the </t>
    </r>
    <r>
      <rPr>
        <b/>
        <sz val="10"/>
        <color theme="1"/>
        <rFont val="Segoe UI"/>
        <family val="2"/>
      </rPr>
      <t>Jet GL Transactions View</t>
    </r>
    <r>
      <rPr>
        <sz val="10"/>
        <color theme="1"/>
        <rFont val="Segoe UI"/>
        <family val="2"/>
      </rPr>
      <t xml:space="preserve"> and the </t>
    </r>
    <r>
      <rPr>
        <b/>
        <sz val="10"/>
        <color theme="1"/>
        <rFont val="Segoe UI"/>
        <family val="2"/>
      </rPr>
      <t>Jet GL View</t>
    </r>
    <r>
      <rPr>
        <sz val="10"/>
        <color theme="1"/>
        <rFont val="Segoe UI"/>
        <family val="2"/>
      </rPr>
      <t>. You will need to install these views prior to running this report.
For more information on installing Jet views for GP go to the Jet Help Center and search for "GP Update Utility."</t>
    </r>
  </si>
  <si>
    <t>=J13-N13</t>
  </si>
  <si>
    <t>=J16-N16</t>
  </si>
  <si>
    <t>=J121-N121</t>
  </si>
  <si>
    <t>=J141-N141</t>
  </si>
  <si>
    <t>=J149-N149</t>
  </si>
  <si>
    <t>=J152-N152</t>
  </si>
  <si>
    <t>=J166-N166</t>
  </si>
  <si>
    <t>=J170-N170</t>
  </si>
  <si>
    <t>=J173-N173</t>
  </si>
  <si>
    <t>=J176-N176</t>
  </si>
  <si>
    <t>=J179-N179</t>
  </si>
  <si>
    <t>=J182-N182</t>
  </si>
  <si>
    <t>=J186-N186</t>
  </si>
  <si>
    <t>=J189-N189</t>
  </si>
  <si>
    <t>=J192-N192</t>
  </si>
  <si>
    <t>=J195-N195</t>
  </si>
  <si>
    <t>=J215-N215</t>
  </si>
  <si>
    <t>=J218-N218</t>
  </si>
  <si>
    <t>=J221-N221</t>
  </si>
  <si>
    <t>=J224-N224</t>
  </si>
  <si>
    <t>=J227-N227</t>
  </si>
  <si>
    <t>=J230-N230</t>
  </si>
  <si>
    <t>=J233-N233</t>
  </si>
  <si>
    <t>=J268-N268</t>
  </si>
  <si>
    <t>=J271-N271</t>
  </si>
  <si>
    <t>=J275-N275</t>
  </si>
  <si>
    <t>=J278-N278</t>
  </si>
  <si>
    <t>=J281-N281</t>
  </si>
  <si>
    <t>=J284-N284</t>
  </si>
  <si>
    <t>=J287-N287</t>
  </si>
  <si>
    <t>=J331-N331</t>
  </si>
  <si>
    <t>=J334-N334</t>
  </si>
  <si>
    <t>=J338-N338</t>
  </si>
  <si>
    <t>=J341-N341</t>
  </si>
  <si>
    <t>=J344-N344</t>
  </si>
  <si>
    <t>=J347-N347</t>
  </si>
  <si>
    <t>=J350-N350</t>
  </si>
  <si>
    <t>=J353-N353</t>
  </si>
  <si>
    <t>=J356-N356</t>
  </si>
  <si>
    <t>=J359-N359</t>
  </si>
  <si>
    <t>=J362-N362</t>
  </si>
  <si>
    <t>=J365-N365</t>
  </si>
  <si>
    <t>=J368-N368</t>
  </si>
  <si>
    <t>=J371-N371</t>
  </si>
  <si>
    <t>=J375-N375</t>
  </si>
  <si>
    <t>=J383-N383</t>
  </si>
  <si>
    <t>=J386-N386</t>
  </si>
  <si>
    <t>=J389-N389</t>
  </si>
  <si>
    <t>=J409-N409</t>
  </si>
  <si>
    <t>=J412-N412</t>
  </si>
  <si>
    <t>=J415-N415</t>
  </si>
  <si>
    <t>=J454-N454</t>
  </si>
  <si>
    <t>=J457-N457</t>
  </si>
  <si>
    <t>=J461-N461</t>
  </si>
  <si>
    <t>=J630-N630</t>
  </si>
  <si>
    <t>=J654-N654</t>
  </si>
  <si>
    <t>=J657-N657</t>
  </si>
  <si>
    <t>=J660-N660</t>
  </si>
  <si>
    <t>=J663-N663</t>
  </si>
  <si>
    <t>=J666-N666</t>
  </si>
  <si>
    <t>=J669-N669</t>
  </si>
  <si>
    <t>=J672-N672</t>
  </si>
  <si>
    <t>=J675-N675</t>
  </si>
  <si>
    <t>=J678-N678</t>
  </si>
  <si>
    <t>=J681-N681</t>
  </si>
  <si>
    <t>=J684-N684</t>
  </si>
  <si>
    <t>=J688-N688</t>
  </si>
  <si>
    <t>=J691-N691</t>
  </si>
  <si>
    <t>=J694-N694</t>
  </si>
  <si>
    <t>=J720-N720</t>
  </si>
  <si>
    <t>=J729-N729</t>
  </si>
  <si>
    <t>Auto+Hide+Hidesheet+Values+Formulas=Sheet7,Sheet8+FormulasOnly</t>
  </si>
  <si>
    <t>Auto+Hide+Values+Formulas=Sheet9,Sheet10+FormulasOnly</t>
  </si>
  <si>
    <t>Auto+Hide+Hidesheet+Values+Formulas=Sheet11,Sheet7,Sheet8</t>
  </si>
  <si>
    <t>Auto+Hide+Hidesheet+Values+Formulas=Sheet11,Sheet7,Sheet8+FormulasOnly</t>
  </si>
  <si>
    <t>Auto+Hide+Values+Formulas=Sheet12,Sheet9,Sheet10</t>
  </si>
  <si>
    <t>Auto+Hide+Values+Formulas=Sheet12,Sheet9,Sheet10+FormulasOnly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</si>
</sst>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9" x14ac:knownFonts="1">
    <font>
      <sz val="10"/>
      <name val="Arial"/>
    </font>
    <font>
      <sz val="11"/>
      <color theme="1"/>
      <name val="Calibri"/>
      <family val="2"/>
      <scheme val="minor"/>
    </font>
    <font>
      <sz val="10"/>
      <name val="Arial"/>
      <family val="2"/>
    </font>
    <font>
      <sz val="8"/>
      <name val="Arial"/>
      <family val="2"/>
    </font>
    <font>
      <sz val="10"/>
      <name val="Arial"/>
      <family val="2"/>
    </font>
    <font>
      <u/>
      <sz val="10"/>
      <color indexed="12"/>
      <name val="Arial"/>
      <family val="2"/>
    </font>
    <font>
      <sz val="10"/>
      <name val="Arial"/>
      <family val="2"/>
    </font>
    <font>
      <sz val="9"/>
      <color indexed="55"/>
      <name val="Segoe UI Semibold"/>
      <family val="2"/>
    </font>
    <font>
      <sz val="9"/>
      <name val="Segoe UI Semibold"/>
      <family val="2"/>
    </font>
    <font>
      <b/>
      <sz val="14"/>
      <color indexed="55"/>
      <name val="Segoe UI Semibold"/>
      <family val="2"/>
    </font>
    <font>
      <u/>
      <sz val="9"/>
      <color indexed="55"/>
      <name val="Segoe UI Semibold"/>
      <family val="2"/>
    </font>
    <font>
      <u/>
      <sz val="9"/>
      <name val="Segoe UI Semibold"/>
      <family val="2"/>
    </font>
    <font>
      <b/>
      <sz val="14"/>
      <color indexed="62"/>
      <name val="Segoe UI Semibold"/>
      <family val="2"/>
    </font>
    <font>
      <b/>
      <sz val="9"/>
      <name val="Segoe UI Semibold"/>
      <family val="2"/>
    </font>
    <font>
      <b/>
      <sz val="9"/>
      <color indexed="55"/>
      <name val="Segoe UI Semibold"/>
      <family val="2"/>
    </font>
    <font>
      <i/>
      <sz val="9"/>
      <color indexed="55"/>
      <name val="Segoe UI Semibold"/>
      <family val="2"/>
    </font>
    <font>
      <i/>
      <sz val="9"/>
      <name val="Segoe UI Semibold"/>
      <family val="2"/>
    </font>
    <font>
      <b/>
      <sz val="14"/>
      <color theme="6" tint="-0.249977111117893"/>
      <name val="Segoe UI"/>
      <family val="2"/>
    </font>
    <font>
      <b/>
      <sz val="10"/>
      <color theme="0"/>
      <name val="Segoe UI Semibold"/>
      <family val="2"/>
    </font>
    <font>
      <b/>
      <sz val="11"/>
      <name val="Calibri"/>
      <family val="2"/>
      <scheme val="minor"/>
    </font>
    <font>
      <sz val="9"/>
      <color theme="0" tint="-0.499984740745262"/>
      <name val="Calibri"/>
      <family val="2"/>
      <scheme val="minor"/>
    </font>
    <font>
      <sz val="9"/>
      <name val="Calibri"/>
      <family val="2"/>
      <scheme val="minor"/>
    </font>
    <font>
      <b/>
      <sz val="9"/>
      <name val="Calibri"/>
      <family val="2"/>
      <scheme val="minor"/>
    </font>
    <font>
      <b/>
      <sz val="9"/>
      <name val="Segoe UI"/>
      <family val="2"/>
    </font>
    <font>
      <sz val="9"/>
      <color theme="0" tint="-0.34998626667073579"/>
      <name val="Segoe UI Semibold"/>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6">
    <fill>
      <patternFill patternType="none"/>
    </fill>
    <fill>
      <patternFill patternType="gray125"/>
    </fill>
    <fill>
      <patternFill patternType="solid">
        <fgColor indexed="22"/>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s>
  <borders count="1">
    <border>
      <left/>
      <right/>
      <top/>
      <bottom/>
      <diagonal/>
    </border>
  </borders>
  <cellStyleXfs count="7">
    <xf numFmtId="0" fontId="0" fillId="0" borderId="0"/>
    <xf numFmtId="44" fontId="2" fillId="0" borderId="0" applyFont="0" applyFill="0" applyBorder="0" applyAlignment="0" applyProtection="0"/>
    <xf numFmtId="0" fontId="4" fillId="0" borderId="0"/>
    <xf numFmtId="0" fontId="6" fillId="0" borderId="0"/>
    <xf numFmtId="0" fontId="1" fillId="0" borderId="0"/>
    <xf numFmtId="0" fontId="1" fillId="0" borderId="0"/>
    <xf numFmtId="0" fontId="5" fillId="0" borderId="0" applyNumberFormat="0" applyFill="0" applyBorder="0" applyAlignment="0" applyProtection="0">
      <alignment vertical="top"/>
      <protection locked="0"/>
    </xf>
  </cellStyleXfs>
  <cellXfs count="44">
    <xf numFmtId="0" fontId="0" fillId="0" borderId="0" xfId="0"/>
    <xf numFmtId="0" fontId="0" fillId="0" borderId="0" xfId="0" quotePrefix="1"/>
    <xf numFmtId="0" fontId="7" fillId="0" borderId="0" xfId="0" applyFont="1" applyFill="1"/>
    <xf numFmtId="0" fontId="8" fillId="0" borderId="0" xfId="0" applyFont="1"/>
    <xf numFmtId="0" fontId="7" fillId="0" borderId="0" xfId="0" applyFont="1"/>
    <xf numFmtId="0" fontId="9" fillId="0" borderId="0" xfId="0" applyFont="1" applyAlignment="1"/>
    <xf numFmtId="0" fontId="10" fillId="0" borderId="0" xfId="0" applyFont="1" applyAlignment="1"/>
    <xf numFmtId="0" fontId="11" fillId="0" borderId="0" xfId="0" applyFont="1" applyAlignment="1"/>
    <xf numFmtId="14" fontId="7" fillId="0" borderId="0" xfId="0" applyNumberFormat="1" applyFont="1"/>
    <xf numFmtId="0" fontId="12" fillId="0" borderId="0" xfId="0" applyFont="1" applyAlignment="1"/>
    <xf numFmtId="0" fontId="13" fillId="0" borderId="0" xfId="0" applyFont="1" applyFill="1" applyBorder="1"/>
    <xf numFmtId="0" fontId="8" fillId="0" borderId="0" xfId="0" applyFont="1" applyBorder="1"/>
    <xf numFmtId="0" fontId="14" fillId="2" borderId="0" xfId="0" applyFont="1" applyFill="1"/>
    <xf numFmtId="0" fontId="8" fillId="0" borderId="0" xfId="0" applyFont="1" applyFill="1"/>
    <xf numFmtId="0" fontId="15" fillId="2" borderId="0" xfId="0" applyFont="1" applyFill="1"/>
    <xf numFmtId="0" fontId="16" fillId="0" borderId="0" xfId="0" applyFont="1" applyFill="1"/>
    <xf numFmtId="43" fontId="8" fillId="0" borderId="0" xfId="0" applyNumberFormat="1" applyFont="1" applyFill="1"/>
    <xf numFmtId="43" fontId="8" fillId="0" borderId="0" xfId="1" applyNumberFormat="1" applyFont="1" applyFill="1"/>
    <xf numFmtId="0" fontId="8" fillId="2" borderId="0" xfId="0" applyFont="1" applyFill="1"/>
    <xf numFmtId="0" fontId="7" fillId="2" borderId="0" xfId="0" applyFont="1" applyFill="1"/>
    <xf numFmtId="0" fontId="18" fillId="4" borderId="0" xfId="0" applyFont="1" applyFill="1" applyAlignment="1">
      <alignment horizontal="center"/>
    </xf>
    <xf numFmtId="0" fontId="19" fillId="3" borderId="0" xfId="0" applyFont="1" applyFill="1"/>
    <xf numFmtId="0" fontId="20" fillId="0" borderId="0" xfId="0" applyFont="1"/>
    <xf numFmtId="0" fontId="21" fillId="0" borderId="0" xfId="0" applyFont="1"/>
    <xf numFmtId="0" fontId="22" fillId="0" borderId="0" xfId="0" applyFont="1" applyFill="1" applyBorder="1"/>
    <xf numFmtId="0" fontId="21" fillId="0" borderId="0" xfId="0" applyFont="1" applyBorder="1"/>
    <xf numFmtId="0" fontId="22" fillId="0" borderId="0" xfId="0" applyFont="1"/>
    <xf numFmtId="14" fontId="23" fillId="0" borderId="0" xfId="0" applyNumberFormat="1" applyFont="1"/>
    <xf numFmtId="0" fontId="23" fillId="0" borderId="0" xfId="0" applyFont="1"/>
    <xf numFmtId="0" fontId="7" fillId="5" borderId="0" xfId="0" applyFont="1" applyFill="1"/>
    <xf numFmtId="0" fontId="8" fillId="5" borderId="0" xfId="0" applyFont="1" applyFill="1"/>
    <xf numFmtId="44" fontId="24" fillId="0" borderId="0" xfId="1" applyFont="1"/>
    <xf numFmtId="0" fontId="24" fillId="0" borderId="0" xfId="0" applyFont="1"/>
    <xf numFmtId="14" fontId="24" fillId="0" borderId="0" xfId="0" applyNumberFormat="1" applyFont="1"/>
    <xf numFmtId="0" fontId="25" fillId="0" borderId="0" xfId="4" applyFont="1"/>
    <xf numFmtId="0" fontId="25" fillId="0" borderId="0" xfId="4" applyFont="1" applyAlignment="1">
      <alignment vertical="top"/>
    </xf>
    <xf numFmtId="0" fontId="25" fillId="0" borderId="0" xfId="4" applyFont="1" applyAlignment="1">
      <alignment vertical="top" wrapText="1"/>
    </xf>
    <xf numFmtId="0" fontId="26" fillId="0" borderId="0" xfId="4" applyFont="1" applyAlignment="1">
      <alignment vertical="top"/>
    </xf>
    <xf numFmtId="0" fontId="27" fillId="0" borderId="0" xfId="4" applyFont="1" applyAlignment="1">
      <alignment vertical="top"/>
    </xf>
    <xf numFmtId="0" fontId="28" fillId="0" borderId="0" xfId="4" applyFont="1" applyAlignment="1">
      <alignment vertical="top"/>
    </xf>
    <xf numFmtId="0" fontId="25" fillId="0" borderId="0" xfId="5" applyFont="1" applyAlignment="1">
      <alignment vertical="top" wrapText="1"/>
    </xf>
    <xf numFmtId="0" fontId="5" fillId="0" borderId="0" xfId="6" applyAlignment="1" applyProtection="1">
      <alignment vertical="top"/>
    </xf>
    <xf numFmtId="0" fontId="17" fillId="0" borderId="0" xfId="0" applyFont="1" applyAlignment="1"/>
    <xf numFmtId="0" fontId="0" fillId="0" borderId="0" xfId="0" applyAlignment="1"/>
  </cellXfs>
  <cellStyles count="7">
    <cellStyle name="Currency" xfId="1" builtinId="4"/>
    <cellStyle name="Hyperlink 3" xfId="6"/>
    <cellStyle name="Normal" xfId="0" builtinId="0"/>
    <cellStyle name="Normal 2" xfId="2"/>
    <cellStyle name="Normal 2 2" xfId="3"/>
    <cellStyle name="Normal 3" xfId="4"/>
    <cellStyle name="Normal 3 22" xfId="5"/>
  </cellStyles>
  <dxfs count="24">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34" hidden="1" customWidth="1"/>
    <col min="2" max="2" width="10.28515625" style="34" customWidth="1"/>
    <col min="3" max="3" width="27.140625" style="35" customWidth="1"/>
    <col min="4" max="4" width="77.28515625" style="36" customWidth="1"/>
    <col min="5" max="5" width="36.42578125" style="34" customWidth="1"/>
    <col min="6" max="16384" width="9.140625" style="34"/>
  </cols>
  <sheetData>
    <row r="1" spans="1:5" hidden="1" x14ac:dyDescent="0.25">
      <c r="A1" s="34" t="s">
        <v>1942</v>
      </c>
    </row>
    <row r="7" spans="1:5" ht="30.75" x14ac:dyDescent="0.25">
      <c r="C7" s="37" t="s">
        <v>27</v>
      </c>
    </row>
    <row r="9" spans="1:5" x14ac:dyDescent="0.25">
      <c r="C9" s="38"/>
    </row>
    <row r="10" spans="1:5" ht="99.75" x14ac:dyDescent="0.25">
      <c r="C10" s="39" t="s">
        <v>28</v>
      </c>
      <c r="D10" s="40" t="s">
        <v>5108</v>
      </c>
    </row>
    <row r="11" spans="1:5" x14ac:dyDescent="0.25">
      <c r="C11" s="39"/>
    </row>
    <row r="12" spans="1:5" x14ac:dyDescent="0.25">
      <c r="C12" s="39" t="s">
        <v>29</v>
      </c>
      <c r="D12" s="36" t="s">
        <v>1943</v>
      </c>
    </row>
    <row r="13" spans="1:5" x14ac:dyDescent="0.25">
      <c r="C13" s="39"/>
    </row>
    <row r="14" spans="1:5" ht="57" x14ac:dyDescent="0.25">
      <c r="C14" s="39" t="s">
        <v>30</v>
      </c>
      <c r="D14" s="36" t="s">
        <v>1944</v>
      </c>
      <c r="E14" s="41" t="s">
        <v>1945</v>
      </c>
    </row>
    <row r="15" spans="1:5" x14ac:dyDescent="0.25">
      <c r="C15" s="39"/>
      <c r="E15" s="35"/>
    </row>
    <row r="16" spans="1:5" ht="28.5" x14ac:dyDescent="0.25">
      <c r="C16" s="39" t="s">
        <v>1946</v>
      </c>
      <c r="D16" s="36" t="s">
        <v>1947</v>
      </c>
      <c r="E16" s="41" t="s">
        <v>1948</v>
      </c>
    </row>
    <row r="17" spans="3:5" x14ac:dyDescent="0.25">
      <c r="C17" s="39"/>
      <c r="E17" s="35"/>
    </row>
    <row r="18" spans="3:5" ht="57" x14ac:dyDescent="0.25">
      <c r="C18" s="39" t="s">
        <v>1949</v>
      </c>
      <c r="D18" s="36" t="s">
        <v>1950</v>
      </c>
      <c r="E18" s="41" t="s">
        <v>1951</v>
      </c>
    </row>
    <row r="19" spans="3:5" x14ac:dyDescent="0.25">
      <c r="C19" s="39"/>
      <c r="E19" s="35"/>
    </row>
    <row r="20" spans="3:5" ht="30.75" customHeight="1" x14ac:dyDescent="0.25">
      <c r="C20" s="39" t="s">
        <v>31</v>
      </c>
      <c r="D20" s="36" t="s">
        <v>1952</v>
      </c>
      <c r="E20" s="41" t="s">
        <v>1953</v>
      </c>
    </row>
    <row r="21" spans="3:5" x14ac:dyDescent="0.25">
      <c r="C21" s="39"/>
      <c r="E21" s="35"/>
    </row>
    <row r="22" spans="3:5" ht="14.25" customHeight="1" x14ac:dyDescent="0.25">
      <c r="C22" s="39" t="s">
        <v>32</v>
      </c>
      <c r="D22" s="36" t="s">
        <v>1954</v>
      </c>
      <c r="E22" s="41" t="s">
        <v>1955</v>
      </c>
    </row>
    <row r="23" spans="3:5" x14ac:dyDescent="0.25">
      <c r="C23" s="39"/>
      <c r="E23" s="35"/>
    </row>
    <row r="24" spans="3:5" ht="15" customHeight="1" x14ac:dyDescent="0.25">
      <c r="C24" s="39" t="s">
        <v>33</v>
      </c>
      <c r="D24" s="36" t="s">
        <v>1956</v>
      </c>
      <c r="E24" s="41" t="s">
        <v>1957</v>
      </c>
    </row>
    <row r="25" spans="3:5" x14ac:dyDescent="0.25">
      <c r="C25" s="39"/>
    </row>
    <row r="26" spans="3:5" ht="71.25" x14ac:dyDescent="0.25">
      <c r="C26" s="39" t="s">
        <v>34</v>
      </c>
      <c r="D26" s="36" t="s">
        <v>1958</v>
      </c>
    </row>
    <row r="27" spans="3:5" x14ac:dyDescent="0.25">
      <c r="C27" s="39"/>
    </row>
    <row r="28" spans="3:5" ht="17.25" customHeight="1" x14ac:dyDescent="0.25">
      <c r="C28" s="39" t="s">
        <v>35</v>
      </c>
      <c r="D28" s="36" t="s">
        <v>1959</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topLeftCell="B2" workbookViewId="0"/>
  </sheetViews>
  <sheetFormatPr defaultColWidth="9.140625" defaultRowHeight="12" x14ac:dyDescent="0.2"/>
  <cols>
    <col min="1" max="1" width="9.140625" style="23" hidden="1" customWidth="1"/>
    <col min="2" max="2" width="9.140625" style="23"/>
    <col min="3" max="3" width="11.5703125" style="23" bestFit="1" customWidth="1"/>
    <col min="4" max="4" width="17.7109375" style="23" bestFit="1" customWidth="1"/>
    <col min="5" max="16384" width="9.140625" style="23"/>
  </cols>
  <sheetData>
    <row r="1" spans="1:5" hidden="1" x14ac:dyDescent="0.2">
      <c r="A1" s="22" t="s">
        <v>5182</v>
      </c>
      <c r="B1" s="22"/>
      <c r="C1" s="22" t="s">
        <v>19</v>
      </c>
      <c r="D1" s="22" t="s">
        <v>20</v>
      </c>
      <c r="E1" s="22" t="s">
        <v>21</v>
      </c>
    </row>
    <row r="2" spans="1:5" x14ac:dyDescent="0.2">
      <c r="A2" s="22"/>
    </row>
    <row r="3" spans="1:5" x14ac:dyDescent="0.2">
      <c r="A3" s="22"/>
    </row>
    <row r="4" spans="1:5" ht="15" x14ac:dyDescent="0.25">
      <c r="A4" s="22"/>
      <c r="C4" s="21" t="s">
        <v>737</v>
      </c>
      <c r="D4" s="21"/>
    </row>
    <row r="5" spans="1:5" x14ac:dyDescent="0.2">
      <c r="A5" s="22"/>
    </row>
    <row r="6" spans="1:5" x14ac:dyDescent="0.2">
      <c r="A6" s="22" t="s">
        <v>18</v>
      </c>
      <c r="C6" s="24" t="s">
        <v>3</v>
      </c>
      <c r="D6" s="25" t="str">
        <f>"31..34"</f>
        <v>31..34</v>
      </c>
      <c r="E6" s="23" t="str">
        <f>"Lookup"</f>
        <v>Lookup</v>
      </c>
    </row>
    <row r="7" spans="1:5" x14ac:dyDescent="0.2">
      <c r="A7" s="22" t="s">
        <v>18</v>
      </c>
      <c r="C7" s="24" t="s">
        <v>724</v>
      </c>
      <c r="D7" s="25" t="str">
        <f>"1"</f>
        <v>1</v>
      </c>
    </row>
    <row r="8" spans="1:5" x14ac:dyDescent="0.2">
      <c r="A8" s="22" t="s">
        <v>18</v>
      </c>
      <c r="C8" s="24" t="s">
        <v>726</v>
      </c>
      <c r="D8" s="25" t="str">
        <f>"2014"</f>
        <v>2014</v>
      </c>
    </row>
    <row r="9" spans="1:5" x14ac:dyDescent="0.2">
      <c r="A9" s="22" t="s">
        <v>18</v>
      </c>
      <c r="C9" s="24" t="s">
        <v>725</v>
      </c>
      <c r="D9" s="25" t="str">
        <f>"3"</f>
        <v>3</v>
      </c>
    </row>
    <row r="10" spans="1:5" x14ac:dyDescent="0.2">
      <c r="A10" s="22" t="s">
        <v>18</v>
      </c>
      <c r="C10" s="24" t="s">
        <v>727</v>
      </c>
      <c r="D10" s="25" t="str">
        <f>"2014"</f>
        <v>2014</v>
      </c>
    </row>
    <row r="11" spans="1:5" x14ac:dyDescent="0.2">
      <c r="A11" s="22" t="s">
        <v>18</v>
      </c>
      <c r="C11" s="26" t="s">
        <v>1</v>
      </c>
      <c r="D11" s="23" t="str">
        <f>"BUDGET 4"</f>
        <v>BUDGET 4</v>
      </c>
      <c r="E11" s="23" t="str">
        <f>"Lookup"</f>
        <v>Lookup</v>
      </c>
    </row>
    <row r="12" spans="1:5" x14ac:dyDescent="0.2">
      <c r="A12" s="22"/>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R744"/>
  <sheetViews>
    <sheetView showGridLines="0" topLeftCell="B1" zoomScaleNormal="100" workbookViewId="0">
      <pane ySplit="11" topLeftCell="A12" activePane="bottomLeft" state="frozen"/>
      <selection activeCell="B3" sqref="B3"/>
      <selection pane="bottomLeft"/>
    </sheetView>
  </sheetViews>
  <sheetFormatPr defaultColWidth="9.140625" defaultRowHeight="12" outlineLevelRow="1" x14ac:dyDescent="0.2"/>
  <cols>
    <col min="1" max="1" width="9.140625" style="3" hidden="1" customWidth="1"/>
    <col min="2" max="2" width="12.42578125" style="3" customWidth="1"/>
    <col min="3" max="3" width="11.140625" style="3" hidden="1" customWidth="1"/>
    <col min="4" max="4" width="5" style="3" hidden="1" customWidth="1"/>
    <col min="5" max="5" width="4.5703125" style="3" hidden="1" customWidth="1"/>
    <col min="6" max="6" width="9.28515625" style="3" hidden="1" customWidth="1"/>
    <col min="7" max="7" width="10.28515625" style="3" hidden="1" customWidth="1"/>
    <col min="8" max="8" width="26" style="3" bestFit="1" customWidth="1"/>
    <col min="9" max="9" width="36.28515625" style="3" bestFit="1" customWidth="1"/>
    <col min="10" max="10" width="12.28515625" style="3" bestFit="1" customWidth="1"/>
    <col min="11" max="12" width="18.28515625" style="3" bestFit="1" customWidth="1"/>
    <col min="13" max="13" width="11.85546875" style="3" bestFit="1" customWidth="1"/>
    <col min="14" max="14" width="12.85546875" style="3" bestFit="1" customWidth="1"/>
    <col min="15" max="15" width="19.28515625" style="3" bestFit="1" customWidth="1"/>
    <col min="16" max="16" width="14" style="3" bestFit="1" customWidth="1"/>
    <col min="17" max="17" width="25" style="3" bestFit="1" customWidth="1"/>
    <col min="18" max="18" width="9.140625" style="3" hidden="1" customWidth="1"/>
    <col min="19" max="16384" width="9.140625" style="3"/>
  </cols>
  <sheetData>
    <row r="1" spans="1:18" hidden="1" x14ac:dyDescent="0.2">
      <c r="A1" s="29" t="s">
        <v>5184</v>
      </c>
      <c r="B1" s="30"/>
      <c r="C1" s="29" t="s">
        <v>4</v>
      </c>
      <c r="D1" s="29" t="s">
        <v>4</v>
      </c>
      <c r="E1" s="29" t="s">
        <v>4</v>
      </c>
      <c r="F1" s="29" t="s">
        <v>4</v>
      </c>
      <c r="G1" s="29" t="s">
        <v>4</v>
      </c>
      <c r="H1" s="30" t="s">
        <v>0</v>
      </c>
      <c r="I1" s="29" t="s">
        <v>9</v>
      </c>
      <c r="J1" s="29" t="s">
        <v>0</v>
      </c>
      <c r="K1" s="29" t="s">
        <v>0</v>
      </c>
      <c r="L1" s="29" t="s">
        <v>0</v>
      </c>
      <c r="M1" s="29" t="s">
        <v>9</v>
      </c>
      <c r="N1" s="29" t="s">
        <v>9</v>
      </c>
      <c r="O1" s="29" t="s">
        <v>9</v>
      </c>
      <c r="P1" s="29" t="s">
        <v>9</v>
      </c>
      <c r="Q1" s="29"/>
      <c r="R1" s="29" t="s">
        <v>4</v>
      </c>
    </row>
    <row r="2" spans="1:18" hidden="1" x14ac:dyDescent="0.2">
      <c r="A2" s="29" t="s">
        <v>4</v>
      </c>
      <c r="B2" s="30"/>
      <c r="C2" s="29"/>
      <c r="D2" s="30"/>
      <c r="E2" s="30"/>
      <c r="F2" s="30"/>
      <c r="G2" s="30"/>
      <c r="H2" s="30"/>
      <c r="I2" s="30"/>
      <c r="J2" s="29" t="s">
        <v>5</v>
      </c>
      <c r="K2" s="29" t="s">
        <v>22</v>
      </c>
      <c r="L2" s="29" t="s">
        <v>775</v>
      </c>
      <c r="M2" s="29" t="s">
        <v>23</v>
      </c>
      <c r="N2" s="29" t="s">
        <v>24</v>
      </c>
      <c r="O2" s="29" t="s">
        <v>25</v>
      </c>
      <c r="P2" s="29" t="s">
        <v>26</v>
      </c>
      <c r="Q2" s="30"/>
      <c r="R2" s="30"/>
    </row>
    <row r="3" spans="1:18" ht="20.25" x14ac:dyDescent="0.35">
      <c r="A3" s="30"/>
      <c r="C3" s="5" t="str">
        <f>"1"</f>
        <v>1</v>
      </c>
      <c r="D3" s="6" t="str">
        <f>"2014"</f>
        <v>2014</v>
      </c>
      <c r="E3" s="6"/>
      <c r="F3" s="6"/>
      <c r="G3" s="6"/>
      <c r="H3" s="7"/>
      <c r="I3" s="7"/>
      <c r="J3" s="7"/>
      <c r="K3" s="7"/>
      <c r="L3" s="7"/>
      <c r="M3" s="7"/>
      <c r="N3" s="7"/>
      <c r="O3" s="7"/>
      <c r="P3" s="7"/>
      <c r="Q3" s="7"/>
    </row>
    <row r="4" spans="1:18" ht="20.25" x14ac:dyDescent="0.35">
      <c r="A4" s="30"/>
      <c r="C4" s="8">
        <f>DATE($D$3,$C$3,1)</f>
        <v>41640</v>
      </c>
      <c r="D4" s="6"/>
      <c r="E4" s="6"/>
      <c r="F4" s="6"/>
      <c r="G4" s="6"/>
      <c r="H4" s="42" t="s">
        <v>12</v>
      </c>
      <c r="I4" s="43"/>
      <c r="J4" s="7"/>
      <c r="K4" s="7"/>
      <c r="L4" s="7"/>
      <c r="M4" s="7"/>
      <c r="N4" s="7"/>
      <c r="O4" s="7"/>
      <c r="P4" s="7"/>
      <c r="Q4" s="7"/>
    </row>
    <row r="5" spans="1:18" ht="20.25" x14ac:dyDescent="0.35">
      <c r="A5" s="30"/>
      <c r="C5" s="5" t="str">
        <f>"3"</f>
        <v>3</v>
      </c>
      <c r="D5" s="6" t="str">
        <f>"2014"</f>
        <v>2014</v>
      </c>
      <c r="E5" s="6"/>
      <c r="F5" s="6"/>
      <c r="G5" s="6"/>
      <c r="H5" s="9"/>
      <c r="I5" s="7"/>
      <c r="J5" s="7"/>
      <c r="K5" s="7"/>
      <c r="L5" s="7"/>
      <c r="M5" s="7"/>
      <c r="N5" s="7"/>
      <c r="O5" s="7"/>
      <c r="P5" s="7"/>
      <c r="Q5" s="7"/>
    </row>
    <row r="6" spans="1:18" x14ac:dyDescent="0.2">
      <c r="A6" s="30"/>
      <c r="C6" s="8">
        <f>DATE($D$5,$C$5+1,1-1)</f>
        <v>41729</v>
      </c>
      <c r="D6" s="4"/>
      <c r="E6" s="4"/>
      <c r="F6" s="4"/>
      <c r="G6" s="4"/>
      <c r="H6" s="10" t="s">
        <v>13</v>
      </c>
      <c r="I6" s="11" t="str">
        <f>"2014/1"</f>
        <v>2014/1</v>
      </c>
    </row>
    <row r="7" spans="1:18" x14ac:dyDescent="0.2">
      <c r="A7" s="30"/>
      <c r="C7" s="4" t="str">
        <f>"1/1/2014..3/31/2014"</f>
        <v>1/1/2014..3/31/2014</v>
      </c>
      <c r="D7" s="4"/>
      <c r="E7" s="4"/>
      <c r="F7" s="4"/>
      <c r="G7" s="4"/>
      <c r="H7" s="10" t="s">
        <v>14</v>
      </c>
      <c r="I7" s="11" t="str">
        <f>"2014/3"</f>
        <v>2014/3</v>
      </c>
    </row>
    <row r="8" spans="1:18" x14ac:dyDescent="0.2">
      <c r="A8" s="30"/>
      <c r="C8" s="4"/>
      <c r="D8" s="4"/>
      <c r="E8" s="4"/>
      <c r="F8" s="4"/>
      <c r="G8" s="4"/>
      <c r="H8" s="10" t="s">
        <v>15</v>
      </c>
      <c r="I8" s="11" t="str">
        <f>"31..34"</f>
        <v>31..34</v>
      </c>
    </row>
    <row r="9" spans="1:18" x14ac:dyDescent="0.2">
      <c r="A9" s="30"/>
      <c r="C9" s="4"/>
      <c r="D9" s="4"/>
      <c r="E9" s="4"/>
      <c r="F9" s="4"/>
      <c r="G9" s="4"/>
      <c r="H9" s="10" t="s">
        <v>16</v>
      </c>
      <c r="I9" s="11" t="str">
        <f>"BUDGET 4"</f>
        <v>BUDGET 4</v>
      </c>
      <c r="N9" s="28" t="s">
        <v>17</v>
      </c>
      <c r="O9" s="27">
        <v>43437</v>
      </c>
    </row>
    <row r="10" spans="1:18" x14ac:dyDescent="0.2">
      <c r="A10" s="30"/>
      <c r="C10" s="4"/>
      <c r="D10" s="4"/>
      <c r="E10" s="4"/>
      <c r="F10" s="4"/>
      <c r="G10" s="4"/>
      <c r="H10" s="10"/>
      <c r="I10" s="11"/>
    </row>
    <row r="11" spans="1:18" ht="14.25" x14ac:dyDescent="0.25">
      <c r="A11" s="30"/>
      <c r="C11" s="4"/>
      <c r="D11" s="4"/>
      <c r="E11" s="4"/>
      <c r="F11" s="4"/>
      <c r="G11" s="4"/>
      <c r="J11" s="20" t="s">
        <v>11</v>
      </c>
      <c r="K11" s="20" t="s">
        <v>6</v>
      </c>
      <c r="L11" s="20" t="s">
        <v>774</v>
      </c>
      <c r="M11" s="20" t="s">
        <v>7</v>
      </c>
      <c r="N11" s="20" t="s">
        <v>1</v>
      </c>
      <c r="O11" s="20" t="s">
        <v>2</v>
      </c>
    </row>
    <row r="12" spans="1:18" ht="14.25" x14ac:dyDescent="0.25">
      <c r="A12" s="30"/>
      <c r="C12" s="12">
        <v>31</v>
      </c>
      <c r="D12" s="2"/>
      <c r="E12" s="2"/>
      <c r="F12" s="2"/>
      <c r="G12" s="2"/>
      <c r="H12" s="20" t="str">
        <f>"Sales"</f>
        <v>Sales</v>
      </c>
      <c r="I12" s="13"/>
      <c r="J12" s="13"/>
      <c r="K12" s="13"/>
      <c r="L12" s="13"/>
      <c r="M12" s="13"/>
      <c r="N12" s="13"/>
      <c r="O12" s="13"/>
    </row>
    <row r="13" spans="1:18" ht="17.25" customHeight="1" collapsed="1" x14ac:dyDescent="0.2">
      <c r="A13" s="30"/>
      <c r="C13" s="14" t="str">
        <f>"000-4100-00"</f>
        <v>000-4100-00</v>
      </c>
      <c r="D13" s="2">
        <v>112</v>
      </c>
      <c r="E13" s="2"/>
      <c r="F13" s="2" t="s">
        <v>10</v>
      </c>
      <c r="G13" s="2" t="s">
        <v>8</v>
      </c>
      <c r="H13" s="13" t="str">
        <f>"  "&amp;C13</f>
        <v xml:space="preserve">  000-4100-00</v>
      </c>
      <c r="I13" s="15" t="str">
        <f>"Sales"</f>
        <v>Sales</v>
      </c>
      <c r="J13" s="16">
        <f>SUM(J14:J15)</f>
        <v>0</v>
      </c>
      <c r="K13" s="13"/>
      <c r="L13" s="13"/>
      <c r="M13" s="13"/>
      <c r="N13" s="17">
        <v>0</v>
      </c>
      <c r="O13" s="16">
        <f>J13-N13</f>
        <v>0</v>
      </c>
    </row>
    <row r="14" spans="1:18" hidden="1" outlineLevel="1" x14ac:dyDescent="0.2">
      <c r="A14" s="30"/>
      <c r="C14" s="18"/>
      <c r="D14" s="4"/>
      <c r="E14" s="19" t="str">
        <f>""</f>
        <v/>
      </c>
      <c r="F14" s="4" t="str">
        <f>""</f>
        <v/>
      </c>
      <c r="G14" s="4" t="str">
        <f>""</f>
        <v/>
      </c>
      <c r="J14" s="31" t="str">
        <f>IF(AND(F14="",G14=""),"",$F14-$G14)</f>
        <v/>
      </c>
      <c r="K14" s="32" t="str">
        <f>""</f>
        <v/>
      </c>
      <c r="L14" s="32" t="str">
        <f>""</f>
        <v/>
      </c>
      <c r="M14" s="33" t="str">
        <f>""</f>
        <v/>
      </c>
      <c r="N14" s="31"/>
      <c r="R14" s="2">
        <f>R13+1</f>
        <v>1</v>
      </c>
    </row>
    <row r="15" spans="1:18" hidden="1" x14ac:dyDescent="0.2">
      <c r="A15" s="29" t="s">
        <v>4</v>
      </c>
      <c r="C15" s="18"/>
    </row>
    <row r="16" spans="1:18" ht="17.25" customHeight="1" collapsed="1" x14ac:dyDescent="0.2">
      <c r="A16" s="30" t="s">
        <v>53</v>
      </c>
      <c r="C16" s="14" t="str">
        <f>"000-4110-01"</f>
        <v>000-4110-01</v>
      </c>
      <c r="D16" s="2">
        <v>113</v>
      </c>
      <c r="E16" s="2"/>
      <c r="F16" s="2" t="s">
        <v>10</v>
      </c>
      <c r="G16" s="2" t="s">
        <v>8</v>
      </c>
      <c r="H16" s="13" t="str">
        <f>"  "&amp;C16</f>
        <v xml:space="preserve">  000-4110-01</v>
      </c>
      <c r="I16" s="15" t="str">
        <f>"US Sales - Retail/Parts"</f>
        <v>US Sales - Retail/Parts</v>
      </c>
      <c r="J16" s="16">
        <f>SUM(J17:J120)</f>
        <v>-1020187.0799999998</v>
      </c>
      <c r="K16" s="13"/>
      <c r="L16" s="13"/>
      <c r="M16" s="13"/>
      <c r="N16" s="17">
        <v>-3579884.94</v>
      </c>
      <c r="O16" s="16">
        <f>J16-N16</f>
        <v>2559697.8600000003</v>
      </c>
    </row>
    <row r="17" spans="1:18" hidden="1" outlineLevel="1" x14ac:dyDescent="0.2">
      <c r="A17" s="30" t="s">
        <v>53</v>
      </c>
      <c r="C17" s="18"/>
      <c r="D17" s="4"/>
      <c r="E17" s="19" t="str">
        <f>"""GP Direct"",""Fabrikam, Inc."",""Jet GL Transactions"",""Account Index"",""113"",""Credit Amount"",""0.00000"",""Document Number"",""CM110000"",""Debit Amount"",""1855.79000"",""Vendor Name"",""Holling Communications Inc."",""Transaction Description"",""CRMEMO"",""Transaction Date"","""&amp;"1/1/2014"""</f>
        <v>"GP Direct","Fabrikam, Inc.","Jet GL Transactions","Account Index","113","Credit Amount","0.00000","Document Number","CM110000","Debit Amount","1855.79000","Vendor Name","Holling Communications Inc.","Transaction Description","CRMEMO","Transaction Date","1/1/2014"</v>
      </c>
      <c r="F17" s="4">
        <v>1855.79</v>
      </c>
      <c r="G17" s="4">
        <v>0</v>
      </c>
      <c r="J17" s="31">
        <f t="shared" ref="J17:J48" si="0">IF(AND(F17="",G17=""),"",$F17-$G17)</f>
        <v>1855.79</v>
      </c>
      <c r="K17" s="32" t="str">
        <f t="shared" ref="K17:K30" si="1">"CRMEMO"</f>
        <v>CRMEMO</v>
      </c>
      <c r="L17" s="32" t="str">
        <f>"CM110000"</f>
        <v>CM110000</v>
      </c>
      <c r="M17" s="33">
        <v>41640</v>
      </c>
      <c r="N17" s="31"/>
      <c r="R17" s="2">
        <f t="shared" ref="R17" si="2">R16+1</f>
        <v>1</v>
      </c>
    </row>
    <row r="18" spans="1:18" hidden="1" outlineLevel="1" x14ac:dyDescent="0.2">
      <c r="A18" s="30" t="s">
        <v>53</v>
      </c>
      <c r="C18" s="18"/>
      <c r="D18" s="4"/>
      <c r="E18" s="19" t="str">
        <f>"""GP Direct"",""Fabrikam, Inc."",""Jet GL Transactions"",""Account Index"",""113"",""Credit Amount"",""0.00000"",""Document Number"",""CM111000"",""Debit Amount"",""7245.28000"",""Vendor Name"",""International Mailing Corp."",""Transaction Description"",""CRMEMO"",""Transaction Date"","""&amp;"1/1/2014"""</f>
        <v>"GP Direct","Fabrikam, Inc.","Jet GL Transactions","Account Index","113","Credit Amount","0.00000","Document Number","CM111000","Debit Amount","7245.28000","Vendor Name","International Mailing Corp.","Transaction Description","CRMEMO","Transaction Date","1/1/2014"</v>
      </c>
      <c r="F18" s="4">
        <v>7245.28</v>
      </c>
      <c r="G18" s="4">
        <v>0</v>
      </c>
      <c r="J18" s="31">
        <f t="shared" si="0"/>
        <v>7245.28</v>
      </c>
      <c r="K18" s="32" t="str">
        <f t="shared" si="1"/>
        <v>CRMEMO</v>
      </c>
      <c r="L18" s="32" t="str">
        <f>"CM111000"</f>
        <v>CM111000</v>
      </c>
      <c r="M18" s="33">
        <v>41640</v>
      </c>
      <c r="N18" s="31"/>
      <c r="R18" s="2">
        <f t="shared" ref="R18:R81" si="3">R17+1</f>
        <v>2</v>
      </c>
    </row>
    <row r="19" spans="1:18" hidden="1" outlineLevel="1" x14ac:dyDescent="0.2">
      <c r="A19" s="30" t="s">
        <v>53</v>
      </c>
      <c r="C19" s="18"/>
      <c r="D19" s="4"/>
      <c r="E19" s="19" t="str">
        <f>"""GP Direct"",""Fabrikam, Inc."",""Jet GL Transactions"",""Account Index"",""113"",""Credit Amount"",""0.00000"",""Document Number"",""CM111001"",""Debit Amount"",""15250.00000"",""Vendor Name"",""International Mailing Corp."",""Transaction Description"",""CRMEMO"",""Transaction Date"","&amp;"""1/1/2014"""</f>
        <v>"GP Direct","Fabrikam, Inc.","Jet GL Transactions","Account Index","113","Credit Amount","0.00000","Document Number","CM111001","Debit Amount","15250.00000","Vendor Name","International Mailing Corp.","Transaction Description","CRMEMO","Transaction Date","1/1/2014"</v>
      </c>
      <c r="F19" s="4">
        <v>15250</v>
      </c>
      <c r="G19" s="4">
        <v>0</v>
      </c>
      <c r="J19" s="31">
        <f t="shared" si="0"/>
        <v>15250</v>
      </c>
      <c r="K19" s="32" t="str">
        <f t="shared" si="1"/>
        <v>CRMEMO</v>
      </c>
      <c r="L19" s="32" t="str">
        <f>"CM111001"</f>
        <v>CM111001</v>
      </c>
      <c r="M19" s="33">
        <v>41640</v>
      </c>
      <c r="N19" s="31"/>
      <c r="R19" s="2">
        <f t="shared" si="3"/>
        <v>3</v>
      </c>
    </row>
    <row r="20" spans="1:18" hidden="1" outlineLevel="1" x14ac:dyDescent="0.2">
      <c r="A20" s="30" t="s">
        <v>53</v>
      </c>
      <c r="C20" s="18"/>
      <c r="D20" s="4"/>
      <c r="E20" s="19" t="str">
        <f>"""GP Direct"",""Fabrikam, Inc."",""Jet GL Transactions"",""Account Index"",""113"",""Credit Amount"",""0.00000"",""Document Number"",""CM112000"",""Debit Amount"",""18.57000"",""Vendor Name"",""Central Illinois Hospital"",""Transaction Description"",""CRMEMO"",""Transaction Date"",""1/1/"&amp;"2014"""</f>
        <v>"GP Direct","Fabrikam, Inc.","Jet GL Transactions","Account Index","113","Credit Amount","0.00000","Document Number","CM112000","Debit Amount","18.57000","Vendor Name","Central Illinois Hospital","Transaction Description","CRMEMO","Transaction Date","1/1/2014"</v>
      </c>
      <c r="F20" s="4">
        <v>18.57</v>
      </c>
      <c r="G20" s="4">
        <v>0</v>
      </c>
      <c r="J20" s="31">
        <f t="shared" si="0"/>
        <v>18.57</v>
      </c>
      <c r="K20" s="32" t="str">
        <f t="shared" si="1"/>
        <v>CRMEMO</v>
      </c>
      <c r="L20" s="32" t="str">
        <f>"CM112000"</f>
        <v>CM112000</v>
      </c>
      <c r="M20" s="33">
        <v>41640</v>
      </c>
      <c r="N20" s="31"/>
      <c r="R20" s="2">
        <f t="shared" si="3"/>
        <v>4</v>
      </c>
    </row>
    <row r="21" spans="1:18" hidden="1" outlineLevel="1" x14ac:dyDescent="0.2">
      <c r="A21" s="30" t="s">
        <v>53</v>
      </c>
      <c r="C21" s="18"/>
      <c r="D21" s="4"/>
      <c r="E21" s="19" t="str">
        <f>"""GP Direct"",""Fabrikam, Inc."",""Jet GL Transactions"",""Account Index"",""113"",""Credit Amount"",""0.00000"",""Document Number"",""CM115000"",""Debit Amount"",""845.67000"",""Vendor Name"",""Coho Winery"",""Transaction Description"",""CRMEMO"",""Transaction Date"",""1/1/2014"""</f>
        <v>"GP Direct","Fabrikam, Inc.","Jet GL Transactions","Account Index","113","Credit Amount","0.00000","Document Number","CM115000","Debit Amount","845.67000","Vendor Name","Coho Winery","Transaction Description","CRMEMO","Transaction Date","1/1/2014"</v>
      </c>
      <c r="F21" s="4">
        <v>845.67</v>
      </c>
      <c r="G21" s="4">
        <v>0</v>
      </c>
      <c r="J21" s="31">
        <f t="shared" si="0"/>
        <v>845.67</v>
      </c>
      <c r="K21" s="32" t="str">
        <f t="shared" si="1"/>
        <v>CRMEMO</v>
      </c>
      <c r="L21" s="32" t="str">
        <f>"CM115000"</f>
        <v>CM115000</v>
      </c>
      <c r="M21" s="33">
        <v>41640</v>
      </c>
      <c r="N21" s="31"/>
      <c r="R21" s="2">
        <f t="shared" si="3"/>
        <v>5</v>
      </c>
    </row>
    <row r="22" spans="1:18" hidden="1" outlineLevel="1" x14ac:dyDescent="0.2">
      <c r="A22" s="30" t="s">
        <v>53</v>
      </c>
      <c r="C22" s="18"/>
      <c r="D22" s="4"/>
      <c r="E22" s="19" t="str">
        <f>"""GP Direct"",""Fabrikam, Inc."",""Jet GL Transactions"",""Account Index"",""113"",""Credit Amount"",""0.00000"",""Document Number"",""CM121001"",""Debit Amount"",""1287.04000"",""Vendor Name"",""Rainbow Research"",""Transaction Description"",""CRMEMO"",""Transaction Date"",""1/1/2014"""</f>
        <v>"GP Direct","Fabrikam, Inc.","Jet GL Transactions","Account Index","113","Credit Amount","0.00000","Document Number","CM121001","Debit Amount","1287.04000","Vendor Name","Rainbow Research","Transaction Description","CRMEMO","Transaction Date","1/1/2014"</v>
      </c>
      <c r="F22" s="4">
        <v>1287.04</v>
      </c>
      <c r="G22" s="4">
        <v>0</v>
      </c>
      <c r="J22" s="31">
        <f t="shared" si="0"/>
        <v>1287.04</v>
      </c>
      <c r="K22" s="32" t="str">
        <f t="shared" si="1"/>
        <v>CRMEMO</v>
      </c>
      <c r="L22" s="32" t="str">
        <f>"CM121001"</f>
        <v>CM121001</v>
      </c>
      <c r="M22" s="33">
        <v>41640</v>
      </c>
      <c r="N22" s="31"/>
      <c r="R22" s="2">
        <f t="shared" si="3"/>
        <v>6</v>
      </c>
    </row>
    <row r="23" spans="1:18" hidden="1" outlineLevel="1" x14ac:dyDescent="0.2">
      <c r="A23" s="30" t="s">
        <v>53</v>
      </c>
      <c r="C23" s="18"/>
      <c r="D23" s="4"/>
      <c r="E23" s="19" t="str">
        <f>"""GP Direct"",""Fabrikam, Inc."",""Jet GL Transactions"",""Account Index"",""113"",""Credit Amount"",""0.00000"",""Document Number"",""CM126002"",""Debit Amount"",""1712.08000"",""Vendor Name"",""Snelling Communications Inc."",""Transaction Description"",""CRMEMO"",""Transaction Date"","&amp;"""1/1/2014"""</f>
        <v>"GP Direct","Fabrikam, Inc.","Jet GL Transactions","Account Index","113","Credit Amount","0.00000","Document Number","CM126002","Debit Amount","1712.08000","Vendor Name","Snelling Communications Inc.","Transaction Description","CRMEMO","Transaction Date","1/1/2014"</v>
      </c>
      <c r="F23" s="4">
        <v>1712.08</v>
      </c>
      <c r="G23" s="4">
        <v>0</v>
      </c>
      <c r="J23" s="31">
        <f t="shared" si="0"/>
        <v>1712.08</v>
      </c>
      <c r="K23" s="32" t="str">
        <f t="shared" si="1"/>
        <v>CRMEMO</v>
      </c>
      <c r="L23" s="32" t="str">
        <f>"CM126002"</f>
        <v>CM126002</v>
      </c>
      <c r="M23" s="33">
        <v>41640</v>
      </c>
      <c r="N23" s="31"/>
      <c r="R23" s="2">
        <f t="shared" si="3"/>
        <v>7</v>
      </c>
    </row>
    <row r="24" spans="1:18" hidden="1" outlineLevel="1" x14ac:dyDescent="0.2">
      <c r="A24" s="30" t="s">
        <v>53</v>
      </c>
      <c r="C24" s="18"/>
      <c r="D24" s="4"/>
      <c r="E24" s="19" t="str">
        <f>"""GP Direct"",""Fabrikam, Inc."",""Jet GL Transactions"",""Account Index"",""113"",""Credit Amount"",""0.00000"",""Document Number"",""CM13000"",""Debit Amount"",""488.79000"",""Vendor Name"",""Advanced Paper Co."",""Transaction Description"",""CRMEMO"",""Transaction Date"",""1/1/2014"""</f>
        <v>"GP Direct","Fabrikam, Inc.","Jet GL Transactions","Account Index","113","Credit Amount","0.00000","Document Number","CM13000","Debit Amount","488.79000","Vendor Name","Advanced Paper Co.","Transaction Description","CRMEMO","Transaction Date","1/1/2014"</v>
      </c>
      <c r="F24" s="4">
        <v>488.79</v>
      </c>
      <c r="G24" s="4">
        <v>0</v>
      </c>
      <c r="J24" s="31">
        <f t="shared" si="0"/>
        <v>488.79</v>
      </c>
      <c r="K24" s="32" t="str">
        <f t="shared" si="1"/>
        <v>CRMEMO</v>
      </c>
      <c r="L24" s="32" t="str">
        <f>"CM13000"</f>
        <v>CM13000</v>
      </c>
      <c r="M24" s="33">
        <v>41640</v>
      </c>
      <c r="N24" s="31"/>
      <c r="R24" s="2">
        <f t="shared" si="3"/>
        <v>8</v>
      </c>
    </row>
    <row r="25" spans="1:18" hidden="1" outlineLevel="1" x14ac:dyDescent="0.2">
      <c r="A25" s="30" t="s">
        <v>53</v>
      </c>
      <c r="C25" s="18"/>
      <c r="D25" s="4"/>
      <c r="E25" s="19" t="str">
        <f>"""GP Direct"",""Fabrikam, Inc."",""Jet GL Transactions"",""Account Index"",""113"",""Credit Amount"",""0.00000"",""Document Number"",""CM13001"",""Debit Amount"",""655.89000"",""Vendor Name"",""Advanced Paper Co."",""Transaction Description"",""CRMEMO"",""Transaction Date"",""1/1/2014"""</f>
        <v>"GP Direct","Fabrikam, Inc.","Jet GL Transactions","Account Index","113","Credit Amount","0.00000","Document Number","CM13001","Debit Amount","655.89000","Vendor Name","Advanced Paper Co.","Transaction Description","CRMEMO","Transaction Date","1/1/2014"</v>
      </c>
      <c r="F25" s="4">
        <v>655.89</v>
      </c>
      <c r="G25" s="4">
        <v>0</v>
      </c>
      <c r="J25" s="31">
        <f t="shared" si="0"/>
        <v>655.89</v>
      </c>
      <c r="K25" s="32" t="str">
        <f t="shared" si="1"/>
        <v>CRMEMO</v>
      </c>
      <c r="L25" s="32" t="str">
        <f>"CM13001"</f>
        <v>CM13001</v>
      </c>
      <c r="M25" s="33">
        <v>41640</v>
      </c>
      <c r="N25" s="31"/>
      <c r="R25" s="2">
        <f t="shared" si="3"/>
        <v>9</v>
      </c>
    </row>
    <row r="26" spans="1:18" hidden="1" outlineLevel="1" x14ac:dyDescent="0.2">
      <c r="A26" s="30" t="s">
        <v>53</v>
      </c>
      <c r="C26" s="18"/>
      <c r="D26" s="4"/>
      <c r="E26" s="19" t="str">
        <f>"""GP Direct"",""Fabrikam, Inc."",""Jet GL Transactions"",""Account Index"",""113"",""Credit Amount"",""0.00000"",""Document Number"",""CM14000"",""Debit Amount"",""21.97000"",""Vendor Name"",""American Science Museum"",""Transaction Description"",""CRMEMO"",""Transaction Date"",""1/1/201"&amp;"4"""</f>
        <v>"GP Direct","Fabrikam, Inc.","Jet GL Transactions","Account Index","113","Credit Amount","0.00000","Document Number","CM14000","Debit Amount","21.97000","Vendor Name","American Science Museum","Transaction Description","CRMEMO","Transaction Date","1/1/2014"</v>
      </c>
      <c r="F26" s="4">
        <v>21.97</v>
      </c>
      <c r="G26" s="4">
        <v>0</v>
      </c>
      <c r="J26" s="31">
        <f t="shared" si="0"/>
        <v>21.97</v>
      </c>
      <c r="K26" s="32" t="str">
        <f t="shared" si="1"/>
        <v>CRMEMO</v>
      </c>
      <c r="L26" s="32" t="str">
        <f>"CM14000"</f>
        <v>CM14000</v>
      </c>
      <c r="M26" s="33">
        <v>41640</v>
      </c>
      <c r="N26" s="31"/>
      <c r="R26" s="2">
        <f t="shared" si="3"/>
        <v>10</v>
      </c>
    </row>
    <row r="27" spans="1:18" hidden="1" outlineLevel="1" x14ac:dyDescent="0.2">
      <c r="A27" s="30" t="s">
        <v>53</v>
      </c>
      <c r="C27" s="18"/>
      <c r="D27" s="4"/>
      <c r="E27" s="19" t="str">
        <f>"""GP Direct"",""Fabrikam, Inc."",""Jet GL Transactions"",""Account Index"",""113"",""Credit Amount"",""0.00000"",""Document Number"",""CM14066"",""Debit Amount"",""120.33000"",""Vendor Name"",""Novia Scotia Tech. Institute"",""Transaction Description"",""CRMEMO"",""Transaction Date"",""1"&amp;"/1/2014"""</f>
        <v>"GP Direct","Fabrikam, Inc.","Jet GL Transactions","Account Index","113","Credit Amount","0.00000","Document Number","CM14066","Debit Amount","120.33000","Vendor Name","Novia Scotia Tech. Institute","Transaction Description","CRMEMO","Transaction Date","1/1/2014"</v>
      </c>
      <c r="F27" s="4">
        <v>120.33</v>
      </c>
      <c r="G27" s="4">
        <v>0</v>
      </c>
      <c r="J27" s="31">
        <f t="shared" si="0"/>
        <v>120.33</v>
      </c>
      <c r="K27" s="32" t="str">
        <f t="shared" si="1"/>
        <v>CRMEMO</v>
      </c>
      <c r="L27" s="32" t="str">
        <f>"CM14066"</f>
        <v>CM14066</v>
      </c>
      <c r="M27" s="33">
        <v>41640</v>
      </c>
      <c r="N27" s="31"/>
      <c r="R27" s="2">
        <f t="shared" si="3"/>
        <v>11</v>
      </c>
    </row>
    <row r="28" spans="1:18" hidden="1" outlineLevel="1" x14ac:dyDescent="0.2">
      <c r="A28" s="30" t="s">
        <v>53</v>
      </c>
      <c r="C28" s="18"/>
      <c r="D28" s="4"/>
      <c r="E28" s="19" t="str">
        <f>"""GP Direct"",""Fabrikam, Inc."",""Jet GL Transactions"",""Account Index"",""113"",""Credit Amount"",""0.00000"",""Document Number"",""CM15001"",""Debit Amount"",""635.41000"",""Vendor Name"",""Cellular Express"",""Transaction Description"",""CRMEMO"",""Transaction Date"",""1/1/2014"""</f>
        <v>"GP Direct","Fabrikam, Inc.","Jet GL Transactions","Account Index","113","Credit Amount","0.00000","Document Number","CM15001","Debit Amount","635.41000","Vendor Name","Cellular Express","Transaction Description","CRMEMO","Transaction Date","1/1/2014"</v>
      </c>
      <c r="F28" s="4">
        <v>635.41</v>
      </c>
      <c r="G28" s="4">
        <v>0</v>
      </c>
      <c r="J28" s="31">
        <f t="shared" si="0"/>
        <v>635.41</v>
      </c>
      <c r="K28" s="32" t="str">
        <f t="shared" si="1"/>
        <v>CRMEMO</v>
      </c>
      <c r="L28" s="32" t="str">
        <f>"CM15001"</f>
        <v>CM15001</v>
      </c>
      <c r="M28" s="33">
        <v>41640</v>
      </c>
      <c r="N28" s="31"/>
      <c r="R28" s="2">
        <f t="shared" si="3"/>
        <v>12</v>
      </c>
    </row>
    <row r="29" spans="1:18" hidden="1" outlineLevel="1" x14ac:dyDescent="0.2">
      <c r="A29" s="30" t="s">
        <v>53</v>
      </c>
      <c r="C29" s="18"/>
      <c r="D29" s="4"/>
      <c r="E29" s="19" t="str">
        <f>"""GP Direct"",""Fabrikam, Inc."",""Jet GL Transactions"",""Account Index"",""113"",""Credit Amount"",""0.00000"",""Document Number"",""CM16222"",""Debit Amount"",""108.07000"",""Vendor Name"",""Multitech Office Components"",""Transaction Description"",""CRMEMO"",""Transaction Date"",""1/"&amp;"1/2014"""</f>
        <v>"GP Direct","Fabrikam, Inc.","Jet GL Transactions","Account Index","113","Credit Amount","0.00000","Document Number","CM16222","Debit Amount","108.07000","Vendor Name","Multitech Office Components","Transaction Description","CRMEMO","Transaction Date","1/1/2014"</v>
      </c>
      <c r="F29" s="4">
        <v>108.07</v>
      </c>
      <c r="G29" s="4">
        <v>0</v>
      </c>
      <c r="J29" s="31">
        <f t="shared" si="0"/>
        <v>108.07</v>
      </c>
      <c r="K29" s="32" t="str">
        <f t="shared" si="1"/>
        <v>CRMEMO</v>
      </c>
      <c r="L29" s="32" t="str">
        <f>"CM16222"</f>
        <v>CM16222</v>
      </c>
      <c r="M29" s="33">
        <v>41640</v>
      </c>
      <c r="N29" s="31"/>
      <c r="R29" s="2">
        <f t="shared" si="3"/>
        <v>13</v>
      </c>
    </row>
    <row r="30" spans="1:18" hidden="1" outlineLevel="1" x14ac:dyDescent="0.2">
      <c r="A30" s="30" t="s">
        <v>53</v>
      </c>
      <c r="C30" s="18"/>
      <c r="D30" s="4"/>
      <c r="E30" s="19" t="str">
        <f>"""GP Direct"",""Fabrikam, Inc."",""Jet GL Transactions"",""Account Index"",""113"",""Credit Amount"",""0.00000"",""Document Number"",""CM17000"",""Debit Amount"",""971.29000"",""Vendor Name"",""Crawfords, Inc."",""Transaction Description"",""CRMEMO"",""Transaction Date"",""1/1/2014"""</f>
        <v>"GP Direct","Fabrikam, Inc.","Jet GL Transactions","Account Index","113","Credit Amount","0.00000","Document Number","CM17000","Debit Amount","971.29000","Vendor Name","Crawfords, Inc.","Transaction Description","CRMEMO","Transaction Date","1/1/2014"</v>
      </c>
      <c r="F30" s="4">
        <v>971.29</v>
      </c>
      <c r="G30" s="4">
        <v>0</v>
      </c>
      <c r="J30" s="31">
        <f t="shared" si="0"/>
        <v>971.29</v>
      </c>
      <c r="K30" s="32" t="str">
        <f t="shared" si="1"/>
        <v>CRMEMO</v>
      </c>
      <c r="L30" s="32" t="str">
        <f>"CM17000"</f>
        <v>CM17000</v>
      </c>
      <c r="M30" s="33">
        <v>41640</v>
      </c>
      <c r="N30" s="31"/>
      <c r="R30" s="2">
        <f t="shared" si="3"/>
        <v>14</v>
      </c>
    </row>
    <row r="31" spans="1:18" hidden="1" outlineLevel="1" x14ac:dyDescent="0.2">
      <c r="A31" s="30" t="s">
        <v>53</v>
      </c>
      <c r="C31" s="18"/>
      <c r="D31" s="4"/>
      <c r="E31" s="19" t="str">
        <f>"""GP Direct"",""Fabrikam, Inc."",""Jet GL Transactions"",""Account Index"",""113"",""Credit Amount"",""0.00000"",""Document Number"",""SLS13061"",""Debit Amount"",""3190.09000"",""Vendor Name"",""Northern Family Hospital"",""Transaction Description"",""COGS"",""Transaction Date"",""1/1/2"&amp;"014"""</f>
        <v>"GP Direct","Fabrikam, Inc.","Jet GL Transactions","Account Index","113","Credit Amount","0.00000","Document Number","SLS13061","Debit Amount","3190.09000","Vendor Name","Northern Family Hospital","Transaction Description","COGS","Transaction Date","1/1/2014"</v>
      </c>
      <c r="F31" s="4">
        <v>3190.09</v>
      </c>
      <c r="G31" s="4">
        <v>0</v>
      </c>
      <c r="J31" s="31">
        <f t="shared" si="0"/>
        <v>3190.09</v>
      </c>
      <c r="K31" s="32" t="str">
        <f>"COGS"</f>
        <v>COGS</v>
      </c>
      <c r="L31" s="32" t="str">
        <f>"SLS13061"</f>
        <v>SLS13061</v>
      </c>
      <c r="M31" s="33">
        <v>41640</v>
      </c>
      <c r="N31" s="31"/>
      <c r="R31" s="2">
        <f t="shared" si="3"/>
        <v>15</v>
      </c>
    </row>
    <row r="32" spans="1:18" hidden="1" outlineLevel="1" x14ac:dyDescent="0.2">
      <c r="A32" s="30" t="s">
        <v>53</v>
      </c>
      <c r="C32" s="18"/>
      <c r="D32" s="4"/>
      <c r="E32" s="19" t="str">
        <f>"""GP Direct"",""Fabrikam, Inc."",""Jet GL Transactions"",""Account Index"",""113"",""Credit Amount"",""42.39000"",""Document Number"",""SLS17034"",""Debit Amount"",""0.00000"",""Vendor Name"",""Metropolitan Fiber Systems"",""Transaction Description"",""SALES"",""Transaction Date"",""1/1/"&amp;"2014"""</f>
        <v>"GP Direct","Fabrikam, Inc.","Jet GL Transactions","Account Index","113","Credit Amount","42.39000","Document Number","SLS17034","Debit Amount","0.00000","Vendor Name","Metropolitan Fiber Systems","Transaction Description","SALES","Transaction Date","1/1/2014"</v>
      </c>
      <c r="F32" s="4">
        <v>0</v>
      </c>
      <c r="G32" s="4">
        <v>42.39</v>
      </c>
      <c r="J32" s="31">
        <f t="shared" si="0"/>
        <v>-42.39</v>
      </c>
      <c r="K32" s="32" t="str">
        <f t="shared" ref="K32:K63" si="4">"SALES"</f>
        <v>SALES</v>
      </c>
      <c r="L32" s="32" t="str">
        <f>"SLS17034"</f>
        <v>SLS17034</v>
      </c>
      <c r="M32" s="33">
        <v>41640</v>
      </c>
      <c r="N32" s="31"/>
      <c r="R32" s="2">
        <f t="shared" si="3"/>
        <v>16</v>
      </c>
    </row>
    <row r="33" spans="1:18" hidden="1" outlineLevel="1" x14ac:dyDescent="0.2">
      <c r="A33" s="30" t="s">
        <v>53</v>
      </c>
      <c r="C33" s="18"/>
      <c r="D33" s="4"/>
      <c r="E33" s="19" t="str">
        <f>"""GP Direct"",""Fabrikam, Inc."",""Jet GL Transactions"",""Account Index"",""113"",""Credit Amount"",""634.50000"",""Document Number"",""SLS19002"",""Debit Amount"",""0.00000"",""Vendor Name"",""Greenway Foods"",""Transaction Description"",""SALES"",""Transaction Date"",""1/1/2014"""</f>
        <v>"GP Direct","Fabrikam, Inc.","Jet GL Transactions","Account Index","113","Credit Amount","634.50000","Document Number","SLS19002","Debit Amount","0.00000","Vendor Name","Greenway Foods","Transaction Description","SALES","Transaction Date","1/1/2014"</v>
      </c>
      <c r="F33" s="4">
        <v>0</v>
      </c>
      <c r="G33" s="4">
        <v>634.5</v>
      </c>
      <c r="J33" s="31">
        <f t="shared" si="0"/>
        <v>-634.5</v>
      </c>
      <c r="K33" s="32" t="str">
        <f t="shared" si="4"/>
        <v>SALES</v>
      </c>
      <c r="L33" s="32" t="str">
        <f>"SLS19002"</f>
        <v>SLS19002</v>
      </c>
      <c r="M33" s="33">
        <v>41640</v>
      </c>
      <c r="N33" s="31"/>
      <c r="R33" s="2">
        <f t="shared" si="3"/>
        <v>17</v>
      </c>
    </row>
    <row r="34" spans="1:18" hidden="1" outlineLevel="1" x14ac:dyDescent="0.2">
      <c r="A34" s="30" t="s">
        <v>53</v>
      </c>
      <c r="C34" s="18"/>
      <c r="D34" s="4"/>
      <c r="E34" s="19" t="str">
        <f>"""GP Direct"",""Fabrikam, Inc."",""Jet GL Transactions"",""Account Index"",""113"",""Credit Amount"",""988.50000"",""Document Number"",""SLS17003"",""Debit Amount"",""0.00000"",""Vendor Name"",""Midland Construction"",""Transaction Description"",""SALES"",""Transaction Date"",""1/1/2014"""</f>
        <v>"GP Direct","Fabrikam, Inc.","Jet GL Transactions","Account Index","113","Credit Amount","988.50000","Document Number","SLS17003","Debit Amount","0.00000","Vendor Name","Midland Construction","Transaction Description","SALES","Transaction Date","1/1/2014"</v>
      </c>
      <c r="F34" s="4">
        <v>0</v>
      </c>
      <c r="G34" s="4">
        <v>988.5</v>
      </c>
      <c r="J34" s="31">
        <f t="shared" si="0"/>
        <v>-988.5</v>
      </c>
      <c r="K34" s="32" t="str">
        <f t="shared" si="4"/>
        <v>SALES</v>
      </c>
      <c r="L34" s="32" t="str">
        <f>"SLS17003"</f>
        <v>SLS17003</v>
      </c>
      <c r="M34" s="33">
        <v>41640</v>
      </c>
      <c r="N34" s="31"/>
      <c r="R34" s="2">
        <f t="shared" si="3"/>
        <v>18</v>
      </c>
    </row>
    <row r="35" spans="1:18" hidden="1" outlineLevel="1" x14ac:dyDescent="0.2">
      <c r="A35" s="30" t="s">
        <v>53</v>
      </c>
      <c r="C35" s="18"/>
      <c r="D35" s="4"/>
      <c r="E35" s="19" t="str">
        <f>"""GP Direct"",""Fabrikam, Inc."",""Jet GL Transactions"",""Account Index"",""113"",""Credit Amount"",""1856.31000"",""Document Number"",""SLS117000"",""Debit Amount"",""0.00000"",""Vendor Name"",""Northern State College"",""Transaction Description"",""SALES"",""Transaction Date"",""1/1/2"&amp;"014"""</f>
        <v>"GP Direct","Fabrikam, Inc.","Jet GL Transactions","Account Index","113","Credit Amount","1856.31000","Document Number","SLS117000","Debit Amount","0.00000","Vendor Name","Northern State College","Transaction Description","SALES","Transaction Date","1/1/2014"</v>
      </c>
      <c r="F35" s="4">
        <v>0</v>
      </c>
      <c r="G35" s="4">
        <v>1856.31</v>
      </c>
      <c r="J35" s="31">
        <f t="shared" si="0"/>
        <v>-1856.31</v>
      </c>
      <c r="K35" s="32" t="str">
        <f t="shared" si="4"/>
        <v>SALES</v>
      </c>
      <c r="L35" s="32" t="str">
        <f>"SLS117000"</f>
        <v>SLS117000</v>
      </c>
      <c r="M35" s="33">
        <v>41640</v>
      </c>
      <c r="N35" s="31"/>
      <c r="R35" s="2">
        <f t="shared" si="3"/>
        <v>19</v>
      </c>
    </row>
    <row r="36" spans="1:18" hidden="1" outlineLevel="1" x14ac:dyDescent="0.2">
      <c r="A36" s="30" t="s">
        <v>53</v>
      </c>
      <c r="C36" s="18"/>
      <c r="D36" s="4"/>
      <c r="E36" s="19" t="str">
        <f>"""GP Direct"",""Fabrikam, Inc."",""Jet GL Transactions"",""Account Index"",""113"",""Credit Amount"",""1945.89000"",""Document Number"",""SLS15012"",""Debit Amount"",""0.00000"",""Vendor Name"",""Home Furnishings Limited"",""Transaction Description"",""SALES"",""Transaction Date"",""1/1/"&amp;"2014"""</f>
        <v>"GP Direct","Fabrikam, Inc.","Jet GL Transactions","Account Index","113","Credit Amount","1945.89000","Document Number","SLS15012","Debit Amount","0.00000","Vendor Name","Home Furnishings Limited","Transaction Description","SALES","Transaction Date","1/1/2014"</v>
      </c>
      <c r="F36" s="4">
        <v>0</v>
      </c>
      <c r="G36" s="4">
        <v>1945.89</v>
      </c>
      <c r="J36" s="31">
        <f t="shared" si="0"/>
        <v>-1945.89</v>
      </c>
      <c r="K36" s="32" t="str">
        <f t="shared" si="4"/>
        <v>SALES</v>
      </c>
      <c r="L36" s="32" t="str">
        <f>"SLS15012"</f>
        <v>SLS15012</v>
      </c>
      <c r="M36" s="33">
        <v>41640</v>
      </c>
      <c r="N36" s="31"/>
      <c r="R36" s="2">
        <f t="shared" si="3"/>
        <v>20</v>
      </c>
    </row>
    <row r="37" spans="1:18" hidden="1" outlineLevel="1" x14ac:dyDescent="0.2">
      <c r="A37" s="30" t="s">
        <v>53</v>
      </c>
      <c r="C37" s="18"/>
      <c r="D37" s="4"/>
      <c r="E37" s="19" t="str">
        <f>"""GP Direct"",""Fabrikam, Inc."",""Jet GL Transactions"",""Account Index"",""113"",""Credit Amount"",""2488.97000"",""Document Number"",""SLS15080"",""Debit Amount"",""0.00000"",""Vendor Name"",""Riverside University"",""Transaction Description"",""SALES"",""Transaction Date"",""1/1/2014"&amp;""""</f>
        <v>"GP Direct","Fabrikam, Inc.","Jet GL Transactions","Account Index","113","Credit Amount","2488.97000","Document Number","SLS15080","Debit Amount","0.00000","Vendor Name","Riverside University","Transaction Description","SALES","Transaction Date","1/1/2014"</v>
      </c>
      <c r="F37" s="4">
        <v>0</v>
      </c>
      <c r="G37" s="4">
        <v>2488.9699999999998</v>
      </c>
      <c r="J37" s="31">
        <f t="shared" si="0"/>
        <v>-2488.9699999999998</v>
      </c>
      <c r="K37" s="32" t="str">
        <f t="shared" si="4"/>
        <v>SALES</v>
      </c>
      <c r="L37" s="32" t="str">
        <f>"SLS15080"</f>
        <v>SLS15080</v>
      </c>
      <c r="M37" s="33">
        <v>41640</v>
      </c>
      <c r="N37" s="31"/>
      <c r="R37" s="2">
        <f t="shared" si="3"/>
        <v>21</v>
      </c>
    </row>
    <row r="38" spans="1:18" hidden="1" outlineLevel="1" x14ac:dyDescent="0.2">
      <c r="A38" s="30" t="s">
        <v>53</v>
      </c>
      <c r="C38" s="18"/>
      <c r="D38" s="4"/>
      <c r="E38" s="19" t="str">
        <f>"""GP Direct"",""Fabrikam, Inc."",""Jet GL Transactions"",""Account Index"",""113"",""Credit Amount"",""2533.19000"",""Document Number"",""SLS120001"",""Debit Amount"",""0.00000"",""Vendor Name"",""Franchise Office Machines"",""Transaction Description"",""SALES"",""Transaction Date"",""1/"&amp;"1/2014"""</f>
        <v>"GP Direct","Fabrikam, Inc.","Jet GL Transactions","Account Index","113","Credit Amount","2533.19000","Document Number","SLS120001","Debit Amount","0.00000","Vendor Name","Franchise Office Machines","Transaction Description","SALES","Transaction Date","1/1/2014"</v>
      </c>
      <c r="F38" s="4">
        <v>0</v>
      </c>
      <c r="G38" s="4">
        <v>2533.19</v>
      </c>
      <c r="J38" s="31">
        <f t="shared" si="0"/>
        <v>-2533.19</v>
      </c>
      <c r="K38" s="32" t="str">
        <f t="shared" si="4"/>
        <v>SALES</v>
      </c>
      <c r="L38" s="32" t="str">
        <f>"SLS120001"</f>
        <v>SLS120001</v>
      </c>
      <c r="M38" s="33">
        <v>41640</v>
      </c>
      <c r="N38" s="31"/>
      <c r="R38" s="2">
        <f t="shared" si="3"/>
        <v>22</v>
      </c>
    </row>
    <row r="39" spans="1:18" hidden="1" outlineLevel="1" x14ac:dyDescent="0.2">
      <c r="A39" s="30" t="s">
        <v>53</v>
      </c>
      <c r="C39" s="18"/>
      <c r="D39" s="4"/>
      <c r="E39" s="19" t="str">
        <f>"""GP Direct"",""Fabrikam, Inc."",""Jet GL Transactions"",""Account Index"",""113"",""Credit Amount"",""2599.67000"",""Document Number"",""SLS12061"",""Debit Amount"",""0.00000"",""Vendor Name"",""LeClerc &amp; Associates"",""Transaction Description"",""SALES"",""Transaction Date"",""1/1/2014"&amp;""""</f>
        <v>"GP Direct","Fabrikam, Inc.","Jet GL Transactions","Account Index","113","Credit Amount","2599.67000","Document Number","SLS12061","Debit Amount","0.00000","Vendor Name","LeClerc &amp; Associates","Transaction Description","SALES","Transaction Date","1/1/2014"</v>
      </c>
      <c r="F39" s="4">
        <v>0</v>
      </c>
      <c r="G39" s="4">
        <v>2599.67</v>
      </c>
      <c r="J39" s="31">
        <f t="shared" si="0"/>
        <v>-2599.67</v>
      </c>
      <c r="K39" s="32" t="str">
        <f t="shared" si="4"/>
        <v>SALES</v>
      </c>
      <c r="L39" s="32" t="str">
        <f>"SLS12061"</f>
        <v>SLS12061</v>
      </c>
      <c r="M39" s="33">
        <v>41640</v>
      </c>
      <c r="N39" s="31"/>
      <c r="R39" s="2">
        <f t="shared" si="3"/>
        <v>23</v>
      </c>
    </row>
    <row r="40" spans="1:18" hidden="1" outlineLevel="1" x14ac:dyDescent="0.2">
      <c r="A40" s="30" t="s">
        <v>53</v>
      </c>
      <c r="C40" s="18"/>
      <c r="D40" s="4"/>
      <c r="E40" s="19" t="str">
        <f>"""GP Direct"",""Fabrikam, Inc."",""Jet GL Transactions"",""Account Index"",""113"",""Credit Amount"",""2988.78000"",""Document Number"",""SLS13072"",""Debit Amount"",""0.00000"",""Vendor Name"",""Communication Connections"",""Transaction Description"",""SALES"",""Transaction Date"",""1/1"&amp;"/2014"""</f>
        <v>"GP Direct","Fabrikam, Inc.","Jet GL Transactions","Account Index","113","Credit Amount","2988.78000","Document Number","SLS13072","Debit Amount","0.00000","Vendor Name","Communication Connections","Transaction Description","SALES","Transaction Date","1/1/2014"</v>
      </c>
      <c r="F40" s="4">
        <v>0</v>
      </c>
      <c r="G40" s="4">
        <v>2988.78</v>
      </c>
      <c r="J40" s="31">
        <f t="shared" si="0"/>
        <v>-2988.78</v>
      </c>
      <c r="K40" s="32" t="str">
        <f t="shared" si="4"/>
        <v>SALES</v>
      </c>
      <c r="L40" s="32" t="str">
        <f>"SLS13072"</f>
        <v>SLS13072</v>
      </c>
      <c r="M40" s="33">
        <v>41640</v>
      </c>
      <c r="N40" s="31"/>
      <c r="R40" s="2">
        <f t="shared" si="3"/>
        <v>24</v>
      </c>
    </row>
    <row r="41" spans="1:18" hidden="1" outlineLevel="1" x14ac:dyDescent="0.2">
      <c r="A41" s="30" t="s">
        <v>53</v>
      </c>
      <c r="C41" s="18"/>
      <c r="D41" s="4"/>
      <c r="E41" s="19" t="str">
        <f>"""GP Direct"",""Fabrikam, Inc."",""Jet GL Transactions"",""Account Index"",""113"",""Credit Amount"",""3946.66000"",""Document Number"",""SLS17012"",""Debit Amount"",""0.00000"",""Vendor Name"",""Crawfords, Inc."",""Transaction Description"",""SALES"",""Transaction Date"",""1/1/2014"""</f>
        <v>"GP Direct","Fabrikam, Inc.","Jet GL Transactions","Account Index","113","Credit Amount","3946.66000","Document Number","SLS17012","Debit Amount","0.00000","Vendor Name","Crawfords, Inc.","Transaction Description","SALES","Transaction Date","1/1/2014"</v>
      </c>
      <c r="F41" s="4">
        <v>0</v>
      </c>
      <c r="G41" s="4">
        <v>3946.66</v>
      </c>
      <c r="J41" s="31">
        <f t="shared" si="0"/>
        <v>-3946.66</v>
      </c>
      <c r="K41" s="32" t="str">
        <f t="shared" si="4"/>
        <v>SALES</v>
      </c>
      <c r="L41" s="32" t="str">
        <f>"SLS17012"</f>
        <v>SLS17012</v>
      </c>
      <c r="M41" s="33">
        <v>41640</v>
      </c>
      <c r="N41" s="31"/>
      <c r="R41" s="2">
        <f t="shared" si="3"/>
        <v>25</v>
      </c>
    </row>
    <row r="42" spans="1:18" hidden="1" outlineLevel="1" x14ac:dyDescent="0.2">
      <c r="A42" s="30" t="s">
        <v>53</v>
      </c>
      <c r="C42" s="18"/>
      <c r="D42" s="4"/>
      <c r="E42" s="19" t="str">
        <f>"""GP Direct"",""Fabrikam, Inc."",""Jet GL Transactions"",""Account Index"",""113"",""Credit Amount"",""4500.00000"",""Document Number"",""SLS112031"",""Debit Amount"",""0.00000"",""Vendor Name"",""Northstar Mall"",""Transaction Description"",""SALES"",""Transaction Date"",""1/1/2014"""</f>
        <v>"GP Direct","Fabrikam, Inc.","Jet GL Transactions","Account Index","113","Credit Amount","4500.00000","Document Number","SLS112031","Debit Amount","0.00000","Vendor Name","Northstar Mall","Transaction Description","SALES","Transaction Date","1/1/2014"</v>
      </c>
      <c r="F42" s="4">
        <v>0</v>
      </c>
      <c r="G42" s="4">
        <v>4500</v>
      </c>
      <c r="J42" s="31">
        <f t="shared" si="0"/>
        <v>-4500</v>
      </c>
      <c r="K42" s="32" t="str">
        <f t="shared" si="4"/>
        <v>SALES</v>
      </c>
      <c r="L42" s="32" t="str">
        <f>"SLS112031"</f>
        <v>SLS112031</v>
      </c>
      <c r="M42" s="33">
        <v>41640</v>
      </c>
      <c r="N42" s="31"/>
      <c r="R42" s="2">
        <f t="shared" si="3"/>
        <v>26</v>
      </c>
    </row>
    <row r="43" spans="1:18" hidden="1" outlineLevel="1" x14ac:dyDescent="0.2">
      <c r="A43" s="30" t="s">
        <v>53</v>
      </c>
      <c r="C43" s="18"/>
      <c r="D43" s="4"/>
      <c r="E43" s="19" t="str">
        <f>"""GP Direct"",""Fabrikam, Inc."",""Jet GL Transactions"",""Account Index"",""113"",""Credit Amount"",""4585.75000"",""Document Number"",""SLS11031"",""Debit Amount"",""0.00000"",""Vendor Name"",""Compu-Tech Solutions"",""Transaction Description"",""SALES"",""Transaction Date"",""1/1/2014"&amp;""""</f>
        <v>"GP Direct","Fabrikam, Inc.","Jet GL Transactions","Account Index","113","Credit Amount","4585.75000","Document Number","SLS11031","Debit Amount","0.00000","Vendor Name","Compu-Tech Solutions","Transaction Description","SALES","Transaction Date","1/1/2014"</v>
      </c>
      <c r="F43" s="4">
        <v>0</v>
      </c>
      <c r="G43" s="4">
        <v>4585.75</v>
      </c>
      <c r="J43" s="31">
        <f t="shared" si="0"/>
        <v>-4585.75</v>
      </c>
      <c r="K43" s="32" t="str">
        <f t="shared" si="4"/>
        <v>SALES</v>
      </c>
      <c r="L43" s="32" t="str">
        <f>"SLS11031"</f>
        <v>SLS11031</v>
      </c>
      <c r="M43" s="33">
        <v>41640</v>
      </c>
      <c r="N43" s="31"/>
      <c r="R43" s="2">
        <f t="shared" si="3"/>
        <v>27</v>
      </c>
    </row>
    <row r="44" spans="1:18" hidden="1" outlineLevel="1" x14ac:dyDescent="0.2">
      <c r="A44" s="30" t="s">
        <v>53</v>
      </c>
      <c r="C44" s="18"/>
      <c r="D44" s="4"/>
      <c r="E44" s="19" t="str">
        <f>"""GP Direct"",""Fabrikam, Inc."",""Jet GL Transactions"",""Account Index"",""113"",""Credit Amount"",""4589.74000"",""Document Number"",""SLS12020"",""Debit Amount"",""0.00000"",""Vendor Name"",""American Electrical Contractor"",""Transaction Description"",""SALES"",""Transaction Date"""&amp;",""1/1/2014"""</f>
        <v>"GP Direct","Fabrikam, Inc.","Jet GL Transactions","Account Index","113","Credit Amount","4589.74000","Document Number","SLS12020","Debit Amount","0.00000","Vendor Name","American Electrical Contractor","Transaction Description","SALES","Transaction Date","1/1/2014"</v>
      </c>
      <c r="F44" s="4">
        <v>0</v>
      </c>
      <c r="G44" s="4">
        <v>4589.74</v>
      </c>
      <c r="J44" s="31">
        <f t="shared" si="0"/>
        <v>-4589.74</v>
      </c>
      <c r="K44" s="32" t="str">
        <f t="shared" si="4"/>
        <v>SALES</v>
      </c>
      <c r="L44" s="32" t="str">
        <f>"SLS12020"</f>
        <v>SLS12020</v>
      </c>
      <c r="M44" s="33">
        <v>41640</v>
      </c>
      <c r="N44" s="31"/>
      <c r="R44" s="2">
        <f t="shared" si="3"/>
        <v>28</v>
      </c>
    </row>
    <row r="45" spans="1:18" hidden="1" outlineLevel="1" x14ac:dyDescent="0.2">
      <c r="A45" s="30" t="s">
        <v>53</v>
      </c>
      <c r="C45" s="18"/>
      <c r="D45" s="4"/>
      <c r="E45" s="19" t="str">
        <f>"""GP Direct"",""Fabrikam, Inc."",""Jet GL Transactions"",""Account Index"",""113"",""Credit Amount"",""4625.87000"",""Document Number"",""SLS114012"",""Debit Amount"",""0.00000"",""Vendor Name"",""National Shopping World"",""Transaction Description"",""SALES"",""Transaction Date"",""1/1/"&amp;"2014"""</f>
        <v>"GP Direct","Fabrikam, Inc.","Jet GL Transactions","Account Index","113","Credit Amount","4625.87000","Document Number","SLS114012","Debit Amount","0.00000","Vendor Name","National Shopping World","Transaction Description","SALES","Transaction Date","1/1/2014"</v>
      </c>
      <c r="F45" s="4">
        <v>0</v>
      </c>
      <c r="G45" s="4">
        <v>4625.87</v>
      </c>
      <c r="J45" s="31">
        <f t="shared" si="0"/>
        <v>-4625.87</v>
      </c>
      <c r="K45" s="32" t="str">
        <f t="shared" si="4"/>
        <v>SALES</v>
      </c>
      <c r="L45" s="32" t="str">
        <f>"SLS114012"</f>
        <v>SLS114012</v>
      </c>
      <c r="M45" s="33">
        <v>41640</v>
      </c>
      <c r="N45" s="31"/>
      <c r="R45" s="2">
        <f t="shared" si="3"/>
        <v>29</v>
      </c>
    </row>
    <row r="46" spans="1:18" hidden="1" outlineLevel="1" x14ac:dyDescent="0.2">
      <c r="A46" s="30" t="s">
        <v>53</v>
      </c>
      <c r="C46" s="18"/>
      <c r="D46" s="4"/>
      <c r="E46" s="19" t="str">
        <f>"""GP Direct"",""Fabrikam, Inc."",""Jet GL Transactions"",""Account Index"",""113"",""Credit Amount"",""5000.00000"",""Document Number"",""SLS113050"",""Debit Amount"",""0.00000"",""Vendor Name"",""Mahler State University"",""Transaction Description"",""SALES"",""Transaction Date"",""1/1/"&amp;"2014"""</f>
        <v>"GP Direct","Fabrikam, Inc.","Jet GL Transactions","Account Index","113","Credit Amount","5000.00000","Document Number","SLS113050","Debit Amount","0.00000","Vendor Name","Mahler State University","Transaction Description","SALES","Transaction Date","1/1/2014"</v>
      </c>
      <c r="F46" s="4">
        <v>0</v>
      </c>
      <c r="G46" s="4">
        <v>5000</v>
      </c>
      <c r="J46" s="31">
        <f t="shared" si="0"/>
        <v>-5000</v>
      </c>
      <c r="K46" s="32" t="str">
        <f t="shared" si="4"/>
        <v>SALES</v>
      </c>
      <c r="L46" s="32" t="str">
        <f>"SLS113050"</f>
        <v>SLS113050</v>
      </c>
      <c r="M46" s="33">
        <v>41640</v>
      </c>
      <c r="N46" s="31"/>
      <c r="R46" s="2">
        <f t="shared" si="3"/>
        <v>30</v>
      </c>
    </row>
    <row r="47" spans="1:18" hidden="1" outlineLevel="1" x14ac:dyDescent="0.2">
      <c r="A47" s="30" t="s">
        <v>53</v>
      </c>
      <c r="C47" s="18"/>
      <c r="D47" s="4"/>
      <c r="E47" s="19" t="str">
        <f>"""GP Direct"",""Fabrikam, Inc."",""Jet GL Transactions"",""Account Index"",""113"",""Credit Amount"",""5112.33000"",""Document Number"",""SLS13015"",""Debit Amount"",""0.00000"",""Vendor Name"",""Adam Park Resort"",""Transaction Description"",""SALES"",""Transaction Date"",""1/1/2014"""</f>
        <v>"GP Direct","Fabrikam, Inc.","Jet GL Transactions","Account Index","113","Credit Amount","5112.33000","Document Number","SLS13015","Debit Amount","0.00000","Vendor Name","Adam Park Resort","Transaction Description","SALES","Transaction Date","1/1/2014"</v>
      </c>
      <c r="F47" s="4">
        <v>0</v>
      </c>
      <c r="G47" s="4">
        <v>5112.33</v>
      </c>
      <c r="J47" s="31">
        <f t="shared" si="0"/>
        <v>-5112.33</v>
      </c>
      <c r="K47" s="32" t="str">
        <f t="shared" si="4"/>
        <v>SALES</v>
      </c>
      <c r="L47" s="32" t="str">
        <f>"SLS13015"</f>
        <v>SLS13015</v>
      </c>
      <c r="M47" s="33">
        <v>41640</v>
      </c>
      <c r="N47" s="31"/>
      <c r="R47" s="2">
        <f t="shared" si="3"/>
        <v>31</v>
      </c>
    </row>
    <row r="48" spans="1:18" hidden="1" outlineLevel="1" x14ac:dyDescent="0.2">
      <c r="A48" s="30" t="s">
        <v>53</v>
      </c>
      <c r="C48" s="18"/>
      <c r="D48" s="4"/>
      <c r="E48" s="19" t="str">
        <f>"""GP Direct"",""Fabrikam, Inc."",""Jet GL Transactions"",""Account Index"",""113"",""Credit Amount"",""5334.34000"",""Document Number"",""SLS12074"",""Debit Amount"",""0.00000"",""Vendor Name"",""Castle Inn Resort"",""Transaction Description"",""SALES"",""Transaction Date"",""1/1/2014"""</f>
        <v>"GP Direct","Fabrikam, Inc.","Jet GL Transactions","Account Index","113","Credit Amount","5334.34000","Document Number","SLS12074","Debit Amount","0.00000","Vendor Name","Castle Inn Resort","Transaction Description","SALES","Transaction Date","1/1/2014"</v>
      </c>
      <c r="F48" s="4">
        <v>0</v>
      </c>
      <c r="G48" s="4">
        <v>5334.34</v>
      </c>
      <c r="J48" s="31">
        <f t="shared" si="0"/>
        <v>-5334.34</v>
      </c>
      <c r="K48" s="32" t="str">
        <f t="shared" si="4"/>
        <v>SALES</v>
      </c>
      <c r="L48" s="32" t="str">
        <f>"SLS12074"</f>
        <v>SLS12074</v>
      </c>
      <c r="M48" s="33">
        <v>41640</v>
      </c>
      <c r="N48" s="31"/>
      <c r="R48" s="2">
        <f t="shared" si="3"/>
        <v>32</v>
      </c>
    </row>
    <row r="49" spans="1:18" hidden="1" outlineLevel="1" x14ac:dyDescent="0.2">
      <c r="A49" s="30" t="s">
        <v>53</v>
      </c>
      <c r="C49" s="18"/>
      <c r="D49" s="4"/>
      <c r="E49" s="19" t="str">
        <f>"""GP Direct"",""Fabrikam, Inc."",""Jet GL Transactions"",""Account Index"",""113"",""Credit Amount"",""5344.34000"",""Document Number"",""SLS11074"",""Debit Amount"",""0.00000"",""Vendor Name"",""Advanced Tech Satellite System"",""Transaction Description"",""SALES"",""Transaction Date"""&amp;",""1/1/2014"""</f>
        <v>"GP Direct","Fabrikam, Inc.","Jet GL Transactions","Account Index","113","Credit Amount","5344.34000","Document Number","SLS11074","Debit Amount","0.00000","Vendor Name","Advanced Tech Satellite System","Transaction Description","SALES","Transaction Date","1/1/2014"</v>
      </c>
      <c r="F49" s="4">
        <v>0</v>
      </c>
      <c r="G49" s="4">
        <v>5344.34</v>
      </c>
      <c r="J49" s="31">
        <f t="shared" ref="J49:J80" si="5">IF(AND(F49="",G49=""),"",$F49-$G49)</f>
        <v>-5344.34</v>
      </c>
      <c r="K49" s="32" t="str">
        <f t="shared" si="4"/>
        <v>SALES</v>
      </c>
      <c r="L49" s="32" t="str">
        <f>"SLS11074"</f>
        <v>SLS11074</v>
      </c>
      <c r="M49" s="33">
        <v>41640</v>
      </c>
      <c r="N49" s="31"/>
      <c r="R49" s="2">
        <f t="shared" si="3"/>
        <v>33</v>
      </c>
    </row>
    <row r="50" spans="1:18" hidden="1" outlineLevel="1" x14ac:dyDescent="0.2">
      <c r="A50" s="30" t="s">
        <v>53</v>
      </c>
      <c r="C50" s="18"/>
      <c r="D50" s="4"/>
      <c r="E50" s="19" t="str">
        <f>"""GP Direct"",""Fabrikam, Inc."",""Jet GL Transactions"",""Account Index"",""113"",""Credit Amount"",""5488.23000"",""Document Number"",""SLS11012"",""Debit Amount"",""0.00000"",""Vendor Name"",""Aaron Fitz Electrical"",""Transaction Description"",""SALES"",""Transaction Date"",""1/1/201"&amp;"4"""</f>
        <v>"GP Direct","Fabrikam, Inc.","Jet GL Transactions","Account Index","113","Credit Amount","5488.23000","Document Number","SLS11012","Debit Amount","0.00000","Vendor Name","Aaron Fitz Electrical","Transaction Description","SALES","Transaction Date","1/1/2014"</v>
      </c>
      <c r="F50" s="4">
        <v>0</v>
      </c>
      <c r="G50" s="4">
        <v>5488.23</v>
      </c>
      <c r="J50" s="31">
        <f t="shared" si="5"/>
        <v>-5488.23</v>
      </c>
      <c r="K50" s="32" t="str">
        <f t="shared" si="4"/>
        <v>SALES</v>
      </c>
      <c r="L50" s="32" t="str">
        <f>"SLS11012"</f>
        <v>SLS11012</v>
      </c>
      <c r="M50" s="33">
        <v>41640</v>
      </c>
      <c r="N50" s="31"/>
      <c r="R50" s="2">
        <f t="shared" si="3"/>
        <v>34</v>
      </c>
    </row>
    <row r="51" spans="1:18" hidden="1" outlineLevel="1" x14ac:dyDescent="0.2">
      <c r="A51" s="30" t="s">
        <v>53</v>
      </c>
      <c r="C51" s="18"/>
      <c r="D51" s="4"/>
      <c r="E51" s="19" t="str">
        <f>"""GP Direct"",""Fabrikam, Inc."",""Jet GL Transactions"",""Account Index"",""113"",""Credit Amount"",""5877.69000"",""Document Number"",""SLS11084"",""Debit Amount"",""0.00000"",""Vendor Name"",""Place One Suites"",""Transaction Description"",""SALES"",""Transaction Date"",""1/1/2014"""</f>
        <v>"GP Direct","Fabrikam, Inc.","Jet GL Transactions","Account Index","113","Credit Amount","5877.69000","Document Number","SLS11084","Debit Amount","0.00000","Vendor Name","Place One Suites","Transaction Description","SALES","Transaction Date","1/1/2014"</v>
      </c>
      <c r="F51" s="4">
        <v>0</v>
      </c>
      <c r="G51" s="4">
        <v>5877.69</v>
      </c>
      <c r="J51" s="31">
        <f t="shared" si="5"/>
        <v>-5877.69</v>
      </c>
      <c r="K51" s="32" t="str">
        <f t="shared" si="4"/>
        <v>SALES</v>
      </c>
      <c r="L51" s="32" t="str">
        <f>"SLS11084"</f>
        <v>SLS11084</v>
      </c>
      <c r="M51" s="33">
        <v>41640</v>
      </c>
      <c r="N51" s="31"/>
      <c r="R51" s="2">
        <f t="shared" si="3"/>
        <v>35</v>
      </c>
    </row>
    <row r="52" spans="1:18" hidden="1" outlineLevel="1" x14ac:dyDescent="0.2">
      <c r="A52" s="30" t="s">
        <v>53</v>
      </c>
      <c r="C52" s="18"/>
      <c r="D52" s="4"/>
      <c r="E52" s="19" t="str">
        <f>"""GP Direct"",""Fabrikam, Inc."",""Jet GL Transactions"",""Account Index"",""113"",""Credit Amount"",""6040.57000"",""Document Number"",""SLS14023"",""Debit Amount"",""0.00000"",""Vendor Name"",""Comtel-Page Inc."",""Transaction Description"",""SALES"",""Transaction Date"",""1/1/2014"""</f>
        <v>"GP Direct","Fabrikam, Inc.","Jet GL Transactions","Account Index","113","Credit Amount","6040.57000","Document Number","SLS14023","Debit Amount","0.00000","Vendor Name","Comtel-Page Inc.","Transaction Description","SALES","Transaction Date","1/1/2014"</v>
      </c>
      <c r="F52" s="4">
        <v>0</v>
      </c>
      <c r="G52" s="4">
        <v>6040.57</v>
      </c>
      <c r="J52" s="31">
        <f t="shared" si="5"/>
        <v>-6040.57</v>
      </c>
      <c r="K52" s="32" t="str">
        <f t="shared" si="4"/>
        <v>SALES</v>
      </c>
      <c r="L52" s="32" t="str">
        <f>"SLS14023"</f>
        <v>SLS14023</v>
      </c>
      <c r="M52" s="33">
        <v>41640</v>
      </c>
      <c r="N52" s="31"/>
      <c r="R52" s="2">
        <f t="shared" si="3"/>
        <v>36</v>
      </c>
    </row>
    <row r="53" spans="1:18" hidden="1" outlineLevel="1" x14ac:dyDescent="0.2">
      <c r="A53" s="30" t="s">
        <v>53</v>
      </c>
      <c r="C53" s="18"/>
      <c r="D53" s="4"/>
      <c r="E53" s="19" t="str">
        <f>"""GP Direct"",""Fabrikam, Inc."",""Jet GL Transactions"",""Account Index"",""113"",""Credit Amount"",""6548.79000"",""Document Number"",""SLS11062"",""Debit Amount"",""0.00000"",""Vendor Name"",""Breakthrough Telemarketing"",""Transaction Description"",""SALES"",""Transaction Date"",""1/"&amp;"1/2014"""</f>
        <v>"GP Direct","Fabrikam, Inc.","Jet GL Transactions","Account Index","113","Credit Amount","6548.79000","Document Number","SLS11062","Debit Amount","0.00000","Vendor Name","Breakthrough Telemarketing","Transaction Description","SALES","Transaction Date","1/1/2014"</v>
      </c>
      <c r="F53" s="4">
        <v>0</v>
      </c>
      <c r="G53" s="4">
        <v>6548.79</v>
      </c>
      <c r="J53" s="31">
        <f t="shared" si="5"/>
        <v>-6548.79</v>
      </c>
      <c r="K53" s="32" t="str">
        <f t="shared" si="4"/>
        <v>SALES</v>
      </c>
      <c r="L53" s="32" t="str">
        <f>"SLS11062"</f>
        <v>SLS11062</v>
      </c>
      <c r="M53" s="33">
        <v>41640</v>
      </c>
      <c r="N53" s="31"/>
      <c r="R53" s="2">
        <f t="shared" si="3"/>
        <v>37</v>
      </c>
    </row>
    <row r="54" spans="1:18" hidden="1" outlineLevel="1" x14ac:dyDescent="0.2">
      <c r="A54" s="30" t="s">
        <v>53</v>
      </c>
      <c r="C54" s="18"/>
      <c r="D54" s="4"/>
      <c r="E54" s="19" t="str">
        <f>"""GP Direct"",""Fabrikam, Inc."",""Jet GL Transactions"",""Account Index"",""113"",""Credit Amount"",""6559.75000"",""Document Number"",""SLS12023"",""Debit Amount"",""0.00000"",""Vendor Name"",""American Electrical Contractor"",""Transaction Description"",""SALES"",""Transaction Date"""&amp;",""1/1/2014"""</f>
        <v>"GP Direct","Fabrikam, Inc.","Jet GL Transactions","Account Index","113","Credit Amount","6559.75000","Document Number","SLS12023","Debit Amount","0.00000","Vendor Name","American Electrical Contractor","Transaction Description","SALES","Transaction Date","1/1/2014"</v>
      </c>
      <c r="F54" s="4">
        <v>0</v>
      </c>
      <c r="G54" s="4">
        <v>6559.75</v>
      </c>
      <c r="J54" s="31">
        <f t="shared" si="5"/>
        <v>-6559.75</v>
      </c>
      <c r="K54" s="32" t="str">
        <f t="shared" si="4"/>
        <v>SALES</v>
      </c>
      <c r="L54" s="32" t="str">
        <f>"SLS12023"</f>
        <v>SLS12023</v>
      </c>
      <c r="M54" s="33">
        <v>41640</v>
      </c>
      <c r="N54" s="31"/>
      <c r="R54" s="2">
        <f t="shared" si="3"/>
        <v>38</v>
      </c>
    </row>
    <row r="55" spans="1:18" hidden="1" outlineLevel="1" x14ac:dyDescent="0.2">
      <c r="A55" s="30" t="s">
        <v>53</v>
      </c>
      <c r="C55" s="18"/>
      <c r="D55" s="4"/>
      <c r="E55" s="19" t="str">
        <f>"""GP Direct"",""Fabrikam, Inc."",""Jet GL Transactions"",""Account Index"",""113"",""Credit Amount"",""6874.50000"",""Document Number"",""SLS113052"",""Debit Amount"",""0.00000"",""Vendor Name"",""Mahler State University"",""Transaction Description"",""SALES"",""Transaction Date"",""1/1/"&amp;"2014"""</f>
        <v>"GP Direct","Fabrikam, Inc.","Jet GL Transactions","Account Index","113","Credit Amount","6874.50000","Document Number","SLS113052","Debit Amount","0.00000","Vendor Name","Mahler State University","Transaction Description","SALES","Transaction Date","1/1/2014"</v>
      </c>
      <c r="F55" s="4">
        <v>0</v>
      </c>
      <c r="G55" s="4">
        <v>6874.5</v>
      </c>
      <c r="J55" s="31">
        <f t="shared" si="5"/>
        <v>-6874.5</v>
      </c>
      <c r="K55" s="32" t="str">
        <f t="shared" si="4"/>
        <v>SALES</v>
      </c>
      <c r="L55" s="32" t="str">
        <f>"SLS113052"</f>
        <v>SLS113052</v>
      </c>
      <c r="M55" s="33">
        <v>41640</v>
      </c>
      <c r="N55" s="31"/>
      <c r="R55" s="2">
        <f t="shared" si="3"/>
        <v>39</v>
      </c>
    </row>
    <row r="56" spans="1:18" hidden="1" outlineLevel="1" x14ac:dyDescent="0.2">
      <c r="A56" s="30" t="s">
        <v>53</v>
      </c>
      <c r="C56" s="18"/>
      <c r="D56" s="4"/>
      <c r="E56" s="19" t="str">
        <f>"""GP Direct"",""Fabrikam, Inc."",""Jet GL Transactions"",""Account Index"",""113"",""Credit Amount"",""6899.54000"",""Document Number"",""SLS14062"",""Debit Amount"",""0.00000"",""Vendor Name"",""Novia Scotia Tech. Institute"",""Transaction Description"",""SALES"",""Transaction Date"","""&amp;"1/1/2014"""</f>
        <v>"GP Direct","Fabrikam, Inc.","Jet GL Transactions","Account Index","113","Credit Amount","6899.54000","Document Number","SLS14062","Debit Amount","0.00000","Vendor Name","Novia Scotia Tech. Institute","Transaction Description","SALES","Transaction Date","1/1/2014"</v>
      </c>
      <c r="F56" s="4">
        <v>0</v>
      </c>
      <c r="G56" s="4">
        <v>6899.54</v>
      </c>
      <c r="J56" s="31">
        <f t="shared" si="5"/>
        <v>-6899.54</v>
      </c>
      <c r="K56" s="32" t="str">
        <f t="shared" si="4"/>
        <v>SALES</v>
      </c>
      <c r="L56" s="32" t="str">
        <f>"SLS14062"</f>
        <v>SLS14062</v>
      </c>
      <c r="M56" s="33">
        <v>41640</v>
      </c>
      <c r="N56" s="31"/>
      <c r="R56" s="2">
        <f t="shared" si="3"/>
        <v>40</v>
      </c>
    </row>
    <row r="57" spans="1:18" hidden="1" outlineLevel="1" x14ac:dyDescent="0.2">
      <c r="A57" s="30" t="s">
        <v>53</v>
      </c>
      <c r="C57" s="18"/>
      <c r="D57" s="4"/>
      <c r="E57" s="19" t="str">
        <f>"""GP Direct"",""Fabrikam, Inc."",""Jet GL Transactions"",""Account Index"",""113"",""Credit Amount"",""6985.25000"",""Document Number"",""SLS15074"",""Debit Amount"",""0.00000"",""Vendor Name"",""Vista Travel"",""Transaction Description"",""SALES"",""Transaction Date"",""1/1/2014"""</f>
        <v>"GP Direct","Fabrikam, Inc.","Jet GL Transactions","Account Index","113","Credit Amount","6985.25000","Document Number","SLS15074","Debit Amount","0.00000","Vendor Name","Vista Travel","Transaction Description","SALES","Transaction Date","1/1/2014"</v>
      </c>
      <c r="F57" s="4">
        <v>0</v>
      </c>
      <c r="G57" s="4">
        <v>6985.25</v>
      </c>
      <c r="J57" s="31">
        <f t="shared" si="5"/>
        <v>-6985.25</v>
      </c>
      <c r="K57" s="32" t="str">
        <f t="shared" si="4"/>
        <v>SALES</v>
      </c>
      <c r="L57" s="32" t="str">
        <f>"SLS15074"</f>
        <v>SLS15074</v>
      </c>
      <c r="M57" s="33">
        <v>41640</v>
      </c>
      <c r="N57" s="31"/>
      <c r="R57" s="2">
        <f t="shared" si="3"/>
        <v>41</v>
      </c>
    </row>
    <row r="58" spans="1:18" hidden="1" outlineLevel="1" x14ac:dyDescent="0.2">
      <c r="A58" s="30" t="s">
        <v>53</v>
      </c>
      <c r="C58" s="18"/>
      <c r="D58" s="4"/>
      <c r="E58" s="19" t="str">
        <f>"""GP Direct"",""Fabrikam, Inc."",""Jet GL Transactions"",""Account Index"",""113"",""Credit Amount"",""7456.65000"",""Document Number"",""SLS13080"",""Debit Amount"",""0.00000"",""Vendor Name"",""Office Design Systems Ltd"",""Transaction Description"",""SALES"",""Transaction Date"",""1/1"&amp;"/2014"""</f>
        <v>"GP Direct","Fabrikam, Inc.","Jet GL Transactions","Account Index","113","Credit Amount","7456.65000","Document Number","SLS13080","Debit Amount","0.00000","Vendor Name","Office Design Systems Ltd","Transaction Description","SALES","Transaction Date","1/1/2014"</v>
      </c>
      <c r="F58" s="4">
        <v>0</v>
      </c>
      <c r="G58" s="4">
        <v>7456.65</v>
      </c>
      <c r="J58" s="31">
        <f t="shared" si="5"/>
        <v>-7456.65</v>
      </c>
      <c r="K58" s="32" t="str">
        <f t="shared" si="4"/>
        <v>SALES</v>
      </c>
      <c r="L58" s="32" t="str">
        <f>"SLS13080"</f>
        <v>SLS13080</v>
      </c>
      <c r="M58" s="33">
        <v>41640</v>
      </c>
      <c r="N58" s="31"/>
      <c r="R58" s="2">
        <f t="shared" si="3"/>
        <v>42</v>
      </c>
    </row>
    <row r="59" spans="1:18" hidden="1" outlineLevel="1" x14ac:dyDescent="0.2">
      <c r="A59" s="30" t="s">
        <v>53</v>
      </c>
      <c r="C59" s="18"/>
      <c r="D59" s="4"/>
      <c r="E59" s="19" t="str">
        <f>"""GP Direct"",""Fabrikam, Inc."",""Jet GL Transactions"",""Account Index"",""113"",""Credit Amount"",""7458.23000"",""Document Number"",""SLS110002"",""Debit Amount"",""0.00000"",""Vendor Name"",""Holling Communications Inc."",""Transaction Description"",""SALES"",""Transaction Date"","""&amp;"1/1/2014"""</f>
        <v>"GP Direct","Fabrikam, Inc.","Jet GL Transactions","Account Index","113","Credit Amount","7458.23000","Document Number","SLS110002","Debit Amount","0.00000","Vendor Name","Holling Communications Inc.","Transaction Description","SALES","Transaction Date","1/1/2014"</v>
      </c>
      <c r="F59" s="4">
        <v>0</v>
      </c>
      <c r="G59" s="4">
        <v>7458.23</v>
      </c>
      <c r="J59" s="31">
        <f t="shared" si="5"/>
        <v>-7458.23</v>
      </c>
      <c r="K59" s="32" t="str">
        <f t="shared" si="4"/>
        <v>SALES</v>
      </c>
      <c r="L59" s="32" t="str">
        <f>"SLS110002"</f>
        <v>SLS110002</v>
      </c>
      <c r="M59" s="33">
        <v>41640</v>
      </c>
      <c r="N59" s="31"/>
      <c r="R59" s="2">
        <f t="shared" si="3"/>
        <v>43</v>
      </c>
    </row>
    <row r="60" spans="1:18" hidden="1" outlineLevel="1" x14ac:dyDescent="0.2">
      <c r="A60" s="30" t="s">
        <v>53</v>
      </c>
      <c r="C60" s="18"/>
      <c r="D60" s="4"/>
      <c r="E60" s="19" t="str">
        <f>"""GP Direct"",""Fabrikam, Inc."",""Jet GL Transactions"",""Account Index"",""113"",""Credit Amount"",""7458.96000"",""Document Number"",""SLS15020"",""Debit Amount"",""0.00000"",""Vendor Name"",""Comtel-Page Inc."",""Transaction Description"",""SALES"",""Transaction Date"",""1/1/2014"""</f>
        <v>"GP Direct","Fabrikam, Inc.","Jet GL Transactions","Account Index","113","Credit Amount","7458.96000","Document Number","SLS15020","Debit Amount","0.00000","Vendor Name","Comtel-Page Inc.","Transaction Description","SALES","Transaction Date","1/1/2014"</v>
      </c>
      <c r="F60" s="4">
        <v>0</v>
      </c>
      <c r="G60" s="4">
        <v>7458.96</v>
      </c>
      <c r="J60" s="31">
        <f t="shared" si="5"/>
        <v>-7458.96</v>
      </c>
      <c r="K60" s="32" t="str">
        <f t="shared" si="4"/>
        <v>SALES</v>
      </c>
      <c r="L60" s="32" t="str">
        <f>"SLS15020"</f>
        <v>SLS15020</v>
      </c>
      <c r="M60" s="33">
        <v>41640</v>
      </c>
      <c r="N60" s="31"/>
      <c r="R60" s="2">
        <f t="shared" si="3"/>
        <v>44</v>
      </c>
    </row>
    <row r="61" spans="1:18" hidden="1" outlineLevel="1" x14ac:dyDescent="0.2">
      <c r="A61" s="30" t="s">
        <v>53</v>
      </c>
      <c r="C61" s="18"/>
      <c r="D61" s="4"/>
      <c r="E61" s="19" t="str">
        <f>"""GP Direct"",""Fabrikam, Inc."",""Jet GL Transactions"",""Account Index"",""113"",""Credit Amount"",""7905.84000"",""Document Number"",""SLS15014"",""Debit Amount"",""0.00000"",""Vendor Name"",""Cellular Express"",""Transaction Description"",""SALES"",""Transaction Date"",""1/1/2014"""</f>
        <v>"GP Direct","Fabrikam, Inc.","Jet GL Transactions","Account Index","113","Credit Amount","7905.84000","Document Number","SLS15014","Debit Amount","0.00000","Vendor Name","Cellular Express","Transaction Description","SALES","Transaction Date","1/1/2014"</v>
      </c>
      <c r="F61" s="4">
        <v>0</v>
      </c>
      <c r="G61" s="4">
        <v>7905.84</v>
      </c>
      <c r="J61" s="31">
        <f t="shared" si="5"/>
        <v>-7905.84</v>
      </c>
      <c r="K61" s="32" t="str">
        <f t="shared" si="4"/>
        <v>SALES</v>
      </c>
      <c r="L61" s="32" t="str">
        <f>"SLS15014"</f>
        <v>SLS15014</v>
      </c>
      <c r="M61" s="33">
        <v>41640</v>
      </c>
      <c r="N61" s="31"/>
      <c r="R61" s="2">
        <f t="shared" si="3"/>
        <v>45</v>
      </c>
    </row>
    <row r="62" spans="1:18" hidden="1" outlineLevel="1" x14ac:dyDescent="0.2">
      <c r="A62" s="30" t="s">
        <v>53</v>
      </c>
      <c r="C62" s="18"/>
      <c r="D62" s="4"/>
      <c r="E62" s="19" t="str">
        <f>"""GP Direct"",""Fabrikam, Inc."",""Jet GL Transactions"",""Account Index"",""113"",""Credit Amount"",""7961.66000"",""Document Number"",""SLS19031"",""Debit Amount"",""0.00000"",""Vendor Name"",""Pulaski Enterprises Inc."",""Transaction Description"",""SALES"",""Transaction Date"",""1/1/"&amp;"2014"""</f>
        <v>"GP Direct","Fabrikam, Inc.","Jet GL Transactions","Account Index","113","Credit Amount","7961.66000","Document Number","SLS19031","Debit Amount","0.00000","Vendor Name","Pulaski Enterprises Inc.","Transaction Description","SALES","Transaction Date","1/1/2014"</v>
      </c>
      <c r="F62" s="4">
        <v>0</v>
      </c>
      <c r="G62" s="4">
        <v>7961.66</v>
      </c>
      <c r="J62" s="31">
        <f t="shared" si="5"/>
        <v>-7961.66</v>
      </c>
      <c r="K62" s="32" t="str">
        <f t="shared" si="4"/>
        <v>SALES</v>
      </c>
      <c r="L62" s="32" t="str">
        <f>"SLS19031"</f>
        <v>SLS19031</v>
      </c>
      <c r="M62" s="33">
        <v>41640</v>
      </c>
      <c r="N62" s="31"/>
      <c r="R62" s="2">
        <f t="shared" si="3"/>
        <v>46</v>
      </c>
    </row>
    <row r="63" spans="1:18" hidden="1" outlineLevel="1" x14ac:dyDescent="0.2">
      <c r="A63" s="30" t="s">
        <v>53</v>
      </c>
      <c r="C63" s="18"/>
      <c r="D63" s="4"/>
      <c r="E63" s="19" t="str">
        <f>"""GP Direct"",""Fabrikam, Inc."",""Jet GL Transactions"",""Account Index"",""113"",""Credit Amount"",""8044.96000"",""Document Number"",""SLS122000"",""Debit Amount"",""0.00000"",""Vendor Name"",""Pacific Digital"",""Transaction Description"",""SALES"",""Transaction Date"",""1/1/2014"""</f>
        <v>"GP Direct","Fabrikam, Inc.","Jet GL Transactions","Account Index","113","Credit Amount","8044.96000","Document Number","SLS122000","Debit Amount","0.00000","Vendor Name","Pacific Digital","Transaction Description","SALES","Transaction Date","1/1/2014"</v>
      </c>
      <c r="F63" s="4">
        <v>0</v>
      </c>
      <c r="G63" s="4">
        <v>8044.96</v>
      </c>
      <c r="J63" s="31">
        <f t="shared" si="5"/>
        <v>-8044.96</v>
      </c>
      <c r="K63" s="32" t="str">
        <f t="shared" si="4"/>
        <v>SALES</v>
      </c>
      <c r="L63" s="32" t="str">
        <f>"SLS122000"</f>
        <v>SLS122000</v>
      </c>
      <c r="M63" s="33">
        <v>41640</v>
      </c>
      <c r="N63" s="31"/>
      <c r="R63" s="2">
        <f t="shared" si="3"/>
        <v>47</v>
      </c>
    </row>
    <row r="64" spans="1:18" hidden="1" outlineLevel="1" x14ac:dyDescent="0.2">
      <c r="A64" s="30" t="s">
        <v>53</v>
      </c>
      <c r="C64" s="18"/>
      <c r="D64" s="4"/>
      <c r="E64" s="19" t="str">
        <f>"""GP Direct"",""Fabrikam, Inc."",""Jet GL Transactions"",""Account Index"",""113"",""Credit Amount"",""8314.79000"",""Document Number"",""SLS112001"",""Debit Amount"",""0.00000"",""Vendor Name"",""Central Illinois Hospital"",""Transaction Description"",""SALES"",""Transaction Date"",""1/"&amp;"1/2014"""</f>
        <v>"GP Direct","Fabrikam, Inc.","Jet GL Transactions","Account Index","113","Credit Amount","8314.79000","Document Number","SLS112001","Debit Amount","0.00000","Vendor Name","Central Illinois Hospital","Transaction Description","SALES","Transaction Date","1/1/2014"</v>
      </c>
      <c r="F64" s="4">
        <v>0</v>
      </c>
      <c r="G64" s="4">
        <v>8314.7900000000009</v>
      </c>
      <c r="J64" s="31">
        <f t="shared" si="5"/>
        <v>-8314.7900000000009</v>
      </c>
      <c r="K64" s="32" t="str">
        <f t="shared" ref="K64:K95" si="6">"SALES"</f>
        <v>SALES</v>
      </c>
      <c r="L64" s="32" t="str">
        <f>"SLS112001"</f>
        <v>SLS112001</v>
      </c>
      <c r="M64" s="33">
        <v>41640</v>
      </c>
      <c r="N64" s="31"/>
      <c r="R64" s="2">
        <f t="shared" si="3"/>
        <v>48</v>
      </c>
    </row>
    <row r="65" spans="1:18" hidden="1" outlineLevel="1" x14ac:dyDescent="0.2">
      <c r="A65" s="30" t="s">
        <v>53</v>
      </c>
      <c r="C65" s="18"/>
      <c r="D65" s="4"/>
      <c r="E65" s="19" t="str">
        <f>"""GP Direct"",""Fabrikam, Inc."",""Jet GL Transactions"",""Account Index"",""113"",""Credit Amount"",""8469.23000"",""Document Number"",""SLS115002"",""Debit Amount"",""0.00000"",""Vendor Name"",""Coho Winery"",""Transaction Description"",""SALES"",""Transaction Date"",""1/1/2014"""</f>
        <v>"GP Direct","Fabrikam, Inc.","Jet GL Transactions","Account Index","113","Credit Amount","8469.23000","Document Number","SLS115002","Debit Amount","0.00000","Vendor Name","Coho Winery","Transaction Description","SALES","Transaction Date","1/1/2014"</v>
      </c>
      <c r="F65" s="4">
        <v>0</v>
      </c>
      <c r="G65" s="4">
        <v>8469.23</v>
      </c>
      <c r="J65" s="31">
        <f t="shared" si="5"/>
        <v>-8469.23</v>
      </c>
      <c r="K65" s="32" t="str">
        <f t="shared" si="6"/>
        <v>SALES</v>
      </c>
      <c r="L65" s="32" t="str">
        <f>"SLS115002"</f>
        <v>SLS115002</v>
      </c>
      <c r="M65" s="33">
        <v>41640</v>
      </c>
      <c r="N65" s="31"/>
      <c r="R65" s="2">
        <f t="shared" si="3"/>
        <v>49</v>
      </c>
    </row>
    <row r="66" spans="1:18" hidden="1" outlineLevel="1" x14ac:dyDescent="0.2">
      <c r="A66" s="30" t="s">
        <v>53</v>
      </c>
      <c r="C66" s="18"/>
      <c r="D66" s="4"/>
      <c r="E66" s="19" t="str">
        <f>"""GP Direct"",""Fabrikam, Inc."",""Jet GL Transactions"",""Account Index"",""113"",""Credit Amount"",""8475.69000"",""Document Number"",""SLS116002"",""Debit Amount"",""0.00000"",""Vendor Name"",""Polk Valley Highway Dept."",""Transaction Description"",""SALES"",""Transaction Date"",""1/"&amp;"1/2014"""</f>
        <v>"GP Direct","Fabrikam, Inc.","Jet GL Transactions","Account Index","113","Credit Amount","8475.69000","Document Number","SLS116002","Debit Amount","0.00000","Vendor Name","Polk Valley Highway Dept.","Transaction Description","SALES","Transaction Date","1/1/2014"</v>
      </c>
      <c r="F66" s="4">
        <v>0</v>
      </c>
      <c r="G66" s="4">
        <v>8475.69</v>
      </c>
      <c r="J66" s="31">
        <f t="shared" si="5"/>
        <v>-8475.69</v>
      </c>
      <c r="K66" s="32" t="str">
        <f t="shared" si="6"/>
        <v>SALES</v>
      </c>
      <c r="L66" s="32" t="str">
        <f>"SLS116002"</f>
        <v>SLS116002</v>
      </c>
      <c r="M66" s="33">
        <v>41640</v>
      </c>
      <c r="N66" s="31"/>
      <c r="R66" s="2">
        <f t="shared" si="3"/>
        <v>50</v>
      </c>
    </row>
    <row r="67" spans="1:18" hidden="1" outlineLevel="1" x14ac:dyDescent="0.2">
      <c r="A67" s="30" t="s">
        <v>53</v>
      </c>
      <c r="C67" s="18"/>
      <c r="D67" s="4"/>
      <c r="E67" s="19" t="str">
        <f>"""GP Direct"",""Fabrikam, Inc."",""Jet GL Transactions"",""Account Index"",""113"",""Credit Amount"",""8499.00000"",""Document Number"",""SLS18080"",""Debit Amount"",""0.00000"",""Vendor Name"",""Vancouver Resort Hotels"",""Transaction Description"",""SALES"",""Transaction Date"",""1/1/2"&amp;"014"""</f>
        <v>"GP Direct","Fabrikam, Inc.","Jet GL Transactions","Account Index","113","Credit Amount","8499.00000","Document Number","SLS18080","Debit Amount","0.00000","Vendor Name","Vancouver Resort Hotels","Transaction Description","SALES","Transaction Date","1/1/2014"</v>
      </c>
      <c r="F67" s="4">
        <v>0</v>
      </c>
      <c r="G67" s="4">
        <v>8499</v>
      </c>
      <c r="J67" s="31">
        <f t="shared" si="5"/>
        <v>-8499</v>
      </c>
      <c r="K67" s="32" t="str">
        <f t="shared" si="6"/>
        <v>SALES</v>
      </c>
      <c r="L67" s="32" t="str">
        <f>"SLS18080"</f>
        <v>SLS18080</v>
      </c>
      <c r="M67" s="33">
        <v>41640</v>
      </c>
      <c r="N67" s="31"/>
      <c r="R67" s="2">
        <f t="shared" si="3"/>
        <v>51</v>
      </c>
    </row>
    <row r="68" spans="1:18" hidden="1" outlineLevel="1" x14ac:dyDescent="0.2">
      <c r="A68" s="30" t="s">
        <v>53</v>
      </c>
      <c r="C68" s="18"/>
      <c r="D68" s="4"/>
      <c r="E68" s="19" t="str">
        <f>"""GP Direct"",""Fabrikam, Inc."",""Jet GL Transactions"",""Account Index"",""113"",""Credit Amount"",""8521.89000"",""Document Number"",""SLS119002"",""Debit Amount"",""0.00000"",""Vendor Name"",""Johnson, Kimberly"",""Transaction Description"",""SALES"",""Transaction Date"",""1/1/2014"""</f>
        <v>"GP Direct","Fabrikam, Inc.","Jet GL Transactions","Account Index","113","Credit Amount","8521.89000","Document Number","SLS119002","Debit Amount","0.00000","Vendor Name","Johnson, Kimberly","Transaction Description","SALES","Transaction Date","1/1/2014"</v>
      </c>
      <c r="F68" s="4">
        <v>0</v>
      </c>
      <c r="G68" s="4">
        <v>8521.89</v>
      </c>
      <c r="J68" s="31">
        <f t="shared" si="5"/>
        <v>-8521.89</v>
      </c>
      <c r="K68" s="32" t="str">
        <f t="shared" si="6"/>
        <v>SALES</v>
      </c>
      <c r="L68" s="32" t="str">
        <f>"SLS119002"</f>
        <v>SLS119002</v>
      </c>
      <c r="M68" s="33">
        <v>41640</v>
      </c>
      <c r="N68" s="31"/>
      <c r="R68" s="2">
        <f t="shared" si="3"/>
        <v>52</v>
      </c>
    </row>
    <row r="69" spans="1:18" hidden="1" outlineLevel="1" x14ac:dyDescent="0.2">
      <c r="A69" s="30" t="s">
        <v>53</v>
      </c>
      <c r="C69" s="18"/>
      <c r="D69" s="4"/>
      <c r="E69" s="19" t="str">
        <f>"""GP Direct"",""Fabrikam, Inc."",""Jet GL Transactions"",""Account Index"",""113"",""Credit Amount"",""8545.22000"",""Document Number"",""SLS14012"",""Debit Amount"",""0.00000"",""Vendor Name"",""Astor Suites"",""Transaction Description"",""SALES"",""Transaction Date"",""1/1/2014"""</f>
        <v>"GP Direct","Fabrikam, Inc.","Jet GL Transactions","Account Index","113","Credit Amount","8545.22000","Document Number","SLS14012","Debit Amount","0.00000","Vendor Name","Astor Suites","Transaction Description","SALES","Transaction Date","1/1/2014"</v>
      </c>
      <c r="F69" s="4">
        <v>0</v>
      </c>
      <c r="G69" s="4">
        <v>8545.2199999999993</v>
      </c>
      <c r="J69" s="31">
        <f t="shared" si="5"/>
        <v>-8545.2199999999993</v>
      </c>
      <c r="K69" s="32" t="str">
        <f t="shared" si="6"/>
        <v>SALES</v>
      </c>
      <c r="L69" s="32" t="str">
        <f>"SLS14012"</f>
        <v>SLS14012</v>
      </c>
      <c r="M69" s="33">
        <v>41640</v>
      </c>
      <c r="N69" s="31"/>
      <c r="R69" s="2">
        <f t="shared" si="3"/>
        <v>53</v>
      </c>
    </row>
    <row r="70" spans="1:18" hidden="1" outlineLevel="1" x14ac:dyDescent="0.2">
      <c r="A70" s="30" t="s">
        <v>53</v>
      </c>
      <c r="C70" s="18"/>
      <c r="D70" s="4"/>
      <c r="E70" s="19" t="str">
        <f>"""GP Direct"",""Fabrikam, Inc."",""Jet GL Transactions"",""Account Index"",""113"",""Credit Amount"",""8599.36000"",""Document Number"",""SLS12060"",""Debit Amount"",""0.00000"",""Vendor Name"",""Westside Cable Service"",""Transaction Description"",""SALES"",""Transaction Date"",""1/1/20"&amp;"14"""</f>
        <v>"GP Direct","Fabrikam, Inc.","Jet GL Transactions","Account Index","113","Credit Amount","8599.36000","Document Number","SLS12060","Debit Amount","0.00000","Vendor Name","Westside Cable Service","Transaction Description","SALES","Transaction Date","1/1/2014"</v>
      </c>
      <c r="F70" s="4">
        <v>0</v>
      </c>
      <c r="G70" s="4">
        <v>8599.36</v>
      </c>
      <c r="J70" s="31">
        <f t="shared" si="5"/>
        <v>-8599.36</v>
      </c>
      <c r="K70" s="32" t="str">
        <f t="shared" si="6"/>
        <v>SALES</v>
      </c>
      <c r="L70" s="32" t="str">
        <f>"SLS12060"</f>
        <v>SLS12060</v>
      </c>
      <c r="M70" s="33">
        <v>41640</v>
      </c>
      <c r="N70" s="31"/>
      <c r="R70" s="2">
        <f t="shared" si="3"/>
        <v>54</v>
      </c>
    </row>
    <row r="71" spans="1:18" hidden="1" outlineLevel="1" x14ac:dyDescent="0.2">
      <c r="A71" s="30" t="s">
        <v>53</v>
      </c>
      <c r="C71" s="18"/>
      <c r="D71" s="4"/>
      <c r="E71" s="19" t="str">
        <f>"""GP Direct"",""Fabrikam, Inc."",""Jet GL Transactions"",""Account Index"",""113"",""Credit Amount"",""8977.45000"",""Document Number"",""SLS111032"",""Debit Amount"",""0.00000"",""Vendor Name"",""Margie's Travel"",""Transaction Description"",""SALES"",""Transaction Date"",""1/1/2014"""</f>
        <v>"GP Direct","Fabrikam, Inc.","Jet GL Transactions","Account Index","113","Credit Amount","8977.45000","Document Number","SLS111032","Debit Amount","0.00000","Vendor Name","Margie's Travel","Transaction Description","SALES","Transaction Date","1/1/2014"</v>
      </c>
      <c r="F71" s="4">
        <v>0</v>
      </c>
      <c r="G71" s="4">
        <v>8977.4500000000007</v>
      </c>
      <c r="J71" s="31">
        <f t="shared" si="5"/>
        <v>-8977.4500000000007</v>
      </c>
      <c r="K71" s="32" t="str">
        <f t="shared" si="6"/>
        <v>SALES</v>
      </c>
      <c r="L71" s="32" t="str">
        <f>"SLS111032"</f>
        <v>SLS111032</v>
      </c>
      <c r="M71" s="33">
        <v>41640</v>
      </c>
      <c r="N71" s="31"/>
      <c r="R71" s="2">
        <f t="shared" si="3"/>
        <v>55</v>
      </c>
    </row>
    <row r="72" spans="1:18" hidden="1" outlineLevel="1" x14ac:dyDescent="0.2">
      <c r="A72" s="30" t="s">
        <v>53</v>
      </c>
      <c r="C72" s="18"/>
      <c r="D72" s="4"/>
      <c r="E72" s="19" t="str">
        <f>"""GP Direct"",""Fabrikam, Inc."",""Jet GL Transactions"",""Account Index"",""113"",""Credit Amount"",""8977.52000"",""Document Number"",""SLS11033"",""Debit Amount"",""0.00000"",""Vendor Name"",""Compu-Tech Solutions"",""Transaction Description"",""SALES"",""Transaction Date"",""1/1/2014"&amp;""""</f>
        <v>"GP Direct","Fabrikam, Inc.","Jet GL Transactions","Account Index","113","Credit Amount","8977.52000","Document Number","SLS11033","Debit Amount","0.00000","Vendor Name","Compu-Tech Solutions","Transaction Description","SALES","Transaction Date","1/1/2014"</v>
      </c>
      <c r="F72" s="4">
        <v>0</v>
      </c>
      <c r="G72" s="4">
        <v>8977.52</v>
      </c>
      <c r="J72" s="31">
        <f t="shared" si="5"/>
        <v>-8977.52</v>
      </c>
      <c r="K72" s="32" t="str">
        <f t="shared" si="6"/>
        <v>SALES</v>
      </c>
      <c r="L72" s="32" t="str">
        <f>"SLS11033"</f>
        <v>SLS11033</v>
      </c>
      <c r="M72" s="33">
        <v>41640</v>
      </c>
      <c r="N72" s="31"/>
      <c r="R72" s="2">
        <f t="shared" si="3"/>
        <v>56</v>
      </c>
    </row>
    <row r="73" spans="1:18" hidden="1" outlineLevel="1" x14ac:dyDescent="0.2">
      <c r="A73" s="30" t="s">
        <v>53</v>
      </c>
      <c r="C73" s="18"/>
      <c r="D73" s="4"/>
      <c r="E73" s="19" t="str">
        <f>"""GP Direct"",""Fabrikam, Inc."",""Jet GL Transactions"",""Account Index"",""113"",""Credit Amount"",""8988.25000"",""Document Number"",""SLS14021"",""Debit Amount"",""0.00000"",""Vendor Name"",""Comtel-Page Inc."",""Transaction Description"",""SALES"",""Transaction Date"",""1/1/2014"""</f>
        <v>"GP Direct","Fabrikam, Inc.","Jet GL Transactions","Account Index","113","Credit Amount","8988.25000","Document Number","SLS14021","Debit Amount","0.00000","Vendor Name","Comtel-Page Inc.","Transaction Description","SALES","Transaction Date","1/1/2014"</v>
      </c>
      <c r="F73" s="4">
        <v>0</v>
      </c>
      <c r="G73" s="4">
        <v>8988.25</v>
      </c>
      <c r="J73" s="31">
        <f t="shared" si="5"/>
        <v>-8988.25</v>
      </c>
      <c r="K73" s="32" t="str">
        <f t="shared" si="6"/>
        <v>SALES</v>
      </c>
      <c r="L73" s="32" t="str">
        <f>"SLS14021"</f>
        <v>SLS14021</v>
      </c>
      <c r="M73" s="33">
        <v>41640</v>
      </c>
      <c r="N73" s="31"/>
      <c r="R73" s="2">
        <f t="shared" si="3"/>
        <v>57</v>
      </c>
    </row>
    <row r="74" spans="1:18" hidden="1" outlineLevel="1" x14ac:dyDescent="0.2">
      <c r="A74" s="30" t="s">
        <v>53</v>
      </c>
      <c r="C74" s="18"/>
      <c r="D74" s="4"/>
      <c r="E74" s="19" t="str">
        <f>"""GP Direct"",""Fabrikam, Inc."",""Jet GL Transactions"",""Account Index"",""113"",""Credit Amount"",""9341.00000"",""Document Number"",""SLS14031"",""Debit Amount"",""0.00000"",""Vendor Name"",""Laser Messenger Service"",""Transaction Description"",""SALES"",""Transaction Date"",""1/1/2"&amp;"014"""</f>
        <v>"GP Direct","Fabrikam, Inc.","Jet GL Transactions","Account Index","113","Credit Amount","9341.00000","Document Number","SLS14031","Debit Amount","0.00000","Vendor Name","Laser Messenger Service","Transaction Description","SALES","Transaction Date","1/1/2014"</v>
      </c>
      <c r="F74" s="4">
        <v>0</v>
      </c>
      <c r="G74" s="4">
        <v>9341</v>
      </c>
      <c r="J74" s="31">
        <f t="shared" si="5"/>
        <v>-9341</v>
      </c>
      <c r="K74" s="32" t="str">
        <f t="shared" si="6"/>
        <v>SALES</v>
      </c>
      <c r="L74" s="32" t="str">
        <f>"SLS14031"</f>
        <v>SLS14031</v>
      </c>
      <c r="M74" s="33">
        <v>41640</v>
      </c>
      <c r="N74" s="31"/>
      <c r="R74" s="2">
        <f t="shared" si="3"/>
        <v>58</v>
      </c>
    </row>
    <row r="75" spans="1:18" hidden="1" outlineLevel="1" x14ac:dyDescent="0.2">
      <c r="A75" s="30" t="s">
        <v>53</v>
      </c>
      <c r="C75" s="18"/>
      <c r="D75" s="4"/>
      <c r="E75" s="19" t="str">
        <f>"""GP Direct"",""Fabrikam, Inc."",""Jet GL Transactions"",""Account Index"",""113"",""Credit Amount"",""9500.00000"",""Document Number"",""SLS19021"",""Debit Amount"",""0.00000"",""Vendor Name"",""McConnell A.F. B."",""Transaction Description"",""SALES"",""Transaction Date"",""1/1/2014"""</f>
        <v>"GP Direct","Fabrikam, Inc.","Jet GL Transactions","Account Index","113","Credit Amount","9500.00000","Document Number","SLS19021","Debit Amount","0.00000","Vendor Name","McConnell A.F. B.","Transaction Description","SALES","Transaction Date","1/1/2014"</v>
      </c>
      <c r="F75" s="4">
        <v>0</v>
      </c>
      <c r="G75" s="4">
        <v>9500</v>
      </c>
      <c r="J75" s="31">
        <f t="shared" si="5"/>
        <v>-9500</v>
      </c>
      <c r="K75" s="32" t="str">
        <f t="shared" si="6"/>
        <v>SALES</v>
      </c>
      <c r="L75" s="32" t="str">
        <f>"SLS19021"</f>
        <v>SLS19021</v>
      </c>
      <c r="M75" s="33">
        <v>41640</v>
      </c>
      <c r="N75" s="31"/>
      <c r="R75" s="2">
        <f t="shared" si="3"/>
        <v>59</v>
      </c>
    </row>
    <row r="76" spans="1:18" hidden="1" outlineLevel="1" x14ac:dyDescent="0.2">
      <c r="A76" s="30" t="s">
        <v>53</v>
      </c>
      <c r="C76" s="18"/>
      <c r="D76" s="4"/>
      <c r="E76" s="19" t="str">
        <f>"""GP Direct"",""Fabrikam, Inc."",""Jet GL Transactions"",""Account Index"",""113"",""Credit Amount"",""9504.78000"",""Document Number"",""SLS123001"",""Debit Amount"",""0.00000"",""Vendor Name"",""Network Solutions"",""Transaction Description"",""SALES"",""Transaction Date"",""1/1/2014"""</f>
        <v>"GP Direct","Fabrikam, Inc.","Jet GL Transactions","Account Index","113","Credit Amount","9504.78000","Document Number","SLS123001","Debit Amount","0.00000","Vendor Name","Network Solutions","Transaction Description","SALES","Transaction Date","1/1/2014"</v>
      </c>
      <c r="F76" s="4">
        <v>0</v>
      </c>
      <c r="G76" s="4">
        <v>9504.7800000000007</v>
      </c>
      <c r="J76" s="31">
        <f t="shared" si="5"/>
        <v>-9504.7800000000007</v>
      </c>
      <c r="K76" s="32" t="str">
        <f t="shared" si="6"/>
        <v>SALES</v>
      </c>
      <c r="L76" s="32" t="str">
        <f>"SLS123001"</f>
        <v>SLS123001</v>
      </c>
      <c r="M76" s="33">
        <v>41640</v>
      </c>
      <c r="N76" s="31"/>
      <c r="R76" s="2">
        <f t="shared" si="3"/>
        <v>60</v>
      </c>
    </row>
    <row r="77" spans="1:18" hidden="1" outlineLevel="1" x14ac:dyDescent="0.2">
      <c r="A77" s="30" t="s">
        <v>53</v>
      </c>
      <c r="C77" s="18"/>
      <c r="D77" s="4"/>
      <c r="E77" s="19" t="str">
        <f>"""GP Direct"",""Fabrikam, Inc."",""Jet GL Transactions"",""Account Index"",""113"",""Credit Amount"",""9544.21000"",""Document Number"",""SLS11072"",""Debit Amount"",""0.00000"",""Vendor Name"",""Advanced Tech Satellite System"",""Transaction Description"",""SALES"",""Transaction Date"""&amp;",""1/1/2014"""</f>
        <v>"GP Direct","Fabrikam, Inc.","Jet GL Transactions","Account Index","113","Credit Amount","9544.21000","Document Number","SLS11072","Debit Amount","0.00000","Vendor Name","Advanced Tech Satellite System","Transaction Description","SALES","Transaction Date","1/1/2014"</v>
      </c>
      <c r="F77" s="4">
        <v>0</v>
      </c>
      <c r="G77" s="4">
        <v>9544.2099999999991</v>
      </c>
      <c r="J77" s="31">
        <f t="shared" si="5"/>
        <v>-9544.2099999999991</v>
      </c>
      <c r="K77" s="32" t="str">
        <f t="shared" si="6"/>
        <v>SALES</v>
      </c>
      <c r="L77" s="32" t="str">
        <f>"SLS11072"</f>
        <v>SLS11072</v>
      </c>
      <c r="M77" s="33">
        <v>41640</v>
      </c>
      <c r="N77" s="31"/>
      <c r="R77" s="2">
        <f t="shared" si="3"/>
        <v>61</v>
      </c>
    </row>
    <row r="78" spans="1:18" hidden="1" outlineLevel="1" x14ac:dyDescent="0.2">
      <c r="A78" s="30" t="s">
        <v>53</v>
      </c>
      <c r="C78" s="18"/>
      <c r="D78" s="4"/>
      <c r="E78" s="19" t="str">
        <f>"""GP Direct"",""Fabrikam, Inc."",""Jet GL Transactions"",""Account Index"",""113"",""Credit Amount"",""9570.23000"",""Document Number"",""SLS117002"",""Debit Amount"",""0.00000"",""Vendor Name"",""Northern State College"",""Transaction Description"",""SALES"",""Transaction Date"",""1/1/2"&amp;"014"""</f>
        <v>"GP Direct","Fabrikam, Inc.","Jet GL Transactions","Account Index","113","Credit Amount","9570.23000","Document Number","SLS117002","Debit Amount","0.00000","Vendor Name","Northern State College","Transaction Description","SALES","Transaction Date","1/1/2014"</v>
      </c>
      <c r="F78" s="4">
        <v>0</v>
      </c>
      <c r="G78" s="4">
        <v>9570.23</v>
      </c>
      <c r="J78" s="31">
        <f t="shared" si="5"/>
        <v>-9570.23</v>
      </c>
      <c r="K78" s="32" t="str">
        <f t="shared" si="6"/>
        <v>SALES</v>
      </c>
      <c r="L78" s="32" t="str">
        <f>"SLS117002"</f>
        <v>SLS117002</v>
      </c>
      <c r="M78" s="33">
        <v>41640</v>
      </c>
      <c r="N78" s="31"/>
      <c r="R78" s="2">
        <f t="shared" si="3"/>
        <v>62</v>
      </c>
    </row>
    <row r="79" spans="1:18" hidden="1" outlineLevel="1" x14ac:dyDescent="0.2">
      <c r="A79" s="30" t="s">
        <v>53</v>
      </c>
      <c r="C79" s="18"/>
      <c r="D79" s="4"/>
      <c r="E79" s="19" t="str">
        <f>"""GP Direct"",""Fabrikam, Inc."",""Jet GL Transactions"",""Account Index"",""113"",""Credit Amount"",""9621.79000"",""Document Number"",""SLS17023"",""Debit Amount"",""0.00000"",""Vendor Name"",""Mutual of  Omaha"",""Transaction Description"",""SALES"",""Transaction Date"",""1/1/2014"""</f>
        <v>"GP Direct","Fabrikam, Inc.","Jet GL Transactions","Account Index","113","Credit Amount","9621.79000","Document Number","SLS17023","Debit Amount","0.00000","Vendor Name","Mutual of  Omaha","Transaction Description","SALES","Transaction Date","1/1/2014"</v>
      </c>
      <c r="F79" s="4">
        <v>0</v>
      </c>
      <c r="G79" s="4">
        <v>9621.7900000000009</v>
      </c>
      <c r="J79" s="31">
        <f t="shared" si="5"/>
        <v>-9621.7900000000009</v>
      </c>
      <c r="K79" s="32" t="str">
        <f t="shared" si="6"/>
        <v>SALES</v>
      </c>
      <c r="L79" s="32" t="str">
        <f>"SLS17023"</f>
        <v>SLS17023</v>
      </c>
      <c r="M79" s="33">
        <v>41640</v>
      </c>
      <c r="N79" s="31"/>
      <c r="R79" s="2">
        <f t="shared" si="3"/>
        <v>63</v>
      </c>
    </row>
    <row r="80" spans="1:18" hidden="1" outlineLevel="1" x14ac:dyDescent="0.2">
      <c r="A80" s="30" t="s">
        <v>53</v>
      </c>
      <c r="C80" s="18"/>
      <c r="D80" s="4"/>
      <c r="E80" s="19" t="str">
        <f>"""GP Direct"",""Fabrikam, Inc."",""Jet GL Transactions"",""Account Index"",""113"",""Credit Amount"",""9735.25000"",""Document Number"",""SLS115000"",""Debit Amount"",""0.00000"",""Vendor Name"",""Mid-City Hospital"",""Transaction Description"",""SALES"",""Transaction Date"",""1/1/2014"""</f>
        <v>"GP Direct","Fabrikam, Inc.","Jet GL Transactions","Account Index","113","Credit Amount","9735.25000","Document Number","SLS115000","Debit Amount","0.00000","Vendor Name","Mid-City Hospital","Transaction Description","SALES","Transaction Date","1/1/2014"</v>
      </c>
      <c r="F80" s="4">
        <v>0</v>
      </c>
      <c r="G80" s="4">
        <v>9735.25</v>
      </c>
      <c r="J80" s="31">
        <f t="shared" si="5"/>
        <v>-9735.25</v>
      </c>
      <c r="K80" s="32" t="str">
        <f t="shared" si="6"/>
        <v>SALES</v>
      </c>
      <c r="L80" s="32" t="str">
        <f>"SLS115000"</f>
        <v>SLS115000</v>
      </c>
      <c r="M80" s="33">
        <v>41640</v>
      </c>
      <c r="N80" s="31"/>
      <c r="R80" s="2">
        <f t="shared" si="3"/>
        <v>64</v>
      </c>
    </row>
    <row r="81" spans="1:18" hidden="1" outlineLevel="1" x14ac:dyDescent="0.2">
      <c r="A81" s="30" t="s">
        <v>53</v>
      </c>
      <c r="C81" s="18"/>
      <c r="D81" s="4"/>
      <c r="E81" s="19" t="str">
        <f>"""GP Direct"",""Fabrikam, Inc."",""Jet GL Transactions"",""Account Index"",""113"",""Credit Amount"",""9856.25000"",""Document Number"",""SLS18010"",""Debit Amount"",""0.00000"",""Vendor Name"",""Mendota University"",""Transaction Description"",""SALES"",""Transaction Date"",""1/1/2014"""</f>
        <v>"GP Direct","Fabrikam, Inc.","Jet GL Transactions","Account Index","113","Credit Amount","9856.25000","Document Number","SLS18010","Debit Amount","0.00000","Vendor Name","Mendota University","Transaction Description","SALES","Transaction Date","1/1/2014"</v>
      </c>
      <c r="F81" s="4">
        <v>0</v>
      </c>
      <c r="G81" s="4">
        <v>9856.25</v>
      </c>
      <c r="J81" s="31">
        <f t="shared" ref="J81:J112" si="7">IF(AND(F81="",G81=""),"",$F81-$G81)</f>
        <v>-9856.25</v>
      </c>
      <c r="K81" s="32" t="str">
        <f t="shared" si="6"/>
        <v>SALES</v>
      </c>
      <c r="L81" s="32" t="str">
        <f>"SLS18010"</f>
        <v>SLS18010</v>
      </c>
      <c r="M81" s="33">
        <v>41640</v>
      </c>
      <c r="N81" s="31"/>
      <c r="R81" s="2">
        <f t="shared" si="3"/>
        <v>65</v>
      </c>
    </row>
    <row r="82" spans="1:18" hidden="1" outlineLevel="1" x14ac:dyDescent="0.2">
      <c r="A82" s="30" t="s">
        <v>53</v>
      </c>
      <c r="C82" s="18"/>
      <c r="D82" s="4"/>
      <c r="E82" s="19" t="str">
        <f>"""GP Direct"",""Fabrikam, Inc."",""Jet GL Transactions"",""Account Index"",""113"",""Credit Amount"",""10005.78000"",""Document Number"",""SLS13012"",""Debit Amount"",""0.00000"",""Vendor Name"",""Advanced Paper Co."",""Transaction Description"",""SALES"",""Transaction Date"",""1/1/2014"""</f>
        <v>"GP Direct","Fabrikam, Inc.","Jet GL Transactions","Account Index","113","Credit Amount","10005.78000","Document Number","SLS13012","Debit Amount","0.00000","Vendor Name","Advanced Paper Co.","Transaction Description","SALES","Transaction Date","1/1/2014"</v>
      </c>
      <c r="F82" s="4">
        <v>0</v>
      </c>
      <c r="G82" s="4">
        <v>10005.780000000001</v>
      </c>
      <c r="J82" s="31">
        <f t="shared" si="7"/>
        <v>-10005.780000000001</v>
      </c>
      <c r="K82" s="32" t="str">
        <f t="shared" si="6"/>
        <v>SALES</v>
      </c>
      <c r="L82" s="32" t="str">
        <f>"SLS13012"</f>
        <v>SLS13012</v>
      </c>
      <c r="M82" s="33">
        <v>41640</v>
      </c>
      <c r="N82" s="31"/>
      <c r="R82" s="2">
        <f t="shared" ref="R82:R119" si="8">R81+1</f>
        <v>66</v>
      </c>
    </row>
    <row r="83" spans="1:18" hidden="1" outlineLevel="1" x14ac:dyDescent="0.2">
      <c r="A83" s="30" t="s">
        <v>53</v>
      </c>
      <c r="C83" s="18"/>
      <c r="D83" s="4"/>
      <c r="E83" s="19" t="str">
        <f>"""GP Direct"",""Fabrikam, Inc."",""Jet GL Transactions"",""Account Index"",""113"",""Credit Amount"",""10455.25000"",""Document Number"",""SLS12030"",""Debit Amount"",""0.00000"",""Vendor Name"",""Kensington Gardens Resort"",""Transaction Description"",""SALES"",""Transaction Date"",""1/"&amp;"1/2014"""</f>
        <v>"GP Direct","Fabrikam, Inc.","Jet GL Transactions","Account Index","113","Credit Amount","10455.25000","Document Number","SLS12030","Debit Amount","0.00000","Vendor Name","Kensington Gardens Resort","Transaction Description","SALES","Transaction Date","1/1/2014"</v>
      </c>
      <c r="F83" s="4">
        <v>0</v>
      </c>
      <c r="G83" s="4">
        <v>10455.25</v>
      </c>
      <c r="J83" s="31">
        <f t="shared" si="7"/>
        <v>-10455.25</v>
      </c>
      <c r="K83" s="32" t="str">
        <f t="shared" si="6"/>
        <v>SALES</v>
      </c>
      <c r="L83" s="32" t="str">
        <f>"SLS12030"</f>
        <v>SLS12030</v>
      </c>
      <c r="M83" s="33">
        <v>41640</v>
      </c>
      <c r="N83" s="31"/>
      <c r="R83" s="2">
        <f t="shared" si="8"/>
        <v>67</v>
      </c>
    </row>
    <row r="84" spans="1:18" hidden="1" outlineLevel="1" x14ac:dyDescent="0.2">
      <c r="A84" s="30" t="s">
        <v>53</v>
      </c>
      <c r="C84" s="18"/>
      <c r="D84" s="4"/>
      <c r="E84" s="19" t="str">
        <f>"""GP Direct"",""Fabrikam, Inc."",""Jet GL Transactions"",""Account Index"",""113"",""Credit Amount"",""11255.41000"",""Document Number"",""SLS18002"",""Debit Amount"",""0.00000"",""Vendor Name"",""Dial Direct Paging Inc."",""Transaction Description"",""SALES"",""Transaction Date"",""1/1/"&amp;"2014"""</f>
        <v>"GP Direct","Fabrikam, Inc.","Jet GL Transactions","Account Index","113","Credit Amount","11255.41000","Document Number","SLS18002","Debit Amount","0.00000","Vendor Name","Dial Direct Paging Inc.","Transaction Description","SALES","Transaction Date","1/1/2014"</v>
      </c>
      <c r="F84" s="4">
        <v>0</v>
      </c>
      <c r="G84" s="4">
        <v>11255.41</v>
      </c>
      <c r="J84" s="31">
        <f t="shared" si="7"/>
        <v>-11255.41</v>
      </c>
      <c r="K84" s="32" t="str">
        <f t="shared" si="6"/>
        <v>SALES</v>
      </c>
      <c r="L84" s="32" t="str">
        <f>"SLS18002"</f>
        <v>SLS18002</v>
      </c>
      <c r="M84" s="33">
        <v>41640</v>
      </c>
      <c r="N84" s="31"/>
      <c r="R84" s="2">
        <f t="shared" si="8"/>
        <v>68</v>
      </c>
    </row>
    <row r="85" spans="1:18" hidden="1" outlineLevel="1" x14ac:dyDescent="0.2">
      <c r="A85" s="30" t="s">
        <v>53</v>
      </c>
      <c r="C85" s="18"/>
      <c r="D85" s="4"/>
      <c r="E85" s="19" t="str">
        <f>"""GP Direct"",""Fabrikam, Inc."",""Jet GL Transactions"",""Account Index"",""113"",""Credit Amount"",""11530.67000"",""Document Number"",""SLS110031"",""Debit Amount"",""0.00000"",""Vendor Name"",""Plaza One"",""Transaction Description"",""SALES"",""Transaction Date"",""1/1/2014"""</f>
        <v>"GP Direct","Fabrikam, Inc.","Jet GL Transactions","Account Index","113","Credit Amount","11530.67000","Document Number","SLS110031","Debit Amount","0.00000","Vendor Name","Plaza One","Transaction Description","SALES","Transaction Date","1/1/2014"</v>
      </c>
      <c r="F85" s="4">
        <v>0</v>
      </c>
      <c r="G85" s="4">
        <v>11530.67</v>
      </c>
      <c r="J85" s="31">
        <f t="shared" si="7"/>
        <v>-11530.67</v>
      </c>
      <c r="K85" s="32" t="str">
        <f t="shared" si="6"/>
        <v>SALES</v>
      </c>
      <c r="L85" s="32" t="str">
        <f>"SLS110031"</f>
        <v>SLS110031</v>
      </c>
      <c r="M85" s="33">
        <v>41640</v>
      </c>
      <c r="N85" s="31"/>
      <c r="R85" s="2">
        <f t="shared" si="8"/>
        <v>69</v>
      </c>
    </row>
    <row r="86" spans="1:18" hidden="1" outlineLevel="1" x14ac:dyDescent="0.2">
      <c r="A86" s="30" t="s">
        <v>53</v>
      </c>
      <c r="C86" s="18"/>
      <c r="D86" s="4"/>
      <c r="E86" s="19" t="str">
        <f>"""GP Direct"",""Fabrikam, Inc."",""Jet GL Transactions"",""Account Index"",""113"",""Credit Amount"",""11605.18000"",""Document Number"",""SLS12071"",""Debit Amount"",""0.00000"",""Vendor Name"",""Castle Inn Resort"",""Transaction Description"",""SALES"",""Transaction Date"",""1/1/2014"""</f>
        <v>"GP Direct","Fabrikam, Inc.","Jet GL Transactions","Account Index","113","Credit Amount","11605.18000","Document Number","SLS12071","Debit Amount","0.00000","Vendor Name","Castle Inn Resort","Transaction Description","SALES","Transaction Date","1/1/2014"</v>
      </c>
      <c r="F86" s="4">
        <v>0</v>
      </c>
      <c r="G86" s="4">
        <v>11605.18</v>
      </c>
      <c r="J86" s="31">
        <f t="shared" si="7"/>
        <v>-11605.18</v>
      </c>
      <c r="K86" s="32" t="str">
        <f t="shared" si="6"/>
        <v>SALES</v>
      </c>
      <c r="L86" s="32" t="str">
        <f>"SLS12071"</f>
        <v>SLS12071</v>
      </c>
      <c r="M86" s="33">
        <v>41640</v>
      </c>
      <c r="N86" s="31"/>
      <c r="R86" s="2">
        <f t="shared" si="8"/>
        <v>70</v>
      </c>
    </row>
    <row r="87" spans="1:18" hidden="1" outlineLevel="1" x14ac:dyDescent="0.2">
      <c r="A87" s="30" t="s">
        <v>53</v>
      </c>
      <c r="C87" s="18"/>
      <c r="D87" s="4"/>
      <c r="E87" s="19" t="str">
        <f>"""GP Direct"",""Fabrikam, Inc."",""Jet GL Transactions"",""Account Index"",""113"",""Credit Amount"",""11874.23000"",""Document Number"",""SLS16082"",""Debit Amount"",""0.00000"",""Vendor Name"",""Data Communications Inc."",""Transaction Description"",""SALES"",""Transaction Date"",""1/1"&amp;"/2014"""</f>
        <v>"GP Direct","Fabrikam, Inc.","Jet GL Transactions","Account Index","113","Credit Amount","11874.23000","Document Number","SLS16082","Debit Amount","0.00000","Vendor Name","Data Communications Inc.","Transaction Description","SALES","Transaction Date","1/1/2014"</v>
      </c>
      <c r="F87" s="4">
        <v>0</v>
      </c>
      <c r="G87" s="4">
        <v>11874.23</v>
      </c>
      <c r="J87" s="31">
        <f t="shared" si="7"/>
        <v>-11874.23</v>
      </c>
      <c r="K87" s="32" t="str">
        <f t="shared" si="6"/>
        <v>SALES</v>
      </c>
      <c r="L87" s="32" t="str">
        <f>"SLS16082"</f>
        <v>SLS16082</v>
      </c>
      <c r="M87" s="33">
        <v>41640</v>
      </c>
      <c r="N87" s="31"/>
      <c r="R87" s="2">
        <f t="shared" si="8"/>
        <v>71</v>
      </c>
    </row>
    <row r="88" spans="1:18" hidden="1" outlineLevel="1" x14ac:dyDescent="0.2">
      <c r="A88" s="30" t="s">
        <v>53</v>
      </c>
      <c r="C88" s="18"/>
      <c r="D88" s="4"/>
      <c r="E88" s="19" t="str">
        <f>"""GP Direct"",""Fabrikam, Inc."",""Jet GL Transactions"",""Account Index"",""113"",""Credit Amount"",""12496.55000"",""Document Number"",""SLS12012"",""Debit Amount"",""0.00000"",""Vendor Name"",""World Enterprises"",""Transaction Description"",""SALES"",""Transaction Date"",""1/1/2014"""</f>
        <v>"GP Direct","Fabrikam, Inc.","Jet GL Transactions","Account Index","113","Credit Amount","12496.55000","Document Number","SLS12012","Debit Amount","0.00000","Vendor Name","World Enterprises","Transaction Description","SALES","Transaction Date","1/1/2014"</v>
      </c>
      <c r="F88" s="4">
        <v>0</v>
      </c>
      <c r="G88" s="4">
        <v>12496.55</v>
      </c>
      <c r="J88" s="31">
        <f t="shared" si="7"/>
        <v>-12496.55</v>
      </c>
      <c r="K88" s="32" t="str">
        <f t="shared" si="6"/>
        <v>SALES</v>
      </c>
      <c r="L88" s="32" t="str">
        <f>"SLS12012"</f>
        <v>SLS12012</v>
      </c>
      <c r="M88" s="33">
        <v>41640</v>
      </c>
      <c r="N88" s="31"/>
      <c r="R88" s="2">
        <f t="shared" si="8"/>
        <v>72</v>
      </c>
    </row>
    <row r="89" spans="1:18" hidden="1" outlineLevel="1" x14ac:dyDescent="0.2">
      <c r="A89" s="30" t="s">
        <v>53</v>
      </c>
      <c r="C89" s="18"/>
      <c r="D89" s="4"/>
      <c r="E89" s="19" t="str">
        <f>"""GP Direct"",""Fabrikam, Inc."",""Jet GL Transactions"",""Account Index"",""113"",""Credit Amount"",""12549.21000"",""Document Number"",""SLS19000"",""Debit Amount"",""0.00000"",""Vendor Name"",""Greenway Foods"",""Transaction Description"",""SALES"",""Transaction Date"",""1/1/2014"""</f>
        <v>"GP Direct","Fabrikam, Inc.","Jet GL Transactions","Account Index","113","Credit Amount","12549.21000","Document Number","SLS19000","Debit Amount","0.00000","Vendor Name","Greenway Foods","Transaction Description","SALES","Transaction Date","1/1/2014"</v>
      </c>
      <c r="F89" s="4">
        <v>0</v>
      </c>
      <c r="G89" s="4">
        <v>12549.21</v>
      </c>
      <c r="J89" s="31">
        <f t="shared" si="7"/>
        <v>-12549.21</v>
      </c>
      <c r="K89" s="32" t="str">
        <f t="shared" si="6"/>
        <v>SALES</v>
      </c>
      <c r="L89" s="32" t="str">
        <f>"SLS19000"</f>
        <v>SLS19000</v>
      </c>
      <c r="M89" s="33">
        <v>41640</v>
      </c>
      <c r="N89" s="31"/>
      <c r="R89" s="2">
        <f t="shared" si="8"/>
        <v>73</v>
      </c>
    </row>
    <row r="90" spans="1:18" hidden="1" outlineLevel="1" x14ac:dyDescent="0.2">
      <c r="A90" s="30" t="s">
        <v>53</v>
      </c>
      <c r="C90" s="18"/>
      <c r="D90" s="4"/>
      <c r="E90" s="19" t="str">
        <f>"""GP Direct"",""Fabrikam, Inc."",""Jet GL Transactions"",""Account Index"",""113"",""Credit Amount"",""12575.98000"",""Document Number"",""SLS17084"",""Debit Amount"",""0.00000"",""Vendor Name"",""Place &amp; MacDero Associates"",""Transaction Description"",""SALES"",""Transaction Date"",""1"&amp;"/1/2014"""</f>
        <v>"GP Direct","Fabrikam, Inc.","Jet GL Transactions","Account Index","113","Credit Amount","12575.98000","Document Number","SLS17084","Debit Amount","0.00000","Vendor Name","Place &amp; MacDero Associates","Transaction Description","SALES","Transaction Date","1/1/2014"</v>
      </c>
      <c r="F90" s="4">
        <v>0</v>
      </c>
      <c r="G90" s="4">
        <v>12575.98</v>
      </c>
      <c r="J90" s="31">
        <f t="shared" si="7"/>
        <v>-12575.98</v>
      </c>
      <c r="K90" s="32" t="str">
        <f t="shared" si="6"/>
        <v>SALES</v>
      </c>
      <c r="L90" s="32" t="str">
        <f>"SLS17084"</f>
        <v>SLS17084</v>
      </c>
      <c r="M90" s="33">
        <v>41640</v>
      </c>
      <c r="N90" s="31"/>
      <c r="R90" s="2">
        <f t="shared" si="8"/>
        <v>74</v>
      </c>
    </row>
    <row r="91" spans="1:18" hidden="1" outlineLevel="1" x14ac:dyDescent="0.2">
      <c r="A91" s="30" t="s">
        <v>53</v>
      </c>
      <c r="C91" s="18"/>
      <c r="D91" s="4"/>
      <c r="E91" s="19" t="str">
        <f>"""GP Direct"",""Fabrikam, Inc."",""Jet GL Transactions"",""Account Index"",""113"",""Credit Amount"",""12585.75000"",""Document Number"",""SLS116004"",""Debit Amount"",""0.00000"",""Vendor Name"",""Reynolds State College"",""Transaction Description"",""SALES"",""Transaction Date"",""1/1/"&amp;"2014"""</f>
        <v>"GP Direct","Fabrikam, Inc.","Jet GL Transactions","Account Index","113","Credit Amount","12585.75000","Document Number","SLS116004","Debit Amount","0.00000","Vendor Name","Reynolds State College","Transaction Description","SALES","Transaction Date","1/1/2014"</v>
      </c>
      <c r="F91" s="4">
        <v>0</v>
      </c>
      <c r="G91" s="4">
        <v>12585.75</v>
      </c>
      <c r="J91" s="31">
        <f t="shared" si="7"/>
        <v>-12585.75</v>
      </c>
      <c r="K91" s="32" t="str">
        <f t="shared" si="6"/>
        <v>SALES</v>
      </c>
      <c r="L91" s="32" t="str">
        <f>"SLS116004"</f>
        <v>SLS116004</v>
      </c>
      <c r="M91" s="33">
        <v>41640</v>
      </c>
      <c r="N91" s="31"/>
      <c r="R91" s="2">
        <f t="shared" si="8"/>
        <v>75</v>
      </c>
    </row>
    <row r="92" spans="1:18" hidden="1" outlineLevel="1" x14ac:dyDescent="0.2">
      <c r="A92" s="30" t="s">
        <v>53</v>
      </c>
      <c r="C92" s="18"/>
      <c r="D92" s="4"/>
      <c r="E92" s="19" t="str">
        <f>"""GP Direct"",""Fabrikam, Inc."",""Jet GL Transactions"",""Account Index"",""113"",""Credit Amount"",""12589.79000"",""Document Number"",""SLS114001"",""Debit Amount"",""0.00000"",""Vendor Name"",""Hampton Village Eatery"",""Transaction Description"",""SALES"",""Transaction Date"",""1/1/"&amp;"2014"""</f>
        <v>"GP Direct","Fabrikam, Inc.","Jet GL Transactions","Account Index","113","Credit Amount","12589.79000","Document Number","SLS114001","Debit Amount","0.00000","Vendor Name","Hampton Village Eatery","Transaction Description","SALES","Transaction Date","1/1/2014"</v>
      </c>
      <c r="F92" s="4">
        <v>0</v>
      </c>
      <c r="G92" s="4">
        <v>12589.79</v>
      </c>
      <c r="J92" s="31">
        <f t="shared" si="7"/>
        <v>-12589.79</v>
      </c>
      <c r="K92" s="32" t="str">
        <f t="shared" si="6"/>
        <v>SALES</v>
      </c>
      <c r="L92" s="32" t="str">
        <f>"SLS114001"</f>
        <v>SLS114001</v>
      </c>
      <c r="M92" s="33">
        <v>41640</v>
      </c>
      <c r="N92" s="31"/>
      <c r="R92" s="2">
        <f t="shared" si="8"/>
        <v>76</v>
      </c>
    </row>
    <row r="93" spans="1:18" hidden="1" outlineLevel="1" x14ac:dyDescent="0.2">
      <c r="A93" s="30" t="s">
        <v>53</v>
      </c>
      <c r="C93" s="18"/>
      <c r="D93" s="4"/>
      <c r="E93" s="19" t="str">
        <f>"""GP Direct"",""Fabrikam, Inc."",""Jet GL Transactions"",""Account Index"",""113"",""Credit Amount"",""12859.00000"",""Document Number"",""SLS11010"",""Debit Amount"",""0.00000"",""Vendor Name"",""Alton Manufacturing"",""Transaction Description"",""SALES"",""Transaction Date"",""1/1/2014"&amp;""""</f>
        <v>"GP Direct","Fabrikam, Inc.","Jet GL Transactions","Account Index","113","Credit Amount","12859.00000","Document Number","SLS11010","Debit Amount","0.00000","Vendor Name","Alton Manufacturing","Transaction Description","SALES","Transaction Date","1/1/2014"</v>
      </c>
      <c r="F93" s="4">
        <v>0</v>
      </c>
      <c r="G93" s="4">
        <v>12859</v>
      </c>
      <c r="J93" s="31">
        <f t="shared" si="7"/>
        <v>-12859</v>
      </c>
      <c r="K93" s="32" t="str">
        <f t="shared" si="6"/>
        <v>SALES</v>
      </c>
      <c r="L93" s="32" t="str">
        <f>"SLS11010"</f>
        <v>SLS11010</v>
      </c>
      <c r="M93" s="33">
        <v>41640</v>
      </c>
      <c r="N93" s="31"/>
      <c r="R93" s="2">
        <f t="shared" si="8"/>
        <v>77</v>
      </c>
    </row>
    <row r="94" spans="1:18" hidden="1" outlineLevel="1" x14ac:dyDescent="0.2">
      <c r="A94" s="30" t="s">
        <v>53</v>
      </c>
      <c r="C94" s="18"/>
      <c r="D94" s="4"/>
      <c r="E94" s="19" t="str">
        <f>"""GP Direct"",""Fabrikam, Inc."",""Jet GL Transactions"",""Account Index"",""113"",""Credit Amount"",""12880.13000"",""Document Number"",""SLS17020"",""Debit Amount"",""0.00000"",""Vendor Name"",""Mutual of  Omaha"",""Transaction Description"",""SALES"",""Transaction Date"",""1/1/2014"""</f>
        <v>"GP Direct","Fabrikam, Inc.","Jet GL Transactions","Account Index","113","Credit Amount","12880.13000","Document Number","SLS17020","Debit Amount","0.00000","Vendor Name","Mutual of  Omaha","Transaction Description","SALES","Transaction Date","1/1/2014"</v>
      </c>
      <c r="F94" s="4">
        <v>0</v>
      </c>
      <c r="G94" s="4">
        <v>12880.13</v>
      </c>
      <c r="J94" s="31">
        <f t="shared" si="7"/>
        <v>-12880.13</v>
      </c>
      <c r="K94" s="32" t="str">
        <f t="shared" si="6"/>
        <v>SALES</v>
      </c>
      <c r="L94" s="32" t="str">
        <f>"SLS17020"</f>
        <v>SLS17020</v>
      </c>
      <c r="M94" s="33">
        <v>41640</v>
      </c>
      <c r="N94" s="31"/>
      <c r="R94" s="2">
        <f t="shared" si="8"/>
        <v>78</v>
      </c>
    </row>
    <row r="95" spans="1:18" hidden="1" outlineLevel="1" x14ac:dyDescent="0.2">
      <c r="A95" s="30" t="s">
        <v>53</v>
      </c>
      <c r="C95" s="18"/>
      <c r="D95" s="4"/>
      <c r="E95" s="19" t="str">
        <f>"""GP Direct"",""Fabrikam, Inc."",""Jet GL Transactions"",""Account Index"",""113"",""Credit Amount"",""13894.67000"",""Document Number"",""SLS118002"",""Debit Amount"",""0.00000"",""Vendor Name"",""Downtown Hotel"",""Transaction Description"",""SALES"",""Transaction Date"",""1/1/2014"""</f>
        <v>"GP Direct","Fabrikam, Inc.","Jet GL Transactions","Account Index","113","Credit Amount","13894.67000","Document Number","SLS118002","Debit Amount","0.00000","Vendor Name","Downtown Hotel","Transaction Description","SALES","Transaction Date","1/1/2014"</v>
      </c>
      <c r="F95" s="4">
        <v>0</v>
      </c>
      <c r="G95" s="4">
        <v>13894.67</v>
      </c>
      <c r="J95" s="31">
        <f t="shared" si="7"/>
        <v>-13894.67</v>
      </c>
      <c r="K95" s="32" t="str">
        <f t="shared" si="6"/>
        <v>SALES</v>
      </c>
      <c r="L95" s="32" t="str">
        <f>"SLS118002"</f>
        <v>SLS118002</v>
      </c>
      <c r="M95" s="33">
        <v>41640</v>
      </c>
      <c r="N95" s="31"/>
      <c r="R95" s="2">
        <f t="shared" si="8"/>
        <v>79</v>
      </c>
    </row>
    <row r="96" spans="1:18" hidden="1" outlineLevel="1" x14ac:dyDescent="0.2">
      <c r="A96" s="30" t="s">
        <v>53</v>
      </c>
      <c r="C96" s="18"/>
      <c r="D96" s="4"/>
      <c r="E96" s="19" t="str">
        <f>"""GP Direct"",""Fabrikam, Inc."",""Jet GL Transactions"",""Account Index"",""113"",""Credit Amount"",""14585.63000"",""Document Number"",""SLS14002"",""Debit Amount"",""0.00000"",""Vendor Name"",""American Science Museum"",""Transaction Description"",""SALES"",""Transaction Date"",""1/1/"&amp;"2014"""</f>
        <v>"GP Direct","Fabrikam, Inc.","Jet GL Transactions","Account Index","113","Credit Amount","14585.63000","Document Number","SLS14002","Debit Amount","0.00000","Vendor Name","American Science Museum","Transaction Description","SALES","Transaction Date","1/1/2014"</v>
      </c>
      <c r="F96" s="4">
        <v>0</v>
      </c>
      <c r="G96" s="4">
        <v>14585.63</v>
      </c>
      <c r="J96" s="31">
        <f t="shared" si="7"/>
        <v>-14585.63</v>
      </c>
      <c r="K96" s="32" t="str">
        <f t="shared" ref="K96:K119" si="9">"SALES"</f>
        <v>SALES</v>
      </c>
      <c r="L96" s="32" t="str">
        <f>"SLS14002"</f>
        <v>SLS14002</v>
      </c>
      <c r="M96" s="33">
        <v>41640</v>
      </c>
      <c r="N96" s="31"/>
      <c r="R96" s="2">
        <f t="shared" si="8"/>
        <v>80</v>
      </c>
    </row>
    <row r="97" spans="1:18" hidden="1" outlineLevel="1" x14ac:dyDescent="0.2">
      <c r="A97" s="30" t="s">
        <v>53</v>
      </c>
      <c r="C97" s="18"/>
      <c r="D97" s="4"/>
      <c r="E97" s="19" t="str">
        <f>"""GP Direct"",""Fabrikam, Inc."",""Jet GL Transactions"",""Account Index"",""113"",""Credit Amount"",""14595.89000"",""Document Number"",""SLS14072"",""Debit Amount"",""0.00000"",""Vendor Name"",""Rosellen General Hospital"",""Transaction Description"",""SALES"",""Transaction Date"",""1/"&amp;"1/2014"""</f>
        <v>"GP Direct","Fabrikam, Inc.","Jet GL Transactions","Account Index","113","Credit Amount","14595.89000","Document Number","SLS14072","Debit Amount","0.00000","Vendor Name","Rosellen General Hospital","Transaction Description","SALES","Transaction Date","1/1/2014"</v>
      </c>
      <c r="F97" s="4">
        <v>0</v>
      </c>
      <c r="G97" s="4">
        <v>14595.89</v>
      </c>
      <c r="J97" s="31">
        <f t="shared" si="7"/>
        <v>-14595.89</v>
      </c>
      <c r="K97" s="32" t="str">
        <f t="shared" si="9"/>
        <v>SALES</v>
      </c>
      <c r="L97" s="32" t="str">
        <f>"SLS14072"</f>
        <v>SLS14072</v>
      </c>
      <c r="M97" s="33">
        <v>41640</v>
      </c>
      <c r="N97" s="31"/>
      <c r="R97" s="2">
        <f t="shared" si="8"/>
        <v>81</v>
      </c>
    </row>
    <row r="98" spans="1:18" hidden="1" outlineLevel="1" x14ac:dyDescent="0.2">
      <c r="A98" s="30" t="s">
        <v>53</v>
      </c>
      <c r="C98" s="18"/>
      <c r="D98" s="4"/>
      <c r="E98" s="19" t="str">
        <f>"""GP Direct"",""Fabrikam, Inc."",""Jet GL Transactions"",""Account Index"",""113"",""Credit Amount"",""15466.32000"",""Document Number"",""SLS19003"",""Debit Amount"",""0.00000"",""Vendor Name"",""Greenway Foods"",""Transaction Description"",""SALES"",""Transaction Date"",""1/1/2014"""</f>
        <v>"GP Direct","Fabrikam, Inc.","Jet GL Transactions","Account Index","113","Credit Amount","15466.32000","Document Number","SLS19003","Debit Amount","0.00000","Vendor Name","Greenway Foods","Transaction Description","SALES","Transaction Date","1/1/2014"</v>
      </c>
      <c r="F98" s="4">
        <v>0</v>
      </c>
      <c r="G98" s="4">
        <v>15466.32</v>
      </c>
      <c r="J98" s="31">
        <f t="shared" si="7"/>
        <v>-15466.32</v>
      </c>
      <c r="K98" s="32" t="str">
        <f t="shared" si="9"/>
        <v>SALES</v>
      </c>
      <c r="L98" s="32" t="str">
        <f>"SLS19003"</f>
        <v>SLS19003</v>
      </c>
      <c r="M98" s="33">
        <v>41640</v>
      </c>
      <c r="N98" s="31"/>
      <c r="R98" s="2">
        <f t="shared" si="8"/>
        <v>82</v>
      </c>
    </row>
    <row r="99" spans="1:18" hidden="1" outlineLevel="1" x14ac:dyDescent="0.2">
      <c r="A99" s="30" t="s">
        <v>53</v>
      </c>
      <c r="C99" s="18"/>
      <c r="D99" s="4"/>
      <c r="E99" s="19" t="str">
        <f>"""GP Direct"",""Fabrikam, Inc."",""Jet GL Transactions"",""Account Index"",""113"",""Credit Amount"",""15785.54000"",""Document Number"",""SLS116011"",""Debit Amount"",""0.00000"",""Vendor Name"",""Reynolds State College"",""Transaction Description"",""SALES"",""Transaction Date"",""1/1/"&amp;"2014"""</f>
        <v>"GP Direct","Fabrikam, Inc.","Jet GL Transactions","Account Index","113","Credit Amount","15785.54000","Document Number","SLS116011","Debit Amount","0.00000","Vendor Name","Reynolds State College","Transaction Description","SALES","Transaction Date","1/1/2014"</v>
      </c>
      <c r="F99" s="4">
        <v>0</v>
      </c>
      <c r="G99" s="4">
        <v>15785.54</v>
      </c>
      <c r="J99" s="31">
        <f t="shared" si="7"/>
        <v>-15785.54</v>
      </c>
      <c r="K99" s="32" t="str">
        <f t="shared" si="9"/>
        <v>SALES</v>
      </c>
      <c r="L99" s="32" t="str">
        <f>"SLS116011"</f>
        <v>SLS116011</v>
      </c>
      <c r="M99" s="33">
        <v>41640</v>
      </c>
      <c r="N99" s="31"/>
      <c r="R99" s="2">
        <f t="shared" si="8"/>
        <v>83</v>
      </c>
    </row>
    <row r="100" spans="1:18" hidden="1" outlineLevel="1" x14ac:dyDescent="0.2">
      <c r="A100" s="30" t="s">
        <v>53</v>
      </c>
      <c r="C100" s="18"/>
      <c r="D100" s="4"/>
      <c r="E100" s="19" t="str">
        <f>"""GP Direct"",""Fabrikam, Inc."",""Jet GL Transactions"",""Account Index"",""113"",""Credit Amount"",""16134.16000"",""Document Number"",""SLS11081"",""Debit Amount"",""0.00000"",""Vendor Name"",""Place One Suites"",""Transaction Description"",""SALES"",""Transaction Date"",""1/1/2014"""</f>
        <v>"GP Direct","Fabrikam, Inc.","Jet GL Transactions","Account Index","113","Credit Amount","16134.16000","Document Number","SLS11081","Debit Amount","0.00000","Vendor Name","Place One Suites","Transaction Description","SALES","Transaction Date","1/1/2014"</v>
      </c>
      <c r="F100" s="4">
        <v>0</v>
      </c>
      <c r="G100" s="4">
        <v>16134.16</v>
      </c>
      <c r="J100" s="31">
        <f t="shared" si="7"/>
        <v>-16134.16</v>
      </c>
      <c r="K100" s="32" t="str">
        <f t="shared" si="9"/>
        <v>SALES</v>
      </c>
      <c r="L100" s="32" t="str">
        <f>"SLS11081"</f>
        <v>SLS11081</v>
      </c>
      <c r="M100" s="33">
        <v>41640</v>
      </c>
      <c r="N100" s="31"/>
      <c r="R100" s="2">
        <f t="shared" si="8"/>
        <v>84</v>
      </c>
    </row>
    <row r="101" spans="1:18" hidden="1" outlineLevel="1" x14ac:dyDescent="0.2">
      <c r="A101" s="30" t="s">
        <v>53</v>
      </c>
      <c r="C101" s="18"/>
      <c r="D101" s="4"/>
      <c r="E101" s="19" t="str">
        <f>"""GP Direct"",""Fabrikam, Inc."",""Jet GL Transactions"",""Account Index"",""113"",""Credit Amount"",""16302.54000"",""Document Number"",""SLS17082"",""Debit Amount"",""0.00000"",""Vendor Name"",""Place &amp; MacDero Associates"",""Transaction Description"",""SALES"",""Transaction Date"",""1"&amp;"/1/2014"""</f>
        <v>"GP Direct","Fabrikam, Inc.","Jet GL Transactions","Account Index","113","Credit Amount","16302.54000","Document Number","SLS17082","Debit Amount","0.00000","Vendor Name","Place &amp; MacDero Associates","Transaction Description","SALES","Transaction Date","1/1/2014"</v>
      </c>
      <c r="F101" s="4">
        <v>0</v>
      </c>
      <c r="G101" s="4">
        <v>16302.54</v>
      </c>
      <c r="J101" s="31">
        <f t="shared" si="7"/>
        <v>-16302.54</v>
      </c>
      <c r="K101" s="32" t="str">
        <f t="shared" si="9"/>
        <v>SALES</v>
      </c>
      <c r="L101" s="32" t="str">
        <f>"SLS17082"</f>
        <v>SLS17082</v>
      </c>
      <c r="M101" s="33">
        <v>41640</v>
      </c>
      <c r="N101" s="31"/>
      <c r="R101" s="2">
        <f t="shared" si="8"/>
        <v>85</v>
      </c>
    </row>
    <row r="102" spans="1:18" hidden="1" outlineLevel="1" x14ac:dyDescent="0.2">
      <c r="A102" s="30" t="s">
        <v>53</v>
      </c>
      <c r="C102" s="18"/>
      <c r="D102" s="4"/>
      <c r="E102" s="19" t="str">
        <f>"""GP Direct"",""Fabrikam, Inc."",""Jet GL Transactions"",""Account Index"",""113"",""Credit Amount"",""17053.50000"",""Document Number"",""SLS14070"",""Debit Amount"",""0.00000"",""Vendor Name"",""World Enterprises"",""Transaction Description"",""SALES"",""Transaction Date"",""1/1/2014"""</f>
        <v>"GP Direct","Fabrikam, Inc.","Jet GL Transactions","Account Index","113","Credit Amount","17053.50000","Document Number","SLS14070","Debit Amount","0.00000","Vendor Name","World Enterprises","Transaction Description","SALES","Transaction Date","1/1/2014"</v>
      </c>
      <c r="F102" s="4">
        <v>0</v>
      </c>
      <c r="G102" s="4">
        <v>17053.5</v>
      </c>
      <c r="J102" s="31">
        <f t="shared" si="7"/>
        <v>-17053.5</v>
      </c>
      <c r="K102" s="32" t="str">
        <f t="shared" si="9"/>
        <v>SALES</v>
      </c>
      <c r="L102" s="32" t="str">
        <f>"SLS14070"</f>
        <v>SLS14070</v>
      </c>
      <c r="M102" s="33">
        <v>41640</v>
      </c>
      <c r="N102" s="31"/>
      <c r="R102" s="2">
        <f t="shared" si="8"/>
        <v>86</v>
      </c>
    </row>
    <row r="103" spans="1:18" hidden="1" outlineLevel="1" x14ac:dyDescent="0.2">
      <c r="A103" s="30" t="s">
        <v>53</v>
      </c>
      <c r="C103" s="18"/>
      <c r="D103" s="4"/>
      <c r="E103" s="19" t="str">
        <f>"""GP Direct"",""Fabrikam, Inc."",""Jet GL Transactions"",""Account Index"",""113"",""Credit Amount"",""17806.19000"",""Document Number"",""SLS124001"",""Debit Amount"",""0.00000"",""Vendor Name"",""ISN Industries"",""Transaction Description"",""SALES"",""Transaction Date"",""1/1/2014"""</f>
        <v>"GP Direct","Fabrikam, Inc.","Jet GL Transactions","Account Index","113","Credit Amount","17806.19000","Document Number","SLS124001","Debit Amount","0.00000","Vendor Name","ISN Industries","Transaction Description","SALES","Transaction Date","1/1/2014"</v>
      </c>
      <c r="F103" s="4">
        <v>0</v>
      </c>
      <c r="G103" s="4">
        <v>17806.189999999999</v>
      </c>
      <c r="J103" s="31">
        <f t="shared" si="7"/>
        <v>-17806.189999999999</v>
      </c>
      <c r="K103" s="32" t="str">
        <f t="shared" si="9"/>
        <v>SALES</v>
      </c>
      <c r="L103" s="32" t="str">
        <f>"SLS124001"</f>
        <v>SLS124001</v>
      </c>
      <c r="M103" s="33">
        <v>41640</v>
      </c>
      <c r="N103" s="31"/>
      <c r="R103" s="2">
        <f t="shared" si="8"/>
        <v>87</v>
      </c>
    </row>
    <row r="104" spans="1:18" hidden="1" outlineLevel="1" x14ac:dyDescent="0.2">
      <c r="A104" s="30" t="s">
        <v>53</v>
      </c>
      <c r="C104" s="18"/>
      <c r="D104" s="4"/>
      <c r="E104" s="19" t="str">
        <f>"""GP Direct"",""Fabrikam, Inc."",""Jet GL Transactions"",""Account Index"",""113"",""Credit Amount"",""17852.96000"",""Document Number"",""SLS119000"",""Debit Amount"",""0.00000"",""Vendor Name"",""Johnson, Kimberly"",""Transaction Description"",""SALES"",""Transaction Date"",""1/1/2014"""</f>
        <v>"GP Direct","Fabrikam, Inc.","Jet GL Transactions","Account Index","113","Credit Amount","17852.96000","Document Number","SLS119000","Debit Amount","0.00000","Vendor Name","Johnson, Kimberly","Transaction Description","SALES","Transaction Date","1/1/2014"</v>
      </c>
      <c r="F104" s="4">
        <v>0</v>
      </c>
      <c r="G104" s="4">
        <v>17852.96</v>
      </c>
      <c r="J104" s="31">
        <f t="shared" si="7"/>
        <v>-17852.96</v>
      </c>
      <c r="K104" s="32" t="str">
        <f t="shared" si="9"/>
        <v>SALES</v>
      </c>
      <c r="L104" s="32" t="str">
        <f>"SLS119000"</f>
        <v>SLS119000</v>
      </c>
      <c r="M104" s="33">
        <v>41640</v>
      </c>
      <c r="N104" s="31"/>
      <c r="R104" s="2">
        <f t="shared" si="8"/>
        <v>88</v>
      </c>
    </row>
    <row r="105" spans="1:18" hidden="1" outlineLevel="1" x14ac:dyDescent="0.2">
      <c r="A105" s="30" t="s">
        <v>53</v>
      </c>
      <c r="C105" s="18"/>
      <c r="D105" s="4"/>
      <c r="E105" s="19" t="str">
        <f>"""GP Direct"",""Fabrikam, Inc."",""Jet GL Transactions"",""Account Index"",""113"",""Credit Amount"",""18887.50000"",""Document Number"",""SLS117011"",""Debit Amount"",""0.00000"",""Vendor Name"",""Baker's Emporium Inc."",""Transaction Description"",""SALES"",""Transaction Date"",""1/1/2"&amp;"014"""</f>
        <v>"GP Direct","Fabrikam, Inc.","Jet GL Transactions","Account Index","113","Credit Amount","18887.50000","Document Number","SLS117011","Debit Amount","0.00000","Vendor Name","Baker's Emporium Inc.","Transaction Description","SALES","Transaction Date","1/1/2014"</v>
      </c>
      <c r="F105" s="4">
        <v>0</v>
      </c>
      <c r="G105" s="4">
        <v>18887.5</v>
      </c>
      <c r="J105" s="31">
        <f t="shared" si="7"/>
        <v>-18887.5</v>
      </c>
      <c r="K105" s="32" t="str">
        <f t="shared" si="9"/>
        <v>SALES</v>
      </c>
      <c r="L105" s="32" t="str">
        <f>"SLS117011"</f>
        <v>SLS117011</v>
      </c>
      <c r="M105" s="33">
        <v>41640</v>
      </c>
      <c r="N105" s="31"/>
      <c r="R105" s="2">
        <f t="shared" si="8"/>
        <v>89</v>
      </c>
    </row>
    <row r="106" spans="1:18" hidden="1" outlineLevel="1" x14ac:dyDescent="0.2">
      <c r="A106" s="30" t="s">
        <v>53</v>
      </c>
      <c r="C106" s="18"/>
      <c r="D106" s="4"/>
      <c r="E106" s="19" t="str">
        <f>"""GP Direct"",""Fabrikam, Inc."",""Jet GL Transactions"",""Account Index"",""113"",""Credit Amount"",""19498.43000"",""Document Number"",""SLS19022"",""Debit Amount"",""0.00000"",""Vendor Name"",""McConnell A.F. B."",""Transaction Description"",""SALES"",""Transaction Date"",""1/1/2014"""</f>
        <v>"GP Direct","Fabrikam, Inc.","Jet GL Transactions","Account Index","113","Credit Amount","19498.43000","Document Number","SLS19022","Debit Amount","0.00000","Vendor Name","McConnell A.F. B.","Transaction Description","SALES","Transaction Date","1/1/2014"</v>
      </c>
      <c r="F106" s="4">
        <v>0</v>
      </c>
      <c r="G106" s="4">
        <v>19498.43</v>
      </c>
      <c r="J106" s="31">
        <f t="shared" si="7"/>
        <v>-19498.43</v>
      </c>
      <c r="K106" s="32" t="str">
        <f t="shared" si="9"/>
        <v>SALES</v>
      </c>
      <c r="L106" s="32" t="str">
        <f>"SLS19022"</f>
        <v>SLS19022</v>
      </c>
      <c r="M106" s="33">
        <v>41640</v>
      </c>
      <c r="N106" s="31"/>
      <c r="R106" s="2">
        <f t="shared" si="8"/>
        <v>90</v>
      </c>
    </row>
    <row r="107" spans="1:18" hidden="1" outlineLevel="1" x14ac:dyDescent="0.2">
      <c r="A107" s="30" t="s">
        <v>53</v>
      </c>
      <c r="C107" s="18"/>
      <c r="D107" s="4"/>
      <c r="E107" s="19" t="str">
        <f>"""GP Direct"",""Fabrikam, Inc."",""Jet GL Transactions"",""Account Index"",""113"",""Credit Amount"",""19564.67000"",""Document Number"",""SLS110020"",""Debit Amount"",""0.00000"",""Vendor Name"",""Lawrence Telemarketing"",""Transaction Description"",""SALES"",""Transaction Date"",""1/1/"&amp;"2014"""</f>
        <v>"GP Direct","Fabrikam, Inc.","Jet GL Transactions","Account Index","113","Credit Amount","19564.67000","Document Number","SLS110020","Debit Amount","0.00000","Vendor Name","Lawrence Telemarketing","Transaction Description","SALES","Transaction Date","1/1/2014"</v>
      </c>
      <c r="F107" s="4">
        <v>0</v>
      </c>
      <c r="G107" s="4">
        <v>19564.669999999998</v>
      </c>
      <c r="J107" s="31">
        <f t="shared" si="7"/>
        <v>-19564.669999999998</v>
      </c>
      <c r="K107" s="32" t="str">
        <f t="shared" si="9"/>
        <v>SALES</v>
      </c>
      <c r="L107" s="32" t="str">
        <f>"SLS110020"</f>
        <v>SLS110020</v>
      </c>
      <c r="M107" s="33">
        <v>41640</v>
      </c>
      <c r="N107" s="31"/>
      <c r="R107" s="2">
        <f t="shared" si="8"/>
        <v>91</v>
      </c>
    </row>
    <row r="108" spans="1:18" hidden="1" outlineLevel="1" x14ac:dyDescent="0.2">
      <c r="A108" s="30" t="s">
        <v>53</v>
      </c>
      <c r="C108" s="18"/>
      <c r="D108" s="4"/>
      <c r="E108" s="19" t="str">
        <f>"""GP Direct"",""Fabrikam, Inc."",""Jet GL Transactions"",""Account Index"",""113"",""Credit Amount"",""19876.35000"",""Document Number"",""SLS11013"",""Debit Amount"",""0.00000"",""Vendor Name"",""Alton Manufacturing"",""Transaction Description"",""SALES"",""Transaction Date"",""1/1/2014"&amp;""""</f>
        <v>"GP Direct","Fabrikam, Inc.","Jet GL Transactions","Account Index","113","Credit Amount","19876.35000","Document Number","SLS11013","Debit Amount","0.00000","Vendor Name","Alton Manufacturing","Transaction Description","SALES","Transaction Date","1/1/2014"</v>
      </c>
      <c r="F108" s="4">
        <v>0</v>
      </c>
      <c r="G108" s="4">
        <v>19876.349999999999</v>
      </c>
      <c r="J108" s="31">
        <f t="shared" si="7"/>
        <v>-19876.349999999999</v>
      </c>
      <c r="K108" s="32" t="str">
        <f t="shared" si="9"/>
        <v>SALES</v>
      </c>
      <c r="L108" s="32" t="str">
        <f>"SLS11013"</f>
        <v>SLS11013</v>
      </c>
      <c r="M108" s="33">
        <v>41640</v>
      </c>
      <c r="N108" s="31"/>
      <c r="R108" s="2">
        <f t="shared" si="8"/>
        <v>92</v>
      </c>
    </row>
    <row r="109" spans="1:18" hidden="1" outlineLevel="1" x14ac:dyDescent="0.2">
      <c r="A109" s="30" t="s">
        <v>53</v>
      </c>
      <c r="C109" s="18"/>
      <c r="D109" s="4"/>
      <c r="E109" s="19" t="str">
        <f>"""GP Direct"",""Fabrikam, Inc."",""Jet GL Transactions"",""Account Index"",""113"",""Credit Amount"",""21854.25000"",""Document Number"",""SLS113000"",""Debit Amount"",""0.00000"",""Vendor Name"",""Heartland Tower Systems"",""Transaction Description"",""SALES"",""Transaction Date"",""1/1"&amp;"/2014"""</f>
        <v>"GP Direct","Fabrikam, Inc.","Jet GL Transactions","Account Index","113","Credit Amount","21854.25000","Document Number","SLS113000","Debit Amount","0.00000","Vendor Name","Heartland Tower Systems","Transaction Description","SALES","Transaction Date","1/1/2014"</v>
      </c>
      <c r="F109" s="4">
        <v>0</v>
      </c>
      <c r="G109" s="4">
        <v>21854.25</v>
      </c>
      <c r="J109" s="31">
        <f t="shared" si="7"/>
        <v>-21854.25</v>
      </c>
      <c r="K109" s="32" t="str">
        <f t="shared" si="9"/>
        <v>SALES</v>
      </c>
      <c r="L109" s="32" t="str">
        <f>"SLS113000"</f>
        <v>SLS113000</v>
      </c>
      <c r="M109" s="33">
        <v>41640</v>
      </c>
      <c r="N109" s="31"/>
      <c r="R109" s="2">
        <f t="shared" si="8"/>
        <v>93</v>
      </c>
    </row>
    <row r="110" spans="1:18" hidden="1" outlineLevel="1" x14ac:dyDescent="0.2">
      <c r="A110" s="30" t="s">
        <v>53</v>
      </c>
      <c r="C110" s="18"/>
      <c r="D110" s="4"/>
      <c r="E110" s="19" t="str">
        <f>"""GP Direct"",""Fabrikam, Inc."",""Jet GL Transactions"",""Account Index"",""113"",""Credit Amount"",""21895.64000"",""Document Number"",""SLS18081"",""Debit Amount"",""0.00000"",""Vendor Name"",""Vancouver Resort Hotels"",""Transaction Description"",""SALES"",""Transaction Date"",""1/1/"&amp;"2014"""</f>
        <v>"GP Direct","Fabrikam, Inc.","Jet GL Transactions","Account Index","113","Credit Amount","21895.64000","Document Number","SLS18081","Debit Amount","0.00000","Vendor Name","Vancouver Resort Hotels","Transaction Description","SALES","Transaction Date","1/1/2014"</v>
      </c>
      <c r="F110" s="4">
        <v>0</v>
      </c>
      <c r="G110" s="4">
        <v>21895.64</v>
      </c>
      <c r="J110" s="31">
        <f t="shared" si="7"/>
        <v>-21895.64</v>
      </c>
      <c r="K110" s="32" t="str">
        <f t="shared" si="9"/>
        <v>SALES</v>
      </c>
      <c r="L110" s="32" t="str">
        <f>"SLS18081"</f>
        <v>SLS18081</v>
      </c>
      <c r="M110" s="33">
        <v>41640</v>
      </c>
      <c r="N110" s="31"/>
      <c r="R110" s="2">
        <f t="shared" si="8"/>
        <v>94</v>
      </c>
    </row>
    <row r="111" spans="1:18" hidden="1" outlineLevel="1" x14ac:dyDescent="0.2">
      <c r="A111" s="30" t="s">
        <v>53</v>
      </c>
      <c r="C111" s="18"/>
      <c r="D111" s="4"/>
      <c r="E111" s="19" t="str">
        <f>"""GP Direct"",""Fabrikam, Inc."",""Jet GL Transactions"",""Account Index"",""113"",""Credit Amount"",""25481.84000"",""Document Number"",""SLS113013"",""Debit Amount"",""0.00000"",""Vendor Name"",""S &amp; S Properties"",""Transaction Description"",""SALES"",""Transaction Date"",""1/1/2014"""</f>
        <v>"GP Direct","Fabrikam, Inc.","Jet GL Transactions","Account Index","113","Credit Amount","25481.84000","Document Number","SLS113013","Debit Amount","0.00000","Vendor Name","S &amp; S Properties","Transaction Description","SALES","Transaction Date","1/1/2014"</v>
      </c>
      <c r="F111" s="4">
        <v>0</v>
      </c>
      <c r="G111" s="4">
        <v>25481.84</v>
      </c>
      <c r="J111" s="31">
        <f t="shared" si="7"/>
        <v>-25481.84</v>
      </c>
      <c r="K111" s="32" t="str">
        <f t="shared" si="9"/>
        <v>SALES</v>
      </c>
      <c r="L111" s="32" t="str">
        <f>"SLS113013"</f>
        <v>SLS113013</v>
      </c>
      <c r="M111" s="33">
        <v>41640</v>
      </c>
      <c r="N111" s="31"/>
      <c r="R111" s="2">
        <f t="shared" si="8"/>
        <v>95</v>
      </c>
    </row>
    <row r="112" spans="1:18" hidden="1" outlineLevel="1" x14ac:dyDescent="0.2">
      <c r="A112" s="30" t="s">
        <v>53</v>
      </c>
      <c r="C112" s="18"/>
      <c r="D112" s="4"/>
      <c r="E112" s="19" t="str">
        <f>"""GP Direct"",""Fabrikam, Inc."",""Jet GL Transactions"",""Account Index"",""113"",""Credit Amount"",""25846.25000"",""Document Number"",""SLS11011"",""Debit Amount"",""0.00000"",""Vendor Name"",""Alton Manufacturing"",""Transaction Description"",""SALES"",""Transaction Date"",""1/1/2014"&amp;""""</f>
        <v>"GP Direct","Fabrikam, Inc.","Jet GL Transactions","Account Index","113","Credit Amount","25846.25000","Document Number","SLS11011","Debit Amount","0.00000","Vendor Name","Alton Manufacturing","Transaction Description","SALES","Transaction Date","1/1/2014"</v>
      </c>
      <c r="F112" s="4">
        <v>0</v>
      </c>
      <c r="G112" s="4">
        <v>25846.25</v>
      </c>
      <c r="J112" s="31">
        <f t="shared" si="7"/>
        <v>-25846.25</v>
      </c>
      <c r="K112" s="32" t="str">
        <f t="shared" si="9"/>
        <v>SALES</v>
      </c>
      <c r="L112" s="32" t="str">
        <f>"SLS11011"</f>
        <v>SLS11011</v>
      </c>
      <c r="M112" s="33">
        <v>41640</v>
      </c>
      <c r="N112" s="31"/>
      <c r="R112" s="2">
        <f t="shared" si="8"/>
        <v>96</v>
      </c>
    </row>
    <row r="113" spans="1:18" hidden="1" outlineLevel="1" x14ac:dyDescent="0.2">
      <c r="A113" s="30" t="s">
        <v>53</v>
      </c>
      <c r="C113" s="18"/>
      <c r="D113" s="4"/>
      <c r="E113" s="19" t="str">
        <f>"""GP Direct"",""Fabrikam, Inc."",""Jet GL Transactions"",""Account Index"",""113"",""Credit Amount"",""25897.55000"",""Document Number"",""SLS118010"",""Debit Amount"",""0.00000"",""Vendor Name"",""Unified Wire and Cable Systems"",""Transaction Description"",""SALES"",""Transaction Dat"&amp;"e"",""1/1/2014"""</f>
        <v>"GP Direct","Fabrikam, Inc.","Jet GL Transactions","Account Index","113","Credit Amount","25897.55000","Document Number","SLS118010","Debit Amount","0.00000","Vendor Name","Unified Wire and Cable Systems","Transaction Description","SALES","Transaction Date","1/1/2014"</v>
      </c>
      <c r="F113" s="4">
        <v>0</v>
      </c>
      <c r="G113" s="4">
        <v>25897.55</v>
      </c>
      <c r="J113" s="31">
        <f t="shared" ref="J113:J119" si="10">IF(AND(F113="",G113=""),"",$F113-$G113)</f>
        <v>-25897.55</v>
      </c>
      <c r="K113" s="32" t="str">
        <f t="shared" si="9"/>
        <v>SALES</v>
      </c>
      <c r="L113" s="32" t="str">
        <f>"SLS118010"</f>
        <v>SLS118010</v>
      </c>
      <c r="M113" s="33">
        <v>41640</v>
      </c>
      <c r="N113" s="31"/>
      <c r="R113" s="2">
        <f t="shared" si="8"/>
        <v>97</v>
      </c>
    </row>
    <row r="114" spans="1:18" hidden="1" outlineLevel="1" x14ac:dyDescent="0.2">
      <c r="A114" s="30" t="s">
        <v>53</v>
      </c>
      <c r="C114" s="18"/>
      <c r="D114" s="4"/>
      <c r="E114" s="19" t="str">
        <f>"""GP Direct"",""Fabrikam, Inc."",""Jet GL Transactions"",""Account Index"",""113"",""Credit Amount"",""27655.89000"",""Document Number"",""SLS11116"",""Debit Amount"",""0.00000"",""Vendor Name"",""Alton Manufacturing"",""Transaction Description"",""SALES"",""Transaction Date"",""1/1/2014"&amp;""""</f>
        <v>"GP Direct","Fabrikam, Inc.","Jet GL Transactions","Account Index","113","Credit Amount","27655.89000","Document Number","SLS11116","Debit Amount","0.00000","Vendor Name","Alton Manufacturing","Transaction Description","SALES","Transaction Date","1/1/2014"</v>
      </c>
      <c r="F114" s="4">
        <v>0</v>
      </c>
      <c r="G114" s="4">
        <v>27655.89</v>
      </c>
      <c r="J114" s="31">
        <f t="shared" si="10"/>
        <v>-27655.89</v>
      </c>
      <c r="K114" s="32" t="str">
        <f t="shared" si="9"/>
        <v>SALES</v>
      </c>
      <c r="L114" s="32" t="str">
        <f>"SLS11116"</f>
        <v>SLS11116</v>
      </c>
      <c r="M114" s="33">
        <v>41640</v>
      </c>
      <c r="N114" s="31"/>
      <c r="R114" s="2">
        <f t="shared" si="8"/>
        <v>98</v>
      </c>
    </row>
    <row r="115" spans="1:18" hidden="1" outlineLevel="1" x14ac:dyDescent="0.2">
      <c r="A115" s="30" t="s">
        <v>53</v>
      </c>
      <c r="C115" s="18"/>
      <c r="D115" s="4"/>
      <c r="E115" s="19" t="str">
        <f>"""GP Direct"",""Fabrikam, Inc."",""Jet GL Transactions"",""Account Index"",""113"",""Credit Amount"",""27806.57000"",""Document Number"",""SLS114050"",""Debit Amount"",""0.00000"",""Vendor Name"",""St. Mary's Hospital"",""Transaction Description"",""SALES"",""Transaction Date"",""1/1/201"&amp;"4"""</f>
        <v>"GP Direct","Fabrikam, Inc.","Jet GL Transactions","Account Index","113","Credit Amount","27806.57000","Document Number","SLS114050","Debit Amount","0.00000","Vendor Name","St. Mary's Hospital","Transaction Description","SALES","Transaction Date","1/1/2014"</v>
      </c>
      <c r="F115" s="4">
        <v>0</v>
      </c>
      <c r="G115" s="4">
        <v>27806.57</v>
      </c>
      <c r="J115" s="31">
        <f t="shared" si="10"/>
        <v>-27806.57</v>
      </c>
      <c r="K115" s="32" t="str">
        <f t="shared" si="9"/>
        <v>SALES</v>
      </c>
      <c r="L115" s="32" t="str">
        <f>"SLS114050"</f>
        <v>SLS114050</v>
      </c>
      <c r="M115" s="33">
        <v>41640</v>
      </c>
      <c r="N115" s="31"/>
      <c r="R115" s="2">
        <f t="shared" si="8"/>
        <v>99</v>
      </c>
    </row>
    <row r="116" spans="1:18" hidden="1" outlineLevel="1" x14ac:dyDescent="0.2">
      <c r="A116" s="30" t="s">
        <v>53</v>
      </c>
      <c r="C116" s="18"/>
      <c r="D116" s="4"/>
      <c r="E116" s="19" t="str">
        <f>"""GP Direct"",""Fabrikam, Inc."",""Jet GL Transactions"",""Account Index"",""113"",""Credit Amount"",""32159.85000"",""Document Number"",""SLS18012"",""Debit Amount"",""0.00000"",""Vendor Name"",""Mendota University"",""Transaction Description"",""SALES"",""Transaction Date"",""1/1/2014"""</f>
        <v>"GP Direct","Fabrikam, Inc.","Jet GL Transactions","Account Index","113","Credit Amount","32159.85000","Document Number","SLS18012","Debit Amount","0.00000","Vendor Name","Mendota University","Transaction Description","SALES","Transaction Date","1/1/2014"</v>
      </c>
      <c r="F116" s="4">
        <v>0</v>
      </c>
      <c r="G116" s="4">
        <v>32159.85</v>
      </c>
      <c r="J116" s="31">
        <f t="shared" si="10"/>
        <v>-32159.85</v>
      </c>
      <c r="K116" s="32" t="str">
        <f t="shared" si="9"/>
        <v>SALES</v>
      </c>
      <c r="L116" s="32" t="str">
        <f>"SLS18012"</f>
        <v>SLS18012</v>
      </c>
      <c r="M116" s="33">
        <v>41640</v>
      </c>
      <c r="N116" s="31"/>
      <c r="R116" s="2">
        <f t="shared" si="8"/>
        <v>100</v>
      </c>
    </row>
    <row r="117" spans="1:18" hidden="1" outlineLevel="1" x14ac:dyDescent="0.2">
      <c r="A117" s="30" t="s">
        <v>53</v>
      </c>
      <c r="C117" s="18"/>
      <c r="D117" s="4"/>
      <c r="E117" s="19" t="str">
        <f>"""GP Direct"",""Fabrikam, Inc."",""Jet GL Transactions"",""Account Index"",""113"",""Credit Amount"",""35805.79000"",""Document Number"",""SLS125000"",""Debit Amount"",""0.00000"",""Vendor Name"",""Red's Food Market"",""Transaction Description"",""SALES"",""Transaction Date"",""1/1/2014"""</f>
        <v>"GP Direct","Fabrikam, Inc.","Jet GL Transactions","Account Index","113","Credit Amount","35805.79000","Document Number","SLS125000","Debit Amount","0.00000","Vendor Name","Red's Food Market","Transaction Description","SALES","Transaction Date","1/1/2014"</v>
      </c>
      <c r="F117" s="4">
        <v>0</v>
      </c>
      <c r="G117" s="4">
        <v>35805.79</v>
      </c>
      <c r="J117" s="31">
        <f t="shared" si="10"/>
        <v>-35805.79</v>
      </c>
      <c r="K117" s="32" t="str">
        <f t="shared" si="9"/>
        <v>SALES</v>
      </c>
      <c r="L117" s="32" t="str">
        <f>"SLS125000"</f>
        <v>SLS125000</v>
      </c>
      <c r="M117" s="33">
        <v>41640</v>
      </c>
      <c r="N117" s="31"/>
      <c r="R117" s="2">
        <f t="shared" si="8"/>
        <v>101</v>
      </c>
    </row>
    <row r="118" spans="1:18" hidden="1" outlineLevel="1" x14ac:dyDescent="0.2">
      <c r="A118" s="30" t="s">
        <v>53</v>
      </c>
      <c r="C118" s="18"/>
      <c r="D118" s="4"/>
      <c r="E118" s="19" t="str">
        <f>"""GP Direct"",""Fabrikam, Inc."",""Jet GL Transactions"",""Account Index"",""113"",""Credit Amount"",""43500.96000"",""Document Number"",""SLS126000"",""Debit Amount"",""0.00000"",""Vendor Name"",""Snelling Communications Inc."",""Transaction Description"",""SALES"",""Transaction Date"""&amp;",""1/1/2014"""</f>
        <v>"GP Direct","Fabrikam, Inc.","Jet GL Transactions","Account Index","113","Credit Amount","43500.96000","Document Number","SLS126000","Debit Amount","0.00000","Vendor Name","Snelling Communications Inc.","Transaction Description","SALES","Transaction Date","1/1/2014"</v>
      </c>
      <c r="F118" s="4">
        <v>0</v>
      </c>
      <c r="G118" s="4">
        <v>43500.959999999999</v>
      </c>
      <c r="J118" s="31">
        <f t="shared" si="10"/>
        <v>-43500.959999999999</v>
      </c>
      <c r="K118" s="32" t="str">
        <f t="shared" si="9"/>
        <v>SALES</v>
      </c>
      <c r="L118" s="32" t="str">
        <f>"SLS126000"</f>
        <v>SLS126000</v>
      </c>
      <c r="M118" s="33">
        <v>41640</v>
      </c>
      <c r="N118" s="31"/>
      <c r="R118" s="2">
        <f t="shared" si="8"/>
        <v>102</v>
      </c>
    </row>
    <row r="119" spans="1:18" hidden="1" outlineLevel="1" x14ac:dyDescent="0.2">
      <c r="A119" s="30" t="s">
        <v>53</v>
      </c>
      <c r="C119" s="18"/>
      <c r="D119" s="4"/>
      <c r="E119" s="19" t="str">
        <f>"""GP Direct"",""Fabrikam, Inc."",""Jet GL Transactions"",""Account Index"",""113"",""Credit Amount"",""54401.72000"",""Document Number"",""SLS115050"",""Debit Amount"",""0.00000"",""Vendor Name"",""Berry Medical Center"",""Transaction Description"",""SALES"",""Transaction Date"",""1/1/20"&amp;"14"""</f>
        <v>"GP Direct","Fabrikam, Inc.","Jet GL Transactions","Account Index","113","Credit Amount","54401.72000","Document Number","SLS115050","Debit Amount","0.00000","Vendor Name","Berry Medical Center","Transaction Description","SALES","Transaction Date","1/1/2014"</v>
      </c>
      <c r="F119" s="4">
        <v>0</v>
      </c>
      <c r="G119" s="4">
        <v>54401.72</v>
      </c>
      <c r="J119" s="31">
        <f t="shared" si="10"/>
        <v>-54401.72</v>
      </c>
      <c r="K119" s="32" t="str">
        <f t="shared" si="9"/>
        <v>SALES</v>
      </c>
      <c r="L119" s="32" t="str">
        <f>"SLS115050"</f>
        <v>SLS115050</v>
      </c>
      <c r="M119" s="33">
        <v>41640</v>
      </c>
      <c r="N119" s="31"/>
      <c r="R119" s="2">
        <f t="shared" si="8"/>
        <v>103</v>
      </c>
    </row>
    <row r="120" spans="1:18" hidden="1" x14ac:dyDescent="0.2">
      <c r="A120" s="29" t="s">
        <v>1386</v>
      </c>
      <c r="C120" s="18"/>
    </row>
    <row r="121" spans="1:18" ht="17.25" customHeight="1" collapsed="1" x14ac:dyDescent="0.2">
      <c r="A121" s="30" t="s">
        <v>53</v>
      </c>
      <c r="C121" s="14" t="str">
        <f>"000-4110-02"</f>
        <v>000-4110-02</v>
      </c>
      <c r="D121" s="2">
        <v>114</v>
      </c>
      <c r="E121" s="2"/>
      <c r="F121" s="2" t="s">
        <v>10</v>
      </c>
      <c r="G121" s="2" t="s">
        <v>8</v>
      </c>
      <c r="H121" s="13" t="str">
        <f>"  "&amp;C121</f>
        <v xml:space="preserve">  000-4110-02</v>
      </c>
      <c r="I121" s="15" t="str">
        <f>"US Sales - Finished Goods"</f>
        <v>US Sales - Finished Goods</v>
      </c>
      <c r="J121" s="16">
        <f>SUM(J122:J140)</f>
        <v>-56535.689999999995</v>
      </c>
      <c r="K121" s="13"/>
      <c r="L121" s="13"/>
      <c r="M121" s="13"/>
      <c r="N121" s="17">
        <v>-240000</v>
      </c>
      <c r="O121" s="16">
        <f>J121-N121</f>
        <v>183464.31</v>
      </c>
    </row>
    <row r="122" spans="1:18" hidden="1" outlineLevel="1" x14ac:dyDescent="0.2">
      <c r="A122" s="30" t="s">
        <v>53</v>
      </c>
      <c r="C122" s="18"/>
      <c r="D122" s="4"/>
      <c r="E122" s="19" t="str">
        <f>"""GP Direct"",""Fabrikam, Inc."",""Jet GL Transactions"",""Account Index"",""114"",""Credit Amount"",""426.30000"",""Document Number"",""SLS17003"",""Debit Amount"",""0.00000"",""Vendor Name"",""Midland Construction"",""Transaction Description"",""SALES"",""Transaction Date"",""1/1/2014"""</f>
        <v>"GP Direct","Fabrikam, Inc.","Jet GL Transactions","Account Index","114","Credit Amount","426.30000","Document Number","SLS17003","Debit Amount","0.00000","Vendor Name","Midland Construction","Transaction Description","SALES","Transaction Date","1/1/2014"</v>
      </c>
      <c r="F122" s="4">
        <v>0</v>
      </c>
      <c r="G122" s="4">
        <v>426.3</v>
      </c>
      <c r="J122" s="31">
        <f t="shared" ref="J122:J139" si="11">IF(AND(F122="",G122=""),"",$F122-$G122)</f>
        <v>-426.3</v>
      </c>
      <c r="K122" s="32" t="str">
        <f t="shared" ref="K122:K139" si="12">"SALES"</f>
        <v>SALES</v>
      </c>
      <c r="L122" s="32" t="str">
        <f>"SLS17003"</f>
        <v>SLS17003</v>
      </c>
      <c r="M122" s="33">
        <v>41640</v>
      </c>
      <c r="N122" s="31"/>
      <c r="R122" s="2">
        <f t="shared" ref="R122" si="13">R121+1</f>
        <v>1</v>
      </c>
    </row>
    <row r="123" spans="1:18" hidden="1" outlineLevel="1" x14ac:dyDescent="0.2">
      <c r="A123" s="30" t="s">
        <v>53</v>
      </c>
      <c r="C123" s="18"/>
      <c r="D123" s="4"/>
      <c r="E123" s="19" t="str">
        <f>"""GP Direct"",""Fabrikam, Inc."",""Jet GL Transactions"",""Account Index"",""114"",""Credit Amount"",""1255.89000"",""Document Number"",""SLS110002"",""Debit Amount"",""0.00000"",""Vendor Name"",""Holling Communications Inc."",""Transaction Description"",""SALES"",""Transaction Date"","""&amp;"1/1/2014"""</f>
        <v>"GP Direct","Fabrikam, Inc.","Jet GL Transactions","Account Index","114","Credit Amount","1255.89000","Document Number","SLS110002","Debit Amount","0.00000","Vendor Name","Holling Communications Inc.","Transaction Description","SALES","Transaction Date","1/1/2014"</v>
      </c>
      <c r="F123" s="4">
        <v>0</v>
      </c>
      <c r="G123" s="4">
        <v>1255.8900000000001</v>
      </c>
      <c r="J123" s="31">
        <f t="shared" si="11"/>
        <v>-1255.8900000000001</v>
      </c>
      <c r="K123" s="32" t="str">
        <f t="shared" si="12"/>
        <v>SALES</v>
      </c>
      <c r="L123" s="32" t="str">
        <f>"SLS110002"</f>
        <v>SLS110002</v>
      </c>
      <c r="M123" s="33">
        <v>41640</v>
      </c>
      <c r="N123" s="31"/>
      <c r="R123" s="2">
        <f t="shared" ref="R123:R139" si="14">R122+1</f>
        <v>2</v>
      </c>
    </row>
    <row r="124" spans="1:18" hidden="1" outlineLevel="1" x14ac:dyDescent="0.2">
      <c r="A124" s="30" t="s">
        <v>53</v>
      </c>
      <c r="C124" s="18"/>
      <c r="D124" s="4"/>
      <c r="E124" s="19" t="str">
        <f>"""GP Direct"",""Fabrikam, Inc."",""Jet GL Transactions"",""Account Index"",""114"",""Credit Amount"",""1500.00000"",""Document Number"",""SLS112031"",""Debit Amount"",""0.00000"",""Vendor Name"",""Northstar Mall"",""Transaction Description"",""SALES"",""Transaction Date"",""1/1/2014"""</f>
        <v>"GP Direct","Fabrikam, Inc.","Jet GL Transactions","Account Index","114","Credit Amount","1500.00000","Document Number","SLS112031","Debit Amount","0.00000","Vendor Name","Northstar Mall","Transaction Description","SALES","Transaction Date","1/1/2014"</v>
      </c>
      <c r="F124" s="4">
        <v>0</v>
      </c>
      <c r="G124" s="4">
        <v>1500</v>
      </c>
      <c r="J124" s="31">
        <f t="shared" si="11"/>
        <v>-1500</v>
      </c>
      <c r="K124" s="32" t="str">
        <f t="shared" si="12"/>
        <v>SALES</v>
      </c>
      <c r="L124" s="32" t="str">
        <f>"SLS112031"</f>
        <v>SLS112031</v>
      </c>
      <c r="M124" s="33">
        <v>41640</v>
      </c>
      <c r="N124" s="31"/>
      <c r="R124" s="2">
        <f t="shared" si="14"/>
        <v>3</v>
      </c>
    </row>
    <row r="125" spans="1:18" hidden="1" outlineLevel="1" x14ac:dyDescent="0.2">
      <c r="A125" s="30" t="s">
        <v>53</v>
      </c>
      <c r="C125" s="18"/>
      <c r="D125" s="4"/>
      <c r="E125" s="19" t="str">
        <f>"""GP Direct"",""Fabrikam, Inc."",""Jet GL Transactions"",""Account Index"",""114"",""Credit Amount"",""1505.79000"",""Document Number"",""SLS115002"",""Debit Amount"",""0.00000"",""Vendor Name"",""Coho Winery"",""Transaction Description"",""SALES"",""Transaction Date"",""1/1/2014"""</f>
        <v>"GP Direct","Fabrikam, Inc.","Jet GL Transactions","Account Index","114","Credit Amount","1505.79000","Document Number","SLS115002","Debit Amount","0.00000","Vendor Name","Coho Winery","Transaction Description","SALES","Transaction Date","1/1/2014"</v>
      </c>
      <c r="F125" s="4">
        <v>0</v>
      </c>
      <c r="G125" s="4">
        <v>1505.79</v>
      </c>
      <c r="J125" s="31">
        <f t="shared" si="11"/>
        <v>-1505.79</v>
      </c>
      <c r="K125" s="32" t="str">
        <f t="shared" si="12"/>
        <v>SALES</v>
      </c>
      <c r="L125" s="32" t="str">
        <f>"SLS115002"</f>
        <v>SLS115002</v>
      </c>
      <c r="M125" s="33">
        <v>41640</v>
      </c>
      <c r="N125" s="31"/>
      <c r="R125" s="2">
        <f t="shared" si="14"/>
        <v>4</v>
      </c>
    </row>
    <row r="126" spans="1:18" hidden="1" outlineLevel="1" x14ac:dyDescent="0.2">
      <c r="A126" s="30" t="s">
        <v>53</v>
      </c>
      <c r="C126" s="18"/>
      <c r="D126" s="4"/>
      <c r="E126" s="19" t="str">
        <f>"""GP Direct"",""Fabrikam, Inc."",""Jet GL Transactions"",""Account Index"",""114"",""Credit Amount"",""1564.23000"",""Document Number"",""SLS14012"",""Debit Amount"",""0.00000"",""Vendor Name"",""Astor Suites"",""Transaction Description"",""SALES"",""Transaction Date"",""1/1/2014"""</f>
        <v>"GP Direct","Fabrikam, Inc.","Jet GL Transactions","Account Index","114","Credit Amount","1564.23000","Document Number","SLS14012","Debit Amount","0.00000","Vendor Name","Astor Suites","Transaction Description","SALES","Transaction Date","1/1/2014"</v>
      </c>
      <c r="F126" s="4">
        <v>0</v>
      </c>
      <c r="G126" s="4">
        <v>1564.23</v>
      </c>
      <c r="J126" s="31">
        <f t="shared" si="11"/>
        <v>-1564.23</v>
      </c>
      <c r="K126" s="32" t="str">
        <f t="shared" si="12"/>
        <v>SALES</v>
      </c>
      <c r="L126" s="32" t="str">
        <f>"SLS14012"</f>
        <v>SLS14012</v>
      </c>
      <c r="M126" s="33">
        <v>41640</v>
      </c>
      <c r="N126" s="31"/>
      <c r="R126" s="2">
        <f t="shared" si="14"/>
        <v>5</v>
      </c>
    </row>
    <row r="127" spans="1:18" hidden="1" outlineLevel="1" x14ac:dyDescent="0.2">
      <c r="A127" s="30" t="s">
        <v>53</v>
      </c>
      <c r="C127" s="18"/>
      <c r="D127" s="4"/>
      <c r="E127" s="19" t="str">
        <f>"""GP Direct"",""Fabrikam, Inc."",""Jet GL Transactions"",""Account Index"",""114"",""Credit Amount"",""1697.96000"",""Document Number"",""SLS17023"",""Debit Amount"",""0.00000"",""Vendor Name"",""Mutual of  Omaha"",""Transaction Description"",""SALES"",""Transaction Date"",""1/1/2014"""</f>
        <v>"GP Direct","Fabrikam, Inc.","Jet GL Transactions","Account Index","114","Credit Amount","1697.96000","Document Number","SLS17023","Debit Amount","0.00000","Vendor Name","Mutual of  Omaha","Transaction Description","SALES","Transaction Date","1/1/2014"</v>
      </c>
      <c r="F127" s="4">
        <v>0</v>
      </c>
      <c r="G127" s="4">
        <v>1697.96</v>
      </c>
      <c r="J127" s="31">
        <f t="shared" si="11"/>
        <v>-1697.96</v>
      </c>
      <c r="K127" s="32" t="str">
        <f t="shared" si="12"/>
        <v>SALES</v>
      </c>
      <c r="L127" s="32" t="str">
        <f>"SLS17023"</f>
        <v>SLS17023</v>
      </c>
      <c r="M127" s="33">
        <v>41640</v>
      </c>
      <c r="N127" s="31"/>
      <c r="R127" s="2">
        <f t="shared" si="14"/>
        <v>6</v>
      </c>
    </row>
    <row r="128" spans="1:18" hidden="1" outlineLevel="1" x14ac:dyDescent="0.2">
      <c r="A128" s="30" t="s">
        <v>53</v>
      </c>
      <c r="C128" s="18"/>
      <c r="D128" s="4"/>
      <c r="E128" s="19" t="str">
        <f>"""GP Direct"",""Fabrikam, Inc."",""Jet GL Transactions"",""Account Index"",""114"",""Credit Amount"",""2034.83000"",""Document Number"",""SLS110031"",""Debit Amount"",""0.00000"",""Vendor Name"",""Plaza One"",""Transaction Description"",""SALES"",""Transaction Date"",""1/1/2014"""</f>
        <v>"GP Direct","Fabrikam, Inc.","Jet GL Transactions","Account Index","114","Credit Amount","2034.83000","Document Number","SLS110031","Debit Amount","0.00000","Vendor Name","Plaza One","Transaction Description","SALES","Transaction Date","1/1/2014"</v>
      </c>
      <c r="F128" s="4">
        <v>0</v>
      </c>
      <c r="G128" s="4">
        <v>2034.83</v>
      </c>
      <c r="J128" s="31">
        <f t="shared" si="11"/>
        <v>-2034.83</v>
      </c>
      <c r="K128" s="32" t="str">
        <f t="shared" si="12"/>
        <v>SALES</v>
      </c>
      <c r="L128" s="32" t="str">
        <f>"SLS110031"</f>
        <v>SLS110031</v>
      </c>
      <c r="M128" s="33">
        <v>41640</v>
      </c>
      <c r="N128" s="31"/>
      <c r="R128" s="2">
        <f t="shared" si="14"/>
        <v>7</v>
      </c>
    </row>
    <row r="129" spans="1:18" hidden="1" outlineLevel="1" x14ac:dyDescent="0.2">
      <c r="A129" s="30" t="s">
        <v>53</v>
      </c>
      <c r="C129" s="18"/>
      <c r="D129" s="4"/>
      <c r="E129" s="19" t="str">
        <f>"""GP Direct"",""Fabrikam, Inc."",""Jet GL Transactions"",""Account Index"",""114"",""Credit Amount"",""2042.73000"",""Document Number"",""SLS110020"",""Debit Amount"",""0.00000"",""Vendor Name"",""Lawrence Telemarketing"",""Transaction Description"",""SALES"",""Transaction Date"",""1/1/2"&amp;"014"""</f>
        <v>"GP Direct","Fabrikam, Inc.","Jet GL Transactions","Account Index","114","Credit Amount","2042.73000","Document Number","SLS110020","Debit Amount","0.00000","Vendor Name","Lawrence Telemarketing","Transaction Description","SALES","Transaction Date","1/1/2014"</v>
      </c>
      <c r="F129" s="4">
        <v>0</v>
      </c>
      <c r="G129" s="4">
        <v>2042.73</v>
      </c>
      <c r="J129" s="31">
        <f t="shared" si="11"/>
        <v>-2042.73</v>
      </c>
      <c r="K129" s="32" t="str">
        <f t="shared" si="12"/>
        <v>SALES</v>
      </c>
      <c r="L129" s="32" t="str">
        <f>"SLS110020"</f>
        <v>SLS110020</v>
      </c>
      <c r="M129" s="33">
        <v>41640</v>
      </c>
      <c r="N129" s="31"/>
      <c r="R129" s="2">
        <f t="shared" si="14"/>
        <v>8</v>
      </c>
    </row>
    <row r="130" spans="1:18" hidden="1" outlineLevel="1" x14ac:dyDescent="0.2">
      <c r="A130" s="30" t="s">
        <v>53</v>
      </c>
      <c r="C130" s="18"/>
      <c r="D130" s="4"/>
      <c r="E130" s="19" t="str">
        <f>"""GP Direct"",""Fabrikam, Inc."",""Jet GL Transactions"",""Account Index"",""114"",""Credit Amount"",""2090.63000"",""Document Number"",""SLS116011"",""Debit Amount"",""0.00000"",""Vendor Name"",""Reynolds State College"",""Transaction Description"",""SALES"",""Transaction Date"",""1/1/2"&amp;"014"""</f>
        <v>"GP Direct","Fabrikam, Inc.","Jet GL Transactions","Account Index","114","Credit Amount","2090.63000","Document Number","SLS116011","Debit Amount","0.00000","Vendor Name","Reynolds State College","Transaction Description","SALES","Transaction Date","1/1/2014"</v>
      </c>
      <c r="F130" s="4">
        <v>0</v>
      </c>
      <c r="G130" s="4">
        <v>2090.63</v>
      </c>
      <c r="J130" s="31">
        <f t="shared" si="11"/>
        <v>-2090.63</v>
      </c>
      <c r="K130" s="32" t="str">
        <f t="shared" si="12"/>
        <v>SALES</v>
      </c>
      <c r="L130" s="32" t="str">
        <f>"SLS116011"</f>
        <v>SLS116011</v>
      </c>
      <c r="M130" s="33">
        <v>41640</v>
      </c>
      <c r="N130" s="31"/>
      <c r="R130" s="2">
        <f t="shared" si="14"/>
        <v>9</v>
      </c>
    </row>
    <row r="131" spans="1:18" hidden="1" outlineLevel="1" x14ac:dyDescent="0.2">
      <c r="A131" s="30" t="s">
        <v>53</v>
      </c>
      <c r="C131" s="18"/>
      <c r="D131" s="4"/>
      <c r="E131" s="19" t="str">
        <f>"""GP Direct"",""Fabrikam, Inc."",""Jet GL Transactions"",""Account Index"",""114"",""Credit Amount"",""2488.25000"",""Document Number"",""SLS12012"",""Debit Amount"",""0.00000"",""Vendor Name"",""World Enterprises"",""Transaction Description"",""SALES"",""Transaction Date"",""1/1/2014"""</f>
        <v>"GP Direct","Fabrikam, Inc.","Jet GL Transactions","Account Index","114","Credit Amount","2488.25000","Document Number","SLS12012","Debit Amount","0.00000","Vendor Name","World Enterprises","Transaction Description","SALES","Transaction Date","1/1/2014"</v>
      </c>
      <c r="F131" s="4">
        <v>0</v>
      </c>
      <c r="G131" s="4">
        <v>2488.25</v>
      </c>
      <c r="J131" s="31">
        <f t="shared" si="11"/>
        <v>-2488.25</v>
      </c>
      <c r="K131" s="32" t="str">
        <f t="shared" si="12"/>
        <v>SALES</v>
      </c>
      <c r="L131" s="32" t="str">
        <f>"SLS12012"</f>
        <v>SLS12012</v>
      </c>
      <c r="M131" s="33">
        <v>41640</v>
      </c>
      <c r="N131" s="31"/>
      <c r="R131" s="2">
        <f t="shared" si="14"/>
        <v>10</v>
      </c>
    </row>
    <row r="132" spans="1:18" hidden="1" outlineLevel="1" x14ac:dyDescent="0.2">
      <c r="A132" s="30" t="s">
        <v>53</v>
      </c>
      <c r="C132" s="18"/>
      <c r="D132" s="4"/>
      <c r="E132" s="19" t="str">
        <f>"""GP Direct"",""Fabrikam, Inc."",""Jet GL Transactions"",""Account Index"",""114"",""Credit Amount"",""3300.70000"",""Document Number"",""SLS11014"",""Debit Amount"",""0.00000"",""Vendor Name"",""Aaron Fitz Electrical"",""Transaction Description"",""SALES"",""Transaction Date"",""1/1/201"&amp;"4"""</f>
        <v>"GP Direct","Fabrikam, Inc.","Jet GL Transactions","Account Index","114","Credit Amount","3300.70000","Document Number","SLS11014","Debit Amount","0.00000","Vendor Name","Aaron Fitz Electrical","Transaction Description","SALES","Transaction Date","1/1/2014"</v>
      </c>
      <c r="F132" s="4">
        <v>0</v>
      </c>
      <c r="G132" s="4">
        <v>3300.7</v>
      </c>
      <c r="J132" s="31">
        <f t="shared" si="11"/>
        <v>-3300.7</v>
      </c>
      <c r="K132" s="32" t="str">
        <f t="shared" si="12"/>
        <v>SALES</v>
      </c>
      <c r="L132" s="32" t="str">
        <f>"SLS11014"</f>
        <v>SLS11014</v>
      </c>
      <c r="M132" s="33">
        <v>41640</v>
      </c>
      <c r="N132" s="31"/>
      <c r="R132" s="2">
        <f t="shared" si="14"/>
        <v>11</v>
      </c>
    </row>
    <row r="133" spans="1:18" hidden="1" outlineLevel="1" x14ac:dyDescent="0.2">
      <c r="A133" s="30" t="s">
        <v>53</v>
      </c>
      <c r="C133" s="18"/>
      <c r="D133" s="4"/>
      <c r="E133" s="19" t="str">
        <f>"""GP Direct"",""Fabrikam, Inc."",""Jet GL Transactions"",""Account Index"",""114"",""Credit Amount"",""4293.37000"",""Document Number"",""SLS17020"",""Debit Amount"",""0.00000"",""Vendor Name"",""Mutual of  Omaha"",""Transaction Description"",""SALES"",""Transaction Date"",""1/1/2014"""</f>
        <v>"GP Direct","Fabrikam, Inc.","Jet GL Transactions","Account Index","114","Credit Amount","4293.37000","Document Number","SLS17020","Debit Amount","0.00000","Vendor Name","Mutual of  Omaha","Transaction Description","SALES","Transaction Date","1/1/2014"</v>
      </c>
      <c r="F133" s="4">
        <v>0</v>
      </c>
      <c r="G133" s="4">
        <v>4293.37</v>
      </c>
      <c r="J133" s="31">
        <f t="shared" si="11"/>
        <v>-4293.37</v>
      </c>
      <c r="K133" s="32" t="str">
        <f t="shared" si="12"/>
        <v>SALES</v>
      </c>
      <c r="L133" s="32" t="str">
        <f>"SLS17020"</f>
        <v>SLS17020</v>
      </c>
      <c r="M133" s="33">
        <v>41640</v>
      </c>
      <c r="N133" s="31"/>
      <c r="R133" s="2">
        <f t="shared" si="14"/>
        <v>12</v>
      </c>
    </row>
    <row r="134" spans="1:18" hidden="1" outlineLevel="1" x14ac:dyDescent="0.2">
      <c r="A134" s="30" t="s">
        <v>53</v>
      </c>
      <c r="C134" s="18"/>
      <c r="D134" s="4"/>
      <c r="E134" s="19" t="str">
        <f>"""GP Direct"",""Fabrikam, Inc."",""Jet GL Transactions"",""Account Index"",""114"",""Credit Amount"",""5240.00000"",""Document Number"",""SLS18012"",""Debit Amount"",""0.00000"",""Vendor Name"",""Mendota University"",""Transaction Description"",""SALES"",""Transaction Date"",""1/1/2014"""</f>
        <v>"GP Direct","Fabrikam, Inc.","Jet GL Transactions","Account Index","114","Credit Amount","5240.00000","Document Number","SLS18012","Debit Amount","0.00000","Vendor Name","Mendota University","Transaction Description","SALES","Transaction Date","1/1/2014"</v>
      </c>
      <c r="F134" s="4">
        <v>0</v>
      </c>
      <c r="G134" s="4">
        <v>5240</v>
      </c>
      <c r="J134" s="31">
        <f t="shared" si="11"/>
        <v>-5240</v>
      </c>
      <c r="K134" s="32" t="str">
        <f t="shared" si="12"/>
        <v>SALES</v>
      </c>
      <c r="L134" s="32" t="str">
        <f>"SLS18012"</f>
        <v>SLS18012</v>
      </c>
      <c r="M134" s="33">
        <v>41640</v>
      </c>
      <c r="N134" s="31"/>
      <c r="R134" s="2">
        <f t="shared" si="14"/>
        <v>13</v>
      </c>
    </row>
    <row r="135" spans="1:18" hidden="1" outlineLevel="1" x14ac:dyDescent="0.2">
      <c r="A135" s="30" t="s">
        <v>53</v>
      </c>
      <c r="C135" s="18"/>
      <c r="D135" s="4"/>
      <c r="E135" s="19" t="str">
        <f>"""GP Direct"",""Fabrikam, Inc."",""Jet GL Transactions"",""Account Index"",""114"",""Credit Amount"",""5698.61000"",""Document Number"",""SLS119000"",""Debit Amount"",""0.00000"",""Vendor Name"",""Johnson, Kimberly"",""Transaction Description"",""SALES"",""Transaction Date"",""1/1/2014"""</f>
        <v>"GP Direct","Fabrikam, Inc.","Jet GL Transactions","Account Index","114","Credit Amount","5698.61000","Document Number","SLS119000","Debit Amount","0.00000","Vendor Name","Johnson, Kimberly","Transaction Description","SALES","Transaction Date","1/1/2014"</v>
      </c>
      <c r="F135" s="4">
        <v>0</v>
      </c>
      <c r="G135" s="4">
        <v>5698.61</v>
      </c>
      <c r="J135" s="31">
        <f t="shared" si="11"/>
        <v>-5698.61</v>
      </c>
      <c r="K135" s="32" t="str">
        <f t="shared" si="12"/>
        <v>SALES</v>
      </c>
      <c r="L135" s="32" t="str">
        <f>"SLS119000"</f>
        <v>SLS119000</v>
      </c>
      <c r="M135" s="33">
        <v>41640</v>
      </c>
      <c r="N135" s="31"/>
      <c r="R135" s="2">
        <f t="shared" si="14"/>
        <v>14</v>
      </c>
    </row>
    <row r="136" spans="1:18" hidden="1" outlineLevel="1" x14ac:dyDescent="0.2">
      <c r="A136" s="30" t="s">
        <v>53</v>
      </c>
      <c r="C136" s="18"/>
      <c r="D136" s="4"/>
      <c r="E136" s="19" t="str">
        <f>"""GP Direct"",""Fabrikam, Inc."",""Jet GL Transactions"",""Account Index"",""114"",""Credit Amount"",""5791.95000"",""Document Number"",""SLS19000"",""Debit Amount"",""0.00000"",""Vendor Name"",""Greenway Foods"",""Transaction Description"",""SALES"",""Transaction Date"",""1/1/2014"""</f>
        <v>"GP Direct","Fabrikam, Inc.","Jet GL Transactions","Account Index","114","Credit Amount","5791.95000","Document Number","SLS19000","Debit Amount","0.00000","Vendor Name","Greenway Foods","Transaction Description","SALES","Transaction Date","1/1/2014"</v>
      </c>
      <c r="F136" s="4">
        <v>0</v>
      </c>
      <c r="G136" s="4">
        <v>5791.95</v>
      </c>
      <c r="J136" s="31">
        <f t="shared" si="11"/>
        <v>-5791.95</v>
      </c>
      <c r="K136" s="32" t="str">
        <f t="shared" si="12"/>
        <v>SALES</v>
      </c>
      <c r="L136" s="32" t="str">
        <f>"SLS19000"</f>
        <v>SLS19000</v>
      </c>
      <c r="M136" s="33">
        <v>41640</v>
      </c>
      <c r="N136" s="31"/>
      <c r="R136" s="2">
        <f t="shared" si="14"/>
        <v>15</v>
      </c>
    </row>
    <row r="137" spans="1:18" hidden="1" outlineLevel="1" x14ac:dyDescent="0.2">
      <c r="A137" s="30" t="s">
        <v>53</v>
      </c>
      <c r="C137" s="18"/>
      <c r="D137" s="4"/>
      <c r="E137" s="19" t="str">
        <f>"""GP Direct"",""Fabrikam, Inc."",""Jet GL Transactions"",""Account Index"",""114"",""Credit Amount"",""6549.25000"",""Document Number"",""SLS114001"",""Debit Amount"",""0.00000"",""Vendor Name"",""Hampton Village Eatery"",""Transaction Description"",""SALES"",""Transaction Date"",""1/1/2"&amp;"014"""</f>
        <v>"GP Direct","Fabrikam, Inc.","Jet GL Transactions","Account Index","114","Credit Amount","6549.25000","Document Number","SLS114001","Debit Amount","0.00000","Vendor Name","Hampton Village Eatery","Transaction Description","SALES","Transaction Date","1/1/2014"</v>
      </c>
      <c r="F137" s="4">
        <v>0</v>
      </c>
      <c r="G137" s="4">
        <v>6549.25</v>
      </c>
      <c r="J137" s="31">
        <f t="shared" si="11"/>
        <v>-6549.25</v>
      </c>
      <c r="K137" s="32" t="str">
        <f t="shared" si="12"/>
        <v>SALES</v>
      </c>
      <c r="L137" s="32" t="str">
        <f>"SLS114001"</f>
        <v>SLS114001</v>
      </c>
      <c r="M137" s="33">
        <v>41640</v>
      </c>
      <c r="N137" s="31"/>
      <c r="R137" s="2">
        <f t="shared" si="14"/>
        <v>16</v>
      </c>
    </row>
    <row r="138" spans="1:18" hidden="1" outlineLevel="1" x14ac:dyDescent="0.2">
      <c r="A138" s="30" t="s">
        <v>53</v>
      </c>
      <c r="C138" s="18"/>
      <c r="D138" s="4"/>
      <c r="E138" s="19" t="str">
        <f>"""GP Direct"",""Fabrikam, Inc."",""Jet GL Transactions"",""Account Index"",""114"",""Credit Amount"",""8945.25000"",""Document Number"",""SLS11013"",""Debit Amount"",""0.00000"",""Vendor Name"",""Alton Manufacturing"",""Transaction Description"",""SALES"",""Transaction Date"",""1/1/2014"""</f>
        <v>"GP Direct","Fabrikam, Inc.","Jet GL Transactions","Account Index","114","Credit Amount","8945.25000","Document Number","SLS11013","Debit Amount","0.00000","Vendor Name","Alton Manufacturing","Transaction Description","SALES","Transaction Date","1/1/2014"</v>
      </c>
      <c r="F138" s="4">
        <v>0</v>
      </c>
      <c r="G138" s="4">
        <v>8945.25</v>
      </c>
      <c r="J138" s="31">
        <f t="shared" si="11"/>
        <v>-8945.25</v>
      </c>
      <c r="K138" s="32" t="str">
        <f t="shared" si="12"/>
        <v>SALES</v>
      </c>
      <c r="L138" s="32" t="str">
        <f>"SLS11013"</f>
        <v>SLS11013</v>
      </c>
      <c r="M138" s="33">
        <v>41640</v>
      </c>
      <c r="N138" s="31"/>
      <c r="R138" s="2">
        <f t="shared" si="14"/>
        <v>17</v>
      </c>
    </row>
    <row r="139" spans="1:18" hidden="1" outlineLevel="1" x14ac:dyDescent="0.2">
      <c r="A139" s="30" t="s">
        <v>53</v>
      </c>
      <c r="C139" s="18"/>
      <c r="D139" s="4"/>
      <c r="E139" s="19" t="str">
        <f>"""GP Direct"",""Fabrikam, Inc."",""Jet GL Transactions"",""Account Index"",""114"",""Credit Amount"",""109.95000"",""Document Number"","""",""Debit Amount"",""0.00000"",""Vendor Name"",""Aaron Fitz Electrical"",""Transaction Description"",""SALES"",""Transaction Date"",""2/15/2014"""</f>
        <v>"GP Direct","Fabrikam, Inc.","Jet GL Transactions","Account Index","114","Credit Amount","109.95000","Document Number","","Debit Amount","0.00000","Vendor Name","Aaron Fitz Electrical","Transaction Description","SALES","Transaction Date","2/15/2014"</v>
      </c>
      <c r="F139" s="4">
        <v>0</v>
      </c>
      <c r="G139" s="4">
        <v>109.95</v>
      </c>
      <c r="J139" s="31">
        <f t="shared" si="11"/>
        <v>-109.95</v>
      </c>
      <c r="K139" s="32" t="str">
        <f t="shared" si="12"/>
        <v>SALES</v>
      </c>
      <c r="L139" s="32" t="str">
        <f>""</f>
        <v/>
      </c>
      <c r="M139" s="33">
        <v>41685</v>
      </c>
      <c r="N139" s="31"/>
      <c r="R139" s="2">
        <f t="shared" si="14"/>
        <v>18</v>
      </c>
    </row>
    <row r="140" spans="1:18" hidden="1" x14ac:dyDescent="0.2">
      <c r="A140" s="29" t="s">
        <v>1386</v>
      </c>
      <c r="C140" s="18"/>
    </row>
    <row r="141" spans="1:18" ht="17.25" customHeight="1" collapsed="1" x14ac:dyDescent="0.2">
      <c r="A141" s="30" t="s">
        <v>53</v>
      </c>
      <c r="C141" s="14" t="str">
        <f>"000-4111-01"</f>
        <v>000-4111-01</v>
      </c>
      <c r="D141" s="2">
        <v>115</v>
      </c>
      <c r="E141" s="2"/>
      <c r="F141" s="2" t="s">
        <v>10</v>
      </c>
      <c r="G141" s="2" t="s">
        <v>8</v>
      </c>
      <c r="H141" s="13" t="str">
        <f>"  "&amp;C141</f>
        <v xml:space="preserve">  000-4111-01</v>
      </c>
      <c r="I141" s="15" t="str">
        <f>"Canadian Sales - Retail/Parts"</f>
        <v>Canadian Sales - Retail/Parts</v>
      </c>
      <c r="J141" s="16">
        <f>SUM(J142:J148)</f>
        <v>-45208.55</v>
      </c>
      <c r="K141" s="13"/>
      <c r="L141" s="13"/>
      <c r="M141" s="13"/>
      <c r="N141" s="17">
        <v>-132000</v>
      </c>
      <c r="O141" s="16">
        <f>J141-N141</f>
        <v>86791.45</v>
      </c>
    </row>
    <row r="142" spans="1:18" hidden="1" outlineLevel="1" x14ac:dyDescent="0.2">
      <c r="A142" s="30" t="s">
        <v>53</v>
      </c>
      <c r="C142" s="18"/>
      <c r="D142" s="4"/>
      <c r="E142" s="19" t="str">
        <f>"""GP Direct"",""Fabrikam, Inc."",""Jet GL Transactions"",""Account Index"",""115"",""Credit Amount"",""2988.74000"",""Document Number"",""SLS14081"",""Debit Amount"",""0.00000"",""Vendor Name"",""Communication Connections"",""Transaction Description"",""SALES"",""Transaction Date"",""1/1"&amp;"/2014"""</f>
        <v>"GP Direct","Fabrikam, Inc.","Jet GL Transactions","Account Index","115","Credit Amount","2988.74000","Document Number","SLS14081","Debit Amount","0.00000","Vendor Name","Communication Connections","Transaction Description","SALES","Transaction Date","1/1/2014"</v>
      </c>
      <c r="F142" s="4">
        <v>0</v>
      </c>
      <c r="G142" s="4">
        <v>2988.74</v>
      </c>
      <c r="J142" s="31">
        <f t="shared" ref="J142:J147" si="15">IF(AND(F142="",G142=""),"",$F142-$G142)</f>
        <v>-2988.74</v>
      </c>
      <c r="K142" s="32" t="str">
        <f>"SALES"</f>
        <v>SALES</v>
      </c>
      <c r="L142" s="32" t="str">
        <f>"SLS14081"</f>
        <v>SLS14081</v>
      </c>
      <c r="M142" s="33">
        <v>41640</v>
      </c>
      <c r="N142" s="31"/>
      <c r="R142" s="2">
        <f t="shared" ref="R142" si="16">R141+1</f>
        <v>1</v>
      </c>
    </row>
    <row r="143" spans="1:18" hidden="1" outlineLevel="1" x14ac:dyDescent="0.2">
      <c r="A143" s="30" t="s">
        <v>53</v>
      </c>
      <c r="C143" s="18"/>
      <c r="D143" s="4"/>
      <c r="E143" s="19" t="str">
        <f>"""GP Direct"",""Fabrikam, Inc."",""Jet GL Transactions"",""Account Index"",""115"",""Credit Amount"",""7393.77000"",""Document Number"",""SLS15081"",""Debit Amount"",""0.00000"",""Vendor Name"",""Riverside University"",""Transaction Description"",""SALES"",""Transaction Date"",""1/1/2014"&amp;""""</f>
        <v>"GP Direct","Fabrikam, Inc.","Jet GL Transactions","Account Index","115","Credit Amount","7393.77000","Document Number","SLS15081","Debit Amount","0.00000","Vendor Name","Riverside University","Transaction Description","SALES","Transaction Date","1/1/2014"</v>
      </c>
      <c r="F143" s="4">
        <v>0</v>
      </c>
      <c r="G143" s="4">
        <v>7393.77</v>
      </c>
      <c r="J143" s="31">
        <f t="shared" si="15"/>
        <v>-7393.77</v>
      </c>
      <c r="K143" s="32" t="str">
        <f>"SALES"</f>
        <v>SALES</v>
      </c>
      <c r="L143" s="32" t="str">
        <f>"SLS15081"</f>
        <v>SLS15081</v>
      </c>
      <c r="M143" s="33">
        <v>41640</v>
      </c>
      <c r="N143" s="31"/>
      <c r="R143" s="2">
        <f t="shared" ref="R143:R147" si="17">R142+1</f>
        <v>2</v>
      </c>
    </row>
    <row r="144" spans="1:18" hidden="1" outlineLevel="1" x14ac:dyDescent="0.2">
      <c r="A144" s="30" t="s">
        <v>53</v>
      </c>
      <c r="C144" s="18"/>
      <c r="D144" s="4"/>
      <c r="E144" s="19" t="str">
        <f>"""GP Direct"",""Fabrikam, Inc."",""Jet GL Transactions"",""Account Index"",""115"",""Credit Amount"",""7620.29000"",""Document Number"",""SLS13061"",""Debit Amount"",""0.00000"",""Vendor Name"",""Northern Family Hospital"",""Transaction Description"",""SALES"",""Transaction Date"",""1/1/"&amp;"2014"""</f>
        <v>"GP Direct","Fabrikam, Inc.","Jet GL Transactions","Account Index","115","Credit Amount","7620.29000","Document Number","SLS13061","Debit Amount","0.00000","Vendor Name","Northern Family Hospital","Transaction Description","SALES","Transaction Date","1/1/2014"</v>
      </c>
      <c r="F144" s="4">
        <v>0</v>
      </c>
      <c r="G144" s="4">
        <v>7620.29</v>
      </c>
      <c r="J144" s="31">
        <f t="shared" si="15"/>
        <v>-7620.29</v>
      </c>
      <c r="K144" s="32" t="str">
        <f>"SALES"</f>
        <v>SALES</v>
      </c>
      <c r="L144" s="32" t="str">
        <f>"SLS13061"</f>
        <v>SLS13061</v>
      </c>
      <c r="M144" s="33">
        <v>41640</v>
      </c>
      <c r="N144" s="31"/>
      <c r="R144" s="2">
        <f t="shared" si="17"/>
        <v>3</v>
      </c>
    </row>
    <row r="145" spans="1:18" hidden="1" outlineLevel="1" x14ac:dyDescent="0.2">
      <c r="A145" s="30" t="s">
        <v>53</v>
      </c>
      <c r="C145" s="18"/>
      <c r="D145" s="4"/>
      <c r="E145" s="19" t="str">
        <f>"""GP Direct"",""Fabrikam, Inc."",""Jet GL Transactions"",""Account Index"",""115"",""Credit Amount"",""8911.60000"",""Document Number"",""SLS15063"",""Debit Amount"",""0.00000"",""Vendor Name"",""Dollis Cove Resort"",""Transaction Description"",""SALES"",""Transaction Date"",""1/1/2014"""</f>
        <v>"GP Direct","Fabrikam, Inc.","Jet GL Transactions","Account Index","115","Credit Amount","8911.60000","Document Number","SLS15063","Debit Amount","0.00000","Vendor Name","Dollis Cove Resort","Transaction Description","SALES","Transaction Date","1/1/2014"</v>
      </c>
      <c r="F145" s="4">
        <v>0</v>
      </c>
      <c r="G145" s="4">
        <v>8911.6</v>
      </c>
      <c r="J145" s="31">
        <f t="shared" si="15"/>
        <v>-8911.6</v>
      </c>
      <c r="K145" s="32" t="str">
        <f>"SALES"</f>
        <v>SALES</v>
      </c>
      <c r="L145" s="32" t="str">
        <f>"SLS15063"</f>
        <v>SLS15063</v>
      </c>
      <c r="M145" s="33">
        <v>41640</v>
      </c>
      <c r="N145" s="31"/>
      <c r="R145" s="2">
        <f t="shared" si="17"/>
        <v>4</v>
      </c>
    </row>
    <row r="146" spans="1:18" hidden="1" outlineLevel="1" x14ac:dyDescent="0.2">
      <c r="A146" s="30" t="s">
        <v>53</v>
      </c>
      <c r="C146" s="18"/>
      <c r="D146" s="4"/>
      <c r="E146" s="19" t="str">
        <f>"""GP Direct"",""Fabrikam, Inc."",""Jet GL Transactions"",""Account Index"",""115"",""Credit Amount"",""12452.00000"",""Document Number"",""SLS15060"",""Debit Amount"",""0.00000"",""Vendor Name"",""Dollis Cove Resort"",""Transaction Description"",""SALES"",""Transaction Date"",""1/1/2014"""</f>
        <v>"GP Direct","Fabrikam, Inc.","Jet GL Transactions","Account Index","115","Credit Amount","12452.00000","Document Number","SLS15060","Debit Amount","0.00000","Vendor Name","Dollis Cove Resort","Transaction Description","SALES","Transaction Date","1/1/2014"</v>
      </c>
      <c r="F146" s="4">
        <v>0</v>
      </c>
      <c r="G146" s="4">
        <v>12452</v>
      </c>
      <c r="J146" s="31">
        <f t="shared" si="15"/>
        <v>-12452</v>
      </c>
      <c r="K146" s="32" t="str">
        <f>"SALES"</f>
        <v>SALES</v>
      </c>
      <c r="L146" s="32" t="str">
        <f>"SLS15060"</f>
        <v>SLS15060</v>
      </c>
      <c r="M146" s="33">
        <v>41640</v>
      </c>
      <c r="N146" s="31"/>
      <c r="R146" s="2">
        <f t="shared" si="17"/>
        <v>5</v>
      </c>
    </row>
    <row r="147" spans="1:18" hidden="1" outlineLevel="1" x14ac:dyDescent="0.2">
      <c r="A147" s="30" t="s">
        <v>53</v>
      </c>
      <c r="C147" s="18"/>
      <c r="D147" s="4"/>
      <c r="E147" s="19" t="str">
        <f>"""GP Direct"",""Fabrikam, Inc."",""Jet GL Transactions"",""Account Index"",""115"",""Credit Amount"",""5842.15000"",""Document Number"","""",""Debit Amount"",""0.00000"",""Vendor Name"","""",""Transaction Description"","""",""Transaction Date"",""1/10/2014"""</f>
        <v>"GP Direct","Fabrikam, Inc.","Jet GL Transactions","Account Index","115","Credit Amount","5842.15000","Document Number","","Debit Amount","0.00000","Vendor Name","","Transaction Description","","Transaction Date","1/10/2014"</v>
      </c>
      <c r="F147" s="4">
        <v>0</v>
      </c>
      <c r="G147" s="4">
        <v>5842.15</v>
      </c>
      <c r="J147" s="31">
        <f t="shared" si="15"/>
        <v>-5842.15</v>
      </c>
      <c r="K147" s="32" t="str">
        <f>""</f>
        <v/>
      </c>
      <c r="L147" s="32" t="str">
        <f>""</f>
        <v/>
      </c>
      <c r="M147" s="33">
        <v>41649</v>
      </c>
      <c r="N147" s="31"/>
      <c r="R147" s="2">
        <f t="shared" si="17"/>
        <v>6</v>
      </c>
    </row>
    <row r="148" spans="1:18" hidden="1" x14ac:dyDescent="0.2">
      <c r="A148" s="29" t="s">
        <v>1386</v>
      </c>
      <c r="C148" s="18"/>
    </row>
    <row r="149" spans="1:18" ht="17.25" customHeight="1" collapsed="1" x14ac:dyDescent="0.2">
      <c r="A149" s="30" t="s">
        <v>53</v>
      </c>
      <c r="C149" s="14" t="str">
        <f>"000-4111-02"</f>
        <v>000-4111-02</v>
      </c>
      <c r="D149" s="2">
        <v>116</v>
      </c>
      <c r="E149" s="2"/>
      <c r="F149" s="2" t="s">
        <v>10</v>
      </c>
      <c r="G149" s="2" t="s">
        <v>8</v>
      </c>
      <c r="H149" s="13" t="str">
        <f>"  "&amp;C149</f>
        <v xml:space="preserve">  000-4111-02</v>
      </c>
      <c r="I149" s="15" t="str">
        <f>"Canadian Sales - Finished Goods"</f>
        <v>Canadian Sales - Finished Goods</v>
      </c>
      <c r="J149" s="16">
        <f>SUM(J150:J151)</f>
        <v>0</v>
      </c>
      <c r="K149" s="13"/>
      <c r="L149" s="13"/>
      <c r="M149" s="13"/>
      <c r="N149" s="17">
        <v>0</v>
      </c>
      <c r="O149" s="16">
        <f>J149-N149</f>
        <v>0</v>
      </c>
    </row>
    <row r="150" spans="1:18" hidden="1" outlineLevel="1" x14ac:dyDescent="0.2">
      <c r="A150" s="30" t="s">
        <v>53</v>
      </c>
      <c r="C150" s="18"/>
      <c r="D150" s="4"/>
      <c r="E150" s="19" t="str">
        <f>""</f>
        <v/>
      </c>
      <c r="F150" s="4" t="str">
        <f>""</f>
        <v/>
      </c>
      <c r="G150" s="4" t="str">
        <f>""</f>
        <v/>
      </c>
      <c r="J150" s="31" t="str">
        <f>IF(AND(F150="",G150=""),"",$F150-$G150)</f>
        <v/>
      </c>
      <c r="K150" s="32" t="str">
        <f>""</f>
        <v/>
      </c>
      <c r="L150" s="32" t="str">
        <f>""</f>
        <v/>
      </c>
      <c r="M150" s="33" t="str">
        <f>""</f>
        <v/>
      </c>
      <c r="N150" s="31"/>
      <c r="R150" s="2">
        <f t="shared" ref="R150" si="18">R149+1</f>
        <v>1</v>
      </c>
    </row>
    <row r="151" spans="1:18" hidden="1" x14ac:dyDescent="0.2">
      <c r="A151" s="29" t="s">
        <v>1386</v>
      </c>
      <c r="C151" s="18"/>
    </row>
    <row r="152" spans="1:18" ht="17.25" customHeight="1" collapsed="1" x14ac:dyDescent="0.2">
      <c r="A152" s="30" t="s">
        <v>53</v>
      </c>
      <c r="C152" s="14" t="str">
        <f>"000-4112-01"</f>
        <v>000-4112-01</v>
      </c>
      <c r="D152" s="2">
        <v>117</v>
      </c>
      <c r="E152" s="2"/>
      <c r="F152" s="2" t="s">
        <v>10</v>
      </c>
      <c r="G152" s="2" t="s">
        <v>8</v>
      </c>
      <c r="H152" s="13" t="str">
        <f>"  "&amp;C152</f>
        <v xml:space="preserve">  000-4112-01</v>
      </c>
      <c r="I152" s="15" t="str">
        <f>"AustralAsian Sales - Retail/Parts"</f>
        <v>AustralAsian Sales - Retail/Parts</v>
      </c>
      <c r="J152" s="16">
        <f>SUM(J153:J165)</f>
        <v>-96936.569999999992</v>
      </c>
      <c r="K152" s="13"/>
      <c r="L152" s="13"/>
      <c r="M152" s="13"/>
      <c r="N152" s="17">
        <v>-291000</v>
      </c>
      <c r="O152" s="16">
        <f>J152-N152</f>
        <v>194063.43</v>
      </c>
    </row>
    <row r="153" spans="1:18" hidden="1" outlineLevel="1" x14ac:dyDescent="0.2">
      <c r="A153" s="30" t="s">
        <v>53</v>
      </c>
      <c r="C153" s="18"/>
      <c r="D153" s="4"/>
      <c r="E153" s="19" t="str">
        <f>"""GP Direct"",""Fabrikam, Inc."",""Jet GL Transactions"",""Account Index"",""117"",""Credit Amount"",""1297.32000"",""Document Number"",""SLS16090"",""Debit Amount"",""0.00000"",""Vendor Name"",""Executive Resources"",""Transaction Description"",""SALES"",""Transaction Date"",""1/1/2014"""</f>
        <v>"GP Direct","Fabrikam, Inc.","Jet GL Transactions","Account Index","117","Credit Amount","1297.32000","Document Number","SLS16090","Debit Amount","0.00000","Vendor Name","Executive Resources","Transaction Description","SALES","Transaction Date","1/1/2014"</v>
      </c>
      <c r="F153" s="4">
        <v>0</v>
      </c>
      <c r="G153" s="4">
        <v>1297.32</v>
      </c>
      <c r="J153" s="31">
        <f t="shared" ref="J153:J164" si="19">IF(AND(F153="",G153=""),"",$F153-$G153)</f>
        <v>-1297.32</v>
      </c>
      <c r="K153" s="32" t="str">
        <f t="shared" ref="K153:K162" si="20">"SALES"</f>
        <v>SALES</v>
      </c>
      <c r="L153" s="32" t="str">
        <f>"SLS16090"</f>
        <v>SLS16090</v>
      </c>
      <c r="M153" s="33">
        <v>41640</v>
      </c>
      <c r="N153" s="31"/>
      <c r="R153" s="2">
        <f t="shared" ref="R153" si="21">R152+1</f>
        <v>1</v>
      </c>
    </row>
    <row r="154" spans="1:18" hidden="1" outlineLevel="1" x14ac:dyDescent="0.2">
      <c r="A154" s="30" t="s">
        <v>53</v>
      </c>
      <c r="C154" s="18"/>
      <c r="D154" s="4"/>
      <c r="E154" s="19" t="str">
        <f>"""GP Direct"",""Fabrikam, Inc."",""Jet GL Transactions"",""Account Index"",""117"",""Credit Amount"",""3258.48000"",""Document Number"",""SLS14095"",""Debit Amount"",""0.00000"",""Vendor Name"",""Computer Equipment Leasing"",""Transaction Description"",""SALES"",""Transaction Date"",""1/"&amp;"1/2014"""</f>
        <v>"GP Direct","Fabrikam, Inc.","Jet GL Transactions","Account Index","117","Credit Amount","3258.48000","Document Number","SLS14095","Debit Amount","0.00000","Vendor Name","Computer Equipment Leasing","Transaction Description","SALES","Transaction Date","1/1/2014"</v>
      </c>
      <c r="F154" s="4">
        <v>0</v>
      </c>
      <c r="G154" s="4">
        <v>3258.48</v>
      </c>
      <c r="J154" s="31">
        <f t="shared" si="19"/>
        <v>-3258.48</v>
      </c>
      <c r="K154" s="32" t="str">
        <f t="shared" si="20"/>
        <v>SALES</v>
      </c>
      <c r="L154" s="32" t="str">
        <f>"SLS14095"</f>
        <v>SLS14095</v>
      </c>
      <c r="M154" s="33">
        <v>41640</v>
      </c>
      <c r="N154" s="31"/>
      <c r="R154" s="2">
        <f t="shared" ref="R154:R164" si="22">R153+1</f>
        <v>2</v>
      </c>
    </row>
    <row r="155" spans="1:18" hidden="1" outlineLevel="1" x14ac:dyDescent="0.2">
      <c r="A155" s="30" t="s">
        <v>53</v>
      </c>
      <c r="C155" s="18"/>
      <c r="D155" s="4"/>
      <c r="E155" s="19" t="str">
        <f>"""GP Direct"",""Fabrikam, Inc."",""Jet GL Transactions"",""Account Index"",""117"",""Credit Amount"",""6068.07000"",""Document Number"",""SLS13092"",""Debit Amount"",""0.00000"",""Vendor Name"",""St. Patrick's Hospital"",""Transaction Description"",""SALES"",""Transaction Date"",""1/1/20"&amp;"14"""</f>
        <v>"GP Direct","Fabrikam, Inc.","Jet GL Transactions","Account Index","117","Credit Amount","6068.07000","Document Number","SLS13092","Debit Amount","0.00000","Vendor Name","St. Patrick's Hospital","Transaction Description","SALES","Transaction Date","1/1/2014"</v>
      </c>
      <c r="F155" s="4">
        <v>0</v>
      </c>
      <c r="G155" s="4">
        <v>6068.07</v>
      </c>
      <c r="J155" s="31">
        <f t="shared" si="19"/>
        <v>-6068.07</v>
      </c>
      <c r="K155" s="32" t="str">
        <f t="shared" si="20"/>
        <v>SALES</v>
      </c>
      <c r="L155" s="32" t="str">
        <f>"SLS13092"</f>
        <v>SLS13092</v>
      </c>
      <c r="M155" s="33">
        <v>41640</v>
      </c>
      <c r="N155" s="31"/>
      <c r="R155" s="2">
        <f t="shared" si="22"/>
        <v>3</v>
      </c>
    </row>
    <row r="156" spans="1:18" hidden="1" outlineLevel="1" x14ac:dyDescent="0.2">
      <c r="A156" s="30" t="s">
        <v>53</v>
      </c>
      <c r="C156" s="18"/>
      <c r="D156" s="4"/>
      <c r="E156" s="19" t="str">
        <f>"""GP Direct"",""Fabrikam, Inc."",""Jet GL Transactions"",""Account Index"",""117"",""Credit Amount"",""6351.29000"",""Document Number"",""SLS14091"",""Debit Amount"",""0.00000"",""Vendor Name"",""Computer Equipment Leasing"",""Transaction Description"",""SALES"",""Transaction Date"",""1/"&amp;"1/2014"""</f>
        <v>"GP Direct","Fabrikam, Inc.","Jet GL Transactions","Account Index","117","Credit Amount","6351.29000","Document Number","SLS14091","Debit Amount","0.00000","Vendor Name","Computer Equipment Leasing","Transaction Description","SALES","Transaction Date","1/1/2014"</v>
      </c>
      <c r="F156" s="4">
        <v>0</v>
      </c>
      <c r="G156" s="4">
        <v>6351.29</v>
      </c>
      <c r="J156" s="31">
        <f t="shared" si="19"/>
        <v>-6351.29</v>
      </c>
      <c r="K156" s="32" t="str">
        <f t="shared" si="20"/>
        <v>SALES</v>
      </c>
      <c r="L156" s="32" t="str">
        <f>"SLS14091"</f>
        <v>SLS14091</v>
      </c>
      <c r="M156" s="33">
        <v>41640</v>
      </c>
      <c r="N156" s="31"/>
      <c r="R156" s="2">
        <f t="shared" si="22"/>
        <v>4</v>
      </c>
    </row>
    <row r="157" spans="1:18" hidden="1" outlineLevel="1" x14ac:dyDescent="0.2">
      <c r="A157" s="30" t="s">
        <v>53</v>
      </c>
      <c r="C157" s="18"/>
      <c r="D157" s="4"/>
      <c r="E157" s="19" t="str">
        <f>"""GP Direct"",""Fabrikam, Inc."",""Jet GL Transactions"",""Account Index"",""117"",""Credit Amount"",""7856.36000"",""Document Number"",""SLS15094"",""Debit Amount"",""0.00000"",""Vendor Name"",""Leisure &amp; Travel Consultants"",""Transaction Description"",""SALES"",""Transaction Date"","""&amp;"1/1/2014"""</f>
        <v>"GP Direct","Fabrikam, Inc.","Jet GL Transactions","Account Index","117","Credit Amount","7856.36000","Document Number","SLS15094","Debit Amount","0.00000","Vendor Name","Leisure &amp; Travel Consultants","Transaction Description","SALES","Transaction Date","1/1/2014"</v>
      </c>
      <c r="F157" s="4">
        <v>0</v>
      </c>
      <c r="G157" s="4">
        <v>7856.36</v>
      </c>
      <c r="J157" s="31">
        <f t="shared" si="19"/>
        <v>-7856.36</v>
      </c>
      <c r="K157" s="32" t="str">
        <f t="shared" si="20"/>
        <v>SALES</v>
      </c>
      <c r="L157" s="32" t="str">
        <f>"SLS15094"</f>
        <v>SLS15094</v>
      </c>
      <c r="M157" s="33">
        <v>41640</v>
      </c>
      <c r="N157" s="31"/>
      <c r="R157" s="2">
        <f t="shared" si="22"/>
        <v>5</v>
      </c>
    </row>
    <row r="158" spans="1:18" hidden="1" outlineLevel="1" x14ac:dyDescent="0.2">
      <c r="A158" s="30" t="s">
        <v>53</v>
      </c>
      <c r="C158" s="18"/>
      <c r="D158" s="4"/>
      <c r="E158" s="19" t="str">
        <f>"""GP Direct"",""Fabrikam, Inc."",""Jet GL Transactions"",""Account Index"",""117"",""Credit Amount"",""9545.22000"",""Document Number"",""SALES000000000001"",""Debit Amount"",""0.00000"",""Vendor Name"",""Executive Resources"",""Transaction Description"",""SALES"",""Transaction Date"","""&amp;"1/1/2014"""</f>
        <v>"GP Direct","Fabrikam, Inc.","Jet GL Transactions","Account Index","117","Credit Amount","9545.22000","Document Number","SALES000000000001","Debit Amount","0.00000","Vendor Name","Executive Resources","Transaction Description","SALES","Transaction Date","1/1/2014"</v>
      </c>
      <c r="F158" s="4">
        <v>0</v>
      </c>
      <c r="G158" s="4">
        <v>9545.2199999999993</v>
      </c>
      <c r="J158" s="31">
        <f t="shared" si="19"/>
        <v>-9545.2199999999993</v>
      </c>
      <c r="K158" s="32" t="str">
        <f t="shared" si="20"/>
        <v>SALES</v>
      </c>
      <c r="L158" s="32" t="str">
        <f>"SALES000000000001"</f>
        <v>SALES000000000001</v>
      </c>
      <c r="M158" s="33">
        <v>41640</v>
      </c>
      <c r="N158" s="31"/>
      <c r="R158" s="2">
        <f t="shared" si="22"/>
        <v>6</v>
      </c>
    </row>
    <row r="159" spans="1:18" hidden="1" outlineLevel="1" x14ac:dyDescent="0.2">
      <c r="A159" s="30" t="s">
        <v>53</v>
      </c>
      <c r="C159" s="18"/>
      <c r="D159" s="4"/>
      <c r="E159" s="19" t="str">
        <f>"""GP Direct"",""Fabrikam, Inc."",""Jet GL Transactions"",""Account Index"",""117"",""Credit Amount"",""10259.87000"",""Document Number"",""SLS15097"",""Debit Amount"",""0.00000"",""Vendor Name"",""Leisure &amp; Travel Consultants"",""Transaction Description"",""SALES"",""Transaction Date"","&amp;"""1/1/2014"""</f>
        <v>"GP Direct","Fabrikam, Inc.","Jet GL Transactions","Account Index","117","Credit Amount","10259.87000","Document Number","SLS15097","Debit Amount","0.00000","Vendor Name","Leisure &amp; Travel Consultants","Transaction Description","SALES","Transaction Date","1/1/2014"</v>
      </c>
      <c r="F159" s="4">
        <v>0</v>
      </c>
      <c r="G159" s="4">
        <v>10259.870000000001</v>
      </c>
      <c r="J159" s="31">
        <f t="shared" si="19"/>
        <v>-10259.870000000001</v>
      </c>
      <c r="K159" s="32" t="str">
        <f t="shared" si="20"/>
        <v>SALES</v>
      </c>
      <c r="L159" s="32" t="str">
        <f>"SLS15097"</f>
        <v>SLS15097</v>
      </c>
      <c r="M159" s="33">
        <v>41640</v>
      </c>
      <c r="N159" s="31"/>
      <c r="R159" s="2">
        <f t="shared" si="22"/>
        <v>7</v>
      </c>
    </row>
    <row r="160" spans="1:18" hidden="1" outlineLevel="1" x14ac:dyDescent="0.2">
      <c r="A160" s="30" t="s">
        <v>53</v>
      </c>
      <c r="C160" s="18"/>
      <c r="D160" s="4"/>
      <c r="E160" s="19" t="str">
        <f>"""GP Direct"",""Fabrikam, Inc."",""Jet GL Transactions"",""Account Index"",""117"",""Credit Amount"",""12899.65000"",""Document Number"",""SLS12093"",""Debit Amount"",""0.00000"",""Vendor Name"",""Boyle's Country Inn's"",""Transaction Description"",""SALES"",""Transaction Date"",""1/1/20"&amp;"14"""</f>
        <v>"GP Direct","Fabrikam, Inc.","Jet GL Transactions","Account Index","117","Credit Amount","12899.65000","Document Number","SLS12093","Debit Amount","0.00000","Vendor Name","Boyle's Country Inn's","Transaction Description","SALES","Transaction Date","1/1/2014"</v>
      </c>
      <c r="F160" s="4">
        <v>0</v>
      </c>
      <c r="G160" s="4">
        <v>12899.65</v>
      </c>
      <c r="J160" s="31">
        <f t="shared" si="19"/>
        <v>-12899.65</v>
      </c>
      <c r="K160" s="32" t="str">
        <f t="shared" si="20"/>
        <v>SALES</v>
      </c>
      <c r="L160" s="32" t="str">
        <f>"SLS12093"</f>
        <v>SLS12093</v>
      </c>
      <c r="M160" s="33">
        <v>41640</v>
      </c>
      <c r="N160" s="31"/>
      <c r="R160" s="2">
        <f t="shared" si="22"/>
        <v>8</v>
      </c>
    </row>
    <row r="161" spans="1:18" hidden="1" outlineLevel="1" x14ac:dyDescent="0.2">
      <c r="A161" s="30" t="s">
        <v>53</v>
      </c>
      <c r="C161" s="18"/>
      <c r="D161" s="4"/>
      <c r="E161" s="19" t="str">
        <f>"""GP Direct"",""Fabrikam, Inc."",""Jet GL Transactions"",""Account Index"",""117"",""Credit Amount"",""15485.97000"",""Document Number"",""SLS15093"",""Debit Amount"",""0.00000"",""Vendor Name"",""Leisure &amp; Travel Consultants"",""Transaction Description"",""SALES"",""Transaction Date"","&amp;"""1/1/2014"""</f>
        <v>"GP Direct","Fabrikam, Inc.","Jet GL Transactions","Account Index","117","Credit Amount","15485.97000","Document Number","SLS15093","Debit Amount","0.00000","Vendor Name","Leisure &amp; Travel Consultants","Transaction Description","SALES","Transaction Date","1/1/2014"</v>
      </c>
      <c r="F161" s="4">
        <v>0</v>
      </c>
      <c r="G161" s="4">
        <v>15485.97</v>
      </c>
      <c r="J161" s="31">
        <f t="shared" si="19"/>
        <v>-15485.97</v>
      </c>
      <c r="K161" s="32" t="str">
        <f t="shared" si="20"/>
        <v>SALES</v>
      </c>
      <c r="L161" s="32" t="str">
        <f>"SLS15093"</f>
        <v>SLS15093</v>
      </c>
      <c r="M161" s="33">
        <v>41640</v>
      </c>
      <c r="N161" s="31"/>
      <c r="R161" s="2">
        <f t="shared" si="22"/>
        <v>9</v>
      </c>
    </row>
    <row r="162" spans="1:18" hidden="1" outlineLevel="1" x14ac:dyDescent="0.2">
      <c r="A162" s="30" t="s">
        <v>53</v>
      </c>
      <c r="C162" s="18"/>
      <c r="D162" s="4"/>
      <c r="E162" s="19" t="str">
        <f>"""GP Direct"",""Fabrikam, Inc."",""Jet GL Transactions"",""Account Index"",""117"",""Credit Amount"",""16843.75000"",""Document Number"",""SLS11091"",""Debit Amount"",""0.00000"",""Vendor Name"",""Country View Estates"",""Transaction Description"",""SALES"",""Transaction Date"",""1/1/201"&amp;"4"""</f>
        <v>"GP Direct","Fabrikam, Inc.","Jet GL Transactions","Account Index","117","Credit Amount","16843.75000","Document Number","SLS11091","Debit Amount","0.00000","Vendor Name","Country View Estates","Transaction Description","SALES","Transaction Date","1/1/2014"</v>
      </c>
      <c r="F162" s="4">
        <v>0</v>
      </c>
      <c r="G162" s="4">
        <v>16843.75</v>
      </c>
      <c r="J162" s="31">
        <f t="shared" si="19"/>
        <v>-16843.75</v>
      </c>
      <c r="K162" s="32" t="str">
        <f t="shared" si="20"/>
        <v>SALES</v>
      </c>
      <c r="L162" s="32" t="str">
        <f>"SLS11091"</f>
        <v>SLS11091</v>
      </c>
      <c r="M162" s="33">
        <v>41640</v>
      </c>
      <c r="N162" s="31"/>
      <c r="R162" s="2">
        <f t="shared" si="22"/>
        <v>10</v>
      </c>
    </row>
    <row r="163" spans="1:18" hidden="1" outlineLevel="1" x14ac:dyDescent="0.2">
      <c r="A163" s="30" t="s">
        <v>53</v>
      </c>
      <c r="C163" s="18"/>
      <c r="D163" s="4"/>
      <c r="E163" s="19" t="str">
        <f>"""GP Direct"",""Fabrikam, Inc."",""Jet GL Transactions"",""Account Index"",""117"",""Credit Amount"",""1658.23000"",""Document Number"","""",""Debit Amount"",""0.00000"",""Vendor Name"","""",""Transaction Description"","""",""Transaction Date"",""1/4/2014"""</f>
        <v>"GP Direct","Fabrikam, Inc.","Jet GL Transactions","Account Index","117","Credit Amount","1658.23000","Document Number","","Debit Amount","0.00000","Vendor Name","","Transaction Description","","Transaction Date","1/4/2014"</v>
      </c>
      <c r="F163" s="4">
        <v>0</v>
      </c>
      <c r="G163" s="4">
        <v>1658.23</v>
      </c>
      <c r="J163" s="31">
        <f t="shared" si="19"/>
        <v>-1658.23</v>
      </c>
      <c r="K163" s="32" t="str">
        <f>""</f>
        <v/>
      </c>
      <c r="L163" s="32" t="str">
        <f>""</f>
        <v/>
      </c>
      <c r="M163" s="33">
        <v>41643</v>
      </c>
      <c r="N163" s="31"/>
      <c r="R163" s="2">
        <f t="shared" si="22"/>
        <v>11</v>
      </c>
    </row>
    <row r="164" spans="1:18" hidden="1" outlineLevel="1" x14ac:dyDescent="0.2">
      <c r="A164" s="30" t="s">
        <v>53</v>
      </c>
      <c r="C164" s="18"/>
      <c r="D164" s="4"/>
      <c r="E164" s="19" t="str">
        <f>"""GP Direct"",""Fabrikam, Inc."",""Jet GL Transactions"",""Account Index"",""117"",""Credit Amount"",""5412.36000"",""Document Number"","""",""Debit Amount"",""0.00000"",""Vendor Name"","""",""Transaction Description"","""",""Transaction Date"",""1/24/2014"""</f>
        <v>"GP Direct","Fabrikam, Inc.","Jet GL Transactions","Account Index","117","Credit Amount","5412.36000","Document Number","","Debit Amount","0.00000","Vendor Name","","Transaction Description","","Transaction Date","1/24/2014"</v>
      </c>
      <c r="F164" s="4">
        <v>0</v>
      </c>
      <c r="G164" s="4">
        <v>5412.36</v>
      </c>
      <c r="J164" s="31">
        <f t="shared" si="19"/>
        <v>-5412.36</v>
      </c>
      <c r="K164" s="32" t="str">
        <f>""</f>
        <v/>
      </c>
      <c r="L164" s="32" t="str">
        <f>""</f>
        <v/>
      </c>
      <c r="M164" s="33">
        <v>41663</v>
      </c>
      <c r="N164" s="31"/>
      <c r="R164" s="2">
        <f t="shared" si="22"/>
        <v>12</v>
      </c>
    </row>
    <row r="165" spans="1:18" hidden="1" x14ac:dyDescent="0.2">
      <c r="A165" s="29" t="s">
        <v>1386</v>
      </c>
      <c r="C165" s="18"/>
    </row>
    <row r="166" spans="1:18" ht="17.25" customHeight="1" collapsed="1" x14ac:dyDescent="0.2">
      <c r="A166" s="30" t="s">
        <v>53</v>
      </c>
      <c r="C166" s="14" t="str">
        <f>"000-4112-02"</f>
        <v>000-4112-02</v>
      </c>
      <c r="D166" s="2">
        <v>118</v>
      </c>
      <c r="E166" s="2"/>
      <c r="F166" s="2" t="s">
        <v>10</v>
      </c>
      <c r="G166" s="2" t="s">
        <v>8</v>
      </c>
      <c r="H166" s="13" t="str">
        <f>"  "&amp;C166</f>
        <v xml:space="preserve">  000-4112-02</v>
      </c>
      <c r="I166" s="15" t="str">
        <f>"AustralAsian Sales - Finished Goods"</f>
        <v>AustralAsian Sales - Finished Goods</v>
      </c>
      <c r="J166" s="16">
        <f>SUM(J167:J169)</f>
        <v>-6290.65</v>
      </c>
      <c r="K166" s="13"/>
      <c r="L166" s="13"/>
      <c r="M166" s="13"/>
      <c r="N166" s="17">
        <v>-21000</v>
      </c>
      <c r="O166" s="16">
        <f>J166-N166</f>
        <v>14709.35</v>
      </c>
    </row>
    <row r="167" spans="1:18" hidden="1" outlineLevel="1" x14ac:dyDescent="0.2">
      <c r="A167" s="30" t="s">
        <v>53</v>
      </c>
      <c r="C167" s="18"/>
      <c r="D167" s="4"/>
      <c r="E167" s="19" t="str">
        <f>"""GP Direct"",""Fabrikam, Inc."",""Jet GL Transactions"",""Account Index"",""118"",""Credit Amount"",""2588.97000"",""Document Number"",""SLS11091"",""Debit Amount"",""0.00000"",""Vendor Name"",""Country View Estates"",""Transaction Description"",""SALES"",""Transaction Date"",""1/1/2014"&amp;""""</f>
        <v>"GP Direct","Fabrikam, Inc.","Jet GL Transactions","Account Index","118","Credit Amount","2588.97000","Document Number","SLS11091","Debit Amount","0.00000","Vendor Name","Country View Estates","Transaction Description","SALES","Transaction Date","1/1/2014"</v>
      </c>
      <c r="F167" s="4">
        <v>0</v>
      </c>
      <c r="G167" s="4">
        <v>2588.9699999999998</v>
      </c>
      <c r="J167" s="31">
        <f>IF(AND(F167="",G167=""),"",$F167-$G167)</f>
        <v>-2588.9699999999998</v>
      </c>
      <c r="K167" s="32" t="str">
        <f>"SALES"</f>
        <v>SALES</v>
      </c>
      <c r="L167" s="32" t="str">
        <f>"SLS11091"</f>
        <v>SLS11091</v>
      </c>
      <c r="M167" s="33">
        <v>41640</v>
      </c>
      <c r="N167" s="31"/>
      <c r="R167" s="2">
        <f t="shared" ref="R167" si="23">R166+1</f>
        <v>1</v>
      </c>
    </row>
    <row r="168" spans="1:18" hidden="1" outlineLevel="1" x14ac:dyDescent="0.2">
      <c r="A168" s="30" t="s">
        <v>53</v>
      </c>
      <c r="C168" s="18"/>
      <c r="D168" s="4"/>
      <c r="E168" s="19" t="str">
        <f>"""GP Direct"",""Fabrikam, Inc."",""Jet GL Transactions"",""Account Index"",""118"",""Credit Amount"",""3701.68000"",""Document Number"",""SLS16090"",""Debit Amount"",""0.00000"",""Vendor Name"",""Executive Resources"",""Transaction Description"",""SALES"",""Transaction Date"",""1/1/2014"""</f>
        <v>"GP Direct","Fabrikam, Inc.","Jet GL Transactions","Account Index","118","Credit Amount","3701.68000","Document Number","SLS16090","Debit Amount","0.00000","Vendor Name","Executive Resources","Transaction Description","SALES","Transaction Date","1/1/2014"</v>
      </c>
      <c r="F168" s="4">
        <v>0</v>
      </c>
      <c r="G168" s="4">
        <v>3701.68</v>
      </c>
      <c r="J168" s="31">
        <f>IF(AND(F168="",G168=""),"",$F168-$G168)</f>
        <v>-3701.68</v>
      </c>
      <c r="K168" s="32" t="str">
        <f>"SALES"</f>
        <v>SALES</v>
      </c>
      <c r="L168" s="32" t="str">
        <f>"SLS16090"</f>
        <v>SLS16090</v>
      </c>
      <c r="M168" s="33">
        <v>41640</v>
      </c>
      <c r="N168" s="31"/>
      <c r="R168" s="2">
        <f t="shared" ref="R168" si="24">R167+1</f>
        <v>2</v>
      </c>
    </row>
    <row r="169" spans="1:18" hidden="1" x14ac:dyDescent="0.2">
      <c r="A169" s="29" t="s">
        <v>1386</v>
      </c>
      <c r="C169" s="18"/>
    </row>
    <row r="170" spans="1:18" ht="17.25" customHeight="1" collapsed="1" x14ac:dyDescent="0.2">
      <c r="A170" s="30" t="s">
        <v>53</v>
      </c>
      <c r="C170" s="14" t="str">
        <f>"000-4114-01"</f>
        <v>000-4114-01</v>
      </c>
      <c r="D170" s="2">
        <v>369</v>
      </c>
      <c r="E170" s="2"/>
      <c r="F170" s="2" t="s">
        <v>10</v>
      </c>
      <c r="G170" s="2" t="s">
        <v>8</v>
      </c>
      <c r="H170" s="13" t="str">
        <f>"  "&amp;C170</f>
        <v xml:space="preserve">  000-4114-01</v>
      </c>
      <c r="I170" s="15" t="str">
        <f>"Germany Sales - Retail/Parts"</f>
        <v>Germany Sales - Retail/Parts</v>
      </c>
      <c r="J170" s="16">
        <f>SUM(J171:J172)</f>
        <v>0</v>
      </c>
      <c r="K170" s="13"/>
      <c r="L170" s="13"/>
      <c r="M170" s="13"/>
      <c r="N170" s="17">
        <v>-15000</v>
      </c>
      <c r="O170" s="16">
        <f>J170-N170</f>
        <v>15000</v>
      </c>
    </row>
    <row r="171" spans="1:18" hidden="1" outlineLevel="1" x14ac:dyDescent="0.2">
      <c r="A171" s="30" t="s">
        <v>53</v>
      </c>
      <c r="C171" s="18"/>
      <c r="D171" s="4"/>
      <c r="E171" s="19" t="str">
        <f>""</f>
        <v/>
      </c>
      <c r="F171" s="4" t="str">
        <f>""</f>
        <v/>
      </c>
      <c r="G171" s="4" t="str">
        <f>""</f>
        <v/>
      </c>
      <c r="J171" s="31" t="str">
        <f>IF(AND(F171="",G171=""),"",$F171-$G171)</f>
        <v/>
      </c>
      <c r="K171" s="32" t="str">
        <f>""</f>
        <v/>
      </c>
      <c r="L171" s="32" t="str">
        <f>""</f>
        <v/>
      </c>
      <c r="M171" s="33" t="str">
        <f>""</f>
        <v/>
      </c>
      <c r="N171" s="31"/>
      <c r="R171" s="2">
        <f t="shared" ref="R171" si="25">R170+1</f>
        <v>1</v>
      </c>
    </row>
    <row r="172" spans="1:18" hidden="1" x14ac:dyDescent="0.2">
      <c r="A172" s="29" t="s">
        <v>1386</v>
      </c>
      <c r="C172" s="18"/>
    </row>
    <row r="173" spans="1:18" ht="17.25" customHeight="1" collapsed="1" x14ac:dyDescent="0.2">
      <c r="A173" s="30" t="s">
        <v>53</v>
      </c>
      <c r="C173" s="14" t="str">
        <f>"000-4114-02"</f>
        <v>000-4114-02</v>
      </c>
      <c r="D173" s="2">
        <v>370</v>
      </c>
      <c r="E173" s="2"/>
      <c r="F173" s="2" t="s">
        <v>10</v>
      </c>
      <c r="G173" s="2" t="s">
        <v>8</v>
      </c>
      <c r="H173" s="13" t="str">
        <f>"  "&amp;C173</f>
        <v xml:space="preserve">  000-4114-02</v>
      </c>
      <c r="I173" s="15" t="str">
        <f>"Germany Sales - Finished Goods"</f>
        <v>Germany Sales - Finished Goods</v>
      </c>
      <c r="J173" s="16">
        <f>SUM(J174:J175)</f>
        <v>0</v>
      </c>
      <c r="K173" s="13"/>
      <c r="L173" s="13"/>
      <c r="M173" s="13"/>
      <c r="N173" s="17">
        <v>0</v>
      </c>
      <c r="O173" s="16">
        <f>J173-N173</f>
        <v>0</v>
      </c>
    </row>
    <row r="174" spans="1:18" hidden="1" outlineLevel="1" x14ac:dyDescent="0.2">
      <c r="A174" s="30" t="s">
        <v>53</v>
      </c>
      <c r="C174" s="18"/>
      <c r="D174" s="4"/>
      <c r="E174" s="19" t="str">
        <f>""</f>
        <v/>
      </c>
      <c r="F174" s="4" t="str">
        <f>""</f>
        <v/>
      </c>
      <c r="G174" s="4" t="str">
        <f>""</f>
        <v/>
      </c>
      <c r="J174" s="31" t="str">
        <f>IF(AND(F174="",G174=""),"",$F174-$G174)</f>
        <v/>
      </c>
      <c r="K174" s="32" t="str">
        <f>""</f>
        <v/>
      </c>
      <c r="L174" s="32" t="str">
        <f>""</f>
        <v/>
      </c>
      <c r="M174" s="33" t="str">
        <f>""</f>
        <v/>
      </c>
      <c r="N174" s="31"/>
      <c r="R174" s="2">
        <f t="shared" ref="R174" si="26">R173+1</f>
        <v>1</v>
      </c>
    </row>
    <row r="175" spans="1:18" hidden="1" x14ac:dyDescent="0.2">
      <c r="A175" s="29" t="s">
        <v>1386</v>
      </c>
      <c r="C175" s="18"/>
    </row>
    <row r="176" spans="1:18" ht="17.25" customHeight="1" collapsed="1" x14ac:dyDescent="0.2">
      <c r="A176" s="30" t="s">
        <v>53</v>
      </c>
      <c r="C176" s="14" t="str">
        <f>"000-4115-01"</f>
        <v>000-4115-01</v>
      </c>
      <c r="D176" s="2">
        <v>371</v>
      </c>
      <c r="E176" s="2"/>
      <c r="F176" s="2" t="s">
        <v>10</v>
      </c>
      <c r="G176" s="2" t="s">
        <v>8</v>
      </c>
      <c r="H176" s="13" t="str">
        <f>"  "&amp;C176</f>
        <v xml:space="preserve">  000-4115-01</v>
      </c>
      <c r="I176" s="15" t="str">
        <f>"United Kingdom Sales - Retail/Parts"</f>
        <v>United Kingdom Sales - Retail/Parts</v>
      </c>
      <c r="J176" s="16">
        <f>SUM(J177:J178)</f>
        <v>-894.12</v>
      </c>
      <c r="K176" s="13"/>
      <c r="L176" s="13"/>
      <c r="M176" s="13"/>
      <c r="N176" s="17">
        <v>-3000</v>
      </c>
      <c r="O176" s="16">
        <f>J176-N176</f>
        <v>2105.88</v>
      </c>
    </row>
    <row r="177" spans="1:18" hidden="1" outlineLevel="1" x14ac:dyDescent="0.2">
      <c r="A177" s="30" t="s">
        <v>53</v>
      </c>
      <c r="C177" s="18"/>
      <c r="D177" s="4"/>
      <c r="E177" s="19" t="str">
        <f>"""GP Direct"",""Fabrikam, Inc."",""Jet GL Transactions"",""Account Index"",""371"",""Credit Amount"",""894.12000"",""Document Number"","""",""Debit Amount"",""0.00000"",""Vendor Name"","""",""Transaction Description"","""",""Transaction Date"",""1/22/2014"""</f>
        <v>"GP Direct","Fabrikam, Inc.","Jet GL Transactions","Account Index","371","Credit Amount","894.12000","Document Number","","Debit Amount","0.00000","Vendor Name","","Transaction Description","","Transaction Date","1/22/2014"</v>
      </c>
      <c r="F177" s="4">
        <v>0</v>
      </c>
      <c r="G177" s="4">
        <v>894.12</v>
      </c>
      <c r="J177" s="31">
        <f>IF(AND(F177="",G177=""),"",$F177-$G177)</f>
        <v>-894.12</v>
      </c>
      <c r="K177" s="32" t="str">
        <f>""</f>
        <v/>
      </c>
      <c r="L177" s="32" t="str">
        <f>""</f>
        <v/>
      </c>
      <c r="M177" s="33">
        <v>41661</v>
      </c>
      <c r="N177" s="31"/>
      <c r="R177" s="2">
        <f t="shared" ref="R177" si="27">R176+1</f>
        <v>1</v>
      </c>
    </row>
    <row r="178" spans="1:18" hidden="1" x14ac:dyDescent="0.2">
      <c r="A178" s="29" t="s">
        <v>1386</v>
      </c>
      <c r="C178" s="18"/>
    </row>
    <row r="179" spans="1:18" ht="17.25" customHeight="1" collapsed="1" x14ac:dyDescent="0.2">
      <c r="A179" s="30" t="s">
        <v>53</v>
      </c>
      <c r="C179" s="14" t="str">
        <f>"000-4115-02"</f>
        <v>000-4115-02</v>
      </c>
      <c r="D179" s="2">
        <v>372</v>
      </c>
      <c r="E179" s="2"/>
      <c r="F179" s="2" t="s">
        <v>10</v>
      </c>
      <c r="G179" s="2" t="s">
        <v>8</v>
      </c>
      <c r="H179" s="13" t="str">
        <f>"  "&amp;C179</f>
        <v xml:space="preserve">  000-4115-02</v>
      </c>
      <c r="I179" s="15" t="str">
        <f>"United Kingdom Sales - Finished Goods"</f>
        <v>United Kingdom Sales - Finished Goods</v>
      </c>
      <c r="J179" s="16">
        <f>SUM(J180:J181)</f>
        <v>-6542.12</v>
      </c>
      <c r="K179" s="13"/>
      <c r="L179" s="13"/>
      <c r="M179" s="13"/>
      <c r="N179" s="17">
        <v>0</v>
      </c>
      <c r="O179" s="16">
        <f>J179-N179</f>
        <v>-6542.12</v>
      </c>
    </row>
    <row r="180" spans="1:18" hidden="1" outlineLevel="1" x14ac:dyDescent="0.2">
      <c r="A180" s="30" t="s">
        <v>53</v>
      </c>
      <c r="C180" s="18"/>
      <c r="D180" s="4"/>
      <c r="E180" s="19" t="str">
        <f>"""GP Direct"",""Fabrikam, Inc."",""Jet GL Transactions"",""Account Index"",""372"",""Credit Amount"",""6542.12000"",""Document Number"","""",""Debit Amount"",""0.00000"",""Vendor Name"","""",""Transaction Description"","""",""Transaction Date"",""1/5/2014"""</f>
        <v>"GP Direct","Fabrikam, Inc.","Jet GL Transactions","Account Index","372","Credit Amount","6542.12000","Document Number","","Debit Amount","0.00000","Vendor Name","","Transaction Description","","Transaction Date","1/5/2014"</v>
      </c>
      <c r="F180" s="4">
        <v>0</v>
      </c>
      <c r="G180" s="4">
        <v>6542.12</v>
      </c>
      <c r="J180" s="31">
        <f>IF(AND(F180="",G180=""),"",$F180-$G180)</f>
        <v>-6542.12</v>
      </c>
      <c r="K180" s="32" t="str">
        <f>""</f>
        <v/>
      </c>
      <c r="L180" s="32" t="str">
        <f>""</f>
        <v/>
      </c>
      <c r="M180" s="33">
        <v>41644</v>
      </c>
      <c r="N180" s="31"/>
      <c r="R180" s="2">
        <f t="shared" ref="R180" si="28">R179+1</f>
        <v>1</v>
      </c>
    </row>
    <row r="181" spans="1:18" hidden="1" x14ac:dyDescent="0.2">
      <c r="A181" s="29" t="s">
        <v>1386</v>
      </c>
      <c r="C181" s="18"/>
    </row>
    <row r="182" spans="1:18" ht="17.25" customHeight="1" collapsed="1" x14ac:dyDescent="0.2">
      <c r="A182" s="30" t="s">
        <v>53</v>
      </c>
      <c r="C182" s="14" t="str">
        <f>"000-4116-01"</f>
        <v>000-4116-01</v>
      </c>
      <c r="D182" s="2">
        <v>373</v>
      </c>
      <c r="E182" s="2"/>
      <c r="F182" s="2" t="s">
        <v>10</v>
      </c>
      <c r="G182" s="2" t="s">
        <v>8</v>
      </c>
      <c r="H182" s="13" t="str">
        <f>"  "&amp;C182</f>
        <v xml:space="preserve">  000-4116-01</v>
      </c>
      <c r="I182" s="15" t="str">
        <f>"South Africa - Retail/Parts"</f>
        <v>South Africa - Retail/Parts</v>
      </c>
      <c r="J182" s="16">
        <f>SUM(J183:J185)</f>
        <v>-5034.33</v>
      </c>
      <c r="K182" s="13"/>
      <c r="L182" s="13"/>
      <c r="M182" s="13"/>
      <c r="N182" s="17">
        <v>-15000</v>
      </c>
      <c r="O182" s="16">
        <f>J182-N182</f>
        <v>9965.67</v>
      </c>
    </row>
    <row r="183" spans="1:18" hidden="1" outlineLevel="1" x14ac:dyDescent="0.2">
      <c r="A183" s="30" t="s">
        <v>53</v>
      </c>
      <c r="C183" s="18"/>
      <c r="D183" s="4"/>
      <c r="E183" s="19" t="str">
        <f>"""GP Direct"",""Fabrikam, Inc."",""Jet GL Transactions"",""Account Index"",""373"",""Credit Amount"",""3145.22000"",""Document Number"","""",""Debit Amount"",""0.00000"",""Vendor Name"","""",""Transaction Description"","""",""Transaction Date"",""1/10/2014"""</f>
        <v>"GP Direct","Fabrikam, Inc.","Jet GL Transactions","Account Index","373","Credit Amount","3145.22000","Document Number","","Debit Amount","0.00000","Vendor Name","","Transaction Description","","Transaction Date","1/10/2014"</v>
      </c>
      <c r="F183" s="4">
        <v>0</v>
      </c>
      <c r="G183" s="4">
        <v>3145.22</v>
      </c>
      <c r="J183" s="31">
        <f>IF(AND(F183="",G183=""),"",$F183-$G183)</f>
        <v>-3145.22</v>
      </c>
      <c r="K183" s="32" t="str">
        <f>""</f>
        <v/>
      </c>
      <c r="L183" s="32" t="str">
        <f>""</f>
        <v/>
      </c>
      <c r="M183" s="33">
        <v>41649</v>
      </c>
      <c r="N183" s="31"/>
      <c r="R183" s="2">
        <f t="shared" ref="R183" si="29">R182+1</f>
        <v>1</v>
      </c>
    </row>
    <row r="184" spans="1:18" hidden="1" outlineLevel="1" x14ac:dyDescent="0.2">
      <c r="A184" s="30" t="s">
        <v>53</v>
      </c>
      <c r="C184" s="18"/>
      <c r="D184" s="4"/>
      <c r="E184" s="19" t="str">
        <f>"""GP Direct"",""Fabrikam, Inc."",""Jet GL Transactions"",""Account Index"",""373"",""Credit Amount"",""1889.11000"",""Document Number"","""",""Debit Amount"",""0.00000"",""Vendor Name"","""",""Transaction Description"","""",""Transaction Date"",""1/19/2014"""</f>
        <v>"GP Direct","Fabrikam, Inc.","Jet GL Transactions","Account Index","373","Credit Amount","1889.11000","Document Number","","Debit Amount","0.00000","Vendor Name","","Transaction Description","","Transaction Date","1/19/2014"</v>
      </c>
      <c r="F184" s="4">
        <v>0</v>
      </c>
      <c r="G184" s="4">
        <v>1889.11</v>
      </c>
      <c r="J184" s="31">
        <f>IF(AND(F184="",G184=""),"",$F184-$G184)</f>
        <v>-1889.11</v>
      </c>
      <c r="K184" s="32" t="str">
        <f>""</f>
        <v/>
      </c>
      <c r="L184" s="32" t="str">
        <f>""</f>
        <v/>
      </c>
      <c r="M184" s="33">
        <v>41658</v>
      </c>
      <c r="N184" s="31"/>
      <c r="R184" s="2">
        <f t="shared" ref="R184" si="30">R183+1</f>
        <v>2</v>
      </c>
    </row>
    <row r="185" spans="1:18" hidden="1" x14ac:dyDescent="0.2">
      <c r="A185" s="29" t="s">
        <v>1386</v>
      </c>
      <c r="C185" s="18"/>
    </row>
    <row r="186" spans="1:18" ht="17.25" customHeight="1" collapsed="1" x14ac:dyDescent="0.2">
      <c r="A186" s="30" t="s">
        <v>53</v>
      </c>
      <c r="C186" s="14" t="str">
        <f>"000-4116-02"</f>
        <v>000-4116-02</v>
      </c>
      <c r="D186" s="2">
        <v>374</v>
      </c>
      <c r="E186" s="2"/>
      <c r="F186" s="2" t="s">
        <v>10</v>
      </c>
      <c r="G186" s="2" t="s">
        <v>8</v>
      </c>
      <c r="H186" s="13" t="str">
        <f>"  "&amp;C186</f>
        <v xml:space="preserve">  000-4116-02</v>
      </c>
      <c r="I186" s="15" t="str">
        <f>"South Africa Sales - Finished Goods"</f>
        <v>South Africa Sales - Finished Goods</v>
      </c>
      <c r="J186" s="16">
        <f>SUM(J187:J188)</f>
        <v>0</v>
      </c>
      <c r="K186" s="13"/>
      <c r="L186" s="13"/>
      <c r="M186" s="13"/>
      <c r="N186" s="17">
        <v>0</v>
      </c>
      <c r="O186" s="16">
        <f>J186-N186</f>
        <v>0</v>
      </c>
    </row>
    <row r="187" spans="1:18" hidden="1" outlineLevel="1" x14ac:dyDescent="0.2">
      <c r="A187" s="30" t="s">
        <v>53</v>
      </c>
      <c r="C187" s="18"/>
      <c r="D187" s="4"/>
      <c r="E187" s="19" t="str">
        <f>""</f>
        <v/>
      </c>
      <c r="F187" s="4" t="str">
        <f>""</f>
        <v/>
      </c>
      <c r="G187" s="4" t="str">
        <f>""</f>
        <v/>
      </c>
      <c r="J187" s="31" t="str">
        <f>IF(AND(F187="",G187=""),"",$F187-$G187)</f>
        <v/>
      </c>
      <c r="K187" s="32" t="str">
        <f>""</f>
        <v/>
      </c>
      <c r="L187" s="32" t="str">
        <f>""</f>
        <v/>
      </c>
      <c r="M187" s="33" t="str">
        <f>""</f>
        <v/>
      </c>
      <c r="N187" s="31"/>
      <c r="R187" s="2">
        <f t="shared" ref="R187" si="31">R186+1</f>
        <v>1</v>
      </c>
    </row>
    <row r="188" spans="1:18" hidden="1" x14ac:dyDescent="0.2">
      <c r="A188" s="29" t="s">
        <v>1386</v>
      </c>
      <c r="C188" s="18"/>
    </row>
    <row r="189" spans="1:18" ht="17.25" customHeight="1" collapsed="1" x14ac:dyDescent="0.2">
      <c r="A189" s="30" t="s">
        <v>53</v>
      </c>
      <c r="C189" s="14" t="str">
        <f>"000-4117-01"</f>
        <v>000-4117-01</v>
      </c>
      <c r="D189" s="2">
        <v>375</v>
      </c>
      <c r="E189" s="2"/>
      <c r="F189" s="2" t="s">
        <v>10</v>
      </c>
      <c r="G189" s="2" t="s">
        <v>8</v>
      </c>
      <c r="H189" s="13" t="str">
        <f>"  "&amp;C189</f>
        <v xml:space="preserve">  000-4117-01</v>
      </c>
      <c r="I189" s="15" t="str">
        <f>"Singapore Sales - Retail/Parts"</f>
        <v>Singapore Sales - Retail/Parts</v>
      </c>
      <c r="J189" s="16">
        <f>SUM(J190:J191)</f>
        <v>-1693.32</v>
      </c>
      <c r="K189" s="13"/>
      <c r="L189" s="13"/>
      <c r="M189" s="13"/>
      <c r="N189" s="17">
        <v>-6000</v>
      </c>
      <c r="O189" s="16">
        <f>J189-N189</f>
        <v>4306.68</v>
      </c>
    </row>
    <row r="190" spans="1:18" hidden="1" outlineLevel="1" x14ac:dyDescent="0.2">
      <c r="A190" s="30" t="s">
        <v>53</v>
      </c>
      <c r="C190" s="18"/>
      <c r="D190" s="4"/>
      <c r="E190" s="19" t="str">
        <f>"""GP Direct"",""Fabrikam, Inc."",""Jet GL Transactions"",""Account Index"",""375"",""Credit Amount"",""1693.32000"",""Document Number"","""",""Debit Amount"",""0.00000"",""Vendor Name"","""",""Transaction Description"","""",""Transaction Date"",""1/22/2014"""</f>
        <v>"GP Direct","Fabrikam, Inc.","Jet GL Transactions","Account Index","375","Credit Amount","1693.32000","Document Number","","Debit Amount","0.00000","Vendor Name","","Transaction Description","","Transaction Date","1/22/2014"</v>
      </c>
      <c r="F190" s="4">
        <v>0</v>
      </c>
      <c r="G190" s="4">
        <v>1693.32</v>
      </c>
      <c r="J190" s="31">
        <f>IF(AND(F190="",G190=""),"",$F190-$G190)</f>
        <v>-1693.32</v>
      </c>
      <c r="K190" s="32" t="str">
        <f>""</f>
        <v/>
      </c>
      <c r="L190" s="32" t="str">
        <f>""</f>
        <v/>
      </c>
      <c r="M190" s="33">
        <v>41661</v>
      </c>
      <c r="N190" s="31"/>
      <c r="R190" s="2">
        <f t="shared" ref="R190" si="32">R189+1</f>
        <v>1</v>
      </c>
    </row>
    <row r="191" spans="1:18" hidden="1" x14ac:dyDescent="0.2">
      <c r="A191" s="29" t="s">
        <v>1386</v>
      </c>
      <c r="C191" s="18"/>
    </row>
    <row r="192" spans="1:18" ht="17.25" customHeight="1" collapsed="1" x14ac:dyDescent="0.2">
      <c r="A192" s="30" t="s">
        <v>53</v>
      </c>
      <c r="C192" s="14" t="str">
        <f>"000-4117-02"</f>
        <v>000-4117-02</v>
      </c>
      <c r="D192" s="2">
        <v>376</v>
      </c>
      <c r="E192" s="2"/>
      <c r="F192" s="2" t="s">
        <v>10</v>
      </c>
      <c r="G192" s="2" t="s">
        <v>8</v>
      </c>
      <c r="H192" s="13" t="str">
        <f>"  "&amp;C192</f>
        <v xml:space="preserve">  000-4117-02</v>
      </c>
      <c r="I192" s="15" t="str">
        <f>"Singapore Sales - Finished Goods"</f>
        <v>Singapore Sales - Finished Goods</v>
      </c>
      <c r="J192" s="16">
        <f>SUM(J193:J194)</f>
        <v>-1693.32</v>
      </c>
      <c r="K192" s="13"/>
      <c r="L192" s="13"/>
      <c r="M192" s="13"/>
      <c r="N192" s="17">
        <v>-6000</v>
      </c>
      <c r="O192" s="16">
        <f>J192-N192</f>
        <v>4306.68</v>
      </c>
    </row>
    <row r="193" spans="1:18" hidden="1" outlineLevel="1" x14ac:dyDescent="0.2">
      <c r="A193" s="30" t="s">
        <v>53</v>
      </c>
      <c r="C193" s="18"/>
      <c r="D193" s="4"/>
      <c r="E193" s="19" t="str">
        <f>"""GP Direct"",""Fabrikam, Inc."",""Jet GL Transactions"",""Account Index"",""376"",""Credit Amount"",""1693.32000"",""Document Number"","""",""Debit Amount"",""0.00000"",""Vendor Name"","""",""Transaction Description"","""",""Transaction Date"",""1/6/2014"""</f>
        <v>"GP Direct","Fabrikam, Inc.","Jet GL Transactions","Account Index","376","Credit Amount","1693.32000","Document Number","","Debit Amount","0.00000","Vendor Name","","Transaction Description","","Transaction Date","1/6/2014"</v>
      </c>
      <c r="F193" s="4">
        <v>0</v>
      </c>
      <c r="G193" s="4">
        <v>1693.32</v>
      </c>
      <c r="J193" s="31">
        <f>IF(AND(F193="",G193=""),"",$F193-$G193)</f>
        <v>-1693.32</v>
      </c>
      <c r="K193" s="32" t="str">
        <f>""</f>
        <v/>
      </c>
      <c r="L193" s="32" t="str">
        <f>""</f>
        <v/>
      </c>
      <c r="M193" s="33">
        <v>41645</v>
      </c>
      <c r="N193" s="31"/>
      <c r="R193" s="2">
        <f t="shared" ref="R193" si="33">R192+1</f>
        <v>1</v>
      </c>
    </row>
    <row r="194" spans="1:18" hidden="1" x14ac:dyDescent="0.2">
      <c r="A194" s="29" t="s">
        <v>1386</v>
      </c>
      <c r="C194" s="18"/>
    </row>
    <row r="195" spans="1:18" ht="17.25" customHeight="1" collapsed="1" x14ac:dyDescent="0.2">
      <c r="A195" s="30" t="s">
        <v>53</v>
      </c>
      <c r="C195" s="14" t="str">
        <f>"000-4120-00"</f>
        <v>000-4120-00</v>
      </c>
      <c r="D195" s="2">
        <v>119</v>
      </c>
      <c r="E195" s="2"/>
      <c r="F195" s="2" t="s">
        <v>10</v>
      </c>
      <c r="G195" s="2" t="s">
        <v>8</v>
      </c>
      <c r="H195" s="13" t="str">
        <f>"  "&amp;C195</f>
        <v xml:space="preserve">  000-4120-00</v>
      </c>
      <c r="I195" s="15" t="str">
        <f>"US Sales - Service Plans"</f>
        <v>US Sales - Service Plans</v>
      </c>
      <c r="J195" s="16">
        <f>SUM(J196:J214)</f>
        <v>-166894.54</v>
      </c>
      <c r="K195" s="13"/>
      <c r="L195" s="13"/>
      <c r="M195" s="13"/>
      <c r="N195" s="17">
        <v>-525000</v>
      </c>
      <c r="O195" s="16">
        <f>J195-N195</f>
        <v>358105.45999999996</v>
      </c>
    </row>
    <row r="196" spans="1:18" hidden="1" outlineLevel="1" x14ac:dyDescent="0.2">
      <c r="A196" s="30" t="s">
        <v>53</v>
      </c>
      <c r="C196" s="18"/>
      <c r="D196" s="4"/>
      <c r="E196" s="19" t="str">
        <f>"""GP Direct"",""Fabrikam, Inc."",""Jet GL Transactions"",""Account Index"",""119"",""Credit Amount"",""2594.54000"",""Document Number"",""SLS15032"",""Debit Amount"",""0.00000"",""Vendor Name"",""Direct Marketers"",""Transaction Description"",""SALES"",""Transaction Date"",""1/1/2014"""</f>
        <v>"GP Direct","Fabrikam, Inc.","Jet GL Transactions","Account Index","119","Credit Amount","2594.54000","Document Number","SLS15032","Debit Amount","0.00000","Vendor Name","Direct Marketers","Transaction Description","SALES","Transaction Date","1/1/2014"</v>
      </c>
      <c r="F196" s="4">
        <v>0</v>
      </c>
      <c r="G196" s="4">
        <v>2594.54</v>
      </c>
      <c r="J196" s="31">
        <f t="shared" ref="J196:J213" si="34">IF(AND(F196="",G196=""),"",$F196-$G196)</f>
        <v>-2594.54</v>
      </c>
      <c r="K196" s="32" t="str">
        <f t="shared" ref="K196:K213" si="35">"SALES"</f>
        <v>SALES</v>
      </c>
      <c r="L196" s="32" t="str">
        <f>"SLS15032"</f>
        <v>SLS15032</v>
      </c>
      <c r="M196" s="33">
        <v>41640</v>
      </c>
      <c r="N196" s="31"/>
      <c r="R196" s="2">
        <f t="shared" ref="R196" si="36">R195+1</f>
        <v>1</v>
      </c>
    </row>
    <row r="197" spans="1:18" hidden="1" outlineLevel="1" x14ac:dyDescent="0.2">
      <c r="A197" s="30" t="s">
        <v>53</v>
      </c>
      <c r="C197" s="18"/>
      <c r="D197" s="4"/>
      <c r="E197" s="19" t="str">
        <f>"""GP Direct"",""Fabrikam, Inc."",""Jet GL Transactions"",""Account Index"",""119"",""Credit Amount"",""3500.00000"",""Document Number"",""SLS118000"",""Debit Amount"",""0.00000"",""Vendor Name"",""Downtown Hotel"",""Transaction Description"",""SALES"",""Transaction Date"",""1/1/2014"""</f>
        <v>"GP Direct","Fabrikam, Inc.","Jet GL Transactions","Account Index","119","Credit Amount","3500.00000","Document Number","SLS118000","Debit Amount","0.00000","Vendor Name","Downtown Hotel","Transaction Description","SALES","Transaction Date","1/1/2014"</v>
      </c>
      <c r="F197" s="4">
        <v>0</v>
      </c>
      <c r="G197" s="4">
        <v>3500</v>
      </c>
      <c r="J197" s="31">
        <f t="shared" si="34"/>
        <v>-3500</v>
      </c>
      <c r="K197" s="32" t="str">
        <f t="shared" si="35"/>
        <v>SALES</v>
      </c>
      <c r="L197" s="32" t="str">
        <f>"SLS118000"</f>
        <v>SLS118000</v>
      </c>
      <c r="M197" s="33">
        <v>41640</v>
      </c>
      <c r="N197" s="31"/>
      <c r="R197" s="2">
        <f t="shared" ref="R197:R213" si="37">R196+1</f>
        <v>2</v>
      </c>
    </row>
    <row r="198" spans="1:18" hidden="1" outlineLevel="1" x14ac:dyDescent="0.2">
      <c r="A198" s="30" t="s">
        <v>53</v>
      </c>
      <c r="C198" s="18"/>
      <c r="D198" s="4"/>
      <c r="E198" s="19" t="str">
        <f>"""GP Direct"",""Fabrikam, Inc."",""Jet GL Transactions"",""Account Index"",""119"",""Credit Amount"",""3500.00000"",""Document Number"",""SLS14065"",""Debit Amount"",""0.00000"",""Vendor Name"",""Novia Scotia Tech. Institute"",""Transaction Description"",""SALES"",""Transaction Date"","""&amp;"1/1/2014"""</f>
        <v>"GP Direct","Fabrikam, Inc.","Jet GL Transactions","Account Index","119","Credit Amount","3500.00000","Document Number","SLS14065","Debit Amount","0.00000","Vendor Name","Novia Scotia Tech. Institute","Transaction Description","SALES","Transaction Date","1/1/2014"</v>
      </c>
      <c r="F198" s="4">
        <v>0</v>
      </c>
      <c r="G198" s="4">
        <v>3500</v>
      </c>
      <c r="J198" s="31">
        <f t="shared" si="34"/>
        <v>-3500</v>
      </c>
      <c r="K198" s="32" t="str">
        <f t="shared" si="35"/>
        <v>SALES</v>
      </c>
      <c r="L198" s="32" t="str">
        <f>"SLS14065"</f>
        <v>SLS14065</v>
      </c>
      <c r="M198" s="33">
        <v>41640</v>
      </c>
      <c r="N198" s="31"/>
      <c r="R198" s="2">
        <f t="shared" si="37"/>
        <v>3</v>
      </c>
    </row>
    <row r="199" spans="1:18" hidden="1" outlineLevel="1" x14ac:dyDescent="0.2">
      <c r="A199" s="30" t="s">
        <v>53</v>
      </c>
      <c r="C199" s="18"/>
      <c r="D199" s="4"/>
      <c r="E199" s="19" t="str">
        <f>"""GP Direct"",""Fabrikam, Inc."",""Jet GL Transactions"",""Account Index"",""119"",""Credit Amount"",""4150.00000"",""Document Number"",""SLS13064"",""Debit Amount"",""0.00000"",""Vendor Name"",""Northern Family Hospital"",""Transaction Description"",""SALES"",""Transaction Date"",""1/1/"&amp;"2014"""</f>
        <v>"GP Direct","Fabrikam, Inc.","Jet GL Transactions","Account Index","119","Credit Amount","4150.00000","Document Number","SLS13064","Debit Amount","0.00000","Vendor Name","Northern Family Hospital","Transaction Description","SALES","Transaction Date","1/1/2014"</v>
      </c>
      <c r="F199" s="4">
        <v>0</v>
      </c>
      <c r="G199" s="4">
        <v>4150</v>
      </c>
      <c r="J199" s="31">
        <f t="shared" si="34"/>
        <v>-4150</v>
      </c>
      <c r="K199" s="32" t="str">
        <f t="shared" si="35"/>
        <v>SALES</v>
      </c>
      <c r="L199" s="32" t="str">
        <f>"SLS13064"</f>
        <v>SLS13064</v>
      </c>
      <c r="M199" s="33">
        <v>41640</v>
      </c>
      <c r="N199" s="31"/>
      <c r="R199" s="2">
        <f t="shared" si="37"/>
        <v>4</v>
      </c>
    </row>
    <row r="200" spans="1:18" hidden="1" outlineLevel="1" x14ac:dyDescent="0.2">
      <c r="A200" s="30" t="s">
        <v>53</v>
      </c>
      <c r="C200" s="18"/>
      <c r="D200" s="4"/>
      <c r="E200" s="19" t="str">
        <f>"""GP Direct"",""Fabrikam, Inc."",""Jet GL Transactions"",""Account Index"",""119"",""Credit Amount"",""5000.00000"",""Document Number"",""SLS11016"",""Debit Amount"",""0.00000"",""Vendor Name"",""Aaron Fitz Electrical"",""Transaction Description"",""SALES"",""Transaction Date"",""1/1/201"&amp;"4"""</f>
        <v>"GP Direct","Fabrikam, Inc.","Jet GL Transactions","Account Index","119","Credit Amount","5000.00000","Document Number","SLS11016","Debit Amount","0.00000","Vendor Name","Aaron Fitz Electrical","Transaction Description","SALES","Transaction Date","1/1/2014"</v>
      </c>
      <c r="F200" s="4">
        <v>0</v>
      </c>
      <c r="G200" s="4">
        <v>5000</v>
      </c>
      <c r="J200" s="31">
        <f t="shared" si="34"/>
        <v>-5000</v>
      </c>
      <c r="K200" s="32" t="str">
        <f t="shared" si="35"/>
        <v>SALES</v>
      </c>
      <c r="L200" s="32" t="str">
        <f>"SLS11016"</f>
        <v>SLS11016</v>
      </c>
      <c r="M200" s="33">
        <v>41640</v>
      </c>
      <c r="N200" s="31"/>
      <c r="R200" s="2">
        <f t="shared" si="37"/>
        <v>5</v>
      </c>
    </row>
    <row r="201" spans="1:18" hidden="1" outlineLevel="1" x14ac:dyDescent="0.2">
      <c r="A201" s="30" t="s">
        <v>53</v>
      </c>
      <c r="C201" s="18"/>
      <c r="D201" s="4"/>
      <c r="E201" s="19" t="str">
        <f>"""GP Direct"",""Fabrikam, Inc."",""Jet GL Transactions"",""Account Index"",""119"",""Credit Amount"",""7500.00000"",""Document Number"",""SLS114011"",""Debit Amount"",""0.00000"",""Vendor Name"",""National Shopping World"",""Transaction Description"",""SALES"",""Transaction Date"",""1/1/"&amp;"2014"""</f>
        <v>"GP Direct","Fabrikam, Inc.","Jet GL Transactions","Account Index","119","Credit Amount","7500.00000","Document Number","SLS114011","Debit Amount","0.00000","Vendor Name","National Shopping World","Transaction Description","SALES","Transaction Date","1/1/2014"</v>
      </c>
      <c r="F201" s="4">
        <v>0</v>
      </c>
      <c r="G201" s="4">
        <v>7500</v>
      </c>
      <c r="J201" s="31">
        <f t="shared" si="34"/>
        <v>-7500</v>
      </c>
      <c r="K201" s="32" t="str">
        <f t="shared" si="35"/>
        <v>SALES</v>
      </c>
      <c r="L201" s="32" t="str">
        <f>"SLS114011"</f>
        <v>SLS114011</v>
      </c>
      <c r="M201" s="33">
        <v>41640</v>
      </c>
      <c r="N201" s="31"/>
      <c r="R201" s="2">
        <f t="shared" si="37"/>
        <v>6</v>
      </c>
    </row>
    <row r="202" spans="1:18" hidden="1" outlineLevel="1" x14ac:dyDescent="0.2">
      <c r="A202" s="30" t="s">
        <v>53</v>
      </c>
      <c r="C202" s="18"/>
      <c r="D202" s="4"/>
      <c r="E202" s="19" t="str">
        <f>"""GP Direct"",""Fabrikam, Inc."",""Jet GL Transactions"",""Account Index"",""119"",""Credit Amount"",""8150.00000"",""Document Number"",""SLS114003"",""Debit Amount"",""0.00000"",""Vendor Name"",""Hampton Village Eatery"",""Transaction Description"",""SALES"",""Transaction Date"",""1/1/2"&amp;"014"""</f>
        <v>"GP Direct","Fabrikam, Inc.","Jet GL Transactions","Account Index","119","Credit Amount","8150.00000","Document Number","SLS114003","Debit Amount","0.00000","Vendor Name","Hampton Village Eatery","Transaction Description","SALES","Transaction Date","1/1/2014"</v>
      </c>
      <c r="F202" s="4">
        <v>0</v>
      </c>
      <c r="G202" s="4">
        <v>8150</v>
      </c>
      <c r="J202" s="31">
        <f t="shared" si="34"/>
        <v>-8150</v>
      </c>
      <c r="K202" s="32" t="str">
        <f t="shared" si="35"/>
        <v>SALES</v>
      </c>
      <c r="L202" s="32" t="str">
        <f>"SLS114003"</f>
        <v>SLS114003</v>
      </c>
      <c r="M202" s="33">
        <v>41640</v>
      </c>
      <c r="N202" s="31"/>
      <c r="R202" s="2">
        <f t="shared" si="37"/>
        <v>7</v>
      </c>
    </row>
    <row r="203" spans="1:18" hidden="1" outlineLevel="1" x14ac:dyDescent="0.2">
      <c r="A203" s="30" t="s">
        <v>53</v>
      </c>
      <c r="C203" s="18"/>
      <c r="D203" s="4"/>
      <c r="E203" s="19" t="str">
        <f>"""GP Direct"",""Fabrikam, Inc."",""Jet GL Transactions"",""Account Index"",""119"",""Credit Amount"",""8500.00000"",""Document Number"",""SLS13014"",""Debit Amount"",""0.00000"",""Vendor Name"",""Adam Park Resort"",""Transaction Description"",""SALES"",""Transaction Date"",""1/1/2014"""</f>
        <v>"GP Direct","Fabrikam, Inc.","Jet GL Transactions","Account Index","119","Credit Amount","8500.00000","Document Number","SLS13014","Debit Amount","0.00000","Vendor Name","Adam Park Resort","Transaction Description","SALES","Transaction Date","1/1/2014"</v>
      </c>
      <c r="F203" s="4">
        <v>0</v>
      </c>
      <c r="G203" s="4">
        <v>8500</v>
      </c>
      <c r="J203" s="31">
        <f t="shared" si="34"/>
        <v>-8500</v>
      </c>
      <c r="K203" s="32" t="str">
        <f t="shared" si="35"/>
        <v>SALES</v>
      </c>
      <c r="L203" s="32" t="str">
        <f>"SLS13014"</f>
        <v>SLS13014</v>
      </c>
      <c r="M203" s="33">
        <v>41640</v>
      </c>
      <c r="N203" s="31"/>
      <c r="R203" s="2">
        <f t="shared" si="37"/>
        <v>8</v>
      </c>
    </row>
    <row r="204" spans="1:18" hidden="1" outlineLevel="1" x14ac:dyDescent="0.2">
      <c r="A204" s="30" t="s">
        <v>53</v>
      </c>
      <c r="C204" s="18"/>
      <c r="D204" s="4"/>
      <c r="E204" s="19" t="str">
        <f>"""GP Direct"",""Fabrikam, Inc."",""Jet GL Transactions"",""Account Index"",""119"",""Credit Amount"",""9500.00000"",""Document Number"",""SLS111031"",""Debit Amount"",""0.00000"",""Vendor Name"",""Margie's Travel"",""Transaction Description"",""SALES"",""Transaction Date"",""1/1/2014"""</f>
        <v>"GP Direct","Fabrikam, Inc.","Jet GL Transactions","Account Index","119","Credit Amount","9500.00000","Document Number","SLS111031","Debit Amount","0.00000","Vendor Name","Margie's Travel","Transaction Description","SALES","Transaction Date","1/1/2014"</v>
      </c>
      <c r="F204" s="4">
        <v>0</v>
      </c>
      <c r="G204" s="4">
        <v>9500</v>
      </c>
      <c r="J204" s="31">
        <f t="shared" si="34"/>
        <v>-9500</v>
      </c>
      <c r="K204" s="32" t="str">
        <f t="shared" si="35"/>
        <v>SALES</v>
      </c>
      <c r="L204" s="32" t="str">
        <f>"SLS111031"</f>
        <v>SLS111031</v>
      </c>
      <c r="M204" s="33">
        <v>41640</v>
      </c>
      <c r="N204" s="31"/>
      <c r="R204" s="2">
        <f t="shared" si="37"/>
        <v>9</v>
      </c>
    </row>
    <row r="205" spans="1:18" hidden="1" outlineLevel="1" x14ac:dyDescent="0.2">
      <c r="A205" s="30" t="s">
        <v>53</v>
      </c>
      <c r="C205" s="18"/>
      <c r="D205" s="4"/>
      <c r="E205" s="19" t="str">
        <f>"""GP Direct"",""Fabrikam, Inc."",""Jet GL Transactions"",""Account Index"",""119"",""Credit Amount"",""9500.00000"",""Document Number"",""SLS123003"",""Debit Amount"",""0.00000"",""Vendor Name"",""Network Solutions"",""Transaction Description"",""SALES"",""Transaction Date"",""1/1/2014"""</f>
        <v>"GP Direct","Fabrikam, Inc.","Jet GL Transactions","Account Index","119","Credit Amount","9500.00000","Document Number","SLS123003","Debit Amount","0.00000","Vendor Name","Network Solutions","Transaction Description","SALES","Transaction Date","1/1/2014"</v>
      </c>
      <c r="F205" s="4">
        <v>0</v>
      </c>
      <c r="G205" s="4">
        <v>9500</v>
      </c>
      <c r="J205" s="31">
        <f t="shared" si="34"/>
        <v>-9500</v>
      </c>
      <c r="K205" s="32" t="str">
        <f t="shared" si="35"/>
        <v>SALES</v>
      </c>
      <c r="L205" s="32" t="str">
        <f>"SLS123003"</f>
        <v>SLS123003</v>
      </c>
      <c r="M205" s="33">
        <v>41640</v>
      </c>
      <c r="N205" s="31"/>
      <c r="R205" s="2">
        <f t="shared" si="37"/>
        <v>10</v>
      </c>
    </row>
    <row r="206" spans="1:18" hidden="1" outlineLevel="1" x14ac:dyDescent="0.2">
      <c r="A206" s="30" t="s">
        <v>53</v>
      </c>
      <c r="C206" s="18"/>
      <c r="D206" s="4"/>
      <c r="E206" s="19" t="str">
        <f>"""GP Direct"",""Fabrikam, Inc."",""Jet GL Transactions"",""Account Index"",""119"",""Credit Amount"",""10000.00000"",""Document Number"",""SLS110005"",""Debit Amount"",""0.00000"",""Vendor Name"",""Holling Communications Inc."",""Transaction Description"",""SALES"",""Transaction Date"","&amp;"""1/1/2014"""</f>
        <v>"GP Direct","Fabrikam, Inc.","Jet GL Transactions","Account Index","119","Credit Amount","10000.00000","Document Number","SLS110005","Debit Amount","0.00000","Vendor Name","Holling Communications Inc.","Transaction Description","SALES","Transaction Date","1/1/2014"</v>
      </c>
      <c r="F206" s="4">
        <v>0</v>
      </c>
      <c r="G206" s="4">
        <v>10000</v>
      </c>
      <c r="J206" s="31">
        <f t="shared" si="34"/>
        <v>-10000</v>
      </c>
      <c r="K206" s="32" t="str">
        <f t="shared" si="35"/>
        <v>SALES</v>
      </c>
      <c r="L206" s="32" t="str">
        <f>"SLS110005"</f>
        <v>SLS110005</v>
      </c>
      <c r="M206" s="33">
        <v>41640</v>
      </c>
      <c r="N206" s="31"/>
      <c r="R206" s="2">
        <f t="shared" si="37"/>
        <v>11</v>
      </c>
    </row>
    <row r="207" spans="1:18" hidden="1" outlineLevel="1" x14ac:dyDescent="0.2">
      <c r="A207" s="30" t="s">
        <v>53</v>
      </c>
      <c r="C207" s="18"/>
      <c r="D207" s="4"/>
      <c r="E207" s="19" t="str">
        <f>"""GP Direct"",""Fabrikam, Inc."",""Jet GL Transactions"",""Account Index"",""119"",""Credit Amount"",""10500.00000"",""Document Number"",""SLS112012"",""Debit Amount"",""0.00000"",""Vendor Name"",""Octagon Marketing Org."",""Transaction Description"",""SALES"",""Transaction Date"",""1/1/"&amp;"2014"""</f>
        <v>"GP Direct","Fabrikam, Inc.","Jet GL Transactions","Account Index","119","Credit Amount","10500.00000","Document Number","SLS112012","Debit Amount","0.00000","Vendor Name","Octagon Marketing Org.","Transaction Description","SALES","Transaction Date","1/1/2014"</v>
      </c>
      <c r="F207" s="4">
        <v>0</v>
      </c>
      <c r="G207" s="4">
        <v>10500</v>
      </c>
      <c r="J207" s="31">
        <f t="shared" si="34"/>
        <v>-10500</v>
      </c>
      <c r="K207" s="32" t="str">
        <f t="shared" si="35"/>
        <v>SALES</v>
      </c>
      <c r="L207" s="32" t="str">
        <f>"SLS112012"</f>
        <v>SLS112012</v>
      </c>
      <c r="M207" s="33">
        <v>41640</v>
      </c>
      <c r="N207" s="31"/>
      <c r="R207" s="2">
        <f t="shared" si="37"/>
        <v>12</v>
      </c>
    </row>
    <row r="208" spans="1:18" hidden="1" outlineLevel="1" x14ac:dyDescent="0.2">
      <c r="A208" s="30" t="s">
        <v>53</v>
      </c>
      <c r="C208" s="18"/>
      <c r="D208" s="4"/>
      <c r="E208" s="19" t="str">
        <f>"""GP Direct"",""Fabrikam, Inc."",""Jet GL Transactions"",""Account Index"",""119"",""Credit Amount"",""10500.00000"",""Document Number"",""SLS15075"",""Debit Amount"",""0.00000"",""Vendor Name"",""Vista Travel"",""Transaction Description"",""SALES"",""Transaction Date"",""1/1/2014"""</f>
        <v>"GP Direct","Fabrikam, Inc.","Jet GL Transactions","Account Index","119","Credit Amount","10500.00000","Document Number","SLS15075","Debit Amount","0.00000","Vendor Name","Vista Travel","Transaction Description","SALES","Transaction Date","1/1/2014"</v>
      </c>
      <c r="F208" s="4">
        <v>0</v>
      </c>
      <c r="G208" s="4">
        <v>10500</v>
      </c>
      <c r="J208" s="31">
        <f t="shared" si="34"/>
        <v>-10500</v>
      </c>
      <c r="K208" s="32" t="str">
        <f t="shared" si="35"/>
        <v>SALES</v>
      </c>
      <c r="L208" s="32" t="str">
        <f>"SLS15075"</f>
        <v>SLS15075</v>
      </c>
      <c r="M208" s="33">
        <v>41640</v>
      </c>
      <c r="N208" s="31"/>
      <c r="R208" s="2">
        <f t="shared" si="37"/>
        <v>13</v>
      </c>
    </row>
    <row r="209" spans="1:18" hidden="1" outlineLevel="1" x14ac:dyDescent="0.2">
      <c r="A209" s="30" t="s">
        <v>53</v>
      </c>
      <c r="C209" s="18"/>
      <c r="D209" s="4"/>
      <c r="E209" s="19" t="str">
        <f>"""GP Direct"",""Fabrikam, Inc."",""Jet GL Transactions"",""Account Index"",""119"",""Credit Amount"",""12000.00000"",""Document Number"",""SLS121002"",""Debit Amount"",""0.00000"",""Vendor Name"",""Rainbow Research"",""Transaction Description"",""SALES"",""Transaction Date"",""1/1/2014"""</f>
        <v>"GP Direct","Fabrikam, Inc.","Jet GL Transactions","Account Index","119","Credit Amount","12000.00000","Document Number","SLS121002","Debit Amount","0.00000","Vendor Name","Rainbow Research","Transaction Description","SALES","Transaction Date","1/1/2014"</v>
      </c>
      <c r="F209" s="4">
        <v>0</v>
      </c>
      <c r="G209" s="4">
        <v>12000</v>
      </c>
      <c r="J209" s="31">
        <f t="shared" si="34"/>
        <v>-12000</v>
      </c>
      <c r="K209" s="32" t="str">
        <f t="shared" si="35"/>
        <v>SALES</v>
      </c>
      <c r="L209" s="32" t="str">
        <f>"SLS121002"</f>
        <v>SLS121002</v>
      </c>
      <c r="M209" s="33">
        <v>41640</v>
      </c>
      <c r="N209" s="31"/>
      <c r="R209" s="2">
        <f t="shared" si="37"/>
        <v>14</v>
      </c>
    </row>
    <row r="210" spans="1:18" hidden="1" outlineLevel="1" x14ac:dyDescent="0.2">
      <c r="A210" s="30" t="s">
        <v>53</v>
      </c>
      <c r="C210" s="18"/>
      <c r="D210" s="4"/>
      <c r="E210" s="19" t="str">
        <f>"""GP Direct"",""Fabrikam, Inc."",""Jet GL Transactions"",""Account Index"",""119"",""Credit Amount"",""15000.00000"",""Document Number"",""SLS11086"",""Debit Amount"",""0.00000"",""Vendor Name"",""Place One Suites"",""Transaction Description"",""SALES"",""Transaction Date"",""1/1/2014"""</f>
        <v>"GP Direct","Fabrikam, Inc.","Jet GL Transactions","Account Index","119","Credit Amount","15000.00000","Document Number","SLS11086","Debit Amount","0.00000","Vendor Name","Place One Suites","Transaction Description","SALES","Transaction Date","1/1/2014"</v>
      </c>
      <c r="F210" s="4">
        <v>0</v>
      </c>
      <c r="G210" s="4">
        <v>15000</v>
      </c>
      <c r="J210" s="31">
        <f t="shared" si="34"/>
        <v>-15000</v>
      </c>
      <c r="K210" s="32" t="str">
        <f t="shared" si="35"/>
        <v>SALES</v>
      </c>
      <c r="L210" s="32" t="str">
        <f>"SLS11086"</f>
        <v>SLS11086</v>
      </c>
      <c r="M210" s="33">
        <v>41640</v>
      </c>
      <c r="N210" s="31"/>
      <c r="R210" s="2">
        <f t="shared" si="37"/>
        <v>15</v>
      </c>
    </row>
    <row r="211" spans="1:18" hidden="1" outlineLevel="1" x14ac:dyDescent="0.2">
      <c r="A211" s="30" t="s">
        <v>53</v>
      </c>
      <c r="C211" s="18"/>
      <c r="D211" s="4"/>
      <c r="E211" s="19" t="str">
        <f>"""GP Direct"",""Fabrikam, Inc."",""Jet GL Transactions"",""Account Index"",""119"",""Credit Amount"",""15000.00000"",""Document Number"",""SLS16011"",""Debit Amount"",""0.00000"",""Vendor Name"",""Getaway Inn"",""Transaction Description"",""SALES"",""Transaction Date"",""1/1/2014"""</f>
        <v>"GP Direct","Fabrikam, Inc.","Jet GL Transactions","Account Index","119","Credit Amount","15000.00000","Document Number","SLS16011","Debit Amount","0.00000","Vendor Name","Getaway Inn","Transaction Description","SALES","Transaction Date","1/1/2014"</v>
      </c>
      <c r="F211" s="4">
        <v>0</v>
      </c>
      <c r="G211" s="4">
        <v>15000</v>
      </c>
      <c r="J211" s="31">
        <f t="shared" si="34"/>
        <v>-15000</v>
      </c>
      <c r="K211" s="32" t="str">
        <f t="shared" si="35"/>
        <v>SALES</v>
      </c>
      <c r="L211" s="32" t="str">
        <f>"SLS16011"</f>
        <v>SLS16011</v>
      </c>
      <c r="M211" s="33">
        <v>41640</v>
      </c>
      <c r="N211" s="31"/>
      <c r="R211" s="2">
        <f t="shared" si="37"/>
        <v>16</v>
      </c>
    </row>
    <row r="212" spans="1:18" hidden="1" outlineLevel="1" x14ac:dyDescent="0.2">
      <c r="A212" s="30" t="s">
        <v>53</v>
      </c>
      <c r="C212" s="18"/>
      <c r="D212" s="4"/>
      <c r="E212" s="19" t="str">
        <f>"""GP Direct"",""Fabrikam, Inc."",""Jet GL Transactions"",""Account Index"",""119"",""Credit Amount"",""16000.00000"",""Document Number"",""SLS17024"",""Debit Amount"",""0.00000"",""Vendor Name"",""Mutual of  Omaha"",""Transaction Description"",""SALES"",""Transaction Date"",""1/1/2014"""</f>
        <v>"GP Direct","Fabrikam, Inc.","Jet GL Transactions","Account Index","119","Credit Amount","16000.00000","Document Number","SLS17024","Debit Amount","0.00000","Vendor Name","Mutual of  Omaha","Transaction Description","SALES","Transaction Date","1/1/2014"</v>
      </c>
      <c r="F212" s="4">
        <v>0</v>
      </c>
      <c r="G212" s="4">
        <v>16000</v>
      </c>
      <c r="J212" s="31">
        <f t="shared" si="34"/>
        <v>-16000</v>
      </c>
      <c r="K212" s="32" t="str">
        <f t="shared" si="35"/>
        <v>SALES</v>
      </c>
      <c r="L212" s="32" t="str">
        <f>"SLS17024"</f>
        <v>SLS17024</v>
      </c>
      <c r="M212" s="33">
        <v>41640</v>
      </c>
      <c r="N212" s="31"/>
      <c r="R212" s="2">
        <f t="shared" si="37"/>
        <v>17</v>
      </c>
    </row>
    <row r="213" spans="1:18" hidden="1" outlineLevel="1" x14ac:dyDescent="0.2">
      <c r="A213" s="30" t="s">
        <v>53</v>
      </c>
      <c r="C213" s="18"/>
      <c r="D213" s="4"/>
      <c r="E213" s="19" t="str">
        <f>"""GP Direct"",""Fabrikam, Inc."",""Jet GL Transactions"",""Account Index"",""119"",""Credit Amount"",""16000.00000"",""Document Number"",""SLS17032"",""Debit Amount"",""0.00000"",""Vendor Name"",""Metropolitan Fiber Systems"",""Transaction Description"",""SALES"",""Transaction Date"",""1"&amp;"/1/2014"""</f>
        <v>"GP Direct","Fabrikam, Inc.","Jet GL Transactions","Account Index","119","Credit Amount","16000.00000","Document Number","SLS17032","Debit Amount","0.00000","Vendor Name","Metropolitan Fiber Systems","Transaction Description","SALES","Transaction Date","1/1/2014"</v>
      </c>
      <c r="F213" s="4">
        <v>0</v>
      </c>
      <c r="G213" s="4">
        <v>16000</v>
      </c>
      <c r="J213" s="31">
        <f t="shared" si="34"/>
        <v>-16000</v>
      </c>
      <c r="K213" s="32" t="str">
        <f t="shared" si="35"/>
        <v>SALES</v>
      </c>
      <c r="L213" s="32" t="str">
        <f>"SLS17032"</f>
        <v>SLS17032</v>
      </c>
      <c r="M213" s="33">
        <v>41640</v>
      </c>
      <c r="N213" s="31"/>
      <c r="R213" s="2">
        <f t="shared" si="37"/>
        <v>18</v>
      </c>
    </row>
    <row r="214" spans="1:18" hidden="1" x14ac:dyDescent="0.2">
      <c r="A214" s="29" t="s">
        <v>1386</v>
      </c>
      <c r="C214" s="18"/>
    </row>
    <row r="215" spans="1:18" ht="17.25" customHeight="1" collapsed="1" x14ac:dyDescent="0.2">
      <c r="A215" s="30" t="s">
        <v>53</v>
      </c>
      <c r="C215" s="14" t="str">
        <f>"000-4121-00"</f>
        <v>000-4121-00</v>
      </c>
      <c r="D215" s="2">
        <v>120</v>
      </c>
      <c r="E215" s="2"/>
      <c r="F215" s="2" t="s">
        <v>10</v>
      </c>
      <c r="G215" s="2" t="s">
        <v>8</v>
      </c>
      <c r="H215" s="13" t="str">
        <f>"  "&amp;C215</f>
        <v xml:space="preserve">  000-4121-00</v>
      </c>
      <c r="I215" s="15" t="str">
        <f>"Canadian Sales - Service Plans"</f>
        <v>Canadian Sales - Service Plans</v>
      </c>
      <c r="J215" s="16">
        <f>SUM(J216:J217)</f>
        <v>0</v>
      </c>
      <c r="K215" s="13"/>
      <c r="L215" s="13"/>
      <c r="M215" s="13"/>
      <c r="N215" s="17">
        <v>0</v>
      </c>
      <c r="O215" s="16">
        <f>J215-N215</f>
        <v>0</v>
      </c>
    </row>
    <row r="216" spans="1:18" hidden="1" outlineLevel="1" x14ac:dyDescent="0.2">
      <c r="A216" s="30" t="s">
        <v>53</v>
      </c>
      <c r="C216" s="18"/>
      <c r="D216" s="4"/>
      <c r="E216" s="19" t="str">
        <f>""</f>
        <v/>
      </c>
      <c r="F216" s="4" t="str">
        <f>""</f>
        <v/>
      </c>
      <c r="G216" s="4" t="str">
        <f>""</f>
        <v/>
      </c>
      <c r="J216" s="31" t="str">
        <f>IF(AND(F216="",G216=""),"",$F216-$G216)</f>
        <v/>
      </c>
      <c r="K216" s="32" t="str">
        <f>""</f>
        <v/>
      </c>
      <c r="L216" s="32" t="str">
        <f>""</f>
        <v/>
      </c>
      <c r="M216" s="33" t="str">
        <f>""</f>
        <v/>
      </c>
      <c r="N216" s="31"/>
      <c r="R216" s="2">
        <f t="shared" ref="R216" si="38">R215+1</f>
        <v>1</v>
      </c>
    </row>
    <row r="217" spans="1:18" hidden="1" x14ac:dyDescent="0.2">
      <c r="A217" s="29" t="s">
        <v>1386</v>
      </c>
      <c r="C217" s="18"/>
    </row>
    <row r="218" spans="1:18" ht="17.25" customHeight="1" collapsed="1" x14ac:dyDescent="0.2">
      <c r="A218" s="30" t="s">
        <v>53</v>
      </c>
      <c r="C218" s="14" t="str">
        <f>"000-4122-00"</f>
        <v>000-4122-00</v>
      </c>
      <c r="D218" s="2">
        <v>121</v>
      </c>
      <c r="E218" s="2"/>
      <c r="F218" s="2" t="s">
        <v>10</v>
      </c>
      <c r="G218" s="2" t="s">
        <v>8</v>
      </c>
      <c r="H218" s="13" t="str">
        <f>"  "&amp;C218</f>
        <v xml:space="preserve">  000-4122-00</v>
      </c>
      <c r="I218" s="15" t="str">
        <f>"AustralAsian Sales - Service Plans"</f>
        <v>AustralAsian Sales - Service Plans</v>
      </c>
      <c r="J218" s="16">
        <f>SUM(J219:J220)</f>
        <v>-12500</v>
      </c>
      <c r="K218" s="13"/>
      <c r="L218" s="13"/>
      <c r="M218" s="13"/>
      <c r="N218" s="17">
        <v>-37500</v>
      </c>
      <c r="O218" s="16">
        <f>J218-N218</f>
        <v>25000</v>
      </c>
    </row>
    <row r="219" spans="1:18" hidden="1" outlineLevel="1" x14ac:dyDescent="0.2">
      <c r="A219" s="30" t="s">
        <v>53</v>
      </c>
      <c r="C219" s="18"/>
      <c r="D219" s="4"/>
      <c r="E219" s="19" t="str">
        <f>"""GP Direct"",""Fabrikam, Inc."",""Jet GL Transactions"",""Account Index"",""121"",""Credit Amount"",""12500.00000"",""Document Number"",""SLS13090"",""Debit Amount"",""0.00000"",""Vendor Name"",""St. Patrick's Hospital"",""Transaction Description"",""SALES"",""Transaction Date"",""1/1/2"&amp;"014"""</f>
        <v>"GP Direct","Fabrikam, Inc.","Jet GL Transactions","Account Index","121","Credit Amount","12500.00000","Document Number","SLS13090","Debit Amount","0.00000","Vendor Name","St. Patrick's Hospital","Transaction Description","SALES","Transaction Date","1/1/2014"</v>
      </c>
      <c r="F219" s="4">
        <v>0</v>
      </c>
      <c r="G219" s="4">
        <v>12500</v>
      </c>
      <c r="J219" s="31">
        <f>IF(AND(F219="",G219=""),"",$F219-$G219)</f>
        <v>-12500</v>
      </c>
      <c r="K219" s="32" t="str">
        <f>"SALES"</f>
        <v>SALES</v>
      </c>
      <c r="L219" s="32" t="str">
        <f>"SLS13090"</f>
        <v>SLS13090</v>
      </c>
      <c r="M219" s="33">
        <v>41640</v>
      </c>
      <c r="N219" s="31"/>
      <c r="R219" s="2">
        <f t="shared" ref="R219" si="39">R218+1</f>
        <v>1</v>
      </c>
    </row>
    <row r="220" spans="1:18" hidden="1" x14ac:dyDescent="0.2">
      <c r="A220" s="29" t="s">
        <v>1386</v>
      </c>
      <c r="C220" s="18"/>
    </row>
    <row r="221" spans="1:18" ht="17.25" customHeight="1" collapsed="1" x14ac:dyDescent="0.2">
      <c r="A221" s="30" t="s">
        <v>53</v>
      </c>
      <c r="C221" s="14" t="str">
        <f>"000-4124-00"</f>
        <v>000-4124-00</v>
      </c>
      <c r="D221" s="2">
        <v>377</v>
      </c>
      <c r="E221" s="2"/>
      <c r="F221" s="2" t="s">
        <v>10</v>
      </c>
      <c r="G221" s="2" t="s">
        <v>8</v>
      </c>
      <c r="H221" s="13" t="str">
        <f>"  "&amp;C221</f>
        <v xml:space="preserve">  000-4124-00</v>
      </c>
      <c r="I221" s="15" t="str">
        <f>"Germany Sales - Service Plans"</f>
        <v>Germany Sales - Service Plans</v>
      </c>
      <c r="J221" s="16">
        <f>SUM(J222:J223)</f>
        <v>0</v>
      </c>
      <c r="K221" s="13"/>
      <c r="L221" s="13"/>
      <c r="M221" s="13"/>
      <c r="N221" s="17">
        <v>0</v>
      </c>
      <c r="O221" s="16">
        <f>J221-N221</f>
        <v>0</v>
      </c>
    </row>
    <row r="222" spans="1:18" hidden="1" outlineLevel="1" x14ac:dyDescent="0.2">
      <c r="A222" s="30" t="s">
        <v>53</v>
      </c>
      <c r="C222" s="18"/>
      <c r="D222" s="4"/>
      <c r="E222" s="19" t="str">
        <f>""</f>
        <v/>
      </c>
      <c r="F222" s="4" t="str">
        <f>""</f>
        <v/>
      </c>
      <c r="G222" s="4" t="str">
        <f>""</f>
        <v/>
      </c>
      <c r="J222" s="31" t="str">
        <f>IF(AND(F222="",G222=""),"",$F222-$G222)</f>
        <v/>
      </c>
      <c r="K222" s="32" t="str">
        <f>""</f>
        <v/>
      </c>
      <c r="L222" s="32" t="str">
        <f>""</f>
        <v/>
      </c>
      <c r="M222" s="33" t="str">
        <f>""</f>
        <v/>
      </c>
      <c r="N222" s="31"/>
      <c r="R222" s="2">
        <f t="shared" ref="R222" si="40">R221+1</f>
        <v>1</v>
      </c>
    </row>
    <row r="223" spans="1:18" hidden="1" x14ac:dyDescent="0.2">
      <c r="A223" s="29" t="s">
        <v>1386</v>
      </c>
      <c r="C223" s="18"/>
    </row>
    <row r="224" spans="1:18" ht="17.25" customHeight="1" collapsed="1" x14ac:dyDescent="0.2">
      <c r="A224" s="30" t="s">
        <v>53</v>
      </c>
      <c r="C224" s="14" t="str">
        <f>"000-4125-00"</f>
        <v>000-4125-00</v>
      </c>
      <c r="D224" s="2">
        <v>378</v>
      </c>
      <c r="E224" s="2"/>
      <c r="F224" s="2" t="s">
        <v>10</v>
      </c>
      <c r="G224" s="2" t="s">
        <v>8</v>
      </c>
      <c r="H224" s="13" t="str">
        <f>"  "&amp;C224</f>
        <v xml:space="preserve">  000-4125-00</v>
      </c>
      <c r="I224" s="15" t="str">
        <f>"United Kingdom Sales - Service Plans"</f>
        <v>United Kingdom Sales - Service Plans</v>
      </c>
      <c r="J224" s="16">
        <f>SUM(J225:J226)</f>
        <v>0</v>
      </c>
      <c r="K224" s="13"/>
      <c r="L224" s="13"/>
      <c r="M224" s="13"/>
      <c r="N224" s="17">
        <v>0</v>
      </c>
      <c r="O224" s="16">
        <f>J224-N224</f>
        <v>0</v>
      </c>
    </row>
    <row r="225" spans="1:18" hidden="1" outlineLevel="1" x14ac:dyDescent="0.2">
      <c r="A225" s="30" t="s">
        <v>53</v>
      </c>
      <c r="C225" s="18"/>
      <c r="D225" s="4"/>
      <c r="E225" s="19" t="str">
        <f>""</f>
        <v/>
      </c>
      <c r="F225" s="4" t="str">
        <f>""</f>
        <v/>
      </c>
      <c r="G225" s="4" t="str">
        <f>""</f>
        <v/>
      </c>
      <c r="J225" s="31" t="str">
        <f>IF(AND(F225="",G225=""),"",$F225-$G225)</f>
        <v/>
      </c>
      <c r="K225" s="32" t="str">
        <f>""</f>
        <v/>
      </c>
      <c r="L225" s="32" t="str">
        <f>""</f>
        <v/>
      </c>
      <c r="M225" s="33" t="str">
        <f>""</f>
        <v/>
      </c>
      <c r="N225" s="31"/>
      <c r="R225" s="2">
        <f t="shared" ref="R225" si="41">R224+1</f>
        <v>1</v>
      </c>
    </row>
    <row r="226" spans="1:18" hidden="1" x14ac:dyDescent="0.2">
      <c r="A226" s="29" t="s">
        <v>1386</v>
      </c>
      <c r="C226" s="18"/>
    </row>
    <row r="227" spans="1:18" ht="17.25" customHeight="1" collapsed="1" x14ac:dyDescent="0.2">
      <c r="A227" s="30" t="s">
        <v>53</v>
      </c>
      <c r="C227" s="14" t="str">
        <f>"000-4126-00"</f>
        <v>000-4126-00</v>
      </c>
      <c r="D227" s="2">
        <v>379</v>
      </c>
      <c r="E227" s="2"/>
      <c r="F227" s="2" t="s">
        <v>10</v>
      </c>
      <c r="G227" s="2" t="s">
        <v>8</v>
      </c>
      <c r="H227" s="13" t="str">
        <f>"  "&amp;C227</f>
        <v xml:space="preserve">  000-4126-00</v>
      </c>
      <c r="I227" s="15" t="str">
        <f>"South Africa Sales - Service Plans"</f>
        <v>South Africa Sales - Service Plans</v>
      </c>
      <c r="J227" s="16">
        <f>SUM(J228:J229)</f>
        <v>0</v>
      </c>
      <c r="K227" s="13"/>
      <c r="L227" s="13"/>
      <c r="M227" s="13"/>
      <c r="N227" s="17">
        <v>0</v>
      </c>
      <c r="O227" s="16">
        <f>J227-N227</f>
        <v>0</v>
      </c>
    </row>
    <row r="228" spans="1:18" hidden="1" outlineLevel="1" x14ac:dyDescent="0.2">
      <c r="A228" s="30" t="s">
        <v>53</v>
      </c>
      <c r="C228" s="18"/>
      <c r="D228" s="4"/>
      <c r="E228" s="19" t="str">
        <f>""</f>
        <v/>
      </c>
      <c r="F228" s="4" t="str">
        <f>""</f>
        <v/>
      </c>
      <c r="G228" s="4" t="str">
        <f>""</f>
        <v/>
      </c>
      <c r="J228" s="31" t="str">
        <f>IF(AND(F228="",G228=""),"",$F228-$G228)</f>
        <v/>
      </c>
      <c r="K228" s="32" t="str">
        <f>""</f>
        <v/>
      </c>
      <c r="L228" s="32" t="str">
        <f>""</f>
        <v/>
      </c>
      <c r="M228" s="33" t="str">
        <f>""</f>
        <v/>
      </c>
      <c r="N228" s="31"/>
      <c r="R228" s="2">
        <f t="shared" ref="R228" si="42">R227+1</f>
        <v>1</v>
      </c>
    </row>
    <row r="229" spans="1:18" hidden="1" x14ac:dyDescent="0.2">
      <c r="A229" s="29" t="s">
        <v>1386</v>
      </c>
      <c r="C229" s="18"/>
    </row>
    <row r="230" spans="1:18" ht="17.25" customHeight="1" collapsed="1" x14ac:dyDescent="0.2">
      <c r="A230" s="30" t="s">
        <v>53</v>
      </c>
      <c r="C230" s="14" t="str">
        <f>"000-4127-00"</f>
        <v>000-4127-00</v>
      </c>
      <c r="D230" s="2">
        <v>380</v>
      </c>
      <c r="E230" s="2"/>
      <c r="F230" s="2" t="s">
        <v>10</v>
      </c>
      <c r="G230" s="2" t="s">
        <v>8</v>
      </c>
      <c r="H230" s="13" t="str">
        <f>"  "&amp;C230</f>
        <v xml:space="preserve">  000-4127-00</v>
      </c>
      <c r="I230" s="15" t="str">
        <f>"Singapore Sales - Service Plans"</f>
        <v>Singapore Sales - Service Plans</v>
      </c>
      <c r="J230" s="16">
        <f>SUM(J231:J232)</f>
        <v>0</v>
      </c>
      <c r="K230" s="13"/>
      <c r="L230" s="13"/>
      <c r="M230" s="13"/>
      <c r="N230" s="17">
        <v>0</v>
      </c>
      <c r="O230" s="16">
        <f>J230-N230</f>
        <v>0</v>
      </c>
    </row>
    <row r="231" spans="1:18" hidden="1" outlineLevel="1" x14ac:dyDescent="0.2">
      <c r="A231" s="30" t="s">
        <v>53</v>
      </c>
      <c r="C231" s="18"/>
      <c r="D231" s="4"/>
      <c r="E231" s="19" t="str">
        <f>""</f>
        <v/>
      </c>
      <c r="F231" s="4" t="str">
        <f>""</f>
        <v/>
      </c>
      <c r="G231" s="4" t="str">
        <f>""</f>
        <v/>
      </c>
      <c r="J231" s="31" t="str">
        <f>IF(AND(F231="",G231=""),"",$F231-$G231)</f>
        <v/>
      </c>
      <c r="K231" s="32" t="str">
        <f>""</f>
        <v/>
      </c>
      <c r="L231" s="32" t="str">
        <f>""</f>
        <v/>
      </c>
      <c r="M231" s="33" t="str">
        <f>""</f>
        <v/>
      </c>
      <c r="N231" s="31"/>
      <c r="R231" s="2">
        <f t="shared" ref="R231" si="43">R230+1</f>
        <v>1</v>
      </c>
    </row>
    <row r="232" spans="1:18" hidden="1" x14ac:dyDescent="0.2">
      <c r="A232" s="29" t="s">
        <v>1386</v>
      </c>
      <c r="C232" s="18"/>
    </row>
    <row r="233" spans="1:18" ht="17.25" customHeight="1" collapsed="1" x14ac:dyDescent="0.2">
      <c r="A233" s="30" t="s">
        <v>53</v>
      </c>
      <c r="C233" s="14" t="str">
        <f>"000-4130-00"</f>
        <v>000-4130-00</v>
      </c>
      <c r="D233" s="2">
        <v>122</v>
      </c>
      <c r="E233" s="2"/>
      <c r="F233" s="2" t="s">
        <v>10</v>
      </c>
      <c r="G233" s="2" t="s">
        <v>8</v>
      </c>
      <c r="H233" s="13" t="str">
        <f>"  "&amp;C233</f>
        <v xml:space="preserve">  000-4130-00</v>
      </c>
      <c r="I233" s="15" t="str">
        <f>"US Sales - Installation Charges"</f>
        <v>US Sales - Installation Charges</v>
      </c>
      <c r="J233" s="16">
        <f>SUM(J234:J267)</f>
        <v>-211747.78</v>
      </c>
      <c r="K233" s="13"/>
      <c r="L233" s="13"/>
      <c r="M233" s="13"/>
      <c r="N233" s="17">
        <v>-660000</v>
      </c>
      <c r="O233" s="16">
        <f>J233-N233</f>
        <v>448252.22</v>
      </c>
    </row>
    <row r="234" spans="1:18" hidden="1" outlineLevel="1" x14ac:dyDescent="0.2">
      <c r="A234" s="30" t="s">
        <v>53</v>
      </c>
      <c r="C234" s="18"/>
      <c r="D234" s="4"/>
      <c r="E234" s="19" t="str">
        <f>"""GP Direct"",""Fabrikam, Inc."",""Jet GL Transactions"",""Account Index"",""122"",""Credit Amount"",""0.00000"",""Document Number"",""CM112052"",""Debit Amount"",""750.00000"",""Vendor Name"",""Northstar Mall"",""Transaction Description"",""CRMEMO"",""Transaction Date"",""1/1/2014"""</f>
        <v>"GP Direct","Fabrikam, Inc.","Jet GL Transactions","Account Index","122","Credit Amount","0.00000","Document Number","CM112052","Debit Amount","750.00000","Vendor Name","Northstar Mall","Transaction Description","CRMEMO","Transaction Date","1/1/2014"</v>
      </c>
      <c r="F234" s="4">
        <v>750</v>
      </c>
      <c r="G234" s="4">
        <v>0</v>
      </c>
      <c r="J234" s="31">
        <f t="shared" ref="J234:J266" si="44">IF(AND(F234="",G234=""),"",$F234-$G234)</f>
        <v>750</v>
      </c>
      <c r="K234" s="32" t="str">
        <f>"CRMEMO"</f>
        <v>CRMEMO</v>
      </c>
      <c r="L234" s="32" t="str">
        <f>"CM112052"</f>
        <v>CM112052</v>
      </c>
      <c r="M234" s="33">
        <v>41640</v>
      </c>
      <c r="N234" s="31"/>
      <c r="R234" s="2">
        <f t="shared" ref="R234" si="45">R233+1</f>
        <v>1</v>
      </c>
    </row>
    <row r="235" spans="1:18" hidden="1" outlineLevel="1" x14ac:dyDescent="0.2">
      <c r="A235" s="30" t="s">
        <v>53</v>
      </c>
      <c r="C235" s="18"/>
      <c r="D235" s="4"/>
      <c r="E235" s="19" t="str">
        <f>"""GP Direct"",""Fabrikam, Inc."",""Jet GL Transactions"",""Account Index"",""122"",""Credit Amount"",""833.33000"",""Document Number"",""SLS11015"",""Debit Amount"",""0.00000"",""Vendor Name"",""Aaron Fitz Electrical"",""Transaction Description"",""SALES"",""Transaction Date"",""1/1/2014"&amp;""""</f>
        <v>"GP Direct","Fabrikam, Inc.","Jet GL Transactions","Account Index","122","Credit Amount","833.33000","Document Number","SLS11015","Debit Amount","0.00000","Vendor Name","Aaron Fitz Electrical","Transaction Description","SALES","Transaction Date","1/1/2014"</v>
      </c>
      <c r="F235" s="4">
        <v>0</v>
      </c>
      <c r="G235" s="4">
        <v>833.33</v>
      </c>
      <c r="J235" s="31">
        <f t="shared" si="44"/>
        <v>-833.33</v>
      </c>
      <c r="K235" s="32" t="str">
        <f t="shared" ref="K235:K266" si="46">"SALES"</f>
        <v>SALES</v>
      </c>
      <c r="L235" s="32" t="str">
        <f>"SLS11015"</f>
        <v>SLS11015</v>
      </c>
      <c r="M235" s="33">
        <v>41640</v>
      </c>
      <c r="N235" s="31"/>
      <c r="R235" s="2">
        <f t="shared" ref="R235:R266" si="47">R234+1</f>
        <v>2</v>
      </c>
    </row>
    <row r="236" spans="1:18" hidden="1" outlineLevel="1" x14ac:dyDescent="0.2">
      <c r="A236" s="30" t="s">
        <v>53</v>
      </c>
      <c r="C236" s="18"/>
      <c r="D236" s="4"/>
      <c r="E236" s="19" t="str">
        <f>"""GP Direct"",""Fabrikam, Inc."",""Jet GL Transactions"",""Account Index"",""122"",""Credit Amount"",""1389.74000"",""Document Number"",""SLS110004"",""Debit Amount"",""0.00000"",""Vendor Name"",""Holling Communications Inc."",""Transaction Description"",""SALES"",""Transaction Date"","""&amp;"1/1/2014"""</f>
        <v>"GP Direct","Fabrikam, Inc.","Jet GL Transactions","Account Index","122","Credit Amount","1389.74000","Document Number","SLS110004","Debit Amount","0.00000","Vendor Name","Holling Communications Inc.","Transaction Description","SALES","Transaction Date","1/1/2014"</v>
      </c>
      <c r="F236" s="4">
        <v>0</v>
      </c>
      <c r="G236" s="4">
        <v>1389.74</v>
      </c>
      <c r="J236" s="31">
        <f t="shared" si="44"/>
        <v>-1389.74</v>
      </c>
      <c r="K236" s="32" t="str">
        <f t="shared" si="46"/>
        <v>SALES</v>
      </c>
      <c r="L236" s="32" t="str">
        <f>"SLS110004"</f>
        <v>SLS110004</v>
      </c>
      <c r="M236" s="33">
        <v>41640</v>
      </c>
      <c r="N236" s="31"/>
      <c r="R236" s="2">
        <f t="shared" si="47"/>
        <v>3</v>
      </c>
    </row>
    <row r="237" spans="1:18" hidden="1" outlineLevel="1" x14ac:dyDescent="0.2">
      <c r="A237" s="30" t="s">
        <v>53</v>
      </c>
      <c r="C237" s="18"/>
      <c r="D237" s="4"/>
      <c r="E237" s="19" t="str">
        <f>"""GP Direct"",""Fabrikam, Inc."",""Jet GL Transactions"",""Account Index"",""122"",""Credit Amount"",""1956.87000"",""Document Number"",""SLS14063"",""Debit Amount"",""0.00000"",""Vendor Name"",""Novia Scotia Tech. Institute"",""Transaction Description"",""SALES"",""Transaction Date"","""&amp;"1/1/2014"""</f>
        <v>"GP Direct","Fabrikam, Inc.","Jet GL Transactions","Account Index","122","Credit Amount","1956.87000","Document Number","SLS14063","Debit Amount","0.00000","Vendor Name","Novia Scotia Tech. Institute","Transaction Description","SALES","Transaction Date","1/1/2014"</v>
      </c>
      <c r="F237" s="4">
        <v>0</v>
      </c>
      <c r="G237" s="4">
        <v>1956.87</v>
      </c>
      <c r="J237" s="31">
        <f t="shared" si="44"/>
        <v>-1956.87</v>
      </c>
      <c r="K237" s="32" t="str">
        <f t="shared" si="46"/>
        <v>SALES</v>
      </c>
      <c r="L237" s="32" t="str">
        <f>"SLS14063"</f>
        <v>SLS14063</v>
      </c>
      <c r="M237" s="33">
        <v>41640</v>
      </c>
      <c r="N237" s="31"/>
      <c r="R237" s="2">
        <f t="shared" si="47"/>
        <v>4</v>
      </c>
    </row>
    <row r="238" spans="1:18" hidden="1" outlineLevel="1" x14ac:dyDescent="0.2">
      <c r="A238" s="30" t="s">
        <v>53</v>
      </c>
      <c r="C238" s="18"/>
      <c r="D238" s="4"/>
      <c r="E238" s="19" t="str">
        <f>"""GP Direct"",""Fabrikam, Inc."",""Jet GL Transactions"",""Account Index"",""122"",""Credit Amount"",""2564.88000"",""Document Number"",""SLS12062"",""Debit Amount"",""0.00000"",""Vendor Name"",""LeClerc &amp; Associates"",""Transaction Description"",""SALES"",""Transaction Date"",""1/1/2014"&amp;""""</f>
        <v>"GP Direct","Fabrikam, Inc.","Jet GL Transactions","Account Index","122","Credit Amount","2564.88000","Document Number","SLS12062","Debit Amount","0.00000","Vendor Name","LeClerc &amp; Associates","Transaction Description","SALES","Transaction Date","1/1/2014"</v>
      </c>
      <c r="F238" s="4">
        <v>0</v>
      </c>
      <c r="G238" s="4">
        <v>2564.88</v>
      </c>
      <c r="J238" s="31">
        <f t="shared" si="44"/>
        <v>-2564.88</v>
      </c>
      <c r="K238" s="32" t="str">
        <f t="shared" si="46"/>
        <v>SALES</v>
      </c>
      <c r="L238" s="32" t="str">
        <f>"SLS12062"</f>
        <v>SLS12062</v>
      </c>
      <c r="M238" s="33">
        <v>41640</v>
      </c>
      <c r="N238" s="31"/>
      <c r="R238" s="2">
        <f t="shared" si="47"/>
        <v>5</v>
      </c>
    </row>
    <row r="239" spans="1:18" hidden="1" outlineLevel="1" x14ac:dyDescent="0.2">
      <c r="A239" s="30" t="s">
        <v>53</v>
      </c>
      <c r="C239" s="18"/>
      <c r="D239" s="4"/>
      <c r="E239" s="19" t="str">
        <f>"""GP Direct"",""Fabrikam, Inc."",""Jet GL Transactions"",""Account Index"",""122"",""Credit Amount"",""2892.25000"",""Document Number"",""SLS13062"",""Debit Amount"",""0.00000"",""Vendor Name"",""Northern Family Hospital"",""Transaction Description"",""SALES"",""Transaction Date"",""1/1/"&amp;"2014"""</f>
        <v>"GP Direct","Fabrikam, Inc.","Jet GL Transactions","Account Index","122","Credit Amount","2892.25000","Document Number","SLS13062","Debit Amount","0.00000","Vendor Name","Northern Family Hospital","Transaction Description","SALES","Transaction Date","1/1/2014"</v>
      </c>
      <c r="F239" s="4">
        <v>0</v>
      </c>
      <c r="G239" s="4">
        <v>2892.25</v>
      </c>
      <c r="J239" s="31">
        <f t="shared" si="44"/>
        <v>-2892.25</v>
      </c>
      <c r="K239" s="32" t="str">
        <f t="shared" si="46"/>
        <v>SALES</v>
      </c>
      <c r="L239" s="32" t="str">
        <f>"SLS13062"</f>
        <v>SLS13062</v>
      </c>
      <c r="M239" s="33">
        <v>41640</v>
      </c>
      <c r="N239" s="31"/>
      <c r="R239" s="2">
        <f t="shared" si="47"/>
        <v>6</v>
      </c>
    </row>
    <row r="240" spans="1:18" hidden="1" outlineLevel="1" x14ac:dyDescent="0.2">
      <c r="A240" s="30" t="s">
        <v>53</v>
      </c>
      <c r="C240" s="18"/>
      <c r="D240" s="4"/>
      <c r="E240" s="19" t="str">
        <f>"""GP Direct"",""Fabrikam, Inc."",""Jet GL Transactions"",""Account Index"",""122"",""Credit Amount"",""3000.00000"",""Document Number"",""SLS12031"",""Debit Amount"",""0.00000"",""Vendor Name"",""Kensington Gardens Resort"",""Transaction Description"",""SALES"",""Transaction Date"",""1/1"&amp;"/2014"""</f>
        <v>"GP Direct","Fabrikam, Inc.","Jet GL Transactions","Account Index","122","Credit Amount","3000.00000","Document Number","SLS12031","Debit Amount","0.00000","Vendor Name","Kensington Gardens Resort","Transaction Description","SALES","Transaction Date","1/1/2014"</v>
      </c>
      <c r="F240" s="4">
        <v>0</v>
      </c>
      <c r="G240" s="4">
        <v>3000</v>
      </c>
      <c r="J240" s="31">
        <f t="shared" si="44"/>
        <v>-3000</v>
      </c>
      <c r="K240" s="32" t="str">
        <f t="shared" si="46"/>
        <v>SALES</v>
      </c>
      <c r="L240" s="32" t="str">
        <f>"SLS12031"</f>
        <v>SLS12031</v>
      </c>
      <c r="M240" s="33">
        <v>41640</v>
      </c>
      <c r="N240" s="31"/>
      <c r="R240" s="2">
        <f t="shared" si="47"/>
        <v>7</v>
      </c>
    </row>
    <row r="241" spans="1:18" hidden="1" outlineLevel="1" x14ac:dyDescent="0.2">
      <c r="A241" s="30" t="s">
        <v>53</v>
      </c>
      <c r="C241" s="18"/>
      <c r="D241" s="4"/>
      <c r="E241" s="19" t="str">
        <f>"""GP Direct"",""Fabrikam, Inc."",""Jet GL Transactions"",""Account Index"",""122"",""Credit Amount"",""3250.25000"",""Document Number"",""SLS123002"",""Debit Amount"",""0.00000"",""Vendor Name"",""Network Solutions"",""Transaction Description"",""SALES"",""Transaction Date"",""1/1/2014"""</f>
        <v>"GP Direct","Fabrikam, Inc.","Jet GL Transactions","Account Index","122","Credit Amount","3250.25000","Document Number","SLS123002","Debit Amount","0.00000","Vendor Name","Network Solutions","Transaction Description","SALES","Transaction Date","1/1/2014"</v>
      </c>
      <c r="F241" s="4">
        <v>0</v>
      </c>
      <c r="G241" s="4">
        <v>3250.25</v>
      </c>
      <c r="J241" s="31">
        <f t="shared" si="44"/>
        <v>-3250.25</v>
      </c>
      <c r="K241" s="32" t="str">
        <f t="shared" si="46"/>
        <v>SALES</v>
      </c>
      <c r="L241" s="32" t="str">
        <f>"SLS123002"</f>
        <v>SLS123002</v>
      </c>
      <c r="M241" s="33">
        <v>41640</v>
      </c>
      <c r="N241" s="31"/>
      <c r="R241" s="2">
        <f t="shared" si="47"/>
        <v>8</v>
      </c>
    </row>
    <row r="242" spans="1:18" hidden="1" outlineLevel="1" x14ac:dyDescent="0.2">
      <c r="A242" s="30" t="s">
        <v>53</v>
      </c>
      <c r="C242" s="18"/>
      <c r="D242" s="4"/>
      <c r="E242" s="19" t="str">
        <f>"""GP Direct"",""Fabrikam, Inc."",""Jet GL Transactions"",""Account Index"",""122"",""Credit Amount"",""3276.46000"",""Document Number"",""SLS125001"",""Debit Amount"",""0.00000"",""Vendor Name"",""Red's Food Market"",""Transaction Description"",""SALES"",""Transaction Date"",""1/1/2014"""</f>
        <v>"GP Direct","Fabrikam, Inc.","Jet GL Transactions","Account Index","122","Credit Amount","3276.46000","Document Number","SLS125001","Debit Amount","0.00000","Vendor Name","Red's Food Market","Transaction Description","SALES","Transaction Date","1/1/2014"</v>
      </c>
      <c r="F242" s="4">
        <v>0</v>
      </c>
      <c r="G242" s="4">
        <v>3276.46</v>
      </c>
      <c r="J242" s="31">
        <f t="shared" si="44"/>
        <v>-3276.46</v>
      </c>
      <c r="K242" s="32" t="str">
        <f t="shared" si="46"/>
        <v>SALES</v>
      </c>
      <c r="L242" s="32" t="str">
        <f>"SLS125001"</f>
        <v>SLS125001</v>
      </c>
      <c r="M242" s="33">
        <v>41640</v>
      </c>
      <c r="N242" s="31"/>
      <c r="R242" s="2">
        <f t="shared" si="47"/>
        <v>9</v>
      </c>
    </row>
    <row r="243" spans="1:18" hidden="1" outlineLevel="1" x14ac:dyDescent="0.2">
      <c r="A243" s="30" t="s">
        <v>53</v>
      </c>
      <c r="C243" s="18"/>
      <c r="D243" s="4"/>
      <c r="E243" s="19" t="str">
        <f>"""GP Direct"",""Fabrikam, Inc."",""Jet GL Transactions"",""Account Index"",""122"",""Credit Amount"",""3687.45000"",""Document Number"",""SLS19001"",""Debit Amount"",""0.00000"",""Vendor Name"",""Greenway Foods"",""Transaction Description"",""SALES"",""Transaction Date"",""1/1/2014"""</f>
        <v>"GP Direct","Fabrikam, Inc.","Jet GL Transactions","Account Index","122","Credit Amount","3687.45000","Document Number","SLS19001","Debit Amount","0.00000","Vendor Name","Greenway Foods","Transaction Description","SALES","Transaction Date","1/1/2014"</v>
      </c>
      <c r="F243" s="4">
        <v>0</v>
      </c>
      <c r="G243" s="4">
        <v>3687.45</v>
      </c>
      <c r="J243" s="31">
        <f t="shared" si="44"/>
        <v>-3687.45</v>
      </c>
      <c r="K243" s="32" t="str">
        <f t="shared" si="46"/>
        <v>SALES</v>
      </c>
      <c r="L243" s="32" t="str">
        <f>"SLS19001"</f>
        <v>SLS19001</v>
      </c>
      <c r="M243" s="33">
        <v>41640</v>
      </c>
      <c r="N243" s="31"/>
      <c r="R243" s="2">
        <f t="shared" si="47"/>
        <v>10</v>
      </c>
    </row>
    <row r="244" spans="1:18" hidden="1" outlineLevel="1" x14ac:dyDescent="0.2">
      <c r="A244" s="30" t="s">
        <v>53</v>
      </c>
      <c r="C244" s="18"/>
      <c r="D244" s="4"/>
      <c r="E244" s="19" t="str">
        <f>"""GP Direct"",""Fabrikam, Inc."",""Jet GL Transactions"",""Account Index"",""122"",""Credit Amount"",""3971.48000"",""Document Number"",""SLS17014"",""Debit Amount"",""0.00000"",""Vendor Name"",""Midland Construction"",""Transaction Description"",""SALES"",""Transaction Date"",""1/1/2014"&amp;""""</f>
        <v>"GP Direct","Fabrikam, Inc.","Jet GL Transactions","Account Index","122","Credit Amount","3971.48000","Document Number","SLS17014","Debit Amount","0.00000","Vendor Name","Midland Construction","Transaction Description","SALES","Transaction Date","1/1/2014"</v>
      </c>
      <c r="F244" s="4">
        <v>0</v>
      </c>
      <c r="G244" s="4">
        <v>3971.48</v>
      </c>
      <c r="J244" s="31">
        <f t="shared" si="44"/>
        <v>-3971.48</v>
      </c>
      <c r="K244" s="32" t="str">
        <f t="shared" si="46"/>
        <v>SALES</v>
      </c>
      <c r="L244" s="32" t="str">
        <f>"SLS17014"</f>
        <v>SLS17014</v>
      </c>
      <c r="M244" s="33">
        <v>41640</v>
      </c>
      <c r="N244" s="31"/>
      <c r="R244" s="2">
        <f t="shared" si="47"/>
        <v>11</v>
      </c>
    </row>
    <row r="245" spans="1:18" hidden="1" outlineLevel="1" x14ac:dyDescent="0.2">
      <c r="A245" s="30" t="s">
        <v>53</v>
      </c>
      <c r="C245" s="18"/>
      <c r="D245" s="4"/>
      <c r="E245" s="19" t="str">
        <f>"""GP Direct"",""Fabrikam, Inc."",""Jet GL Transactions"",""Account Index"",""122"",""Credit Amount"",""4141.94000"",""Document Number"",""SLS15064"",""Debit Amount"",""0.00000"",""Vendor Name"",""Dollis Cove Resort"",""Transaction Description"",""SALES"",""Transaction Date"",""1/1/2014"""</f>
        <v>"GP Direct","Fabrikam, Inc.","Jet GL Transactions","Account Index","122","Credit Amount","4141.94000","Document Number","SLS15064","Debit Amount","0.00000","Vendor Name","Dollis Cove Resort","Transaction Description","SALES","Transaction Date","1/1/2014"</v>
      </c>
      <c r="F245" s="4">
        <v>0</v>
      </c>
      <c r="G245" s="4">
        <v>4141.9399999999996</v>
      </c>
      <c r="J245" s="31">
        <f t="shared" si="44"/>
        <v>-4141.9399999999996</v>
      </c>
      <c r="K245" s="32" t="str">
        <f t="shared" si="46"/>
        <v>SALES</v>
      </c>
      <c r="L245" s="32" t="str">
        <f>"SLS15064"</f>
        <v>SLS15064</v>
      </c>
      <c r="M245" s="33">
        <v>41640</v>
      </c>
      <c r="N245" s="31"/>
      <c r="R245" s="2">
        <f t="shared" si="47"/>
        <v>12</v>
      </c>
    </row>
    <row r="246" spans="1:18" hidden="1" outlineLevel="1" x14ac:dyDescent="0.2">
      <c r="A246" s="30" t="s">
        <v>53</v>
      </c>
      <c r="C246" s="18"/>
      <c r="D246" s="4"/>
      <c r="E246" s="19" t="str">
        <f>"""GP Direct"",""Fabrikam, Inc."",""Jet GL Transactions"",""Account Index"",""122"",""Credit Amount"",""4338.82000"",""Document Number"",""SLS14013"",""Debit Amount"",""0.00000"",""Vendor Name"",""Astor Suites"",""Transaction Description"",""SALES"",""Transaction Date"",""1/1/2014"""</f>
        <v>"GP Direct","Fabrikam, Inc.","Jet GL Transactions","Account Index","122","Credit Amount","4338.82000","Document Number","SLS14013","Debit Amount","0.00000","Vendor Name","Astor Suites","Transaction Description","SALES","Transaction Date","1/1/2014"</v>
      </c>
      <c r="F246" s="4">
        <v>0</v>
      </c>
      <c r="G246" s="4">
        <v>4338.82</v>
      </c>
      <c r="J246" s="31">
        <f t="shared" si="44"/>
        <v>-4338.82</v>
      </c>
      <c r="K246" s="32" t="str">
        <f t="shared" si="46"/>
        <v>SALES</v>
      </c>
      <c r="L246" s="32" t="str">
        <f>"SLS14013"</f>
        <v>SLS14013</v>
      </c>
      <c r="M246" s="33">
        <v>41640</v>
      </c>
      <c r="N246" s="31"/>
      <c r="R246" s="2">
        <f t="shared" si="47"/>
        <v>13</v>
      </c>
    </row>
    <row r="247" spans="1:18" hidden="1" outlineLevel="1" x14ac:dyDescent="0.2">
      <c r="A247" s="30" t="s">
        <v>53</v>
      </c>
      <c r="C247" s="18"/>
      <c r="D247" s="4"/>
      <c r="E247" s="19" t="str">
        <f>"""GP Direct"",""Fabrikam, Inc."",""Jet GL Transactions"",""Account Index"",""122"",""Credit Amount"",""4506.97000"",""Document Number"",""SLS119003"",""Debit Amount"",""0.00000"",""Vendor Name"",""Johnson, Kimberly"",""Transaction Description"",""SALES"",""Transaction Date"",""1/1/2014"""</f>
        <v>"GP Direct","Fabrikam, Inc.","Jet GL Transactions","Account Index","122","Credit Amount","4506.97000","Document Number","SLS119003","Debit Amount","0.00000","Vendor Name","Johnson, Kimberly","Transaction Description","SALES","Transaction Date","1/1/2014"</v>
      </c>
      <c r="F247" s="4">
        <v>0</v>
      </c>
      <c r="G247" s="4">
        <v>4506.97</v>
      </c>
      <c r="J247" s="31">
        <f t="shared" si="44"/>
        <v>-4506.97</v>
      </c>
      <c r="K247" s="32" t="str">
        <f t="shared" si="46"/>
        <v>SALES</v>
      </c>
      <c r="L247" s="32" t="str">
        <f>"SLS119003"</f>
        <v>SLS119003</v>
      </c>
      <c r="M247" s="33">
        <v>41640</v>
      </c>
      <c r="N247" s="31"/>
      <c r="R247" s="2">
        <f t="shared" si="47"/>
        <v>14</v>
      </c>
    </row>
    <row r="248" spans="1:18" hidden="1" outlineLevel="1" x14ac:dyDescent="0.2">
      <c r="A248" s="30" t="s">
        <v>53</v>
      </c>
      <c r="C248" s="18"/>
      <c r="D248" s="4"/>
      <c r="E248" s="19" t="str">
        <f>"""GP Direct"",""Fabrikam, Inc."",""Jet GL Transactions"",""Account Index"",""122"",""Credit Amount"",""4703.82000"",""Document Number"",""SLS19020"",""Debit Amount"",""0.00000"",""Vendor Name"",""McConnell A.F. B."",""Transaction Description"",""SALES"",""Transaction Date"",""1/1/2014"""</f>
        <v>"GP Direct","Fabrikam, Inc.","Jet GL Transactions","Account Index","122","Credit Amount","4703.82000","Document Number","SLS19020","Debit Amount","0.00000","Vendor Name","McConnell A.F. B.","Transaction Description","SALES","Transaction Date","1/1/2014"</v>
      </c>
      <c r="F248" s="4">
        <v>0</v>
      </c>
      <c r="G248" s="4">
        <v>4703.82</v>
      </c>
      <c r="J248" s="31">
        <f t="shared" si="44"/>
        <v>-4703.82</v>
      </c>
      <c r="K248" s="32" t="str">
        <f t="shared" si="46"/>
        <v>SALES</v>
      </c>
      <c r="L248" s="32" t="str">
        <f>"SLS19020"</f>
        <v>SLS19020</v>
      </c>
      <c r="M248" s="33">
        <v>41640</v>
      </c>
      <c r="N248" s="31"/>
      <c r="R248" s="2">
        <f t="shared" si="47"/>
        <v>15</v>
      </c>
    </row>
    <row r="249" spans="1:18" hidden="1" outlineLevel="1" x14ac:dyDescent="0.2">
      <c r="A249" s="30" t="s">
        <v>53</v>
      </c>
      <c r="C249" s="18"/>
      <c r="D249" s="4"/>
      <c r="E249" s="19" t="str">
        <f>"""GP Direct"",""Fabrikam, Inc."",""Jet GL Transactions"",""Account Index"",""122"",""Credit Amount"",""5295.15000"",""Document Number"",""SLS117012"",""Debit Amount"",""0.00000"",""Vendor Name"",""Baker's Emporium Inc."",""Transaction Description"",""SALES"",""Transaction Date"",""1/1/20"&amp;"14"""</f>
        <v>"GP Direct","Fabrikam, Inc.","Jet GL Transactions","Account Index","122","Credit Amount","5295.15000","Document Number","SLS117012","Debit Amount","0.00000","Vendor Name","Baker's Emporium Inc.","Transaction Description","SALES","Transaction Date","1/1/2014"</v>
      </c>
      <c r="F249" s="4">
        <v>0</v>
      </c>
      <c r="G249" s="4">
        <v>5295.15</v>
      </c>
      <c r="J249" s="31">
        <f t="shared" si="44"/>
        <v>-5295.15</v>
      </c>
      <c r="K249" s="32" t="str">
        <f t="shared" si="46"/>
        <v>SALES</v>
      </c>
      <c r="L249" s="32" t="str">
        <f>"SLS117012"</f>
        <v>SLS117012</v>
      </c>
      <c r="M249" s="33">
        <v>41640</v>
      </c>
      <c r="N249" s="31"/>
      <c r="R249" s="2">
        <f t="shared" si="47"/>
        <v>16</v>
      </c>
    </row>
    <row r="250" spans="1:18" hidden="1" outlineLevel="1" x14ac:dyDescent="0.2">
      <c r="A250" s="30" t="s">
        <v>53</v>
      </c>
      <c r="C250" s="18"/>
      <c r="D250" s="4"/>
      <c r="E250" s="19" t="str">
        <f>"""GP Direct"",""Fabrikam, Inc."",""Jet GL Transactions"",""Account Index"",""122"",""Credit Amount"",""5405.75000"",""Document Number"",""SLS112002"",""Debit Amount"",""0.00000"",""Vendor Name"",""Central Illinois Hospital"",""Transaction Description"",""SALES"",""Transaction Date"",""1/"&amp;"1/2014"""</f>
        <v>"GP Direct","Fabrikam, Inc.","Jet GL Transactions","Account Index","122","Credit Amount","5405.75000","Document Number","SLS112002","Debit Amount","0.00000","Vendor Name","Central Illinois Hospital","Transaction Description","SALES","Transaction Date","1/1/2014"</v>
      </c>
      <c r="F250" s="4">
        <v>0</v>
      </c>
      <c r="G250" s="4">
        <v>5405.75</v>
      </c>
      <c r="J250" s="31">
        <f t="shared" si="44"/>
        <v>-5405.75</v>
      </c>
      <c r="K250" s="32" t="str">
        <f t="shared" si="46"/>
        <v>SALES</v>
      </c>
      <c r="L250" s="32" t="str">
        <f>"SLS112002"</f>
        <v>SLS112002</v>
      </c>
      <c r="M250" s="33">
        <v>41640</v>
      </c>
      <c r="N250" s="31"/>
      <c r="R250" s="2">
        <f t="shared" si="47"/>
        <v>17</v>
      </c>
    </row>
    <row r="251" spans="1:18" hidden="1" outlineLevel="1" x14ac:dyDescent="0.2">
      <c r="A251" s="30" t="s">
        <v>53</v>
      </c>
      <c r="C251" s="18"/>
      <c r="D251" s="4"/>
      <c r="E251" s="19" t="str">
        <f>"""GP Direct"",""Fabrikam, Inc."",""Jet GL Transactions"",""Account Index"",""122"",""Credit Amount"",""5608.38000"",""Document Number"",""SLS11085"",""Debit Amount"",""0.00000"",""Vendor Name"",""Place One Suites"",""Transaction Description"",""SALES"",""Transaction Date"",""1/1/2014"""</f>
        <v>"GP Direct","Fabrikam, Inc.","Jet GL Transactions","Account Index","122","Credit Amount","5608.38000","Document Number","SLS11085","Debit Amount","0.00000","Vendor Name","Place One Suites","Transaction Description","SALES","Transaction Date","1/1/2014"</v>
      </c>
      <c r="F251" s="4">
        <v>0</v>
      </c>
      <c r="G251" s="4">
        <v>5608.38</v>
      </c>
      <c r="J251" s="31">
        <f t="shared" si="44"/>
        <v>-5608.38</v>
      </c>
      <c r="K251" s="32" t="str">
        <f t="shared" si="46"/>
        <v>SALES</v>
      </c>
      <c r="L251" s="32" t="str">
        <f>"SLS11085"</f>
        <v>SLS11085</v>
      </c>
      <c r="M251" s="33">
        <v>41640</v>
      </c>
      <c r="N251" s="31"/>
      <c r="R251" s="2">
        <f t="shared" si="47"/>
        <v>18</v>
      </c>
    </row>
    <row r="252" spans="1:18" hidden="1" outlineLevel="1" x14ac:dyDescent="0.2">
      <c r="A252" s="30" t="s">
        <v>53</v>
      </c>
      <c r="C252" s="18"/>
      <c r="D252" s="4"/>
      <c r="E252" s="19" t="str">
        <f>"""GP Direct"",""Fabrikam, Inc."",""Jet GL Transactions"",""Account Index"",""122"",""Credit Amount"",""5660.75000"",""Document Number"",""SLS116015"",""Debit Amount"",""0.00000"",""Vendor Name"",""Reynolds State College"",""Transaction Description"",""SALES"",""Transaction Date"",""1/1/2"&amp;"014"""</f>
        <v>"GP Direct","Fabrikam, Inc.","Jet GL Transactions","Account Index","122","Credit Amount","5660.75000","Document Number","SLS116015","Debit Amount","0.00000","Vendor Name","Reynolds State College","Transaction Description","SALES","Transaction Date","1/1/2014"</v>
      </c>
      <c r="F252" s="4">
        <v>0</v>
      </c>
      <c r="G252" s="4">
        <v>5660.75</v>
      </c>
      <c r="J252" s="31">
        <f t="shared" si="44"/>
        <v>-5660.75</v>
      </c>
      <c r="K252" s="32" t="str">
        <f t="shared" si="46"/>
        <v>SALES</v>
      </c>
      <c r="L252" s="32" t="str">
        <f>"SLS116015"</f>
        <v>SLS116015</v>
      </c>
      <c r="M252" s="33">
        <v>41640</v>
      </c>
      <c r="N252" s="31"/>
      <c r="R252" s="2">
        <f t="shared" si="47"/>
        <v>19</v>
      </c>
    </row>
    <row r="253" spans="1:18" hidden="1" outlineLevel="1" x14ac:dyDescent="0.2">
      <c r="A253" s="30" t="s">
        <v>53</v>
      </c>
      <c r="C253" s="18"/>
      <c r="D253" s="4"/>
      <c r="E253" s="19" t="str">
        <f>"""GP Direct"",""Fabrikam, Inc."",""Jet GL Transactions"",""Account Index"",""122"",""Credit Amount"",""5880.25000"",""Document Number"",""SLS14073"",""Debit Amount"",""0.00000"",""Vendor Name"",""Rosellen General Hospital"",""Transaction Description"",""SALES"",""Transaction Date"",""1/1"&amp;"/2014"""</f>
        <v>"GP Direct","Fabrikam, Inc.","Jet GL Transactions","Account Index","122","Credit Amount","5880.25000","Document Number","SLS14073","Debit Amount","0.00000","Vendor Name","Rosellen General Hospital","Transaction Description","SALES","Transaction Date","1/1/2014"</v>
      </c>
      <c r="F253" s="4">
        <v>0</v>
      </c>
      <c r="G253" s="4">
        <v>5880.25</v>
      </c>
      <c r="J253" s="31">
        <f t="shared" si="44"/>
        <v>-5880.25</v>
      </c>
      <c r="K253" s="32" t="str">
        <f t="shared" si="46"/>
        <v>SALES</v>
      </c>
      <c r="L253" s="32" t="str">
        <f>"SLS14073"</f>
        <v>SLS14073</v>
      </c>
      <c r="M253" s="33">
        <v>41640</v>
      </c>
      <c r="N253" s="31"/>
      <c r="R253" s="2">
        <f t="shared" si="47"/>
        <v>20</v>
      </c>
    </row>
    <row r="254" spans="1:18" hidden="1" outlineLevel="1" x14ac:dyDescent="0.2">
      <c r="A254" s="30" t="s">
        <v>53</v>
      </c>
      <c r="C254" s="18"/>
      <c r="D254" s="4"/>
      <c r="E254" s="19" t="str">
        <f>"""GP Direct"",""Fabrikam, Inc."",""Jet GL Transactions"",""Account Index"",""122"",""Credit Amount"",""7109.47000"",""Document Number"",""SLS12013"",""Debit Amount"",""0.00000"",""Vendor Name"",""World Enterprises"",""Transaction Description"",""SALES"",""Transaction Date"",""1/1/2014"""</f>
        <v>"GP Direct","Fabrikam, Inc.","Jet GL Transactions","Account Index","122","Credit Amount","7109.47000","Document Number","SLS12013","Debit Amount","0.00000","Vendor Name","World Enterprises","Transaction Description","SALES","Transaction Date","1/1/2014"</v>
      </c>
      <c r="F254" s="4">
        <v>0</v>
      </c>
      <c r="G254" s="4">
        <v>7109.47</v>
      </c>
      <c r="J254" s="31">
        <f t="shared" si="44"/>
        <v>-7109.47</v>
      </c>
      <c r="K254" s="32" t="str">
        <f t="shared" si="46"/>
        <v>SALES</v>
      </c>
      <c r="L254" s="32" t="str">
        <f>"SLS12013"</f>
        <v>SLS12013</v>
      </c>
      <c r="M254" s="33">
        <v>41640</v>
      </c>
      <c r="N254" s="31"/>
      <c r="R254" s="2">
        <f t="shared" si="47"/>
        <v>21</v>
      </c>
    </row>
    <row r="255" spans="1:18" hidden="1" outlineLevel="1" x14ac:dyDescent="0.2">
      <c r="A255" s="30" t="s">
        <v>53</v>
      </c>
      <c r="C255" s="18"/>
      <c r="D255" s="4"/>
      <c r="E255" s="19" t="str">
        <f>"""GP Direct"",""Fabrikam, Inc."",""Jet GL Transactions"",""Account Index"",""122"",""Credit Amount"",""7829.27000"",""Document Number"",""SLS115012"",""Debit Amount"",""0.00000"",""Vendor Name"",""Mid-City Hospital"",""Transaction Description"",""SALES"",""Transaction Date"",""1/1/2014"""</f>
        <v>"GP Direct","Fabrikam, Inc.","Jet GL Transactions","Account Index","122","Credit Amount","7829.27000","Document Number","SLS115012","Debit Amount","0.00000","Vendor Name","Mid-City Hospital","Transaction Description","SALES","Transaction Date","1/1/2014"</v>
      </c>
      <c r="F255" s="4">
        <v>0</v>
      </c>
      <c r="G255" s="4">
        <v>7829.27</v>
      </c>
      <c r="J255" s="31">
        <f t="shared" si="44"/>
        <v>-7829.27</v>
      </c>
      <c r="K255" s="32" t="str">
        <f t="shared" si="46"/>
        <v>SALES</v>
      </c>
      <c r="L255" s="32" t="str">
        <f>"SLS115012"</f>
        <v>SLS115012</v>
      </c>
      <c r="M255" s="33">
        <v>41640</v>
      </c>
      <c r="N255" s="31"/>
      <c r="R255" s="2">
        <f t="shared" si="47"/>
        <v>22</v>
      </c>
    </row>
    <row r="256" spans="1:18" hidden="1" outlineLevel="1" x14ac:dyDescent="0.2">
      <c r="A256" s="30" t="s">
        <v>53</v>
      </c>
      <c r="C256" s="18"/>
      <c r="D256" s="4"/>
      <c r="E256" s="19" t="str">
        <f>"""GP Direct"",""Fabrikam, Inc."",""Jet GL Transactions"",""Account Index"",""122"",""Credit Amount"",""8281.52000"",""Document Number"",""SLS115003"",""Debit Amount"",""0.00000"",""Vendor Name"",""Coho Winery"",""Transaction Description"",""SALES"",""Transaction Date"",""1/1/2014"""</f>
        <v>"GP Direct","Fabrikam, Inc.","Jet GL Transactions","Account Index","122","Credit Amount","8281.52000","Document Number","SLS115003","Debit Amount","0.00000","Vendor Name","Coho Winery","Transaction Description","SALES","Transaction Date","1/1/2014"</v>
      </c>
      <c r="F256" s="4">
        <v>0</v>
      </c>
      <c r="G256" s="4">
        <v>8281.52</v>
      </c>
      <c r="J256" s="31">
        <f t="shared" si="44"/>
        <v>-8281.52</v>
      </c>
      <c r="K256" s="32" t="str">
        <f t="shared" si="46"/>
        <v>SALES</v>
      </c>
      <c r="L256" s="32" t="str">
        <f>"SLS115003"</f>
        <v>SLS115003</v>
      </c>
      <c r="M256" s="33">
        <v>41640</v>
      </c>
      <c r="N256" s="31"/>
      <c r="R256" s="2">
        <f t="shared" si="47"/>
        <v>23</v>
      </c>
    </row>
    <row r="257" spans="1:18" hidden="1" outlineLevel="1" x14ac:dyDescent="0.2">
      <c r="A257" s="30" t="s">
        <v>53</v>
      </c>
      <c r="C257" s="18"/>
      <c r="D257" s="4"/>
      <c r="E257" s="19" t="str">
        <f>"""GP Direct"",""Fabrikam, Inc."",""Jet GL Transactions"",""Account Index"",""122"",""Credit Amount"",""8573.98000"",""Document Number"",""SLS119001"",""Debit Amount"",""0.00000"",""Vendor Name"",""Johnson, Kimberly"",""Transaction Description"",""SALES"",""Transaction Date"",""1/1/2014"""</f>
        <v>"GP Direct","Fabrikam, Inc.","Jet GL Transactions","Account Index","122","Credit Amount","8573.98000","Document Number","SLS119001","Debit Amount","0.00000","Vendor Name","Johnson, Kimberly","Transaction Description","SALES","Transaction Date","1/1/2014"</v>
      </c>
      <c r="F257" s="4">
        <v>0</v>
      </c>
      <c r="G257" s="4">
        <v>8573.98</v>
      </c>
      <c r="J257" s="31">
        <f t="shared" si="44"/>
        <v>-8573.98</v>
      </c>
      <c r="K257" s="32" t="str">
        <f t="shared" si="46"/>
        <v>SALES</v>
      </c>
      <c r="L257" s="32" t="str">
        <f>"SLS119001"</f>
        <v>SLS119001</v>
      </c>
      <c r="M257" s="33">
        <v>41640</v>
      </c>
      <c r="N257" s="31"/>
      <c r="R257" s="2">
        <f t="shared" si="47"/>
        <v>24</v>
      </c>
    </row>
    <row r="258" spans="1:18" hidden="1" outlineLevel="1" x14ac:dyDescent="0.2">
      <c r="A258" s="30" t="s">
        <v>53</v>
      </c>
      <c r="C258" s="18"/>
      <c r="D258" s="4"/>
      <c r="E258" s="19" t="str">
        <f>"""GP Direct"",""Fabrikam, Inc."",""Jet GL Transactions"",""Account Index"",""122"",""Credit Amount"",""8579.63000"",""Document Number"",""SLS114002"",""Debit Amount"",""0.00000"",""Vendor Name"",""Hampton Village Eatery"",""Transaction Description"",""SALES"",""Transaction Date"",""1/1/2"&amp;"014"""</f>
        <v>"GP Direct","Fabrikam, Inc.","Jet GL Transactions","Account Index","122","Credit Amount","8579.63000","Document Number","SLS114002","Debit Amount","0.00000","Vendor Name","Hampton Village Eatery","Transaction Description","SALES","Transaction Date","1/1/2014"</v>
      </c>
      <c r="F258" s="4">
        <v>0</v>
      </c>
      <c r="G258" s="4">
        <v>8579.6299999999992</v>
      </c>
      <c r="J258" s="31">
        <f t="shared" si="44"/>
        <v>-8579.6299999999992</v>
      </c>
      <c r="K258" s="32" t="str">
        <f t="shared" si="46"/>
        <v>SALES</v>
      </c>
      <c r="L258" s="32" t="str">
        <f>"SLS114002"</f>
        <v>SLS114002</v>
      </c>
      <c r="M258" s="33">
        <v>41640</v>
      </c>
      <c r="N258" s="31"/>
      <c r="R258" s="2">
        <f t="shared" si="47"/>
        <v>25</v>
      </c>
    </row>
    <row r="259" spans="1:18" hidden="1" outlineLevel="1" x14ac:dyDescent="0.2">
      <c r="A259" s="30" t="s">
        <v>53</v>
      </c>
      <c r="C259" s="18"/>
      <c r="D259" s="4"/>
      <c r="E259" s="19" t="str">
        <f>"""GP Direct"",""Fabrikam, Inc."",""Jet GL Transactions"",""Account Index"",""122"",""Credit Amount"",""9353.64000"",""Document Number"",""SLS126001"",""Debit Amount"",""0.00000"",""Vendor Name"",""Snelling Communications Inc."",""Transaction Description"",""SALES"",""Transaction Date"","&amp;"""1/1/2014"""</f>
        <v>"GP Direct","Fabrikam, Inc.","Jet GL Transactions","Account Index","122","Credit Amount","9353.64000","Document Number","SLS126001","Debit Amount","0.00000","Vendor Name","Snelling Communications Inc.","Transaction Description","SALES","Transaction Date","1/1/2014"</v>
      </c>
      <c r="F259" s="4">
        <v>0</v>
      </c>
      <c r="G259" s="4">
        <v>9353.64</v>
      </c>
      <c r="J259" s="31">
        <f t="shared" si="44"/>
        <v>-9353.64</v>
      </c>
      <c r="K259" s="32" t="str">
        <f t="shared" si="46"/>
        <v>SALES</v>
      </c>
      <c r="L259" s="32" t="str">
        <f>"SLS126001"</f>
        <v>SLS126001</v>
      </c>
      <c r="M259" s="33">
        <v>41640</v>
      </c>
      <c r="N259" s="31"/>
      <c r="R259" s="2">
        <f t="shared" si="47"/>
        <v>26</v>
      </c>
    </row>
    <row r="260" spans="1:18" hidden="1" outlineLevel="1" x14ac:dyDescent="0.2">
      <c r="A260" s="30" t="s">
        <v>53</v>
      </c>
      <c r="C260" s="18"/>
      <c r="D260" s="4"/>
      <c r="E260" s="19" t="str">
        <f>"""GP Direct"",""Fabrikam, Inc."",""Jet GL Transactions"",""Account Index"",""122"",""Credit Amount"",""9856.74000"",""Document Number"",""SLS124002"",""Debit Amount"",""0.00000"",""Vendor Name"",""ISN Industries"",""Transaction Description"",""SALES"",""Transaction Date"",""1/1/2014"""</f>
        <v>"GP Direct","Fabrikam, Inc.","Jet GL Transactions","Account Index","122","Credit Amount","9856.74000","Document Number","SLS124002","Debit Amount","0.00000","Vendor Name","ISN Industries","Transaction Description","SALES","Transaction Date","1/1/2014"</v>
      </c>
      <c r="F260" s="4">
        <v>0</v>
      </c>
      <c r="G260" s="4">
        <v>9856.74</v>
      </c>
      <c r="J260" s="31">
        <f t="shared" si="44"/>
        <v>-9856.74</v>
      </c>
      <c r="K260" s="32" t="str">
        <f t="shared" si="46"/>
        <v>SALES</v>
      </c>
      <c r="L260" s="32" t="str">
        <f>"SLS124002"</f>
        <v>SLS124002</v>
      </c>
      <c r="M260" s="33">
        <v>41640</v>
      </c>
      <c r="N260" s="31"/>
      <c r="R260" s="2">
        <f t="shared" si="47"/>
        <v>27</v>
      </c>
    </row>
    <row r="261" spans="1:18" hidden="1" outlineLevel="1" x14ac:dyDescent="0.2">
      <c r="A261" s="30" t="s">
        <v>53</v>
      </c>
      <c r="C261" s="18"/>
      <c r="D261" s="4"/>
      <c r="E261" s="19" t="str">
        <f>"""GP Direct"",""Fabrikam, Inc."",""Jet GL Transactions"",""Account Index"",""122"",""Credit Amount"",""9858.52000"",""Document Number"",""SLS18083"",""Debit Amount"",""0.00000"",""Vendor Name"",""Vancouver Resort Hotels"",""Transaction Description"",""SALES"",""Transaction Date"",""1/1/2"&amp;"014"""</f>
        <v>"GP Direct","Fabrikam, Inc.","Jet GL Transactions","Account Index","122","Credit Amount","9858.52000","Document Number","SLS18083","Debit Amount","0.00000","Vendor Name","Vancouver Resort Hotels","Transaction Description","SALES","Transaction Date","1/1/2014"</v>
      </c>
      <c r="F261" s="4">
        <v>0</v>
      </c>
      <c r="G261" s="4">
        <v>9858.52</v>
      </c>
      <c r="J261" s="31">
        <f t="shared" si="44"/>
        <v>-9858.52</v>
      </c>
      <c r="K261" s="32" t="str">
        <f t="shared" si="46"/>
        <v>SALES</v>
      </c>
      <c r="L261" s="32" t="str">
        <f>"SLS18083"</f>
        <v>SLS18083</v>
      </c>
      <c r="M261" s="33">
        <v>41640</v>
      </c>
      <c r="N261" s="31"/>
      <c r="R261" s="2">
        <f t="shared" si="47"/>
        <v>28</v>
      </c>
    </row>
    <row r="262" spans="1:18" hidden="1" outlineLevel="1" x14ac:dyDescent="0.2">
      <c r="A262" s="30" t="s">
        <v>53</v>
      </c>
      <c r="C262" s="18"/>
      <c r="D262" s="4"/>
      <c r="E262" s="19" t="str">
        <f>"""GP Direct"",""Fabrikam, Inc."",""Jet GL Transactions"",""Account Index"",""122"",""Credit Amount"",""9946.37000"",""Document Number"",""SLS12073"",""Debit Amount"",""0.00000"",""Vendor Name"",""Castle Inn Resort"",""Transaction Description"",""SALES"",""Transaction Date"",""1/1/2014"""</f>
        <v>"GP Direct","Fabrikam, Inc.","Jet GL Transactions","Account Index","122","Credit Amount","9946.37000","Document Number","SLS12073","Debit Amount","0.00000","Vendor Name","Castle Inn Resort","Transaction Description","SALES","Transaction Date","1/1/2014"</v>
      </c>
      <c r="F262" s="4">
        <v>0</v>
      </c>
      <c r="G262" s="4">
        <v>9946.3700000000008</v>
      </c>
      <c r="J262" s="31">
        <f t="shared" si="44"/>
        <v>-9946.3700000000008</v>
      </c>
      <c r="K262" s="32" t="str">
        <f t="shared" si="46"/>
        <v>SALES</v>
      </c>
      <c r="L262" s="32" t="str">
        <f>"SLS12073"</f>
        <v>SLS12073</v>
      </c>
      <c r="M262" s="33">
        <v>41640</v>
      </c>
      <c r="N262" s="31"/>
      <c r="R262" s="2">
        <f t="shared" si="47"/>
        <v>29</v>
      </c>
    </row>
    <row r="263" spans="1:18" hidden="1" outlineLevel="1" x14ac:dyDescent="0.2">
      <c r="A263" s="30" t="s">
        <v>53</v>
      </c>
      <c r="C263" s="18"/>
      <c r="D263" s="4"/>
      <c r="E263" s="19" t="str">
        <f>"""GP Direct"",""Fabrikam, Inc."",""Jet GL Transactions"",""Account Index"",""122"",""Credit Amount"",""12621.97000"",""Document Number"",""SLS18014"",""Debit Amount"",""0.00000"",""Vendor Name"",""Mendota University"",""Transaction Description"",""SALES"",""Transaction Date"",""1/1/2014"""</f>
        <v>"GP Direct","Fabrikam, Inc.","Jet GL Transactions","Account Index","122","Credit Amount","12621.97000","Document Number","SLS18014","Debit Amount","0.00000","Vendor Name","Mendota University","Transaction Description","SALES","Transaction Date","1/1/2014"</v>
      </c>
      <c r="F263" s="4">
        <v>0</v>
      </c>
      <c r="G263" s="4">
        <v>12621.97</v>
      </c>
      <c r="J263" s="31">
        <f t="shared" si="44"/>
        <v>-12621.97</v>
      </c>
      <c r="K263" s="32" t="str">
        <f t="shared" si="46"/>
        <v>SALES</v>
      </c>
      <c r="L263" s="32" t="str">
        <f>"SLS18014"</f>
        <v>SLS18014</v>
      </c>
      <c r="M263" s="33">
        <v>41640</v>
      </c>
      <c r="N263" s="31"/>
      <c r="R263" s="2">
        <f t="shared" si="47"/>
        <v>30</v>
      </c>
    </row>
    <row r="264" spans="1:18" hidden="1" outlineLevel="1" x14ac:dyDescent="0.2">
      <c r="A264" s="30" t="s">
        <v>53</v>
      </c>
      <c r="C264" s="18"/>
      <c r="D264" s="4"/>
      <c r="E264" s="19" t="str">
        <f>"""GP Direct"",""Fabrikam, Inc."",""Jet GL Transactions"",""Account Index"",""122"",""Credit Amount"",""12650.00000"",""Document Number"",""SLS14030"",""Debit Amount"",""0.00000"",""Vendor Name"",""Laser Messenger Service"",""Transaction Description"",""SALES"",""Transaction Date"",""1/1/"&amp;"2014"""</f>
        <v>"GP Direct","Fabrikam, Inc.","Jet GL Transactions","Account Index","122","Credit Amount","12650.00000","Document Number","SLS14030","Debit Amount","0.00000","Vendor Name","Laser Messenger Service","Transaction Description","SALES","Transaction Date","1/1/2014"</v>
      </c>
      <c r="F264" s="4">
        <v>0</v>
      </c>
      <c r="G264" s="4">
        <v>12650</v>
      </c>
      <c r="J264" s="31">
        <f t="shared" si="44"/>
        <v>-12650</v>
      </c>
      <c r="K264" s="32" t="str">
        <f t="shared" si="46"/>
        <v>SALES</v>
      </c>
      <c r="L264" s="32" t="str">
        <f>"SLS14030"</f>
        <v>SLS14030</v>
      </c>
      <c r="M264" s="33">
        <v>41640</v>
      </c>
      <c r="N264" s="31"/>
      <c r="R264" s="2">
        <f t="shared" si="47"/>
        <v>31</v>
      </c>
    </row>
    <row r="265" spans="1:18" hidden="1" outlineLevel="1" x14ac:dyDescent="0.2">
      <c r="A265" s="30" t="s">
        <v>53</v>
      </c>
      <c r="C265" s="18"/>
      <c r="D265" s="4"/>
      <c r="E265" s="19" t="str">
        <f>"""GP Direct"",""Fabrikam, Inc."",""Jet GL Transactions"",""Account Index"",""122"",""Credit Amount"",""15896.25000"",""Document Number"",""SLS11114"",""Debit Amount"",""0.00000"",""Vendor Name"",""Alton Manufacturing"",""Transaction Description"",""SALES"",""Transaction Date"",""1/1/2014"&amp;""""</f>
        <v>"GP Direct","Fabrikam, Inc.","Jet GL Transactions","Account Index","122","Credit Amount","15896.25000","Document Number","SLS11114","Debit Amount","0.00000","Vendor Name","Alton Manufacturing","Transaction Description","SALES","Transaction Date","1/1/2014"</v>
      </c>
      <c r="F265" s="4">
        <v>0</v>
      </c>
      <c r="G265" s="4">
        <v>15896.25</v>
      </c>
      <c r="J265" s="31">
        <f t="shared" si="44"/>
        <v>-15896.25</v>
      </c>
      <c r="K265" s="32" t="str">
        <f t="shared" si="46"/>
        <v>SALES</v>
      </c>
      <c r="L265" s="32" t="str">
        <f>"SLS11114"</f>
        <v>SLS11114</v>
      </c>
      <c r="M265" s="33">
        <v>41640</v>
      </c>
      <c r="N265" s="31"/>
      <c r="R265" s="2">
        <f t="shared" si="47"/>
        <v>32</v>
      </c>
    </row>
    <row r="266" spans="1:18" hidden="1" outlineLevel="1" x14ac:dyDescent="0.2">
      <c r="A266" s="30" t="s">
        <v>53</v>
      </c>
      <c r="C266" s="18"/>
      <c r="D266" s="4"/>
      <c r="E266" s="19" t="str">
        <f>"""GP Direct"",""Fabrikam, Inc."",""Jet GL Transactions"",""Account Index"",""122"",""Credit Amount"",""19575.88000"",""Document Number"",""SLS17022"",""Debit Amount"",""0.00000"",""Vendor Name"",""Mutual of  Omaha"",""Transaction Description"",""SALES"",""Transaction Date"",""1/1/2014"""</f>
        <v>"GP Direct","Fabrikam, Inc.","Jet GL Transactions","Account Index","122","Credit Amount","19575.88000","Document Number","SLS17022","Debit Amount","0.00000","Vendor Name","Mutual of  Omaha","Transaction Description","SALES","Transaction Date","1/1/2014"</v>
      </c>
      <c r="F266" s="4">
        <v>0</v>
      </c>
      <c r="G266" s="4">
        <v>19575.88</v>
      </c>
      <c r="J266" s="31">
        <f t="shared" si="44"/>
        <v>-19575.88</v>
      </c>
      <c r="K266" s="32" t="str">
        <f t="shared" si="46"/>
        <v>SALES</v>
      </c>
      <c r="L266" s="32" t="str">
        <f>"SLS17022"</f>
        <v>SLS17022</v>
      </c>
      <c r="M266" s="33">
        <v>41640</v>
      </c>
      <c r="N266" s="31"/>
      <c r="R266" s="2">
        <f t="shared" si="47"/>
        <v>33</v>
      </c>
    </row>
    <row r="267" spans="1:18" hidden="1" x14ac:dyDescent="0.2">
      <c r="A267" s="29" t="s">
        <v>1386</v>
      </c>
      <c r="C267" s="18"/>
    </row>
    <row r="268" spans="1:18" ht="17.25" customHeight="1" collapsed="1" x14ac:dyDescent="0.2">
      <c r="A268" s="30" t="s">
        <v>53</v>
      </c>
      <c r="C268" s="14" t="str">
        <f>"000-4131-00"</f>
        <v>000-4131-00</v>
      </c>
      <c r="D268" s="2">
        <v>123</v>
      </c>
      <c r="E268" s="2"/>
      <c r="F268" s="2" t="s">
        <v>10</v>
      </c>
      <c r="G268" s="2" t="s">
        <v>8</v>
      </c>
      <c r="H268" s="13" t="str">
        <f>"  "&amp;C268</f>
        <v xml:space="preserve">  000-4131-00</v>
      </c>
      <c r="I268" s="15" t="str">
        <f>"Canadian Sales - Installation Charges"</f>
        <v>Canadian Sales - Installation Charges</v>
      </c>
      <c r="J268" s="16">
        <f>SUM(J269:J270)</f>
        <v>0</v>
      </c>
      <c r="K268" s="13"/>
      <c r="L268" s="13"/>
      <c r="M268" s="13"/>
      <c r="N268" s="17">
        <v>0</v>
      </c>
      <c r="O268" s="16">
        <f>J268-N268</f>
        <v>0</v>
      </c>
    </row>
    <row r="269" spans="1:18" hidden="1" outlineLevel="1" x14ac:dyDescent="0.2">
      <c r="A269" s="30" t="s">
        <v>53</v>
      </c>
      <c r="C269" s="18"/>
      <c r="D269" s="4"/>
      <c r="E269" s="19" t="str">
        <f>""</f>
        <v/>
      </c>
      <c r="F269" s="4" t="str">
        <f>""</f>
        <v/>
      </c>
      <c r="G269" s="4" t="str">
        <f>""</f>
        <v/>
      </c>
      <c r="J269" s="31" t="str">
        <f>IF(AND(F269="",G269=""),"",$F269-$G269)</f>
        <v/>
      </c>
      <c r="K269" s="32" t="str">
        <f>""</f>
        <v/>
      </c>
      <c r="L269" s="32" t="str">
        <f>""</f>
        <v/>
      </c>
      <c r="M269" s="33" t="str">
        <f>""</f>
        <v/>
      </c>
      <c r="N269" s="31"/>
      <c r="R269" s="2">
        <f t="shared" ref="R269" si="48">R268+1</f>
        <v>1</v>
      </c>
    </row>
    <row r="270" spans="1:18" hidden="1" x14ac:dyDescent="0.2">
      <c r="A270" s="29" t="s">
        <v>1386</v>
      </c>
      <c r="C270" s="18"/>
    </row>
    <row r="271" spans="1:18" ht="17.25" customHeight="1" collapsed="1" x14ac:dyDescent="0.2">
      <c r="A271" s="30" t="s">
        <v>53</v>
      </c>
      <c r="C271" s="14" t="str">
        <f>"000-4132-00"</f>
        <v>000-4132-00</v>
      </c>
      <c r="D271" s="2">
        <v>124</v>
      </c>
      <c r="E271" s="2"/>
      <c r="F271" s="2" t="s">
        <v>10</v>
      </c>
      <c r="G271" s="2" t="s">
        <v>8</v>
      </c>
      <c r="H271" s="13" t="str">
        <f>"  "&amp;C271</f>
        <v xml:space="preserve">  000-4132-00</v>
      </c>
      <c r="I271" s="15" t="str">
        <f>"AustralAsian Sales - Installation Charges"</f>
        <v>AustralAsian Sales - Installation Charges</v>
      </c>
      <c r="J271" s="16">
        <f>SUM(J272:J274)</f>
        <v>-11154.59</v>
      </c>
      <c r="K271" s="13"/>
      <c r="L271" s="13"/>
      <c r="M271" s="13"/>
      <c r="N271" s="17">
        <v>-36000</v>
      </c>
      <c r="O271" s="16">
        <f>J271-N271</f>
        <v>24845.41</v>
      </c>
    </row>
    <row r="272" spans="1:18" hidden="1" outlineLevel="1" x14ac:dyDescent="0.2">
      <c r="A272" s="30" t="s">
        <v>53</v>
      </c>
      <c r="C272" s="18"/>
      <c r="D272" s="4"/>
      <c r="E272" s="19" t="str">
        <f>"""GP Direct"",""Fabrikam, Inc."",""Jet GL Transactions"",""Account Index"",""124"",""Credit Amount"",""4192.78000"",""Document Number"",""SLS11092"",""Debit Amount"",""0.00000"",""Vendor Name"",""Country View Estates"",""Transaction Description"",""SALES"",""Transaction Date"",""1/1/2014"&amp;""""</f>
        <v>"GP Direct","Fabrikam, Inc.","Jet GL Transactions","Account Index","124","Credit Amount","4192.78000","Document Number","SLS11092","Debit Amount","0.00000","Vendor Name","Country View Estates","Transaction Description","SALES","Transaction Date","1/1/2014"</v>
      </c>
      <c r="F272" s="4">
        <v>0</v>
      </c>
      <c r="G272" s="4">
        <v>4192.78</v>
      </c>
      <c r="J272" s="31">
        <f>IF(AND(F272="",G272=""),"",$F272-$G272)</f>
        <v>-4192.78</v>
      </c>
      <c r="K272" s="32" t="str">
        <f>"SALES"</f>
        <v>SALES</v>
      </c>
      <c r="L272" s="32" t="str">
        <f>"SLS11092"</f>
        <v>SLS11092</v>
      </c>
      <c r="M272" s="33">
        <v>41640</v>
      </c>
      <c r="N272" s="31"/>
      <c r="R272" s="2">
        <f t="shared" ref="R272" si="49">R271+1</f>
        <v>1</v>
      </c>
    </row>
    <row r="273" spans="1:18" hidden="1" outlineLevel="1" x14ac:dyDescent="0.2">
      <c r="A273" s="30" t="s">
        <v>53</v>
      </c>
      <c r="C273" s="18"/>
      <c r="D273" s="4"/>
      <c r="E273" s="19" t="str">
        <f>"""GP Direct"",""Fabrikam, Inc."",""Jet GL Transactions"",""Account Index"",""124"",""Credit Amount"",""6961.81000"",""Document Number"",""SLS16091"",""Debit Amount"",""0.00000"",""Vendor Name"",""Executive Resources"",""Transaction Description"",""SALES"",""Transaction Date"",""1/1/2014"""</f>
        <v>"GP Direct","Fabrikam, Inc.","Jet GL Transactions","Account Index","124","Credit Amount","6961.81000","Document Number","SLS16091","Debit Amount","0.00000","Vendor Name","Executive Resources","Transaction Description","SALES","Transaction Date","1/1/2014"</v>
      </c>
      <c r="F273" s="4">
        <v>0</v>
      </c>
      <c r="G273" s="4">
        <v>6961.81</v>
      </c>
      <c r="J273" s="31">
        <f>IF(AND(F273="",G273=""),"",$F273-$G273)</f>
        <v>-6961.81</v>
      </c>
      <c r="K273" s="32" t="str">
        <f>"SALES"</f>
        <v>SALES</v>
      </c>
      <c r="L273" s="32" t="str">
        <f>"SLS16091"</f>
        <v>SLS16091</v>
      </c>
      <c r="M273" s="33">
        <v>41640</v>
      </c>
      <c r="N273" s="31"/>
      <c r="R273" s="2">
        <f t="shared" ref="R273" si="50">R272+1</f>
        <v>2</v>
      </c>
    </row>
    <row r="274" spans="1:18" hidden="1" x14ac:dyDescent="0.2">
      <c r="A274" s="29" t="s">
        <v>1386</v>
      </c>
      <c r="C274" s="18"/>
    </row>
    <row r="275" spans="1:18" ht="17.25" customHeight="1" collapsed="1" x14ac:dyDescent="0.2">
      <c r="A275" s="30" t="s">
        <v>53</v>
      </c>
      <c r="C275" s="14" t="str">
        <f>"000-4134-00"</f>
        <v>000-4134-00</v>
      </c>
      <c r="D275" s="2">
        <v>381</v>
      </c>
      <c r="E275" s="2"/>
      <c r="F275" s="2" t="s">
        <v>10</v>
      </c>
      <c r="G275" s="2" t="s">
        <v>8</v>
      </c>
      <c r="H275" s="13" t="str">
        <f>"  "&amp;C275</f>
        <v xml:space="preserve">  000-4134-00</v>
      </c>
      <c r="I275" s="15" t="str">
        <f>"Germany Sales - Installation Charges"</f>
        <v>Germany Sales - Installation Charges</v>
      </c>
      <c r="J275" s="16">
        <f>SUM(J276:J277)</f>
        <v>0</v>
      </c>
      <c r="K275" s="13"/>
      <c r="L275" s="13"/>
      <c r="M275" s="13"/>
      <c r="N275" s="17">
        <v>0</v>
      </c>
      <c r="O275" s="16">
        <f>J275-N275</f>
        <v>0</v>
      </c>
    </row>
    <row r="276" spans="1:18" hidden="1" outlineLevel="1" x14ac:dyDescent="0.2">
      <c r="A276" s="30" t="s">
        <v>53</v>
      </c>
      <c r="C276" s="18"/>
      <c r="D276" s="4"/>
      <c r="E276" s="19" t="str">
        <f>""</f>
        <v/>
      </c>
      <c r="F276" s="4" t="str">
        <f>""</f>
        <v/>
      </c>
      <c r="G276" s="4" t="str">
        <f>""</f>
        <v/>
      </c>
      <c r="J276" s="31" t="str">
        <f>IF(AND(F276="",G276=""),"",$F276-$G276)</f>
        <v/>
      </c>
      <c r="K276" s="32" t="str">
        <f>""</f>
        <v/>
      </c>
      <c r="L276" s="32" t="str">
        <f>""</f>
        <v/>
      </c>
      <c r="M276" s="33" t="str">
        <f>""</f>
        <v/>
      </c>
      <c r="N276" s="31"/>
      <c r="R276" s="2">
        <f t="shared" ref="R276" si="51">R275+1</f>
        <v>1</v>
      </c>
    </row>
    <row r="277" spans="1:18" hidden="1" x14ac:dyDescent="0.2">
      <c r="A277" s="29" t="s">
        <v>1386</v>
      </c>
      <c r="C277" s="18"/>
    </row>
    <row r="278" spans="1:18" ht="17.25" customHeight="1" collapsed="1" x14ac:dyDescent="0.2">
      <c r="A278" s="30" t="s">
        <v>53</v>
      </c>
      <c r="C278" s="14" t="str">
        <f>"000-4135-00"</f>
        <v>000-4135-00</v>
      </c>
      <c r="D278" s="2">
        <v>382</v>
      </c>
      <c r="E278" s="2"/>
      <c r="F278" s="2" t="s">
        <v>10</v>
      </c>
      <c r="G278" s="2" t="s">
        <v>8</v>
      </c>
      <c r="H278" s="13" t="str">
        <f>"  "&amp;C278</f>
        <v xml:space="preserve">  000-4135-00</v>
      </c>
      <c r="I278" s="15" t="str">
        <f>"United Kingdom Sales - Installation Charges"</f>
        <v>United Kingdom Sales - Installation Charges</v>
      </c>
      <c r="J278" s="16">
        <f>SUM(J279:J280)</f>
        <v>0</v>
      </c>
      <c r="K278" s="13"/>
      <c r="L278" s="13"/>
      <c r="M278" s="13"/>
      <c r="N278" s="17">
        <v>0</v>
      </c>
      <c r="O278" s="16">
        <f>J278-N278</f>
        <v>0</v>
      </c>
    </row>
    <row r="279" spans="1:18" hidden="1" outlineLevel="1" x14ac:dyDescent="0.2">
      <c r="A279" s="30" t="s">
        <v>53</v>
      </c>
      <c r="C279" s="18"/>
      <c r="D279" s="4"/>
      <c r="E279" s="19" t="str">
        <f>""</f>
        <v/>
      </c>
      <c r="F279" s="4" t="str">
        <f>""</f>
        <v/>
      </c>
      <c r="G279" s="4" t="str">
        <f>""</f>
        <v/>
      </c>
      <c r="J279" s="31" t="str">
        <f>IF(AND(F279="",G279=""),"",$F279-$G279)</f>
        <v/>
      </c>
      <c r="K279" s="32" t="str">
        <f>""</f>
        <v/>
      </c>
      <c r="L279" s="32" t="str">
        <f>""</f>
        <v/>
      </c>
      <c r="M279" s="33" t="str">
        <f>""</f>
        <v/>
      </c>
      <c r="N279" s="31"/>
      <c r="R279" s="2">
        <f t="shared" ref="R279" si="52">R278+1</f>
        <v>1</v>
      </c>
    </row>
    <row r="280" spans="1:18" hidden="1" x14ac:dyDescent="0.2">
      <c r="A280" s="29" t="s">
        <v>1386</v>
      </c>
      <c r="C280" s="18"/>
    </row>
    <row r="281" spans="1:18" ht="17.25" customHeight="1" collapsed="1" x14ac:dyDescent="0.2">
      <c r="A281" s="30" t="s">
        <v>53</v>
      </c>
      <c r="C281" s="14" t="str">
        <f>"000-4136-00"</f>
        <v>000-4136-00</v>
      </c>
      <c r="D281" s="2">
        <v>440</v>
      </c>
      <c r="E281" s="2"/>
      <c r="F281" s="2" t="s">
        <v>10</v>
      </c>
      <c r="G281" s="2" t="s">
        <v>8</v>
      </c>
      <c r="H281" s="13" t="str">
        <f>"  "&amp;C281</f>
        <v xml:space="preserve">  000-4136-00</v>
      </c>
      <c r="I281" s="15" t="str">
        <f>"South Africa Sales - Installation Charges"</f>
        <v>South Africa Sales - Installation Charges</v>
      </c>
      <c r="J281" s="16">
        <f>SUM(J282:J283)</f>
        <v>0</v>
      </c>
      <c r="K281" s="13"/>
      <c r="L281" s="13"/>
      <c r="M281" s="13"/>
      <c r="N281" s="17">
        <v>0</v>
      </c>
      <c r="O281" s="16">
        <f>J281-N281</f>
        <v>0</v>
      </c>
    </row>
    <row r="282" spans="1:18" hidden="1" outlineLevel="1" x14ac:dyDescent="0.2">
      <c r="A282" s="30" t="s">
        <v>53</v>
      </c>
      <c r="C282" s="18"/>
      <c r="D282" s="4"/>
      <c r="E282" s="19" t="str">
        <f>""</f>
        <v/>
      </c>
      <c r="F282" s="4" t="str">
        <f>""</f>
        <v/>
      </c>
      <c r="G282" s="4" t="str">
        <f>""</f>
        <v/>
      </c>
      <c r="J282" s="31" t="str">
        <f>IF(AND(F282="",G282=""),"",$F282-$G282)</f>
        <v/>
      </c>
      <c r="K282" s="32" t="str">
        <f>""</f>
        <v/>
      </c>
      <c r="L282" s="32" t="str">
        <f>""</f>
        <v/>
      </c>
      <c r="M282" s="33" t="str">
        <f>""</f>
        <v/>
      </c>
      <c r="N282" s="31"/>
      <c r="R282" s="2">
        <f t="shared" ref="R282" si="53">R281+1</f>
        <v>1</v>
      </c>
    </row>
    <row r="283" spans="1:18" hidden="1" x14ac:dyDescent="0.2">
      <c r="A283" s="29" t="s">
        <v>1386</v>
      </c>
      <c r="C283" s="18"/>
    </row>
    <row r="284" spans="1:18" ht="17.25" customHeight="1" collapsed="1" x14ac:dyDescent="0.2">
      <c r="A284" s="30" t="s">
        <v>53</v>
      </c>
      <c r="C284" s="14" t="str">
        <f>"000-4137-00"</f>
        <v>000-4137-00</v>
      </c>
      <c r="D284" s="2">
        <v>383</v>
      </c>
      <c r="E284" s="2"/>
      <c r="F284" s="2" t="s">
        <v>10</v>
      </c>
      <c r="G284" s="2" t="s">
        <v>8</v>
      </c>
      <c r="H284" s="13" t="str">
        <f>"  "&amp;C284</f>
        <v xml:space="preserve">  000-4137-00</v>
      </c>
      <c r="I284" s="15" t="str">
        <f>"Singapore Sales - Installation Charges"</f>
        <v>Singapore Sales - Installation Charges</v>
      </c>
      <c r="J284" s="16">
        <f>SUM(J285:J286)</f>
        <v>0</v>
      </c>
      <c r="K284" s="13"/>
      <c r="L284" s="13"/>
      <c r="M284" s="13"/>
      <c r="N284" s="17">
        <v>0</v>
      </c>
      <c r="O284" s="16">
        <f>J284-N284</f>
        <v>0</v>
      </c>
    </row>
    <row r="285" spans="1:18" hidden="1" outlineLevel="1" x14ac:dyDescent="0.2">
      <c r="A285" s="30" t="s">
        <v>53</v>
      </c>
      <c r="C285" s="18"/>
      <c r="D285" s="4"/>
      <c r="E285" s="19" t="str">
        <f>""</f>
        <v/>
      </c>
      <c r="F285" s="4" t="str">
        <f>""</f>
        <v/>
      </c>
      <c r="G285" s="4" t="str">
        <f>""</f>
        <v/>
      </c>
      <c r="J285" s="31" t="str">
        <f>IF(AND(F285="",G285=""),"",$F285-$G285)</f>
        <v/>
      </c>
      <c r="K285" s="32" t="str">
        <f>""</f>
        <v/>
      </c>
      <c r="L285" s="32" t="str">
        <f>""</f>
        <v/>
      </c>
      <c r="M285" s="33" t="str">
        <f>""</f>
        <v/>
      </c>
      <c r="N285" s="31"/>
      <c r="R285" s="2">
        <f t="shared" ref="R285" si="54">R284+1</f>
        <v>1</v>
      </c>
    </row>
    <row r="286" spans="1:18" hidden="1" x14ac:dyDescent="0.2">
      <c r="A286" s="29" t="s">
        <v>1386</v>
      </c>
      <c r="C286" s="18"/>
    </row>
    <row r="287" spans="1:18" ht="17.25" customHeight="1" collapsed="1" x14ac:dyDescent="0.2">
      <c r="A287" s="30" t="s">
        <v>53</v>
      </c>
      <c r="C287" s="14" t="str">
        <f>"000-4140-00"</f>
        <v>000-4140-00</v>
      </c>
      <c r="D287" s="2">
        <v>125</v>
      </c>
      <c r="E287" s="2"/>
      <c r="F287" s="2" t="s">
        <v>10</v>
      </c>
      <c r="G287" s="2" t="s">
        <v>8</v>
      </c>
      <c r="H287" s="13" t="str">
        <f>"  "&amp;C287</f>
        <v xml:space="preserve">  000-4140-00</v>
      </c>
      <c r="I287" s="15" t="str">
        <f>"US Sales - Repair Charges"</f>
        <v>US Sales - Repair Charges</v>
      </c>
      <c r="J287" s="16">
        <f>SUM(J288:J330)</f>
        <v>-82450.189999999988</v>
      </c>
      <c r="K287" s="13"/>
      <c r="L287" s="13"/>
      <c r="M287" s="13"/>
      <c r="N287" s="17">
        <v>-240000</v>
      </c>
      <c r="O287" s="16">
        <f>J287-N287</f>
        <v>157549.81</v>
      </c>
    </row>
    <row r="288" spans="1:18" hidden="1" outlineLevel="1" x14ac:dyDescent="0.2">
      <c r="A288" s="30" t="s">
        <v>53</v>
      </c>
      <c r="C288" s="18"/>
      <c r="D288" s="4"/>
      <c r="E288" s="19" t="str">
        <f>"""GP Direct"",""Fabrikam, Inc."",""Jet GL Transactions"",""Account Index"",""125"",""Credit Amount"",""217.98000"",""Document Number"",""SVC12082"",""Debit Amount"",""0.00000"",""Vendor Name"",""Computers Unlimited"",""Transaction Description"",""SERVICE"",""Transaction Date"",""1/1/2014"&amp;""""</f>
        <v>"GP Direct","Fabrikam, Inc.","Jet GL Transactions","Account Index","125","Credit Amount","217.98000","Document Number","SVC12082","Debit Amount","0.00000","Vendor Name","Computers Unlimited","Transaction Description","SERVICE","Transaction Date","1/1/2014"</v>
      </c>
      <c r="F288" s="4">
        <v>0</v>
      </c>
      <c r="G288" s="4">
        <v>217.98</v>
      </c>
      <c r="J288" s="31">
        <f t="shared" ref="J288:J329" si="55">IF(AND(F288="",G288=""),"",$F288-$G288)</f>
        <v>-217.98</v>
      </c>
      <c r="K288" s="32" t="str">
        <f t="shared" ref="K288:K298" si="56">"SERVICE"</f>
        <v>SERVICE</v>
      </c>
      <c r="L288" s="32" t="str">
        <f>"SVC12082"</f>
        <v>SVC12082</v>
      </c>
      <c r="M288" s="33">
        <v>41640</v>
      </c>
      <c r="N288" s="31"/>
      <c r="R288" s="2">
        <f t="shared" ref="R288" si="57">R287+1</f>
        <v>1</v>
      </c>
    </row>
    <row r="289" spans="1:18" hidden="1" outlineLevel="1" x14ac:dyDescent="0.2">
      <c r="A289" s="30" t="s">
        <v>53</v>
      </c>
      <c r="C289" s="18"/>
      <c r="D289" s="4"/>
      <c r="E289" s="19" t="str">
        <f>"""GP Direct"",""Fabrikam, Inc."",""Jet GL Transactions"",""Account Index"",""125"",""Credit Amount"",""258.97000"",""Document Number"",""SVC19011"",""Debit Amount"",""0.00000"",""Vendor Name"",""Manchester Suites"",""Transaction Description"",""SERVICE"",""Transaction Date"",""1/1/2014"""</f>
        <v>"GP Direct","Fabrikam, Inc.","Jet GL Transactions","Account Index","125","Credit Amount","258.97000","Document Number","SVC19011","Debit Amount","0.00000","Vendor Name","Manchester Suites","Transaction Description","SERVICE","Transaction Date","1/1/2014"</v>
      </c>
      <c r="F289" s="4">
        <v>0</v>
      </c>
      <c r="G289" s="4">
        <v>258.97000000000003</v>
      </c>
      <c r="J289" s="31">
        <f t="shared" si="55"/>
        <v>-258.97000000000003</v>
      </c>
      <c r="K289" s="32" t="str">
        <f t="shared" si="56"/>
        <v>SERVICE</v>
      </c>
      <c r="L289" s="32" t="str">
        <f>"SVC19011"</f>
        <v>SVC19011</v>
      </c>
      <c r="M289" s="33">
        <v>41640</v>
      </c>
      <c r="N289" s="31"/>
      <c r="R289" s="2">
        <f t="shared" ref="R289:R329" si="58">R288+1</f>
        <v>2</v>
      </c>
    </row>
    <row r="290" spans="1:18" hidden="1" outlineLevel="1" x14ac:dyDescent="0.2">
      <c r="A290" s="30" t="s">
        <v>53</v>
      </c>
      <c r="C290" s="18"/>
      <c r="D290" s="4"/>
      <c r="E290" s="19" t="str">
        <f>"""GP Direct"",""Fabrikam, Inc."",""Jet GL Transactions"",""Account Index"",""125"",""Credit Amount"",""676.21000"",""Document Number"",""SVC16080"",""Debit Amount"",""0.00000"",""Vendor Name"",""Data Communications Inc."",""Transaction Description"",""SERVICE"",""Transaction Date"",""1/1"&amp;"/2014"""</f>
        <v>"GP Direct","Fabrikam, Inc.","Jet GL Transactions","Account Index","125","Credit Amount","676.21000","Document Number","SVC16080","Debit Amount","0.00000","Vendor Name","Data Communications Inc.","Transaction Description","SERVICE","Transaction Date","1/1/2014"</v>
      </c>
      <c r="F290" s="4">
        <v>0</v>
      </c>
      <c r="G290" s="4">
        <v>676.21</v>
      </c>
      <c r="J290" s="31">
        <f t="shared" si="55"/>
        <v>-676.21</v>
      </c>
      <c r="K290" s="32" t="str">
        <f t="shared" si="56"/>
        <v>SERVICE</v>
      </c>
      <c r="L290" s="32" t="str">
        <f>"SVC16080"</f>
        <v>SVC16080</v>
      </c>
      <c r="M290" s="33">
        <v>41640</v>
      </c>
      <c r="N290" s="31"/>
      <c r="R290" s="2">
        <f t="shared" si="58"/>
        <v>3</v>
      </c>
    </row>
    <row r="291" spans="1:18" hidden="1" outlineLevel="1" x14ac:dyDescent="0.2">
      <c r="A291" s="30" t="s">
        <v>53</v>
      </c>
      <c r="C291" s="18"/>
      <c r="D291" s="4"/>
      <c r="E291" s="19" t="str">
        <f>"""GP Direct"",""Fabrikam, Inc."",""Jet GL Transactions"",""Account Index"",""125"",""Credit Amount"",""825.59000"",""Document Number"",""SVC17031"",""Debit Amount"",""0.00000"",""Vendor Name"",""Metropolitan Fiber Systems"",""Transaction Description"",""SERVICE"",""Transaction Date"",""1"&amp;"/1/2014"""</f>
        <v>"GP Direct","Fabrikam, Inc.","Jet GL Transactions","Account Index","125","Credit Amount","825.59000","Document Number","SVC17031","Debit Amount","0.00000","Vendor Name","Metropolitan Fiber Systems","Transaction Description","SERVICE","Transaction Date","1/1/2014"</v>
      </c>
      <c r="F291" s="4">
        <v>0</v>
      </c>
      <c r="G291" s="4">
        <v>825.59</v>
      </c>
      <c r="J291" s="31">
        <f t="shared" si="55"/>
        <v>-825.59</v>
      </c>
      <c r="K291" s="32" t="str">
        <f t="shared" si="56"/>
        <v>SERVICE</v>
      </c>
      <c r="L291" s="32" t="str">
        <f>"SVC17031"</f>
        <v>SVC17031</v>
      </c>
      <c r="M291" s="33">
        <v>41640</v>
      </c>
      <c r="N291" s="31"/>
      <c r="R291" s="2">
        <f t="shared" si="58"/>
        <v>4</v>
      </c>
    </row>
    <row r="292" spans="1:18" hidden="1" outlineLevel="1" x14ac:dyDescent="0.2">
      <c r="A292" s="30" t="s">
        <v>53</v>
      </c>
      <c r="C292" s="18"/>
      <c r="D292" s="4"/>
      <c r="E292" s="19" t="str">
        <f>"""GP Direct"",""Fabrikam, Inc."",""Jet GL Transactions"",""Account Index"",""125"",""Credit Amount"",""825.64000"",""Document Number"",""SVC11020"",""Debit Amount"",""0.00000"",""Vendor Name"",""Associated Insurance Company"",""Transaction Description"",""SERVICE"",""Transaction Date"","&amp;"""1/1/2014"""</f>
        <v>"GP Direct","Fabrikam, Inc.","Jet GL Transactions","Account Index","125","Credit Amount","825.64000","Document Number","SVC11020","Debit Amount","0.00000","Vendor Name","Associated Insurance Company","Transaction Description","SERVICE","Transaction Date","1/1/2014"</v>
      </c>
      <c r="F292" s="4">
        <v>0</v>
      </c>
      <c r="G292" s="4">
        <v>825.64</v>
      </c>
      <c r="J292" s="31">
        <f t="shared" si="55"/>
        <v>-825.64</v>
      </c>
      <c r="K292" s="32" t="str">
        <f t="shared" si="56"/>
        <v>SERVICE</v>
      </c>
      <c r="L292" s="32" t="str">
        <f>"SVC11020"</f>
        <v>SVC11020</v>
      </c>
      <c r="M292" s="33">
        <v>41640</v>
      </c>
      <c r="N292" s="31"/>
      <c r="R292" s="2">
        <f t="shared" si="58"/>
        <v>5</v>
      </c>
    </row>
    <row r="293" spans="1:18" hidden="1" outlineLevel="1" x14ac:dyDescent="0.2">
      <c r="A293" s="30" t="s">
        <v>53</v>
      </c>
      <c r="C293" s="18"/>
      <c r="D293" s="4"/>
      <c r="E293" s="19" t="str">
        <f>"""GP Direct"",""Fabrikam, Inc."",""Jet GL Transactions"",""Account Index"",""125"",""Credit Amount"",""890.00000"",""Document Number"",""SVC112030"",""Debit Amount"",""0.00000"",""Vendor Name"",""Northstar Mall"",""Transaction Description"",""SERVICE"",""Transaction Date"",""1/1/2014"""</f>
        <v>"GP Direct","Fabrikam, Inc.","Jet GL Transactions","Account Index","125","Credit Amount","890.00000","Document Number","SVC112030","Debit Amount","0.00000","Vendor Name","Northstar Mall","Transaction Description","SERVICE","Transaction Date","1/1/2014"</v>
      </c>
      <c r="F293" s="4">
        <v>0</v>
      </c>
      <c r="G293" s="4">
        <v>890</v>
      </c>
      <c r="J293" s="31">
        <f t="shared" si="55"/>
        <v>-890</v>
      </c>
      <c r="K293" s="32" t="str">
        <f t="shared" si="56"/>
        <v>SERVICE</v>
      </c>
      <c r="L293" s="32" t="str">
        <f>"SVC112030"</f>
        <v>SVC112030</v>
      </c>
      <c r="M293" s="33">
        <v>41640</v>
      </c>
      <c r="N293" s="31"/>
      <c r="R293" s="2">
        <f t="shared" si="58"/>
        <v>6</v>
      </c>
    </row>
    <row r="294" spans="1:18" hidden="1" outlineLevel="1" x14ac:dyDescent="0.2">
      <c r="A294" s="30" t="s">
        <v>53</v>
      </c>
      <c r="C294" s="18"/>
      <c r="D294" s="4"/>
      <c r="E294" s="19" t="str">
        <f>"""GP Direct"",""Fabrikam, Inc."",""Jet GL Transactions"",""Account Index"",""125"",""Credit Amount"",""984.25000"",""Document Number"",""SVC14014"",""Debit Amount"",""0.00000"",""Vendor Name"",""Astor Suites"",""Transaction Description"",""SERVICE"",""Transaction Date"",""1/1/2014"""</f>
        <v>"GP Direct","Fabrikam, Inc.","Jet GL Transactions","Account Index","125","Credit Amount","984.25000","Document Number","SVC14014","Debit Amount","0.00000","Vendor Name","Astor Suites","Transaction Description","SERVICE","Transaction Date","1/1/2014"</v>
      </c>
      <c r="F294" s="4">
        <v>0</v>
      </c>
      <c r="G294" s="4">
        <v>984.25</v>
      </c>
      <c r="J294" s="31">
        <f t="shared" si="55"/>
        <v>-984.25</v>
      </c>
      <c r="K294" s="32" t="str">
        <f t="shared" si="56"/>
        <v>SERVICE</v>
      </c>
      <c r="L294" s="32" t="str">
        <f>"SVC14014"</f>
        <v>SVC14014</v>
      </c>
      <c r="M294" s="33">
        <v>41640</v>
      </c>
      <c r="N294" s="31"/>
      <c r="R294" s="2">
        <f t="shared" si="58"/>
        <v>7</v>
      </c>
    </row>
    <row r="295" spans="1:18" hidden="1" outlineLevel="1" x14ac:dyDescent="0.2">
      <c r="A295" s="30" t="s">
        <v>53</v>
      </c>
      <c r="C295" s="18"/>
      <c r="D295" s="4"/>
      <c r="E295" s="19" t="str">
        <f>"""GP Direct"",""Fabrikam, Inc."",""Jet GL Transactions"",""Account Index"",""125"",""Credit Amount"",""986.97000"",""Document Number"",""SVC111012"",""Debit Amount"",""0.00000"",""Vendor Name"",""North College"",""Transaction Description"",""SERVICE"",""Transaction Date"",""1/1/2014"""</f>
        <v>"GP Direct","Fabrikam, Inc.","Jet GL Transactions","Account Index","125","Credit Amount","986.97000","Document Number","SVC111012","Debit Amount","0.00000","Vendor Name","North College","Transaction Description","SERVICE","Transaction Date","1/1/2014"</v>
      </c>
      <c r="F295" s="4">
        <v>0</v>
      </c>
      <c r="G295" s="4">
        <v>986.97</v>
      </c>
      <c r="J295" s="31">
        <f t="shared" si="55"/>
        <v>-986.97</v>
      </c>
      <c r="K295" s="32" t="str">
        <f t="shared" si="56"/>
        <v>SERVICE</v>
      </c>
      <c r="L295" s="32" t="str">
        <f>"SVC111012"</f>
        <v>SVC111012</v>
      </c>
      <c r="M295" s="33">
        <v>41640</v>
      </c>
      <c r="N295" s="31"/>
      <c r="R295" s="2">
        <f t="shared" si="58"/>
        <v>8</v>
      </c>
    </row>
    <row r="296" spans="1:18" hidden="1" outlineLevel="1" x14ac:dyDescent="0.2">
      <c r="A296" s="30" t="s">
        <v>53</v>
      </c>
      <c r="C296" s="18"/>
      <c r="D296" s="4"/>
      <c r="E296" s="19" t="str">
        <f>"""GP Direct"",""Fabrikam, Inc."",""Jet GL Transactions"",""Account Index"",""125"",""Credit Amount"",""1015.99000"",""Document Number"",""SVC14064"",""Debit Amount"",""0.00000"",""Vendor Name"",""Novia Scotia Tech. Institute"",""Transaction Description"",""SERVICE"",""Transaction Date"""&amp;",""1/1/2014"""</f>
        <v>"GP Direct","Fabrikam, Inc.","Jet GL Transactions","Account Index","125","Credit Amount","1015.99000","Document Number","SVC14064","Debit Amount","0.00000","Vendor Name","Novia Scotia Tech. Institute","Transaction Description","SERVICE","Transaction Date","1/1/2014"</v>
      </c>
      <c r="F296" s="4">
        <v>0</v>
      </c>
      <c r="G296" s="4">
        <v>1015.99</v>
      </c>
      <c r="J296" s="31">
        <f t="shared" si="55"/>
        <v>-1015.99</v>
      </c>
      <c r="K296" s="32" t="str">
        <f t="shared" si="56"/>
        <v>SERVICE</v>
      </c>
      <c r="L296" s="32" t="str">
        <f>"SVC14064"</f>
        <v>SVC14064</v>
      </c>
      <c r="M296" s="33">
        <v>41640</v>
      </c>
      <c r="N296" s="31"/>
      <c r="R296" s="2">
        <f t="shared" si="58"/>
        <v>9</v>
      </c>
    </row>
    <row r="297" spans="1:18" hidden="1" outlineLevel="1" x14ac:dyDescent="0.2">
      <c r="A297" s="30" t="s">
        <v>53</v>
      </c>
      <c r="C297" s="18"/>
      <c r="D297" s="4"/>
      <c r="E297" s="19" t="str">
        <f>"""GP Direct"",""Fabrikam, Inc."",""Jet GL Transactions"",""Account Index"",""125"",""Credit Amount"",""1023.87000"",""Document Number"",""SVC11051"",""Debit Amount"",""0.00000"",""Vendor Name"",""Continental Properties"",""Transaction Description"",""SERVICE"",""Transaction Date"",""1/1/"&amp;"2014"""</f>
        <v>"GP Direct","Fabrikam, Inc.","Jet GL Transactions","Account Index","125","Credit Amount","1023.87000","Document Number","SVC11051","Debit Amount","0.00000","Vendor Name","Continental Properties","Transaction Description","SERVICE","Transaction Date","1/1/2014"</v>
      </c>
      <c r="F297" s="4">
        <v>0</v>
      </c>
      <c r="G297" s="4">
        <v>1023.87</v>
      </c>
      <c r="J297" s="31">
        <f t="shared" si="55"/>
        <v>-1023.87</v>
      </c>
      <c r="K297" s="32" t="str">
        <f t="shared" si="56"/>
        <v>SERVICE</v>
      </c>
      <c r="L297" s="32" t="str">
        <f>"SVC11051"</f>
        <v>SVC11051</v>
      </c>
      <c r="M297" s="33">
        <v>41640</v>
      </c>
      <c r="N297" s="31"/>
      <c r="R297" s="2">
        <f t="shared" si="58"/>
        <v>10</v>
      </c>
    </row>
    <row r="298" spans="1:18" hidden="1" outlineLevel="1" x14ac:dyDescent="0.2">
      <c r="A298" s="30" t="s">
        <v>53</v>
      </c>
      <c r="C298" s="18"/>
      <c r="D298" s="4"/>
      <c r="E298" s="19" t="str">
        <f>"""GP Direct"",""Fabrikam, Inc."",""Jet GL Transactions"",""Account Index"",""125"",""Credit Amount"",""1266.39000"",""Document Number"",""SVC110013"",""Debit Amount"",""0.00000"",""Vendor Name"",""Super Foods Plus"",""Transaction Description"",""SERVICE"",""Transaction Date"",""1/1/2014"""</f>
        <v>"GP Direct","Fabrikam, Inc.","Jet GL Transactions","Account Index","125","Credit Amount","1266.39000","Document Number","SVC110013","Debit Amount","0.00000","Vendor Name","Super Foods Plus","Transaction Description","SERVICE","Transaction Date","1/1/2014"</v>
      </c>
      <c r="F298" s="4">
        <v>0</v>
      </c>
      <c r="G298" s="4">
        <v>1266.3900000000001</v>
      </c>
      <c r="J298" s="31">
        <f t="shared" si="55"/>
        <v>-1266.3900000000001</v>
      </c>
      <c r="K298" s="32" t="str">
        <f t="shared" si="56"/>
        <v>SERVICE</v>
      </c>
      <c r="L298" s="32" t="str">
        <f>"SVC110013"</f>
        <v>SVC110013</v>
      </c>
      <c r="M298" s="33">
        <v>41640</v>
      </c>
      <c r="N298" s="31"/>
      <c r="R298" s="2">
        <f t="shared" si="58"/>
        <v>11</v>
      </c>
    </row>
    <row r="299" spans="1:18" hidden="1" outlineLevel="1" x14ac:dyDescent="0.2">
      <c r="A299" s="30" t="s">
        <v>53</v>
      </c>
      <c r="C299" s="18"/>
      <c r="D299" s="4"/>
      <c r="E299" s="19" t="str">
        <f>"""GP Direct"",""Fabrikam, Inc."",""Jet GL Transactions"",""Account Index"",""125"",""Credit Amount"",""1369.87000"",""Document Number"",""SVC16000"",""Debit Amount"",""0.00000"",""Vendor Name"",""Central Communications LTD"",""Transaction Description"",""SALES"",""Transaction Date"",""1/"&amp;"1/2014"""</f>
        <v>"GP Direct","Fabrikam, Inc.","Jet GL Transactions","Account Index","125","Credit Amount","1369.87000","Document Number","SVC16000","Debit Amount","0.00000","Vendor Name","Central Communications LTD","Transaction Description","SALES","Transaction Date","1/1/2014"</v>
      </c>
      <c r="F299" s="4">
        <v>0</v>
      </c>
      <c r="G299" s="4">
        <v>1369.87</v>
      </c>
      <c r="J299" s="31">
        <f t="shared" si="55"/>
        <v>-1369.87</v>
      </c>
      <c r="K299" s="32" t="str">
        <f>"SALES"</f>
        <v>SALES</v>
      </c>
      <c r="L299" s="32" t="str">
        <f>"SVC16000"</f>
        <v>SVC16000</v>
      </c>
      <c r="M299" s="33">
        <v>41640</v>
      </c>
      <c r="N299" s="31"/>
      <c r="R299" s="2">
        <f t="shared" si="58"/>
        <v>12</v>
      </c>
    </row>
    <row r="300" spans="1:18" hidden="1" outlineLevel="1" x14ac:dyDescent="0.2">
      <c r="A300" s="30" t="s">
        <v>53</v>
      </c>
      <c r="C300" s="18"/>
      <c r="D300" s="4"/>
      <c r="E300" s="19" t="str">
        <f>"""GP Direct"",""Fabrikam, Inc."",""Jet GL Transactions"",""Account Index"",""125"",""Credit Amount"",""1435.32000"",""Document Number"",""SVC14082"",""Debit Amount"",""0.00000"",""Vendor Name"",""Communication Connections"",""Transaction Description"",""SERVICE"",""Transaction Date"",""1"&amp;"/1/2014"""</f>
        <v>"GP Direct","Fabrikam, Inc.","Jet GL Transactions","Account Index","125","Credit Amount","1435.32000","Document Number","SVC14082","Debit Amount","0.00000","Vendor Name","Communication Connections","Transaction Description","SERVICE","Transaction Date","1/1/2014"</v>
      </c>
      <c r="F300" s="4">
        <v>0</v>
      </c>
      <c r="G300" s="4">
        <v>1435.32</v>
      </c>
      <c r="J300" s="31">
        <f t="shared" si="55"/>
        <v>-1435.32</v>
      </c>
      <c r="K300" s="32" t="str">
        <f t="shared" ref="K300:K306" si="59">"SERVICE"</f>
        <v>SERVICE</v>
      </c>
      <c r="L300" s="32" t="str">
        <f>"SVC14082"</f>
        <v>SVC14082</v>
      </c>
      <c r="M300" s="33">
        <v>41640</v>
      </c>
      <c r="N300" s="31"/>
      <c r="R300" s="2">
        <f t="shared" si="58"/>
        <v>13</v>
      </c>
    </row>
    <row r="301" spans="1:18" hidden="1" outlineLevel="1" x14ac:dyDescent="0.2">
      <c r="A301" s="30" t="s">
        <v>53</v>
      </c>
      <c r="C301" s="18"/>
      <c r="D301" s="4"/>
      <c r="E301" s="19" t="str">
        <f>"""GP Direct"",""Fabrikam, Inc."",""Jet GL Transactions"",""Account Index"",""125"",""Credit Amount"",""1566.32000"",""Document Number"",""SVC15072"",""Debit Amount"",""0.00000"",""Vendor Name"",""Vista Travel"",""Transaction Description"",""SERVICE"",""Transaction Date"",""1/1/2014"""</f>
        <v>"GP Direct","Fabrikam, Inc.","Jet GL Transactions","Account Index","125","Credit Amount","1566.32000","Document Number","SVC15072","Debit Amount","0.00000","Vendor Name","Vista Travel","Transaction Description","SERVICE","Transaction Date","1/1/2014"</v>
      </c>
      <c r="F301" s="4">
        <v>0</v>
      </c>
      <c r="G301" s="4">
        <v>1566.32</v>
      </c>
      <c r="J301" s="31">
        <f t="shared" si="55"/>
        <v>-1566.32</v>
      </c>
      <c r="K301" s="32" t="str">
        <f t="shared" si="59"/>
        <v>SERVICE</v>
      </c>
      <c r="L301" s="32" t="str">
        <f>"SVC15072"</f>
        <v>SVC15072</v>
      </c>
      <c r="M301" s="33">
        <v>41640</v>
      </c>
      <c r="N301" s="31"/>
      <c r="R301" s="2">
        <f t="shared" si="58"/>
        <v>14</v>
      </c>
    </row>
    <row r="302" spans="1:18" hidden="1" outlineLevel="1" x14ac:dyDescent="0.2">
      <c r="A302" s="30" t="s">
        <v>53</v>
      </c>
      <c r="C302" s="18"/>
      <c r="D302" s="4"/>
      <c r="E302" s="19" t="str">
        <f>"""GP Direct"",""Fabrikam, Inc."",""Jet GL Transactions"",""Account Index"",""125"",""Credit Amount"",""1569.31000"",""Document Number"",""SVC14013"",""Debit Amount"",""0.00000"",""Vendor Name"",""American Science Museum"",""Transaction Description"",""SERVICE"",""Transaction Date"",""1/1"&amp;"/2014"""</f>
        <v>"GP Direct","Fabrikam, Inc.","Jet GL Transactions","Account Index","125","Credit Amount","1569.31000","Document Number","SVC14013","Debit Amount","0.00000","Vendor Name","American Science Museum","Transaction Description","SERVICE","Transaction Date","1/1/2014"</v>
      </c>
      <c r="F302" s="4">
        <v>0</v>
      </c>
      <c r="G302" s="4">
        <v>1569.31</v>
      </c>
      <c r="J302" s="31">
        <f t="shared" si="55"/>
        <v>-1569.31</v>
      </c>
      <c r="K302" s="32" t="str">
        <f t="shared" si="59"/>
        <v>SERVICE</v>
      </c>
      <c r="L302" s="32" t="str">
        <f>"SVC14013"</f>
        <v>SVC14013</v>
      </c>
      <c r="M302" s="33">
        <v>41640</v>
      </c>
      <c r="N302" s="31"/>
      <c r="R302" s="2">
        <f t="shared" si="58"/>
        <v>15</v>
      </c>
    </row>
    <row r="303" spans="1:18" hidden="1" outlineLevel="1" x14ac:dyDescent="0.2">
      <c r="A303" s="30" t="s">
        <v>53</v>
      </c>
      <c r="C303" s="18"/>
      <c r="D303" s="4"/>
      <c r="E303" s="19" t="str">
        <f>"""GP Direct"",""Fabrikam, Inc."",""Jet GL Transactions"",""Account Index"",""125"",""Credit Amount"",""1569.74000"",""Document Number"",""SVC12010"",""Debit Amount"",""0.00000"",""Vendor Name"",""Atmore Retirement Center"",""Transaction Description"",""SERVICE"",""Transaction Date"",""1/"&amp;"1/2014"""</f>
        <v>"GP Direct","Fabrikam, Inc.","Jet GL Transactions","Account Index","125","Credit Amount","1569.74000","Document Number","SVC12010","Debit Amount","0.00000","Vendor Name","Atmore Retirement Center","Transaction Description","SERVICE","Transaction Date","1/1/2014"</v>
      </c>
      <c r="F303" s="4">
        <v>0</v>
      </c>
      <c r="G303" s="4">
        <v>1569.74</v>
      </c>
      <c r="J303" s="31">
        <f t="shared" si="55"/>
        <v>-1569.74</v>
      </c>
      <c r="K303" s="32" t="str">
        <f t="shared" si="59"/>
        <v>SERVICE</v>
      </c>
      <c r="L303" s="32" t="str">
        <f>"SVC12010"</f>
        <v>SVC12010</v>
      </c>
      <c r="M303" s="33">
        <v>41640</v>
      </c>
      <c r="N303" s="31"/>
      <c r="R303" s="2">
        <f t="shared" si="58"/>
        <v>16</v>
      </c>
    </row>
    <row r="304" spans="1:18" hidden="1" outlineLevel="1" x14ac:dyDescent="0.2">
      <c r="A304" s="30" t="s">
        <v>53</v>
      </c>
      <c r="C304" s="18"/>
      <c r="D304" s="4"/>
      <c r="E304" s="19" t="str">
        <f>"""GP Direct"",""Fabrikam, Inc."",""Jet GL Transactions"",""Account Index"",""125"",""Credit Amount"",""1608.97000"",""Document Number"",""SVC17085"",""Debit Amount"",""0.00000"",""Vendor Name"",""Place &amp; MacDero Associates"",""Transaction Description"",""SERVICE"",""Transaction Date"","""&amp;"1/1/2014"""</f>
        <v>"GP Direct","Fabrikam, Inc.","Jet GL Transactions","Account Index","125","Credit Amount","1608.97000","Document Number","SVC17085","Debit Amount","0.00000","Vendor Name","Place &amp; MacDero Associates","Transaction Description","SERVICE","Transaction Date","1/1/2014"</v>
      </c>
      <c r="F304" s="4">
        <v>0</v>
      </c>
      <c r="G304" s="4">
        <v>1608.97</v>
      </c>
      <c r="J304" s="31">
        <f t="shared" si="55"/>
        <v>-1608.97</v>
      </c>
      <c r="K304" s="32" t="str">
        <f t="shared" si="59"/>
        <v>SERVICE</v>
      </c>
      <c r="L304" s="32" t="str">
        <f>"SVC17085"</f>
        <v>SVC17085</v>
      </c>
      <c r="M304" s="33">
        <v>41640</v>
      </c>
      <c r="N304" s="31"/>
      <c r="R304" s="2">
        <f t="shared" si="58"/>
        <v>17</v>
      </c>
    </row>
    <row r="305" spans="1:18" hidden="1" outlineLevel="1" x14ac:dyDescent="0.2">
      <c r="A305" s="30" t="s">
        <v>53</v>
      </c>
      <c r="C305" s="18"/>
      <c r="D305" s="4"/>
      <c r="E305" s="19" t="str">
        <f>"""GP Direct"",""Fabrikam, Inc."",""Jet GL Transactions"",""Account Index"",""125"",""Credit Amount"",""1684.79000"",""Document Number"",""SVC13013"",""Debit Amount"",""0.00000"",""Vendor Name"",""Advanced Paper Co."",""Transaction Description"",""SERVICE"",""Transaction Date"",""1/1/2014"&amp;""""</f>
        <v>"GP Direct","Fabrikam, Inc.","Jet GL Transactions","Account Index","125","Credit Amount","1684.79000","Document Number","SVC13013","Debit Amount","0.00000","Vendor Name","Advanced Paper Co.","Transaction Description","SERVICE","Transaction Date","1/1/2014"</v>
      </c>
      <c r="F305" s="4">
        <v>0</v>
      </c>
      <c r="G305" s="4">
        <v>1684.79</v>
      </c>
      <c r="J305" s="31">
        <f t="shared" si="55"/>
        <v>-1684.79</v>
      </c>
      <c r="K305" s="32" t="str">
        <f t="shared" si="59"/>
        <v>SERVICE</v>
      </c>
      <c r="L305" s="32" t="str">
        <f>"SVC13013"</f>
        <v>SVC13013</v>
      </c>
      <c r="M305" s="33">
        <v>41640</v>
      </c>
      <c r="N305" s="31"/>
      <c r="R305" s="2">
        <f t="shared" si="58"/>
        <v>18</v>
      </c>
    </row>
    <row r="306" spans="1:18" hidden="1" outlineLevel="1" x14ac:dyDescent="0.2">
      <c r="A306" s="30" t="s">
        <v>53</v>
      </c>
      <c r="C306" s="18"/>
      <c r="D306" s="4"/>
      <c r="E306" s="19" t="str">
        <f>"""GP Direct"",""Fabrikam, Inc."",""Jet GL Transactions"",""Account Index"",""125"",""Credit Amount"",""1722.87000"",""Document Number"",""SVC11082"",""Debit Amount"",""0.00000"",""Vendor Name"",""Place One Suites"",""Transaction Description"",""SERVICE"",""Transaction Date"",""1/1/2014"""</f>
        <v>"GP Direct","Fabrikam, Inc.","Jet GL Transactions","Account Index","125","Credit Amount","1722.87000","Document Number","SVC11082","Debit Amount","0.00000","Vendor Name","Place One Suites","Transaction Description","SERVICE","Transaction Date","1/1/2014"</v>
      </c>
      <c r="F306" s="4">
        <v>0</v>
      </c>
      <c r="G306" s="4">
        <v>1722.87</v>
      </c>
      <c r="J306" s="31">
        <f t="shared" si="55"/>
        <v>-1722.87</v>
      </c>
      <c r="K306" s="32" t="str">
        <f t="shared" si="59"/>
        <v>SERVICE</v>
      </c>
      <c r="L306" s="32" t="str">
        <f>"SVC11082"</f>
        <v>SVC11082</v>
      </c>
      <c r="M306" s="33">
        <v>41640</v>
      </c>
      <c r="N306" s="31"/>
      <c r="R306" s="2">
        <f t="shared" si="58"/>
        <v>19</v>
      </c>
    </row>
    <row r="307" spans="1:18" hidden="1" outlineLevel="1" x14ac:dyDescent="0.2">
      <c r="A307" s="30" t="s">
        <v>53</v>
      </c>
      <c r="C307" s="18"/>
      <c r="D307" s="4"/>
      <c r="E307" s="19" t="str">
        <f>"""GP Direct"",""Fabrikam, Inc."",""Jet GL Transactions"",""Account Index"",""125"",""Credit Amount"",""1723.98000"",""Document Number"",""SLS13063"",""Debit Amount"",""0.00000"",""Vendor Name"",""Northern Family Hospital"",""Transaction Description"",""SALES"",""Transaction Date"",""1/1/"&amp;"2014"""</f>
        <v>"GP Direct","Fabrikam, Inc.","Jet GL Transactions","Account Index","125","Credit Amount","1723.98000","Document Number","SLS13063","Debit Amount","0.00000","Vendor Name","Northern Family Hospital","Transaction Description","SALES","Transaction Date","1/1/2014"</v>
      </c>
      <c r="F307" s="4">
        <v>0</v>
      </c>
      <c r="G307" s="4">
        <v>1723.98</v>
      </c>
      <c r="J307" s="31">
        <f t="shared" si="55"/>
        <v>-1723.98</v>
      </c>
      <c r="K307" s="32" t="str">
        <f>"SALES"</f>
        <v>SALES</v>
      </c>
      <c r="L307" s="32" t="str">
        <f>"SLS13063"</f>
        <v>SLS13063</v>
      </c>
      <c r="M307" s="33">
        <v>41640</v>
      </c>
      <c r="N307" s="31"/>
      <c r="R307" s="2">
        <f t="shared" si="58"/>
        <v>20</v>
      </c>
    </row>
    <row r="308" spans="1:18" hidden="1" outlineLevel="1" x14ac:dyDescent="0.2">
      <c r="A308" s="30" t="s">
        <v>53</v>
      </c>
      <c r="C308" s="18"/>
      <c r="D308" s="4"/>
      <c r="E308" s="19" t="str">
        <f>"""GP Direct"",""Fabrikam, Inc."",""Jet GL Transactions"",""Account Index"",""125"",""Credit Amount"",""1732.82000"",""Document Number"",""SLS14075"",""Debit Amount"",""0.00000"",""Vendor Name"",""Rosellen General Hospital"",""Transaction Description"",""SALES"",""Transaction Date"",""1/1"&amp;"/2014"""</f>
        <v>"GP Direct","Fabrikam, Inc.","Jet GL Transactions","Account Index","125","Credit Amount","1732.82000","Document Number","SLS14075","Debit Amount","0.00000","Vendor Name","Rosellen General Hospital","Transaction Description","SALES","Transaction Date","1/1/2014"</v>
      </c>
      <c r="F308" s="4">
        <v>0</v>
      </c>
      <c r="G308" s="4">
        <v>1732.82</v>
      </c>
      <c r="J308" s="31">
        <f t="shared" si="55"/>
        <v>-1732.82</v>
      </c>
      <c r="K308" s="32" t="str">
        <f>"SALES"</f>
        <v>SALES</v>
      </c>
      <c r="L308" s="32" t="str">
        <f>"SLS14075"</f>
        <v>SLS14075</v>
      </c>
      <c r="M308" s="33">
        <v>41640</v>
      </c>
      <c r="N308" s="31"/>
      <c r="R308" s="2">
        <f t="shared" si="58"/>
        <v>21</v>
      </c>
    </row>
    <row r="309" spans="1:18" hidden="1" outlineLevel="1" x14ac:dyDescent="0.2">
      <c r="A309" s="30" t="s">
        <v>53</v>
      </c>
      <c r="C309" s="18"/>
      <c r="D309" s="4"/>
      <c r="E309" s="19" t="str">
        <f>"""GP Direct"",""Fabrikam, Inc."",""Jet GL Transactions"",""Account Index"",""125"",""Credit Amount"",""1784.52000"",""Document Number"",""SVC13081"",""Debit Amount"",""0.00000"",""Vendor Name"",""Office Design Systems Ltd"",""Transaction Description"",""SERVICE"",""Transaction Date"",""1"&amp;"/1/2014"""</f>
        <v>"GP Direct","Fabrikam, Inc.","Jet GL Transactions","Account Index","125","Credit Amount","1784.52000","Document Number","SVC13081","Debit Amount","0.00000","Vendor Name","Office Design Systems Ltd","Transaction Description","SERVICE","Transaction Date","1/1/2014"</v>
      </c>
      <c r="F309" s="4">
        <v>0</v>
      </c>
      <c r="G309" s="4">
        <v>1784.52</v>
      </c>
      <c r="J309" s="31">
        <f t="shared" si="55"/>
        <v>-1784.52</v>
      </c>
      <c r="K309" s="32" t="str">
        <f t="shared" ref="K309:K314" si="60">"SERVICE"</f>
        <v>SERVICE</v>
      </c>
      <c r="L309" s="32" t="str">
        <f>"SVC13081"</f>
        <v>SVC13081</v>
      </c>
      <c r="M309" s="33">
        <v>41640</v>
      </c>
      <c r="N309" s="31"/>
      <c r="R309" s="2">
        <f t="shared" si="58"/>
        <v>22</v>
      </c>
    </row>
    <row r="310" spans="1:18" hidden="1" outlineLevel="1" x14ac:dyDescent="0.2">
      <c r="A310" s="30" t="s">
        <v>53</v>
      </c>
      <c r="C310" s="18"/>
      <c r="D310" s="4"/>
      <c r="E310" s="19" t="str">
        <f>"""GP Direct"",""Fabrikam, Inc."",""Jet GL Transactions"",""Account Index"",""125"",""Credit Amount"",""1799.04000"",""Document Number"",""SVC117001"",""Debit Amount"",""0.00000"",""Vendor Name"",""Northern State College"",""Transaction Description"",""SERVICE"",""Transaction Date"",""1/1"&amp;"/2014"""</f>
        <v>"GP Direct","Fabrikam, Inc.","Jet GL Transactions","Account Index","125","Credit Amount","1799.04000","Document Number","SVC117001","Debit Amount","0.00000","Vendor Name","Northern State College","Transaction Description","SERVICE","Transaction Date","1/1/2014"</v>
      </c>
      <c r="F310" s="4">
        <v>0</v>
      </c>
      <c r="G310" s="4">
        <v>1799.04</v>
      </c>
      <c r="J310" s="31">
        <f t="shared" si="55"/>
        <v>-1799.04</v>
      </c>
      <c r="K310" s="32" t="str">
        <f t="shared" si="60"/>
        <v>SERVICE</v>
      </c>
      <c r="L310" s="32" t="str">
        <f>"SVC117001"</f>
        <v>SVC117001</v>
      </c>
      <c r="M310" s="33">
        <v>41640</v>
      </c>
      <c r="N310" s="31"/>
      <c r="R310" s="2">
        <f t="shared" si="58"/>
        <v>23</v>
      </c>
    </row>
    <row r="311" spans="1:18" hidden="1" outlineLevel="1" x14ac:dyDescent="0.2">
      <c r="A311" s="30" t="s">
        <v>53</v>
      </c>
      <c r="C311" s="18"/>
      <c r="D311" s="4"/>
      <c r="E311" s="19" t="str">
        <f>"""GP Direct"",""Fabrikam, Inc."",""Jet GL Transactions"",""Account Index"",""125"",""Credit Amount"",""1855.69000"",""Document Number"",""SVC13071"",""Debit Amount"",""0.00000"",""Vendor Name"",""Communication Connections"",""Transaction Description"",""SERVICE"",""Transaction Date"",""1"&amp;"/1/2014"""</f>
        <v>"GP Direct","Fabrikam, Inc.","Jet GL Transactions","Account Index","125","Credit Amount","1855.69000","Document Number","SVC13071","Debit Amount","0.00000","Vendor Name","Communication Connections","Transaction Description","SERVICE","Transaction Date","1/1/2014"</v>
      </c>
      <c r="F311" s="4">
        <v>0</v>
      </c>
      <c r="G311" s="4">
        <v>1855.69</v>
      </c>
      <c r="J311" s="31">
        <f t="shared" si="55"/>
        <v>-1855.69</v>
      </c>
      <c r="K311" s="32" t="str">
        <f t="shared" si="60"/>
        <v>SERVICE</v>
      </c>
      <c r="L311" s="32" t="str">
        <f>"SVC13071"</f>
        <v>SVC13071</v>
      </c>
      <c r="M311" s="33">
        <v>41640</v>
      </c>
      <c r="N311" s="31"/>
      <c r="R311" s="2">
        <f t="shared" si="58"/>
        <v>24</v>
      </c>
    </row>
    <row r="312" spans="1:18" hidden="1" outlineLevel="1" x14ac:dyDescent="0.2">
      <c r="A312" s="30" t="s">
        <v>53</v>
      </c>
      <c r="C312" s="18"/>
      <c r="D312" s="4"/>
      <c r="E312" s="19" t="str">
        <f>"""GP Direct"",""Fabrikam, Inc."",""Jet GL Transactions"",""Account Index"",""125"",""Credit Amount"",""1859.63000"",""Document Number"",""SVC11004"",""Debit Amount"",""0.00000"",""Vendor Name"",""Aaron Fitz Electrical"",""Transaction Description"",""SERVICE"",""Transaction Date"",""1/1/2"&amp;"014"""</f>
        <v>"GP Direct","Fabrikam, Inc.","Jet GL Transactions","Account Index","125","Credit Amount","1859.63000","Document Number","SVC11004","Debit Amount","0.00000","Vendor Name","Aaron Fitz Electrical","Transaction Description","SERVICE","Transaction Date","1/1/2014"</v>
      </c>
      <c r="F312" s="4">
        <v>0</v>
      </c>
      <c r="G312" s="4">
        <v>1859.63</v>
      </c>
      <c r="J312" s="31">
        <f t="shared" si="55"/>
        <v>-1859.63</v>
      </c>
      <c r="K312" s="32" t="str">
        <f t="shared" si="60"/>
        <v>SERVICE</v>
      </c>
      <c r="L312" s="32" t="str">
        <f>"SVC11004"</f>
        <v>SVC11004</v>
      </c>
      <c r="M312" s="33">
        <v>41640</v>
      </c>
      <c r="N312" s="31"/>
      <c r="R312" s="2">
        <f t="shared" si="58"/>
        <v>25</v>
      </c>
    </row>
    <row r="313" spans="1:18" hidden="1" outlineLevel="1" x14ac:dyDescent="0.2">
      <c r="A313" s="30" t="s">
        <v>53</v>
      </c>
      <c r="C313" s="18"/>
      <c r="D313" s="4"/>
      <c r="E313" s="19" t="str">
        <f>"""GP Direct"",""Fabrikam, Inc."",""Jet GL Transactions"",""Account Index"",""125"",""Credit Amount"",""2080.94000"",""Document Number"",""SVC115004"",""Debit Amount"",""0.00000"",""Vendor Name"",""Coho Winery"",""Transaction Description"",""SERVICE"",""Transaction Date"",""1/1/2014"""</f>
        <v>"GP Direct","Fabrikam, Inc.","Jet GL Transactions","Account Index","125","Credit Amount","2080.94000","Document Number","SVC115004","Debit Amount","0.00000","Vendor Name","Coho Winery","Transaction Description","SERVICE","Transaction Date","1/1/2014"</v>
      </c>
      <c r="F313" s="4">
        <v>0</v>
      </c>
      <c r="G313" s="4">
        <v>2080.94</v>
      </c>
      <c r="J313" s="31">
        <f t="shared" si="55"/>
        <v>-2080.94</v>
      </c>
      <c r="K313" s="32" t="str">
        <f t="shared" si="60"/>
        <v>SERVICE</v>
      </c>
      <c r="L313" s="32" t="str">
        <f>"SVC115004"</f>
        <v>SVC115004</v>
      </c>
      <c r="M313" s="33">
        <v>41640</v>
      </c>
      <c r="N313" s="31"/>
      <c r="R313" s="2">
        <f t="shared" si="58"/>
        <v>26</v>
      </c>
    </row>
    <row r="314" spans="1:18" hidden="1" outlineLevel="1" x14ac:dyDescent="0.2">
      <c r="A314" s="30" t="s">
        <v>53</v>
      </c>
      <c r="C314" s="18"/>
      <c r="D314" s="4"/>
      <c r="E314" s="19" t="str">
        <f>"""GP Direct"",""Fabrikam, Inc."",""Jet GL Transactions"",""Account Index"",""125"",""Credit Amount"",""2109.87000"",""Document Number"",""SVC113001"",""Debit Amount"",""0.00000"",""Vendor Name"",""Heartland Tower Systems"",""Transaction Description"",""SERVICE"",""Transaction Date"",""1/"&amp;"1/2014"""</f>
        <v>"GP Direct","Fabrikam, Inc.","Jet GL Transactions","Account Index","125","Credit Amount","2109.87000","Document Number","SVC113001","Debit Amount","0.00000","Vendor Name","Heartland Tower Systems","Transaction Description","SERVICE","Transaction Date","1/1/2014"</v>
      </c>
      <c r="F314" s="4">
        <v>0</v>
      </c>
      <c r="G314" s="4">
        <v>2109.87</v>
      </c>
      <c r="J314" s="31">
        <f t="shared" si="55"/>
        <v>-2109.87</v>
      </c>
      <c r="K314" s="32" t="str">
        <f t="shared" si="60"/>
        <v>SERVICE</v>
      </c>
      <c r="L314" s="32" t="str">
        <f>"SVC113001"</f>
        <v>SVC113001</v>
      </c>
      <c r="M314" s="33">
        <v>41640</v>
      </c>
      <c r="N314" s="31"/>
      <c r="R314" s="2">
        <f t="shared" si="58"/>
        <v>27</v>
      </c>
    </row>
    <row r="315" spans="1:18" hidden="1" outlineLevel="1" x14ac:dyDescent="0.2">
      <c r="A315" s="30" t="s">
        <v>53</v>
      </c>
      <c r="C315" s="18"/>
      <c r="D315" s="4"/>
      <c r="E315" s="19" t="str">
        <f>"""GP Direct"",""Fabrikam, Inc."",""Jet GL Transactions"",""Account Index"",""125"",""Credit Amount"",""2157.63000"",""Document Number"",""SLS13024"",""Debit Amount"",""0.00000"",""Vendor Name"",""Contoso, Ltd."",""Transaction Description"",""SALES"",""Transaction Date"",""1/1/2014"""</f>
        <v>"GP Direct","Fabrikam, Inc.","Jet GL Transactions","Account Index","125","Credit Amount","2157.63000","Document Number","SLS13024","Debit Amount","0.00000","Vendor Name","Contoso, Ltd.","Transaction Description","SALES","Transaction Date","1/1/2014"</v>
      </c>
      <c r="F315" s="4">
        <v>0</v>
      </c>
      <c r="G315" s="4">
        <v>2157.63</v>
      </c>
      <c r="J315" s="31">
        <f t="shared" si="55"/>
        <v>-2157.63</v>
      </c>
      <c r="K315" s="32" t="str">
        <f>"SALES"</f>
        <v>SALES</v>
      </c>
      <c r="L315" s="32" t="str">
        <f>"SLS13024"</f>
        <v>SLS13024</v>
      </c>
      <c r="M315" s="33">
        <v>41640</v>
      </c>
      <c r="N315" s="31"/>
      <c r="R315" s="2">
        <f t="shared" si="58"/>
        <v>28</v>
      </c>
    </row>
    <row r="316" spans="1:18" hidden="1" outlineLevel="1" x14ac:dyDescent="0.2">
      <c r="A316" s="30" t="s">
        <v>53</v>
      </c>
      <c r="C316" s="18"/>
      <c r="D316" s="4"/>
      <c r="E316" s="19" t="str">
        <f>"""GP Direct"",""Fabrikam, Inc."",""Jet GL Transactions"",""Account Index"",""125"",""Credit Amount"",""2158.96000"",""Document Number"",""SLS18013"",""Debit Amount"",""0.00000"",""Vendor Name"",""Dial Direct Paging Inc."",""Transaction Description"",""SALES"",""Transaction Date"",""1/1/2"&amp;"014"""</f>
        <v>"GP Direct","Fabrikam, Inc.","Jet GL Transactions","Account Index","125","Credit Amount","2158.96000","Document Number","SLS18013","Debit Amount","0.00000","Vendor Name","Dial Direct Paging Inc.","Transaction Description","SALES","Transaction Date","1/1/2014"</v>
      </c>
      <c r="F316" s="4">
        <v>0</v>
      </c>
      <c r="G316" s="4">
        <v>2158.96</v>
      </c>
      <c r="J316" s="31">
        <f t="shared" si="55"/>
        <v>-2158.96</v>
      </c>
      <c r="K316" s="32" t="str">
        <f>"SALES"</f>
        <v>SALES</v>
      </c>
      <c r="L316" s="32" t="str">
        <f>"SLS18013"</f>
        <v>SLS18013</v>
      </c>
      <c r="M316" s="33">
        <v>41640</v>
      </c>
      <c r="N316" s="31"/>
      <c r="R316" s="2">
        <f t="shared" si="58"/>
        <v>29</v>
      </c>
    </row>
    <row r="317" spans="1:18" hidden="1" outlineLevel="1" x14ac:dyDescent="0.2">
      <c r="A317" s="30" t="s">
        <v>53</v>
      </c>
      <c r="C317" s="18"/>
      <c r="D317" s="4"/>
      <c r="E317" s="19" t="str">
        <f>"""GP Direct"",""Fabrikam, Inc."",""Jet GL Transactions"",""Account Index"",""125"",""Credit Amount"",""2159.87000"",""Document Number"",""SVC11021"",""Debit Amount"",""0.00000"",""Vendor Name"",""Associated Insurance Company"",""Transaction Description"",""SERVICE"",""Transaction Date"""&amp;",""1/1/2014"""</f>
        <v>"GP Direct","Fabrikam, Inc.","Jet GL Transactions","Account Index","125","Credit Amount","2159.87000","Document Number","SVC11021","Debit Amount","0.00000","Vendor Name","Associated Insurance Company","Transaction Description","SERVICE","Transaction Date","1/1/2014"</v>
      </c>
      <c r="F317" s="4">
        <v>0</v>
      </c>
      <c r="G317" s="4">
        <v>2159.87</v>
      </c>
      <c r="J317" s="31">
        <f t="shared" si="55"/>
        <v>-2159.87</v>
      </c>
      <c r="K317" s="32" t="str">
        <f>"SERVICE"</f>
        <v>SERVICE</v>
      </c>
      <c r="L317" s="32" t="str">
        <f>"SVC11021"</f>
        <v>SVC11021</v>
      </c>
      <c r="M317" s="33">
        <v>41640</v>
      </c>
      <c r="N317" s="31"/>
      <c r="R317" s="2">
        <f t="shared" si="58"/>
        <v>30</v>
      </c>
    </row>
    <row r="318" spans="1:18" hidden="1" outlineLevel="1" x14ac:dyDescent="0.2">
      <c r="A318" s="30" t="s">
        <v>53</v>
      </c>
      <c r="C318" s="18"/>
      <c r="D318" s="4"/>
      <c r="E318" s="19" t="str">
        <f>"""GP Direct"",""Fabrikam, Inc."",""Jet GL Transactions"",""Account Index"",""125"",""Credit Amount"",""2356.89000"",""Document Number"",""SVC11013"",""Debit Amount"",""0.00000"",""Vendor Name"",""Aaron Fitz Electrical"",""Transaction Description"",""SERVICE"",""Transaction Date"",""1/1/2"&amp;"014"""</f>
        <v>"GP Direct","Fabrikam, Inc.","Jet GL Transactions","Account Index","125","Credit Amount","2356.89000","Document Number","SVC11013","Debit Amount","0.00000","Vendor Name","Aaron Fitz Electrical","Transaction Description","SERVICE","Transaction Date","1/1/2014"</v>
      </c>
      <c r="F318" s="4">
        <v>0</v>
      </c>
      <c r="G318" s="4">
        <v>2356.89</v>
      </c>
      <c r="J318" s="31">
        <f t="shared" si="55"/>
        <v>-2356.89</v>
      </c>
      <c r="K318" s="32" t="str">
        <f>"SERVICE"</f>
        <v>SERVICE</v>
      </c>
      <c r="L318" s="32" t="str">
        <f>"SVC11013"</f>
        <v>SVC11013</v>
      </c>
      <c r="M318" s="33">
        <v>41640</v>
      </c>
      <c r="N318" s="31"/>
      <c r="R318" s="2">
        <f t="shared" si="58"/>
        <v>31</v>
      </c>
    </row>
    <row r="319" spans="1:18" hidden="1" outlineLevel="1" x14ac:dyDescent="0.2">
      <c r="A319" s="30" t="s">
        <v>53</v>
      </c>
      <c r="C319" s="18"/>
      <c r="D319" s="4"/>
      <c r="E319" s="19" t="str">
        <f>"""GP Direct"",""Fabrikam, Inc."",""Jet GL Transactions"",""Account Index"",""125"",""Credit Amount"",""2399.74000"",""Document Number"",""SVC116001"",""Debit Amount"",""0.00000"",""Vendor Name"",""Polk Valley Highway Dept."",""Transaction Description"",""SERVICE"",""Transaction Date"","""&amp;"1/1/2014"""</f>
        <v>"GP Direct","Fabrikam, Inc.","Jet GL Transactions","Account Index","125","Credit Amount","2399.74000","Document Number","SVC116001","Debit Amount","0.00000","Vendor Name","Polk Valley Highway Dept.","Transaction Description","SERVICE","Transaction Date","1/1/2014"</v>
      </c>
      <c r="F319" s="4">
        <v>0</v>
      </c>
      <c r="G319" s="4">
        <v>2399.7399999999998</v>
      </c>
      <c r="J319" s="31">
        <f t="shared" si="55"/>
        <v>-2399.7399999999998</v>
      </c>
      <c r="K319" s="32" t="str">
        <f>"SERVICE"</f>
        <v>SERVICE</v>
      </c>
      <c r="L319" s="32" t="str">
        <f>"SVC116001"</f>
        <v>SVC116001</v>
      </c>
      <c r="M319" s="33">
        <v>41640</v>
      </c>
      <c r="N319" s="31"/>
      <c r="R319" s="2">
        <f t="shared" si="58"/>
        <v>32</v>
      </c>
    </row>
    <row r="320" spans="1:18" hidden="1" outlineLevel="1" x14ac:dyDescent="0.2">
      <c r="A320" s="30" t="s">
        <v>53</v>
      </c>
      <c r="C320" s="18"/>
      <c r="D320" s="4"/>
      <c r="E320" s="19" t="str">
        <f>"""GP Direct"",""Fabrikam, Inc."",""Jet GL Transactions"",""Account Index"",""125"",""Credit Amount"",""2477.31000"",""Document Number"",""SVC13012"",""Debit Amount"",""0.00000"",""Vendor Name"",""Adam Park Resort"",""Transaction Description"",""SERVICE"",""Transaction Date"",""1/1/2014"""</f>
        <v>"GP Direct","Fabrikam, Inc.","Jet GL Transactions","Account Index","125","Credit Amount","2477.31000","Document Number","SVC13012","Debit Amount","0.00000","Vendor Name","Adam Park Resort","Transaction Description","SERVICE","Transaction Date","1/1/2014"</v>
      </c>
      <c r="F320" s="4">
        <v>0</v>
      </c>
      <c r="G320" s="4">
        <v>2477.31</v>
      </c>
      <c r="J320" s="31">
        <f t="shared" si="55"/>
        <v>-2477.31</v>
      </c>
      <c r="K320" s="32" t="str">
        <f>"SERVICE"</f>
        <v>SERVICE</v>
      </c>
      <c r="L320" s="32" t="str">
        <f>"SVC13012"</f>
        <v>SVC13012</v>
      </c>
      <c r="M320" s="33">
        <v>41640</v>
      </c>
      <c r="N320" s="31"/>
      <c r="R320" s="2">
        <f t="shared" si="58"/>
        <v>33</v>
      </c>
    </row>
    <row r="321" spans="1:18" hidden="1" outlineLevel="1" x14ac:dyDescent="0.2">
      <c r="A321" s="30" t="s">
        <v>53</v>
      </c>
      <c r="C321" s="18"/>
      <c r="D321" s="4"/>
      <c r="E321" s="19" t="str">
        <f>"""GP Direct"",""Fabrikam, Inc."",""Jet GL Transactions"",""Account Index"",""125"",""Credit Amount"",""2495.53000"",""Document Number"",""SVC17035"",""Debit Amount"",""0.00000"",""Vendor Name"",""Metropolitan Fiber Systems"",""Transaction Description"",""SERVICE"",""Transaction Date"","""&amp;"1/1/2014"""</f>
        <v>"GP Direct","Fabrikam, Inc.","Jet GL Transactions","Account Index","125","Credit Amount","2495.53000","Document Number","SVC17035","Debit Amount","0.00000","Vendor Name","Metropolitan Fiber Systems","Transaction Description","SERVICE","Transaction Date","1/1/2014"</v>
      </c>
      <c r="F321" s="4">
        <v>0</v>
      </c>
      <c r="G321" s="4">
        <v>2495.5300000000002</v>
      </c>
      <c r="J321" s="31">
        <f t="shared" si="55"/>
        <v>-2495.5300000000002</v>
      </c>
      <c r="K321" s="32" t="str">
        <f>"SERVICE"</f>
        <v>SERVICE</v>
      </c>
      <c r="L321" s="32" t="str">
        <f>"SVC17035"</f>
        <v>SVC17035</v>
      </c>
      <c r="M321" s="33">
        <v>41640</v>
      </c>
      <c r="N321" s="31"/>
      <c r="R321" s="2">
        <f t="shared" si="58"/>
        <v>34</v>
      </c>
    </row>
    <row r="322" spans="1:18" hidden="1" outlineLevel="1" x14ac:dyDescent="0.2">
      <c r="A322" s="30" t="s">
        <v>53</v>
      </c>
      <c r="C322" s="18"/>
      <c r="D322" s="4"/>
      <c r="E322" s="19" t="str">
        <f>"""GP Direct"",""Fabrikam, Inc."",""Jet GL Transactions"",""Account Index"",""125"",""Credit Amount"",""2764.91000"",""Document Number"",""SLS16020"",""Debit Amount"",""0.00000"",""Vendor Name"",""Multitech Office Components"",""Transaction Description"",""SALES"",""Transaction Date"",""1"&amp;"/1/2014"""</f>
        <v>"GP Direct","Fabrikam, Inc.","Jet GL Transactions","Account Index","125","Credit Amount","2764.91000","Document Number","SLS16020","Debit Amount","0.00000","Vendor Name","Multitech Office Components","Transaction Description","SALES","Transaction Date","1/1/2014"</v>
      </c>
      <c r="F322" s="4">
        <v>0</v>
      </c>
      <c r="G322" s="4">
        <v>2764.91</v>
      </c>
      <c r="J322" s="31">
        <f t="shared" si="55"/>
        <v>-2764.91</v>
      </c>
      <c r="K322" s="32" t="str">
        <f>"SALES"</f>
        <v>SALES</v>
      </c>
      <c r="L322" s="32" t="str">
        <f>"SLS16020"</f>
        <v>SLS16020</v>
      </c>
      <c r="M322" s="33">
        <v>41640</v>
      </c>
      <c r="N322" s="31"/>
      <c r="R322" s="2">
        <f t="shared" si="58"/>
        <v>35</v>
      </c>
    </row>
    <row r="323" spans="1:18" hidden="1" outlineLevel="1" x14ac:dyDescent="0.2">
      <c r="A323" s="30" t="s">
        <v>53</v>
      </c>
      <c r="C323" s="18"/>
      <c r="D323" s="4"/>
      <c r="E323" s="19" t="str">
        <f>"""GP Direct"",""Fabrikam, Inc."",""Jet GL Transactions"",""Account Index"",""125"",""Credit Amount"",""2883.93000"",""Document Number"",""SVS113051"",""Debit Amount"",""0.00000"",""Vendor Name"",""Mahler State University"",""Transaction Description"",""SERVICE"",""Transaction Date"",""1/"&amp;"1/2014"""</f>
        <v>"GP Direct","Fabrikam, Inc.","Jet GL Transactions","Account Index","125","Credit Amount","2883.93000","Document Number","SVS113051","Debit Amount","0.00000","Vendor Name","Mahler State University","Transaction Description","SERVICE","Transaction Date","1/1/2014"</v>
      </c>
      <c r="F323" s="4">
        <v>0</v>
      </c>
      <c r="G323" s="4">
        <v>2883.93</v>
      </c>
      <c r="J323" s="31">
        <f t="shared" si="55"/>
        <v>-2883.93</v>
      </c>
      <c r="K323" s="32" t="str">
        <f t="shared" ref="K323:K329" si="61">"SERVICE"</f>
        <v>SERVICE</v>
      </c>
      <c r="L323" s="32" t="str">
        <f>"SVS113051"</f>
        <v>SVS113051</v>
      </c>
      <c r="M323" s="33">
        <v>41640</v>
      </c>
      <c r="N323" s="31"/>
      <c r="R323" s="2">
        <f t="shared" si="58"/>
        <v>36</v>
      </c>
    </row>
    <row r="324" spans="1:18" hidden="1" outlineLevel="1" x14ac:dyDescent="0.2">
      <c r="A324" s="30" t="s">
        <v>53</v>
      </c>
      <c r="C324" s="18"/>
      <c r="D324" s="4"/>
      <c r="E324" s="19" t="str">
        <f>"""GP Direct"",""Fabrikam, Inc."",""Jet GL Transactions"",""Account Index"",""125"",""Credit Amount"",""2966.78000"",""Document Number"",""SVC17012"",""Debit Amount"",""0.00000"",""Vendor Name"",""Midland Construction"",""Transaction Description"",""SERVICE"",""Transaction Date"",""1/1/20"&amp;"14"""</f>
        <v>"GP Direct","Fabrikam, Inc.","Jet GL Transactions","Account Index","125","Credit Amount","2966.78000","Document Number","SVC17012","Debit Amount","0.00000","Vendor Name","Midland Construction","Transaction Description","SERVICE","Transaction Date","1/1/2014"</v>
      </c>
      <c r="F324" s="4">
        <v>0</v>
      </c>
      <c r="G324" s="4">
        <v>2966.78</v>
      </c>
      <c r="J324" s="31">
        <f t="shared" si="55"/>
        <v>-2966.78</v>
      </c>
      <c r="K324" s="32" t="str">
        <f t="shared" si="61"/>
        <v>SERVICE</v>
      </c>
      <c r="L324" s="32" t="str">
        <f>"SVC17012"</f>
        <v>SVC17012</v>
      </c>
      <c r="M324" s="33">
        <v>41640</v>
      </c>
      <c r="N324" s="31"/>
      <c r="R324" s="2">
        <f t="shared" si="58"/>
        <v>37</v>
      </c>
    </row>
    <row r="325" spans="1:18" hidden="1" outlineLevel="1" x14ac:dyDescent="0.2">
      <c r="A325" s="30" t="s">
        <v>53</v>
      </c>
      <c r="C325" s="18"/>
      <c r="D325" s="4"/>
      <c r="E325" s="19" t="str">
        <f>"""GP Direct"",""Fabrikam, Inc."",""Jet GL Transactions"",""Account Index"",""125"",""Credit Amount"",""2977.74000"",""Document Number"",""SVC120002"",""Debit Amount"",""0.00000"",""Vendor Name"",""Franchise Office Machines"",""Transaction Description"",""SERVICE"",""Transaction Date"","""&amp;"1/1/2014"""</f>
        <v>"GP Direct","Fabrikam, Inc.","Jet GL Transactions","Account Index","125","Credit Amount","2977.74000","Document Number","SVC120002","Debit Amount","0.00000","Vendor Name","Franchise Office Machines","Transaction Description","SERVICE","Transaction Date","1/1/2014"</v>
      </c>
      <c r="F325" s="4">
        <v>0</v>
      </c>
      <c r="G325" s="4">
        <v>2977.74</v>
      </c>
      <c r="J325" s="31">
        <f t="shared" si="55"/>
        <v>-2977.74</v>
      </c>
      <c r="K325" s="32" t="str">
        <f t="shared" si="61"/>
        <v>SERVICE</v>
      </c>
      <c r="L325" s="32" t="str">
        <f>"SVC120002"</f>
        <v>SVC120002</v>
      </c>
      <c r="M325" s="33">
        <v>41640</v>
      </c>
      <c r="N325" s="31"/>
      <c r="R325" s="2">
        <f t="shared" si="58"/>
        <v>38</v>
      </c>
    </row>
    <row r="326" spans="1:18" hidden="1" outlineLevel="1" x14ac:dyDescent="0.2">
      <c r="A326" s="30" t="s">
        <v>53</v>
      </c>
      <c r="C326" s="18"/>
      <c r="D326" s="4"/>
      <c r="E326" s="19" t="str">
        <f>"""GP Direct"",""Fabrikam, Inc."",""Jet GL Transactions"",""Account Index"",""125"",""Credit Amount"",""3145.29000"",""Document Number"",""SVC18031"",""Debit Amount"",""0.00000"",""Vendor Name"",""Nova Systems, Inc."",""Transaction Description"",""SERVICE"",""Transaction Date"",""1/1/2014"&amp;""""</f>
        <v>"GP Direct","Fabrikam, Inc.","Jet GL Transactions","Account Index","125","Credit Amount","3145.29000","Document Number","SVC18031","Debit Amount","0.00000","Vendor Name","Nova Systems, Inc.","Transaction Description","SERVICE","Transaction Date","1/1/2014"</v>
      </c>
      <c r="F326" s="4">
        <v>0</v>
      </c>
      <c r="G326" s="4">
        <v>3145.29</v>
      </c>
      <c r="J326" s="31">
        <f t="shared" si="55"/>
        <v>-3145.29</v>
      </c>
      <c r="K326" s="32" t="str">
        <f t="shared" si="61"/>
        <v>SERVICE</v>
      </c>
      <c r="L326" s="32" t="str">
        <f>"SVC18031"</f>
        <v>SVC18031</v>
      </c>
      <c r="M326" s="33">
        <v>41640</v>
      </c>
      <c r="N326" s="31"/>
      <c r="R326" s="2">
        <f t="shared" si="58"/>
        <v>39</v>
      </c>
    </row>
    <row r="327" spans="1:18" hidden="1" outlineLevel="1" x14ac:dyDescent="0.2">
      <c r="A327" s="30" t="s">
        <v>53</v>
      </c>
      <c r="C327" s="18"/>
      <c r="D327" s="4"/>
      <c r="E327" s="19" t="str">
        <f>"""GP Direct"",""Fabrikam, Inc."",""Jet GL Transactions"",""Account Index"",""125"",""Credit Amount"",""3488.57000"",""Document Number"",""SVC16010"",""Debit Amount"",""0.00000"",""Vendor Name"",""Getaway Inn"",""Transaction Description"",""SERVICE"",""Transaction Date"",""1/1/2014"""</f>
        <v>"GP Direct","Fabrikam, Inc.","Jet GL Transactions","Account Index","125","Credit Amount","3488.57000","Document Number","SVC16010","Debit Amount","0.00000","Vendor Name","Getaway Inn","Transaction Description","SERVICE","Transaction Date","1/1/2014"</v>
      </c>
      <c r="F327" s="4">
        <v>0</v>
      </c>
      <c r="G327" s="4">
        <v>3488.57</v>
      </c>
      <c r="J327" s="31">
        <f t="shared" si="55"/>
        <v>-3488.57</v>
      </c>
      <c r="K327" s="32" t="str">
        <f t="shared" si="61"/>
        <v>SERVICE</v>
      </c>
      <c r="L327" s="32" t="str">
        <f>"SVC16010"</f>
        <v>SVC16010</v>
      </c>
      <c r="M327" s="33">
        <v>41640</v>
      </c>
      <c r="N327" s="31"/>
      <c r="R327" s="2">
        <f t="shared" si="58"/>
        <v>40</v>
      </c>
    </row>
    <row r="328" spans="1:18" hidden="1" outlineLevel="1" x14ac:dyDescent="0.2">
      <c r="A328" s="30" t="s">
        <v>53</v>
      </c>
      <c r="C328" s="18"/>
      <c r="D328" s="4"/>
      <c r="E328" s="19" t="str">
        <f>"""GP Direct"",""Fabrikam, Inc."",""Jet GL Transactions"",""Account Index"",""125"",""Credit Amount"",""3598.75000"",""Document Number"",""SVC15031"",""Debit Amount"",""0.00000"",""Vendor Name"",""Direct Marketers"",""Transaction Description"",""SERVICE"",""Transaction Date"",""1/1/2014"""</f>
        <v>"GP Direct","Fabrikam, Inc.","Jet GL Transactions","Account Index","125","Credit Amount","3598.75000","Document Number","SVC15031","Debit Amount","0.00000","Vendor Name","Direct Marketers","Transaction Description","SERVICE","Transaction Date","1/1/2014"</v>
      </c>
      <c r="F328" s="4">
        <v>0</v>
      </c>
      <c r="G328" s="4">
        <v>3598.75</v>
      </c>
      <c r="J328" s="31">
        <f t="shared" si="55"/>
        <v>-3598.75</v>
      </c>
      <c r="K328" s="32" t="str">
        <f t="shared" si="61"/>
        <v>SERVICE</v>
      </c>
      <c r="L328" s="32" t="str">
        <f>"SVC15031"</f>
        <v>SVC15031</v>
      </c>
      <c r="M328" s="33">
        <v>41640</v>
      </c>
      <c r="N328" s="31"/>
      <c r="R328" s="2">
        <f t="shared" si="58"/>
        <v>41</v>
      </c>
    </row>
    <row r="329" spans="1:18" hidden="1" outlineLevel="1" x14ac:dyDescent="0.2">
      <c r="A329" s="30" t="s">
        <v>53</v>
      </c>
      <c r="C329" s="18"/>
      <c r="D329" s="4"/>
      <c r="E329" s="19" t="str">
        <f>"""GP Direct"",""Fabrikam, Inc."",""Jet GL Transactions"",""Account Index"",""125"",""Credit Amount"",""7972.75000"",""Document Number"",""SVC115011"",""Debit Amount"",""0.00000"",""Vendor Name"",""Mid-City Hospital"",""Transaction Description"",""SERVICE"",""Transaction Date"",""1/1/2014"&amp;""""</f>
        <v>"GP Direct","Fabrikam, Inc.","Jet GL Transactions","Account Index","125","Credit Amount","7972.75000","Document Number","SVC115011","Debit Amount","0.00000","Vendor Name","Mid-City Hospital","Transaction Description","SERVICE","Transaction Date","1/1/2014"</v>
      </c>
      <c r="F329" s="4">
        <v>0</v>
      </c>
      <c r="G329" s="4">
        <v>7972.75</v>
      </c>
      <c r="J329" s="31">
        <f t="shared" si="55"/>
        <v>-7972.75</v>
      </c>
      <c r="K329" s="32" t="str">
        <f t="shared" si="61"/>
        <v>SERVICE</v>
      </c>
      <c r="L329" s="32" t="str">
        <f>"SVC115011"</f>
        <v>SVC115011</v>
      </c>
      <c r="M329" s="33">
        <v>41640</v>
      </c>
      <c r="N329" s="31"/>
      <c r="R329" s="2">
        <f t="shared" si="58"/>
        <v>42</v>
      </c>
    </row>
    <row r="330" spans="1:18" hidden="1" x14ac:dyDescent="0.2">
      <c r="A330" s="29" t="s">
        <v>1386</v>
      </c>
      <c r="C330" s="18"/>
    </row>
    <row r="331" spans="1:18" ht="17.25" customHeight="1" collapsed="1" x14ac:dyDescent="0.2">
      <c r="A331" s="30" t="s">
        <v>53</v>
      </c>
      <c r="C331" s="14" t="str">
        <f>"000-4141-00"</f>
        <v>000-4141-00</v>
      </c>
      <c r="D331" s="2">
        <v>126</v>
      </c>
      <c r="E331" s="2"/>
      <c r="F331" s="2" t="s">
        <v>10</v>
      </c>
      <c r="G331" s="2" t="s">
        <v>8</v>
      </c>
      <c r="H331" s="13" t="str">
        <f>"  "&amp;C331</f>
        <v xml:space="preserve">  000-4141-00</v>
      </c>
      <c r="I331" s="15" t="str">
        <f>"Canadian Sales - Repair Charges"</f>
        <v>Canadian Sales - Repair Charges</v>
      </c>
      <c r="J331" s="16">
        <f>SUM(J332:J333)</f>
        <v>-4841.26</v>
      </c>
      <c r="K331" s="13"/>
      <c r="L331" s="13"/>
      <c r="M331" s="13"/>
      <c r="N331" s="17">
        <v>-12000</v>
      </c>
      <c r="O331" s="16">
        <f>J331-N331</f>
        <v>7158.74</v>
      </c>
    </row>
    <row r="332" spans="1:18" hidden="1" outlineLevel="1" x14ac:dyDescent="0.2">
      <c r="A332" s="30" t="s">
        <v>53</v>
      </c>
      <c r="C332" s="18"/>
      <c r="D332" s="4"/>
      <c r="E332" s="19" t="str">
        <f>"""GP Direct"",""Fabrikam, Inc."",""Jet GL Transactions"",""Account Index"",""126"",""Credit Amount"",""4841.26000"",""Document Number"","""",""Debit Amount"",""0.00000"",""Vendor Name"","""",""Transaction Description"","""",""Transaction Date"",""1/15/2014"""</f>
        <v>"GP Direct","Fabrikam, Inc.","Jet GL Transactions","Account Index","126","Credit Amount","4841.26000","Document Number","","Debit Amount","0.00000","Vendor Name","","Transaction Description","","Transaction Date","1/15/2014"</v>
      </c>
      <c r="F332" s="4">
        <v>0</v>
      </c>
      <c r="G332" s="4">
        <v>4841.26</v>
      </c>
      <c r="J332" s="31">
        <f>IF(AND(F332="",G332=""),"",$F332-$G332)</f>
        <v>-4841.26</v>
      </c>
      <c r="K332" s="32" t="str">
        <f>""</f>
        <v/>
      </c>
      <c r="L332" s="32" t="str">
        <f>""</f>
        <v/>
      </c>
      <c r="M332" s="33">
        <v>41654</v>
      </c>
      <c r="N332" s="31"/>
      <c r="R332" s="2">
        <f t="shared" ref="R332" si="62">R331+1</f>
        <v>1</v>
      </c>
    </row>
    <row r="333" spans="1:18" hidden="1" x14ac:dyDescent="0.2">
      <c r="A333" s="29" t="s">
        <v>1386</v>
      </c>
      <c r="C333" s="18"/>
    </row>
    <row r="334" spans="1:18" ht="17.25" customHeight="1" collapsed="1" x14ac:dyDescent="0.2">
      <c r="A334" s="30" t="s">
        <v>53</v>
      </c>
      <c r="C334" s="14" t="str">
        <f>"000-4142-00"</f>
        <v>000-4142-00</v>
      </c>
      <c r="D334" s="2">
        <v>127</v>
      </c>
      <c r="E334" s="2"/>
      <c r="F334" s="2" t="s">
        <v>10</v>
      </c>
      <c r="G334" s="2" t="s">
        <v>8</v>
      </c>
      <c r="H334" s="13" t="str">
        <f>"  "&amp;C334</f>
        <v xml:space="preserve">  000-4142-00</v>
      </c>
      <c r="I334" s="15" t="str">
        <f>"AustralAsian Sales - Repair Charges"</f>
        <v>AustralAsian Sales - Repair Charges</v>
      </c>
      <c r="J334" s="16">
        <f>SUM(J335:J337)</f>
        <v>-4359.4000000000005</v>
      </c>
      <c r="K334" s="13"/>
      <c r="L334" s="13"/>
      <c r="M334" s="13"/>
      <c r="N334" s="17">
        <v>-12000</v>
      </c>
      <c r="O334" s="16">
        <f>J334-N334</f>
        <v>7640.5999999999995</v>
      </c>
    </row>
    <row r="335" spans="1:18" hidden="1" outlineLevel="1" x14ac:dyDescent="0.2">
      <c r="A335" s="30" t="s">
        <v>53</v>
      </c>
      <c r="C335" s="18"/>
      <c r="D335" s="4"/>
      <c r="E335" s="19" t="str">
        <f>"""GP Direct"",""Fabrikam, Inc."",""Jet GL Transactions"",""Account Index"",""127"",""Credit Amount"",""1859.64000"",""Document Number"",""SVC14093"",""Debit Amount"",""0.00000"",""Vendor Name"",""Computer Equipment Leasing"",""Transaction Description"",""SERVICE"",""Transaction Date"","""&amp;"1/1/2014"""</f>
        <v>"GP Direct","Fabrikam, Inc.","Jet GL Transactions","Account Index","127","Credit Amount","1859.64000","Document Number","SVC14093","Debit Amount","0.00000","Vendor Name","Computer Equipment Leasing","Transaction Description","SERVICE","Transaction Date","1/1/2014"</v>
      </c>
      <c r="F335" s="4">
        <v>0</v>
      </c>
      <c r="G335" s="4">
        <v>1859.64</v>
      </c>
      <c r="J335" s="31">
        <f>IF(AND(F335="",G335=""),"",$F335-$G335)</f>
        <v>-1859.64</v>
      </c>
      <c r="K335" s="32" t="str">
        <f>"SERVICE"</f>
        <v>SERVICE</v>
      </c>
      <c r="L335" s="32" t="str">
        <f>"SVC14093"</f>
        <v>SVC14093</v>
      </c>
      <c r="M335" s="33">
        <v>41640</v>
      </c>
      <c r="N335" s="31"/>
      <c r="R335" s="2">
        <f t="shared" ref="R335" si="63">R334+1</f>
        <v>1</v>
      </c>
    </row>
    <row r="336" spans="1:18" hidden="1" outlineLevel="1" x14ac:dyDescent="0.2">
      <c r="A336" s="30" t="s">
        <v>53</v>
      </c>
      <c r="C336" s="18"/>
      <c r="D336" s="4"/>
      <c r="E336" s="19" t="str">
        <f>"""GP Direct"",""Fabrikam, Inc."",""Jet GL Transactions"",""Account Index"",""127"",""Credit Amount"",""2499.76000"",""Document Number"",""SVC16094"",""Debit Amount"",""0.00000"",""Vendor Name"",""Executive Resources"",""Transaction Description"",""SERVICE"",""Transaction Date"",""1/1/201"&amp;"4"""</f>
        <v>"GP Direct","Fabrikam, Inc.","Jet GL Transactions","Account Index","127","Credit Amount","2499.76000","Document Number","SVC16094","Debit Amount","0.00000","Vendor Name","Executive Resources","Transaction Description","SERVICE","Transaction Date","1/1/2014"</v>
      </c>
      <c r="F336" s="4">
        <v>0</v>
      </c>
      <c r="G336" s="4">
        <v>2499.7600000000002</v>
      </c>
      <c r="J336" s="31">
        <f>IF(AND(F336="",G336=""),"",$F336-$G336)</f>
        <v>-2499.7600000000002</v>
      </c>
      <c r="K336" s="32" t="str">
        <f>"SERVICE"</f>
        <v>SERVICE</v>
      </c>
      <c r="L336" s="32" t="str">
        <f>"SVC16094"</f>
        <v>SVC16094</v>
      </c>
      <c r="M336" s="33">
        <v>41640</v>
      </c>
      <c r="N336" s="31"/>
      <c r="R336" s="2">
        <f t="shared" ref="R336" si="64">R335+1</f>
        <v>2</v>
      </c>
    </row>
    <row r="337" spans="1:18" hidden="1" x14ac:dyDescent="0.2">
      <c r="A337" s="29" t="s">
        <v>1386</v>
      </c>
      <c r="C337" s="18"/>
    </row>
    <row r="338" spans="1:18" ht="17.25" customHeight="1" collapsed="1" x14ac:dyDescent="0.2">
      <c r="A338" s="30" t="s">
        <v>53</v>
      </c>
      <c r="C338" s="14" t="str">
        <f>"000-4176-00"</f>
        <v>000-4176-00</v>
      </c>
      <c r="D338" s="2">
        <v>387</v>
      </c>
      <c r="E338" s="2"/>
      <c r="F338" s="2" t="s">
        <v>10</v>
      </c>
      <c r="G338" s="2" t="s">
        <v>8</v>
      </c>
      <c r="H338" s="13" t="str">
        <f>"  "&amp;C338</f>
        <v xml:space="preserve">  000-4176-00</v>
      </c>
      <c r="I338" s="15" t="str">
        <f>"South Africa Sales Discount"</f>
        <v>South Africa Sales Discount</v>
      </c>
      <c r="J338" s="16">
        <f>SUM(J339:J340)</f>
        <v>0</v>
      </c>
      <c r="K338" s="13"/>
      <c r="L338" s="13"/>
      <c r="M338" s="13"/>
      <c r="N338" s="17">
        <v>0</v>
      </c>
      <c r="O338" s="16">
        <f>J338-N338</f>
        <v>0</v>
      </c>
    </row>
    <row r="339" spans="1:18" hidden="1" outlineLevel="1" x14ac:dyDescent="0.2">
      <c r="A339" s="30" t="s">
        <v>53</v>
      </c>
      <c r="C339" s="18"/>
      <c r="D339" s="4"/>
      <c r="E339" s="19" t="str">
        <f>""</f>
        <v/>
      </c>
      <c r="F339" s="4" t="str">
        <f>""</f>
        <v/>
      </c>
      <c r="G339" s="4" t="str">
        <f>""</f>
        <v/>
      </c>
      <c r="J339" s="31" t="str">
        <f>IF(AND(F339="",G339=""),"",$F339-$G339)</f>
        <v/>
      </c>
      <c r="K339" s="32" t="str">
        <f>""</f>
        <v/>
      </c>
      <c r="L339" s="32" t="str">
        <f>""</f>
        <v/>
      </c>
      <c r="M339" s="33" t="str">
        <f>""</f>
        <v/>
      </c>
      <c r="N339" s="31"/>
      <c r="R339" s="2">
        <f t="shared" ref="R339" si="65">R338+1</f>
        <v>1</v>
      </c>
    </row>
    <row r="340" spans="1:18" hidden="1" x14ac:dyDescent="0.2">
      <c r="A340" s="29" t="s">
        <v>1386</v>
      </c>
      <c r="C340" s="18"/>
    </row>
    <row r="341" spans="1:18" ht="17.25" customHeight="1" collapsed="1" x14ac:dyDescent="0.2">
      <c r="A341" s="30" t="s">
        <v>53</v>
      </c>
      <c r="C341" s="14" t="str">
        <f>"000-4177-00"</f>
        <v>000-4177-00</v>
      </c>
      <c r="D341" s="2">
        <v>386</v>
      </c>
      <c r="E341" s="2"/>
      <c r="F341" s="2" t="s">
        <v>10</v>
      </c>
      <c r="G341" s="2" t="s">
        <v>8</v>
      </c>
      <c r="H341" s="13" t="str">
        <f>"  "&amp;C341</f>
        <v xml:space="preserve">  000-4177-00</v>
      </c>
      <c r="I341" s="15" t="str">
        <f>"Germany Sales Discount"</f>
        <v>Germany Sales Discount</v>
      </c>
      <c r="J341" s="16">
        <f>SUM(J342:J343)</f>
        <v>0</v>
      </c>
      <c r="K341" s="13"/>
      <c r="L341" s="13"/>
      <c r="M341" s="13"/>
      <c r="N341" s="17">
        <v>0</v>
      </c>
      <c r="O341" s="16">
        <f>J341-N341</f>
        <v>0</v>
      </c>
    </row>
    <row r="342" spans="1:18" hidden="1" outlineLevel="1" x14ac:dyDescent="0.2">
      <c r="A342" s="30" t="s">
        <v>53</v>
      </c>
      <c r="C342" s="18"/>
      <c r="D342" s="4"/>
      <c r="E342" s="19" t="str">
        <f>""</f>
        <v/>
      </c>
      <c r="F342" s="4" t="str">
        <f>""</f>
        <v/>
      </c>
      <c r="G342" s="4" t="str">
        <f>""</f>
        <v/>
      </c>
      <c r="J342" s="31" t="str">
        <f>IF(AND(F342="",G342=""),"",$F342-$G342)</f>
        <v/>
      </c>
      <c r="K342" s="32" t="str">
        <f>""</f>
        <v/>
      </c>
      <c r="L342" s="32" t="str">
        <f>""</f>
        <v/>
      </c>
      <c r="M342" s="33" t="str">
        <f>""</f>
        <v/>
      </c>
      <c r="N342" s="31"/>
      <c r="R342" s="2">
        <f t="shared" ref="R342" si="66">R341+1</f>
        <v>1</v>
      </c>
    </row>
    <row r="343" spans="1:18" hidden="1" x14ac:dyDescent="0.2">
      <c r="A343" s="29" t="s">
        <v>1386</v>
      </c>
      <c r="C343" s="18"/>
    </row>
    <row r="344" spans="1:18" ht="17.25" customHeight="1" collapsed="1" x14ac:dyDescent="0.2">
      <c r="A344" s="30" t="s">
        <v>53</v>
      </c>
      <c r="C344" s="14" t="str">
        <f>"000-4178-00"</f>
        <v>000-4178-00</v>
      </c>
      <c r="D344" s="2">
        <v>385</v>
      </c>
      <c r="E344" s="2"/>
      <c r="F344" s="2" t="s">
        <v>10</v>
      </c>
      <c r="G344" s="2" t="s">
        <v>8</v>
      </c>
      <c r="H344" s="13" t="str">
        <f>"  "&amp;C344</f>
        <v xml:space="preserve">  000-4178-00</v>
      </c>
      <c r="I344" s="15" t="str">
        <f>"Singapore Sales Discount"</f>
        <v>Singapore Sales Discount</v>
      </c>
      <c r="J344" s="16">
        <f>SUM(J345:J346)</f>
        <v>0</v>
      </c>
      <c r="K344" s="13"/>
      <c r="L344" s="13"/>
      <c r="M344" s="13"/>
      <c r="N344" s="17">
        <v>0</v>
      </c>
      <c r="O344" s="16">
        <f>J344-N344</f>
        <v>0</v>
      </c>
    </row>
    <row r="345" spans="1:18" hidden="1" outlineLevel="1" x14ac:dyDescent="0.2">
      <c r="A345" s="30" t="s">
        <v>53</v>
      </c>
      <c r="C345" s="18"/>
      <c r="D345" s="4"/>
      <c r="E345" s="19" t="str">
        <f>""</f>
        <v/>
      </c>
      <c r="F345" s="4" t="str">
        <f>""</f>
        <v/>
      </c>
      <c r="G345" s="4" t="str">
        <f>""</f>
        <v/>
      </c>
      <c r="J345" s="31" t="str">
        <f>IF(AND(F345="",G345=""),"",$F345-$G345)</f>
        <v/>
      </c>
      <c r="K345" s="32" t="str">
        <f>""</f>
        <v/>
      </c>
      <c r="L345" s="32" t="str">
        <f>""</f>
        <v/>
      </c>
      <c r="M345" s="33" t="str">
        <f>""</f>
        <v/>
      </c>
      <c r="N345" s="31"/>
      <c r="R345" s="2">
        <f t="shared" ref="R345" si="67">R344+1</f>
        <v>1</v>
      </c>
    </row>
    <row r="346" spans="1:18" hidden="1" x14ac:dyDescent="0.2">
      <c r="A346" s="29" t="s">
        <v>1386</v>
      </c>
      <c r="C346" s="18"/>
    </row>
    <row r="347" spans="1:18" ht="17.25" customHeight="1" collapsed="1" x14ac:dyDescent="0.2">
      <c r="A347" s="30" t="s">
        <v>53</v>
      </c>
      <c r="C347" s="14" t="str">
        <f>"000-4179-00"</f>
        <v>000-4179-00</v>
      </c>
      <c r="D347" s="2">
        <v>384</v>
      </c>
      <c r="E347" s="2"/>
      <c r="F347" s="2" t="s">
        <v>10</v>
      </c>
      <c r="G347" s="2" t="s">
        <v>8</v>
      </c>
      <c r="H347" s="13" t="str">
        <f>"  "&amp;C347</f>
        <v xml:space="preserve">  000-4179-00</v>
      </c>
      <c r="I347" s="15" t="str">
        <f>"United Kingdom Sales Discount"</f>
        <v>United Kingdom Sales Discount</v>
      </c>
      <c r="J347" s="16">
        <f>SUM(J348:J349)</f>
        <v>0</v>
      </c>
      <c r="K347" s="13"/>
      <c r="L347" s="13"/>
      <c r="M347" s="13"/>
      <c r="N347" s="17">
        <v>0</v>
      </c>
      <c r="O347" s="16">
        <f>J347-N347</f>
        <v>0</v>
      </c>
    </row>
    <row r="348" spans="1:18" hidden="1" outlineLevel="1" x14ac:dyDescent="0.2">
      <c r="A348" s="30" t="s">
        <v>53</v>
      </c>
      <c r="C348" s="18"/>
      <c r="D348" s="4"/>
      <c r="E348" s="19" t="str">
        <f>""</f>
        <v/>
      </c>
      <c r="F348" s="4" t="str">
        <f>""</f>
        <v/>
      </c>
      <c r="G348" s="4" t="str">
        <f>""</f>
        <v/>
      </c>
      <c r="J348" s="31" t="str">
        <f>IF(AND(F348="",G348=""),"",$F348-$G348)</f>
        <v/>
      </c>
      <c r="K348" s="32" t="str">
        <f>""</f>
        <v/>
      </c>
      <c r="L348" s="32" t="str">
        <f>""</f>
        <v/>
      </c>
      <c r="M348" s="33" t="str">
        <f>""</f>
        <v/>
      </c>
      <c r="N348" s="31"/>
      <c r="R348" s="2">
        <f t="shared" ref="R348" si="68">R347+1</f>
        <v>1</v>
      </c>
    </row>
    <row r="349" spans="1:18" hidden="1" x14ac:dyDescent="0.2">
      <c r="A349" s="29" t="s">
        <v>1386</v>
      </c>
      <c r="C349" s="18"/>
    </row>
    <row r="350" spans="1:18" ht="17.25" customHeight="1" collapsed="1" x14ac:dyDescent="0.2">
      <c r="A350" s="30" t="s">
        <v>53</v>
      </c>
      <c r="C350" s="14" t="str">
        <f>"000-4186-00"</f>
        <v>000-4186-00</v>
      </c>
      <c r="D350" s="2">
        <v>388</v>
      </c>
      <c r="E350" s="2"/>
      <c r="F350" s="2" t="s">
        <v>10</v>
      </c>
      <c r="G350" s="2" t="s">
        <v>8</v>
      </c>
      <c r="H350" s="13" t="str">
        <f>"  "&amp;C350</f>
        <v xml:space="preserve">  000-4186-00</v>
      </c>
      <c r="I350" s="15" t="str">
        <f>"United Kingdom Trade Discount"</f>
        <v>United Kingdom Trade Discount</v>
      </c>
      <c r="J350" s="16">
        <f>SUM(J351:J352)</f>
        <v>0</v>
      </c>
      <c r="K350" s="13"/>
      <c r="L350" s="13"/>
      <c r="M350" s="13"/>
      <c r="N350" s="17">
        <v>0</v>
      </c>
      <c r="O350" s="16">
        <f>J350-N350</f>
        <v>0</v>
      </c>
    </row>
    <row r="351" spans="1:18" hidden="1" outlineLevel="1" x14ac:dyDescent="0.2">
      <c r="A351" s="30" t="s">
        <v>53</v>
      </c>
      <c r="C351" s="18"/>
      <c r="D351" s="4"/>
      <c r="E351" s="19" t="str">
        <f>""</f>
        <v/>
      </c>
      <c r="F351" s="4" t="str">
        <f>""</f>
        <v/>
      </c>
      <c r="G351" s="4" t="str">
        <f>""</f>
        <v/>
      </c>
      <c r="J351" s="31" t="str">
        <f>IF(AND(F351="",G351=""),"",$F351-$G351)</f>
        <v/>
      </c>
      <c r="K351" s="32" t="str">
        <f>""</f>
        <v/>
      </c>
      <c r="L351" s="32" t="str">
        <f>""</f>
        <v/>
      </c>
      <c r="M351" s="33" t="str">
        <f>""</f>
        <v/>
      </c>
      <c r="N351" s="31"/>
      <c r="R351" s="2">
        <f t="shared" ref="R351" si="69">R350+1</f>
        <v>1</v>
      </c>
    </row>
    <row r="352" spans="1:18" hidden="1" x14ac:dyDescent="0.2">
      <c r="A352" s="29" t="s">
        <v>1386</v>
      </c>
      <c r="C352" s="18"/>
    </row>
    <row r="353" spans="1:18" ht="17.25" customHeight="1" collapsed="1" x14ac:dyDescent="0.2">
      <c r="A353" s="30" t="s">
        <v>53</v>
      </c>
      <c r="C353" s="14" t="str">
        <f>"000-4187-00"</f>
        <v>000-4187-00</v>
      </c>
      <c r="D353" s="2">
        <v>389</v>
      </c>
      <c r="E353" s="2"/>
      <c r="F353" s="2" t="s">
        <v>10</v>
      </c>
      <c r="G353" s="2" t="s">
        <v>8</v>
      </c>
      <c r="H353" s="13" t="str">
        <f>"  "&amp;C353</f>
        <v xml:space="preserve">  000-4187-00</v>
      </c>
      <c r="I353" s="15" t="str">
        <f>"Singapore Trade Discount"</f>
        <v>Singapore Trade Discount</v>
      </c>
      <c r="J353" s="16">
        <f>SUM(J354:J355)</f>
        <v>0</v>
      </c>
      <c r="K353" s="13"/>
      <c r="L353" s="13"/>
      <c r="M353" s="13"/>
      <c r="N353" s="17">
        <v>0</v>
      </c>
      <c r="O353" s="16">
        <f>J353-N353</f>
        <v>0</v>
      </c>
    </row>
    <row r="354" spans="1:18" hidden="1" outlineLevel="1" x14ac:dyDescent="0.2">
      <c r="A354" s="30" t="s">
        <v>53</v>
      </c>
      <c r="C354" s="18"/>
      <c r="D354" s="4"/>
      <c r="E354" s="19" t="str">
        <f>""</f>
        <v/>
      </c>
      <c r="F354" s="4" t="str">
        <f>""</f>
        <v/>
      </c>
      <c r="G354" s="4" t="str">
        <f>""</f>
        <v/>
      </c>
      <c r="J354" s="31" t="str">
        <f>IF(AND(F354="",G354=""),"",$F354-$G354)</f>
        <v/>
      </c>
      <c r="K354" s="32" t="str">
        <f>""</f>
        <v/>
      </c>
      <c r="L354" s="32" t="str">
        <f>""</f>
        <v/>
      </c>
      <c r="M354" s="33" t="str">
        <f>""</f>
        <v/>
      </c>
      <c r="N354" s="31"/>
      <c r="R354" s="2">
        <f t="shared" ref="R354" si="70">R353+1</f>
        <v>1</v>
      </c>
    </row>
    <row r="355" spans="1:18" hidden="1" x14ac:dyDescent="0.2">
      <c r="A355" s="29" t="s">
        <v>1386</v>
      </c>
      <c r="C355" s="18"/>
    </row>
    <row r="356" spans="1:18" ht="17.25" customHeight="1" collapsed="1" x14ac:dyDescent="0.2">
      <c r="A356" s="30" t="s">
        <v>53</v>
      </c>
      <c r="C356" s="14" t="str">
        <f>"000-4188-00"</f>
        <v>000-4188-00</v>
      </c>
      <c r="D356" s="2">
        <v>390</v>
      </c>
      <c r="E356" s="2"/>
      <c r="F356" s="2" t="s">
        <v>10</v>
      </c>
      <c r="G356" s="2" t="s">
        <v>8</v>
      </c>
      <c r="H356" s="13" t="str">
        <f>"  "&amp;C356</f>
        <v xml:space="preserve">  000-4188-00</v>
      </c>
      <c r="I356" s="15" t="str">
        <f>"Germany Trade Discount"</f>
        <v>Germany Trade Discount</v>
      </c>
      <c r="J356" s="16">
        <f>SUM(J357:J358)</f>
        <v>0</v>
      </c>
      <c r="K356" s="13"/>
      <c r="L356" s="13"/>
      <c r="M356" s="13"/>
      <c r="N356" s="17">
        <v>0</v>
      </c>
      <c r="O356" s="16">
        <f>J356-N356</f>
        <v>0</v>
      </c>
    </row>
    <row r="357" spans="1:18" hidden="1" outlineLevel="1" x14ac:dyDescent="0.2">
      <c r="A357" s="30" t="s">
        <v>53</v>
      </c>
      <c r="C357" s="18"/>
      <c r="D357" s="4"/>
      <c r="E357" s="19" t="str">
        <f>""</f>
        <v/>
      </c>
      <c r="F357" s="4" t="str">
        <f>""</f>
        <v/>
      </c>
      <c r="G357" s="4" t="str">
        <f>""</f>
        <v/>
      </c>
      <c r="J357" s="31" t="str">
        <f>IF(AND(F357="",G357=""),"",$F357-$G357)</f>
        <v/>
      </c>
      <c r="K357" s="32" t="str">
        <f>""</f>
        <v/>
      </c>
      <c r="L357" s="32" t="str">
        <f>""</f>
        <v/>
      </c>
      <c r="M357" s="33" t="str">
        <f>""</f>
        <v/>
      </c>
      <c r="N357" s="31"/>
      <c r="R357" s="2">
        <f t="shared" ref="R357" si="71">R356+1</f>
        <v>1</v>
      </c>
    </row>
    <row r="358" spans="1:18" hidden="1" x14ac:dyDescent="0.2">
      <c r="A358" s="29" t="s">
        <v>1386</v>
      </c>
      <c r="C358" s="18"/>
    </row>
    <row r="359" spans="1:18" ht="17.25" customHeight="1" collapsed="1" x14ac:dyDescent="0.2">
      <c r="A359" s="30" t="s">
        <v>53</v>
      </c>
      <c r="C359" s="14" t="str">
        <f>"000-4189-00"</f>
        <v>000-4189-00</v>
      </c>
      <c r="D359" s="2">
        <v>391</v>
      </c>
      <c r="E359" s="2"/>
      <c r="F359" s="2" t="s">
        <v>10</v>
      </c>
      <c r="G359" s="2" t="s">
        <v>8</v>
      </c>
      <c r="H359" s="13" t="str">
        <f>"  "&amp;C359</f>
        <v xml:space="preserve">  000-4189-00</v>
      </c>
      <c r="I359" s="15" t="str">
        <f>"South Africa Trade Discount"</f>
        <v>South Africa Trade Discount</v>
      </c>
      <c r="J359" s="16">
        <f>SUM(J360:J361)</f>
        <v>0</v>
      </c>
      <c r="K359" s="13"/>
      <c r="L359" s="13"/>
      <c r="M359" s="13"/>
      <c r="N359" s="17">
        <v>0</v>
      </c>
      <c r="O359" s="16">
        <f>J359-N359</f>
        <v>0</v>
      </c>
    </row>
    <row r="360" spans="1:18" hidden="1" outlineLevel="1" x14ac:dyDescent="0.2">
      <c r="A360" s="30" t="s">
        <v>53</v>
      </c>
      <c r="C360" s="18"/>
      <c r="D360" s="4"/>
      <c r="E360" s="19" t="str">
        <f>""</f>
        <v/>
      </c>
      <c r="F360" s="4" t="str">
        <f>""</f>
        <v/>
      </c>
      <c r="G360" s="4" t="str">
        <f>""</f>
        <v/>
      </c>
      <c r="J360" s="31" t="str">
        <f>IF(AND(F360="",G360=""),"",$F360-$G360)</f>
        <v/>
      </c>
      <c r="K360" s="32" t="str">
        <f>""</f>
        <v/>
      </c>
      <c r="L360" s="32" t="str">
        <f>""</f>
        <v/>
      </c>
      <c r="M360" s="33" t="str">
        <f>""</f>
        <v/>
      </c>
      <c r="N360" s="31"/>
      <c r="R360" s="2">
        <f t="shared" ref="R360" si="72">R359+1</f>
        <v>1</v>
      </c>
    </row>
    <row r="361" spans="1:18" hidden="1" x14ac:dyDescent="0.2">
      <c r="A361" s="29" t="s">
        <v>1386</v>
      </c>
      <c r="C361" s="18"/>
    </row>
    <row r="362" spans="1:18" ht="17.25" customHeight="1" collapsed="1" x14ac:dyDescent="0.2">
      <c r="A362" s="30" t="s">
        <v>53</v>
      </c>
      <c r="C362" s="14" t="str">
        <f>"000-4200-00"</f>
        <v>000-4200-00</v>
      </c>
      <c r="D362" s="2">
        <v>510</v>
      </c>
      <c r="E362" s="2"/>
      <c r="F362" s="2" t="s">
        <v>10</v>
      </c>
      <c r="G362" s="2" t="s">
        <v>8</v>
      </c>
      <c r="H362" s="13" t="str">
        <f>"  "&amp;C362</f>
        <v xml:space="preserve">  000-4200-00</v>
      </c>
      <c r="I362" s="15" t="str">
        <f>"Project Revenue/Sales"</f>
        <v>Project Revenue/Sales</v>
      </c>
      <c r="J362" s="16">
        <f>SUM(J363:J364)</f>
        <v>0</v>
      </c>
      <c r="K362" s="13"/>
      <c r="L362" s="13"/>
      <c r="M362" s="13"/>
      <c r="N362" s="17">
        <v>0</v>
      </c>
      <c r="O362" s="16">
        <f>J362-N362</f>
        <v>0</v>
      </c>
    </row>
    <row r="363" spans="1:18" hidden="1" outlineLevel="1" x14ac:dyDescent="0.2">
      <c r="A363" s="30" t="s">
        <v>53</v>
      </c>
      <c r="C363" s="18"/>
      <c r="D363" s="4"/>
      <c r="E363" s="19" t="str">
        <f>""</f>
        <v/>
      </c>
      <c r="F363" s="4" t="str">
        <f>""</f>
        <v/>
      </c>
      <c r="G363" s="4" t="str">
        <f>""</f>
        <v/>
      </c>
      <c r="J363" s="31" t="str">
        <f>IF(AND(F363="",G363=""),"",$F363-$G363)</f>
        <v/>
      </c>
      <c r="K363" s="32" t="str">
        <f>""</f>
        <v/>
      </c>
      <c r="L363" s="32" t="str">
        <f>""</f>
        <v/>
      </c>
      <c r="M363" s="33" t="str">
        <f>""</f>
        <v/>
      </c>
      <c r="N363" s="31"/>
      <c r="R363" s="2">
        <f t="shared" ref="R363" si="73">R362+1</f>
        <v>1</v>
      </c>
    </row>
    <row r="364" spans="1:18" hidden="1" x14ac:dyDescent="0.2">
      <c r="A364" s="29" t="s">
        <v>1386</v>
      </c>
      <c r="C364" s="18"/>
    </row>
    <row r="365" spans="1:18" ht="17.25" customHeight="1" collapsed="1" x14ac:dyDescent="0.2">
      <c r="A365" s="30" t="s">
        <v>53</v>
      </c>
      <c r="C365" s="14" t="str">
        <f>"000-4210-01"</f>
        <v>000-4210-01</v>
      </c>
      <c r="D365" s="2">
        <v>512</v>
      </c>
      <c r="E365" s="2"/>
      <c r="F365" s="2" t="s">
        <v>10</v>
      </c>
      <c r="G365" s="2" t="s">
        <v>8</v>
      </c>
      <c r="H365" s="13" t="str">
        <f>"  "&amp;C365</f>
        <v xml:space="preserve">  000-4210-01</v>
      </c>
      <c r="I365" s="15" t="str">
        <f>"Project Billings"</f>
        <v>Project Billings</v>
      </c>
      <c r="J365" s="16">
        <f>SUM(J366:J367)</f>
        <v>0</v>
      </c>
      <c r="K365" s="13"/>
      <c r="L365" s="13"/>
      <c r="M365" s="13"/>
      <c r="N365" s="17">
        <v>0</v>
      </c>
      <c r="O365" s="16">
        <f>J365-N365</f>
        <v>0</v>
      </c>
    </row>
    <row r="366" spans="1:18" hidden="1" outlineLevel="1" x14ac:dyDescent="0.2">
      <c r="A366" s="30" t="s">
        <v>53</v>
      </c>
      <c r="C366" s="18"/>
      <c r="D366" s="4"/>
      <c r="E366" s="19" t="str">
        <f>""</f>
        <v/>
      </c>
      <c r="F366" s="4" t="str">
        <f>""</f>
        <v/>
      </c>
      <c r="G366" s="4" t="str">
        <f>""</f>
        <v/>
      </c>
      <c r="J366" s="31" t="str">
        <f>IF(AND(F366="",G366=""),"",$F366-$G366)</f>
        <v/>
      </c>
      <c r="K366" s="32" t="str">
        <f>""</f>
        <v/>
      </c>
      <c r="L366" s="32" t="str">
        <f>""</f>
        <v/>
      </c>
      <c r="M366" s="33" t="str">
        <f>""</f>
        <v/>
      </c>
      <c r="N366" s="31"/>
      <c r="R366" s="2">
        <f t="shared" ref="R366" si="74">R365+1</f>
        <v>1</v>
      </c>
    </row>
    <row r="367" spans="1:18" hidden="1" x14ac:dyDescent="0.2">
      <c r="A367" s="29" t="s">
        <v>1386</v>
      </c>
      <c r="C367" s="18"/>
    </row>
    <row r="368" spans="1:18" ht="17.25" customHeight="1" collapsed="1" x14ac:dyDescent="0.2">
      <c r="A368" s="30" t="s">
        <v>53</v>
      </c>
      <c r="C368" s="14" t="str">
        <f>"000-4280-01"</f>
        <v>000-4280-01</v>
      </c>
      <c r="D368" s="2">
        <v>509</v>
      </c>
      <c r="E368" s="2"/>
      <c r="F368" s="2" t="s">
        <v>10</v>
      </c>
      <c r="G368" s="2" t="s">
        <v>8</v>
      </c>
      <c r="H368" s="13" t="str">
        <f>"  "&amp;C368</f>
        <v xml:space="preserve">  000-4280-01</v>
      </c>
      <c r="I368" s="15" t="str">
        <f>"Unbilled Project Revenue"</f>
        <v>Unbilled Project Revenue</v>
      </c>
      <c r="J368" s="16">
        <f>SUM(J369:J370)</f>
        <v>0</v>
      </c>
      <c r="K368" s="13"/>
      <c r="L368" s="13"/>
      <c r="M368" s="13"/>
      <c r="N368" s="17">
        <v>0</v>
      </c>
      <c r="O368" s="16">
        <f>J368-N368</f>
        <v>0</v>
      </c>
    </row>
    <row r="369" spans="1:18" hidden="1" outlineLevel="1" x14ac:dyDescent="0.2">
      <c r="A369" s="30" t="s">
        <v>53</v>
      </c>
      <c r="C369" s="18"/>
      <c r="D369" s="4"/>
      <c r="E369" s="19" t="str">
        <f>""</f>
        <v/>
      </c>
      <c r="F369" s="4" t="str">
        <f>""</f>
        <v/>
      </c>
      <c r="G369" s="4" t="str">
        <f>""</f>
        <v/>
      </c>
      <c r="J369" s="31" t="str">
        <f>IF(AND(F369="",G369=""),"",$F369-$G369)</f>
        <v/>
      </c>
      <c r="K369" s="32" t="str">
        <f>""</f>
        <v/>
      </c>
      <c r="L369" s="32" t="str">
        <f>""</f>
        <v/>
      </c>
      <c r="M369" s="33" t="str">
        <f>""</f>
        <v/>
      </c>
      <c r="N369" s="31"/>
      <c r="R369" s="2">
        <f t="shared" ref="R369" si="75">R368+1</f>
        <v>1</v>
      </c>
    </row>
    <row r="370" spans="1:18" hidden="1" x14ac:dyDescent="0.2">
      <c r="A370" s="29" t="s">
        <v>1386</v>
      </c>
      <c r="C370" s="18"/>
    </row>
    <row r="371" spans="1:18" ht="17.25" customHeight="1" collapsed="1" x14ac:dyDescent="0.2">
      <c r="A371" s="30" t="s">
        <v>53</v>
      </c>
      <c r="C371" s="14" t="str">
        <f>"000-4500-01"</f>
        <v>000-4500-01</v>
      </c>
      <c r="D371" s="2">
        <v>514</v>
      </c>
      <c r="E371" s="2"/>
      <c r="F371" s="2" t="s">
        <v>10</v>
      </c>
      <c r="G371" s="2" t="s">
        <v>8</v>
      </c>
      <c r="H371" s="13" t="str">
        <f>"  "&amp;C371</f>
        <v xml:space="preserve">  000-4500-01</v>
      </c>
      <c r="I371" s="15" t="str">
        <f>"Project Revenue"</f>
        <v>Project Revenue</v>
      </c>
      <c r="J371" s="16">
        <f>SUM(J372:J373)</f>
        <v>0</v>
      </c>
      <c r="K371" s="13"/>
      <c r="L371" s="13"/>
      <c r="M371" s="13"/>
      <c r="N371" s="17">
        <v>0</v>
      </c>
      <c r="O371" s="16">
        <f>J371-N371</f>
        <v>0</v>
      </c>
    </row>
    <row r="372" spans="1:18" hidden="1" outlineLevel="1" x14ac:dyDescent="0.2">
      <c r="A372" s="30" t="s">
        <v>53</v>
      </c>
      <c r="C372" s="18"/>
      <c r="D372" s="4"/>
      <c r="E372" s="19" t="str">
        <f>""</f>
        <v/>
      </c>
      <c r="F372" s="4" t="str">
        <f>""</f>
        <v/>
      </c>
      <c r="G372" s="4" t="str">
        <f>""</f>
        <v/>
      </c>
      <c r="J372" s="31" t="str">
        <f>IF(AND(F372="",G372=""),"",$F372-$G372)</f>
        <v/>
      </c>
      <c r="K372" s="32" t="str">
        <f>""</f>
        <v/>
      </c>
      <c r="L372" s="32" t="str">
        <f>""</f>
        <v/>
      </c>
      <c r="M372" s="33" t="str">
        <f>""</f>
        <v/>
      </c>
      <c r="N372" s="31"/>
      <c r="R372" s="2">
        <f t="shared" ref="R372" si="76">R371+1</f>
        <v>1</v>
      </c>
    </row>
    <row r="373" spans="1:18" hidden="1" x14ac:dyDescent="0.2">
      <c r="A373" s="29" t="s">
        <v>1386</v>
      </c>
      <c r="C373" s="18"/>
    </row>
    <row r="374" spans="1:18" ht="14.25" x14ac:dyDescent="0.25">
      <c r="A374" s="30" t="s">
        <v>53</v>
      </c>
      <c r="C374" s="12">
        <v>32</v>
      </c>
      <c r="D374" s="2"/>
      <c r="E374" s="2"/>
      <c r="F374" s="2"/>
      <c r="G374" s="2"/>
      <c r="H374" s="20" t="str">
        <f>"Sales Returns and Discounts"</f>
        <v>Sales Returns and Discounts</v>
      </c>
      <c r="I374" s="13"/>
      <c r="J374" s="13"/>
      <c r="K374" s="13"/>
      <c r="L374" s="13"/>
      <c r="M374" s="13"/>
      <c r="N374" s="13"/>
      <c r="O374" s="13"/>
    </row>
    <row r="375" spans="1:18" ht="17.25" customHeight="1" collapsed="1" x14ac:dyDescent="0.2">
      <c r="A375" s="30" t="s">
        <v>53</v>
      </c>
      <c r="C375" s="14" t="str">
        <f>"000-4180-00"</f>
        <v>000-4180-00</v>
      </c>
      <c r="D375" s="2">
        <v>128</v>
      </c>
      <c r="E375" s="2"/>
      <c r="F375" s="2" t="s">
        <v>10</v>
      </c>
      <c r="G375" s="2" t="s">
        <v>8</v>
      </c>
      <c r="H375" s="13" t="str">
        <f>"  "&amp;C375</f>
        <v xml:space="preserve">  000-4180-00</v>
      </c>
      <c r="I375" s="15" t="str">
        <f>"US Sales Discounts"</f>
        <v>US Sales Discounts</v>
      </c>
      <c r="J375" s="16">
        <f>SUM(J376:J382)</f>
        <v>2473.17</v>
      </c>
      <c r="K375" s="13"/>
      <c r="L375" s="13"/>
      <c r="M375" s="13"/>
      <c r="N375" s="17">
        <v>7500</v>
      </c>
      <c r="O375" s="16">
        <f>J375-N375</f>
        <v>-5026.83</v>
      </c>
    </row>
    <row r="376" spans="1:18" hidden="1" outlineLevel="1" x14ac:dyDescent="0.2">
      <c r="A376" s="30" t="s">
        <v>53</v>
      </c>
      <c r="C376" s="18"/>
      <c r="D376" s="4"/>
      <c r="E376" s="19" t="str">
        <f>"""GP Direct"",""Fabrikam, Inc."",""Jet GL Transactions"",""Account Index"",""128"",""Credit Amount"",""0.00000"",""Document Number"",""SLS114050"",""Debit Amount"",""519.75000"",""Vendor Name"",""St. Mary's Hospital"",""Transaction Description"",""TRADE"",""Transaction Date"",""1/1/2014"""</f>
        <v>"GP Direct","Fabrikam, Inc.","Jet GL Transactions","Account Index","128","Credit Amount","0.00000","Document Number","SLS114050","Debit Amount","519.75000","Vendor Name","St. Mary's Hospital","Transaction Description","TRADE","Transaction Date","1/1/2014"</v>
      </c>
      <c r="F376" s="4">
        <v>519.75</v>
      </c>
      <c r="G376" s="4">
        <v>0</v>
      </c>
      <c r="J376" s="31">
        <f t="shared" ref="J376:J381" si="77">IF(AND(F376="",G376=""),"",$F376-$G376)</f>
        <v>519.75</v>
      </c>
      <c r="K376" s="32" t="str">
        <f>"TRADE"</f>
        <v>TRADE</v>
      </c>
      <c r="L376" s="32" t="str">
        <f>"SLS114050"</f>
        <v>SLS114050</v>
      </c>
      <c r="M376" s="33">
        <v>41640</v>
      </c>
      <c r="N376" s="31"/>
      <c r="R376" s="2">
        <f t="shared" ref="R376" si="78">R375+1</f>
        <v>1</v>
      </c>
    </row>
    <row r="377" spans="1:18" hidden="1" outlineLevel="1" x14ac:dyDescent="0.2">
      <c r="A377" s="30" t="s">
        <v>53</v>
      </c>
      <c r="C377" s="18"/>
      <c r="D377" s="4"/>
      <c r="E377" s="19" t="str">
        <f>"""GP Direct"",""Fabrikam, Inc."",""Jet GL Transactions"",""Account Index"",""128"",""Credit Amount"",""0.00000"",""Document Number"",""PMT11005"",""Debit Amount"",""516.93000"",""Vendor Name"",""Alton Manufacturing"",""Transaction Description"",""TAKEN"",""Transaction Date"",""1/31/2014"""</f>
        <v>"GP Direct","Fabrikam, Inc.","Jet GL Transactions","Account Index","128","Credit Amount","0.00000","Document Number","PMT11005","Debit Amount","516.93000","Vendor Name","Alton Manufacturing","Transaction Description","TAKEN","Transaction Date","1/31/2014"</v>
      </c>
      <c r="F377" s="4">
        <v>516.92999999999995</v>
      </c>
      <c r="G377" s="4">
        <v>0</v>
      </c>
      <c r="J377" s="31">
        <f t="shared" si="77"/>
        <v>516.92999999999995</v>
      </c>
      <c r="K377" s="32" t="str">
        <f>"TAKEN"</f>
        <v>TAKEN</v>
      </c>
      <c r="L377" s="32" t="str">
        <f>"PMT11005"</f>
        <v>PMT11005</v>
      </c>
      <c r="M377" s="33">
        <v>41670</v>
      </c>
      <c r="N377" s="31"/>
      <c r="R377" s="2">
        <f t="shared" ref="R377:R381" si="79">R376+1</f>
        <v>2</v>
      </c>
    </row>
    <row r="378" spans="1:18" hidden="1" outlineLevel="1" x14ac:dyDescent="0.2">
      <c r="A378" s="30" t="s">
        <v>53</v>
      </c>
      <c r="C378" s="18"/>
      <c r="D378" s="4"/>
      <c r="E378" s="19" t="str">
        <f>"""GP Direct"",""Fabrikam, Inc."",""Jet GL Transactions"",""Account Index"",""128"",""Credit Amount"",""0.00000"",""Document Number"",""PMT125002"",""Debit Amount"",""716.12000"",""Vendor Name"",""Red's Food Market"",""Transaction Description"",""TAKEN"",""Transaction Date"",""1/31/2014"""</f>
        <v>"GP Direct","Fabrikam, Inc.","Jet GL Transactions","Account Index","128","Credit Amount","0.00000","Document Number","PMT125002","Debit Amount","716.12000","Vendor Name","Red's Food Market","Transaction Description","TAKEN","Transaction Date","1/31/2014"</v>
      </c>
      <c r="F378" s="4">
        <v>716.12</v>
      </c>
      <c r="G378" s="4">
        <v>0</v>
      </c>
      <c r="J378" s="31">
        <f t="shared" si="77"/>
        <v>716.12</v>
      </c>
      <c r="K378" s="32" t="str">
        <f>"TAKEN"</f>
        <v>TAKEN</v>
      </c>
      <c r="L378" s="32" t="str">
        <f>"PMT125002"</f>
        <v>PMT125002</v>
      </c>
      <c r="M378" s="33">
        <v>41670</v>
      </c>
      <c r="N378" s="31"/>
      <c r="R378" s="2">
        <f t="shared" si="79"/>
        <v>3</v>
      </c>
    </row>
    <row r="379" spans="1:18" hidden="1" outlineLevel="1" x14ac:dyDescent="0.2">
      <c r="A379" s="30" t="s">
        <v>53</v>
      </c>
      <c r="C379" s="18"/>
      <c r="D379" s="4"/>
      <c r="E379" s="19" t="str">
        <f>"""GP Direct"",""Fabrikam, Inc."",""Jet GL Transactions"",""Account Index"",""128"",""Credit Amount"",""0.00000"",""Document Number"",""PMT14022"",""Debit Amount"",""179.77000"",""Vendor Name"",""Comtel-Page Inc."",""Transaction Description"",""TAKEN"",""Transaction Date"",""1/31/2014"""</f>
        <v>"GP Direct","Fabrikam, Inc.","Jet GL Transactions","Account Index","128","Credit Amount","0.00000","Document Number","PMT14022","Debit Amount","179.77000","Vendor Name","Comtel-Page Inc.","Transaction Description","TAKEN","Transaction Date","1/31/2014"</v>
      </c>
      <c r="F379" s="4">
        <v>179.77</v>
      </c>
      <c r="G379" s="4">
        <v>0</v>
      </c>
      <c r="J379" s="31">
        <f t="shared" si="77"/>
        <v>179.77</v>
      </c>
      <c r="K379" s="32" t="str">
        <f>"TAKEN"</f>
        <v>TAKEN</v>
      </c>
      <c r="L379" s="32" t="str">
        <f>"PMT14022"</f>
        <v>PMT14022</v>
      </c>
      <c r="M379" s="33">
        <v>41670</v>
      </c>
      <c r="N379" s="31"/>
      <c r="R379" s="2">
        <f t="shared" si="79"/>
        <v>4</v>
      </c>
    </row>
    <row r="380" spans="1:18" hidden="1" outlineLevel="1" x14ac:dyDescent="0.2">
      <c r="A380" s="30" t="s">
        <v>53</v>
      </c>
      <c r="C380" s="18"/>
      <c r="D380" s="4"/>
      <c r="E380" s="19" t="str">
        <f>"""GP Direct"",""Fabrikam, Inc."",""Jet GL Transactions"",""Account Index"",""128"",""Credit Amount"",""0.00000"",""Document Number"",""PMT17021"",""Debit Amount"",""343.47000"",""Vendor Name"",""Mutual of  Omaha"",""Transaction Description"",""TAKEN"",""Transaction Date"",""1/31/2014"""</f>
        <v>"GP Direct","Fabrikam, Inc.","Jet GL Transactions","Account Index","128","Credit Amount","0.00000","Document Number","PMT17021","Debit Amount","343.47000","Vendor Name","Mutual of  Omaha","Transaction Description","TAKEN","Transaction Date","1/31/2014"</v>
      </c>
      <c r="F380" s="4">
        <v>343.47</v>
      </c>
      <c r="G380" s="4">
        <v>0</v>
      </c>
      <c r="J380" s="31">
        <f t="shared" si="77"/>
        <v>343.47</v>
      </c>
      <c r="K380" s="32" t="str">
        <f>"TAKEN"</f>
        <v>TAKEN</v>
      </c>
      <c r="L380" s="32" t="str">
        <f>"PMT17021"</f>
        <v>PMT17021</v>
      </c>
      <c r="M380" s="33">
        <v>41670</v>
      </c>
      <c r="N380" s="31"/>
      <c r="R380" s="2">
        <f t="shared" si="79"/>
        <v>5</v>
      </c>
    </row>
    <row r="381" spans="1:18" hidden="1" outlineLevel="1" x14ac:dyDescent="0.2">
      <c r="A381" s="30" t="s">
        <v>53</v>
      </c>
      <c r="C381" s="18"/>
      <c r="D381" s="4"/>
      <c r="E381" s="19" t="str">
        <f>"""GP Direct"",""Fabrikam, Inc."",""Jet GL Transactions"",""Account Index"",""128"",""Credit Amount"",""0.00000"",""Document Number"",""PMT18011"",""Debit Amount"",""197.13000"",""Vendor Name"",""Mendota University"",""Transaction Description"",""TAKEN"",""Transaction Date"",""1/31/2014"""</f>
        <v>"GP Direct","Fabrikam, Inc.","Jet GL Transactions","Account Index","128","Credit Amount","0.00000","Document Number","PMT18011","Debit Amount","197.13000","Vendor Name","Mendota University","Transaction Description","TAKEN","Transaction Date","1/31/2014"</v>
      </c>
      <c r="F381" s="4">
        <v>197.13</v>
      </c>
      <c r="G381" s="4">
        <v>0</v>
      </c>
      <c r="J381" s="31">
        <f t="shared" si="77"/>
        <v>197.13</v>
      </c>
      <c r="K381" s="32" t="str">
        <f>"TAKEN"</f>
        <v>TAKEN</v>
      </c>
      <c r="L381" s="32" t="str">
        <f>"PMT18011"</f>
        <v>PMT18011</v>
      </c>
      <c r="M381" s="33">
        <v>41670</v>
      </c>
      <c r="N381" s="31"/>
      <c r="R381" s="2">
        <f t="shared" si="79"/>
        <v>6</v>
      </c>
    </row>
    <row r="382" spans="1:18" hidden="1" x14ac:dyDescent="0.2">
      <c r="A382" s="29" t="s">
        <v>1386</v>
      </c>
      <c r="C382" s="18"/>
    </row>
    <row r="383" spans="1:18" ht="17.25" customHeight="1" collapsed="1" x14ac:dyDescent="0.2">
      <c r="A383" s="30" t="s">
        <v>53</v>
      </c>
      <c r="C383" s="14" t="str">
        <f>"000-4181-00"</f>
        <v>000-4181-00</v>
      </c>
      <c r="D383" s="2">
        <v>129</v>
      </c>
      <c r="E383" s="2"/>
      <c r="F383" s="2" t="s">
        <v>10</v>
      </c>
      <c r="G383" s="2" t="s">
        <v>8</v>
      </c>
      <c r="H383" s="13" t="str">
        <f>"  "&amp;C383</f>
        <v xml:space="preserve">  000-4181-00</v>
      </c>
      <c r="I383" s="15" t="str">
        <f>"Canadian Sales Discounts"</f>
        <v>Canadian Sales Discounts</v>
      </c>
      <c r="J383" s="16">
        <f>SUM(J384:J385)</f>
        <v>0</v>
      </c>
      <c r="K383" s="13"/>
      <c r="L383" s="13"/>
      <c r="M383" s="13"/>
      <c r="N383" s="17">
        <v>0</v>
      </c>
      <c r="O383" s="16">
        <f>J383-N383</f>
        <v>0</v>
      </c>
    </row>
    <row r="384" spans="1:18" hidden="1" outlineLevel="1" x14ac:dyDescent="0.2">
      <c r="A384" s="30" t="s">
        <v>53</v>
      </c>
      <c r="C384" s="18"/>
      <c r="D384" s="4"/>
      <c r="E384" s="19" t="str">
        <f>""</f>
        <v/>
      </c>
      <c r="F384" s="4" t="str">
        <f>""</f>
        <v/>
      </c>
      <c r="G384" s="4" t="str">
        <f>""</f>
        <v/>
      </c>
      <c r="J384" s="31" t="str">
        <f>IF(AND(F384="",G384=""),"",$F384-$G384)</f>
        <v/>
      </c>
      <c r="K384" s="32" t="str">
        <f>""</f>
        <v/>
      </c>
      <c r="L384" s="32" t="str">
        <f>""</f>
        <v/>
      </c>
      <c r="M384" s="33" t="str">
        <f>""</f>
        <v/>
      </c>
      <c r="N384" s="31"/>
      <c r="R384" s="2">
        <f t="shared" ref="R384" si="80">R383+1</f>
        <v>1</v>
      </c>
    </row>
    <row r="385" spans="1:18" hidden="1" x14ac:dyDescent="0.2">
      <c r="A385" s="29" t="s">
        <v>1386</v>
      </c>
      <c r="C385" s="18"/>
    </row>
    <row r="386" spans="1:18" ht="17.25" customHeight="1" collapsed="1" x14ac:dyDescent="0.2">
      <c r="A386" s="30" t="s">
        <v>53</v>
      </c>
      <c r="C386" s="14" t="str">
        <f>"000-4182-00"</f>
        <v>000-4182-00</v>
      </c>
      <c r="D386" s="2">
        <v>130</v>
      </c>
      <c r="E386" s="2"/>
      <c r="F386" s="2" t="s">
        <v>10</v>
      </c>
      <c r="G386" s="2" t="s">
        <v>8</v>
      </c>
      <c r="H386" s="13" t="str">
        <f>"  "&amp;C386</f>
        <v xml:space="preserve">  000-4182-00</v>
      </c>
      <c r="I386" s="15" t="str">
        <f>"AustralAsian Sales Discounts"</f>
        <v>AustralAsian Sales Discounts</v>
      </c>
      <c r="J386" s="16">
        <f>SUM(J387:J388)</f>
        <v>0</v>
      </c>
      <c r="K386" s="13"/>
      <c r="L386" s="13"/>
      <c r="M386" s="13"/>
      <c r="N386" s="17">
        <v>0</v>
      </c>
      <c r="O386" s="16">
        <f>J386-N386</f>
        <v>0</v>
      </c>
    </row>
    <row r="387" spans="1:18" hidden="1" outlineLevel="1" x14ac:dyDescent="0.2">
      <c r="A387" s="30" t="s">
        <v>53</v>
      </c>
      <c r="C387" s="18"/>
      <c r="D387" s="4"/>
      <c r="E387" s="19" t="str">
        <f>""</f>
        <v/>
      </c>
      <c r="F387" s="4" t="str">
        <f>""</f>
        <v/>
      </c>
      <c r="G387" s="4" t="str">
        <f>""</f>
        <v/>
      </c>
      <c r="J387" s="31" t="str">
        <f>IF(AND(F387="",G387=""),"",$F387-$G387)</f>
        <v/>
      </c>
      <c r="K387" s="32" t="str">
        <f>""</f>
        <v/>
      </c>
      <c r="L387" s="32" t="str">
        <f>""</f>
        <v/>
      </c>
      <c r="M387" s="33" t="str">
        <f>""</f>
        <v/>
      </c>
      <c r="N387" s="31"/>
      <c r="R387" s="2">
        <f t="shared" ref="R387" si="81">R386+1</f>
        <v>1</v>
      </c>
    </row>
    <row r="388" spans="1:18" hidden="1" x14ac:dyDescent="0.2">
      <c r="A388" s="29" t="s">
        <v>1386</v>
      </c>
      <c r="C388" s="18"/>
    </row>
    <row r="389" spans="1:18" ht="17.25" customHeight="1" collapsed="1" x14ac:dyDescent="0.2">
      <c r="A389" s="30" t="s">
        <v>53</v>
      </c>
      <c r="C389" s="14" t="str">
        <f>"000-4183-00"</f>
        <v>000-4183-00</v>
      </c>
      <c r="D389" s="2">
        <v>131</v>
      </c>
      <c r="E389" s="2"/>
      <c r="F389" s="2" t="s">
        <v>10</v>
      </c>
      <c r="G389" s="2" t="s">
        <v>8</v>
      </c>
      <c r="H389" s="13" t="str">
        <f>"  "&amp;C389</f>
        <v xml:space="preserve">  000-4183-00</v>
      </c>
      <c r="I389" s="15" t="str">
        <f>"US Sales Trade Discounts"</f>
        <v>US Sales Trade Discounts</v>
      </c>
      <c r="J389" s="16">
        <f>SUM(J390:J408)</f>
        <v>5215.0899999999992</v>
      </c>
      <c r="K389" s="13"/>
      <c r="L389" s="13"/>
      <c r="M389" s="13"/>
      <c r="N389" s="17">
        <v>15000</v>
      </c>
      <c r="O389" s="16">
        <f>J389-N389</f>
        <v>-9784.91</v>
      </c>
    </row>
    <row r="390" spans="1:18" hidden="1" outlineLevel="1" x14ac:dyDescent="0.2">
      <c r="A390" s="30" t="s">
        <v>53</v>
      </c>
      <c r="C390" s="18"/>
      <c r="D390" s="4"/>
      <c r="E390" s="19" t="str">
        <f>"""GP Direct"",""Fabrikam, Inc."",""Jet GL Transactions"",""Account Index"",""131"",""Credit Amount"",""0.00000"",""Document Number"",""SLS11010"",""Debit Amount"",""259.90000"",""Vendor Name"",""Alton Manufacturing"",""Transaction Description"",""TRADE"",""Transaction Date"",""1/1/2014"""</f>
        <v>"GP Direct","Fabrikam, Inc.","Jet GL Transactions","Account Index","131","Credit Amount","0.00000","Document Number","SLS11010","Debit Amount","259.90000","Vendor Name","Alton Manufacturing","Transaction Description","TRADE","Transaction Date","1/1/2014"</v>
      </c>
      <c r="F390" s="4">
        <v>259.89999999999998</v>
      </c>
      <c r="G390" s="4">
        <v>0</v>
      </c>
      <c r="J390" s="31">
        <f t="shared" ref="J390:J407" si="82">IF(AND(F390="",G390=""),"",$F390-$G390)</f>
        <v>259.89999999999998</v>
      </c>
      <c r="K390" s="32" t="str">
        <f t="shared" ref="K390:K407" si="83">"TRADE"</f>
        <v>TRADE</v>
      </c>
      <c r="L390" s="32" t="str">
        <f>"SLS11010"</f>
        <v>SLS11010</v>
      </c>
      <c r="M390" s="33">
        <v>41640</v>
      </c>
      <c r="N390" s="31"/>
      <c r="R390" s="2">
        <f t="shared" ref="R390" si="84">R389+1</f>
        <v>1</v>
      </c>
    </row>
    <row r="391" spans="1:18" hidden="1" outlineLevel="1" x14ac:dyDescent="0.2">
      <c r="A391" s="30" t="s">
        <v>53</v>
      </c>
      <c r="C391" s="18"/>
      <c r="D391" s="4"/>
      <c r="E391" s="19" t="str">
        <f>"""GP Direct"",""Fabrikam, Inc."",""Jet GL Transactions"",""Account Index"",""131"",""Credit Amount"",""0.00000"",""Document Number"",""SLS11011"",""Debit Amount"",""516.93000"",""Vendor Name"",""Alton Manufacturing"",""Transaction Description"",""TRADE"",""Transaction Date"",""1/1/2014"""</f>
        <v>"GP Direct","Fabrikam, Inc.","Jet GL Transactions","Account Index","131","Credit Amount","0.00000","Document Number","SLS11011","Debit Amount","516.93000","Vendor Name","Alton Manufacturing","Transaction Description","TRADE","Transaction Date","1/1/2014"</v>
      </c>
      <c r="F391" s="4">
        <v>516.92999999999995</v>
      </c>
      <c r="G391" s="4">
        <v>0</v>
      </c>
      <c r="J391" s="31">
        <f t="shared" si="82"/>
        <v>516.92999999999995</v>
      </c>
      <c r="K391" s="32" t="str">
        <f t="shared" si="83"/>
        <v>TRADE</v>
      </c>
      <c r="L391" s="32" t="str">
        <f>"SLS11011"</f>
        <v>SLS11011</v>
      </c>
      <c r="M391" s="33">
        <v>41640</v>
      </c>
      <c r="N391" s="31"/>
      <c r="R391" s="2">
        <f t="shared" ref="R391:R407" si="85">R390+1</f>
        <v>2</v>
      </c>
    </row>
    <row r="392" spans="1:18" hidden="1" outlineLevel="1" x14ac:dyDescent="0.2">
      <c r="A392" s="30" t="s">
        <v>53</v>
      </c>
      <c r="C392" s="18"/>
      <c r="D392" s="4"/>
      <c r="E392" s="19" t="str">
        <f>"""GP Direct"",""Fabrikam, Inc."",""Jet GL Transactions"",""Account Index"",""131"",""Credit Amount"",""0.00000"",""Document Number"",""SLS11081"",""Debit Amount"",""322.68000"",""Vendor Name"",""Place One Suites"",""Transaction Description"",""TRADE"",""Transaction Date"",""1/1/2014"""</f>
        <v>"GP Direct","Fabrikam, Inc.","Jet GL Transactions","Account Index","131","Credit Amount","0.00000","Document Number","SLS11081","Debit Amount","322.68000","Vendor Name","Place One Suites","Transaction Description","TRADE","Transaction Date","1/1/2014"</v>
      </c>
      <c r="F392" s="4">
        <v>322.68</v>
      </c>
      <c r="G392" s="4">
        <v>0</v>
      </c>
      <c r="J392" s="31">
        <f t="shared" si="82"/>
        <v>322.68</v>
      </c>
      <c r="K392" s="32" t="str">
        <f t="shared" si="83"/>
        <v>TRADE</v>
      </c>
      <c r="L392" s="32" t="str">
        <f>"SLS11081"</f>
        <v>SLS11081</v>
      </c>
      <c r="M392" s="33">
        <v>41640</v>
      </c>
      <c r="N392" s="31"/>
      <c r="R392" s="2">
        <f t="shared" si="85"/>
        <v>3</v>
      </c>
    </row>
    <row r="393" spans="1:18" hidden="1" outlineLevel="1" x14ac:dyDescent="0.2">
      <c r="A393" s="30" t="s">
        <v>53</v>
      </c>
      <c r="C393" s="18"/>
      <c r="D393" s="4"/>
      <c r="E393" s="19" t="str">
        <f>"""GP Direct"",""Fabrikam, Inc."",""Jet GL Transactions"",""Account Index"",""131"",""Credit Amount"",""0.00000"",""Document Number"",""SLS117011"",""Debit Amount"",""377.75000"",""Vendor Name"",""Baker's Emporium Inc."",""Transaction Description"",""TRADE"",""Transaction Date"",""1/1/201"&amp;"4"""</f>
        <v>"GP Direct","Fabrikam, Inc.","Jet GL Transactions","Account Index","131","Credit Amount","0.00000","Document Number","SLS117011","Debit Amount","377.75000","Vendor Name","Baker's Emporium Inc.","Transaction Description","TRADE","Transaction Date","1/1/2014"</v>
      </c>
      <c r="F393" s="4">
        <v>377.75</v>
      </c>
      <c r="G393" s="4">
        <v>0</v>
      </c>
      <c r="J393" s="31">
        <f t="shared" si="82"/>
        <v>377.75</v>
      </c>
      <c r="K393" s="32" t="str">
        <f t="shared" si="83"/>
        <v>TRADE</v>
      </c>
      <c r="L393" s="32" t="str">
        <f>"SLS117011"</f>
        <v>SLS117011</v>
      </c>
      <c r="M393" s="33">
        <v>41640</v>
      </c>
      <c r="N393" s="31"/>
      <c r="R393" s="2">
        <f t="shared" si="85"/>
        <v>4</v>
      </c>
    </row>
    <row r="394" spans="1:18" hidden="1" outlineLevel="1" x14ac:dyDescent="0.2">
      <c r="A394" s="30" t="s">
        <v>53</v>
      </c>
      <c r="C394" s="18"/>
      <c r="D394" s="4"/>
      <c r="E394" s="19" t="str">
        <f>"""GP Direct"",""Fabrikam, Inc."",""Jet GL Transactions"",""Account Index"",""131"",""Credit Amount"",""0.00000"",""Document Number"",""SLS12030"",""Debit Amount"",""209.10000"",""Vendor Name"",""Kensington Gardens Resort"",""Transaction Description"",""TRADE"",""Transaction Date"",""1/1/"&amp;"2014"""</f>
        <v>"GP Direct","Fabrikam, Inc.","Jet GL Transactions","Account Index","131","Credit Amount","0.00000","Document Number","SLS12030","Debit Amount","209.10000","Vendor Name","Kensington Gardens Resort","Transaction Description","TRADE","Transaction Date","1/1/2014"</v>
      </c>
      <c r="F394" s="4">
        <v>209.1</v>
      </c>
      <c r="G394" s="4">
        <v>0</v>
      </c>
      <c r="J394" s="31">
        <f t="shared" si="82"/>
        <v>209.1</v>
      </c>
      <c r="K394" s="32" t="str">
        <f t="shared" si="83"/>
        <v>TRADE</v>
      </c>
      <c r="L394" s="32" t="str">
        <f>"SLS12030"</f>
        <v>SLS12030</v>
      </c>
      <c r="M394" s="33">
        <v>41640</v>
      </c>
      <c r="N394" s="31"/>
      <c r="R394" s="2">
        <f t="shared" si="85"/>
        <v>5</v>
      </c>
    </row>
    <row r="395" spans="1:18" hidden="1" outlineLevel="1" x14ac:dyDescent="0.2">
      <c r="A395" s="30" t="s">
        <v>53</v>
      </c>
      <c r="C395" s="18"/>
      <c r="D395" s="4"/>
      <c r="E395" s="19" t="str">
        <f>"""GP Direct"",""Fabrikam, Inc."",""Jet GL Transactions"",""Account Index"",""131"",""Credit Amount"",""0.00000"",""Document Number"",""SLS124001"",""Debit Amount"",""356.12000"",""Vendor Name"",""ISN Industries"",""Transaction Description"",""TRADE"",""Transaction Date"",""1/1/2014"""</f>
        <v>"GP Direct","Fabrikam, Inc.","Jet GL Transactions","Account Index","131","Credit Amount","0.00000","Document Number","SLS124001","Debit Amount","356.12000","Vendor Name","ISN Industries","Transaction Description","TRADE","Transaction Date","1/1/2014"</v>
      </c>
      <c r="F395" s="4">
        <v>356.12</v>
      </c>
      <c r="G395" s="4">
        <v>0</v>
      </c>
      <c r="J395" s="31">
        <f t="shared" si="82"/>
        <v>356.12</v>
      </c>
      <c r="K395" s="32" t="str">
        <f t="shared" si="83"/>
        <v>TRADE</v>
      </c>
      <c r="L395" s="32" t="str">
        <f>"SLS124001"</f>
        <v>SLS124001</v>
      </c>
      <c r="M395" s="33">
        <v>41640</v>
      </c>
      <c r="N395" s="31"/>
      <c r="R395" s="2">
        <f t="shared" si="85"/>
        <v>6</v>
      </c>
    </row>
    <row r="396" spans="1:18" hidden="1" outlineLevel="1" x14ac:dyDescent="0.2">
      <c r="A396" s="30" t="s">
        <v>53</v>
      </c>
      <c r="C396" s="18"/>
      <c r="D396" s="4"/>
      <c r="E396" s="19" t="str">
        <f>"""GP Direct"",""Fabrikam, Inc."",""Jet GL Transactions"",""Account Index"",""131"",""Credit Amount"",""0.00000"",""Document Number"",""SLS125000"",""Debit Amount"",""716.12000"",""Vendor Name"",""Red's Food Market"",""Transaction Description"",""TRADE"",""Transaction Date"",""1/1/2014"""</f>
        <v>"GP Direct","Fabrikam, Inc.","Jet GL Transactions","Account Index","131","Credit Amount","0.00000","Document Number","SLS125000","Debit Amount","716.12000","Vendor Name","Red's Food Market","Transaction Description","TRADE","Transaction Date","1/1/2014"</v>
      </c>
      <c r="F396" s="4">
        <v>716.12</v>
      </c>
      <c r="G396" s="4">
        <v>0</v>
      </c>
      <c r="J396" s="31">
        <f t="shared" si="82"/>
        <v>716.12</v>
      </c>
      <c r="K396" s="32" t="str">
        <f t="shared" si="83"/>
        <v>TRADE</v>
      </c>
      <c r="L396" s="32" t="str">
        <f>"SLS125000"</f>
        <v>SLS125000</v>
      </c>
      <c r="M396" s="33">
        <v>41640</v>
      </c>
      <c r="N396" s="31"/>
      <c r="R396" s="2">
        <f t="shared" si="85"/>
        <v>7</v>
      </c>
    </row>
    <row r="397" spans="1:18" hidden="1" outlineLevel="1" x14ac:dyDescent="0.2">
      <c r="A397" s="30" t="s">
        <v>53</v>
      </c>
      <c r="C397" s="18"/>
      <c r="D397" s="4"/>
      <c r="E397" s="19" t="str">
        <f>"""GP Direct"",""Fabrikam, Inc."",""Jet GL Transactions"",""Account Index"",""131"",""Credit Amount"",""0.00000"",""Document Number"",""SLS14021"",""Debit Amount"",""179.77000"",""Vendor Name"",""Comtel-Page Inc."",""Transaction Description"",""TRADE"",""Transaction Date"",""1/1/2014"""</f>
        <v>"GP Direct","Fabrikam, Inc.","Jet GL Transactions","Account Index","131","Credit Amount","0.00000","Document Number","SLS14021","Debit Amount","179.77000","Vendor Name","Comtel-Page Inc.","Transaction Description","TRADE","Transaction Date","1/1/2014"</v>
      </c>
      <c r="F397" s="4">
        <v>179.77</v>
      </c>
      <c r="G397" s="4">
        <v>0</v>
      </c>
      <c r="J397" s="31">
        <f t="shared" si="82"/>
        <v>179.77</v>
      </c>
      <c r="K397" s="32" t="str">
        <f t="shared" si="83"/>
        <v>TRADE</v>
      </c>
      <c r="L397" s="32" t="str">
        <f>"SLS14021"</f>
        <v>SLS14021</v>
      </c>
      <c r="M397" s="33">
        <v>41640</v>
      </c>
      <c r="N397" s="31"/>
      <c r="R397" s="2">
        <f t="shared" si="85"/>
        <v>8</v>
      </c>
    </row>
    <row r="398" spans="1:18" hidden="1" outlineLevel="1" x14ac:dyDescent="0.2">
      <c r="A398" s="30" t="s">
        <v>53</v>
      </c>
      <c r="C398" s="18"/>
      <c r="D398" s="4"/>
      <c r="E398" s="19" t="str">
        <f>"""GP Direct"",""Fabrikam, Inc."",""Jet GL Transactions"",""Account Index"",""131"",""Credit Amount"",""0.00000"",""Document Number"",""SLS14031"",""Debit Amount"",""186.82000"",""Vendor Name"",""Laser Messenger Service"",""Transaction Description"",""TRADE"",""Transaction Date"",""1/1/20"&amp;"14"""</f>
        <v>"GP Direct","Fabrikam, Inc.","Jet GL Transactions","Account Index","131","Credit Amount","0.00000","Document Number","SLS14031","Debit Amount","186.82000","Vendor Name","Laser Messenger Service","Transaction Description","TRADE","Transaction Date","1/1/2014"</v>
      </c>
      <c r="F398" s="4">
        <v>186.82</v>
      </c>
      <c r="G398" s="4">
        <v>0</v>
      </c>
      <c r="J398" s="31">
        <f t="shared" si="82"/>
        <v>186.82</v>
      </c>
      <c r="K398" s="32" t="str">
        <f t="shared" si="83"/>
        <v>TRADE</v>
      </c>
      <c r="L398" s="32" t="str">
        <f>"SLS14031"</f>
        <v>SLS14031</v>
      </c>
      <c r="M398" s="33">
        <v>41640</v>
      </c>
      <c r="N398" s="31"/>
      <c r="R398" s="2">
        <f t="shared" si="85"/>
        <v>9</v>
      </c>
    </row>
    <row r="399" spans="1:18" hidden="1" outlineLevel="1" x14ac:dyDescent="0.2">
      <c r="A399" s="30" t="s">
        <v>53</v>
      </c>
      <c r="C399" s="18"/>
      <c r="D399" s="4"/>
      <c r="E399" s="19" t="str">
        <f>"""GP Direct"",""Fabrikam, Inc."",""Jet GL Transactions"",""Account Index"",""131"",""Credit Amount"",""0.00000"",""Document Number"",""SLS14070"",""Debit Amount"",""341.07000"",""Vendor Name"",""World Enterprises"",""Transaction Description"",""TRADE"",""Transaction Date"",""1/1/2014"""</f>
        <v>"GP Direct","Fabrikam, Inc.","Jet GL Transactions","Account Index","131","Credit Amount","0.00000","Document Number","SLS14070","Debit Amount","341.07000","Vendor Name","World Enterprises","Transaction Description","TRADE","Transaction Date","1/1/2014"</v>
      </c>
      <c r="F399" s="4">
        <v>341.07</v>
      </c>
      <c r="G399" s="4">
        <v>0</v>
      </c>
      <c r="J399" s="31">
        <f t="shared" si="82"/>
        <v>341.07</v>
      </c>
      <c r="K399" s="32" t="str">
        <f t="shared" si="83"/>
        <v>TRADE</v>
      </c>
      <c r="L399" s="32" t="str">
        <f>"SLS14070"</f>
        <v>SLS14070</v>
      </c>
      <c r="M399" s="33">
        <v>41640</v>
      </c>
      <c r="N399" s="31"/>
      <c r="R399" s="2">
        <f t="shared" si="85"/>
        <v>10</v>
      </c>
    </row>
    <row r="400" spans="1:18" hidden="1" outlineLevel="1" x14ac:dyDescent="0.2">
      <c r="A400" s="30" t="s">
        <v>53</v>
      </c>
      <c r="C400" s="18"/>
      <c r="D400" s="4"/>
      <c r="E400" s="19" t="str">
        <f>"""GP Direct"",""Fabrikam, Inc."",""Jet GL Transactions"",""Account Index"",""131"",""Credit Amount"",""0.00000"",""Document Number"",""SLS15060"",""Debit Amount"",""249.04000"",""Vendor Name"",""Dollis Cove Resort"",""Transaction Description"",""TRADE"",""Transaction Date"",""1/1/2014"""</f>
        <v>"GP Direct","Fabrikam, Inc.","Jet GL Transactions","Account Index","131","Credit Amount","0.00000","Document Number","SLS15060","Debit Amount","249.04000","Vendor Name","Dollis Cove Resort","Transaction Description","TRADE","Transaction Date","1/1/2014"</v>
      </c>
      <c r="F400" s="4">
        <v>249.04</v>
      </c>
      <c r="G400" s="4">
        <v>0</v>
      </c>
      <c r="J400" s="31">
        <f t="shared" si="82"/>
        <v>249.04</v>
      </c>
      <c r="K400" s="32" t="str">
        <f t="shared" si="83"/>
        <v>TRADE</v>
      </c>
      <c r="L400" s="32" t="str">
        <f>"SLS15060"</f>
        <v>SLS15060</v>
      </c>
      <c r="M400" s="33">
        <v>41640</v>
      </c>
      <c r="N400" s="31"/>
      <c r="R400" s="2">
        <f t="shared" si="85"/>
        <v>11</v>
      </c>
    </row>
    <row r="401" spans="1:18" hidden="1" outlineLevel="1" x14ac:dyDescent="0.2">
      <c r="A401" s="30" t="s">
        <v>53</v>
      </c>
      <c r="C401" s="18"/>
      <c r="D401" s="4"/>
      <c r="E401" s="19" t="str">
        <f>"""GP Direct"",""Fabrikam, Inc."",""Jet GL Transactions"",""Account Index"",""131"",""Credit Amount"",""0.00000"",""Document Number"",""SLS15093"",""Debit Amount"",""309.72000"",""Vendor Name"",""Leisure &amp; Travel Consultants"",""Transaction Description"",""TRADE"",""Transaction Date"",""1"&amp;"/1/2014"""</f>
        <v>"GP Direct","Fabrikam, Inc.","Jet GL Transactions","Account Index","131","Credit Amount","0.00000","Document Number","SLS15093","Debit Amount","309.72000","Vendor Name","Leisure &amp; Travel Consultants","Transaction Description","TRADE","Transaction Date","1/1/2014"</v>
      </c>
      <c r="F401" s="4">
        <v>309.72000000000003</v>
      </c>
      <c r="G401" s="4">
        <v>0</v>
      </c>
      <c r="J401" s="31">
        <f t="shared" si="82"/>
        <v>309.72000000000003</v>
      </c>
      <c r="K401" s="32" t="str">
        <f t="shared" si="83"/>
        <v>TRADE</v>
      </c>
      <c r="L401" s="32" t="str">
        <f>"SLS15093"</f>
        <v>SLS15093</v>
      </c>
      <c r="M401" s="33">
        <v>41640</v>
      </c>
      <c r="N401" s="31"/>
      <c r="R401" s="2">
        <f t="shared" si="85"/>
        <v>12</v>
      </c>
    </row>
    <row r="402" spans="1:18" hidden="1" outlineLevel="1" x14ac:dyDescent="0.2">
      <c r="A402" s="30" t="s">
        <v>53</v>
      </c>
      <c r="C402" s="18"/>
      <c r="D402" s="4"/>
      <c r="E402" s="19" t="str">
        <f>"""GP Direct"",""Fabrikam, Inc."",""Jet GL Transactions"",""Account Index"",""131"",""Credit Amount"",""0.00000"",""Document Number"",""SLS16090"",""Debit Amount"",""99.98000"",""Vendor Name"",""Executive Resources"",""Transaction Description"",""TRADE"",""Transaction Date"",""1/1/2014"""</f>
        <v>"GP Direct","Fabrikam, Inc.","Jet GL Transactions","Account Index","131","Credit Amount","0.00000","Document Number","SLS16090","Debit Amount","99.98000","Vendor Name","Executive Resources","Transaction Description","TRADE","Transaction Date","1/1/2014"</v>
      </c>
      <c r="F402" s="4">
        <v>99.98</v>
      </c>
      <c r="G402" s="4">
        <v>0</v>
      </c>
      <c r="J402" s="31">
        <f t="shared" si="82"/>
        <v>99.98</v>
      </c>
      <c r="K402" s="32" t="str">
        <f t="shared" si="83"/>
        <v>TRADE</v>
      </c>
      <c r="L402" s="32" t="str">
        <f>"SLS16090"</f>
        <v>SLS16090</v>
      </c>
      <c r="M402" s="33">
        <v>41640</v>
      </c>
      <c r="N402" s="31"/>
      <c r="R402" s="2">
        <f t="shared" si="85"/>
        <v>13</v>
      </c>
    </row>
    <row r="403" spans="1:18" hidden="1" outlineLevel="1" x14ac:dyDescent="0.2">
      <c r="A403" s="30" t="s">
        <v>53</v>
      </c>
      <c r="C403" s="18"/>
      <c r="D403" s="4"/>
      <c r="E403" s="19" t="str">
        <f>"""GP Direct"",""Fabrikam, Inc."",""Jet GL Transactions"",""Account Index"",""131"",""Credit Amount"",""0.00000"",""Document Number"",""SLS17020"",""Debit Amount"",""343.47000"",""Vendor Name"",""Mutual of  Omaha"",""Transaction Description"",""TRADE"",""Transaction Date"",""1/1/2014"""</f>
        <v>"GP Direct","Fabrikam, Inc.","Jet GL Transactions","Account Index","131","Credit Amount","0.00000","Document Number","SLS17020","Debit Amount","343.47000","Vendor Name","Mutual of  Omaha","Transaction Description","TRADE","Transaction Date","1/1/2014"</v>
      </c>
      <c r="F403" s="4">
        <v>343.47</v>
      </c>
      <c r="G403" s="4">
        <v>0</v>
      </c>
      <c r="J403" s="31">
        <f t="shared" si="82"/>
        <v>343.47</v>
      </c>
      <c r="K403" s="32" t="str">
        <f t="shared" si="83"/>
        <v>TRADE</v>
      </c>
      <c r="L403" s="32" t="str">
        <f>"SLS17020"</f>
        <v>SLS17020</v>
      </c>
      <c r="M403" s="33">
        <v>41640</v>
      </c>
      <c r="N403" s="31"/>
      <c r="R403" s="2">
        <f t="shared" si="85"/>
        <v>14</v>
      </c>
    </row>
    <row r="404" spans="1:18" hidden="1" outlineLevel="1" x14ac:dyDescent="0.2">
      <c r="A404" s="30" t="s">
        <v>53</v>
      </c>
      <c r="C404" s="18"/>
      <c r="D404" s="4"/>
      <c r="E404" s="19" t="str">
        <f>"""GP Direct"",""Fabrikam, Inc."",""Jet GL Transactions"",""Account Index"",""131"",""Credit Amount"",""0.00000"",""Document Number"",""SLS18010"",""Debit Amount"",""197.13000"",""Vendor Name"",""Mendota University"",""Transaction Description"",""TRADE"",""Transaction Date"",""1/1/2014"""</f>
        <v>"GP Direct","Fabrikam, Inc.","Jet GL Transactions","Account Index","131","Credit Amount","0.00000","Document Number","SLS18010","Debit Amount","197.13000","Vendor Name","Mendota University","Transaction Description","TRADE","Transaction Date","1/1/2014"</v>
      </c>
      <c r="F404" s="4">
        <v>197.13</v>
      </c>
      <c r="G404" s="4">
        <v>0</v>
      </c>
      <c r="J404" s="31">
        <f t="shared" si="82"/>
        <v>197.13</v>
      </c>
      <c r="K404" s="32" t="str">
        <f t="shared" si="83"/>
        <v>TRADE</v>
      </c>
      <c r="L404" s="32" t="str">
        <f>"SLS18010"</f>
        <v>SLS18010</v>
      </c>
      <c r="M404" s="33">
        <v>41640</v>
      </c>
      <c r="N404" s="31"/>
      <c r="R404" s="2">
        <f t="shared" si="85"/>
        <v>15</v>
      </c>
    </row>
    <row r="405" spans="1:18" hidden="1" outlineLevel="1" x14ac:dyDescent="0.2">
      <c r="A405" s="30" t="s">
        <v>53</v>
      </c>
      <c r="C405" s="18"/>
      <c r="D405" s="4"/>
      <c r="E405" s="19" t="str">
        <f>"""GP Direct"",""Fabrikam, Inc."",""Jet GL Transactions"",""Account Index"",""131"",""Credit Amount"",""0.00000"",""Document Number"",""SLS18080"",""Debit Amount"",""169.98000"",""Vendor Name"",""Vancouver Resort Hotels"",""Transaction Description"",""TRADE"",""Transaction Date"",""1/1/20"&amp;"14"""</f>
        <v>"GP Direct","Fabrikam, Inc.","Jet GL Transactions","Account Index","131","Credit Amount","0.00000","Document Number","SLS18080","Debit Amount","169.98000","Vendor Name","Vancouver Resort Hotels","Transaction Description","TRADE","Transaction Date","1/1/2014"</v>
      </c>
      <c r="F405" s="4">
        <v>169.98</v>
      </c>
      <c r="G405" s="4">
        <v>0</v>
      </c>
      <c r="J405" s="31">
        <f t="shared" si="82"/>
        <v>169.98</v>
      </c>
      <c r="K405" s="32" t="str">
        <f t="shared" si="83"/>
        <v>TRADE</v>
      </c>
      <c r="L405" s="32" t="str">
        <f>"SLS18080"</f>
        <v>SLS18080</v>
      </c>
      <c r="M405" s="33">
        <v>41640</v>
      </c>
      <c r="N405" s="31"/>
      <c r="R405" s="2">
        <f t="shared" si="85"/>
        <v>16</v>
      </c>
    </row>
    <row r="406" spans="1:18" hidden="1" outlineLevel="1" x14ac:dyDescent="0.2">
      <c r="A406" s="30" t="s">
        <v>53</v>
      </c>
      <c r="C406" s="18"/>
      <c r="D406" s="4"/>
      <c r="E406" s="19" t="str">
        <f>"""GP Direct"",""Fabrikam, Inc."",""Jet GL Transactions"",""Account Index"",""131"",""Credit Amount"",""0.00000"",""Document Number"",""SLS19000"",""Debit Amount"",""366.82000"",""Vendor Name"",""Greenway Foods"",""Transaction Description"",""TRADE"",""Transaction Date"",""1/1/2014"""</f>
        <v>"GP Direct","Fabrikam, Inc.","Jet GL Transactions","Account Index","131","Credit Amount","0.00000","Document Number","SLS19000","Debit Amount","366.82000","Vendor Name","Greenway Foods","Transaction Description","TRADE","Transaction Date","1/1/2014"</v>
      </c>
      <c r="F406" s="4">
        <v>366.82</v>
      </c>
      <c r="G406" s="4">
        <v>0</v>
      </c>
      <c r="J406" s="31">
        <f t="shared" si="82"/>
        <v>366.82</v>
      </c>
      <c r="K406" s="32" t="str">
        <f t="shared" si="83"/>
        <v>TRADE</v>
      </c>
      <c r="L406" s="32" t="str">
        <f>"SLS19000"</f>
        <v>SLS19000</v>
      </c>
      <c r="M406" s="33">
        <v>41640</v>
      </c>
      <c r="N406" s="31"/>
      <c r="R406" s="2">
        <f t="shared" si="85"/>
        <v>17</v>
      </c>
    </row>
    <row r="407" spans="1:18" hidden="1" outlineLevel="1" x14ac:dyDescent="0.2">
      <c r="A407" s="30" t="s">
        <v>53</v>
      </c>
      <c r="C407" s="18"/>
      <c r="D407" s="4"/>
      <c r="E407" s="19" t="str">
        <f>"""GP Direct"",""Fabrikam, Inc."",""Jet GL Transactions"",""Account Index"",""131"",""Credit Amount"",""0.00000"",""Document Number"",""SLS19002"",""Debit Amount"",""12.69000"",""Vendor Name"",""Greenway Foods"",""Transaction Description"",""TRADE"",""Transaction Date"",""1/1/2014"""</f>
        <v>"GP Direct","Fabrikam, Inc.","Jet GL Transactions","Account Index","131","Credit Amount","0.00000","Document Number","SLS19002","Debit Amount","12.69000","Vendor Name","Greenway Foods","Transaction Description","TRADE","Transaction Date","1/1/2014"</v>
      </c>
      <c r="F407" s="4">
        <v>12.69</v>
      </c>
      <c r="G407" s="4">
        <v>0</v>
      </c>
      <c r="J407" s="31">
        <f t="shared" si="82"/>
        <v>12.69</v>
      </c>
      <c r="K407" s="32" t="str">
        <f t="shared" si="83"/>
        <v>TRADE</v>
      </c>
      <c r="L407" s="32" t="str">
        <f>"SLS19002"</f>
        <v>SLS19002</v>
      </c>
      <c r="M407" s="33">
        <v>41640</v>
      </c>
      <c r="N407" s="31"/>
      <c r="R407" s="2">
        <f t="shared" si="85"/>
        <v>18</v>
      </c>
    </row>
    <row r="408" spans="1:18" hidden="1" x14ac:dyDescent="0.2">
      <c r="A408" s="29" t="s">
        <v>1386</v>
      </c>
      <c r="C408" s="18"/>
    </row>
    <row r="409" spans="1:18" ht="17.25" customHeight="1" collapsed="1" x14ac:dyDescent="0.2">
      <c r="A409" s="30" t="s">
        <v>53</v>
      </c>
      <c r="C409" s="14" t="str">
        <f>"000-4184-00"</f>
        <v>000-4184-00</v>
      </c>
      <c r="D409" s="2">
        <v>132</v>
      </c>
      <c r="E409" s="2"/>
      <c r="F409" s="2" t="s">
        <v>10</v>
      </c>
      <c r="G409" s="2" t="s">
        <v>8</v>
      </c>
      <c r="H409" s="13" t="str">
        <f>"  "&amp;C409</f>
        <v xml:space="preserve">  000-4184-00</v>
      </c>
      <c r="I409" s="15" t="str">
        <f>"Canadian Sales Trade Discounts"</f>
        <v>Canadian Sales Trade Discounts</v>
      </c>
      <c r="J409" s="16">
        <f>SUM(J410:J411)</f>
        <v>0</v>
      </c>
      <c r="K409" s="13"/>
      <c r="L409" s="13"/>
      <c r="M409" s="13"/>
      <c r="N409" s="17">
        <v>0</v>
      </c>
      <c r="O409" s="16">
        <f>J409-N409</f>
        <v>0</v>
      </c>
    </row>
    <row r="410" spans="1:18" hidden="1" outlineLevel="1" x14ac:dyDescent="0.2">
      <c r="A410" s="30" t="s">
        <v>53</v>
      </c>
      <c r="C410" s="18"/>
      <c r="D410" s="4"/>
      <c r="E410" s="19" t="str">
        <f>""</f>
        <v/>
      </c>
      <c r="F410" s="4" t="str">
        <f>""</f>
        <v/>
      </c>
      <c r="G410" s="4" t="str">
        <f>""</f>
        <v/>
      </c>
      <c r="J410" s="31" t="str">
        <f>IF(AND(F410="",G410=""),"",$F410-$G410)</f>
        <v/>
      </c>
      <c r="K410" s="32" t="str">
        <f>""</f>
        <v/>
      </c>
      <c r="L410" s="32" t="str">
        <f>""</f>
        <v/>
      </c>
      <c r="M410" s="33" t="str">
        <f>""</f>
        <v/>
      </c>
      <c r="N410" s="31"/>
      <c r="R410" s="2">
        <f t="shared" ref="R410" si="86">R409+1</f>
        <v>1</v>
      </c>
    </row>
    <row r="411" spans="1:18" hidden="1" x14ac:dyDescent="0.2">
      <c r="A411" s="29" t="s">
        <v>1386</v>
      </c>
      <c r="C411" s="18"/>
    </row>
    <row r="412" spans="1:18" ht="17.25" customHeight="1" collapsed="1" x14ac:dyDescent="0.2">
      <c r="A412" s="30" t="s">
        <v>53</v>
      </c>
      <c r="C412" s="14" t="str">
        <f>"000-4185-00"</f>
        <v>000-4185-00</v>
      </c>
      <c r="D412" s="2">
        <v>133</v>
      </c>
      <c r="E412" s="2"/>
      <c r="F412" s="2" t="s">
        <v>10</v>
      </c>
      <c r="G412" s="2" t="s">
        <v>8</v>
      </c>
      <c r="H412" s="13" t="str">
        <f>"  "&amp;C412</f>
        <v xml:space="preserve">  000-4185-00</v>
      </c>
      <c r="I412" s="15" t="str">
        <f>"AustralAsian Trade Discounts"</f>
        <v>AustralAsian Trade Discounts</v>
      </c>
      <c r="J412" s="16">
        <f>SUM(J413:J414)</f>
        <v>0</v>
      </c>
      <c r="K412" s="13"/>
      <c r="L412" s="13"/>
      <c r="M412" s="13"/>
      <c r="N412" s="17">
        <v>0</v>
      </c>
      <c r="O412" s="16">
        <f>J412-N412</f>
        <v>0</v>
      </c>
    </row>
    <row r="413" spans="1:18" hidden="1" outlineLevel="1" x14ac:dyDescent="0.2">
      <c r="A413" s="30" t="s">
        <v>53</v>
      </c>
      <c r="C413" s="18"/>
      <c r="D413" s="4"/>
      <c r="E413" s="19" t="str">
        <f>""</f>
        <v/>
      </c>
      <c r="F413" s="4" t="str">
        <f>""</f>
        <v/>
      </c>
      <c r="G413" s="4" t="str">
        <f>""</f>
        <v/>
      </c>
      <c r="J413" s="31" t="str">
        <f>IF(AND(F413="",G413=""),"",$F413-$G413)</f>
        <v/>
      </c>
      <c r="K413" s="32" t="str">
        <f>""</f>
        <v/>
      </c>
      <c r="L413" s="32" t="str">
        <f>""</f>
        <v/>
      </c>
      <c r="M413" s="33" t="str">
        <f>""</f>
        <v/>
      </c>
      <c r="N413" s="31"/>
      <c r="R413" s="2">
        <f t="shared" ref="R413" si="87">R412+1</f>
        <v>1</v>
      </c>
    </row>
    <row r="414" spans="1:18" hidden="1" x14ac:dyDescent="0.2">
      <c r="A414" s="29" t="s">
        <v>1386</v>
      </c>
      <c r="C414" s="18"/>
    </row>
    <row r="415" spans="1:18" ht="17.25" customHeight="1" collapsed="1" x14ac:dyDescent="0.2">
      <c r="A415" s="30" t="s">
        <v>53</v>
      </c>
      <c r="C415" s="14" t="str">
        <f>"000-4190-00"</f>
        <v>000-4190-00</v>
      </c>
      <c r="D415" s="2">
        <v>134</v>
      </c>
      <c r="E415" s="2"/>
      <c r="F415" s="2" t="s">
        <v>10</v>
      </c>
      <c r="G415" s="2" t="s">
        <v>8</v>
      </c>
      <c r="H415" s="13" t="str">
        <f>"  "&amp;C415</f>
        <v xml:space="preserve">  000-4190-00</v>
      </c>
      <c r="I415" s="15" t="str">
        <f>"US Sales Returns"</f>
        <v>US Sales Returns</v>
      </c>
      <c r="J415" s="16">
        <f>SUM(J416:J453)</f>
        <v>49193.53</v>
      </c>
      <c r="K415" s="13"/>
      <c r="L415" s="13"/>
      <c r="M415" s="13"/>
      <c r="N415" s="17">
        <v>156000</v>
      </c>
      <c r="O415" s="16">
        <f>J415-N415</f>
        <v>-106806.47</v>
      </c>
    </row>
    <row r="416" spans="1:18" hidden="1" outlineLevel="1" x14ac:dyDescent="0.2">
      <c r="A416" s="30" t="s">
        <v>53</v>
      </c>
      <c r="C416" s="18"/>
      <c r="D416" s="4"/>
      <c r="E416" s="19" t="str">
        <f>"""GP Direct"",""Fabrikam, Inc."",""Jet GL Transactions"",""Account Index"",""134"",""Credit Amount"",""0.00000"",""Document Number"",""CM110032"",""Debit Amount"",""1350.00000"",""Vendor Name"",""Plaza One"",""Transaction Description"",""CRMEMO"",""Transaction Date"",""1/1/2014"""</f>
        <v>"GP Direct","Fabrikam, Inc.","Jet GL Transactions","Account Index","134","Credit Amount","0.00000","Document Number","CM110032","Debit Amount","1350.00000","Vendor Name","Plaza One","Transaction Description","CRMEMO","Transaction Date","1/1/2014"</v>
      </c>
      <c r="F416" s="4">
        <v>1350</v>
      </c>
      <c r="G416" s="4">
        <v>0</v>
      </c>
      <c r="J416" s="31">
        <f t="shared" ref="J416:J452" si="88">IF(AND(F416="",G416=""),"",$F416-$G416)</f>
        <v>1350</v>
      </c>
      <c r="K416" s="32" t="str">
        <f>"CRMEMO"</f>
        <v>CRMEMO</v>
      </c>
      <c r="L416" s="32" t="str">
        <f>"CM110032"</f>
        <v>CM110032</v>
      </c>
      <c r="M416" s="33">
        <v>41640</v>
      </c>
      <c r="N416" s="31"/>
      <c r="R416" s="2">
        <f t="shared" ref="R416" si="89">R415+1</f>
        <v>1</v>
      </c>
    </row>
    <row r="417" spans="1:18" hidden="1" outlineLevel="1" x14ac:dyDescent="0.2">
      <c r="A417" s="30" t="s">
        <v>53</v>
      </c>
      <c r="C417" s="18"/>
      <c r="D417" s="4"/>
      <c r="E417" s="19" t="str">
        <f>"""GP Direct"",""Fabrikam, Inc."",""Jet GL Transactions"",""Account Index"",""134"",""Credit Amount"",""0.00000"",""Document Number"",""CM11071"",""Debit Amount"",""799.23000"",""Vendor Name"",""Advanced Tech Satellite System"",""Transaction Description"",""CRMEMO"",""Transaction Date"","&amp;"""1/1/2014"""</f>
        <v>"GP Direct","Fabrikam, Inc.","Jet GL Transactions","Account Index","134","Credit Amount","0.00000","Document Number","CM11071","Debit Amount","799.23000","Vendor Name","Advanced Tech Satellite System","Transaction Description","CRMEMO","Transaction Date","1/1/2014"</v>
      </c>
      <c r="F417" s="4">
        <v>799.23</v>
      </c>
      <c r="G417" s="4">
        <v>0</v>
      </c>
      <c r="J417" s="31">
        <f t="shared" si="88"/>
        <v>799.23</v>
      </c>
      <c r="K417" s="32" t="str">
        <f>"CRMEMO"</f>
        <v>CRMEMO</v>
      </c>
      <c r="L417" s="32" t="str">
        <f>"CM11071"</f>
        <v>CM11071</v>
      </c>
      <c r="M417" s="33">
        <v>41640</v>
      </c>
      <c r="N417" s="31"/>
      <c r="R417" s="2">
        <f t="shared" ref="R417:R452" si="90">R416+1</f>
        <v>2</v>
      </c>
    </row>
    <row r="418" spans="1:18" hidden="1" outlineLevel="1" x14ac:dyDescent="0.2">
      <c r="A418" s="30" t="s">
        <v>53</v>
      </c>
      <c r="C418" s="18"/>
      <c r="D418" s="4"/>
      <c r="E418" s="19" t="str">
        <f>"""GP Direct"",""Fabrikam, Inc."",""Jet GL Transactions"",""Account Index"",""134"",""Credit Amount"",""0.00000"",""Document Number"",""CM115054"",""Debit Amount"",""1899.40000"",""Vendor Name"",""Berry Medical Center"",""Transaction Description"",""CRMEMO"",""Transaction Date"",""1/1/201"&amp;"4"""</f>
        <v>"GP Direct","Fabrikam, Inc.","Jet GL Transactions","Account Index","134","Credit Amount","0.00000","Document Number","CM115054","Debit Amount","1899.40000","Vendor Name","Berry Medical Center","Transaction Description","CRMEMO","Transaction Date","1/1/2014"</v>
      </c>
      <c r="F418" s="4">
        <v>1899.4</v>
      </c>
      <c r="G418" s="4">
        <v>0</v>
      </c>
      <c r="J418" s="31">
        <f t="shared" si="88"/>
        <v>1899.4</v>
      </c>
      <c r="K418" s="32" t="str">
        <f>"CRMEMO"</f>
        <v>CRMEMO</v>
      </c>
      <c r="L418" s="32" t="str">
        <f>"CM115054"</f>
        <v>CM115054</v>
      </c>
      <c r="M418" s="33">
        <v>41640</v>
      </c>
      <c r="N418" s="31"/>
      <c r="R418" s="2">
        <f t="shared" si="90"/>
        <v>3</v>
      </c>
    </row>
    <row r="419" spans="1:18" hidden="1" outlineLevel="1" x14ac:dyDescent="0.2">
      <c r="A419" s="30" t="s">
        <v>53</v>
      </c>
      <c r="C419" s="18"/>
      <c r="D419" s="4"/>
      <c r="E419" s="19" t="str">
        <f>"""GP Direct"",""Fabrikam, Inc."",""Jet GL Transactions"",""Account Index"",""134"",""Credit Amount"",""0.00000"",""Document Number"",""CM122001"",""Debit Amount"",""1682.84000"",""Vendor Name"",""Pacific Digital"",""Transaction Description"",""CRMEMO"",""Transaction Date"",""1/1/2014"""</f>
        <v>"GP Direct","Fabrikam, Inc.","Jet GL Transactions","Account Index","134","Credit Amount","0.00000","Document Number","CM122001","Debit Amount","1682.84000","Vendor Name","Pacific Digital","Transaction Description","CRMEMO","Transaction Date","1/1/2014"</v>
      </c>
      <c r="F419" s="4">
        <v>1682.84</v>
      </c>
      <c r="G419" s="4">
        <v>0</v>
      </c>
      <c r="J419" s="31">
        <f t="shared" si="88"/>
        <v>1682.84</v>
      </c>
      <c r="K419" s="32" t="str">
        <f>"CRMEMO"</f>
        <v>CRMEMO</v>
      </c>
      <c r="L419" s="32" t="str">
        <f>"CM122001"</f>
        <v>CM122001</v>
      </c>
      <c r="M419" s="33">
        <v>41640</v>
      </c>
      <c r="N419" s="31"/>
      <c r="R419" s="2">
        <f t="shared" si="90"/>
        <v>4</v>
      </c>
    </row>
    <row r="420" spans="1:18" hidden="1" outlineLevel="1" x14ac:dyDescent="0.2">
      <c r="A420" s="30" t="s">
        <v>53</v>
      </c>
      <c r="C420" s="18"/>
      <c r="D420" s="4"/>
      <c r="E420" s="19" t="str">
        <f>"""GP Direct"",""Fabrikam, Inc."",""Jet GL Transactions"",""Account Index"",""134"",""Credit Amount"",""0.00000"",""Document Number"",""CM17005"",""Debit Amount"",""793.59000"",""Vendor Name"",""Midland Construction"",""Transaction Description"",""CRMEMO"",""Transaction Date"",""1/1/2014"""</f>
        <v>"GP Direct","Fabrikam, Inc.","Jet GL Transactions","Account Index","134","Credit Amount","0.00000","Document Number","CM17005","Debit Amount","793.59000","Vendor Name","Midland Construction","Transaction Description","CRMEMO","Transaction Date","1/1/2014"</v>
      </c>
      <c r="F420" s="4">
        <v>793.59</v>
      </c>
      <c r="G420" s="4">
        <v>0</v>
      </c>
      <c r="J420" s="31">
        <f t="shared" si="88"/>
        <v>793.59</v>
      </c>
      <c r="K420" s="32" t="str">
        <f>"CRMEMO"</f>
        <v>CRMEMO</v>
      </c>
      <c r="L420" s="32" t="str">
        <f>"CM17005"</f>
        <v>CM17005</v>
      </c>
      <c r="M420" s="33">
        <v>41640</v>
      </c>
      <c r="N420" s="31"/>
      <c r="R420" s="2">
        <f t="shared" si="90"/>
        <v>5</v>
      </c>
    </row>
    <row r="421" spans="1:18" hidden="1" outlineLevel="1" x14ac:dyDescent="0.2">
      <c r="A421" s="30" t="s">
        <v>53</v>
      </c>
      <c r="C421" s="18"/>
      <c r="D421" s="4"/>
      <c r="E421" s="19" t="str">
        <f>"""GP Direct"",""Fabrikam, Inc."",""Jet GL Transactions"",""Account Index"",""134"",""Credit Amount"",""0.00000"",""Document Number"",""RTN110010"",""Debit Amount"",""651.00000"",""Vendor Name"",""Super Foods Plus"",""Transaction Description"",""RETURNS"",""Transaction Date"",""1/1/2014"""</f>
        <v>"GP Direct","Fabrikam, Inc.","Jet GL Transactions","Account Index","134","Credit Amount","0.00000","Document Number","RTN110010","Debit Amount","651.00000","Vendor Name","Super Foods Plus","Transaction Description","RETURNS","Transaction Date","1/1/2014"</v>
      </c>
      <c r="F421" s="4">
        <v>651</v>
      </c>
      <c r="G421" s="4">
        <v>0</v>
      </c>
      <c r="J421" s="31">
        <f t="shared" si="88"/>
        <v>651</v>
      </c>
      <c r="K421" s="32" t="str">
        <f t="shared" ref="K421:K441" si="91">"RETURNS"</f>
        <v>RETURNS</v>
      </c>
      <c r="L421" s="32" t="str">
        <f>"RTN110010"</f>
        <v>RTN110010</v>
      </c>
      <c r="M421" s="33">
        <v>41640</v>
      </c>
      <c r="N421" s="31"/>
      <c r="R421" s="2">
        <f t="shared" si="90"/>
        <v>6</v>
      </c>
    </row>
    <row r="422" spans="1:18" hidden="1" outlineLevel="1" x14ac:dyDescent="0.2">
      <c r="A422" s="30" t="s">
        <v>53</v>
      </c>
      <c r="C422" s="18"/>
      <c r="D422" s="4"/>
      <c r="E422" s="19" t="str">
        <f>"""GP Direct"",""Fabrikam, Inc."",""Jet GL Transactions"",""Account Index"",""134"",""Credit Amount"",""0.00000"",""Document Number"",""RTN110012"",""Debit Amount"",""912.42000"",""Vendor Name"",""Super Foods Plus"",""Transaction Description"",""RETURNS"",""Transaction Date"",""1/1/2014"""</f>
        <v>"GP Direct","Fabrikam, Inc.","Jet GL Transactions","Account Index","134","Credit Amount","0.00000","Document Number","RTN110012","Debit Amount","912.42000","Vendor Name","Super Foods Plus","Transaction Description","RETURNS","Transaction Date","1/1/2014"</v>
      </c>
      <c r="F422" s="4">
        <v>912.42</v>
      </c>
      <c r="G422" s="4">
        <v>0</v>
      </c>
      <c r="J422" s="31">
        <f t="shared" si="88"/>
        <v>912.42</v>
      </c>
      <c r="K422" s="32" t="str">
        <f t="shared" si="91"/>
        <v>RETURNS</v>
      </c>
      <c r="L422" s="32" t="str">
        <f>"RTN110012"</f>
        <v>RTN110012</v>
      </c>
      <c r="M422" s="33">
        <v>41640</v>
      </c>
      <c r="N422" s="31"/>
      <c r="R422" s="2">
        <f t="shared" si="90"/>
        <v>7</v>
      </c>
    </row>
    <row r="423" spans="1:18" hidden="1" outlineLevel="1" x14ac:dyDescent="0.2">
      <c r="A423" s="30" t="s">
        <v>53</v>
      </c>
      <c r="C423" s="18"/>
      <c r="D423" s="4"/>
      <c r="E423" s="19" t="str">
        <f>"""GP Direct"",""Fabrikam, Inc."",""Jet GL Transactions"",""Account Index"",""134"",""Credit Amount"",""0.00000"",""Document Number"",""RTN112010"",""Debit Amount"",""1427.05000"",""Vendor Name"",""Octagon Marketing Org."",""Transaction Description"",""RETURNS"",""Transaction Date"",""1/1"&amp;"/2014"""</f>
        <v>"GP Direct","Fabrikam, Inc.","Jet GL Transactions","Account Index","134","Credit Amount","0.00000","Document Number","RTN112010","Debit Amount","1427.05000","Vendor Name","Octagon Marketing Org.","Transaction Description","RETURNS","Transaction Date","1/1/2014"</v>
      </c>
      <c r="F423" s="4">
        <v>1427.05</v>
      </c>
      <c r="G423" s="4">
        <v>0</v>
      </c>
      <c r="J423" s="31">
        <f t="shared" si="88"/>
        <v>1427.05</v>
      </c>
      <c r="K423" s="32" t="str">
        <f t="shared" si="91"/>
        <v>RETURNS</v>
      </c>
      <c r="L423" s="32" t="str">
        <f>"RTN112010"</f>
        <v>RTN112010</v>
      </c>
      <c r="M423" s="33">
        <v>41640</v>
      </c>
      <c r="N423" s="31"/>
      <c r="R423" s="2">
        <f t="shared" si="90"/>
        <v>8</v>
      </c>
    </row>
    <row r="424" spans="1:18" hidden="1" outlineLevel="1" x14ac:dyDescent="0.2">
      <c r="A424" s="30" t="s">
        <v>53</v>
      </c>
      <c r="C424" s="18"/>
      <c r="D424" s="4"/>
      <c r="E424" s="19" t="str">
        <f>"""GP Direct"",""Fabrikam, Inc."",""Jet GL Transactions"",""Account Index"",""134"",""Credit Amount"",""0.00000"",""Document Number"",""RTN113010"",""Debit Amount"",""563.97000"",""Vendor Name"",""S &amp; S Properties"",""Transaction Description"",""RETURNS"",""Transaction Date"",""1/1/2014"""</f>
        <v>"GP Direct","Fabrikam, Inc.","Jet GL Transactions","Account Index","134","Credit Amount","0.00000","Document Number","RTN113010","Debit Amount","563.97000","Vendor Name","S &amp; S Properties","Transaction Description","RETURNS","Transaction Date","1/1/2014"</v>
      </c>
      <c r="F424" s="4">
        <v>563.97</v>
      </c>
      <c r="G424" s="4">
        <v>0</v>
      </c>
      <c r="J424" s="31">
        <f t="shared" si="88"/>
        <v>563.97</v>
      </c>
      <c r="K424" s="32" t="str">
        <f t="shared" si="91"/>
        <v>RETURNS</v>
      </c>
      <c r="L424" s="32" t="str">
        <f>"RTN113010"</f>
        <v>RTN113010</v>
      </c>
      <c r="M424" s="33">
        <v>41640</v>
      </c>
      <c r="N424" s="31"/>
      <c r="R424" s="2">
        <f t="shared" si="90"/>
        <v>9</v>
      </c>
    </row>
    <row r="425" spans="1:18" hidden="1" outlineLevel="1" x14ac:dyDescent="0.2">
      <c r="A425" s="30" t="s">
        <v>53</v>
      </c>
      <c r="C425" s="18"/>
      <c r="D425" s="4"/>
      <c r="E425" s="19" t="str">
        <f>"""GP Direct"",""Fabrikam, Inc."",""Jet GL Transactions"",""Account Index"",""134"",""Credit Amount"",""0.00000"",""Document Number"",""RTN113011"",""Debit Amount"",""1436.60000"",""Vendor Name"",""S &amp; S Properties"",""Transaction Description"",""RETURNS"",""Transaction Date"",""1/1/2014"""</f>
        <v>"GP Direct","Fabrikam, Inc.","Jet GL Transactions","Account Index","134","Credit Amount","0.00000","Document Number","RTN113011","Debit Amount","1436.60000","Vendor Name","S &amp; S Properties","Transaction Description","RETURNS","Transaction Date","1/1/2014"</v>
      </c>
      <c r="F425" s="4">
        <v>1436.6</v>
      </c>
      <c r="G425" s="4">
        <v>0</v>
      </c>
      <c r="J425" s="31">
        <f t="shared" si="88"/>
        <v>1436.6</v>
      </c>
      <c r="K425" s="32" t="str">
        <f t="shared" si="91"/>
        <v>RETURNS</v>
      </c>
      <c r="L425" s="32" t="str">
        <f>"RTN113011"</f>
        <v>RTN113011</v>
      </c>
      <c r="M425" s="33">
        <v>41640</v>
      </c>
      <c r="N425" s="31"/>
      <c r="R425" s="2">
        <f t="shared" si="90"/>
        <v>10</v>
      </c>
    </row>
    <row r="426" spans="1:18" hidden="1" outlineLevel="1" x14ac:dyDescent="0.2">
      <c r="A426" s="30" t="s">
        <v>53</v>
      </c>
      <c r="C426" s="18"/>
      <c r="D426" s="4"/>
      <c r="E426" s="19" t="str">
        <f>"""GP Direct"",""Fabrikam, Inc."",""Jet GL Transactions"",""Account Index"",""134"",""Credit Amount"",""0.00000"",""Document Number"",""RTN116013"",""Debit Amount"",""1119.51000"",""Vendor Name"",""Reynolds State College"",""Transaction Description"",""RETURNS"",""Transaction Date"",""1/1"&amp;"/2014"""</f>
        <v>"GP Direct","Fabrikam, Inc.","Jet GL Transactions","Account Index","134","Credit Amount","0.00000","Document Number","RTN116013","Debit Amount","1119.51000","Vendor Name","Reynolds State College","Transaction Description","RETURNS","Transaction Date","1/1/2014"</v>
      </c>
      <c r="F426" s="4">
        <v>1119.51</v>
      </c>
      <c r="G426" s="4">
        <v>0</v>
      </c>
      <c r="J426" s="31">
        <f t="shared" si="88"/>
        <v>1119.51</v>
      </c>
      <c r="K426" s="32" t="str">
        <f t="shared" si="91"/>
        <v>RETURNS</v>
      </c>
      <c r="L426" s="32" t="str">
        <f>"RTN116013"</f>
        <v>RTN116013</v>
      </c>
      <c r="M426" s="33">
        <v>41640</v>
      </c>
      <c r="N426" s="31"/>
      <c r="R426" s="2">
        <f t="shared" si="90"/>
        <v>11</v>
      </c>
    </row>
    <row r="427" spans="1:18" hidden="1" outlineLevel="1" x14ac:dyDescent="0.2">
      <c r="A427" s="30" t="s">
        <v>53</v>
      </c>
      <c r="C427" s="18"/>
      <c r="D427" s="4"/>
      <c r="E427" s="19" t="str">
        <f>"""GP Direct"",""Fabrikam, Inc."",""Jet GL Transactions"",""Account Index"",""134"",""Credit Amount"",""0.00000"",""Document Number"",""RTN12010"",""Debit Amount"",""3599.41000"",""Vendor Name"",""World Enterprises"",""Transaction Description"",""RETURNS"",""Transaction Date"",""1/1/2014"""</f>
        <v>"GP Direct","Fabrikam, Inc.","Jet GL Transactions","Account Index","134","Credit Amount","0.00000","Document Number","RTN12010","Debit Amount","3599.41000","Vendor Name","World Enterprises","Transaction Description","RETURNS","Transaction Date","1/1/2014"</v>
      </c>
      <c r="F427" s="4">
        <v>3599.41</v>
      </c>
      <c r="G427" s="4">
        <v>0</v>
      </c>
      <c r="J427" s="31">
        <f t="shared" si="88"/>
        <v>3599.41</v>
      </c>
      <c r="K427" s="32" t="str">
        <f t="shared" si="91"/>
        <v>RETURNS</v>
      </c>
      <c r="L427" s="32" t="str">
        <f>"RTN12010"</f>
        <v>RTN12010</v>
      </c>
      <c r="M427" s="33">
        <v>41640</v>
      </c>
      <c r="N427" s="31"/>
      <c r="R427" s="2">
        <f t="shared" si="90"/>
        <v>12</v>
      </c>
    </row>
    <row r="428" spans="1:18" hidden="1" outlineLevel="1" x14ac:dyDescent="0.2">
      <c r="A428" s="30" t="s">
        <v>53</v>
      </c>
      <c r="C428" s="18"/>
      <c r="D428" s="4"/>
      <c r="E428" s="19" t="str">
        <f>"""GP Direct"",""Fabrikam, Inc."",""Jet GL Transactions"",""Account Index"",""134"",""Credit Amount"",""0.00000"",""Document Number"",""RTN12080"",""Debit Amount"",""597.96000"",""Vendor Name"",""Computers Unlimited"",""Transaction Description"",""RETURNS"",""Transaction Date"",""1/1/2014"&amp;""""</f>
        <v>"GP Direct","Fabrikam, Inc.","Jet GL Transactions","Account Index","134","Credit Amount","0.00000","Document Number","RTN12080","Debit Amount","597.96000","Vendor Name","Computers Unlimited","Transaction Description","RETURNS","Transaction Date","1/1/2014"</v>
      </c>
      <c r="F428" s="4">
        <v>597.96</v>
      </c>
      <c r="G428" s="4">
        <v>0</v>
      </c>
      <c r="J428" s="31">
        <f t="shared" si="88"/>
        <v>597.96</v>
      </c>
      <c r="K428" s="32" t="str">
        <f t="shared" si="91"/>
        <v>RETURNS</v>
      </c>
      <c r="L428" s="32" t="str">
        <f>"RTN12080"</f>
        <v>RTN12080</v>
      </c>
      <c r="M428" s="33">
        <v>41640</v>
      </c>
      <c r="N428" s="31"/>
      <c r="R428" s="2">
        <f t="shared" si="90"/>
        <v>13</v>
      </c>
    </row>
    <row r="429" spans="1:18" hidden="1" outlineLevel="1" x14ac:dyDescent="0.2">
      <c r="A429" s="30" t="s">
        <v>53</v>
      </c>
      <c r="C429" s="18"/>
      <c r="D429" s="4"/>
      <c r="E429" s="19" t="str">
        <f>"""GP Direct"",""Fabrikam, Inc."",""Jet GL Transactions"",""Account Index"",""134"",""Credit Amount"",""0.00000"",""Document Number"",""RTN12092"",""Debit Amount"",""1666.67000"",""Vendor Name"",""Boyle's Country Inn's"",""Transaction Description"",""RETURNS"",""Transaction Date"",""1/1/2"&amp;"014"""</f>
        <v>"GP Direct","Fabrikam, Inc.","Jet GL Transactions","Account Index","134","Credit Amount","0.00000","Document Number","RTN12092","Debit Amount","1666.67000","Vendor Name","Boyle's Country Inn's","Transaction Description","RETURNS","Transaction Date","1/1/2014"</v>
      </c>
      <c r="F429" s="4">
        <v>1666.67</v>
      </c>
      <c r="G429" s="4">
        <v>0</v>
      </c>
      <c r="J429" s="31">
        <f t="shared" si="88"/>
        <v>1666.67</v>
      </c>
      <c r="K429" s="32" t="str">
        <f t="shared" si="91"/>
        <v>RETURNS</v>
      </c>
      <c r="L429" s="32" t="str">
        <f>"RTN12092"</f>
        <v>RTN12092</v>
      </c>
      <c r="M429" s="33">
        <v>41640</v>
      </c>
      <c r="N429" s="31"/>
      <c r="R429" s="2">
        <f t="shared" si="90"/>
        <v>14</v>
      </c>
    </row>
    <row r="430" spans="1:18" hidden="1" outlineLevel="1" x14ac:dyDescent="0.2">
      <c r="A430" s="30" t="s">
        <v>53</v>
      </c>
      <c r="C430" s="18"/>
      <c r="D430" s="4"/>
      <c r="E430" s="19" t="str">
        <f>"""GP Direct"",""Fabrikam, Inc."",""Jet GL Transactions"",""Account Index"",""134"",""Credit Amount"",""0.00000"",""Document Number"",""RTN13010"",""Debit Amount"",""466.89000"",""Vendor Name"",""Adam Park Resort"",""Transaction Description"",""RETURNS"",""Transaction Date"",""1/1/2014"""</f>
        <v>"GP Direct","Fabrikam, Inc.","Jet GL Transactions","Account Index","134","Credit Amount","0.00000","Document Number","RTN13010","Debit Amount","466.89000","Vendor Name","Adam Park Resort","Transaction Description","RETURNS","Transaction Date","1/1/2014"</v>
      </c>
      <c r="F430" s="4">
        <v>466.89</v>
      </c>
      <c r="G430" s="4">
        <v>0</v>
      </c>
      <c r="J430" s="31">
        <f t="shared" si="88"/>
        <v>466.89</v>
      </c>
      <c r="K430" s="32" t="str">
        <f t="shared" si="91"/>
        <v>RETURNS</v>
      </c>
      <c r="L430" s="32" t="str">
        <f>"RTN13010"</f>
        <v>RTN13010</v>
      </c>
      <c r="M430" s="33">
        <v>41640</v>
      </c>
      <c r="N430" s="31"/>
      <c r="R430" s="2">
        <f t="shared" si="90"/>
        <v>15</v>
      </c>
    </row>
    <row r="431" spans="1:18" hidden="1" outlineLevel="1" x14ac:dyDescent="0.2">
      <c r="A431" s="30" t="s">
        <v>53</v>
      </c>
      <c r="C431" s="18"/>
      <c r="D431" s="4"/>
      <c r="E431" s="19" t="str">
        <f>"""GP Direct"",""Fabrikam, Inc."",""Jet GL Transactions"",""Account Index"",""134"",""Credit Amount"",""0.00000"",""Document Number"",""RTN13021"",""Debit Amount"",""2302.93000"",""Vendor Name"",""Contoso, Ltd."",""Transaction Description"",""RETURNS"",""Transaction Date"",""1/1/2014"""</f>
        <v>"GP Direct","Fabrikam, Inc.","Jet GL Transactions","Account Index","134","Credit Amount","0.00000","Document Number","RTN13021","Debit Amount","2302.93000","Vendor Name","Contoso, Ltd.","Transaction Description","RETURNS","Transaction Date","1/1/2014"</v>
      </c>
      <c r="F431" s="4">
        <v>2302.9299999999998</v>
      </c>
      <c r="G431" s="4">
        <v>0</v>
      </c>
      <c r="J431" s="31">
        <f t="shared" si="88"/>
        <v>2302.9299999999998</v>
      </c>
      <c r="K431" s="32" t="str">
        <f t="shared" si="91"/>
        <v>RETURNS</v>
      </c>
      <c r="L431" s="32" t="str">
        <f>"RTN13021"</f>
        <v>RTN13021</v>
      </c>
      <c r="M431" s="33">
        <v>41640</v>
      </c>
      <c r="N431" s="31"/>
      <c r="R431" s="2">
        <f t="shared" si="90"/>
        <v>16</v>
      </c>
    </row>
    <row r="432" spans="1:18" hidden="1" outlineLevel="1" x14ac:dyDescent="0.2">
      <c r="A432" s="30" t="s">
        <v>53</v>
      </c>
      <c r="C432" s="18"/>
      <c r="D432" s="4"/>
      <c r="E432" s="19" t="str">
        <f>"""GP Direct"",""Fabrikam, Inc."",""Jet GL Transactions"",""Account Index"",""134"",""Credit Amount"",""0.00000"",""Document Number"",""RTN13022"",""Debit Amount"",""2368.74000"",""Vendor Name"",""Contoso, Ltd."",""Transaction Description"",""RETURNS"",""Transaction Date"",""1/1/2014"""</f>
        <v>"GP Direct","Fabrikam, Inc.","Jet GL Transactions","Account Index","134","Credit Amount","0.00000","Document Number","RTN13022","Debit Amount","2368.74000","Vendor Name","Contoso, Ltd.","Transaction Description","RETURNS","Transaction Date","1/1/2014"</v>
      </c>
      <c r="F432" s="4">
        <v>2368.7399999999998</v>
      </c>
      <c r="G432" s="4">
        <v>0</v>
      </c>
      <c r="J432" s="31">
        <f t="shared" si="88"/>
        <v>2368.7399999999998</v>
      </c>
      <c r="K432" s="32" t="str">
        <f t="shared" si="91"/>
        <v>RETURNS</v>
      </c>
      <c r="L432" s="32" t="str">
        <f>"RTN13022"</f>
        <v>RTN13022</v>
      </c>
      <c r="M432" s="33">
        <v>41640</v>
      </c>
      <c r="N432" s="31"/>
      <c r="R432" s="2">
        <f t="shared" si="90"/>
        <v>17</v>
      </c>
    </row>
    <row r="433" spans="1:18" hidden="1" outlineLevel="1" x14ac:dyDescent="0.2">
      <c r="A433" s="30" t="s">
        <v>53</v>
      </c>
      <c r="C433" s="18"/>
      <c r="D433" s="4"/>
      <c r="E433" s="19" t="str">
        <f>"""GP Direct"",""Fabrikam, Inc."",""Jet GL Transactions"",""Account Index"",""134"",""Credit Amount"",""0.00000"",""Document Number"",""RTN13030"",""Debit Amount"",""549.36000"",""Vendor Name"",""Central Distributing"",""Transaction Description"",""RETURNS"",""Transaction Date"",""1/1/201"&amp;"4"""</f>
        <v>"GP Direct","Fabrikam, Inc.","Jet GL Transactions","Account Index","134","Credit Amount","0.00000","Document Number","RTN13030","Debit Amount","549.36000","Vendor Name","Central Distributing","Transaction Description","RETURNS","Transaction Date","1/1/2014"</v>
      </c>
      <c r="F433" s="4">
        <v>549.36</v>
      </c>
      <c r="G433" s="4">
        <v>0</v>
      </c>
      <c r="J433" s="31">
        <f t="shared" si="88"/>
        <v>549.36</v>
      </c>
      <c r="K433" s="32" t="str">
        <f t="shared" si="91"/>
        <v>RETURNS</v>
      </c>
      <c r="L433" s="32" t="str">
        <f>"RTN13030"</f>
        <v>RTN13030</v>
      </c>
      <c r="M433" s="33">
        <v>41640</v>
      </c>
      <c r="N433" s="31"/>
      <c r="R433" s="2">
        <f t="shared" si="90"/>
        <v>18</v>
      </c>
    </row>
    <row r="434" spans="1:18" hidden="1" outlineLevel="1" x14ac:dyDescent="0.2">
      <c r="A434" s="30" t="s">
        <v>53</v>
      </c>
      <c r="C434" s="18"/>
      <c r="D434" s="4"/>
      <c r="E434" s="19" t="str">
        <f>"""GP Direct"",""Fabrikam, Inc."",""Jet GL Transactions"",""Account Index"",""134"",""Credit Amount"",""0.00000"",""Document Number"",""RTN13031"",""Debit Amount"",""9209.88000"",""Vendor Name"",""Central Distributing"",""Transaction Description"",""RETURNS"",""Transaction Date"",""1/1/20"&amp;"14"""</f>
        <v>"GP Direct","Fabrikam, Inc.","Jet GL Transactions","Account Index","134","Credit Amount","0.00000","Document Number","RTN13031","Debit Amount","9209.88000","Vendor Name","Central Distributing","Transaction Description","RETURNS","Transaction Date","1/1/2014"</v>
      </c>
      <c r="F434" s="4">
        <v>9209.8799999999992</v>
      </c>
      <c r="G434" s="4">
        <v>0</v>
      </c>
      <c r="J434" s="31">
        <f t="shared" si="88"/>
        <v>9209.8799999999992</v>
      </c>
      <c r="K434" s="32" t="str">
        <f t="shared" si="91"/>
        <v>RETURNS</v>
      </c>
      <c r="L434" s="32" t="str">
        <f>"RTN13031"</f>
        <v>RTN13031</v>
      </c>
      <c r="M434" s="33">
        <v>41640</v>
      </c>
      <c r="N434" s="31"/>
      <c r="R434" s="2">
        <f t="shared" si="90"/>
        <v>19</v>
      </c>
    </row>
    <row r="435" spans="1:18" hidden="1" outlineLevel="1" x14ac:dyDescent="0.2">
      <c r="A435" s="30" t="s">
        <v>53</v>
      </c>
      <c r="C435" s="18"/>
      <c r="D435" s="4"/>
      <c r="E435" s="19" t="str">
        <f>"""GP Direct"",""Fabrikam, Inc."",""Jet GL Transactions"",""Account Index"",""134"",""Credit Amount"",""0.00000"",""Document Number"",""RTN13073"",""Debit Amount"",""1584.83000"",""Vendor Name"",""Communication Connections"",""Transaction Description"",""RETURNS"",""Transaction Date"",""1"&amp;"/1/2014"""</f>
        <v>"GP Direct","Fabrikam, Inc.","Jet GL Transactions","Account Index","134","Credit Amount","0.00000","Document Number","RTN13073","Debit Amount","1584.83000","Vendor Name","Communication Connections","Transaction Description","RETURNS","Transaction Date","1/1/2014"</v>
      </c>
      <c r="F435" s="4">
        <v>1584.83</v>
      </c>
      <c r="G435" s="4">
        <v>0</v>
      </c>
      <c r="J435" s="31">
        <f t="shared" si="88"/>
        <v>1584.83</v>
      </c>
      <c r="K435" s="32" t="str">
        <f t="shared" si="91"/>
        <v>RETURNS</v>
      </c>
      <c r="L435" s="32" t="str">
        <f>"RTN13073"</f>
        <v>RTN13073</v>
      </c>
      <c r="M435" s="33">
        <v>41640</v>
      </c>
      <c r="N435" s="31"/>
      <c r="R435" s="2">
        <f t="shared" si="90"/>
        <v>20</v>
      </c>
    </row>
    <row r="436" spans="1:18" hidden="1" outlineLevel="1" x14ac:dyDescent="0.2">
      <c r="A436" s="30" t="s">
        <v>53</v>
      </c>
      <c r="C436" s="18"/>
      <c r="D436" s="4"/>
      <c r="E436" s="19" t="str">
        <f>"""GP Direct"",""Fabrikam, Inc."",""Jet GL Transactions"",""Account Index"",""134"",""Credit Amount"",""0.00000"",""Document Number"",""RTN13094"",""Debit Amount"",""394.28000"",""Vendor Name"",""St. Patrick's Hospital"",""Transaction Description"",""RETURNS"",""Transaction Date"",""1/1/2"&amp;"014"""</f>
        <v>"GP Direct","Fabrikam, Inc.","Jet GL Transactions","Account Index","134","Credit Amount","0.00000","Document Number","RTN13094","Debit Amount","394.28000","Vendor Name","St. Patrick's Hospital","Transaction Description","RETURNS","Transaction Date","1/1/2014"</v>
      </c>
      <c r="F436" s="4">
        <v>394.28</v>
      </c>
      <c r="G436" s="4">
        <v>0</v>
      </c>
      <c r="J436" s="31">
        <f t="shared" si="88"/>
        <v>394.28</v>
      </c>
      <c r="K436" s="32" t="str">
        <f t="shared" si="91"/>
        <v>RETURNS</v>
      </c>
      <c r="L436" s="32" t="str">
        <f>"RTN13094"</f>
        <v>RTN13094</v>
      </c>
      <c r="M436" s="33">
        <v>41640</v>
      </c>
      <c r="N436" s="31"/>
      <c r="R436" s="2">
        <f t="shared" si="90"/>
        <v>21</v>
      </c>
    </row>
    <row r="437" spans="1:18" hidden="1" outlineLevel="1" x14ac:dyDescent="0.2">
      <c r="A437" s="30" t="s">
        <v>53</v>
      </c>
      <c r="C437" s="18"/>
      <c r="D437" s="4"/>
      <c r="E437" s="19" t="str">
        <f>"""GP Direct"",""Fabrikam, Inc."",""Jet GL Transactions"",""Account Index"",""134"",""Credit Amount"",""0.00000"",""Document Number"",""RTN14010"",""Debit Amount"",""1989.05000"",""Vendor Name"",""Astor Suites"",""Transaction Description"",""RETURNS"",""Transaction Date"",""1/1/2014"""</f>
        <v>"GP Direct","Fabrikam, Inc.","Jet GL Transactions","Account Index","134","Credit Amount","0.00000","Document Number","RTN14010","Debit Amount","1989.05000","Vendor Name","Astor Suites","Transaction Description","RETURNS","Transaction Date","1/1/2014"</v>
      </c>
      <c r="F437" s="4">
        <v>1989.05</v>
      </c>
      <c r="G437" s="4">
        <v>0</v>
      </c>
      <c r="J437" s="31">
        <f t="shared" si="88"/>
        <v>1989.05</v>
      </c>
      <c r="K437" s="32" t="str">
        <f t="shared" si="91"/>
        <v>RETURNS</v>
      </c>
      <c r="L437" s="32" t="str">
        <f>"RTN14010"</f>
        <v>RTN14010</v>
      </c>
      <c r="M437" s="33">
        <v>41640</v>
      </c>
      <c r="N437" s="31"/>
      <c r="R437" s="2">
        <f t="shared" si="90"/>
        <v>22</v>
      </c>
    </row>
    <row r="438" spans="1:18" hidden="1" outlineLevel="1" x14ac:dyDescent="0.2">
      <c r="A438" s="30" t="s">
        <v>53</v>
      </c>
      <c r="C438" s="18"/>
      <c r="D438" s="4"/>
      <c r="E438" s="19" t="str">
        <f>"""GP Direct"",""Fabrikam, Inc."",""Jet GL Transactions"",""Account Index"",""134"",""Credit Amount"",""0.00000"",""Document Number"",""RTN14060"",""Debit Amount"",""1646.32000"",""Vendor Name"",""Novia Scotia Tech. Institute"",""Transaction Description"",""RETURNS"",""Transaction Date"""&amp;",""1/1/2014"""</f>
        <v>"GP Direct","Fabrikam, Inc.","Jet GL Transactions","Account Index","134","Credit Amount","0.00000","Document Number","RTN14060","Debit Amount","1646.32000","Vendor Name","Novia Scotia Tech. Institute","Transaction Description","RETURNS","Transaction Date","1/1/2014"</v>
      </c>
      <c r="F438" s="4">
        <v>1646.32</v>
      </c>
      <c r="G438" s="4">
        <v>0</v>
      </c>
      <c r="J438" s="31">
        <f t="shared" si="88"/>
        <v>1646.32</v>
      </c>
      <c r="K438" s="32" t="str">
        <f t="shared" si="91"/>
        <v>RETURNS</v>
      </c>
      <c r="L438" s="32" t="str">
        <f>"RTN14060"</f>
        <v>RTN14060</v>
      </c>
      <c r="M438" s="33">
        <v>41640</v>
      </c>
      <c r="N438" s="31"/>
      <c r="R438" s="2">
        <f t="shared" si="90"/>
        <v>23</v>
      </c>
    </row>
    <row r="439" spans="1:18" hidden="1" outlineLevel="1" x14ac:dyDescent="0.2">
      <c r="A439" s="30" t="s">
        <v>53</v>
      </c>
      <c r="C439" s="18"/>
      <c r="D439" s="4"/>
      <c r="E439" s="19" t="str">
        <f>"""GP Direct"",""Fabrikam, Inc."",""Jet GL Transactions"",""Account Index"",""134"",""Credit Amount"",""0.00000"",""Document Number"",""RTN14074"",""Debit Amount"",""649.68000"",""Vendor Name"",""Rosellen General Hospital"",""Transaction Description"",""RETURNS"",""Transaction Date"",""1/"&amp;"1/2014"""</f>
        <v>"GP Direct","Fabrikam, Inc.","Jet GL Transactions","Account Index","134","Credit Amount","0.00000","Document Number","RTN14074","Debit Amount","649.68000","Vendor Name","Rosellen General Hospital","Transaction Description","RETURNS","Transaction Date","1/1/2014"</v>
      </c>
      <c r="F439" s="4">
        <v>649.67999999999995</v>
      </c>
      <c r="G439" s="4">
        <v>0</v>
      </c>
      <c r="J439" s="31">
        <f t="shared" si="88"/>
        <v>649.67999999999995</v>
      </c>
      <c r="K439" s="32" t="str">
        <f t="shared" si="91"/>
        <v>RETURNS</v>
      </c>
      <c r="L439" s="32" t="str">
        <f>"RTN14074"</f>
        <v>RTN14074</v>
      </c>
      <c r="M439" s="33">
        <v>41640</v>
      </c>
      <c r="N439" s="31"/>
      <c r="R439" s="2">
        <f t="shared" si="90"/>
        <v>24</v>
      </c>
    </row>
    <row r="440" spans="1:18" hidden="1" outlineLevel="1" x14ac:dyDescent="0.2">
      <c r="A440" s="30" t="s">
        <v>53</v>
      </c>
      <c r="C440" s="18"/>
      <c r="D440" s="4"/>
      <c r="E440" s="19" t="str">
        <f>"""GP Direct"",""Fabrikam, Inc."",""Jet GL Transactions"",""Account Index"",""134"",""Credit Amount"",""0.00000"",""Document Number"",""RTN14094"",""Debit Amount"",""859.74000"",""Vendor Name"",""Computer Equipment Leasing"",""Transaction Description"",""RETURNS"",""Transaction Date"",""1"&amp;"/1/2014"""</f>
        <v>"GP Direct","Fabrikam, Inc.","Jet GL Transactions","Account Index","134","Credit Amount","0.00000","Document Number","RTN14094","Debit Amount","859.74000","Vendor Name","Computer Equipment Leasing","Transaction Description","RETURNS","Transaction Date","1/1/2014"</v>
      </c>
      <c r="F440" s="4">
        <v>859.74</v>
      </c>
      <c r="G440" s="4">
        <v>0</v>
      </c>
      <c r="J440" s="31">
        <f t="shared" si="88"/>
        <v>859.74</v>
      </c>
      <c r="K440" s="32" t="str">
        <f t="shared" si="91"/>
        <v>RETURNS</v>
      </c>
      <c r="L440" s="32" t="str">
        <f>"RTN14094"</f>
        <v>RTN14094</v>
      </c>
      <c r="M440" s="33">
        <v>41640</v>
      </c>
      <c r="N440" s="31"/>
      <c r="R440" s="2">
        <f t="shared" si="90"/>
        <v>25</v>
      </c>
    </row>
    <row r="441" spans="1:18" hidden="1" outlineLevel="1" x14ac:dyDescent="0.2">
      <c r="A441" s="30" t="s">
        <v>53</v>
      </c>
      <c r="C441" s="18"/>
      <c r="D441" s="4"/>
      <c r="E441" s="19" t="str">
        <f>"""GP Direct"",""Fabrikam, Inc."",""Jet GL Transactions"",""Account Index"",""134"",""Credit Amount"",""0.00000"",""Document Number"",""RTN14097"",""Debit Amount"",""350.00000"",""Vendor Name"",""Computer Equipment Leasing"",""Transaction Description"",""RETURNS"",""Transaction Date"",""1"&amp;"/1/2014"""</f>
        <v>"GP Direct","Fabrikam, Inc.","Jet GL Transactions","Account Index","134","Credit Amount","0.00000","Document Number","RTN14097","Debit Amount","350.00000","Vendor Name","Computer Equipment Leasing","Transaction Description","RETURNS","Transaction Date","1/1/2014"</v>
      </c>
      <c r="F441" s="4">
        <v>350</v>
      </c>
      <c r="G441" s="4">
        <v>0</v>
      </c>
      <c r="J441" s="31">
        <f t="shared" si="88"/>
        <v>350</v>
      </c>
      <c r="K441" s="32" t="str">
        <f t="shared" si="91"/>
        <v>RETURNS</v>
      </c>
      <c r="L441" s="32" t="str">
        <f>"RTN14097"</f>
        <v>RTN14097</v>
      </c>
      <c r="M441" s="33">
        <v>41640</v>
      </c>
      <c r="N441" s="31"/>
      <c r="R441" s="2">
        <f t="shared" si="90"/>
        <v>26</v>
      </c>
    </row>
    <row r="442" spans="1:18" hidden="1" outlineLevel="1" x14ac:dyDescent="0.2">
      <c r="A442" s="30" t="s">
        <v>53</v>
      </c>
      <c r="C442" s="18"/>
      <c r="D442" s="4"/>
      <c r="E442" s="19" t="str">
        <f>"""GP Direct"",""Fabrikam, Inc."",""Jet GL Transactions"",""Account Index"",""134"",""Credit Amount"",""0.00000"",""Document Number"",""RTN15061"",""Debit Amount"",""844.05000"",""Vendor Name"",""Dollis Cove Resort"",""Transaction Description"",""CRMEMO"",""Transaction Date"",""1/1/2014"""</f>
        <v>"GP Direct","Fabrikam, Inc.","Jet GL Transactions","Account Index","134","Credit Amount","0.00000","Document Number","RTN15061","Debit Amount","844.05000","Vendor Name","Dollis Cove Resort","Transaction Description","CRMEMO","Transaction Date","1/1/2014"</v>
      </c>
      <c r="F442" s="4">
        <v>844.05</v>
      </c>
      <c r="G442" s="4">
        <v>0</v>
      </c>
      <c r="J442" s="31">
        <f t="shared" si="88"/>
        <v>844.05</v>
      </c>
      <c r="K442" s="32" t="str">
        <f>"CRMEMO"</f>
        <v>CRMEMO</v>
      </c>
      <c r="L442" s="32" t="str">
        <f>"RTN15061"</f>
        <v>RTN15061</v>
      </c>
      <c r="M442" s="33">
        <v>41640</v>
      </c>
      <c r="N442" s="31"/>
      <c r="R442" s="2">
        <f t="shared" si="90"/>
        <v>27</v>
      </c>
    </row>
    <row r="443" spans="1:18" hidden="1" outlineLevel="1" x14ac:dyDescent="0.2">
      <c r="A443" s="30" t="s">
        <v>53</v>
      </c>
      <c r="C443" s="18"/>
      <c r="D443" s="4"/>
      <c r="E443" s="19" t="str">
        <f>"""GP Direct"",""Fabrikam, Inc."",""Jet GL Transactions"",""Account Index"",""134"",""Credit Amount"",""0.00000"",""Document Number"",""RTN15071"",""Debit Amount"",""376.99000"",""Vendor Name"",""Vista Travel"",""Transaction Description"",""RETURNS"",""Transaction Date"",""1/1/2014"""</f>
        <v>"GP Direct","Fabrikam, Inc.","Jet GL Transactions","Account Index","134","Credit Amount","0.00000","Document Number","RTN15071","Debit Amount","376.99000","Vendor Name","Vista Travel","Transaction Description","RETURNS","Transaction Date","1/1/2014"</v>
      </c>
      <c r="F443" s="4">
        <v>376.99</v>
      </c>
      <c r="G443" s="4">
        <v>0</v>
      </c>
      <c r="J443" s="31">
        <f t="shared" si="88"/>
        <v>376.99</v>
      </c>
      <c r="K443" s="32" t="str">
        <f t="shared" ref="K443:K452" si="92">"RETURNS"</f>
        <v>RETURNS</v>
      </c>
      <c r="L443" s="32" t="str">
        <f>"RTN15071"</f>
        <v>RTN15071</v>
      </c>
      <c r="M443" s="33">
        <v>41640</v>
      </c>
      <c r="N443" s="31"/>
      <c r="R443" s="2">
        <f t="shared" si="90"/>
        <v>28</v>
      </c>
    </row>
    <row r="444" spans="1:18" hidden="1" outlineLevel="1" x14ac:dyDescent="0.2">
      <c r="A444" s="30" t="s">
        <v>53</v>
      </c>
      <c r="C444" s="18"/>
      <c r="D444" s="4"/>
      <c r="E444" s="19" t="str">
        <f>"""GP Direct"",""Fabrikam, Inc."",""Jet GL Transactions"",""Account Index"",""134"",""Credit Amount"",""0.00000"",""Document Number"",""RTN15095"",""Debit Amount"",""212.90000"",""Vendor Name"",""Leisure &amp; Travel Consultants"",""Transaction Description"",""RETURNS"",""Transaction Date"","&amp;"""1/1/2014"""</f>
        <v>"GP Direct","Fabrikam, Inc.","Jet GL Transactions","Account Index","134","Credit Amount","0.00000","Document Number","RTN15095","Debit Amount","212.90000","Vendor Name","Leisure &amp; Travel Consultants","Transaction Description","RETURNS","Transaction Date","1/1/2014"</v>
      </c>
      <c r="F444" s="4">
        <v>212.9</v>
      </c>
      <c r="G444" s="4">
        <v>0</v>
      </c>
      <c r="J444" s="31">
        <f t="shared" si="88"/>
        <v>212.9</v>
      </c>
      <c r="K444" s="32" t="str">
        <f t="shared" si="92"/>
        <v>RETURNS</v>
      </c>
      <c r="L444" s="32" t="str">
        <f>"RTN15095"</f>
        <v>RTN15095</v>
      </c>
      <c r="M444" s="33">
        <v>41640</v>
      </c>
      <c r="N444" s="31"/>
      <c r="R444" s="2">
        <f t="shared" si="90"/>
        <v>29</v>
      </c>
    </row>
    <row r="445" spans="1:18" hidden="1" outlineLevel="1" x14ac:dyDescent="0.2">
      <c r="A445" s="30" t="s">
        <v>53</v>
      </c>
      <c r="C445" s="18"/>
      <c r="D445" s="4"/>
      <c r="E445" s="19" t="str">
        <f>"""GP Direct"",""Fabrikam, Inc."",""Jet GL Transactions"",""Account Index"",""134"",""Credit Amount"",""0.00000"",""Document Number"",""RTN16092"",""Debit Amount"",""613.38000"",""Vendor Name"",""Executive Resources"",""Transaction Description"",""RETURNS"",""Transaction Date"",""1/1/2014"&amp;""""</f>
        <v>"GP Direct","Fabrikam, Inc.","Jet GL Transactions","Account Index","134","Credit Amount","0.00000","Document Number","RTN16092","Debit Amount","613.38000","Vendor Name","Executive Resources","Transaction Description","RETURNS","Transaction Date","1/1/2014"</v>
      </c>
      <c r="F445" s="4">
        <v>613.38</v>
      </c>
      <c r="G445" s="4">
        <v>0</v>
      </c>
      <c r="J445" s="31">
        <f t="shared" si="88"/>
        <v>613.38</v>
      </c>
      <c r="K445" s="32" t="str">
        <f t="shared" si="92"/>
        <v>RETURNS</v>
      </c>
      <c r="L445" s="32" t="str">
        <f>"RTN16092"</f>
        <v>RTN16092</v>
      </c>
      <c r="M445" s="33">
        <v>41640</v>
      </c>
      <c r="N445" s="31"/>
      <c r="R445" s="2">
        <f t="shared" si="90"/>
        <v>30</v>
      </c>
    </row>
    <row r="446" spans="1:18" hidden="1" outlineLevel="1" x14ac:dyDescent="0.2">
      <c r="A446" s="30" t="s">
        <v>53</v>
      </c>
      <c r="C446" s="18"/>
      <c r="D446" s="4"/>
      <c r="E446" s="19" t="str">
        <f>"""GP Direct"",""Fabrikam, Inc."",""Jet GL Transactions"",""Account Index"",""134"",""Credit Amount"",""0.00000"",""Document Number"",""RTN17010"",""Debit Amount"",""544.21000"",""Vendor Name"",""Midland Construction"",""Transaction Description"",""RETURNS"",""Transaction Date"",""1/1/201"&amp;"4"""</f>
        <v>"GP Direct","Fabrikam, Inc.","Jet GL Transactions","Account Index","134","Credit Amount","0.00000","Document Number","RTN17010","Debit Amount","544.21000","Vendor Name","Midland Construction","Transaction Description","RETURNS","Transaction Date","1/1/2014"</v>
      </c>
      <c r="F446" s="4">
        <v>544.21</v>
      </c>
      <c r="G446" s="4">
        <v>0</v>
      </c>
      <c r="J446" s="31">
        <f t="shared" si="88"/>
        <v>544.21</v>
      </c>
      <c r="K446" s="32" t="str">
        <f t="shared" si="92"/>
        <v>RETURNS</v>
      </c>
      <c r="L446" s="32" t="str">
        <f>"RTN17010"</f>
        <v>RTN17010</v>
      </c>
      <c r="M446" s="33">
        <v>41640</v>
      </c>
      <c r="N446" s="31"/>
      <c r="R446" s="2">
        <f t="shared" si="90"/>
        <v>31</v>
      </c>
    </row>
    <row r="447" spans="1:18" hidden="1" outlineLevel="1" x14ac:dyDescent="0.2">
      <c r="A447" s="30" t="s">
        <v>53</v>
      </c>
      <c r="C447" s="18"/>
      <c r="D447" s="4"/>
      <c r="E447" s="19" t="str">
        <f>"""GP Direct"",""Fabrikam, Inc."",""Jet GL Transactions"",""Account Index"",""134"",""Credit Amount"",""0.00000"",""Document Number"",""RTN17080"",""Debit Amount"",""2484.92000"",""Vendor Name"",""Place &amp; MacDero Associates"",""Transaction Description"",""RETURNS"",""Transaction Date"","""&amp;"1/1/2014"""</f>
        <v>"GP Direct","Fabrikam, Inc.","Jet GL Transactions","Account Index","134","Credit Amount","0.00000","Document Number","RTN17080","Debit Amount","2484.92000","Vendor Name","Place &amp; MacDero Associates","Transaction Description","RETURNS","Transaction Date","1/1/2014"</v>
      </c>
      <c r="F447" s="4">
        <v>2484.92</v>
      </c>
      <c r="G447" s="4">
        <v>0</v>
      </c>
      <c r="J447" s="31">
        <f t="shared" si="88"/>
        <v>2484.92</v>
      </c>
      <c r="K447" s="32" t="str">
        <f t="shared" si="92"/>
        <v>RETURNS</v>
      </c>
      <c r="L447" s="32" t="str">
        <f>"RTN17080"</f>
        <v>RTN17080</v>
      </c>
      <c r="M447" s="33">
        <v>41640</v>
      </c>
      <c r="N447" s="31"/>
      <c r="R447" s="2">
        <f t="shared" si="90"/>
        <v>32</v>
      </c>
    </row>
    <row r="448" spans="1:18" hidden="1" outlineLevel="1" x14ac:dyDescent="0.2">
      <c r="A448" s="30" t="s">
        <v>53</v>
      </c>
      <c r="C448" s="18"/>
      <c r="D448" s="4"/>
      <c r="E448" s="19" t="str">
        <f>"""GP Direct"",""Fabrikam, Inc."",""Jet GL Transactions"",""Account Index"",""134"",""Credit Amount"",""0.00000"",""Document Number"",""RTN18021"",""Debit Amount"",""218.31000"",""Vendor Name"",""Fourth Coffee"",""Transaction Description"",""RETURNS"",""Transaction Date"",""1/1/2014"""</f>
        <v>"GP Direct","Fabrikam, Inc.","Jet GL Transactions","Account Index","134","Credit Amount","0.00000","Document Number","RTN18021","Debit Amount","218.31000","Vendor Name","Fourth Coffee","Transaction Description","RETURNS","Transaction Date","1/1/2014"</v>
      </c>
      <c r="F448" s="4">
        <v>218.31</v>
      </c>
      <c r="G448" s="4">
        <v>0</v>
      </c>
      <c r="J448" s="31">
        <f t="shared" si="88"/>
        <v>218.31</v>
      </c>
      <c r="K448" s="32" t="str">
        <f t="shared" si="92"/>
        <v>RETURNS</v>
      </c>
      <c r="L448" s="32" t="str">
        <f>"RTN18021"</f>
        <v>RTN18021</v>
      </c>
      <c r="M448" s="33">
        <v>41640</v>
      </c>
      <c r="N448" s="31"/>
      <c r="R448" s="2">
        <f t="shared" si="90"/>
        <v>33</v>
      </c>
    </row>
    <row r="449" spans="1:18" hidden="1" outlineLevel="1" x14ac:dyDescent="0.2">
      <c r="A449" s="30" t="s">
        <v>53</v>
      </c>
      <c r="C449" s="18"/>
      <c r="D449" s="4"/>
      <c r="E449" s="19" t="str">
        <f>"""GP Direct"",""Fabrikam, Inc."",""Jet GL Transactions"",""Account Index"",""134"",""Credit Amount"",""0.00000"",""Document Number"",""RTN18022"",""Debit Amount"",""376.75000"",""Vendor Name"",""Fourth Coffee"",""Transaction Description"",""RETURNS"",""Transaction Date"",""1/1/2014"""</f>
        <v>"GP Direct","Fabrikam, Inc.","Jet GL Transactions","Account Index","134","Credit Amount","0.00000","Document Number","RTN18022","Debit Amount","376.75000","Vendor Name","Fourth Coffee","Transaction Description","RETURNS","Transaction Date","1/1/2014"</v>
      </c>
      <c r="F449" s="4">
        <v>376.75</v>
      </c>
      <c r="G449" s="4">
        <v>0</v>
      </c>
      <c r="J449" s="31">
        <f t="shared" si="88"/>
        <v>376.75</v>
      </c>
      <c r="K449" s="32" t="str">
        <f t="shared" si="92"/>
        <v>RETURNS</v>
      </c>
      <c r="L449" s="32" t="str">
        <f>"RTN18022"</f>
        <v>RTN18022</v>
      </c>
      <c r="M449" s="33">
        <v>41640</v>
      </c>
      <c r="N449" s="31"/>
      <c r="R449" s="2">
        <f t="shared" si="90"/>
        <v>34</v>
      </c>
    </row>
    <row r="450" spans="1:18" hidden="1" outlineLevel="1" x14ac:dyDescent="0.2">
      <c r="A450" s="30" t="s">
        <v>53</v>
      </c>
      <c r="C450" s="18"/>
      <c r="D450" s="4"/>
      <c r="E450" s="19" t="str">
        <f>"""GP Direct"",""Fabrikam, Inc."",""Jet GL Transactions"",""Account Index"",""134"",""Credit Amount"",""0.00000"",""Document Number"",""RTN19010"",""Debit Amount"",""563.58000"",""Vendor Name"",""Manchester Suites"",""Transaction Description"",""RETURNS"",""Transaction Date"",""1/1/2014"""</f>
        <v>"GP Direct","Fabrikam, Inc.","Jet GL Transactions","Account Index","134","Credit Amount","0.00000","Document Number","RTN19010","Debit Amount","563.58000","Vendor Name","Manchester Suites","Transaction Description","RETURNS","Transaction Date","1/1/2014"</v>
      </c>
      <c r="F450" s="4">
        <v>563.58000000000004</v>
      </c>
      <c r="G450" s="4">
        <v>0</v>
      </c>
      <c r="J450" s="31">
        <f t="shared" si="88"/>
        <v>563.58000000000004</v>
      </c>
      <c r="K450" s="32" t="str">
        <f t="shared" si="92"/>
        <v>RETURNS</v>
      </c>
      <c r="L450" s="32" t="str">
        <f>"RTN19010"</f>
        <v>RTN19010</v>
      </c>
      <c r="M450" s="33">
        <v>41640</v>
      </c>
      <c r="N450" s="31"/>
      <c r="R450" s="2">
        <f t="shared" si="90"/>
        <v>35</v>
      </c>
    </row>
    <row r="451" spans="1:18" hidden="1" outlineLevel="1" x14ac:dyDescent="0.2">
      <c r="A451" s="30" t="s">
        <v>53</v>
      </c>
      <c r="C451" s="18"/>
      <c r="D451" s="4"/>
      <c r="E451" s="19" t="str">
        <f>"""GP Direct"",""Fabrikam, Inc."",""Jet GL Transactions"",""Account Index"",""134"",""Credit Amount"",""0.00000"",""Document Number"",""RTN19012"",""Debit Amount"",""243.37000"",""Vendor Name"",""Manchester Suites"",""Transaction Description"",""RETURNS"",""Transaction Date"",""1/1/2014"""</f>
        <v>"GP Direct","Fabrikam, Inc.","Jet GL Transactions","Account Index","134","Credit Amount","0.00000","Document Number","RTN19012","Debit Amount","243.37000","Vendor Name","Manchester Suites","Transaction Description","RETURNS","Transaction Date","1/1/2014"</v>
      </c>
      <c r="F451" s="4">
        <v>243.37</v>
      </c>
      <c r="G451" s="4">
        <v>0</v>
      </c>
      <c r="J451" s="31">
        <f t="shared" si="88"/>
        <v>243.37</v>
      </c>
      <c r="K451" s="32" t="str">
        <f t="shared" si="92"/>
        <v>RETURNS</v>
      </c>
      <c r="L451" s="32" t="str">
        <f>"RTN19012"</f>
        <v>RTN19012</v>
      </c>
      <c r="M451" s="33">
        <v>41640</v>
      </c>
      <c r="N451" s="31"/>
      <c r="R451" s="2">
        <f t="shared" si="90"/>
        <v>36</v>
      </c>
    </row>
    <row r="452" spans="1:18" hidden="1" outlineLevel="1" x14ac:dyDescent="0.2">
      <c r="A452" s="30" t="s">
        <v>53</v>
      </c>
      <c r="C452" s="18"/>
      <c r="D452" s="4"/>
      <c r="E452" s="19" t="str">
        <f>"""GP Direct"",""Fabrikam, Inc."",""Jet GL Transactions"",""Account Index"",""134"",""Credit Amount"",""0.00000"",""Document Number"",""TRN17083"",""Debit Amount"",""1843.72000"",""Vendor Name"",""Place &amp; MacDero Associates"",""Transaction Description"",""RETURNS"",""Transaction Date"","""&amp;"1/1/2014"""</f>
        <v>"GP Direct","Fabrikam, Inc.","Jet GL Transactions","Account Index","134","Credit Amount","0.00000","Document Number","TRN17083","Debit Amount","1843.72000","Vendor Name","Place &amp; MacDero Associates","Transaction Description","RETURNS","Transaction Date","1/1/2014"</v>
      </c>
      <c r="F452" s="4">
        <v>1843.72</v>
      </c>
      <c r="G452" s="4">
        <v>0</v>
      </c>
      <c r="J452" s="31">
        <f t="shared" si="88"/>
        <v>1843.72</v>
      </c>
      <c r="K452" s="32" t="str">
        <f t="shared" si="92"/>
        <v>RETURNS</v>
      </c>
      <c r="L452" s="32" t="str">
        <f>"TRN17083"</f>
        <v>TRN17083</v>
      </c>
      <c r="M452" s="33">
        <v>41640</v>
      </c>
      <c r="N452" s="31"/>
      <c r="R452" s="2">
        <f t="shared" si="90"/>
        <v>37</v>
      </c>
    </row>
    <row r="453" spans="1:18" hidden="1" x14ac:dyDescent="0.2">
      <c r="A453" s="29" t="s">
        <v>1386</v>
      </c>
      <c r="C453" s="18"/>
    </row>
    <row r="454" spans="1:18" ht="17.25" customHeight="1" collapsed="1" x14ac:dyDescent="0.2">
      <c r="A454" s="30" t="s">
        <v>53</v>
      </c>
      <c r="C454" s="14" t="str">
        <f>"000-4191-00"</f>
        <v>000-4191-00</v>
      </c>
      <c r="D454" s="2">
        <v>135</v>
      </c>
      <c r="E454" s="2"/>
      <c r="F454" s="2" t="s">
        <v>10</v>
      </c>
      <c r="G454" s="2" t="s">
        <v>8</v>
      </c>
      <c r="H454" s="13" t="str">
        <f>"  "&amp;C454</f>
        <v xml:space="preserve">  000-4191-00</v>
      </c>
      <c r="I454" s="15" t="str">
        <f>"Canadian Sales Returns"</f>
        <v>Canadian Sales Returns</v>
      </c>
      <c r="J454" s="16">
        <f>SUM(J455:J456)</f>
        <v>0</v>
      </c>
      <c r="K454" s="13"/>
      <c r="L454" s="13"/>
      <c r="M454" s="13"/>
      <c r="N454" s="17">
        <v>0</v>
      </c>
      <c r="O454" s="16">
        <f>J454-N454</f>
        <v>0</v>
      </c>
    </row>
    <row r="455" spans="1:18" hidden="1" outlineLevel="1" x14ac:dyDescent="0.2">
      <c r="A455" s="30" t="s">
        <v>53</v>
      </c>
      <c r="C455" s="18"/>
      <c r="D455" s="4"/>
      <c r="E455" s="19" t="str">
        <f>""</f>
        <v/>
      </c>
      <c r="F455" s="4" t="str">
        <f>""</f>
        <v/>
      </c>
      <c r="G455" s="4" t="str">
        <f>""</f>
        <v/>
      </c>
      <c r="J455" s="31" t="str">
        <f>IF(AND(F455="",G455=""),"",$F455-$G455)</f>
        <v/>
      </c>
      <c r="K455" s="32" t="str">
        <f>""</f>
        <v/>
      </c>
      <c r="L455" s="32" t="str">
        <f>""</f>
        <v/>
      </c>
      <c r="M455" s="33" t="str">
        <f>""</f>
        <v/>
      </c>
      <c r="N455" s="31"/>
      <c r="R455" s="2">
        <f t="shared" ref="R455" si="93">R454+1</f>
        <v>1</v>
      </c>
    </row>
    <row r="456" spans="1:18" hidden="1" x14ac:dyDescent="0.2">
      <c r="A456" s="29" t="s">
        <v>1386</v>
      </c>
      <c r="C456" s="18"/>
    </row>
    <row r="457" spans="1:18" ht="17.25" customHeight="1" collapsed="1" x14ac:dyDescent="0.2">
      <c r="A457" s="30" t="s">
        <v>53</v>
      </c>
      <c r="C457" s="14" t="str">
        <f>"000-4192-00"</f>
        <v>000-4192-00</v>
      </c>
      <c r="D457" s="2">
        <v>136</v>
      </c>
      <c r="E457" s="2"/>
      <c r="F457" s="2" t="s">
        <v>10</v>
      </c>
      <c r="G457" s="2" t="s">
        <v>8</v>
      </c>
      <c r="H457" s="13" t="str">
        <f>"  "&amp;C457</f>
        <v xml:space="preserve">  000-4192-00</v>
      </c>
      <c r="I457" s="15" t="str">
        <f>"AustralAsian Sales Returns"</f>
        <v>AustralAsian Sales Returns</v>
      </c>
      <c r="J457" s="16">
        <f>SUM(J458:J459)</f>
        <v>0</v>
      </c>
      <c r="K457" s="13"/>
      <c r="L457" s="13"/>
      <c r="M457" s="13"/>
      <c r="N457" s="17">
        <v>0</v>
      </c>
      <c r="O457" s="16">
        <f>J457-N457</f>
        <v>0</v>
      </c>
    </row>
    <row r="458" spans="1:18" hidden="1" outlineLevel="1" x14ac:dyDescent="0.2">
      <c r="A458" s="30" t="s">
        <v>53</v>
      </c>
      <c r="C458" s="18"/>
      <c r="D458" s="4"/>
      <c r="E458" s="19" t="str">
        <f>""</f>
        <v/>
      </c>
      <c r="F458" s="4" t="str">
        <f>""</f>
        <v/>
      </c>
      <c r="G458" s="4" t="str">
        <f>""</f>
        <v/>
      </c>
      <c r="J458" s="31" t="str">
        <f>IF(AND(F458="",G458=""),"",$F458-$G458)</f>
        <v/>
      </c>
      <c r="K458" s="32" t="str">
        <f>""</f>
        <v/>
      </c>
      <c r="L458" s="32" t="str">
        <f>""</f>
        <v/>
      </c>
      <c r="M458" s="33" t="str">
        <f>""</f>
        <v/>
      </c>
      <c r="N458" s="31"/>
      <c r="R458" s="2">
        <f t="shared" ref="R458" si="94">R457+1</f>
        <v>1</v>
      </c>
    </row>
    <row r="459" spans="1:18" hidden="1" x14ac:dyDescent="0.2">
      <c r="A459" s="29" t="s">
        <v>1386</v>
      </c>
      <c r="C459" s="18"/>
    </row>
    <row r="460" spans="1:18" ht="14.25" x14ac:dyDescent="0.25">
      <c r="A460" s="30" t="s">
        <v>53</v>
      </c>
      <c r="C460" s="12">
        <v>33</v>
      </c>
      <c r="D460" s="2"/>
      <c r="E460" s="2"/>
      <c r="F460" s="2"/>
      <c r="G460" s="2"/>
      <c r="H460" s="20" t="str">
        <f>"Cost of Goods Sold"</f>
        <v>Cost of Goods Sold</v>
      </c>
      <c r="I460" s="13"/>
      <c r="J460" s="13"/>
      <c r="K460" s="13"/>
      <c r="L460" s="13"/>
      <c r="M460" s="13"/>
      <c r="N460" s="13"/>
      <c r="O460" s="13"/>
    </row>
    <row r="461" spans="1:18" ht="17.25" customHeight="1" collapsed="1" x14ac:dyDescent="0.2">
      <c r="A461" s="30" t="s">
        <v>53</v>
      </c>
      <c r="C461" s="14" t="str">
        <f>"000-4510-01"</f>
        <v>000-4510-01</v>
      </c>
      <c r="D461" s="2">
        <v>137</v>
      </c>
      <c r="E461" s="2"/>
      <c r="F461" s="2" t="s">
        <v>10</v>
      </c>
      <c r="G461" s="2" t="s">
        <v>8</v>
      </c>
      <c r="H461" s="13" t="str">
        <f>"  "&amp;C461</f>
        <v xml:space="preserve">  000-4510-01</v>
      </c>
      <c r="I461" s="15" t="str">
        <f>"Cost of Goods Sold - Retail/Parts"</f>
        <v>Cost of Goods Sold - Retail/Parts</v>
      </c>
      <c r="J461" s="16">
        <f>SUM(J462:J629)</f>
        <v>401788.58999999985</v>
      </c>
      <c r="K461" s="13"/>
      <c r="L461" s="13"/>
      <c r="M461" s="13"/>
      <c r="N461" s="17">
        <v>1749000</v>
      </c>
      <c r="O461" s="16">
        <f>J461-N461</f>
        <v>-1347211.4100000001</v>
      </c>
    </row>
    <row r="462" spans="1:18" hidden="1" outlineLevel="1" x14ac:dyDescent="0.2">
      <c r="A462" s="30" t="s">
        <v>53</v>
      </c>
      <c r="C462" s="18"/>
      <c r="D462" s="4"/>
      <c r="E462" s="19" t="str">
        <f>"""GP Direct"",""Fabrikam, Inc."",""Jet GL Transactions"",""Account Index"",""137"",""Credit Amount"",""0.00000"",""Document Number"",""SALES000000000001"",""Debit Amount"",""4791.70000"",""Vendor Name"",""Executive Resources"",""Transaction Description"",""COGS"",""Transaction Date"",""1"&amp;"/1/2014"""</f>
        <v>"GP Direct","Fabrikam, Inc.","Jet GL Transactions","Account Index","137","Credit Amount","0.00000","Document Number","SALES000000000001","Debit Amount","4791.70000","Vendor Name","Executive Resources","Transaction Description","COGS","Transaction Date","1/1/2014"</v>
      </c>
      <c r="F462" s="4">
        <v>4791.7</v>
      </c>
      <c r="G462" s="4">
        <v>0</v>
      </c>
      <c r="J462" s="31">
        <f t="shared" ref="J462:J493" si="95">IF(AND(F462="",G462=""),"",$F462-$G462)</f>
        <v>4791.7</v>
      </c>
      <c r="K462" s="32" t="str">
        <f t="shared" ref="K462:K493" si="96">"COGS"</f>
        <v>COGS</v>
      </c>
      <c r="L462" s="32" t="str">
        <f>"SALES000000000001"</f>
        <v>SALES000000000001</v>
      </c>
      <c r="M462" s="33">
        <v>41640</v>
      </c>
      <c r="N462" s="31"/>
      <c r="R462" s="2">
        <f t="shared" ref="R462" si="97">R461+1</f>
        <v>1</v>
      </c>
    </row>
    <row r="463" spans="1:18" hidden="1" outlineLevel="1" x14ac:dyDescent="0.2">
      <c r="A463" s="30" t="s">
        <v>53</v>
      </c>
      <c r="C463" s="18"/>
      <c r="D463" s="4"/>
      <c r="E463" s="19" t="str">
        <f>"""GP Direct"",""Fabrikam, Inc."",""Jet GL Transactions"",""Account Index"",""137"",""Credit Amount"",""0.00000"",""Document Number"",""SLS110002"",""Debit Amount"",""3714.20000"",""Vendor Name"",""Holling Communications Inc."",""Transaction Description"",""COGS"",""Transaction Date"",""1"&amp;"/1/2014"""</f>
        <v>"GP Direct","Fabrikam, Inc.","Jet GL Transactions","Account Index","137","Credit Amount","0.00000","Document Number","SLS110002","Debit Amount","3714.20000","Vendor Name","Holling Communications Inc.","Transaction Description","COGS","Transaction Date","1/1/2014"</v>
      </c>
      <c r="F463" s="4">
        <v>3714.2</v>
      </c>
      <c r="G463" s="4">
        <v>0</v>
      </c>
      <c r="J463" s="31">
        <f t="shared" si="95"/>
        <v>3714.2</v>
      </c>
      <c r="K463" s="32" t="str">
        <f t="shared" si="96"/>
        <v>COGS</v>
      </c>
      <c r="L463" s="32" t="str">
        <f>"SLS110002"</f>
        <v>SLS110002</v>
      </c>
      <c r="M463" s="33">
        <v>41640</v>
      </c>
      <c r="N463" s="31"/>
      <c r="R463" s="2">
        <f t="shared" ref="R463:R526" si="98">R462+1</f>
        <v>2</v>
      </c>
    </row>
    <row r="464" spans="1:18" hidden="1" outlineLevel="1" x14ac:dyDescent="0.2">
      <c r="A464" s="30" t="s">
        <v>53</v>
      </c>
      <c r="C464" s="18"/>
      <c r="D464" s="4"/>
      <c r="E464" s="19" t="str">
        <f>"""GP Direct"",""Fabrikam, Inc."",""Jet GL Transactions"",""Account Index"",""137"",""Credit Amount"",""0.00000"",""Document Number"",""SLS110020"",""Debit Amount"",""9688.42000"",""Vendor Name"",""Lawrence Telemarketing"",""Transaction Description"",""COGS"",""Transaction Date"",""1/1/20"&amp;"14"""</f>
        <v>"GP Direct","Fabrikam, Inc.","Jet GL Transactions","Account Index","137","Credit Amount","0.00000","Document Number","SLS110020","Debit Amount","9688.42000","Vendor Name","Lawrence Telemarketing","Transaction Description","COGS","Transaction Date","1/1/2014"</v>
      </c>
      <c r="F464" s="4">
        <v>9688.42</v>
      </c>
      <c r="G464" s="4">
        <v>0</v>
      </c>
      <c r="J464" s="31">
        <f t="shared" si="95"/>
        <v>9688.42</v>
      </c>
      <c r="K464" s="32" t="str">
        <f t="shared" si="96"/>
        <v>COGS</v>
      </c>
      <c r="L464" s="32" t="str">
        <f>"SLS110020"</f>
        <v>SLS110020</v>
      </c>
      <c r="M464" s="33">
        <v>41640</v>
      </c>
      <c r="N464" s="31"/>
      <c r="R464" s="2">
        <f t="shared" si="98"/>
        <v>3</v>
      </c>
    </row>
    <row r="465" spans="1:18" hidden="1" outlineLevel="1" x14ac:dyDescent="0.2">
      <c r="A465" s="30" t="s">
        <v>53</v>
      </c>
      <c r="C465" s="18"/>
      <c r="D465" s="4"/>
      <c r="E465" s="19" t="str">
        <f>"""GP Direct"",""Fabrikam, Inc."",""Jet GL Transactions"",""Account Index"",""137"",""Credit Amount"",""0.00000"",""Document Number"",""SLS110031"",""Debit Amount"",""5776.87000"",""Vendor Name"",""Plaza One"",""Transaction Description"",""COGS"",""Transaction Date"",""1/1/2014"""</f>
        <v>"GP Direct","Fabrikam, Inc.","Jet GL Transactions","Account Index","137","Credit Amount","0.00000","Document Number","SLS110031","Debit Amount","5776.87000","Vendor Name","Plaza One","Transaction Description","COGS","Transaction Date","1/1/2014"</v>
      </c>
      <c r="F465" s="4">
        <v>5776.87</v>
      </c>
      <c r="G465" s="4">
        <v>0</v>
      </c>
      <c r="J465" s="31">
        <f t="shared" si="95"/>
        <v>5776.87</v>
      </c>
      <c r="K465" s="32" t="str">
        <f t="shared" si="96"/>
        <v>COGS</v>
      </c>
      <c r="L465" s="32" t="str">
        <f>"SLS110031"</f>
        <v>SLS110031</v>
      </c>
      <c r="M465" s="33">
        <v>41640</v>
      </c>
      <c r="N465" s="31"/>
      <c r="R465" s="2">
        <f t="shared" si="98"/>
        <v>4</v>
      </c>
    </row>
    <row r="466" spans="1:18" hidden="1" outlineLevel="1" x14ac:dyDescent="0.2">
      <c r="A466" s="30" t="s">
        <v>53</v>
      </c>
      <c r="C466" s="18"/>
      <c r="D466" s="4"/>
      <c r="E466" s="19" t="str">
        <f>"""GP Direct"",""Fabrikam, Inc."",""Jet GL Transactions"",""Account Index"",""137"",""Credit Amount"",""0.00000"",""Document Number"",""SLS11010"",""Debit Amount"",""6145.26000"",""Vendor Name"",""Alton Manufacturing"",""Transaction Description"",""COGS"",""Transaction Date"",""1/1/2014"""</f>
        <v>"GP Direct","Fabrikam, Inc.","Jet GL Transactions","Account Index","137","Credit Amount","0.00000","Document Number","SLS11010","Debit Amount","6145.26000","Vendor Name","Alton Manufacturing","Transaction Description","COGS","Transaction Date","1/1/2014"</v>
      </c>
      <c r="F466" s="4">
        <v>6145.26</v>
      </c>
      <c r="G466" s="4">
        <v>0</v>
      </c>
      <c r="J466" s="31">
        <f t="shared" si="95"/>
        <v>6145.26</v>
      </c>
      <c r="K466" s="32" t="str">
        <f t="shared" si="96"/>
        <v>COGS</v>
      </c>
      <c r="L466" s="32" t="str">
        <f>"SLS11010"</f>
        <v>SLS11010</v>
      </c>
      <c r="M466" s="33">
        <v>41640</v>
      </c>
      <c r="N466" s="31"/>
      <c r="R466" s="2">
        <f t="shared" si="98"/>
        <v>5</v>
      </c>
    </row>
    <row r="467" spans="1:18" hidden="1" outlineLevel="1" x14ac:dyDescent="0.2">
      <c r="A467" s="30" t="s">
        <v>53</v>
      </c>
      <c r="C467" s="18"/>
      <c r="D467" s="4"/>
      <c r="E467" s="19" t="str">
        <f>"""GP Direct"",""Fabrikam, Inc."",""Jet GL Transactions"",""Account Index"",""137"",""Credit Amount"",""0.00000"",""Document Number"",""SLS11011"",""Debit Amount"",""12892.11000"",""Vendor Name"",""Alton Manufacturing"",""Transaction Description"",""COGS"",""Transaction Date"",""1/1/2014"""</f>
        <v>"GP Direct","Fabrikam, Inc.","Jet GL Transactions","Account Index","137","Credit Amount","0.00000","Document Number","SLS11011","Debit Amount","12892.11000","Vendor Name","Alton Manufacturing","Transaction Description","COGS","Transaction Date","1/1/2014"</v>
      </c>
      <c r="F467" s="4">
        <v>12892.11</v>
      </c>
      <c r="G467" s="4">
        <v>0</v>
      </c>
      <c r="J467" s="31">
        <f t="shared" si="95"/>
        <v>12892.11</v>
      </c>
      <c r="K467" s="32" t="str">
        <f t="shared" si="96"/>
        <v>COGS</v>
      </c>
      <c r="L467" s="32" t="str">
        <f>"SLS11011"</f>
        <v>SLS11011</v>
      </c>
      <c r="M467" s="33">
        <v>41640</v>
      </c>
      <c r="N467" s="31"/>
      <c r="R467" s="2">
        <f t="shared" si="98"/>
        <v>6</v>
      </c>
    </row>
    <row r="468" spans="1:18" hidden="1" outlineLevel="1" x14ac:dyDescent="0.2">
      <c r="A468" s="30" t="s">
        <v>53</v>
      </c>
      <c r="C468" s="18"/>
      <c r="D468" s="4"/>
      <c r="E468" s="19" t="str">
        <f>"""GP Direct"",""Fabrikam, Inc."",""Jet GL Transactions"",""Account Index"",""137"",""Credit Amount"",""0.00000"",""Document Number"",""SLS11012"",""Debit Amount"",""2741.37000"",""Vendor Name"",""Aaron Fitz Electrical"",""Transaction Description"",""COGS"",""Transaction Date"",""1/1/2014"&amp;""""</f>
        <v>"GP Direct","Fabrikam, Inc.","Jet GL Transactions","Account Index","137","Credit Amount","0.00000","Document Number","SLS11012","Debit Amount","2741.37000","Vendor Name","Aaron Fitz Electrical","Transaction Description","COGS","Transaction Date","1/1/2014"</v>
      </c>
      <c r="F468" s="4">
        <v>2741.37</v>
      </c>
      <c r="G468" s="4">
        <v>0</v>
      </c>
      <c r="J468" s="31">
        <f t="shared" si="95"/>
        <v>2741.37</v>
      </c>
      <c r="K468" s="32" t="str">
        <f t="shared" si="96"/>
        <v>COGS</v>
      </c>
      <c r="L468" s="32" t="str">
        <f>"SLS11012"</f>
        <v>SLS11012</v>
      </c>
      <c r="M468" s="33">
        <v>41640</v>
      </c>
      <c r="N468" s="31"/>
      <c r="R468" s="2">
        <f t="shared" si="98"/>
        <v>7</v>
      </c>
    </row>
    <row r="469" spans="1:18" hidden="1" outlineLevel="1" x14ac:dyDescent="0.2">
      <c r="A469" s="30" t="s">
        <v>53</v>
      </c>
      <c r="C469" s="18"/>
      <c r="D469" s="4"/>
      <c r="E469" s="19" t="str">
        <f>"""GP Direct"",""Fabrikam, Inc."",""Jet GL Transactions"",""Account Index"",""137"",""Credit Amount"",""0.00000"",""Document Number"",""SLS11013"",""Debit Amount"",""9739.41000"",""Vendor Name"",""Alton Manufacturing"",""Transaction Description"",""COGS"",""Transaction Date"",""1/1/2014"""</f>
        <v>"GP Direct","Fabrikam, Inc.","Jet GL Transactions","Account Index","137","Credit Amount","0.00000","Document Number","SLS11013","Debit Amount","9739.41000","Vendor Name","Alton Manufacturing","Transaction Description","COGS","Transaction Date","1/1/2014"</v>
      </c>
      <c r="F469" s="4">
        <v>9739.41</v>
      </c>
      <c r="G469" s="4">
        <v>0</v>
      </c>
      <c r="J469" s="31">
        <f t="shared" si="95"/>
        <v>9739.41</v>
      </c>
      <c r="K469" s="32" t="str">
        <f t="shared" si="96"/>
        <v>COGS</v>
      </c>
      <c r="L469" s="32" t="str">
        <f>"SLS11013"</f>
        <v>SLS11013</v>
      </c>
      <c r="M469" s="33">
        <v>41640</v>
      </c>
      <c r="N469" s="31"/>
      <c r="R469" s="2">
        <f t="shared" si="98"/>
        <v>8</v>
      </c>
    </row>
    <row r="470" spans="1:18" hidden="1" outlineLevel="1" x14ac:dyDescent="0.2">
      <c r="A470" s="30" t="s">
        <v>53</v>
      </c>
      <c r="C470" s="18"/>
      <c r="D470" s="4"/>
      <c r="E470" s="19" t="str">
        <f>"""GP Direct"",""Fabrikam, Inc."",""Jet GL Transactions"",""Account Index"",""137"",""Credit Amount"",""0.00000"",""Document Number"",""SLS11031"",""Debit Amount"",""2132.37000"",""Vendor Name"",""Compu-Tech Solutions"",""Transaction Description"",""COGS"",""Transaction Date"",""1/1/2014"""</f>
        <v>"GP Direct","Fabrikam, Inc.","Jet GL Transactions","Account Index","137","Credit Amount","0.00000","Document Number","SLS11031","Debit Amount","2132.37000","Vendor Name","Compu-Tech Solutions","Transaction Description","COGS","Transaction Date","1/1/2014"</v>
      </c>
      <c r="F470" s="4">
        <v>2132.37</v>
      </c>
      <c r="G470" s="4">
        <v>0</v>
      </c>
      <c r="J470" s="31">
        <f t="shared" si="95"/>
        <v>2132.37</v>
      </c>
      <c r="K470" s="32" t="str">
        <f t="shared" si="96"/>
        <v>COGS</v>
      </c>
      <c r="L470" s="32" t="str">
        <f>"SLS11031"</f>
        <v>SLS11031</v>
      </c>
      <c r="M470" s="33">
        <v>41640</v>
      </c>
      <c r="N470" s="31"/>
      <c r="R470" s="2">
        <f t="shared" si="98"/>
        <v>9</v>
      </c>
    </row>
    <row r="471" spans="1:18" hidden="1" outlineLevel="1" x14ac:dyDescent="0.2">
      <c r="A471" s="30" t="s">
        <v>53</v>
      </c>
      <c r="C471" s="18"/>
      <c r="D471" s="4"/>
      <c r="E471" s="19" t="str">
        <f>"""GP Direct"",""Fabrikam, Inc."",""Jet GL Transactions"",""Account Index"",""137"",""Credit Amount"",""0.00000"",""Document Number"",""SLS11033"",""Debit Amount"",""4605.47000"",""Vendor Name"",""Compu-Tech Solutions"",""Transaction Description"",""COGS"",""Transaction Date"",""1/1/2014"""</f>
        <v>"GP Direct","Fabrikam, Inc.","Jet GL Transactions","Account Index","137","Credit Amount","0.00000","Document Number","SLS11033","Debit Amount","4605.47000","Vendor Name","Compu-Tech Solutions","Transaction Description","COGS","Transaction Date","1/1/2014"</v>
      </c>
      <c r="F471" s="4">
        <v>4605.47</v>
      </c>
      <c r="G471" s="4">
        <v>0</v>
      </c>
      <c r="J471" s="31">
        <f t="shared" si="95"/>
        <v>4605.47</v>
      </c>
      <c r="K471" s="32" t="str">
        <f t="shared" si="96"/>
        <v>COGS</v>
      </c>
      <c r="L471" s="32" t="str">
        <f>"SLS11033"</f>
        <v>SLS11033</v>
      </c>
      <c r="M471" s="33">
        <v>41640</v>
      </c>
      <c r="N471" s="31"/>
      <c r="R471" s="2">
        <f t="shared" si="98"/>
        <v>10</v>
      </c>
    </row>
    <row r="472" spans="1:18" hidden="1" outlineLevel="1" x14ac:dyDescent="0.2">
      <c r="A472" s="30" t="s">
        <v>53</v>
      </c>
      <c r="C472" s="18"/>
      <c r="D472" s="4"/>
      <c r="E472" s="19" t="str">
        <f>"""GP Direct"",""Fabrikam, Inc."",""Jet GL Transactions"",""Account Index"",""137"",""Credit Amount"",""0.00000"",""Document Number"",""SLS11062"",""Debit Amount"",""3307.14000"",""Vendor Name"",""Breakthrough Telemarketing"",""Transaction Description"",""COGS"",""Transaction Date"",""1/1"&amp;"/2014"""</f>
        <v>"GP Direct","Fabrikam, Inc.","Jet GL Transactions","Account Index","137","Credit Amount","0.00000","Document Number","SLS11062","Debit Amount","3307.14000","Vendor Name","Breakthrough Telemarketing","Transaction Description","COGS","Transaction Date","1/1/2014"</v>
      </c>
      <c r="F472" s="4">
        <v>3307.14</v>
      </c>
      <c r="G472" s="4">
        <v>0</v>
      </c>
      <c r="J472" s="31">
        <f t="shared" si="95"/>
        <v>3307.14</v>
      </c>
      <c r="K472" s="32" t="str">
        <f t="shared" si="96"/>
        <v>COGS</v>
      </c>
      <c r="L472" s="32" t="str">
        <f>"SLS11062"</f>
        <v>SLS11062</v>
      </c>
      <c r="M472" s="33">
        <v>41640</v>
      </c>
      <c r="N472" s="31"/>
      <c r="R472" s="2">
        <f t="shared" si="98"/>
        <v>11</v>
      </c>
    </row>
    <row r="473" spans="1:18" hidden="1" outlineLevel="1" x14ac:dyDescent="0.2">
      <c r="A473" s="30" t="s">
        <v>53</v>
      </c>
      <c r="C473" s="18"/>
      <c r="D473" s="4"/>
      <c r="E473" s="19" t="str">
        <f>"""GP Direct"",""Fabrikam, Inc."",""Jet GL Transactions"",""Account Index"",""137"",""Credit Amount"",""0.00000"",""Document Number"",""SLS11072"",""Debit Amount"",""4767.33000"",""Vendor Name"",""Advanced Tech Satellite System"",""Transaction Description"",""COGS"",""Transaction Date"","&amp;"""1/1/2014"""</f>
        <v>"GP Direct","Fabrikam, Inc.","Jet GL Transactions","Account Index","137","Credit Amount","0.00000","Document Number","SLS11072","Debit Amount","4767.33000","Vendor Name","Advanced Tech Satellite System","Transaction Description","COGS","Transaction Date","1/1/2014"</v>
      </c>
      <c r="F473" s="4">
        <v>4767.33</v>
      </c>
      <c r="G473" s="4">
        <v>0</v>
      </c>
      <c r="J473" s="31">
        <f t="shared" si="95"/>
        <v>4767.33</v>
      </c>
      <c r="K473" s="32" t="str">
        <f t="shared" si="96"/>
        <v>COGS</v>
      </c>
      <c r="L473" s="32" t="str">
        <f>"SLS11072"</f>
        <v>SLS11072</v>
      </c>
      <c r="M473" s="33">
        <v>41640</v>
      </c>
      <c r="N473" s="31"/>
      <c r="R473" s="2">
        <f t="shared" si="98"/>
        <v>12</v>
      </c>
    </row>
    <row r="474" spans="1:18" hidden="1" outlineLevel="1" x14ac:dyDescent="0.2">
      <c r="A474" s="30" t="s">
        <v>53</v>
      </c>
      <c r="C474" s="18"/>
      <c r="D474" s="4"/>
      <c r="E474" s="19" t="str">
        <f>"""GP Direct"",""Fabrikam, Inc."",""Jet GL Transactions"",""Account Index"",""137"",""Credit Amount"",""0.00000"",""Document Number"",""SLS11074"",""Debit Amount"",""2682.86000"",""Vendor Name"",""Advanced Tech Satellite System"",""Transaction Description"",""COGS"",""Transaction Date"","&amp;"""1/1/2014"""</f>
        <v>"GP Direct","Fabrikam, Inc.","Jet GL Transactions","Account Index","137","Credit Amount","0.00000","Document Number","SLS11074","Debit Amount","2682.86000","Vendor Name","Advanced Tech Satellite System","Transaction Description","COGS","Transaction Date","1/1/2014"</v>
      </c>
      <c r="F474" s="4">
        <v>2682.86</v>
      </c>
      <c r="G474" s="4">
        <v>0</v>
      </c>
      <c r="J474" s="31">
        <f t="shared" si="95"/>
        <v>2682.86</v>
      </c>
      <c r="K474" s="32" t="str">
        <f t="shared" si="96"/>
        <v>COGS</v>
      </c>
      <c r="L474" s="32" t="str">
        <f>"SLS11074"</f>
        <v>SLS11074</v>
      </c>
      <c r="M474" s="33">
        <v>41640</v>
      </c>
      <c r="N474" s="31"/>
      <c r="R474" s="2">
        <f t="shared" si="98"/>
        <v>13</v>
      </c>
    </row>
    <row r="475" spans="1:18" hidden="1" outlineLevel="1" x14ac:dyDescent="0.2">
      <c r="A475" s="30" t="s">
        <v>53</v>
      </c>
      <c r="C475" s="18"/>
      <c r="D475" s="4"/>
      <c r="E475" s="19" t="str">
        <f>"""GP Direct"",""Fabrikam, Inc."",""Jet GL Transactions"",""Account Index"",""137"",""Credit Amount"",""0.00000"",""Document Number"",""SLS11081"",""Debit Amount"",""8243.24000"",""Vendor Name"",""Place One Suites"",""Transaction Description"",""COGS"",""Transaction Date"",""1/1/2014"""</f>
        <v>"GP Direct","Fabrikam, Inc.","Jet GL Transactions","Account Index","137","Credit Amount","0.00000","Document Number","SLS11081","Debit Amount","8243.24000","Vendor Name","Place One Suites","Transaction Description","COGS","Transaction Date","1/1/2014"</v>
      </c>
      <c r="F475" s="4">
        <v>8243.24</v>
      </c>
      <c r="G475" s="4">
        <v>0</v>
      </c>
      <c r="J475" s="31">
        <f t="shared" si="95"/>
        <v>8243.24</v>
      </c>
      <c r="K475" s="32" t="str">
        <f t="shared" si="96"/>
        <v>COGS</v>
      </c>
      <c r="L475" s="32" t="str">
        <f>"SLS11081"</f>
        <v>SLS11081</v>
      </c>
      <c r="M475" s="33">
        <v>41640</v>
      </c>
      <c r="N475" s="31"/>
      <c r="R475" s="2">
        <f t="shared" si="98"/>
        <v>14</v>
      </c>
    </row>
    <row r="476" spans="1:18" hidden="1" outlineLevel="1" x14ac:dyDescent="0.2">
      <c r="A476" s="30" t="s">
        <v>53</v>
      </c>
      <c r="C476" s="18"/>
      <c r="D476" s="4"/>
      <c r="E476" s="19" t="str">
        <f>"""GP Direct"",""Fabrikam, Inc."",""Jet GL Transactions"",""Account Index"",""137"",""Credit Amount"",""0.00000"",""Document Number"",""SLS11084"",""Debit Amount"",""2938.85000"",""Vendor Name"",""Place One Suites"",""Transaction Description"",""COGS"",""Transaction Date"",""1/1/2014"""</f>
        <v>"GP Direct","Fabrikam, Inc.","Jet GL Transactions","Account Index","137","Credit Amount","0.00000","Document Number","SLS11084","Debit Amount","2938.85000","Vendor Name","Place One Suites","Transaction Description","COGS","Transaction Date","1/1/2014"</v>
      </c>
      <c r="F476" s="4">
        <v>2938.85</v>
      </c>
      <c r="G476" s="4">
        <v>0</v>
      </c>
      <c r="J476" s="31">
        <f t="shared" si="95"/>
        <v>2938.85</v>
      </c>
      <c r="K476" s="32" t="str">
        <f t="shared" si="96"/>
        <v>COGS</v>
      </c>
      <c r="L476" s="32" t="str">
        <f>"SLS11084"</f>
        <v>SLS11084</v>
      </c>
      <c r="M476" s="33">
        <v>41640</v>
      </c>
      <c r="N476" s="31"/>
      <c r="R476" s="2">
        <f t="shared" si="98"/>
        <v>15</v>
      </c>
    </row>
    <row r="477" spans="1:18" hidden="1" outlineLevel="1" x14ac:dyDescent="0.2">
      <c r="A477" s="30" t="s">
        <v>53</v>
      </c>
      <c r="C477" s="18"/>
      <c r="D477" s="4"/>
      <c r="E477" s="19" t="str">
        <f>"""GP Direct"",""Fabrikam, Inc."",""Jet GL Transactions"",""Account Index"",""137"",""Credit Amount"",""0.00000"",""Document Number"",""SLS11091"",""Debit Amount"",""8337.66000"",""Vendor Name"",""Country View Estates"",""Transaction Description"",""COGS"",""Transaction Date"",""1/1/2014"""</f>
        <v>"GP Direct","Fabrikam, Inc.","Jet GL Transactions","Account Index","137","Credit Amount","0.00000","Document Number","SLS11091","Debit Amount","8337.66000","Vendor Name","Country View Estates","Transaction Description","COGS","Transaction Date","1/1/2014"</v>
      </c>
      <c r="F477" s="4">
        <v>8337.66</v>
      </c>
      <c r="G477" s="4">
        <v>0</v>
      </c>
      <c r="J477" s="31">
        <f t="shared" si="95"/>
        <v>8337.66</v>
      </c>
      <c r="K477" s="32" t="str">
        <f t="shared" si="96"/>
        <v>COGS</v>
      </c>
      <c r="L477" s="32" t="str">
        <f>"SLS11091"</f>
        <v>SLS11091</v>
      </c>
      <c r="M477" s="33">
        <v>41640</v>
      </c>
      <c r="N477" s="31"/>
      <c r="R477" s="2">
        <f t="shared" si="98"/>
        <v>16</v>
      </c>
    </row>
    <row r="478" spans="1:18" hidden="1" outlineLevel="1" x14ac:dyDescent="0.2">
      <c r="A478" s="30" t="s">
        <v>53</v>
      </c>
      <c r="C478" s="18"/>
      <c r="D478" s="4"/>
      <c r="E478" s="19" t="str">
        <f>"""GP Direct"",""Fabrikam, Inc."",""Jet GL Transactions"",""Account Index"",""137"",""Credit Amount"",""0.00000"",""Document Number"",""SLS111032"",""Debit Amount"",""4578.50000"",""Vendor Name"",""Margie's Travel"",""Transaction Description"",""COGS"",""Transaction Date"",""1/1/2014"""</f>
        <v>"GP Direct","Fabrikam, Inc.","Jet GL Transactions","Account Index","137","Credit Amount","0.00000","Document Number","SLS111032","Debit Amount","4578.50000","Vendor Name","Margie's Travel","Transaction Description","COGS","Transaction Date","1/1/2014"</v>
      </c>
      <c r="F478" s="4">
        <v>4578.5</v>
      </c>
      <c r="G478" s="4">
        <v>0</v>
      </c>
      <c r="J478" s="31">
        <f t="shared" si="95"/>
        <v>4578.5</v>
      </c>
      <c r="K478" s="32" t="str">
        <f t="shared" si="96"/>
        <v>COGS</v>
      </c>
      <c r="L478" s="32" t="str">
        <f>"SLS111032"</f>
        <v>SLS111032</v>
      </c>
      <c r="M478" s="33">
        <v>41640</v>
      </c>
      <c r="N478" s="31"/>
      <c r="R478" s="2">
        <f t="shared" si="98"/>
        <v>17</v>
      </c>
    </row>
    <row r="479" spans="1:18" hidden="1" outlineLevel="1" x14ac:dyDescent="0.2">
      <c r="A479" s="30" t="s">
        <v>53</v>
      </c>
      <c r="C479" s="18"/>
      <c r="D479" s="4"/>
      <c r="E479" s="19" t="str">
        <f>"""GP Direct"",""Fabrikam, Inc."",""Jet GL Transactions"",""Account Index"",""137"",""Credit Amount"",""0.00000"",""Document Number"",""SLS11116"",""Debit Amount"",""13825.18000"",""Vendor Name"",""Alton Manufacturing"",""Transaction Description"",""COGS"",""Transaction Date"",""1/1/2014"""</f>
        <v>"GP Direct","Fabrikam, Inc.","Jet GL Transactions","Account Index","137","Credit Amount","0.00000","Document Number","SLS11116","Debit Amount","13825.18000","Vendor Name","Alton Manufacturing","Transaction Description","COGS","Transaction Date","1/1/2014"</v>
      </c>
      <c r="F479" s="4">
        <v>13825.18</v>
      </c>
      <c r="G479" s="4">
        <v>0</v>
      </c>
      <c r="J479" s="31">
        <f t="shared" si="95"/>
        <v>13825.18</v>
      </c>
      <c r="K479" s="32" t="str">
        <f t="shared" si="96"/>
        <v>COGS</v>
      </c>
      <c r="L479" s="32" t="str">
        <f>"SLS11116"</f>
        <v>SLS11116</v>
      </c>
      <c r="M479" s="33">
        <v>41640</v>
      </c>
      <c r="N479" s="31"/>
      <c r="R479" s="2">
        <f t="shared" si="98"/>
        <v>18</v>
      </c>
    </row>
    <row r="480" spans="1:18" hidden="1" outlineLevel="1" x14ac:dyDescent="0.2">
      <c r="A480" s="30" t="s">
        <v>53</v>
      </c>
      <c r="C480" s="18"/>
      <c r="D480" s="4"/>
      <c r="E480" s="19" t="str">
        <f>"""GP Direct"",""Fabrikam, Inc."",""Jet GL Transactions"",""Account Index"",""137"",""Credit Amount"",""0.00000"",""Document Number"",""SLS112001"",""Debit Amount"",""4174.02000"",""Vendor Name"",""Central Illinois Hospital"",""Transaction Description"",""COGS"",""Transaction Date"",""1/1"&amp;"/2014"""</f>
        <v>"GP Direct","Fabrikam, Inc.","Jet GL Transactions","Account Index","137","Credit Amount","0.00000","Document Number","SLS112001","Debit Amount","4174.02000","Vendor Name","Central Illinois Hospital","Transaction Description","COGS","Transaction Date","1/1/2014"</v>
      </c>
      <c r="F480" s="4">
        <v>4174.0200000000004</v>
      </c>
      <c r="G480" s="4">
        <v>0</v>
      </c>
      <c r="J480" s="31">
        <f t="shared" si="95"/>
        <v>4174.0200000000004</v>
      </c>
      <c r="K480" s="32" t="str">
        <f t="shared" si="96"/>
        <v>COGS</v>
      </c>
      <c r="L480" s="32" t="str">
        <f>"SLS112001"</f>
        <v>SLS112001</v>
      </c>
      <c r="M480" s="33">
        <v>41640</v>
      </c>
      <c r="N480" s="31"/>
      <c r="R480" s="2">
        <f t="shared" si="98"/>
        <v>19</v>
      </c>
    </row>
    <row r="481" spans="1:18" hidden="1" outlineLevel="1" x14ac:dyDescent="0.2">
      <c r="A481" s="30" t="s">
        <v>53</v>
      </c>
      <c r="C481" s="18"/>
      <c r="D481" s="4"/>
      <c r="E481" s="19" t="str">
        <f>"""GP Direct"",""Fabrikam, Inc."",""Jet GL Transactions"",""Account Index"",""137"",""Credit Amount"",""0.00000"",""Document Number"",""SLS112031"",""Debit Amount"",""2255.40000"",""Vendor Name"",""Northstar Mall"",""Transaction Description"",""COGS"",""Transaction Date"",""1/1/2014"""</f>
        <v>"GP Direct","Fabrikam, Inc.","Jet GL Transactions","Account Index","137","Credit Amount","0.00000","Document Number","SLS112031","Debit Amount","2255.40000","Vendor Name","Northstar Mall","Transaction Description","COGS","Transaction Date","1/1/2014"</v>
      </c>
      <c r="F481" s="4">
        <v>2255.4</v>
      </c>
      <c r="G481" s="4">
        <v>0</v>
      </c>
      <c r="J481" s="31">
        <f t="shared" si="95"/>
        <v>2255.4</v>
      </c>
      <c r="K481" s="32" t="str">
        <f t="shared" si="96"/>
        <v>COGS</v>
      </c>
      <c r="L481" s="32" t="str">
        <f>"SLS112031"</f>
        <v>SLS112031</v>
      </c>
      <c r="M481" s="33">
        <v>41640</v>
      </c>
      <c r="N481" s="31"/>
      <c r="R481" s="2">
        <f t="shared" si="98"/>
        <v>20</v>
      </c>
    </row>
    <row r="482" spans="1:18" hidden="1" outlineLevel="1" x14ac:dyDescent="0.2">
      <c r="A482" s="30" t="s">
        <v>53</v>
      </c>
      <c r="C482" s="18"/>
      <c r="D482" s="4"/>
      <c r="E482" s="19" t="str">
        <f>"""GP Direct"",""Fabrikam, Inc."",""Jet GL Transactions"",""Account Index"",""137"",""Credit Amount"",""0.00000"",""Document Number"",""SLS113000"",""Debit Amount"",""11123.81000"",""Vendor Name"",""Heartland Tower Systems"",""Transaction Description"",""COGS"",""Transaction Date"",""1/1/"&amp;"2014"""</f>
        <v>"GP Direct","Fabrikam, Inc.","Jet GL Transactions","Account Index","137","Credit Amount","0.00000","Document Number","SLS113000","Debit Amount","11123.81000","Vendor Name","Heartland Tower Systems","Transaction Description","COGS","Transaction Date","1/1/2014"</v>
      </c>
      <c r="F482" s="4">
        <v>11123.81</v>
      </c>
      <c r="G482" s="4">
        <v>0</v>
      </c>
      <c r="J482" s="31">
        <f t="shared" si="95"/>
        <v>11123.81</v>
      </c>
      <c r="K482" s="32" t="str">
        <f t="shared" si="96"/>
        <v>COGS</v>
      </c>
      <c r="L482" s="32" t="str">
        <f>"SLS113000"</f>
        <v>SLS113000</v>
      </c>
      <c r="M482" s="33">
        <v>41640</v>
      </c>
      <c r="N482" s="31"/>
      <c r="R482" s="2">
        <f t="shared" si="98"/>
        <v>21</v>
      </c>
    </row>
    <row r="483" spans="1:18" hidden="1" outlineLevel="1" x14ac:dyDescent="0.2">
      <c r="A483" s="30" t="s">
        <v>53</v>
      </c>
      <c r="C483" s="18"/>
      <c r="D483" s="4"/>
      <c r="E483" s="19" t="str">
        <f>"""GP Direct"",""Fabrikam, Inc."",""Jet GL Transactions"",""Account Index"",""137"",""Credit Amount"",""0.00000"",""Document Number"",""SLS113013"",""Debit Amount"",""12710.34000"",""Vendor Name"",""S &amp; S Properties"",""Transaction Description"",""COGS"",""Transaction Date"",""1/1/2014"""</f>
        <v>"GP Direct","Fabrikam, Inc.","Jet GL Transactions","Account Index","137","Credit Amount","0.00000","Document Number","SLS113013","Debit Amount","12710.34000","Vendor Name","S &amp; S Properties","Transaction Description","COGS","Transaction Date","1/1/2014"</v>
      </c>
      <c r="F483" s="4">
        <v>12710.34</v>
      </c>
      <c r="G483" s="4">
        <v>0</v>
      </c>
      <c r="J483" s="31">
        <f t="shared" si="95"/>
        <v>12710.34</v>
      </c>
      <c r="K483" s="32" t="str">
        <f t="shared" si="96"/>
        <v>COGS</v>
      </c>
      <c r="L483" s="32" t="str">
        <f>"SLS113013"</f>
        <v>SLS113013</v>
      </c>
      <c r="M483" s="33">
        <v>41640</v>
      </c>
      <c r="N483" s="31"/>
      <c r="R483" s="2">
        <f t="shared" si="98"/>
        <v>22</v>
      </c>
    </row>
    <row r="484" spans="1:18" hidden="1" outlineLevel="1" x14ac:dyDescent="0.2">
      <c r="A484" s="30" t="s">
        <v>53</v>
      </c>
      <c r="C484" s="18"/>
      <c r="D484" s="4"/>
      <c r="E484" s="19" t="str">
        <f>"""GP Direct"",""Fabrikam, Inc."",""Jet GL Transactions"",""Account Index"",""137"",""Credit Amount"",""0.00000"",""Document Number"",""SLS113052"",""Debit Amount"",""3574.74000"",""Vendor Name"",""Mahler State University"",""Transaction Description"",""COGS"",""Transaction Date"",""1/1/2"&amp;"014"""</f>
        <v>"GP Direct","Fabrikam, Inc.","Jet GL Transactions","Account Index","137","Credit Amount","0.00000","Document Number","SLS113052","Debit Amount","3574.74000","Vendor Name","Mahler State University","Transaction Description","COGS","Transaction Date","1/1/2014"</v>
      </c>
      <c r="F484" s="4">
        <v>3574.74</v>
      </c>
      <c r="G484" s="4">
        <v>0</v>
      </c>
      <c r="J484" s="31">
        <f t="shared" si="95"/>
        <v>3574.74</v>
      </c>
      <c r="K484" s="32" t="str">
        <f t="shared" si="96"/>
        <v>COGS</v>
      </c>
      <c r="L484" s="32" t="str">
        <f>"SLS113052"</f>
        <v>SLS113052</v>
      </c>
      <c r="M484" s="33">
        <v>41640</v>
      </c>
      <c r="N484" s="31"/>
      <c r="R484" s="2">
        <f t="shared" si="98"/>
        <v>23</v>
      </c>
    </row>
    <row r="485" spans="1:18" hidden="1" outlineLevel="1" x14ac:dyDescent="0.2">
      <c r="A485" s="30" t="s">
        <v>53</v>
      </c>
      <c r="C485" s="18"/>
      <c r="D485" s="4"/>
      <c r="E485" s="19" t="str">
        <f>"""GP Direct"",""Fabrikam, Inc."",""Jet GL Transactions"",""Account Index"",""137"",""Credit Amount"",""0.00000"",""Document Number"",""SLS114001"",""Debit Amount"",""6310.01000"",""Vendor Name"",""Hampton Village Eatery"",""Transaction Description"",""COGS"",""Transaction Date"",""1/1/20"&amp;"14"""</f>
        <v>"GP Direct","Fabrikam, Inc.","Jet GL Transactions","Account Index","137","Credit Amount","0.00000","Document Number","SLS114001","Debit Amount","6310.01000","Vendor Name","Hampton Village Eatery","Transaction Description","COGS","Transaction Date","1/1/2014"</v>
      </c>
      <c r="F485" s="4">
        <v>6310.01</v>
      </c>
      <c r="G485" s="4">
        <v>0</v>
      </c>
      <c r="J485" s="31">
        <f t="shared" si="95"/>
        <v>6310.01</v>
      </c>
      <c r="K485" s="32" t="str">
        <f t="shared" si="96"/>
        <v>COGS</v>
      </c>
      <c r="L485" s="32" t="str">
        <f>"SLS114001"</f>
        <v>SLS114001</v>
      </c>
      <c r="M485" s="33">
        <v>41640</v>
      </c>
      <c r="N485" s="31"/>
      <c r="R485" s="2">
        <f t="shared" si="98"/>
        <v>24</v>
      </c>
    </row>
    <row r="486" spans="1:18" hidden="1" outlineLevel="1" x14ac:dyDescent="0.2">
      <c r="A486" s="30" t="s">
        <v>53</v>
      </c>
      <c r="C486" s="18"/>
      <c r="D486" s="4"/>
      <c r="E486" s="19" t="str">
        <f>"""GP Direct"",""Fabrikam, Inc."",""Jet GL Transactions"",""Account Index"",""137"",""Credit Amount"",""0.00000"",""Document Number"",""SLS114012"",""Debit Amount"",""2359.19000"",""Vendor Name"",""National Shopping World"",""Transaction Description"",""COGS"",""Transaction Date"",""1/1/2"&amp;"014"""</f>
        <v>"GP Direct","Fabrikam, Inc.","Jet GL Transactions","Account Index","137","Credit Amount","0.00000","Document Number","SLS114012","Debit Amount","2359.19000","Vendor Name","National Shopping World","Transaction Description","COGS","Transaction Date","1/1/2014"</v>
      </c>
      <c r="F486" s="4">
        <v>2359.19</v>
      </c>
      <c r="G486" s="4">
        <v>0</v>
      </c>
      <c r="J486" s="31">
        <f t="shared" si="95"/>
        <v>2359.19</v>
      </c>
      <c r="K486" s="32" t="str">
        <f t="shared" si="96"/>
        <v>COGS</v>
      </c>
      <c r="L486" s="32" t="str">
        <f>"SLS114012"</f>
        <v>SLS114012</v>
      </c>
      <c r="M486" s="33">
        <v>41640</v>
      </c>
      <c r="N486" s="31"/>
      <c r="R486" s="2">
        <f t="shared" si="98"/>
        <v>25</v>
      </c>
    </row>
    <row r="487" spans="1:18" hidden="1" outlineLevel="1" x14ac:dyDescent="0.2">
      <c r="A487" s="30" t="s">
        <v>53</v>
      </c>
      <c r="C487" s="18"/>
      <c r="D487" s="4"/>
      <c r="E487" s="19" t="str">
        <f>"""GP Direct"",""Fabrikam, Inc."",""Jet GL Transactions"",""Account Index"",""137"",""Credit Amount"",""0.00000"",""Document Number"",""SLS114050"",""Debit Amount"",""14035.30000"",""Vendor Name"",""St. Mary's Hospital"",""Transaction Description"",""COGS"",""Transaction Date"",""1/1/2014"&amp;""""</f>
        <v>"GP Direct","Fabrikam, Inc.","Jet GL Transactions","Account Index","137","Credit Amount","0.00000","Document Number","SLS114050","Debit Amount","14035.30000","Vendor Name","St. Mary's Hospital","Transaction Description","COGS","Transaction Date","1/1/2014"</v>
      </c>
      <c r="F487" s="4">
        <v>14035.3</v>
      </c>
      <c r="G487" s="4">
        <v>0</v>
      </c>
      <c r="J487" s="31">
        <f t="shared" si="95"/>
        <v>14035.3</v>
      </c>
      <c r="K487" s="32" t="str">
        <f t="shared" si="96"/>
        <v>COGS</v>
      </c>
      <c r="L487" s="32" t="str">
        <f>"SLS114050"</f>
        <v>SLS114050</v>
      </c>
      <c r="M487" s="33">
        <v>41640</v>
      </c>
      <c r="N487" s="31"/>
      <c r="R487" s="2">
        <f t="shared" si="98"/>
        <v>26</v>
      </c>
    </row>
    <row r="488" spans="1:18" hidden="1" outlineLevel="1" x14ac:dyDescent="0.2">
      <c r="A488" s="30" t="s">
        <v>53</v>
      </c>
      <c r="C488" s="18"/>
      <c r="D488" s="4"/>
      <c r="E488" s="19" t="str">
        <f>"""GP Direct"",""Fabrikam, Inc."",""Jet GL Transactions"",""Account Index"",""137"",""Credit Amount"",""0.00000"",""Document Number"",""SLS115000"",""Debit Amount"",""4887.10000"",""Vendor Name"",""Mid-City Hospital"",""Transaction Description"",""COGS"",""Transaction Date"",""1/1/2014"""</f>
        <v>"GP Direct","Fabrikam, Inc.","Jet GL Transactions","Account Index","137","Credit Amount","0.00000","Document Number","SLS115000","Debit Amount","4887.10000","Vendor Name","Mid-City Hospital","Transaction Description","COGS","Transaction Date","1/1/2014"</v>
      </c>
      <c r="F488" s="4">
        <v>4887.1000000000004</v>
      </c>
      <c r="G488" s="4">
        <v>0</v>
      </c>
      <c r="J488" s="31">
        <f t="shared" si="95"/>
        <v>4887.1000000000004</v>
      </c>
      <c r="K488" s="32" t="str">
        <f t="shared" si="96"/>
        <v>COGS</v>
      </c>
      <c r="L488" s="32" t="str">
        <f>"SLS115000"</f>
        <v>SLS115000</v>
      </c>
      <c r="M488" s="33">
        <v>41640</v>
      </c>
      <c r="N488" s="31"/>
      <c r="R488" s="2">
        <f t="shared" si="98"/>
        <v>27</v>
      </c>
    </row>
    <row r="489" spans="1:18" hidden="1" outlineLevel="1" x14ac:dyDescent="0.2">
      <c r="A489" s="30" t="s">
        <v>53</v>
      </c>
      <c r="C489" s="18"/>
      <c r="D489" s="4"/>
      <c r="E489" s="19" t="str">
        <f>"""GP Direct"",""Fabrikam, Inc."",""Jet GL Transactions"",""Account Index"",""137"",""Credit Amount"",""0.00000"",""Document Number"",""SLS115002"",""Debit Amount"",""4221.91000"",""Vendor Name"",""Coho Winery"",""Transaction Description"",""COGS"",""Transaction Date"",""1/1/2014"""</f>
        <v>"GP Direct","Fabrikam, Inc.","Jet GL Transactions","Account Index","137","Credit Amount","0.00000","Document Number","SLS115002","Debit Amount","4221.91000","Vendor Name","Coho Winery","Transaction Description","COGS","Transaction Date","1/1/2014"</v>
      </c>
      <c r="F489" s="4">
        <v>4221.91</v>
      </c>
      <c r="G489" s="4">
        <v>0</v>
      </c>
      <c r="J489" s="31">
        <f t="shared" si="95"/>
        <v>4221.91</v>
      </c>
      <c r="K489" s="32" t="str">
        <f t="shared" si="96"/>
        <v>COGS</v>
      </c>
      <c r="L489" s="32" t="str">
        <f>"SLS115002"</f>
        <v>SLS115002</v>
      </c>
      <c r="M489" s="33">
        <v>41640</v>
      </c>
      <c r="N489" s="31"/>
      <c r="R489" s="2">
        <f t="shared" si="98"/>
        <v>28</v>
      </c>
    </row>
    <row r="490" spans="1:18" hidden="1" outlineLevel="1" x14ac:dyDescent="0.2">
      <c r="A490" s="30" t="s">
        <v>53</v>
      </c>
      <c r="C490" s="18"/>
      <c r="D490" s="4"/>
      <c r="E490" s="19" t="str">
        <f>"""GP Direct"",""Fabrikam, Inc."",""Jet GL Transactions"",""Account Index"",""137"",""Credit Amount"",""0.00000"",""Document Number"",""SLS115050"",""Debit Amount"",""27588.42000"",""Vendor Name"",""Berry Medical Center"",""Transaction Description"",""COGS"",""Transaction Date"",""1/1/201"&amp;"4"""</f>
        <v>"GP Direct","Fabrikam, Inc.","Jet GL Transactions","Account Index","137","Credit Amount","0.00000","Document Number","SLS115050","Debit Amount","27588.42000","Vendor Name","Berry Medical Center","Transaction Description","COGS","Transaction Date","1/1/2014"</v>
      </c>
      <c r="F490" s="4">
        <v>27588.42</v>
      </c>
      <c r="G490" s="4">
        <v>0</v>
      </c>
      <c r="J490" s="31">
        <f t="shared" si="95"/>
        <v>27588.42</v>
      </c>
      <c r="K490" s="32" t="str">
        <f t="shared" si="96"/>
        <v>COGS</v>
      </c>
      <c r="L490" s="32" t="str">
        <f>"SLS115050"</f>
        <v>SLS115050</v>
      </c>
      <c r="M490" s="33">
        <v>41640</v>
      </c>
      <c r="N490" s="31"/>
      <c r="R490" s="2">
        <f t="shared" si="98"/>
        <v>29</v>
      </c>
    </row>
    <row r="491" spans="1:18" hidden="1" outlineLevel="1" x14ac:dyDescent="0.2">
      <c r="A491" s="30" t="s">
        <v>53</v>
      </c>
      <c r="C491" s="18"/>
      <c r="D491" s="4"/>
      <c r="E491" s="19" t="str">
        <f>"""GP Direct"",""Fabrikam, Inc."",""Jet GL Transactions"",""Account Index"",""137"",""Credit Amount"",""0.00000"",""Document Number"",""SLS115052"",""Debit Amount"",""22589.47000"",""Vendor Name"",""Berry Medical Center"",""Transaction Description"",""COGS"",""Transaction Date"",""1/1/201"&amp;"4"""</f>
        <v>"GP Direct","Fabrikam, Inc.","Jet GL Transactions","Account Index","137","Credit Amount","0.00000","Document Number","SLS115052","Debit Amount","22589.47000","Vendor Name","Berry Medical Center","Transaction Description","COGS","Transaction Date","1/1/2014"</v>
      </c>
      <c r="F491" s="4">
        <v>22589.47</v>
      </c>
      <c r="G491" s="4">
        <v>0</v>
      </c>
      <c r="J491" s="31">
        <f t="shared" si="95"/>
        <v>22589.47</v>
      </c>
      <c r="K491" s="32" t="str">
        <f t="shared" si="96"/>
        <v>COGS</v>
      </c>
      <c r="L491" s="32" t="str">
        <f>"SLS115052"</f>
        <v>SLS115052</v>
      </c>
      <c r="M491" s="33">
        <v>41640</v>
      </c>
      <c r="N491" s="31"/>
      <c r="R491" s="2">
        <f t="shared" si="98"/>
        <v>30</v>
      </c>
    </row>
    <row r="492" spans="1:18" hidden="1" outlineLevel="1" x14ac:dyDescent="0.2">
      <c r="A492" s="30" t="s">
        <v>53</v>
      </c>
      <c r="C492" s="18"/>
      <c r="D492" s="4"/>
      <c r="E492" s="19" t="str">
        <f>"""GP Direct"",""Fabrikam, Inc."",""Jet GL Transactions"",""Account Index"",""137"",""Credit Amount"",""0.00000"",""Document Number"",""SLS116002"",""Debit Amount"",""4254.80000"",""Vendor Name"",""Polk Valley Highway Dept."",""Transaction Description"",""COGS"",""Transaction Date"",""1/1"&amp;"/2014"""</f>
        <v>"GP Direct","Fabrikam, Inc.","Jet GL Transactions","Account Index","137","Credit Amount","0.00000","Document Number","SLS116002","Debit Amount","4254.80000","Vendor Name","Polk Valley Highway Dept.","Transaction Description","COGS","Transaction Date","1/1/2014"</v>
      </c>
      <c r="F492" s="4">
        <v>4254.8</v>
      </c>
      <c r="G492" s="4">
        <v>0</v>
      </c>
      <c r="J492" s="31">
        <f t="shared" si="95"/>
        <v>4254.8</v>
      </c>
      <c r="K492" s="32" t="str">
        <f t="shared" si="96"/>
        <v>COGS</v>
      </c>
      <c r="L492" s="32" t="str">
        <f>"SLS116002"</f>
        <v>SLS116002</v>
      </c>
      <c r="M492" s="33">
        <v>41640</v>
      </c>
      <c r="N492" s="31"/>
      <c r="R492" s="2">
        <f t="shared" si="98"/>
        <v>31</v>
      </c>
    </row>
    <row r="493" spans="1:18" hidden="1" outlineLevel="1" x14ac:dyDescent="0.2">
      <c r="A493" s="30" t="s">
        <v>53</v>
      </c>
      <c r="C493" s="18"/>
      <c r="D493" s="4"/>
      <c r="E493" s="19" t="str">
        <f>"""GP Direct"",""Fabrikam, Inc."",""Jet GL Transactions"",""Account Index"",""137"",""Credit Amount"",""0.00000"",""Document Number"",""SLS116004"",""Debit Amount"",""6236.24000"",""Vendor Name"",""Reynolds State College"",""Transaction Description"",""COGS"",""Transaction Date"",""1/1/20"&amp;"14"""</f>
        <v>"GP Direct","Fabrikam, Inc.","Jet GL Transactions","Account Index","137","Credit Amount","0.00000","Document Number","SLS116004","Debit Amount","6236.24000","Vendor Name","Reynolds State College","Transaction Description","COGS","Transaction Date","1/1/2014"</v>
      </c>
      <c r="F493" s="4">
        <v>6236.24</v>
      </c>
      <c r="G493" s="4">
        <v>0</v>
      </c>
      <c r="J493" s="31">
        <f t="shared" si="95"/>
        <v>6236.24</v>
      </c>
      <c r="K493" s="32" t="str">
        <f t="shared" si="96"/>
        <v>COGS</v>
      </c>
      <c r="L493" s="32" t="str">
        <f>"SLS116004"</f>
        <v>SLS116004</v>
      </c>
      <c r="M493" s="33">
        <v>41640</v>
      </c>
      <c r="N493" s="31"/>
      <c r="R493" s="2">
        <f t="shared" si="98"/>
        <v>32</v>
      </c>
    </row>
    <row r="494" spans="1:18" hidden="1" outlineLevel="1" x14ac:dyDescent="0.2">
      <c r="A494" s="30" t="s">
        <v>53</v>
      </c>
      <c r="C494" s="18"/>
      <c r="D494" s="4"/>
      <c r="E494" s="19" t="str">
        <f>"""GP Direct"",""Fabrikam, Inc."",""Jet GL Transactions"",""Account Index"",""137"",""Credit Amount"",""0.00000"",""Document Number"",""SLS116011"",""Debit Amount"",""7848.26000"",""Vendor Name"",""Reynolds State College"",""Transaction Description"",""COGS"",""Transaction Date"",""1/1/20"&amp;"14"""</f>
        <v>"GP Direct","Fabrikam, Inc.","Jet GL Transactions","Account Index","137","Credit Amount","0.00000","Document Number","SLS116011","Debit Amount","7848.26000","Vendor Name","Reynolds State College","Transaction Description","COGS","Transaction Date","1/1/2014"</v>
      </c>
      <c r="F494" s="4">
        <v>7848.26</v>
      </c>
      <c r="G494" s="4">
        <v>0</v>
      </c>
      <c r="J494" s="31">
        <f t="shared" ref="J494:J525" si="99">IF(AND(F494="",G494=""),"",$F494-$G494)</f>
        <v>7848.26</v>
      </c>
      <c r="K494" s="32" t="str">
        <f t="shared" ref="K494:K525" si="100">"COGS"</f>
        <v>COGS</v>
      </c>
      <c r="L494" s="32" t="str">
        <f>"SLS116011"</f>
        <v>SLS116011</v>
      </c>
      <c r="M494" s="33">
        <v>41640</v>
      </c>
      <c r="N494" s="31"/>
      <c r="R494" s="2">
        <f t="shared" si="98"/>
        <v>33</v>
      </c>
    </row>
    <row r="495" spans="1:18" hidden="1" outlineLevel="1" x14ac:dyDescent="0.2">
      <c r="A495" s="30" t="s">
        <v>53</v>
      </c>
      <c r="C495" s="18"/>
      <c r="D495" s="4"/>
      <c r="E495" s="19" t="str">
        <f>"""GP Direct"",""Fabrikam, Inc."",""Jet GL Transactions"",""Account Index"",""137"",""Credit Amount"",""0.00000"",""Document Number"",""SLS117000"",""Debit Amount"",""928.34000"",""Vendor Name"",""Northern State College"",""Transaction Description"",""COGS"",""Transaction Date"",""1/1/201"&amp;"4"""</f>
        <v>"GP Direct","Fabrikam, Inc.","Jet GL Transactions","Account Index","137","Credit Amount","0.00000","Document Number","SLS117000","Debit Amount","928.34000","Vendor Name","Northern State College","Transaction Description","COGS","Transaction Date","1/1/2014"</v>
      </c>
      <c r="F495" s="4">
        <v>928.34</v>
      </c>
      <c r="G495" s="4">
        <v>0</v>
      </c>
      <c r="J495" s="31">
        <f t="shared" si="99"/>
        <v>928.34</v>
      </c>
      <c r="K495" s="32" t="str">
        <f t="shared" si="100"/>
        <v>COGS</v>
      </c>
      <c r="L495" s="32" t="str">
        <f>"SLS117000"</f>
        <v>SLS117000</v>
      </c>
      <c r="M495" s="33">
        <v>41640</v>
      </c>
      <c r="N495" s="31"/>
      <c r="R495" s="2">
        <f t="shared" si="98"/>
        <v>34</v>
      </c>
    </row>
    <row r="496" spans="1:18" hidden="1" outlineLevel="1" x14ac:dyDescent="0.2">
      <c r="A496" s="30" t="s">
        <v>53</v>
      </c>
      <c r="C496" s="18"/>
      <c r="D496" s="4"/>
      <c r="E496" s="19" t="str">
        <f>"""GP Direct"",""Fabrikam, Inc."",""Jet GL Transactions"",""Account Index"",""137"",""Credit Amount"",""0.00000"",""Document Number"",""SLS117002"",""Debit Amount"",""4785.32000"",""Vendor Name"",""Northern State College"",""Transaction Description"",""COGS"",""Transaction Date"",""1/1/20"&amp;"14"""</f>
        <v>"GP Direct","Fabrikam, Inc.","Jet GL Transactions","Account Index","137","Credit Amount","0.00000","Document Number","SLS117002","Debit Amount","4785.32000","Vendor Name","Northern State College","Transaction Description","COGS","Transaction Date","1/1/2014"</v>
      </c>
      <c r="F496" s="4">
        <v>4785.32</v>
      </c>
      <c r="G496" s="4">
        <v>0</v>
      </c>
      <c r="J496" s="31">
        <f t="shared" si="99"/>
        <v>4785.32</v>
      </c>
      <c r="K496" s="32" t="str">
        <f t="shared" si="100"/>
        <v>COGS</v>
      </c>
      <c r="L496" s="32" t="str">
        <f>"SLS117002"</f>
        <v>SLS117002</v>
      </c>
      <c r="M496" s="33">
        <v>41640</v>
      </c>
      <c r="N496" s="31"/>
      <c r="R496" s="2">
        <f t="shared" si="98"/>
        <v>35</v>
      </c>
    </row>
    <row r="497" spans="1:18" hidden="1" outlineLevel="1" x14ac:dyDescent="0.2">
      <c r="A497" s="30" t="s">
        <v>53</v>
      </c>
      <c r="C497" s="18"/>
      <c r="D497" s="4"/>
      <c r="E497" s="19" t="str">
        <f>"""GP Direct"",""Fabrikam, Inc."",""Jet GL Transactions"",""Account Index"",""137"",""Credit Amount"",""0.00000"",""Document Number"",""SLS117011"",""Debit Amount"",""9466.42000"",""Vendor Name"",""Baker's Emporium Inc."",""Transaction Description"",""COGS"",""Transaction Date"",""1/1/201"&amp;"4"""</f>
        <v>"GP Direct","Fabrikam, Inc.","Jet GL Transactions","Account Index","137","Credit Amount","0.00000","Document Number","SLS117011","Debit Amount","9466.42000","Vendor Name","Baker's Emporium Inc.","Transaction Description","COGS","Transaction Date","1/1/2014"</v>
      </c>
      <c r="F497" s="4">
        <v>9466.42</v>
      </c>
      <c r="G497" s="4">
        <v>0</v>
      </c>
      <c r="J497" s="31">
        <f t="shared" si="99"/>
        <v>9466.42</v>
      </c>
      <c r="K497" s="32" t="str">
        <f t="shared" si="100"/>
        <v>COGS</v>
      </c>
      <c r="L497" s="32" t="str">
        <f>"SLS117011"</f>
        <v>SLS117011</v>
      </c>
      <c r="M497" s="33">
        <v>41640</v>
      </c>
      <c r="N497" s="31"/>
      <c r="R497" s="2">
        <f t="shared" si="98"/>
        <v>36</v>
      </c>
    </row>
    <row r="498" spans="1:18" hidden="1" outlineLevel="1" x14ac:dyDescent="0.2">
      <c r="A498" s="30" t="s">
        <v>53</v>
      </c>
      <c r="C498" s="18"/>
      <c r="D498" s="4"/>
      <c r="E498" s="19" t="str">
        <f>"""GP Direct"",""Fabrikam, Inc."",""Jet GL Transactions"",""Account Index"",""137"",""Credit Amount"",""0.00000"",""Document Number"",""SLS118002"",""Debit Amount"",""6481.15000"",""Vendor Name"",""Downtown Hotel"",""Transaction Description"",""COGS"",""Transaction Date"",""1/1/2014"""</f>
        <v>"GP Direct","Fabrikam, Inc.","Jet GL Transactions","Account Index","137","Credit Amount","0.00000","Document Number","SLS118002","Debit Amount","6481.15000","Vendor Name","Downtown Hotel","Transaction Description","COGS","Transaction Date","1/1/2014"</v>
      </c>
      <c r="F498" s="4">
        <v>6481.15</v>
      </c>
      <c r="G498" s="4">
        <v>0</v>
      </c>
      <c r="J498" s="31">
        <f t="shared" si="99"/>
        <v>6481.15</v>
      </c>
      <c r="K498" s="32" t="str">
        <f t="shared" si="100"/>
        <v>COGS</v>
      </c>
      <c r="L498" s="32" t="str">
        <f>"SLS118002"</f>
        <v>SLS118002</v>
      </c>
      <c r="M498" s="33">
        <v>41640</v>
      </c>
      <c r="N498" s="31"/>
      <c r="R498" s="2">
        <f t="shared" si="98"/>
        <v>37</v>
      </c>
    </row>
    <row r="499" spans="1:18" hidden="1" outlineLevel="1" x14ac:dyDescent="0.2">
      <c r="A499" s="30" t="s">
        <v>53</v>
      </c>
      <c r="C499" s="18"/>
      <c r="D499" s="4"/>
      <c r="E499" s="19" t="str">
        <f>"""GP Direct"",""Fabrikam, Inc."",""Jet GL Transactions"",""Account Index"",""137"",""Credit Amount"",""0.00000"",""Document Number"",""SLS118010"",""Debit Amount"",""13005.75000"",""Vendor Name"",""Unified Wire and Cable Systems"",""Transaction Description"",""COGS"",""Transaction Date"&amp;""",""1/1/2014"""</f>
        <v>"GP Direct","Fabrikam, Inc.","Jet GL Transactions","Account Index","137","Credit Amount","0.00000","Document Number","SLS118010","Debit Amount","13005.75000","Vendor Name","Unified Wire and Cable Systems","Transaction Description","COGS","Transaction Date","1/1/2014"</v>
      </c>
      <c r="F499" s="4">
        <v>13005.75</v>
      </c>
      <c r="G499" s="4">
        <v>0</v>
      </c>
      <c r="J499" s="31">
        <f t="shared" si="99"/>
        <v>13005.75</v>
      </c>
      <c r="K499" s="32" t="str">
        <f t="shared" si="100"/>
        <v>COGS</v>
      </c>
      <c r="L499" s="32" t="str">
        <f>"SLS118010"</f>
        <v>SLS118010</v>
      </c>
      <c r="M499" s="33">
        <v>41640</v>
      </c>
      <c r="N499" s="31"/>
      <c r="R499" s="2">
        <f t="shared" si="98"/>
        <v>38</v>
      </c>
    </row>
    <row r="500" spans="1:18" hidden="1" outlineLevel="1" x14ac:dyDescent="0.2">
      <c r="A500" s="30" t="s">
        <v>53</v>
      </c>
      <c r="C500" s="18"/>
      <c r="D500" s="4"/>
      <c r="E500" s="19" t="str">
        <f>"""GP Direct"",""Fabrikam, Inc."",""Jet GL Transactions"",""Account Index"",""137"",""Credit Amount"",""0.00000"",""Document Number"",""SLS119000"",""Debit Amount"",""8935.41000"",""Vendor Name"",""Johnson, Kimberly"",""Transaction Description"",""COGS"",""Transaction Date"",""1/1/2014"""</f>
        <v>"GP Direct","Fabrikam, Inc.","Jet GL Transactions","Account Index","137","Credit Amount","0.00000","Document Number","SLS119000","Debit Amount","8935.41000","Vendor Name","Johnson, Kimberly","Transaction Description","COGS","Transaction Date","1/1/2014"</v>
      </c>
      <c r="F500" s="4">
        <v>8935.41</v>
      </c>
      <c r="G500" s="4">
        <v>0</v>
      </c>
      <c r="J500" s="31">
        <f t="shared" si="99"/>
        <v>8935.41</v>
      </c>
      <c r="K500" s="32" t="str">
        <f t="shared" si="100"/>
        <v>COGS</v>
      </c>
      <c r="L500" s="32" t="str">
        <f>"SLS119000"</f>
        <v>SLS119000</v>
      </c>
      <c r="M500" s="33">
        <v>41640</v>
      </c>
      <c r="N500" s="31"/>
      <c r="R500" s="2">
        <f t="shared" si="98"/>
        <v>39</v>
      </c>
    </row>
    <row r="501" spans="1:18" hidden="1" outlineLevel="1" x14ac:dyDescent="0.2">
      <c r="A501" s="30" t="s">
        <v>53</v>
      </c>
      <c r="C501" s="18"/>
      <c r="D501" s="4"/>
      <c r="E501" s="19" t="str">
        <f>"""GP Direct"",""Fabrikam, Inc."",""Jet GL Transactions"",""Account Index"",""137"",""Credit Amount"",""0.00000"",""Document Number"",""SLS119002"",""Debit Amount"",""4248.16000"",""Vendor Name"",""Johnson, Kimberly"",""Transaction Description"",""COGS"",""Transaction Date"",""1/1/2014"""</f>
        <v>"GP Direct","Fabrikam, Inc.","Jet GL Transactions","Account Index","137","Credit Amount","0.00000","Document Number","SLS119002","Debit Amount","4248.16000","Vendor Name","Johnson, Kimberly","Transaction Description","COGS","Transaction Date","1/1/2014"</v>
      </c>
      <c r="F501" s="4">
        <v>4248.16</v>
      </c>
      <c r="G501" s="4">
        <v>0</v>
      </c>
      <c r="J501" s="31">
        <f t="shared" si="99"/>
        <v>4248.16</v>
      </c>
      <c r="K501" s="32" t="str">
        <f t="shared" si="100"/>
        <v>COGS</v>
      </c>
      <c r="L501" s="32" t="str">
        <f>"SLS119002"</f>
        <v>SLS119002</v>
      </c>
      <c r="M501" s="33">
        <v>41640</v>
      </c>
      <c r="N501" s="31"/>
      <c r="R501" s="2">
        <f t="shared" si="98"/>
        <v>40</v>
      </c>
    </row>
    <row r="502" spans="1:18" hidden="1" outlineLevel="1" x14ac:dyDescent="0.2">
      <c r="A502" s="30" t="s">
        <v>53</v>
      </c>
      <c r="C502" s="18"/>
      <c r="D502" s="4"/>
      <c r="E502" s="19" t="str">
        <f>"""GP Direct"",""Fabrikam, Inc."",""Jet GL Transactions"",""Account Index"",""137"",""Credit Amount"",""0.00000"",""Document Number"",""SLS120001"",""Debit Amount"",""1271.66000"",""Vendor Name"",""Franchise Office Machines"",""Transaction Description"",""COGS"",""Transaction Date"",""1/1"&amp;"/2014"""</f>
        <v>"GP Direct","Fabrikam, Inc.","Jet GL Transactions","Account Index","137","Credit Amount","0.00000","Document Number","SLS120001","Debit Amount","1271.66000","Vendor Name","Franchise Office Machines","Transaction Description","COGS","Transaction Date","1/1/2014"</v>
      </c>
      <c r="F502" s="4">
        <v>1271.6600000000001</v>
      </c>
      <c r="G502" s="4">
        <v>0</v>
      </c>
      <c r="J502" s="31">
        <f t="shared" si="99"/>
        <v>1271.6600000000001</v>
      </c>
      <c r="K502" s="32" t="str">
        <f t="shared" si="100"/>
        <v>COGS</v>
      </c>
      <c r="L502" s="32" t="str">
        <f>"SLS120001"</f>
        <v>SLS120001</v>
      </c>
      <c r="M502" s="33">
        <v>41640</v>
      </c>
      <c r="N502" s="31"/>
      <c r="R502" s="2">
        <f t="shared" si="98"/>
        <v>41</v>
      </c>
    </row>
    <row r="503" spans="1:18" hidden="1" outlineLevel="1" x14ac:dyDescent="0.2">
      <c r="A503" s="30" t="s">
        <v>53</v>
      </c>
      <c r="C503" s="18"/>
      <c r="D503" s="4"/>
      <c r="E503" s="19" t="str">
        <f>"""GP Direct"",""Fabrikam, Inc."",""Jet GL Transactions"",""Account Index"",""137"",""Credit Amount"",""0.00000"",""Document Number"",""SLS12012"",""Debit Amount"",""7510.38000"",""Vendor Name"",""World Enterprises"",""Transaction Description"",""COGS"",""Transaction Date"",""1/1/2014"""</f>
        <v>"GP Direct","Fabrikam, Inc.","Jet GL Transactions","Account Index","137","Credit Amount","0.00000","Document Number","SLS12012","Debit Amount","7510.38000","Vendor Name","World Enterprises","Transaction Description","COGS","Transaction Date","1/1/2014"</v>
      </c>
      <c r="F503" s="4">
        <v>7510.38</v>
      </c>
      <c r="G503" s="4">
        <v>0</v>
      </c>
      <c r="J503" s="31">
        <f t="shared" si="99"/>
        <v>7510.38</v>
      </c>
      <c r="K503" s="32" t="str">
        <f t="shared" si="100"/>
        <v>COGS</v>
      </c>
      <c r="L503" s="32" t="str">
        <f>"SLS12012"</f>
        <v>SLS12012</v>
      </c>
      <c r="M503" s="33">
        <v>41640</v>
      </c>
      <c r="N503" s="31"/>
      <c r="R503" s="2">
        <f t="shared" si="98"/>
        <v>42</v>
      </c>
    </row>
    <row r="504" spans="1:18" hidden="1" outlineLevel="1" x14ac:dyDescent="0.2">
      <c r="A504" s="30" t="s">
        <v>53</v>
      </c>
      <c r="C504" s="18"/>
      <c r="D504" s="4"/>
      <c r="E504" s="19" t="str">
        <f>"""GP Direct"",""Fabrikam, Inc."",""Jet GL Transactions"",""Account Index"",""137"",""Credit Amount"",""0.00000"",""Document Number"",""SLS12020"",""Debit Amount"",""2244.38000"",""Vendor Name"",""American Electrical Contractor"",""Transaction Description"",""COGS"",""Transaction Date"","&amp;"""1/1/2014"""</f>
        <v>"GP Direct","Fabrikam, Inc.","Jet GL Transactions","Account Index","137","Credit Amount","0.00000","Document Number","SLS12020","Debit Amount","2244.38000","Vendor Name","American Electrical Contractor","Transaction Description","COGS","Transaction Date","1/1/2014"</v>
      </c>
      <c r="F504" s="4">
        <v>2244.38</v>
      </c>
      <c r="G504" s="4">
        <v>0</v>
      </c>
      <c r="J504" s="31">
        <f t="shared" si="99"/>
        <v>2244.38</v>
      </c>
      <c r="K504" s="32" t="str">
        <f t="shared" si="100"/>
        <v>COGS</v>
      </c>
      <c r="L504" s="32" t="str">
        <f>"SLS12020"</f>
        <v>SLS12020</v>
      </c>
      <c r="M504" s="33">
        <v>41640</v>
      </c>
      <c r="N504" s="31"/>
      <c r="R504" s="2">
        <f t="shared" si="98"/>
        <v>43</v>
      </c>
    </row>
    <row r="505" spans="1:18" hidden="1" outlineLevel="1" x14ac:dyDescent="0.2">
      <c r="A505" s="30" t="s">
        <v>53</v>
      </c>
      <c r="C505" s="18"/>
      <c r="D505" s="4"/>
      <c r="E505" s="19" t="str">
        <f>"""GP Direct"",""Fabrikam, Inc."",""Jet GL Transactions"",""Account Index"",""137"",""Credit Amount"",""0.00000"",""Document Number"",""SLS12023"",""Debit Amount"",""3266.76000"",""Vendor Name"",""American Electrical Contractor"",""Transaction Description"",""COGS"",""Transaction Date"","&amp;"""1/1/2014"""</f>
        <v>"GP Direct","Fabrikam, Inc.","Jet GL Transactions","Account Index","137","Credit Amount","0.00000","Document Number","SLS12023","Debit Amount","3266.76000","Vendor Name","American Electrical Contractor","Transaction Description","COGS","Transaction Date","1/1/2014"</v>
      </c>
      <c r="F505" s="4">
        <v>3266.76</v>
      </c>
      <c r="G505" s="4">
        <v>0</v>
      </c>
      <c r="J505" s="31">
        <f t="shared" si="99"/>
        <v>3266.76</v>
      </c>
      <c r="K505" s="32" t="str">
        <f t="shared" si="100"/>
        <v>COGS</v>
      </c>
      <c r="L505" s="32" t="str">
        <f>"SLS12023"</f>
        <v>SLS12023</v>
      </c>
      <c r="M505" s="33">
        <v>41640</v>
      </c>
      <c r="N505" s="31"/>
      <c r="R505" s="2">
        <f t="shared" si="98"/>
        <v>44</v>
      </c>
    </row>
    <row r="506" spans="1:18" hidden="1" outlineLevel="1" x14ac:dyDescent="0.2">
      <c r="A506" s="30" t="s">
        <v>53</v>
      </c>
      <c r="C506" s="18"/>
      <c r="D506" s="4"/>
      <c r="E506" s="19" t="str">
        <f>"""GP Direct"",""Fabrikam, Inc."",""Jet GL Transactions"",""Account Index"",""137"",""Credit Amount"",""0.00000"",""Document Number"",""SLS12030"",""Debit Amount"",""5248.54000"",""Vendor Name"",""Kensington Gardens Resort"",""Transaction Description"",""COGS"",""Transaction Date"",""1/1/"&amp;"2014"""</f>
        <v>"GP Direct","Fabrikam, Inc.","Jet GL Transactions","Account Index","137","Credit Amount","0.00000","Document Number","SLS12030","Debit Amount","5248.54000","Vendor Name","Kensington Gardens Resort","Transaction Description","COGS","Transaction Date","1/1/2014"</v>
      </c>
      <c r="F506" s="4">
        <v>5248.54</v>
      </c>
      <c r="G506" s="4">
        <v>0</v>
      </c>
      <c r="J506" s="31">
        <f t="shared" si="99"/>
        <v>5248.54</v>
      </c>
      <c r="K506" s="32" t="str">
        <f t="shared" si="100"/>
        <v>COGS</v>
      </c>
      <c r="L506" s="32" t="str">
        <f>"SLS12030"</f>
        <v>SLS12030</v>
      </c>
      <c r="M506" s="33">
        <v>41640</v>
      </c>
      <c r="N506" s="31"/>
      <c r="R506" s="2">
        <f t="shared" si="98"/>
        <v>45</v>
      </c>
    </row>
    <row r="507" spans="1:18" hidden="1" outlineLevel="1" x14ac:dyDescent="0.2">
      <c r="A507" s="30" t="s">
        <v>53</v>
      </c>
      <c r="C507" s="18"/>
      <c r="D507" s="4"/>
      <c r="E507" s="19" t="str">
        <f>"""GP Direct"",""Fabrikam, Inc."",""Jet GL Transactions"",""Account Index"",""137"",""Credit Amount"",""0.00000"",""Document Number"",""SLS12060"",""Debit Amount"",""4319.46000"",""Vendor Name"",""Westside Cable Service"",""Transaction Description"",""COGS"",""Transaction Date"",""1/1/201"&amp;"4"""</f>
        <v>"GP Direct","Fabrikam, Inc.","Jet GL Transactions","Account Index","137","Credit Amount","0.00000","Document Number","SLS12060","Debit Amount","4319.46000","Vendor Name","Westside Cable Service","Transaction Description","COGS","Transaction Date","1/1/2014"</v>
      </c>
      <c r="F507" s="4">
        <v>4319.46</v>
      </c>
      <c r="G507" s="4">
        <v>0</v>
      </c>
      <c r="J507" s="31">
        <f t="shared" si="99"/>
        <v>4319.46</v>
      </c>
      <c r="K507" s="32" t="str">
        <f t="shared" si="100"/>
        <v>COGS</v>
      </c>
      <c r="L507" s="32" t="str">
        <f>"SLS12060"</f>
        <v>SLS12060</v>
      </c>
      <c r="M507" s="33">
        <v>41640</v>
      </c>
      <c r="N507" s="31"/>
      <c r="R507" s="2">
        <f t="shared" si="98"/>
        <v>46</v>
      </c>
    </row>
    <row r="508" spans="1:18" hidden="1" outlineLevel="1" x14ac:dyDescent="0.2">
      <c r="A508" s="30" t="s">
        <v>53</v>
      </c>
      <c r="C508" s="18"/>
      <c r="D508" s="4"/>
      <c r="E508" s="19" t="str">
        <f>"""GP Direct"",""Fabrikam, Inc."",""Jet GL Transactions"",""Account Index"",""137"",""Credit Amount"",""0.00000"",""Document Number"",""SLS12061"",""Debit Amount"",""1302.43000"",""Vendor Name"",""LeClerc &amp; Associates"",""Transaction Description"",""COGS"",""Transaction Date"",""1/1/2014"""</f>
        <v>"GP Direct","Fabrikam, Inc.","Jet GL Transactions","Account Index","137","Credit Amount","0.00000","Document Number","SLS12061","Debit Amount","1302.43000","Vendor Name","LeClerc &amp; Associates","Transaction Description","COGS","Transaction Date","1/1/2014"</v>
      </c>
      <c r="F508" s="4">
        <v>1302.43</v>
      </c>
      <c r="G508" s="4">
        <v>0</v>
      </c>
      <c r="J508" s="31">
        <f t="shared" si="99"/>
        <v>1302.43</v>
      </c>
      <c r="K508" s="32" t="str">
        <f t="shared" si="100"/>
        <v>COGS</v>
      </c>
      <c r="L508" s="32" t="str">
        <f>"SLS12061"</f>
        <v>SLS12061</v>
      </c>
      <c r="M508" s="33">
        <v>41640</v>
      </c>
      <c r="N508" s="31"/>
      <c r="R508" s="2">
        <f t="shared" si="98"/>
        <v>47</v>
      </c>
    </row>
    <row r="509" spans="1:18" hidden="1" outlineLevel="1" x14ac:dyDescent="0.2">
      <c r="A509" s="30" t="s">
        <v>53</v>
      </c>
      <c r="C509" s="18"/>
      <c r="D509" s="4"/>
      <c r="E509" s="19" t="str">
        <f>"""GP Direct"",""Fabrikam, Inc."",""Jet GL Transactions"",""Account Index"",""137"",""Credit Amount"",""0.00000"",""Document Number"",""SLS12071"",""Debit Amount"",""5959.04000"",""Vendor Name"",""Castle Inn Resort"",""Transaction Description"",""COGS"",""Transaction Date"",""1/1/2014"""</f>
        <v>"GP Direct","Fabrikam, Inc.","Jet GL Transactions","Account Index","137","Credit Amount","0.00000","Document Number","SLS12071","Debit Amount","5959.04000","Vendor Name","Castle Inn Resort","Transaction Description","COGS","Transaction Date","1/1/2014"</v>
      </c>
      <c r="F509" s="4">
        <v>5959.04</v>
      </c>
      <c r="G509" s="4">
        <v>0</v>
      </c>
      <c r="J509" s="31">
        <f t="shared" si="99"/>
        <v>5959.04</v>
      </c>
      <c r="K509" s="32" t="str">
        <f t="shared" si="100"/>
        <v>COGS</v>
      </c>
      <c r="L509" s="32" t="str">
        <f>"SLS12071"</f>
        <v>SLS12071</v>
      </c>
      <c r="M509" s="33">
        <v>41640</v>
      </c>
      <c r="N509" s="31"/>
      <c r="R509" s="2">
        <f t="shared" si="98"/>
        <v>48</v>
      </c>
    </row>
    <row r="510" spans="1:18" hidden="1" outlineLevel="1" x14ac:dyDescent="0.2">
      <c r="A510" s="30" t="s">
        <v>53</v>
      </c>
      <c r="C510" s="18"/>
      <c r="D510" s="4"/>
      <c r="E510" s="19" t="str">
        <f>"""GP Direct"",""Fabrikam, Inc."",""Jet GL Transactions"",""Account Index"",""137"",""Credit Amount"",""0.00000"",""Document Number"",""SLS12074"",""Debit Amount"",""2668.77000"",""Vendor Name"",""Castle Inn Resort"",""Transaction Description"",""COGS"",""Transaction Date"",""1/1/2014"""</f>
        <v>"GP Direct","Fabrikam, Inc.","Jet GL Transactions","Account Index","137","Credit Amount","0.00000","Document Number","SLS12074","Debit Amount","2668.77000","Vendor Name","Castle Inn Resort","Transaction Description","COGS","Transaction Date","1/1/2014"</v>
      </c>
      <c r="F510" s="4">
        <v>2668.77</v>
      </c>
      <c r="G510" s="4">
        <v>0</v>
      </c>
      <c r="J510" s="31">
        <f t="shared" si="99"/>
        <v>2668.77</v>
      </c>
      <c r="K510" s="32" t="str">
        <f t="shared" si="100"/>
        <v>COGS</v>
      </c>
      <c r="L510" s="32" t="str">
        <f>"SLS12074"</f>
        <v>SLS12074</v>
      </c>
      <c r="M510" s="33">
        <v>41640</v>
      </c>
      <c r="N510" s="31"/>
      <c r="R510" s="2">
        <f t="shared" si="98"/>
        <v>49</v>
      </c>
    </row>
    <row r="511" spans="1:18" hidden="1" outlineLevel="1" x14ac:dyDescent="0.2">
      <c r="A511" s="30" t="s">
        <v>53</v>
      </c>
      <c r="C511" s="18"/>
      <c r="D511" s="4"/>
      <c r="E511" s="19" t="str">
        <f>"""GP Direct"",""Fabrikam, Inc."",""Jet GL Transactions"",""Account Index"",""137"",""Credit Amount"",""0.00000"",""Document Number"",""SLS12093"",""Debit Amount"",""6578.82000"",""Vendor Name"",""Boyle's Country Inn's"",""Transaction Description"",""COGS"",""Transaction Date"",""1/1/2014"&amp;""""</f>
        <v>"GP Direct","Fabrikam, Inc.","Jet GL Transactions","Account Index","137","Credit Amount","0.00000","Document Number","SLS12093","Debit Amount","6578.82000","Vendor Name","Boyle's Country Inn's","Transaction Description","COGS","Transaction Date","1/1/2014"</v>
      </c>
      <c r="F511" s="4">
        <v>6578.82</v>
      </c>
      <c r="G511" s="4">
        <v>0</v>
      </c>
      <c r="J511" s="31">
        <f t="shared" si="99"/>
        <v>6578.82</v>
      </c>
      <c r="K511" s="32" t="str">
        <f t="shared" si="100"/>
        <v>COGS</v>
      </c>
      <c r="L511" s="32" t="str">
        <f>"SLS12093"</f>
        <v>SLS12093</v>
      </c>
      <c r="M511" s="33">
        <v>41640</v>
      </c>
      <c r="N511" s="31"/>
      <c r="R511" s="2">
        <f t="shared" si="98"/>
        <v>50</v>
      </c>
    </row>
    <row r="512" spans="1:18" hidden="1" outlineLevel="1" x14ac:dyDescent="0.2">
      <c r="A512" s="30" t="s">
        <v>53</v>
      </c>
      <c r="C512" s="18"/>
      <c r="D512" s="4"/>
      <c r="E512" s="19" t="str">
        <f>"""GP Direct"",""Fabrikam, Inc."",""Jet GL Transactions"",""Account Index"",""137"",""Credit Amount"",""0.00000"",""Document Number"",""SLS122000"",""Debit Amount"",""4038.57000"",""Vendor Name"",""Pacific Digital"",""Transaction Description"",""COGS"",""Transaction Date"",""1/1/2014"""</f>
        <v>"GP Direct","Fabrikam, Inc.","Jet GL Transactions","Account Index","137","Credit Amount","0.00000","Document Number","SLS122000","Debit Amount","4038.57000","Vendor Name","Pacific Digital","Transaction Description","COGS","Transaction Date","1/1/2014"</v>
      </c>
      <c r="F512" s="4">
        <v>4038.57</v>
      </c>
      <c r="G512" s="4">
        <v>0</v>
      </c>
      <c r="J512" s="31">
        <f t="shared" si="99"/>
        <v>4038.57</v>
      </c>
      <c r="K512" s="32" t="str">
        <f t="shared" si="100"/>
        <v>COGS</v>
      </c>
      <c r="L512" s="32" t="str">
        <f>"SLS122000"</f>
        <v>SLS122000</v>
      </c>
      <c r="M512" s="33">
        <v>41640</v>
      </c>
      <c r="N512" s="31"/>
      <c r="R512" s="2">
        <f t="shared" si="98"/>
        <v>51</v>
      </c>
    </row>
    <row r="513" spans="1:18" hidden="1" outlineLevel="1" x14ac:dyDescent="0.2">
      <c r="A513" s="30" t="s">
        <v>53</v>
      </c>
      <c r="C513" s="18"/>
      <c r="D513" s="4"/>
      <c r="E513" s="19" t="str">
        <f>"""GP Direct"",""Fabrikam, Inc."",""Jet GL Transactions"",""Account Index"",""137"",""Credit Amount"",""0.00000"",""Document Number"",""SLS123001"",""Debit Amount"",""4771.40000"",""Vendor Name"",""Network Solutions"",""Transaction Description"",""COGS"",""Transaction Date"",""1/1/2014"""</f>
        <v>"GP Direct","Fabrikam, Inc.","Jet GL Transactions","Account Index","137","Credit Amount","0.00000","Document Number","SLS123001","Debit Amount","4771.40000","Vendor Name","Network Solutions","Transaction Description","COGS","Transaction Date","1/1/2014"</v>
      </c>
      <c r="F513" s="4">
        <v>4771.3999999999996</v>
      </c>
      <c r="G513" s="4">
        <v>0</v>
      </c>
      <c r="J513" s="31">
        <f t="shared" si="99"/>
        <v>4771.3999999999996</v>
      </c>
      <c r="K513" s="32" t="str">
        <f t="shared" si="100"/>
        <v>COGS</v>
      </c>
      <c r="L513" s="32" t="str">
        <f>"SLS123001"</f>
        <v>SLS123001</v>
      </c>
      <c r="M513" s="33">
        <v>41640</v>
      </c>
      <c r="N513" s="31"/>
      <c r="R513" s="2">
        <f t="shared" si="98"/>
        <v>52</v>
      </c>
    </row>
    <row r="514" spans="1:18" hidden="1" outlineLevel="1" x14ac:dyDescent="0.2">
      <c r="A514" s="30" t="s">
        <v>53</v>
      </c>
      <c r="C514" s="18"/>
      <c r="D514" s="4"/>
      <c r="E514" s="19" t="str">
        <f>"""GP Direct"",""Fabrikam, Inc."",""Jet GL Transactions"",""Account Index"",""137"",""Credit Amount"",""0.00000"",""Document Number"",""SLS124001"",""Debit Amount"",""8956.51000"",""Vendor Name"",""ISN Industries"",""Transaction Description"",""COGS"",""Transaction Date"",""1/1/2014"""</f>
        <v>"GP Direct","Fabrikam, Inc.","Jet GL Transactions","Account Index","137","Credit Amount","0.00000","Document Number","SLS124001","Debit Amount","8956.51000","Vendor Name","ISN Industries","Transaction Description","COGS","Transaction Date","1/1/2014"</v>
      </c>
      <c r="F514" s="4">
        <v>8956.51</v>
      </c>
      <c r="G514" s="4">
        <v>0</v>
      </c>
      <c r="J514" s="31">
        <f t="shared" si="99"/>
        <v>8956.51</v>
      </c>
      <c r="K514" s="32" t="str">
        <f t="shared" si="100"/>
        <v>COGS</v>
      </c>
      <c r="L514" s="32" t="str">
        <f>"SLS124001"</f>
        <v>SLS124001</v>
      </c>
      <c r="M514" s="33">
        <v>41640</v>
      </c>
      <c r="N514" s="31"/>
      <c r="R514" s="2">
        <f t="shared" si="98"/>
        <v>53</v>
      </c>
    </row>
    <row r="515" spans="1:18" hidden="1" outlineLevel="1" x14ac:dyDescent="0.2">
      <c r="A515" s="30" t="s">
        <v>53</v>
      </c>
      <c r="C515" s="18"/>
      <c r="D515" s="4"/>
      <c r="E515" s="19" t="str">
        <f>"""GP Direct"",""Fabrikam, Inc."",""Jet GL Transactions"",""Account Index"",""137"",""Credit Amount"",""0.00000"",""Document Number"",""SLS125000"",""Debit Amount"",""17945.86000"",""Vendor Name"",""Red's Food Market"",""Transaction Description"",""COGS"",""Transaction Date"",""1/1/2014"""</f>
        <v>"GP Direct","Fabrikam, Inc.","Jet GL Transactions","Account Index","137","Credit Amount","0.00000","Document Number","SLS125000","Debit Amount","17945.86000","Vendor Name","Red's Food Market","Transaction Description","COGS","Transaction Date","1/1/2014"</v>
      </c>
      <c r="F515" s="4">
        <v>17945.86</v>
      </c>
      <c r="G515" s="4">
        <v>0</v>
      </c>
      <c r="J515" s="31">
        <f t="shared" si="99"/>
        <v>17945.86</v>
      </c>
      <c r="K515" s="32" t="str">
        <f t="shared" si="100"/>
        <v>COGS</v>
      </c>
      <c r="L515" s="32" t="str">
        <f>"SLS125000"</f>
        <v>SLS125000</v>
      </c>
      <c r="M515" s="33">
        <v>41640</v>
      </c>
      <c r="N515" s="31"/>
      <c r="R515" s="2">
        <f t="shared" si="98"/>
        <v>54</v>
      </c>
    </row>
    <row r="516" spans="1:18" hidden="1" outlineLevel="1" x14ac:dyDescent="0.2">
      <c r="A516" s="30" t="s">
        <v>53</v>
      </c>
      <c r="C516" s="18"/>
      <c r="D516" s="4"/>
      <c r="E516" s="19" t="str">
        <f>"""GP Direct"",""Fabrikam, Inc."",""Jet GL Transactions"",""Account Index"",""137"",""Credit Amount"",""0.00000"",""Document Number"",""SLS126000"",""Debit Amount"",""21837.48000"",""Vendor Name"",""Snelling Communications Inc."",""Transaction Description"",""COGS"",""Transaction Date"","&amp;"""1/1/2014"""</f>
        <v>"GP Direct","Fabrikam, Inc.","Jet GL Transactions","Account Index","137","Credit Amount","0.00000","Document Number","SLS126000","Debit Amount","21837.48000","Vendor Name","Snelling Communications Inc.","Transaction Description","COGS","Transaction Date","1/1/2014"</v>
      </c>
      <c r="F516" s="4">
        <v>21837.48</v>
      </c>
      <c r="G516" s="4">
        <v>0</v>
      </c>
      <c r="J516" s="31">
        <f t="shared" si="99"/>
        <v>21837.48</v>
      </c>
      <c r="K516" s="32" t="str">
        <f t="shared" si="100"/>
        <v>COGS</v>
      </c>
      <c r="L516" s="32" t="str">
        <f>"SLS126000"</f>
        <v>SLS126000</v>
      </c>
      <c r="M516" s="33">
        <v>41640</v>
      </c>
      <c r="N516" s="31"/>
      <c r="R516" s="2">
        <f t="shared" si="98"/>
        <v>55</v>
      </c>
    </row>
    <row r="517" spans="1:18" hidden="1" outlineLevel="1" x14ac:dyDescent="0.2">
      <c r="A517" s="30" t="s">
        <v>53</v>
      </c>
      <c r="C517" s="18"/>
      <c r="D517" s="4"/>
      <c r="E517" s="19" t="str">
        <f>"""GP Direct"",""Fabrikam, Inc."",""Jet GL Transactions"",""Account Index"",""137"",""Credit Amount"",""0.00000"",""Document Number"",""SLS13012"",""Debit Amount"",""4991.88000"",""Vendor Name"",""Advanced Paper Co."",""Transaction Description"",""COGS"",""Transaction Date"",""1/1/2014"""</f>
        <v>"GP Direct","Fabrikam, Inc.","Jet GL Transactions","Account Index","137","Credit Amount","0.00000","Document Number","SLS13012","Debit Amount","4991.88000","Vendor Name","Advanced Paper Co.","Transaction Description","COGS","Transaction Date","1/1/2014"</v>
      </c>
      <c r="F517" s="4">
        <v>4991.88</v>
      </c>
      <c r="G517" s="4">
        <v>0</v>
      </c>
      <c r="J517" s="31">
        <f t="shared" si="99"/>
        <v>4991.88</v>
      </c>
      <c r="K517" s="32" t="str">
        <f t="shared" si="100"/>
        <v>COGS</v>
      </c>
      <c r="L517" s="32" t="str">
        <f>"SLS13012"</f>
        <v>SLS13012</v>
      </c>
      <c r="M517" s="33">
        <v>41640</v>
      </c>
      <c r="N517" s="31"/>
      <c r="R517" s="2">
        <f t="shared" si="98"/>
        <v>56</v>
      </c>
    </row>
    <row r="518" spans="1:18" hidden="1" outlineLevel="1" x14ac:dyDescent="0.2">
      <c r="A518" s="30" t="s">
        <v>53</v>
      </c>
      <c r="C518" s="18"/>
      <c r="D518" s="4"/>
      <c r="E518" s="19" t="str">
        <f>"""GP Direct"",""Fabrikam, Inc."",""Jet GL Transactions"",""Account Index"",""137"",""Credit Amount"",""0.00000"",""Document Number"",""SLS13015"",""Debit Amount"",""2545.94000"",""Vendor Name"",""Adam Park Resort"",""Transaction Description"",""COGS"",""Transaction Date"",""1/1/2014"""</f>
        <v>"GP Direct","Fabrikam, Inc.","Jet GL Transactions","Account Index","137","Credit Amount","0.00000","Document Number","SLS13015","Debit Amount","2545.94000","Vendor Name","Adam Park Resort","Transaction Description","COGS","Transaction Date","1/1/2014"</v>
      </c>
      <c r="F518" s="4">
        <v>2545.94</v>
      </c>
      <c r="G518" s="4">
        <v>0</v>
      </c>
      <c r="J518" s="31">
        <f t="shared" si="99"/>
        <v>2545.94</v>
      </c>
      <c r="K518" s="32" t="str">
        <f t="shared" si="100"/>
        <v>COGS</v>
      </c>
      <c r="L518" s="32" t="str">
        <f>"SLS13015"</f>
        <v>SLS13015</v>
      </c>
      <c r="M518" s="33">
        <v>41640</v>
      </c>
      <c r="N518" s="31"/>
      <c r="R518" s="2">
        <f t="shared" si="98"/>
        <v>57</v>
      </c>
    </row>
    <row r="519" spans="1:18" hidden="1" outlineLevel="1" x14ac:dyDescent="0.2">
      <c r="A519" s="30" t="s">
        <v>53</v>
      </c>
      <c r="C519" s="18"/>
      <c r="D519" s="4"/>
      <c r="E519" s="19" t="str">
        <f>"""GP Direct"",""Fabrikam, Inc."",""Jet GL Transactions"",""Account Index"",""137"",""Credit Amount"",""0.00000"",""Document Number"",""SLS13072"",""Debit Amount"",""1527.27000"",""Vendor Name"",""Communication Connections"",""Transaction Description"",""COGS"",""Transaction Date"",""1/1/"&amp;"2014"""</f>
        <v>"GP Direct","Fabrikam, Inc.","Jet GL Transactions","Account Index","137","Credit Amount","0.00000","Document Number","SLS13072","Debit Amount","1527.27000","Vendor Name","Communication Connections","Transaction Description","COGS","Transaction Date","1/1/2014"</v>
      </c>
      <c r="F519" s="4">
        <v>1527.27</v>
      </c>
      <c r="G519" s="4">
        <v>0</v>
      </c>
      <c r="J519" s="31">
        <f t="shared" si="99"/>
        <v>1527.27</v>
      </c>
      <c r="K519" s="32" t="str">
        <f t="shared" si="100"/>
        <v>COGS</v>
      </c>
      <c r="L519" s="32" t="str">
        <f>"SLS13072"</f>
        <v>SLS13072</v>
      </c>
      <c r="M519" s="33">
        <v>41640</v>
      </c>
      <c r="N519" s="31"/>
      <c r="R519" s="2">
        <f t="shared" si="98"/>
        <v>58</v>
      </c>
    </row>
    <row r="520" spans="1:18" hidden="1" outlineLevel="1" x14ac:dyDescent="0.2">
      <c r="A520" s="30" t="s">
        <v>53</v>
      </c>
      <c r="C520" s="18"/>
      <c r="D520" s="4"/>
      <c r="E520" s="19" t="str">
        <f>"""GP Direct"",""Fabrikam, Inc."",""Jet GL Transactions"",""Account Index"",""137"",""Credit Amount"",""0.00000"",""Document Number"",""SLS13080"",""Debit Amount"",""2748.47000"",""Vendor Name"",""Office Design Systems Ltd"",""Transaction Description"",""COGS"",""Transaction Date"",""1/1/"&amp;"2014"""</f>
        <v>"GP Direct","Fabrikam, Inc.","Jet GL Transactions","Account Index","137","Credit Amount","0.00000","Document Number","SLS13080","Debit Amount","2748.47000","Vendor Name","Office Design Systems Ltd","Transaction Description","COGS","Transaction Date","1/1/2014"</v>
      </c>
      <c r="F520" s="4">
        <v>2748.47</v>
      </c>
      <c r="G520" s="4">
        <v>0</v>
      </c>
      <c r="J520" s="31">
        <f t="shared" si="99"/>
        <v>2748.47</v>
      </c>
      <c r="K520" s="32" t="str">
        <f t="shared" si="100"/>
        <v>COGS</v>
      </c>
      <c r="L520" s="32" t="str">
        <f>"SLS13080"</f>
        <v>SLS13080</v>
      </c>
      <c r="M520" s="33">
        <v>41640</v>
      </c>
      <c r="N520" s="31"/>
      <c r="R520" s="2">
        <f t="shared" si="98"/>
        <v>59</v>
      </c>
    </row>
    <row r="521" spans="1:18" hidden="1" outlineLevel="1" x14ac:dyDescent="0.2">
      <c r="A521" s="30" t="s">
        <v>53</v>
      </c>
      <c r="C521" s="18"/>
      <c r="D521" s="4"/>
      <c r="E521" s="19" t="str">
        <f>"""GP Direct"",""Fabrikam, Inc."",""Jet GL Transactions"",""Account Index"",""137"",""Credit Amount"",""0.00000"",""Document Number"",""SLS13092"",""Debit Amount"",""3027.97000"",""Vendor Name"",""St. Patrick's Hospital"",""Transaction Description"",""COGS"",""Transaction Date"",""1/1/201"&amp;"4"""</f>
        <v>"GP Direct","Fabrikam, Inc.","Jet GL Transactions","Account Index","137","Credit Amount","0.00000","Document Number","SLS13092","Debit Amount","3027.97000","Vendor Name","St. Patrick's Hospital","Transaction Description","COGS","Transaction Date","1/1/2014"</v>
      </c>
      <c r="F521" s="4">
        <v>3027.97</v>
      </c>
      <c r="G521" s="4">
        <v>0</v>
      </c>
      <c r="J521" s="31">
        <f t="shared" si="99"/>
        <v>3027.97</v>
      </c>
      <c r="K521" s="32" t="str">
        <f t="shared" si="100"/>
        <v>COGS</v>
      </c>
      <c r="L521" s="32" t="str">
        <f>"SLS13092"</f>
        <v>SLS13092</v>
      </c>
      <c r="M521" s="33">
        <v>41640</v>
      </c>
      <c r="N521" s="31"/>
      <c r="R521" s="2">
        <f t="shared" si="98"/>
        <v>60</v>
      </c>
    </row>
    <row r="522" spans="1:18" hidden="1" outlineLevel="1" x14ac:dyDescent="0.2">
      <c r="A522" s="30" t="s">
        <v>53</v>
      </c>
      <c r="C522" s="18"/>
      <c r="D522" s="4"/>
      <c r="E522" s="19" t="str">
        <f>"""GP Direct"",""Fabrikam, Inc."",""Jet GL Transactions"",""Account Index"",""137"",""Credit Amount"",""0.00000"",""Document Number"",""SLS14002"",""Debit Amount"",""7270.94000"",""Vendor Name"",""American Science Museum"",""Transaction Description"",""COGS"",""Transaction Date"",""1/1/20"&amp;"14"""</f>
        <v>"GP Direct","Fabrikam, Inc.","Jet GL Transactions","Account Index","137","Credit Amount","0.00000","Document Number","SLS14002","Debit Amount","7270.94000","Vendor Name","American Science Museum","Transaction Description","COGS","Transaction Date","1/1/2014"</v>
      </c>
      <c r="F522" s="4">
        <v>7270.94</v>
      </c>
      <c r="G522" s="4">
        <v>0</v>
      </c>
      <c r="J522" s="31">
        <f t="shared" si="99"/>
        <v>7270.94</v>
      </c>
      <c r="K522" s="32" t="str">
        <f t="shared" si="100"/>
        <v>COGS</v>
      </c>
      <c r="L522" s="32" t="str">
        <f>"SLS14002"</f>
        <v>SLS14002</v>
      </c>
      <c r="M522" s="33">
        <v>41640</v>
      </c>
      <c r="N522" s="31"/>
      <c r="R522" s="2">
        <f t="shared" si="98"/>
        <v>61</v>
      </c>
    </row>
    <row r="523" spans="1:18" hidden="1" outlineLevel="1" x14ac:dyDescent="0.2">
      <c r="A523" s="30" t="s">
        <v>53</v>
      </c>
      <c r="C523" s="18"/>
      <c r="D523" s="4"/>
      <c r="E523" s="19" t="str">
        <f>"""GP Direct"",""Fabrikam, Inc."",""Jet GL Transactions"",""Account Index"",""137"",""Credit Amount"",""0.00000"",""Document Number"",""SLS14012"",""Debit Amount"",""4183.74000"",""Vendor Name"",""Astor Suites"",""Transaction Description"",""COGS"",""Transaction Date"",""1/1/2014"""</f>
        <v>"GP Direct","Fabrikam, Inc.","Jet GL Transactions","Account Index","137","Credit Amount","0.00000","Document Number","SLS14012","Debit Amount","4183.74000","Vendor Name","Astor Suites","Transaction Description","COGS","Transaction Date","1/1/2014"</v>
      </c>
      <c r="F523" s="4">
        <v>4183.74</v>
      </c>
      <c r="G523" s="4">
        <v>0</v>
      </c>
      <c r="J523" s="31">
        <f t="shared" si="99"/>
        <v>4183.74</v>
      </c>
      <c r="K523" s="32" t="str">
        <f t="shared" si="100"/>
        <v>COGS</v>
      </c>
      <c r="L523" s="32" t="str">
        <f>"SLS14012"</f>
        <v>SLS14012</v>
      </c>
      <c r="M523" s="33">
        <v>41640</v>
      </c>
      <c r="N523" s="31"/>
      <c r="R523" s="2">
        <f t="shared" si="98"/>
        <v>62</v>
      </c>
    </row>
    <row r="524" spans="1:18" hidden="1" outlineLevel="1" x14ac:dyDescent="0.2">
      <c r="A524" s="30" t="s">
        <v>53</v>
      </c>
      <c r="C524" s="18"/>
      <c r="D524" s="4"/>
      <c r="E524" s="19" t="str">
        <f>"""GP Direct"",""Fabrikam, Inc."",""Jet GL Transactions"",""Account Index"",""137"",""Credit Amount"",""0.00000"",""Document Number"",""SLS14021"",""Debit Amount"",""4483.34000"",""Vendor Name"",""Comtel-Page Inc."",""Transaction Description"",""COGS"",""Transaction Date"",""1/1/2014"""</f>
        <v>"GP Direct","Fabrikam, Inc.","Jet GL Transactions","Account Index","137","Credit Amount","0.00000","Document Number","SLS14021","Debit Amount","4483.34000","Vendor Name","Comtel-Page Inc.","Transaction Description","COGS","Transaction Date","1/1/2014"</v>
      </c>
      <c r="F524" s="4">
        <v>4483.34</v>
      </c>
      <c r="G524" s="4">
        <v>0</v>
      </c>
      <c r="J524" s="31">
        <f t="shared" si="99"/>
        <v>4483.34</v>
      </c>
      <c r="K524" s="32" t="str">
        <f t="shared" si="100"/>
        <v>COGS</v>
      </c>
      <c r="L524" s="32" t="str">
        <f>"SLS14021"</f>
        <v>SLS14021</v>
      </c>
      <c r="M524" s="33">
        <v>41640</v>
      </c>
      <c r="N524" s="31"/>
      <c r="R524" s="2">
        <f t="shared" si="98"/>
        <v>63</v>
      </c>
    </row>
    <row r="525" spans="1:18" hidden="1" outlineLevel="1" x14ac:dyDescent="0.2">
      <c r="A525" s="30" t="s">
        <v>53</v>
      </c>
      <c r="C525" s="18"/>
      <c r="D525" s="4"/>
      <c r="E525" s="19" t="str">
        <f>"""GP Direct"",""Fabrikam, Inc."",""Jet GL Transactions"",""Account Index"",""137"",""Credit Amount"",""0.00000"",""Document Number"",""SLS14023"",""Debit Amount"",""3040.22000"",""Vendor Name"",""Comtel-Page Inc."",""Transaction Description"",""COGS"",""Transaction Date"",""1/1/2014"""</f>
        <v>"GP Direct","Fabrikam, Inc.","Jet GL Transactions","Account Index","137","Credit Amount","0.00000","Document Number","SLS14023","Debit Amount","3040.22000","Vendor Name","Comtel-Page Inc.","Transaction Description","COGS","Transaction Date","1/1/2014"</v>
      </c>
      <c r="F525" s="4">
        <v>3040.22</v>
      </c>
      <c r="G525" s="4">
        <v>0</v>
      </c>
      <c r="J525" s="31">
        <f t="shared" si="99"/>
        <v>3040.22</v>
      </c>
      <c r="K525" s="32" t="str">
        <f t="shared" si="100"/>
        <v>COGS</v>
      </c>
      <c r="L525" s="32" t="str">
        <f>"SLS14023"</f>
        <v>SLS14023</v>
      </c>
      <c r="M525" s="33">
        <v>41640</v>
      </c>
      <c r="N525" s="31"/>
      <c r="R525" s="2">
        <f t="shared" si="98"/>
        <v>64</v>
      </c>
    </row>
    <row r="526" spans="1:18" hidden="1" outlineLevel="1" x14ac:dyDescent="0.2">
      <c r="A526" s="30" t="s">
        <v>53</v>
      </c>
      <c r="C526" s="18"/>
      <c r="D526" s="4"/>
      <c r="E526" s="19" t="str">
        <f>"""GP Direct"",""Fabrikam, Inc."",""Jet GL Transactions"",""Account Index"",""137"",""Credit Amount"",""0.00000"",""Document Number"",""SLS14031"",""Debit Amount"",""4656.49000"",""Vendor Name"",""Laser Messenger Service"",""Transaction Description"",""COGS"",""Transaction Date"",""1/1/20"&amp;"14"""</f>
        <v>"GP Direct","Fabrikam, Inc.","Jet GL Transactions","Account Index","137","Credit Amount","0.00000","Document Number","SLS14031","Debit Amount","4656.49000","Vendor Name","Laser Messenger Service","Transaction Description","COGS","Transaction Date","1/1/2014"</v>
      </c>
      <c r="F526" s="4">
        <v>4656.49</v>
      </c>
      <c r="G526" s="4">
        <v>0</v>
      </c>
      <c r="J526" s="31">
        <f t="shared" ref="J526:J557" si="101">IF(AND(F526="",G526=""),"",$F526-$G526)</f>
        <v>4656.49</v>
      </c>
      <c r="K526" s="32" t="str">
        <f t="shared" ref="K526:K557" si="102">"COGS"</f>
        <v>COGS</v>
      </c>
      <c r="L526" s="32" t="str">
        <f>"SLS14031"</f>
        <v>SLS14031</v>
      </c>
      <c r="M526" s="33">
        <v>41640</v>
      </c>
      <c r="N526" s="31"/>
      <c r="R526" s="2">
        <f t="shared" si="98"/>
        <v>65</v>
      </c>
    </row>
    <row r="527" spans="1:18" hidden="1" outlineLevel="1" x14ac:dyDescent="0.2">
      <c r="A527" s="30" t="s">
        <v>53</v>
      </c>
      <c r="C527" s="18"/>
      <c r="D527" s="4"/>
      <c r="E527" s="19" t="str">
        <f>"""GP Direct"",""Fabrikam, Inc."",""Jet GL Transactions"",""Account Index"",""137"",""Credit Amount"",""0.00000"",""Document Number"",""SLS14062"",""Debit Amount"",""3518.77000"",""Vendor Name"",""Novia Scotia Tech. Institute"",""Transaction Description"",""COGS"",""Transaction Date"",""1"&amp;"/1/2014"""</f>
        <v>"GP Direct","Fabrikam, Inc.","Jet GL Transactions","Account Index","137","Credit Amount","0.00000","Document Number","SLS14062","Debit Amount","3518.77000","Vendor Name","Novia Scotia Tech. Institute","Transaction Description","COGS","Transaction Date","1/1/2014"</v>
      </c>
      <c r="F527" s="4">
        <v>3518.77</v>
      </c>
      <c r="G527" s="4">
        <v>0</v>
      </c>
      <c r="J527" s="31">
        <f t="shared" si="101"/>
        <v>3518.77</v>
      </c>
      <c r="K527" s="32" t="str">
        <f t="shared" si="102"/>
        <v>COGS</v>
      </c>
      <c r="L527" s="32" t="str">
        <f>"SLS14062"</f>
        <v>SLS14062</v>
      </c>
      <c r="M527" s="33">
        <v>41640</v>
      </c>
      <c r="N527" s="31"/>
      <c r="R527" s="2">
        <f t="shared" ref="R527:R590" si="103">R526+1</f>
        <v>66</v>
      </c>
    </row>
    <row r="528" spans="1:18" hidden="1" outlineLevel="1" x14ac:dyDescent="0.2">
      <c r="A528" s="30" t="s">
        <v>53</v>
      </c>
      <c r="C528" s="18"/>
      <c r="D528" s="4"/>
      <c r="E528" s="19" t="str">
        <f>"""GP Direct"",""Fabrikam, Inc."",""Jet GL Transactions"",""Account Index"",""137"",""Credit Amount"",""0.00000"",""Document Number"",""SLS14070"",""Debit Amount"",""8547.21000"",""Vendor Name"",""World Enterprises"",""Transaction Description"",""COGS"",""Transaction Date"",""1/1/2014"""</f>
        <v>"GP Direct","Fabrikam, Inc.","Jet GL Transactions","Account Index","137","Credit Amount","0.00000","Document Number","SLS14070","Debit Amount","8547.21000","Vendor Name","World Enterprises","Transaction Description","COGS","Transaction Date","1/1/2014"</v>
      </c>
      <c r="F528" s="4">
        <v>8547.2099999999991</v>
      </c>
      <c r="G528" s="4">
        <v>0</v>
      </c>
      <c r="J528" s="31">
        <f t="shared" si="101"/>
        <v>8547.2099999999991</v>
      </c>
      <c r="K528" s="32" t="str">
        <f t="shared" si="102"/>
        <v>COGS</v>
      </c>
      <c r="L528" s="32" t="str">
        <f>"SLS14070"</f>
        <v>SLS14070</v>
      </c>
      <c r="M528" s="33">
        <v>41640</v>
      </c>
      <c r="N528" s="31"/>
      <c r="R528" s="2">
        <f t="shared" si="103"/>
        <v>67</v>
      </c>
    </row>
    <row r="529" spans="1:18" hidden="1" outlineLevel="1" x14ac:dyDescent="0.2">
      <c r="A529" s="30" t="s">
        <v>53</v>
      </c>
      <c r="C529" s="18"/>
      <c r="D529" s="4"/>
      <c r="E529" s="19" t="str">
        <f>"""GP Direct"",""Fabrikam, Inc."",""Jet GL Transactions"",""Account Index"",""137"",""Credit Amount"",""0.00000"",""Document Number"",""SLS14072"",""Debit Amount"",""7397.28000"",""Vendor Name"",""Rosellen General Hospital"",""Transaction Description"",""COGS"",""Transaction Date"",""1/1/"&amp;"2014"""</f>
        <v>"GP Direct","Fabrikam, Inc.","Jet GL Transactions","Account Index","137","Credit Amount","0.00000","Document Number","SLS14072","Debit Amount","7397.28000","Vendor Name","Rosellen General Hospital","Transaction Description","COGS","Transaction Date","1/1/2014"</v>
      </c>
      <c r="F529" s="4">
        <v>7397.28</v>
      </c>
      <c r="G529" s="4">
        <v>0</v>
      </c>
      <c r="J529" s="31">
        <f t="shared" si="101"/>
        <v>7397.28</v>
      </c>
      <c r="K529" s="32" t="str">
        <f t="shared" si="102"/>
        <v>COGS</v>
      </c>
      <c r="L529" s="32" t="str">
        <f>"SLS14072"</f>
        <v>SLS14072</v>
      </c>
      <c r="M529" s="33">
        <v>41640</v>
      </c>
      <c r="N529" s="31"/>
      <c r="R529" s="2">
        <f t="shared" si="103"/>
        <v>68</v>
      </c>
    </row>
    <row r="530" spans="1:18" hidden="1" outlineLevel="1" x14ac:dyDescent="0.2">
      <c r="A530" s="30" t="s">
        <v>53</v>
      </c>
      <c r="C530" s="18"/>
      <c r="D530" s="4"/>
      <c r="E530" s="19" t="str">
        <f>"""GP Direct"",""Fabrikam, Inc."",""Jet GL Transactions"",""Account Index"",""137"",""Credit Amount"",""0.00000"",""Document Number"",""SLS14081"",""Debit Amount"",""1503.34000"",""Vendor Name"",""Communication Connections"",""Transaction Description"",""COGS"",""Transaction Date"",""1/1/"&amp;"2014"""</f>
        <v>"GP Direct","Fabrikam, Inc.","Jet GL Transactions","Account Index","137","Credit Amount","0.00000","Document Number","SLS14081","Debit Amount","1503.34000","Vendor Name","Communication Connections","Transaction Description","COGS","Transaction Date","1/1/2014"</v>
      </c>
      <c r="F530" s="4">
        <v>1503.34</v>
      </c>
      <c r="G530" s="4">
        <v>0</v>
      </c>
      <c r="J530" s="31">
        <f t="shared" si="101"/>
        <v>1503.34</v>
      </c>
      <c r="K530" s="32" t="str">
        <f t="shared" si="102"/>
        <v>COGS</v>
      </c>
      <c r="L530" s="32" t="str">
        <f>"SLS14081"</f>
        <v>SLS14081</v>
      </c>
      <c r="M530" s="33">
        <v>41640</v>
      </c>
      <c r="N530" s="31"/>
      <c r="R530" s="2">
        <f t="shared" si="103"/>
        <v>69</v>
      </c>
    </row>
    <row r="531" spans="1:18" hidden="1" outlineLevel="1" x14ac:dyDescent="0.2">
      <c r="A531" s="30" t="s">
        <v>53</v>
      </c>
      <c r="C531" s="18"/>
      <c r="D531" s="4"/>
      <c r="E531" s="19" t="str">
        <f>"""GP Direct"",""Fabrikam, Inc."",""Jet GL Transactions"",""Account Index"",""137"",""Credit Amount"",""0.00000"",""Document Number"",""SLS14091"",""Debit Amount"",""3173.10000"",""Vendor Name"",""Computer Equipment Leasing"",""Transaction Description"",""COGS"",""Transaction Date"",""1/1"&amp;"/2014"""</f>
        <v>"GP Direct","Fabrikam, Inc.","Jet GL Transactions","Account Index","137","Credit Amount","0.00000","Document Number","SLS14091","Debit Amount","3173.10000","Vendor Name","Computer Equipment Leasing","Transaction Description","COGS","Transaction Date","1/1/2014"</v>
      </c>
      <c r="F531" s="4">
        <v>3173.1</v>
      </c>
      <c r="G531" s="4">
        <v>0</v>
      </c>
      <c r="J531" s="31">
        <f t="shared" si="101"/>
        <v>3173.1</v>
      </c>
      <c r="K531" s="32" t="str">
        <f t="shared" si="102"/>
        <v>COGS</v>
      </c>
      <c r="L531" s="32" t="str">
        <f>"SLS14091"</f>
        <v>SLS14091</v>
      </c>
      <c r="M531" s="33">
        <v>41640</v>
      </c>
      <c r="N531" s="31"/>
      <c r="R531" s="2">
        <f t="shared" si="103"/>
        <v>70</v>
      </c>
    </row>
    <row r="532" spans="1:18" hidden="1" outlineLevel="1" x14ac:dyDescent="0.2">
      <c r="A532" s="30" t="s">
        <v>53</v>
      </c>
      <c r="C532" s="18"/>
      <c r="D532" s="4"/>
      <c r="E532" s="19" t="str">
        <f>"""GP Direct"",""Fabrikam, Inc."",""Jet GL Transactions"",""Account Index"",""137"",""Credit Amount"",""0.00000"",""Document Number"",""SLS14095"",""Debit Amount"",""1624.35000"",""Vendor Name"",""Computer Equipment Leasing"",""Transaction Description"",""COGS"",""Transaction Date"",""1/1"&amp;"/2014"""</f>
        <v>"GP Direct","Fabrikam, Inc.","Jet GL Transactions","Account Index","137","Credit Amount","0.00000","Document Number","SLS14095","Debit Amount","1624.35000","Vendor Name","Computer Equipment Leasing","Transaction Description","COGS","Transaction Date","1/1/2014"</v>
      </c>
      <c r="F532" s="4">
        <v>1624.35</v>
      </c>
      <c r="G532" s="4">
        <v>0</v>
      </c>
      <c r="J532" s="31">
        <f t="shared" si="101"/>
        <v>1624.35</v>
      </c>
      <c r="K532" s="32" t="str">
        <f t="shared" si="102"/>
        <v>COGS</v>
      </c>
      <c r="L532" s="32" t="str">
        <f>"SLS14095"</f>
        <v>SLS14095</v>
      </c>
      <c r="M532" s="33">
        <v>41640</v>
      </c>
      <c r="N532" s="31"/>
      <c r="R532" s="2">
        <f t="shared" si="103"/>
        <v>71</v>
      </c>
    </row>
    <row r="533" spans="1:18" hidden="1" outlineLevel="1" x14ac:dyDescent="0.2">
      <c r="A533" s="30" t="s">
        <v>53</v>
      </c>
      <c r="C533" s="18"/>
      <c r="D533" s="4"/>
      <c r="E533" s="19" t="str">
        <f>"""GP Direct"",""Fabrikam, Inc."",""Jet GL Transactions"",""Account Index"",""137"",""Credit Amount"",""0.00000"",""Document Number"",""SLS15012"",""Debit Amount"",""989.64000"",""Vendor Name"",""Home Furnishings Limited"",""Transaction Description"",""COGS"",""Transaction Date"",""1/1/20"&amp;"14"""</f>
        <v>"GP Direct","Fabrikam, Inc.","Jet GL Transactions","Account Index","137","Credit Amount","0.00000","Document Number","SLS15012","Debit Amount","989.64000","Vendor Name","Home Furnishings Limited","Transaction Description","COGS","Transaction Date","1/1/2014"</v>
      </c>
      <c r="F533" s="4">
        <v>989.64</v>
      </c>
      <c r="G533" s="4">
        <v>0</v>
      </c>
      <c r="J533" s="31">
        <f t="shared" si="101"/>
        <v>989.64</v>
      </c>
      <c r="K533" s="32" t="str">
        <f t="shared" si="102"/>
        <v>COGS</v>
      </c>
      <c r="L533" s="32" t="str">
        <f>"SLS15012"</f>
        <v>SLS15012</v>
      </c>
      <c r="M533" s="33">
        <v>41640</v>
      </c>
      <c r="N533" s="31"/>
      <c r="R533" s="2">
        <f t="shared" si="103"/>
        <v>72</v>
      </c>
    </row>
    <row r="534" spans="1:18" hidden="1" outlineLevel="1" x14ac:dyDescent="0.2">
      <c r="A534" s="30" t="s">
        <v>53</v>
      </c>
      <c r="C534" s="18"/>
      <c r="D534" s="4"/>
      <c r="E534" s="19" t="str">
        <f>"""GP Direct"",""Fabrikam, Inc."",""Jet GL Transactions"",""Account Index"",""137"",""Credit Amount"",""0.00000"",""Document Number"",""SLS15014"",""Debit Amount"",""3968.73000"",""Vendor Name"",""Cellular Express"",""Transaction Description"",""COGS"",""Transaction Date"",""1/1/2014"""</f>
        <v>"GP Direct","Fabrikam, Inc.","Jet GL Transactions","Account Index","137","Credit Amount","0.00000","Document Number","SLS15014","Debit Amount","3968.73000","Vendor Name","Cellular Express","Transaction Description","COGS","Transaction Date","1/1/2014"</v>
      </c>
      <c r="F534" s="4">
        <v>3968.73</v>
      </c>
      <c r="G534" s="4">
        <v>0</v>
      </c>
      <c r="J534" s="31">
        <f t="shared" si="101"/>
        <v>3968.73</v>
      </c>
      <c r="K534" s="32" t="str">
        <f t="shared" si="102"/>
        <v>COGS</v>
      </c>
      <c r="L534" s="32" t="str">
        <f>"SLS15014"</f>
        <v>SLS15014</v>
      </c>
      <c r="M534" s="33">
        <v>41640</v>
      </c>
      <c r="N534" s="31"/>
      <c r="R534" s="2">
        <f t="shared" si="103"/>
        <v>73</v>
      </c>
    </row>
    <row r="535" spans="1:18" hidden="1" outlineLevel="1" x14ac:dyDescent="0.2">
      <c r="A535" s="30" t="s">
        <v>53</v>
      </c>
      <c r="C535" s="18"/>
      <c r="D535" s="4"/>
      <c r="E535" s="19" t="str">
        <f>"""GP Direct"",""Fabrikam, Inc."",""Jet GL Transactions"",""Account Index"",""137"",""Credit Amount"",""0.00000"",""Document Number"",""SLS15020"",""Debit Amount"",""3737.68000"",""Vendor Name"",""Comtel-Page Inc."",""Transaction Description"",""COGS"",""Transaction Date"",""1/1/2014"""</f>
        <v>"GP Direct","Fabrikam, Inc.","Jet GL Transactions","Account Index","137","Credit Amount","0.00000","Document Number","SLS15020","Debit Amount","3737.68000","Vendor Name","Comtel-Page Inc.","Transaction Description","COGS","Transaction Date","1/1/2014"</v>
      </c>
      <c r="F535" s="4">
        <v>3737.68</v>
      </c>
      <c r="G535" s="4">
        <v>0</v>
      </c>
      <c r="J535" s="31">
        <f t="shared" si="101"/>
        <v>3737.68</v>
      </c>
      <c r="K535" s="32" t="str">
        <f t="shared" si="102"/>
        <v>COGS</v>
      </c>
      <c r="L535" s="32" t="str">
        <f>"SLS15020"</f>
        <v>SLS15020</v>
      </c>
      <c r="M535" s="33">
        <v>41640</v>
      </c>
      <c r="N535" s="31"/>
      <c r="R535" s="2">
        <f t="shared" si="103"/>
        <v>74</v>
      </c>
    </row>
    <row r="536" spans="1:18" hidden="1" outlineLevel="1" x14ac:dyDescent="0.2">
      <c r="A536" s="30" t="s">
        <v>53</v>
      </c>
      <c r="C536" s="18"/>
      <c r="D536" s="4"/>
      <c r="E536" s="19" t="str">
        <f>"""GP Direct"",""Fabrikam, Inc."",""Jet GL Transactions"",""Account Index"",""137"",""Credit Amount"",""0.00000"",""Document Number"",""SLS15060"",""Debit Amount"",""6345.73000"",""Vendor Name"",""Dollis Cove Resort"",""Transaction Description"",""COGS"",""Transaction Date"",""1/1/2014"""</f>
        <v>"GP Direct","Fabrikam, Inc.","Jet GL Transactions","Account Index","137","Credit Amount","0.00000","Document Number","SLS15060","Debit Amount","6345.73000","Vendor Name","Dollis Cove Resort","Transaction Description","COGS","Transaction Date","1/1/2014"</v>
      </c>
      <c r="F536" s="4">
        <v>6345.73</v>
      </c>
      <c r="G536" s="4">
        <v>0</v>
      </c>
      <c r="J536" s="31">
        <f t="shared" si="101"/>
        <v>6345.73</v>
      </c>
      <c r="K536" s="32" t="str">
        <f t="shared" si="102"/>
        <v>COGS</v>
      </c>
      <c r="L536" s="32" t="str">
        <f>"SLS15060"</f>
        <v>SLS15060</v>
      </c>
      <c r="M536" s="33">
        <v>41640</v>
      </c>
      <c r="N536" s="31"/>
      <c r="R536" s="2">
        <f t="shared" si="103"/>
        <v>75</v>
      </c>
    </row>
    <row r="537" spans="1:18" hidden="1" outlineLevel="1" x14ac:dyDescent="0.2">
      <c r="A537" s="30" t="s">
        <v>53</v>
      </c>
      <c r="C537" s="18"/>
      <c r="D537" s="4"/>
      <c r="E537" s="19" t="str">
        <f>"""GP Direct"",""Fabrikam, Inc."",""Jet GL Transactions"",""Account Index"",""137"",""Credit Amount"",""0.00000"",""Document Number"",""SLS15063"",""Debit Amount"",""4451.34000"",""Vendor Name"",""Dollis Cove Resort"",""Transaction Description"",""COGS"",""Transaction Date"",""1/1/2014"""</f>
        <v>"GP Direct","Fabrikam, Inc.","Jet GL Transactions","Account Index","137","Credit Amount","0.00000","Document Number","SLS15063","Debit Amount","4451.34000","Vendor Name","Dollis Cove Resort","Transaction Description","COGS","Transaction Date","1/1/2014"</v>
      </c>
      <c r="F537" s="4">
        <v>4451.34</v>
      </c>
      <c r="G537" s="4">
        <v>0</v>
      </c>
      <c r="J537" s="31">
        <f t="shared" si="101"/>
        <v>4451.34</v>
      </c>
      <c r="K537" s="32" t="str">
        <f t="shared" si="102"/>
        <v>COGS</v>
      </c>
      <c r="L537" s="32" t="str">
        <f>"SLS15063"</f>
        <v>SLS15063</v>
      </c>
      <c r="M537" s="33">
        <v>41640</v>
      </c>
      <c r="N537" s="31"/>
      <c r="R537" s="2">
        <f t="shared" si="103"/>
        <v>76</v>
      </c>
    </row>
    <row r="538" spans="1:18" hidden="1" outlineLevel="1" x14ac:dyDescent="0.2">
      <c r="A538" s="30" t="s">
        <v>53</v>
      </c>
      <c r="C538" s="18"/>
      <c r="D538" s="4"/>
      <c r="E538" s="19" t="str">
        <f>"""GP Direct"",""Fabrikam, Inc."",""Jet GL Transactions"",""Account Index"",""137"",""Credit Amount"",""0.00000"",""Document Number"",""SLS15074"",""Debit Amount"",""3506.60000"",""Vendor Name"",""Vista Travel"",""Transaction Description"",""COGS"",""Transaction Date"",""1/1/2014"""</f>
        <v>"GP Direct","Fabrikam, Inc.","Jet GL Transactions","Account Index","137","Credit Amount","0.00000","Document Number","SLS15074","Debit Amount","3506.60000","Vendor Name","Vista Travel","Transaction Description","COGS","Transaction Date","1/1/2014"</v>
      </c>
      <c r="F538" s="4">
        <v>3506.6</v>
      </c>
      <c r="G538" s="4">
        <v>0</v>
      </c>
      <c r="J538" s="31">
        <f t="shared" si="101"/>
        <v>3506.6</v>
      </c>
      <c r="K538" s="32" t="str">
        <f t="shared" si="102"/>
        <v>COGS</v>
      </c>
      <c r="L538" s="32" t="str">
        <f>"SLS15074"</f>
        <v>SLS15074</v>
      </c>
      <c r="M538" s="33">
        <v>41640</v>
      </c>
      <c r="N538" s="31"/>
      <c r="R538" s="2">
        <f t="shared" si="103"/>
        <v>77</v>
      </c>
    </row>
    <row r="539" spans="1:18" hidden="1" outlineLevel="1" x14ac:dyDescent="0.2">
      <c r="A539" s="30" t="s">
        <v>53</v>
      </c>
      <c r="C539" s="18"/>
      <c r="D539" s="4"/>
      <c r="E539" s="19" t="str">
        <f>"""GP Direct"",""Fabrikam, Inc."",""Jet GL Transactions"",""Account Index"",""137"",""Credit Amount"",""0.00000"",""Document Number"",""SLS15080"",""Debit Amount"",""1243.24000"",""Vendor Name"",""Riverside University"",""Transaction Description"",""COGS"",""Transaction Date"",""1/1/2014"""</f>
        <v>"GP Direct","Fabrikam, Inc.","Jet GL Transactions","Account Index","137","Credit Amount","0.00000","Document Number","SLS15080","Debit Amount","1243.24000","Vendor Name","Riverside University","Transaction Description","COGS","Transaction Date","1/1/2014"</v>
      </c>
      <c r="F539" s="4">
        <v>1243.24</v>
      </c>
      <c r="G539" s="4">
        <v>0</v>
      </c>
      <c r="J539" s="31">
        <f t="shared" si="101"/>
        <v>1243.24</v>
      </c>
      <c r="K539" s="32" t="str">
        <f t="shared" si="102"/>
        <v>COGS</v>
      </c>
      <c r="L539" s="32" t="str">
        <f>"SLS15080"</f>
        <v>SLS15080</v>
      </c>
      <c r="M539" s="33">
        <v>41640</v>
      </c>
      <c r="N539" s="31"/>
      <c r="R539" s="2">
        <f t="shared" si="103"/>
        <v>78</v>
      </c>
    </row>
    <row r="540" spans="1:18" hidden="1" outlineLevel="1" x14ac:dyDescent="0.2">
      <c r="A540" s="30" t="s">
        <v>53</v>
      </c>
      <c r="C540" s="18"/>
      <c r="D540" s="4"/>
      <c r="E540" s="19" t="str">
        <f>"""GP Direct"",""Fabrikam, Inc."",""Jet GL Transactions"",""Account Index"",""137"",""Credit Amount"",""0.00000"",""Document Number"",""SLS15093"",""Debit Amount"",""7588.13000"",""Vendor Name"",""Leisure &amp; Travel Consultants"",""Transaction Description"",""COGS"",""Transaction Date"",""1"&amp;"/1/2014"""</f>
        <v>"GP Direct","Fabrikam, Inc.","Jet GL Transactions","Account Index","137","Credit Amount","0.00000","Document Number","SLS15093","Debit Amount","7588.13000","Vendor Name","Leisure &amp; Travel Consultants","Transaction Description","COGS","Transaction Date","1/1/2014"</v>
      </c>
      <c r="F540" s="4">
        <v>7588.13</v>
      </c>
      <c r="G540" s="4">
        <v>0</v>
      </c>
      <c r="J540" s="31">
        <f t="shared" si="101"/>
        <v>7588.13</v>
      </c>
      <c r="K540" s="32" t="str">
        <f t="shared" si="102"/>
        <v>COGS</v>
      </c>
      <c r="L540" s="32" t="str">
        <f>"SLS15093"</f>
        <v>SLS15093</v>
      </c>
      <c r="M540" s="33">
        <v>41640</v>
      </c>
      <c r="N540" s="31"/>
      <c r="R540" s="2">
        <f t="shared" si="103"/>
        <v>79</v>
      </c>
    </row>
    <row r="541" spans="1:18" hidden="1" outlineLevel="1" x14ac:dyDescent="0.2">
      <c r="A541" s="30" t="s">
        <v>53</v>
      </c>
      <c r="C541" s="18"/>
      <c r="D541" s="4"/>
      <c r="E541" s="19" t="str">
        <f>"""GP Direct"",""Fabrikam, Inc."",""Jet GL Transactions"",""Account Index"",""137"",""Credit Amount"",""0.00000"",""Document Number"",""SLS15097"",""Debit Amount"",""5253.05000"",""Vendor Name"",""Leisure &amp; Travel Consultants"",""Transaction Description"",""COGS"",""Transaction Date"",""1"&amp;"/1/2014"""</f>
        <v>"GP Direct","Fabrikam, Inc.","Jet GL Transactions","Account Index","137","Credit Amount","0.00000","Document Number","SLS15097","Debit Amount","5253.05000","Vendor Name","Leisure &amp; Travel Consultants","Transaction Description","COGS","Transaction Date","1/1/2014"</v>
      </c>
      <c r="F541" s="4">
        <v>5253.05</v>
      </c>
      <c r="G541" s="4">
        <v>0</v>
      </c>
      <c r="J541" s="31">
        <f t="shared" si="101"/>
        <v>5253.05</v>
      </c>
      <c r="K541" s="32" t="str">
        <f t="shared" si="102"/>
        <v>COGS</v>
      </c>
      <c r="L541" s="32" t="str">
        <f>"SLS15097"</f>
        <v>SLS15097</v>
      </c>
      <c r="M541" s="33">
        <v>41640</v>
      </c>
      <c r="N541" s="31"/>
      <c r="R541" s="2">
        <f t="shared" si="103"/>
        <v>80</v>
      </c>
    </row>
    <row r="542" spans="1:18" hidden="1" outlineLevel="1" x14ac:dyDescent="0.2">
      <c r="A542" s="30" t="s">
        <v>53</v>
      </c>
      <c r="C542" s="18"/>
      <c r="D542" s="4"/>
      <c r="E542" s="19" t="str">
        <f>"""GP Direct"",""Fabrikam, Inc."",""Jet GL Transactions"",""Account Index"",""137"",""Credit Amount"",""0.00000"",""Document Number"",""SLS16082"",""Debit Amount"",""6032.11000"",""Vendor Name"",""Data Communications Inc."",""Transaction Description"",""COGS"",""Transaction Date"",""1/1/2"&amp;"014"""</f>
        <v>"GP Direct","Fabrikam, Inc.","Jet GL Transactions","Account Index","137","Credit Amount","0.00000","Document Number","SLS16082","Debit Amount","6032.11000","Vendor Name","Data Communications Inc.","Transaction Description","COGS","Transaction Date","1/1/2014"</v>
      </c>
      <c r="F542" s="4">
        <v>6032.11</v>
      </c>
      <c r="G542" s="4">
        <v>0</v>
      </c>
      <c r="J542" s="31">
        <f t="shared" si="101"/>
        <v>6032.11</v>
      </c>
      <c r="K542" s="32" t="str">
        <f t="shared" si="102"/>
        <v>COGS</v>
      </c>
      <c r="L542" s="32" t="str">
        <f>"SLS16082"</f>
        <v>SLS16082</v>
      </c>
      <c r="M542" s="33">
        <v>41640</v>
      </c>
      <c r="N542" s="31"/>
      <c r="R542" s="2">
        <f t="shared" si="103"/>
        <v>81</v>
      </c>
    </row>
    <row r="543" spans="1:18" hidden="1" outlineLevel="1" x14ac:dyDescent="0.2">
      <c r="A543" s="30" t="s">
        <v>53</v>
      </c>
      <c r="C543" s="18"/>
      <c r="D543" s="4"/>
      <c r="E543" s="19" t="str">
        <f>"""GP Direct"",""Fabrikam, Inc."",""Jet GL Transactions"",""Account Index"",""137"",""Credit Amount"",""0.00000"",""Document Number"",""SLS16090"",""Debit Amount"",""656.44000"",""Vendor Name"",""Executive Resources"",""Transaction Description"",""COGS"",""Transaction Date"",""1/1/2014"""</f>
        <v>"GP Direct","Fabrikam, Inc.","Jet GL Transactions","Account Index","137","Credit Amount","0.00000","Document Number","SLS16090","Debit Amount","656.44000","Vendor Name","Executive Resources","Transaction Description","COGS","Transaction Date","1/1/2014"</v>
      </c>
      <c r="F543" s="4">
        <v>656.44</v>
      </c>
      <c r="G543" s="4">
        <v>0</v>
      </c>
      <c r="J543" s="31">
        <f t="shared" si="101"/>
        <v>656.44</v>
      </c>
      <c r="K543" s="32" t="str">
        <f t="shared" si="102"/>
        <v>COGS</v>
      </c>
      <c r="L543" s="32" t="str">
        <f>"SLS16090"</f>
        <v>SLS16090</v>
      </c>
      <c r="M543" s="33">
        <v>41640</v>
      </c>
      <c r="N543" s="31"/>
      <c r="R543" s="2">
        <f t="shared" si="103"/>
        <v>82</v>
      </c>
    </row>
    <row r="544" spans="1:18" hidden="1" outlineLevel="1" x14ac:dyDescent="0.2">
      <c r="A544" s="30" t="s">
        <v>53</v>
      </c>
      <c r="C544" s="18"/>
      <c r="D544" s="4"/>
      <c r="E544" s="19" t="str">
        <f>"""GP Direct"",""Fabrikam, Inc."",""Jet GL Transactions"",""Account Index"",""137"",""Credit Amount"",""0.00000"",""Document Number"",""SLS17003"",""Debit Amount"",""483.87000"",""Vendor Name"",""Midland Construction"",""Transaction Description"",""COGS"",""Transaction Date"",""1/1/2014"""</f>
        <v>"GP Direct","Fabrikam, Inc.","Jet GL Transactions","Account Index","137","Credit Amount","0.00000","Document Number","SLS17003","Debit Amount","483.87000","Vendor Name","Midland Construction","Transaction Description","COGS","Transaction Date","1/1/2014"</v>
      </c>
      <c r="F544" s="4">
        <v>483.87</v>
      </c>
      <c r="G544" s="4">
        <v>0</v>
      </c>
      <c r="J544" s="31">
        <f t="shared" si="101"/>
        <v>483.87</v>
      </c>
      <c r="K544" s="32" t="str">
        <f t="shared" si="102"/>
        <v>COGS</v>
      </c>
      <c r="L544" s="32" t="str">
        <f>"SLS17003"</f>
        <v>SLS17003</v>
      </c>
      <c r="M544" s="33">
        <v>41640</v>
      </c>
      <c r="N544" s="31"/>
      <c r="R544" s="2">
        <f t="shared" si="103"/>
        <v>83</v>
      </c>
    </row>
    <row r="545" spans="1:18" hidden="1" outlineLevel="1" x14ac:dyDescent="0.2">
      <c r="A545" s="30" t="s">
        <v>53</v>
      </c>
      <c r="C545" s="18"/>
      <c r="D545" s="4"/>
      <c r="E545" s="19" t="str">
        <f>"""GP Direct"",""Fabrikam, Inc."",""Jet GL Transactions"",""Account Index"",""137"",""Credit Amount"",""0.00000"",""Document Number"",""SLS17020"",""Debit Amount"",""6451.66000"",""Vendor Name"",""Mutual of  Omaha"",""Transaction Description"",""COGS"",""Transaction Date"",""1/1/2014"""</f>
        <v>"GP Direct","Fabrikam, Inc.","Jet GL Transactions","Account Index","137","Credit Amount","0.00000","Document Number","SLS17020","Debit Amount","6451.66000","Vendor Name","Mutual of  Omaha","Transaction Description","COGS","Transaction Date","1/1/2014"</v>
      </c>
      <c r="F545" s="4">
        <v>6451.66</v>
      </c>
      <c r="G545" s="4">
        <v>0</v>
      </c>
      <c r="J545" s="31">
        <f t="shared" si="101"/>
        <v>6451.66</v>
      </c>
      <c r="K545" s="32" t="str">
        <f t="shared" si="102"/>
        <v>COGS</v>
      </c>
      <c r="L545" s="32" t="str">
        <f>"SLS17020"</f>
        <v>SLS17020</v>
      </c>
      <c r="M545" s="33">
        <v>41640</v>
      </c>
      <c r="N545" s="31"/>
      <c r="R545" s="2">
        <f t="shared" si="103"/>
        <v>84</v>
      </c>
    </row>
    <row r="546" spans="1:18" hidden="1" outlineLevel="1" x14ac:dyDescent="0.2">
      <c r="A546" s="30" t="s">
        <v>53</v>
      </c>
      <c r="C546" s="18"/>
      <c r="D546" s="4"/>
      <c r="E546" s="19" t="str">
        <f>"""GP Direct"",""Fabrikam, Inc."",""Jet GL Transactions"",""Account Index"",""137"",""Credit Amount"",""0.00000"",""Document Number"",""SLS17023"",""Debit Amount"",""4746.43000"",""Vendor Name"",""Mutual of  Omaha"",""Transaction Description"",""COGS"",""Transaction Date"",""1/1/2014"""</f>
        <v>"GP Direct","Fabrikam, Inc.","Jet GL Transactions","Account Index","137","Credit Amount","0.00000","Document Number","SLS17023","Debit Amount","4746.43000","Vendor Name","Mutual of  Omaha","Transaction Description","COGS","Transaction Date","1/1/2014"</v>
      </c>
      <c r="F546" s="4">
        <v>4746.43</v>
      </c>
      <c r="G546" s="4">
        <v>0</v>
      </c>
      <c r="J546" s="31">
        <f t="shared" si="101"/>
        <v>4746.43</v>
      </c>
      <c r="K546" s="32" t="str">
        <f t="shared" si="102"/>
        <v>COGS</v>
      </c>
      <c r="L546" s="32" t="str">
        <f>"SLS17023"</f>
        <v>SLS17023</v>
      </c>
      <c r="M546" s="33">
        <v>41640</v>
      </c>
      <c r="N546" s="31"/>
      <c r="R546" s="2">
        <f t="shared" si="103"/>
        <v>85</v>
      </c>
    </row>
    <row r="547" spans="1:18" hidden="1" outlineLevel="1" x14ac:dyDescent="0.2">
      <c r="A547" s="30" t="s">
        <v>53</v>
      </c>
      <c r="C547" s="18"/>
      <c r="D547" s="4"/>
      <c r="E547" s="19" t="str">
        <f>"""GP Direct"",""Fabrikam, Inc."",""Jet GL Transactions"",""Account Index"",""137"",""Credit Amount"",""0.00000"",""Document Number"",""SLS17034"",""Debit Amount"",""27.35000"",""Vendor Name"",""Metropolitan Fiber Systems"",""Transaction Description"",""COGS"",""Transaction Date"",""1/1/2"&amp;"014"""</f>
        <v>"GP Direct","Fabrikam, Inc.","Jet GL Transactions","Account Index","137","Credit Amount","0.00000","Document Number","SLS17034","Debit Amount","27.35000","Vendor Name","Metropolitan Fiber Systems","Transaction Description","COGS","Transaction Date","1/1/2014"</v>
      </c>
      <c r="F547" s="4">
        <v>27.35</v>
      </c>
      <c r="G547" s="4">
        <v>0</v>
      </c>
      <c r="J547" s="31">
        <f t="shared" si="101"/>
        <v>27.35</v>
      </c>
      <c r="K547" s="32" t="str">
        <f t="shared" si="102"/>
        <v>COGS</v>
      </c>
      <c r="L547" s="32" t="str">
        <f>"SLS17034"</f>
        <v>SLS17034</v>
      </c>
      <c r="M547" s="33">
        <v>41640</v>
      </c>
      <c r="N547" s="31"/>
      <c r="R547" s="2">
        <f t="shared" si="103"/>
        <v>86</v>
      </c>
    </row>
    <row r="548" spans="1:18" hidden="1" outlineLevel="1" x14ac:dyDescent="0.2">
      <c r="A548" s="30" t="s">
        <v>53</v>
      </c>
      <c r="C548" s="18"/>
      <c r="D548" s="4"/>
      <c r="E548" s="19" t="str">
        <f>"""GP Direct"",""Fabrikam, Inc."",""Jet GL Transactions"",""Account Index"",""137"",""Credit Amount"",""0.00000"",""Document Number"",""SLS17082"",""Debit Amount"",""8183.88000"",""Vendor Name"",""Place &amp; MacDero Associates"",""Transaction Description"",""COGS"",""Transaction Date"",""1/1"&amp;"/2014"""</f>
        <v>"GP Direct","Fabrikam, Inc.","Jet GL Transactions","Account Index","137","Credit Amount","0.00000","Document Number","SLS17082","Debit Amount","8183.88000","Vendor Name","Place &amp; MacDero Associates","Transaction Description","COGS","Transaction Date","1/1/2014"</v>
      </c>
      <c r="F548" s="4">
        <v>8183.88</v>
      </c>
      <c r="G548" s="4">
        <v>0</v>
      </c>
      <c r="J548" s="31">
        <f t="shared" si="101"/>
        <v>8183.88</v>
      </c>
      <c r="K548" s="32" t="str">
        <f t="shared" si="102"/>
        <v>COGS</v>
      </c>
      <c r="L548" s="32" t="str">
        <f>"SLS17082"</f>
        <v>SLS17082</v>
      </c>
      <c r="M548" s="33">
        <v>41640</v>
      </c>
      <c r="N548" s="31"/>
      <c r="R548" s="2">
        <f t="shared" si="103"/>
        <v>87</v>
      </c>
    </row>
    <row r="549" spans="1:18" hidden="1" outlineLevel="1" x14ac:dyDescent="0.2">
      <c r="A549" s="30" t="s">
        <v>53</v>
      </c>
      <c r="C549" s="18"/>
      <c r="D549" s="4"/>
      <c r="E549" s="19" t="str">
        <f>"""GP Direct"",""Fabrikam, Inc."",""Jet GL Transactions"",""Account Index"",""137"",""Credit Amount"",""0.00000"",""Document Number"",""SLS17084"",""Debit Amount"",""6298.05000"",""Vendor Name"",""Place &amp; MacDero Associates"",""Transaction Description"",""COGS"",""Transaction Date"",""1/1"&amp;"/2014"""</f>
        <v>"GP Direct","Fabrikam, Inc.","Jet GL Transactions","Account Index","137","Credit Amount","0.00000","Document Number","SLS17084","Debit Amount","6298.05000","Vendor Name","Place &amp; MacDero Associates","Transaction Description","COGS","Transaction Date","1/1/2014"</v>
      </c>
      <c r="F549" s="4">
        <v>6298.05</v>
      </c>
      <c r="G549" s="4">
        <v>0</v>
      </c>
      <c r="J549" s="31">
        <f t="shared" si="101"/>
        <v>6298.05</v>
      </c>
      <c r="K549" s="32" t="str">
        <f t="shared" si="102"/>
        <v>COGS</v>
      </c>
      <c r="L549" s="32" t="str">
        <f>"SLS17084"</f>
        <v>SLS17084</v>
      </c>
      <c r="M549" s="33">
        <v>41640</v>
      </c>
      <c r="N549" s="31"/>
      <c r="R549" s="2">
        <f t="shared" si="103"/>
        <v>88</v>
      </c>
    </row>
    <row r="550" spans="1:18" hidden="1" outlineLevel="1" x14ac:dyDescent="0.2">
      <c r="A550" s="30" t="s">
        <v>53</v>
      </c>
      <c r="C550" s="18"/>
      <c r="D550" s="4"/>
      <c r="E550" s="19" t="str">
        <f>"""GP Direct"",""Fabrikam, Inc."",""Jet GL Transactions"",""Account Index"",""137"",""Credit Amount"",""0.00000"",""Document Number"",""SLS18002"",""Debit Amount"",""5637.83000"",""Vendor Name"",""Dial Direct Paging Inc."",""Transaction Description"",""COGS"",""Transaction Date"",""1/1/20"&amp;"14"""</f>
        <v>"GP Direct","Fabrikam, Inc.","Jet GL Transactions","Account Index","137","Credit Amount","0.00000","Document Number","SLS18002","Debit Amount","5637.83000","Vendor Name","Dial Direct Paging Inc.","Transaction Description","COGS","Transaction Date","1/1/2014"</v>
      </c>
      <c r="F550" s="4">
        <v>5637.83</v>
      </c>
      <c r="G550" s="4">
        <v>0</v>
      </c>
      <c r="J550" s="31">
        <f t="shared" si="101"/>
        <v>5637.83</v>
      </c>
      <c r="K550" s="32" t="str">
        <f t="shared" si="102"/>
        <v>COGS</v>
      </c>
      <c r="L550" s="32" t="str">
        <f>"SLS18002"</f>
        <v>SLS18002</v>
      </c>
      <c r="M550" s="33">
        <v>41640</v>
      </c>
      <c r="N550" s="31"/>
      <c r="R550" s="2">
        <f t="shared" si="103"/>
        <v>89</v>
      </c>
    </row>
    <row r="551" spans="1:18" hidden="1" outlineLevel="1" x14ac:dyDescent="0.2">
      <c r="A551" s="30" t="s">
        <v>53</v>
      </c>
      <c r="C551" s="18"/>
      <c r="D551" s="4"/>
      <c r="E551" s="19" t="str">
        <f>"""GP Direct"",""Fabrikam, Inc."",""Jet GL Transactions"",""Account Index"",""137"",""Credit Amount"",""0.00000"",""Document Number"",""SLS18010"",""Debit Amount"",""4878.84000"",""Vendor Name"",""Mendota University"",""Transaction Description"",""COGS"",""Transaction Date"",""1/1/2014"""</f>
        <v>"GP Direct","Fabrikam, Inc.","Jet GL Transactions","Account Index","137","Credit Amount","0.00000","Document Number","SLS18010","Debit Amount","4878.84000","Vendor Name","Mendota University","Transaction Description","COGS","Transaction Date","1/1/2014"</v>
      </c>
      <c r="F551" s="4">
        <v>4878.84</v>
      </c>
      <c r="G551" s="4">
        <v>0</v>
      </c>
      <c r="J551" s="31">
        <f t="shared" si="101"/>
        <v>4878.84</v>
      </c>
      <c r="K551" s="32" t="str">
        <f t="shared" si="102"/>
        <v>COGS</v>
      </c>
      <c r="L551" s="32" t="str">
        <f>"SLS18010"</f>
        <v>SLS18010</v>
      </c>
      <c r="M551" s="33">
        <v>41640</v>
      </c>
      <c r="N551" s="31"/>
      <c r="R551" s="2">
        <f t="shared" si="103"/>
        <v>90</v>
      </c>
    </row>
    <row r="552" spans="1:18" hidden="1" outlineLevel="1" x14ac:dyDescent="0.2">
      <c r="A552" s="30" t="s">
        <v>53</v>
      </c>
      <c r="C552" s="18"/>
      <c r="D552" s="4"/>
      <c r="E552" s="19" t="str">
        <f>"""GP Direct"",""Fabrikam, Inc."",""Jet GL Transactions"",""Account Index"",""137"",""Credit Amount"",""0.00000"",""Document Number"",""SLS18012"",""Debit Amount"",""15822.65000"",""Vendor Name"",""Mendota University"",""Transaction Description"",""COGS"",""Transaction Date"",""1/1/2014"""</f>
        <v>"GP Direct","Fabrikam, Inc.","Jet GL Transactions","Account Index","137","Credit Amount","0.00000","Document Number","SLS18012","Debit Amount","15822.65000","Vendor Name","Mendota University","Transaction Description","COGS","Transaction Date","1/1/2014"</v>
      </c>
      <c r="F552" s="4">
        <v>15822.65</v>
      </c>
      <c r="G552" s="4">
        <v>0</v>
      </c>
      <c r="J552" s="31">
        <f t="shared" si="101"/>
        <v>15822.65</v>
      </c>
      <c r="K552" s="32" t="str">
        <f t="shared" si="102"/>
        <v>COGS</v>
      </c>
      <c r="L552" s="32" t="str">
        <f>"SLS18012"</f>
        <v>SLS18012</v>
      </c>
      <c r="M552" s="33">
        <v>41640</v>
      </c>
      <c r="N552" s="31"/>
      <c r="R552" s="2">
        <f t="shared" si="103"/>
        <v>91</v>
      </c>
    </row>
    <row r="553" spans="1:18" hidden="1" outlineLevel="1" x14ac:dyDescent="0.2">
      <c r="A553" s="30" t="s">
        <v>53</v>
      </c>
      <c r="C553" s="18"/>
      <c r="D553" s="4"/>
      <c r="E553" s="19" t="str">
        <f>"""GP Direct"",""Fabrikam, Inc."",""Jet GL Transactions"",""Account Index"",""137"",""Credit Amount"",""0.00000"",""Document Number"",""SLS18080"",""Debit Amount"",""4464.85000"",""Vendor Name"",""Vancouver Resort Hotels"",""Transaction Description"",""COGS"",""Transaction Date"",""1/1/20"&amp;"14"""</f>
        <v>"GP Direct","Fabrikam, Inc.","Jet GL Transactions","Account Index","137","Credit Amount","0.00000","Document Number","SLS18080","Debit Amount","4464.85000","Vendor Name","Vancouver Resort Hotels","Transaction Description","COGS","Transaction Date","1/1/2014"</v>
      </c>
      <c r="F553" s="4">
        <v>4464.8500000000004</v>
      </c>
      <c r="G553" s="4">
        <v>0</v>
      </c>
      <c r="J553" s="31">
        <f t="shared" si="101"/>
        <v>4464.8500000000004</v>
      </c>
      <c r="K553" s="32" t="str">
        <f t="shared" si="102"/>
        <v>COGS</v>
      </c>
      <c r="L553" s="32" t="str">
        <f>"SLS18080"</f>
        <v>SLS18080</v>
      </c>
      <c r="M553" s="33">
        <v>41640</v>
      </c>
      <c r="N553" s="31"/>
      <c r="R553" s="2">
        <f t="shared" si="103"/>
        <v>92</v>
      </c>
    </row>
    <row r="554" spans="1:18" hidden="1" outlineLevel="1" x14ac:dyDescent="0.2">
      <c r="A554" s="30" t="s">
        <v>53</v>
      </c>
      <c r="C554" s="18"/>
      <c r="D554" s="4"/>
      <c r="E554" s="19" t="str">
        <f>"""GP Direct"",""Fabrikam, Inc."",""Jet GL Transactions"",""Account Index"",""137"",""Credit Amount"",""0.00000"",""Document Number"",""SLS18081"",""Debit Amount"",""10945.63000"",""Vendor Name"",""Vancouver Resort Hotels"",""Transaction Description"",""COGS"",""Transaction Date"",""1/1/2"&amp;"014"""</f>
        <v>"GP Direct","Fabrikam, Inc.","Jet GL Transactions","Account Index","137","Credit Amount","0.00000","Document Number","SLS18081","Debit Amount","10945.63000","Vendor Name","Vancouver Resort Hotels","Transaction Description","COGS","Transaction Date","1/1/2014"</v>
      </c>
      <c r="F554" s="4">
        <v>10945.63</v>
      </c>
      <c r="G554" s="4">
        <v>0</v>
      </c>
      <c r="J554" s="31">
        <f t="shared" si="101"/>
        <v>10945.63</v>
      </c>
      <c r="K554" s="32" t="str">
        <f t="shared" si="102"/>
        <v>COGS</v>
      </c>
      <c r="L554" s="32" t="str">
        <f>"SLS18081"</f>
        <v>SLS18081</v>
      </c>
      <c r="M554" s="33">
        <v>41640</v>
      </c>
      <c r="N554" s="31"/>
      <c r="R554" s="2">
        <f t="shared" si="103"/>
        <v>93</v>
      </c>
    </row>
    <row r="555" spans="1:18" hidden="1" outlineLevel="1" x14ac:dyDescent="0.2">
      <c r="A555" s="30" t="s">
        <v>53</v>
      </c>
      <c r="C555" s="18"/>
      <c r="D555" s="4"/>
      <c r="E555" s="19" t="str">
        <f>"""GP Direct"",""Fabrikam, Inc."",""Jet GL Transactions"",""Account Index"",""137"",""Credit Amount"",""0.00000"",""Document Number"",""SLS19000"",""Debit Amount"",""6299.70000"",""Vendor Name"",""Greenway Foods"",""Transaction Description"",""COGS"",""Transaction Date"",""1/1/2014"""</f>
        <v>"GP Direct","Fabrikam, Inc.","Jet GL Transactions","Account Index","137","Credit Amount","0.00000","Document Number","SLS19000","Debit Amount","6299.70000","Vendor Name","Greenway Foods","Transaction Description","COGS","Transaction Date","1/1/2014"</v>
      </c>
      <c r="F555" s="4">
        <v>6299.7</v>
      </c>
      <c r="G555" s="4">
        <v>0</v>
      </c>
      <c r="J555" s="31">
        <f t="shared" si="101"/>
        <v>6299.7</v>
      </c>
      <c r="K555" s="32" t="str">
        <f t="shared" si="102"/>
        <v>COGS</v>
      </c>
      <c r="L555" s="32" t="str">
        <f>"SLS19000"</f>
        <v>SLS19000</v>
      </c>
      <c r="M555" s="33">
        <v>41640</v>
      </c>
      <c r="N555" s="31"/>
      <c r="R555" s="2">
        <f t="shared" si="103"/>
        <v>94</v>
      </c>
    </row>
    <row r="556" spans="1:18" hidden="1" outlineLevel="1" x14ac:dyDescent="0.2">
      <c r="A556" s="30" t="s">
        <v>53</v>
      </c>
      <c r="C556" s="18"/>
      <c r="D556" s="4"/>
      <c r="E556" s="19" t="str">
        <f>"""GP Direct"",""Fabrikam, Inc."",""Jet GL Transactions"",""Account Index"",""137"",""Credit Amount"",""0.00000"",""Document Number"",""SLS19002"",""Debit Amount"",""317.38000"",""Vendor Name"",""Greenway Foods"",""Transaction Description"",""COGS"",""Transaction Date"",""1/1/2014"""</f>
        <v>"GP Direct","Fabrikam, Inc.","Jet GL Transactions","Account Index","137","Credit Amount","0.00000","Document Number","SLS19002","Debit Amount","317.38000","Vendor Name","Greenway Foods","Transaction Description","COGS","Transaction Date","1/1/2014"</v>
      </c>
      <c r="F556" s="4">
        <v>317.38</v>
      </c>
      <c r="G556" s="4">
        <v>0</v>
      </c>
      <c r="J556" s="31">
        <f t="shared" si="101"/>
        <v>317.38</v>
      </c>
      <c r="K556" s="32" t="str">
        <f t="shared" si="102"/>
        <v>COGS</v>
      </c>
      <c r="L556" s="32" t="str">
        <f>"SLS19002"</f>
        <v>SLS19002</v>
      </c>
      <c r="M556" s="33">
        <v>41640</v>
      </c>
      <c r="N556" s="31"/>
      <c r="R556" s="2">
        <f t="shared" si="103"/>
        <v>95</v>
      </c>
    </row>
    <row r="557" spans="1:18" hidden="1" outlineLevel="1" x14ac:dyDescent="0.2">
      <c r="A557" s="30" t="s">
        <v>53</v>
      </c>
      <c r="C557" s="18"/>
      <c r="D557" s="4"/>
      <c r="E557" s="19" t="str">
        <f>"""GP Direct"",""Fabrikam, Inc."",""Jet GL Transactions"",""Account Index"",""137"",""Credit Amount"",""0.00000"",""Document Number"",""SLS19003"",""Debit Amount"",""7764.09000"",""Vendor Name"",""Greenway Foods"",""Transaction Description"",""COGS"",""Transaction Date"",""1/1/2014"""</f>
        <v>"GP Direct","Fabrikam, Inc.","Jet GL Transactions","Account Index","137","Credit Amount","0.00000","Document Number","SLS19003","Debit Amount","7764.09000","Vendor Name","Greenway Foods","Transaction Description","COGS","Transaction Date","1/1/2014"</v>
      </c>
      <c r="F557" s="4">
        <v>7764.09</v>
      </c>
      <c r="G557" s="4">
        <v>0</v>
      </c>
      <c r="J557" s="31">
        <f t="shared" si="101"/>
        <v>7764.09</v>
      </c>
      <c r="K557" s="32" t="str">
        <f t="shared" si="102"/>
        <v>COGS</v>
      </c>
      <c r="L557" s="32" t="str">
        <f>"SLS19003"</f>
        <v>SLS19003</v>
      </c>
      <c r="M557" s="33">
        <v>41640</v>
      </c>
      <c r="N557" s="31"/>
      <c r="R557" s="2">
        <f t="shared" si="103"/>
        <v>96</v>
      </c>
    </row>
    <row r="558" spans="1:18" hidden="1" outlineLevel="1" x14ac:dyDescent="0.2">
      <c r="A558" s="30" t="s">
        <v>53</v>
      </c>
      <c r="C558" s="18"/>
      <c r="D558" s="4"/>
      <c r="E558" s="19" t="str">
        <f>"""GP Direct"",""Fabrikam, Inc."",""Jet GL Transactions"",""Account Index"",""137"",""Credit Amount"",""0.00000"",""Document Number"",""SLS19021"",""Debit Amount"",""4737.65000"",""Vendor Name"",""McConnell A.F. B."",""Transaction Description"",""COGS"",""Transaction Date"",""1/1/2014"""</f>
        <v>"GP Direct","Fabrikam, Inc.","Jet GL Transactions","Account Index","137","Credit Amount","0.00000","Document Number","SLS19021","Debit Amount","4737.65000","Vendor Name","McConnell A.F. B.","Transaction Description","COGS","Transaction Date","1/1/2014"</v>
      </c>
      <c r="F558" s="4">
        <v>4737.6499999999996</v>
      </c>
      <c r="G558" s="4">
        <v>0</v>
      </c>
      <c r="J558" s="31">
        <f t="shared" ref="J558:J589" si="104">IF(AND(F558="",G558=""),"",$F558-$G558)</f>
        <v>4737.6499999999996</v>
      </c>
      <c r="K558" s="32" t="str">
        <f t="shared" ref="K558:K564" si="105">"COGS"</f>
        <v>COGS</v>
      </c>
      <c r="L558" s="32" t="str">
        <f>"SLS19021"</f>
        <v>SLS19021</v>
      </c>
      <c r="M558" s="33">
        <v>41640</v>
      </c>
      <c r="N558" s="31"/>
      <c r="R558" s="2">
        <f t="shared" si="103"/>
        <v>97</v>
      </c>
    </row>
    <row r="559" spans="1:18" hidden="1" outlineLevel="1" x14ac:dyDescent="0.2">
      <c r="A559" s="30" t="s">
        <v>53</v>
      </c>
      <c r="C559" s="18"/>
      <c r="D559" s="4"/>
      <c r="E559" s="19" t="str">
        <f>"""GP Direct"",""Fabrikam, Inc."",""Jet GL Transactions"",""Account Index"",""137"",""Credit Amount"",""0.00000"",""Document Number"",""SLS19022"",""Debit Amount"",""9616.63000"",""Vendor Name"",""McConnell A.F. B."",""Transaction Description"",""COGS"",""Transaction Date"",""1/1/2014"""</f>
        <v>"GP Direct","Fabrikam, Inc.","Jet GL Transactions","Account Index","137","Credit Amount","0.00000","Document Number","SLS19022","Debit Amount","9616.63000","Vendor Name","McConnell A.F. B.","Transaction Description","COGS","Transaction Date","1/1/2014"</v>
      </c>
      <c r="F559" s="4">
        <v>9616.6299999999992</v>
      </c>
      <c r="G559" s="4">
        <v>0</v>
      </c>
      <c r="J559" s="31">
        <f t="shared" si="104"/>
        <v>9616.6299999999992</v>
      </c>
      <c r="K559" s="32" t="str">
        <f t="shared" si="105"/>
        <v>COGS</v>
      </c>
      <c r="L559" s="32" t="str">
        <f>"SLS19022"</f>
        <v>SLS19022</v>
      </c>
      <c r="M559" s="33">
        <v>41640</v>
      </c>
      <c r="N559" s="31"/>
      <c r="R559" s="2">
        <f t="shared" si="103"/>
        <v>98</v>
      </c>
    </row>
    <row r="560" spans="1:18" hidden="1" outlineLevel="1" x14ac:dyDescent="0.2">
      <c r="A560" s="30" t="s">
        <v>53</v>
      </c>
      <c r="C560" s="18"/>
      <c r="D560" s="4"/>
      <c r="E560" s="19" t="str">
        <f>"""GP Direct"",""Fabrikam, Inc."",""Jet GL Transactions"",""Account Index"",""137"",""Credit Amount"",""0.00000"",""Document Number"",""SLS19031"",""Debit Amount"",""3971.28000"",""Vendor Name"",""Pulaski Enterprises Inc."",""Transaction Description"",""COGS"",""Transaction Date"",""1/1/2"&amp;"014"""</f>
        <v>"GP Direct","Fabrikam, Inc.","Jet GL Transactions","Account Index","137","Credit Amount","0.00000","Document Number","SLS19031","Debit Amount","3971.28000","Vendor Name","Pulaski Enterprises Inc.","Transaction Description","COGS","Transaction Date","1/1/2014"</v>
      </c>
      <c r="F560" s="4">
        <v>3971.28</v>
      </c>
      <c r="G560" s="4">
        <v>0</v>
      </c>
      <c r="J560" s="31">
        <f t="shared" si="104"/>
        <v>3971.28</v>
      </c>
      <c r="K560" s="32" t="str">
        <f t="shared" si="105"/>
        <v>COGS</v>
      </c>
      <c r="L560" s="32" t="str">
        <f>"SLS19031"</f>
        <v>SLS19031</v>
      </c>
      <c r="M560" s="33">
        <v>41640</v>
      </c>
      <c r="N560" s="31"/>
      <c r="R560" s="2">
        <f t="shared" si="103"/>
        <v>99</v>
      </c>
    </row>
    <row r="561" spans="1:18" hidden="1" outlineLevel="1" x14ac:dyDescent="0.2">
      <c r="A561" s="30" t="s">
        <v>53</v>
      </c>
      <c r="C561" s="18"/>
      <c r="D561" s="4"/>
      <c r="E561" s="19" t="str">
        <f>"""GP Direct"",""Fabrikam, Inc."",""Jet GL Transactions"",""Account Index"",""137"",""Credit Amount"",""59.92000"",""Document Number"",""CM14066"",""Debit Amount"",""0.00000"",""Vendor Name"",""Novia Scotia Tech. Institute"",""Transaction Description"",""COGS"",""Transaction Date"",""1/1/"&amp;"2014"""</f>
        <v>"GP Direct","Fabrikam, Inc.","Jet GL Transactions","Account Index","137","Credit Amount","59.92000","Document Number","CM14066","Debit Amount","0.00000","Vendor Name","Novia Scotia Tech. Institute","Transaction Description","COGS","Transaction Date","1/1/2014"</v>
      </c>
      <c r="F561" s="4">
        <v>0</v>
      </c>
      <c r="G561" s="4">
        <v>59.92</v>
      </c>
      <c r="J561" s="31">
        <f t="shared" si="104"/>
        <v>-59.92</v>
      </c>
      <c r="K561" s="32" t="str">
        <f t="shared" si="105"/>
        <v>COGS</v>
      </c>
      <c r="L561" s="32" t="str">
        <f>"CM14066"</f>
        <v>CM14066</v>
      </c>
      <c r="M561" s="33">
        <v>41640</v>
      </c>
      <c r="N561" s="31"/>
      <c r="R561" s="2">
        <f t="shared" si="103"/>
        <v>100</v>
      </c>
    </row>
    <row r="562" spans="1:18" hidden="1" outlineLevel="1" x14ac:dyDescent="0.2">
      <c r="A562" s="30" t="s">
        <v>53</v>
      </c>
      <c r="C562" s="18"/>
      <c r="D562" s="4"/>
      <c r="E562" s="19" t="str">
        <f>"""GP Direct"",""Fabrikam, Inc."",""Jet GL Transactions"",""Account Index"",""137"",""Credit Amount"",""105.60000"",""Document Number"",""RTN15095"",""Debit Amount"",""0.00000"",""Vendor Name"",""Leisure &amp; Travel Consultants"",""Transaction Description"",""COGS"",""Transaction Date"",""1/"&amp;"1/2014"""</f>
        <v>"GP Direct","Fabrikam, Inc.","Jet GL Transactions","Account Index","137","Credit Amount","105.60000","Document Number","RTN15095","Debit Amount","0.00000","Vendor Name","Leisure &amp; Travel Consultants","Transaction Description","COGS","Transaction Date","1/1/2014"</v>
      </c>
      <c r="F562" s="4">
        <v>0</v>
      </c>
      <c r="G562" s="4">
        <v>105.6</v>
      </c>
      <c r="J562" s="31">
        <f t="shared" si="104"/>
        <v>-105.6</v>
      </c>
      <c r="K562" s="32" t="str">
        <f t="shared" si="105"/>
        <v>COGS</v>
      </c>
      <c r="L562" s="32" t="str">
        <f>"RTN15095"</f>
        <v>RTN15095</v>
      </c>
      <c r="M562" s="33">
        <v>41640</v>
      </c>
      <c r="N562" s="31"/>
      <c r="R562" s="2">
        <f t="shared" si="103"/>
        <v>101</v>
      </c>
    </row>
    <row r="563" spans="1:18" hidden="1" outlineLevel="1" x14ac:dyDescent="0.2">
      <c r="A563" s="30" t="s">
        <v>53</v>
      </c>
      <c r="C563" s="18"/>
      <c r="D563" s="4"/>
      <c r="E563" s="19" t="str">
        <f>"""GP Direct"",""Fabrikam, Inc."",""Jet GL Transactions"",""Account Index"",""137"",""Credit Amount"",""109.59000"",""Document Number"",""RTN18021"",""Debit Amount"",""0.00000"",""Vendor Name"",""Fourth Coffee"",""Transaction Description"",""COGS"",""Transaction Date"",""1/1/2014"""</f>
        <v>"GP Direct","Fabrikam, Inc.","Jet GL Transactions","Account Index","137","Credit Amount","109.59000","Document Number","RTN18021","Debit Amount","0.00000","Vendor Name","Fourth Coffee","Transaction Description","COGS","Transaction Date","1/1/2014"</v>
      </c>
      <c r="F563" s="4">
        <v>0</v>
      </c>
      <c r="G563" s="4">
        <v>109.59</v>
      </c>
      <c r="J563" s="31">
        <f t="shared" si="104"/>
        <v>-109.59</v>
      </c>
      <c r="K563" s="32" t="str">
        <f t="shared" si="105"/>
        <v>COGS</v>
      </c>
      <c r="L563" s="32" t="str">
        <f>"RTN18021"</f>
        <v>RTN18021</v>
      </c>
      <c r="M563" s="33">
        <v>41640</v>
      </c>
      <c r="N563" s="31"/>
      <c r="R563" s="2">
        <f t="shared" si="103"/>
        <v>102</v>
      </c>
    </row>
    <row r="564" spans="1:18" hidden="1" outlineLevel="1" x14ac:dyDescent="0.2">
      <c r="A564" s="30" t="s">
        <v>53</v>
      </c>
      <c r="C564" s="18"/>
      <c r="D564" s="4"/>
      <c r="E564" s="19" t="str">
        <f>"""GP Direct"",""Fabrikam, Inc."",""Jet GL Transactions"",""Account Index"",""137"",""Credit Amount"",""119.25000"",""Document Number"",""RTN19012"",""Debit Amount"",""0.00000"",""Vendor Name"",""Manchester Suites"",""Transaction Description"",""COGS"",""Transaction Date"",""1/1/2014"""</f>
        <v>"GP Direct","Fabrikam, Inc.","Jet GL Transactions","Account Index","137","Credit Amount","119.25000","Document Number","RTN19012","Debit Amount","0.00000","Vendor Name","Manchester Suites","Transaction Description","COGS","Transaction Date","1/1/2014"</v>
      </c>
      <c r="F564" s="4">
        <v>0</v>
      </c>
      <c r="G564" s="4">
        <v>119.25</v>
      </c>
      <c r="J564" s="31">
        <f t="shared" si="104"/>
        <v>-119.25</v>
      </c>
      <c r="K564" s="32" t="str">
        <f t="shared" si="105"/>
        <v>COGS</v>
      </c>
      <c r="L564" s="32" t="str">
        <f>"RTN19012"</f>
        <v>RTN19012</v>
      </c>
      <c r="M564" s="33">
        <v>41640</v>
      </c>
      <c r="N564" s="31"/>
      <c r="R564" s="2">
        <f t="shared" si="103"/>
        <v>103</v>
      </c>
    </row>
    <row r="565" spans="1:18" hidden="1" outlineLevel="1" x14ac:dyDescent="0.2">
      <c r="A565" s="30" t="s">
        <v>53</v>
      </c>
      <c r="C565" s="18"/>
      <c r="D565" s="4"/>
      <c r="E565" s="19" t="str">
        <f>"""GP Direct"",""Fabrikam, Inc."",""Jet GL Transactions"",""Account Index"",""137"",""Credit Amount"",""136.50000"",""Document Number"",""00000000000000026"",""Debit Amount"",""0.00000"",""Vendor Name"","""",""Transaction Description"","""",""Transaction Date"",""1/1/2014"""</f>
        <v>"GP Direct","Fabrikam, Inc.","Jet GL Transactions","Account Index","137","Credit Amount","136.50000","Document Number","00000000000000026","Debit Amount","0.00000","Vendor Name","","Transaction Description","","Transaction Date","1/1/2014"</v>
      </c>
      <c r="F565" s="4">
        <v>0</v>
      </c>
      <c r="G565" s="4">
        <v>136.5</v>
      </c>
      <c r="J565" s="31">
        <f t="shared" si="104"/>
        <v>-136.5</v>
      </c>
      <c r="K565" s="32" t="str">
        <f>""</f>
        <v/>
      </c>
      <c r="L565" s="32" t="str">
        <f>"00000000000000026"</f>
        <v>00000000000000026</v>
      </c>
      <c r="M565" s="33">
        <v>41640</v>
      </c>
      <c r="N565" s="31"/>
      <c r="R565" s="2">
        <f t="shared" si="103"/>
        <v>104</v>
      </c>
    </row>
    <row r="566" spans="1:18" hidden="1" outlineLevel="1" x14ac:dyDescent="0.2">
      <c r="A566" s="30" t="s">
        <v>53</v>
      </c>
      <c r="C566" s="18"/>
      <c r="D566" s="4"/>
      <c r="E566" s="19" t="str">
        <f>"""GP Direct"",""Fabrikam, Inc."",""Jet GL Transactions"",""Account Index"",""137"",""Credit Amount"",""170.45000"",""Document Number"",""RTN14097"",""Debit Amount"",""0.00000"",""Vendor Name"",""Computer Equipment Leasing"",""Transaction Description"",""COGS"",""Transaction Date"",""1/1/"&amp;"2014"""</f>
        <v>"GP Direct","Fabrikam, Inc.","Jet GL Transactions","Account Index","137","Credit Amount","170.45000","Document Number","RTN14097","Debit Amount","0.00000","Vendor Name","Computer Equipment Leasing","Transaction Description","COGS","Transaction Date","1/1/2014"</v>
      </c>
      <c r="F566" s="4">
        <v>0</v>
      </c>
      <c r="G566" s="4">
        <v>170.45</v>
      </c>
      <c r="J566" s="31">
        <f t="shared" si="104"/>
        <v>-170.45</v>
      </c>
      <c r="K566" s="32" t="str">
        <f>"COGS"</f>
        <v>COGS</v>
      </c>
      <c r="L566" s="32" t="str">
        <f>"RTN14097"</f>
        <v>RTN14097</v>
      </c>
      <c r="M566" s="33">
        <v>41640</v>
      </c>
      <c r="N566" s="31"/>
      <c r="R566" s="2">
        <f t="shared" si="103"/>
        <v>105</v>
      </c>
    </row>
    <row r="567" spans="1:18" hidden="1" outlineLevel="1" x14ac:dyDescent="0.2">
      <c r="A567" s="30" t="s">
        <v>53</v>
      </c>
      <c r="C567" s="18"/>
      <c r="D567" s="4"/>
      <c r="E567" s="19" t="str">
        <f>"""GP Direct"",""Fabrikam, Inc."",""Jet GL Transactions"",""Account Index"",""137"",""Credit Amount"",""176.85000"",""Document Number"",""00000000000000026"",""Debit Amount"",""0.00000"",""Vendor Name"","""",""Transaction Description"","""",""Transaction Date"",""1/1/2014"""</f>
        <v>"GP Direct","Fabrikam, Inc.","Jet GL Transactions","Account Index","137","Credit Amount","176.85000","Document Number","00000000000000026","Debit Amount","0.00000","Vendor Name","","Transaction Description","","Transaction Date","1/1/2014"</v>
      </c>
      <c r="F567" s="4">
        <v>0</v>
      </c>
      <c r="G567" s="4">
        <v>176.85</v>
      </c>
      <c r="J567" s="31">
        <f t="shared" si="104"/>
        <v>-176.85</v>
      </c>
      <c r="K567" s="32" t="str">
        <f>""</f>
        <v/>
      </c>
      <c r="L567" s="32" t="str">
        <f>"00000000000000026"</f>
        <v>00000000000000026</v>
      </c>
      <c r="M567" s="33">
        <v>41640</v>
      </c>
      <c r="N567" s="31"/>
      <c r="R567" s="2">
        <f t="shared" si="103"/>
        <v>106</v>
      </c>
    </row>
    <row r="568" spans="1:18" hidden="1" outlineLevel="1" x14ac:dyDescent="0.2">
      <c r="A568" s="30" t="s">
        <v>53</v>
      </c>
      <c r="C568" s="18"/>
      <c r="D568" s="4"/>
      <c r="E568" s="19" t="str">
        <f>"""GP Direct"",""Fabrikam, Inc."",""Jet GL Transactions"",""Account Index"",""137"",""Credit Amount"",""184.61000"",""Document Number"",""RTN18022"",""Debit Amount"",""0.00000"",""Vendor Name"",""Fourth Coffee"",""Transaction Description"",""COGS"",""Transaction Date"",""1/1/2014"""</f>
        <v>"GP Direct","Fabrikam, Inc.","Jet GL Transactions","Account Index","137","Credit Amount","184.61000","Document Number","RTN18022","Debit Amount","0.00000","Vendor Name","Fourth Coffee","Transaction Description","COGS","Transaction Date","1/1/2014"</v>
      </c>
      <c r="F568" s="4">
        <v>0</v>
      </c>
      <c r="G568" s="4">
        <v>184.61</v>
      </c>
      <c r="J568" s="31">
        <f t="shared" si="104"/>
        <v>-184.61</v>
      </c>
      <c r="K568" s="32" t="str">
        <f>"COGS"</f>
        <v>COGS</v>
      </c>
      <c r="L568" s="32" t="str">
        <f>"RTN18022"</f>
        <v>RTN18022</v>
      </c>
      <c r="M568" s="33">
        <v>41640</v>
      </c>
      <c r="N568" s="31"/>
      <c r="R568" s="2">
        <f t="shared" si="103"/>
        <v>107</v>
      </c>
    </row>
    <row r="569" spans="1:18" hidden="1" outlineLevel="1" x14ac:dyDescent="0.2">
      <c r="A569" s="30" t="s">
        <v>53</v>
      </c>
      <c r="C569" s="18"/>
      <c r="D569" s="4"/>
      <c r="E569" s="19" t="str">
        <f>"""GP Direct"",""Fabrikam, Inc."",""Jet GL Transactions"",""Account Index"",""137"",""Credit Amount"",""188.85000"",""Document Number"",""RTN15071"",""Debit Amount"",""0.00000"",""Vendor Name"",""Vista Travel"",""Transaction Description"",""COGS"",""Transaction Date"",""1/1/2014"""</f>
        <v>"GP Direct","Fabrikam, Inc.","Jet GL Transactions","Account Index","137","Credit Amount","188.85000","Document Number","RTN15071","Debit Amount","0.00000","Vendor Name","Vista Travel","Transaction Description","COGS","Transaction Date","1/1/2014"</v>
      </c>
      <c r="F569" s="4">
        <v>0</v>
      </c>
      <c r="G569" s="4">
        <v>188.85</v>
      </c>
      <c r="J569" s="31">
        <f t="shared" si="104"/>
        <v>-188.85</v>
      </c>
      <c r="K569" s="32" t="str">
        <f>"COGS"</f>
        <v>COGS</v>
      </c>
      <c r="L569" s="32" t="str">
        <f>"RTN15071"</f>
        <v>RTN15071</v>
      </c>
      <c r="M569" s="33">
        <v>41640</v>
      </c>
      <c r="N569" s="31"/>
      <c r="R569" s="2">
        <f t="shared" si="103"/>
        <v>108</v>
      </c>
    </row>
    <row r="570" spans="1:18" hidden="1" outlineLevel="1" x14ac:dyDescent="0.2">
      <c r="A570" s="30" t="s">
        <v>53</v>
      </c>
      <c r="C570" s="18"/>
      <c r="D570" s="4"/>
      <c r="E570" s="19" t="str">
        <f>"""GP Direct"",""Fabrikam, Inc."",""Jet GL Transactions"",""Account Index"",""137"",""Credit Amount"",""192.01000"",""Document Number"",""RTN13094"",""Debit Amount"",""0.00000"",""Vendor Name"",""St. Patrick's Hospital"",""Transaction Description"",""COGS"",""Transaction Date"",""1/1/2014"&amp;""""</f>
        <v>"GP Direct","Fabrikam, Inc.","Jet GL Transactions","Account Index","137","Credit Amount","192.01000","Document Number","RTN13094","Debit Amount","0.00000","Vendor Name","St. Patrick's Hospital","Transaction Description","COGS","Transaction Date","1/1/2014"</v>
      </c>
      <c r="F570" s="4">
        <v>0</v>
      </c>
      <c r="G570" s="4">
        <v>192.01</v>
      </c>
      <c r="J570" s="31">
        <f t="shared" si="104"/>
        <v>-192.01</v>
      </c>
      <c r="K570" s="32" t="str">
        <f>"COGS"</f>
        <v>COGS</v>
      </c>
      <c r="L570" s="32" t="str">
        <f>"RTN13094"</f>
        <v>RTN13094</v>
      </c>
      <c r="M570" s="33">
        <v>41640</v>
      </c>
      <c r="N570" s="31"/>
      <c r="R570" s="2">
        <f t="shared" si="103"/>
        <v>109</v>
      </c>
    </row>
    <row r="571" spans="1:18" hidden="1" outlineLevel="1" x14ac:dyDescent="0.2">
      <c r="A571" s="30" t="s">
        <v>53</v>
      </c>
      <c r="C571" s="18"/>
      <c r="D571" s="4"/>
      <c r="E571" s="19" t="str">
        <f>"""GP Direct"",""Fabrikam, Inc."",""Jet GL Transactions"",""Account Index"",""137"",""Credit Amount"",""200.69000"",""Document Number"",""00000000000000026"",""Debit Amount"",""0.00000"",""Vendor Name"","""",""Transaction Description"","""",""Transaction Date"",""1/1/2014"""</f>
        <v>"GP Direct","Fabrikam, Inc.","Jet GL Transactions","Account Index","137","Credit Amount","200.69000","Document Number","00000000000000026","Debit Amount","0.00000","Vendor Name","","Transaction Description","","Transaction Date","1/1/2014"</v>
      </c>
      <c r="F571" s="4">
        <v>0</v>
      </c>
      <c r="G571" s="4">
        <v>200.69</v>
      </c>
      <c r="J571" s="31">
        <f t="shared" si="104"/>
        <v>-200.69</v>
      </c>
      <c r="K571" s="32" t="str">
        <f>""</f>
        <v/>
      </c>
      <c r="L571" s="32" t="str">
        <f>"00000000000000026"</f>
        <v>00000000000000026</v>
      </c>
      <c r="M571" s="33">
        <v>41640</v>
      </c>
      <c r="N571" s="31"/>
      <c r="R571" s="2">
        <f t="shared" si="103"/>
        <v>110</v>
      </c>
    </row>
    <row r="572" spans="1:18" hidden="1" outlineLevel="1" x14ac:dyDescent="0.2">
      <c r="A572" s="30" t="s">
        <v>53</v>
      </c>
      <c r="C572" s="18"/>
      <c r="D572" s="4"/>
      <c r="E572" s="19" t="str">
        <f>"""GP Direct"",""Fabrikam, Inc."",""Jet GL Transactions"",""Account Index"",""137"",""Credit Amount"",""228.78000"",""Document Number"",""RTN13010"",""Debit Amount"",""0.00000"",""Vendor Name"",""Adam Park Resort"",""Transaction Description"",""COGS"",""Transaction Date"",""1/1/2014"""</f>
        <v>"GP Direct","Fabrikam, Inc.","Jet GL Transactions","Account Index","137","Credit Amount","228.78000","Document Number","RTN13010","Debit Amount","0.00000","Vendor Name","Adam Park Resort","Transaction Description","COGS","Transaction Date","1/1/2014"</v>
      </c>
      <c r="F572" s="4">
        <v>0</v>
      </c>
      <c r="G572" s="4">
        <v>228.78</v>
      </c>
      <c r="J572" s="31">
        <f t="shared" si="104"/>
        <v>-228.78</v>
      </c>
      <c r="K572" s="32" t="str">
        <f t="shared" ref="K572:K584" si="106">"COGS"</f>
        <v>COGS</v>
      </c>
      <c r="L572" s="32" t="str">
        <f>"RTN13010"</f>
        <v>RTN13010</v>
      </c>
      <c r="M572" s="33">
        <v>41640</v>
      </c>
      <c r="N572" s="31"/>
      <c r="R572" s="2">
        <f t="shared" si="103"/>
        <v>111</v>
      </c>
    </row>
    <row r="573" spans="1:18" hidden="1" outlineLevel="1" x14ac:dyDescent="0.2">
      <c r="A573" s="30" t="s">
        <v>53</v>
      </c>
      <c r="C573" s="18"/>
      <c r="D573" s="4"/>
      <c r="E573" s="19" t="str">
        <f>"""GP Direct"",""Fabrikam, Inc."",""Jet GL Transactions"",""Account Index"",""137"",""Credit Amount"",""243.42000"",""Document Number"",""CM13000"",""Debit Amount"",""0.00000"",""Vendor Name"",""Advanced Paper Co."",""Transaction Description"",""COGS"",""Transaction Date"",""1/1/2014"""</f>
        <v>"GP Direct","Fabrikam, Inc.","Jet GL Transactions","Account Index","137","Credit Amount","243.42000","Document Number","CM13000","Debit Amount","0.00000","Vendor Name","Advanced Paper Co.","Transaction Description","COGS","Transaction Date","1/1/2014"</v>
      </c>
      <c r="F573" s="4">
        <v>0</v>
      </c>
      <c r="G573" s="4">
        <v>243.42</v>
      </c>
      <c r="J573" s="31">
        <f t="shared" si="104"/>
        <v>-243.42</v>
      </c>
      <c r="K573" s="32" t="str">
        <f t="shared" si="106"/>
        <v>COGS</v>
      </c>
      <c r="L573" s="32" t="str">
        <f>"CM13000"</f>
        <v>CM13000</v>
      </c>
      <c r="M573" s="33">
        <v>41640</v>
      </c>
      <c r="N573" s="31"/>
      <c r="R573" s="2">
        <f t="shared" si="103"/>
        <v>112</v>
      </c>
    </row>
    <row r="574" spans="1:18" hidden="1" outlineLevel="1" x14ac:dyDescent="0.2">
      <c r="A574" s="30" t="s">
        <v>53</v>
      </c>
      <c r="C574" s="18"/>
      <c r="D574" s="4"/>
      <c r="E574" s="19" t="str">
        <f>"""GP Direct"",""Fabrikam, Inc."",""Jet GL Transactions"",""Account Index"",""137"",""Credit Amount"",""266.19000"",""Document Number"",""RTN17010"",""Debit Amount"",""0.00000"",""Vendor Name"",""Midland Construction"",""Transaction Description"",""COGS"",""Transaction Date"",""1/1/2014"""</f>
        <v>"GP Direct","Fabrikam, Inc.","Jet GL Transactions","Account Index","137","Credit Amount","266.19000","Document Number","RTN17010","Debit Amount","0.00000","Vendor Name","Midland Construction","Transaction Description","COGS","Transaction Date","1/1/2014"</v>
      </c>
      <c r="F574" s="4">
        <v>0</v>
      </c>
      <c r="G574" s="4">
        <v>266.19</v>
      </c>
      <c r="J574" s="31">
        <f t="shared" si="104"/>
        <v>-266.19</v>
      </c>
      <c r="K574" s="32" t="str">
        <f t="shared" si="106"/>
        <v>COGS</v>
      </c>
      <c r="L574" s="32" t="str">
        <f>"RTN17010"</f>
        <v>RTN17010</v>
      </c>
      <c r="M574" s="33">
        <v>41640</v>
      </c>
      <c r="N574" s="31"/>
      <c r="R574" s="2">
        <f t="shared" si="103"/>
        <v>113</v>
      </c>
    </row>
    <row r="575" spans="1:18" hidden="1" outlineLevel="1" x14ac:dyDescent="0.2">
      <c r="A575" s="30" t="s">
        <v>53</v>
      </c>
      <c r="C575" s="18"/>
      <c r="D575" s="4"/>
      <c r="E575" s="19" t="str">
        <f>"""GP Direct"",""Fabrikam, Inc."",""Jet GL Transactions"",""Account Index"",""137"",""Credit Amount"",""275.78000"",""Document Number"",""RTN13030"",""Debit Amount"",""0.00000"",""Vendor Name"",""Central Distributing"",""Transaction Description"",""COGS"",""Transaction Date"",""1/1/2014"""</f>
        <v>"GP Direct","Fabrikam, Inc.","Jet GL Transactions","Account Index","137","Credit Amount","275.78000","Document Number","RTN13030","Debit Amount","0.00000","Vendor Name","Central Distributing","Transaction Description","COGS","Transaction Date","1/1/2014"</v>
      </c>
      <c r="F575" s="4">
        <v>0</v>
      </c>
      <c r="G575" s="4">
        <v>275.77999999999997</v>
      </c>
      <c r="J575" s="31">
        <f t="shared" si="104"/>
        <v>-275.77999999999997</v>
      </c>
      <c r="K575" s="32" t="str">
        <f t="shared" si="106"/>
        <v>COGS</v>
      </c>
      <c r="L575" s="32" t="str">
        <f>"RTN13030"</f>
        <v>RTN13030</v>
      </c>
      <c r="M575" s="33">
        <v>41640</v>
      </c>
      <c r="N575" s="31"/>
      <c r="R575" s="2">
        <f t="shared" si="103"/>
        <v>114</v>
      </c>
    </row>
    <row r="576" spans="1:18" hidden="1" outlineLevel="1" x14ac:dyDescent="0.2">
      <c r="A576" s="30" t="s">
        <v>53</v>
      </c>
      <c r="C576" s="18"/>
      <c r="D576" s="4"/>
      <c r="E576" s="19" t="str">
        <f>"""GP Direct"",""Fabrikam, Inc."",""Jet GL Transactions"",""Account Index"",""137"",""Credit Amount"",""299.33000"",""Document Number"",""RTN16092"",""Debit Amount"",""0.00000"",""Vendor Name"",""Executive Resources"",""Transaction Description"",""COGS"",""Transaction Date"",""1/1/2014"""</f>
        <v>"GP Direct","Fabrikam, Inc.","Jet GL Transactions","Account Index","137","Credit Amount","299.33000","Document Number","RTN16092","Debit Amount","0.00000","Vendor Name","Executive Resources","Transaction Description","COGS","Transaction Date","1/1/2014"</v>
      </c>
      <c r="F576" s="4">
        <v>0</v>
      </c>
      <c r="G576" s="4">
        <v>299.33</v>
      </c>
      <c r="J576" s="31">
        <f t="shared" si="104"/>
        <v>-299.33</v>
      </c>
      <c r="K576" s="32" t="str">
        <f t="shared" si="106"/>
        <v>COGS</v>
      </c>
      <c r="L576" s="32" t="str">
        <f>"RTN16092"</f>
        <v>RTN16092</v>
      </c>
      <c r="M576" s="33">
        <v>41640</v>
      </c>
      <c r="N576" s="31"/>
      <c r="R576" s="2">
        <f t="shared" si="103"/>
        <v>115</v>
      </c>
    </row>
    <row r="577" spans="1:18" hidden="1" outlineLevel="1" x14ac:dyDescent="0.2">
      <c r="A577" s="30" t="s">
        <v>53</v>
      </c>
      <c r="C577" s="18"/>
      <c r="D577" s="4"/>
      <c r="E577" s="19" t="str">
        <f>"""GP Direct"",""Fabrikam, Inc."",""Jet GL Transactions"",""Account Index"",""137"",""Credit Amount"",""300.77000"",""Document Number"",""RTN12080"",""Debit Amount"",""0.00000"",""Vendor Name"",""Computers Unlimited"",""Transaction Description"",""COGS"",""Transaction Date"",""1/1/2014"""</f>
        <v>"GP Direct","Fabrikam, Inc.","Jet GL Transactions","Account Index","137","Credit Amount","300.77000","Document Number","RTN12080","Debit Amount","0.00000","Vendor Name","Computers Unlimited","Transaction Description","COGS","Transaction Date","1/1/2014"</v>
      </c>
      <c r="F577" s="4">
        <v>0</v>
      </c>
      <c r="G577" s="4">
        <v>300.77</v>
      </c>
      <c r="J577" s="31">
        <f t="shared" si="104"/>
        <v>-300.77</v>
      </c>
      <c r="K577" s="32" t="str">
        <f t="shared" si="106"/>
        <v>COGS</v>
      </c>
      <c r="L577" s="32" t="str">
        <f>"RTN12080"</f>
        <v>RTN12080</v>
      </c>
      <c r="M577" s="33">
        <v>41640</v>
      </c>
      <c r="N577" s="31"/>
      <c r="R577" s="2">
        <f t="shared" si="103"/>
        <v>116</v>
      </c>
    </row>
    <row r="578" spans="1:18" hidden="1" outlineLevel="1" x14ac:dyDescent="0.2">
      <c r="A578" s="30" t="s">
        <v>53</v>
      </c>
      <c r="C578" s="18"/>
      <c r="D578" s="4"/>
      <c r="E578" s="19" t="str">
        <f>"""GP Direct"",""Fabrikam, Inc."",""Jet GL Transactions"",""Account Index"",""137"",""Credit Amount"",""311.35000"",""Document Number"",""CM15001"",""Debit Amount"",""0.00000"",""Vendor Name"",""Cellular Express"",""Transaction Description"",""COGS"",""Transaction Date"",""1/1/2014"""</f>
        <v>"GP Direct","Fabrikam, Inc.","Jet GL Transactions","Account Index","137","Credit Amount","311.35000","Document Number","CM15001","Debit Amount","0.00000","Vendor Name","Cellular Express","Transaction Description","COGS","Transaction Date","1/1/2014"</v>
      </c>
      <c r="F578" s="4">
        <v>0</v>
      </c>
      <c r="G578" s="4">
        <v>311.35000000000002</v>
      </c>
      <c r="J578" s="31">
        <f t="shared" si="104"/>
        <v>-311.35000000000002</v>
      </c>
      <c r="K578" s="32" t="str">
        <f t="shared" si="106"/>
        <v>COGS</v>
      </c>
      <c r="L578" s="32" t="str">
        <f>"CM15001"</f>
        <v>CM15001</v>
      </c>
      <c r="M578" s="33">
        <v>41640</v>
      </c>
      <c r="N578" s="31"/>
      <c r="R578" s="2">
        <f t="shared" si="103"/>
        <v>117</v>
      </c>
    </row>
    <row r="579" spans="1:18" hidden="1" outlineLevel="1" x14ac:dyDescent="0.2">
      <c r="A579" s="30" t="s">
        <v>53</v>
      </c>
      <c r="C579" s="18"/>
      <c r="D579" s="4"/>
      <c r="E579" s="19" t="str">
        <f>"""GP Direct"",""Fabrikam, Inc."",""Jet GL Transactions"",""Account Index"",""137"",""Credit Amount"",""321.89000"",""Document Number"",""RTN110010"",""Debit Amount"",""0.00000"",""Vendor Name"",""Super Foods Plus"",""Transaction Description"",""COGS"",""Transaction Date"",""1/1/2014"""</f>
        <v>"GP Direct","Fabrikam, Inc.","Jet GL Transactions","Account Index","137","Credit Amount","321.89000","Document Number","RTN110010","Debit Amount","0.00000","Vendor Name","Super Foods Plus","Transaction Description","COGS","Transaction Date","1/1/2014"</v>
      </c>
      <c r="F579" s="4">
        <v>0</v>
      </c>
      <c r="G579" s="4">
        <v>321.89</v>
      </c>
      <c r="J579" s="31">
        <f t="shared" si="104"/>
        <v>-321.89</v>
      </c>
      <c r="K579" s="32" t="str">
        <f t="shared" si="106"/>
        <v>COGS</v>
      </c>
      <c r="L579" s="32" t="str">
        <f>"RTN110010"</f>
        <v>RTN110010</v>
      </c>
      <c r="M579" s="33">
        <v>41640</v>
      </c>
      <c r="N579" s="31"/>
      <c r="R579" s="2">
        <f t="shared" si="103"/>
        <v>118</v>
      </c>
    </row>
    <row r="580" spans="1:18" hidden="1" outlineLevel="1" x14ac:dyDescent="0.2">
      <c r="A580" s="30" t="s">
        <v>53</v>
      </c>
      <c r="C580" s="18"/>
      <c r="D580" s="4"/>
      <c r="E580" s="19" t="str">
        <f>"""GP Direct"",""Fabrikam, Inc."",""Jet GL Transactions"",""Account Index"",""137"",""Credit Amount"",""323.35000"",""Document Number"",""CM13001"",""Debit Amount"",""0.00000"",""Vendor Name"",""Advanced Paper Co."",""Transaction Description"",""COGS"",""Transaction Date"",""1/1/2014"""</f>
        <v>"GP Direct","Fabrikam, Inc.","Jet GL Transactions","Account Index","137","Credit Amount","323.35000","Document Number","CM13001","Debit Amount","0.00000","Vendor Name","Advanced Paper Co.","Transaction Description","COGS","Transaction Date","1/1/2014"</v>
      </c>
      <c r="F580" s="4">
        <v>0</v>
      </c>
      <c r="G580" s="4">
        <v>323.35000000000002</v>
      </c>
      <c r="J580" s="31">
        <f t="shared" si="104"/>
        <v>-323.35000000000002</v>
      </c>
      <c r="K580" s="32" t="str">
        <f t="shared" si="106"/>
        <v>COGS</v>
      </c>
      <c r="L580" s="32" t="str">
        <f>"CM13001"</f>
        <v>CM13001</v>
      </c>
      <c r="M580" s="33">
        <v>41640</v>
      </c>
      <c r="N580" s="31"/>
      <c r="R580" s="2">
        <f t="shared" si="103"/>
        <v>119</v>
      </c>
    </row>
    <row r="581" spans="1:18" hidden="1" outlineLevel="1" x14ac:dyDescent="0.2">
      <c r="A581" s="30" t="s">
        <v>53</v>
      </c>
      <c r="C581" s="18"/>
      <c r="D581" s="4"/>
      <c r="E581" s="19" t="str">
        <f>"""GP Direct"",""Fabrikam, Inc."",""Jet GL Transactions"",""Account Index"",""137"",""Credit Amount"",""326.14000"",""Document Number"",""RTN14074"",""Debit Amount"",""0.00000"",""Vendor Name"",""Rosellen General Hospital"",""Transaction Description"",""COGS"",""Transaction Date"",""1/1/2"&amp;"014"""</f>
        <v>"GP Direct","Fabrikam, Inc.","Jet GL Transactions","Account Index","137","Credit Amount","326.14000","Document Number","RTN14074","Debit Amount","0.00000","Vendor Name","Rosellen General Hospital","Transaction Description","COGS","Transaction Date","1/1/2014"</v>
      </c>
      <c r="F581" s="4">
        <v>0</v>
      </c>
      <c r="G581" s="4">
        <v>326.14</v>
      </c>
      <c r="J581" s="31">
        <f t="shared" si="104"/>
        <v>-326.14</v>
      </c>
      <c r="K581" s="32" t="str">
        <f t="shared" si="106"/>
        <v>COGS</v>
      </c>
      <c r="L581" s="32" t="str">
        <f>"RTN14074"</f>
        <v>RTN14074</v>
      </c>
      <c r="M581" s="33">
        <v>41640</v>
      </c>
      <c r="N581" s="31"/>
      <c r="R581" s="2">
        <f t="shared" si="103"/>
        <v>120</v>
      </c>
    </row>
    <row r="582" spans="1:18" hidden="1" outlineLevel="1" x14ac:dyDescent="0.2">
      <c r="A582" s="30" t="s">
        <v>53</v>
      </c>
      <c r="C582" s="18"/>
      <c r="D582" s="4"/>
      <c r="E582" s="19" t="str">
        <f>"""GP Direct"",""Fabrikam, Inc."",""Jet GL Transactions"",""Account Index"",""137"",""Credit Amount"",""391.62000"",""Document Number"",""CM11071"",""Debit Amount"",""0.00000"",""Vendor Name"",""Advanced Tech Satellite System"",""Transaction Description"",""COGS"",""Transaction Date"",""1"&amp;"/1/2014"""</f>
        <v>"GP Direct","Fabrikam, Inc.","Jet GL Transactions","Account Index","137","Credit Amount","391.62000","Document Number","CM11071","Debit Amount","0.00000","Vendor Name","Advanced Tech Satellite System","Transaction Description","COGS","Transaction Date","1/1/2014"</v>
      </c>
      <c r="F582" s="4">
        <v>0</v>
      </c>
      <c r="G582" s="4">
        <v>391.62</v>
      </c>
      <c r="J582" s="31">
        <f t="shared" si="104"/>
        <v>-391.62</v>
      </c>
      <c r="K582" s="32" t="str">
        <f t="shared" si="106"/>
        <v>COGS</v>
      </c>
      <c r="L582" s="32" t="str">
        <f>"CM11071"</f>
        <v>CM11071</v>
      </c>
      <c r="M582" s="33">
        <v>41640</v>
      </c>
      <c r="N582" s="31"/>
      <c r="R582" s="2">
        <f t="shared" si="103"/>
        <v>121</v>
      </c>
    </row>
    <row r="583" spans="1:18" hidden="1" outlineLevel="1" x14ac:dyDescent="0.2">
      <c r="A583" s="30" t="s">
        <v>53</v>
      </c>
      <c r="C583" s="18"/>
      <c r="D583" s="4"/>
      <c r="E583" s="19" t="str">
        <f>"""GP Direct"",""Fabrikam, Inc."",""Jet GL Transactions"",""Account Index"",""137"",""Credit Amount"",""414.38000"",""Document Number"",""CM115000"",""Debit Amount"",""0.00000"",""Vendor Name"",""Coho Winery"",""Transaction Description"",""COGS"",""Transaction Date"",""1/1/2014"""</f>
        <v>"GP Direct","Fabrikam, Inc.","Jet GL Transactions","Account Index","137","Credit Amount","414.38000","Document Number","CM115000","Debit Amount","0.00000","Vendor Name","Coho Winery","Transaction Description","COGS","Transaction Date","1/1/2014"</v>
      </c>
      <c r="F583" s="4">
        <v>0</v>
      </c>
      <c r="G583" s="4">
        <v>414.38</v>
      </c>
      <c r="J583" s="31">
        <f t="shared" si="104"/>
        <v>-414.38</v>
      </c>
      <c r="K583" s="32" t="str">
        <f t="shared" si="106"/>
        <v>COGS</v>
      </c>
      <c r="L583" s="32" t="str">
        <f>"CM115000"</f>
        <v>CM115000</v>
      </c>
      <c r="M583" s="33">
        <v>41640</v>
      </c>
      <c r="N583" s="31"/>
      <c r="R583" s="2">
        <f t="shared" si="103"/>
        <v>122</v>
      </c>
    </row>
    <row r="584" spans="1:18" hidden="1" outlineLevel="1" x14ac:dyDescent="0.2">
      <c r="A584" s="30" t="s">
        <v>53</v>
      </c>
      <c r="C584" s="18"/>
      <c r="D584" s="4"/>
      <c r="E584" s="19" t="str">
        <f>"""GP Direct"",""Fabrikam, Inc."",""Jet GL Transactions"",""Account Index"",""137"",""Credit Amount"",""418.69000"",""Document Number"",""RTN14094"",""Debit Amount"",""0.00000"",""Vendor Name"",""Computer Equipment Leasing"",""Transaction Description"",""COGS"",""Transaction Date"",""1/1/"&amp;"2014"""</f>
        <v>"GP Direct","Fabrikam, Inc.","Jet GL Transactions","Account Index","137","Credit Amount","418.69000","Document Number","RTN14094","Debit Amount","0.00000","Vendor Name","Computer Equipment Leasing","Transaction Description","COGS","Transaction Date","1/1/2014"</v>
      </c>
      <c r="F584" s="4">
        <v>0</v>
      </c>
      <c r="G584" s="4">
        <v>418.69</v>
      </c>
      <c r="J584" s="31">
        <f t="shared" si="104"/>
        <v>-418.69</v>
      </c>
      <c r="K584" s="32" t="str">
        <f t="shared" si="106"/>
        <v>COGS</v>
      </c>
      <c r="L584" s="32" t="str">
        <f>"RTN14094"</f>
        <v>RTN14094</v>
      </c>
      <c r="M584" s="33">
        <v>41640</v>
      </c>
      <c r="N584" s="31"/>
      <c r="R584" s="2">
        <f t="shared" si="103"/>
        <v>123</v>
      </c>
    </row>
    <row r="585" spans="1:18" hidden="1" outlineLevel="1" x14ac:dyDescent="0.2">
      <c r="A585" s="30" t="s">
        <v>53</v>
      </c>
      <c r="C585" s="18"/>
      <c r="D585" s="4"/>
      <c r="E585" s="19" t="str">
        <f>"""GP Direct"",""Fabrikam, Inc."",""Jet GL Transactions"",""Account Index"",""137"",""Credit Amount"",""441.45000"",""Document Number"",""00000000000000026"",""Debit Amount"",""0.00000"",""Vendor Name"","""",""Transaction Description"","""",""Transaction Date"",""1/1/2014"""</f>
        <v>"GP Direct","Fabrikam, Inc.","Jet GL Transactions","Account Index","137","Credit Amount","441.45000","Document Number","00000000000000026","Debit Amount","0.00000","Vendor Name","","Transaction Description","","Transaction Date","1/1/2014"</v>
      </c>
      <c r="F585" s="4">
        <v>0</v>
      </c>
      <c r="G585" s="4">
        <v>441.45</v>
      </c>
      <c r="J585" s="31">
        <f t="shared" si="104"/>
        <v>-441.45</v>
      </c>
      <c r="K585" s="32" t="str">
        <f>""</f>
        <v/>
      </c>
      <c r="L585" s="32" t="str">
        <f>"00000000000000026"</f>
        <v>00000000000000026</v>
      </c>
      <c r="M585" s="33">
        <v>41640</v>
      </c>
      <c r="N585" s="31"/>
      <c r="R585" s="2">
        <f t="shared" si="103"/>
        <v>124</v>
      </c>
    </row>
    <row r="586" spans="1:18" hidden="1" outlineLevel="1" x14ac:dyDescent="0.2">
      <c r="A586" s="30" t="s">
        <v>53</v>
      </c>
      <c r="C586" s="18"/>
      <c r="D586" s="4"/>
      <c r="E586" s="19" t="str">
        <f>"""GP Direct"",""Fabrikam, Inc."",""Jet GL Transactions"",""Account Index"",""137"",""Credit Amount"",""452.56000"",""Document Number"",""RTN110012"",""Debit Amount"",""0.00000"",""Vendor Name"",""Super Foods Plus"",""Transaction Description"",""COGS"",""Transaction Date"",""1/1/2014"""</f>
        <v>"GP Direct","Fabrikam, Inc.","Jet GL Transactions","Account Index","137","Credit Amount","452.56000","Document Number","RTN110012","Debit Amount","0.00000","Vendor Name","Super Foods Plus","Transaction Description","COGS","Transaction Date","1/1/2014"</v>
      </c>
      <c r="F586" s="4">
        <v>0</v>
      </c>
      <c r="G586" s="4">
        <v>452.56</v>
      </c>
      <c r="J586" s="31">
        <f t="shared" si="104"/>
        <v>-452.56</v>
      </c>
      <c r="K586" s="32" t="str">
        <f t="shared" ref="K586:K600" si="107">"COGS"</f>
        <v>COGS</v>
      </c>
      <c r="L586" s="32" t="str">
        <f>"RTN110012"</f>
        <v>RTN110012</v>
      </c>
      <c r="M586" s="33">
        <v>41640</v>
      </c>
      <c r="N586" s="31"/>
      <c r="R586" s="2">
        <f t="shared" si="103"/>
        <v>125</v>
      </c>
    </row>
    <row r="587" spans="1:18" hidden="1" outlineLevel="1" x14ac:dyDescent="0.2">
      <c r="A587" s="30" t="s">
        <v>53</v>
      </c>
      <c r="C587" s="18"/>
      <c r="D587" s="4"/>
      <c r="E587" s="19" t="str">
        <f>"""GP Direct"",""Fabrikam, Inc."",""Jet GL Transactions"",""Account Index"",""137"",""Credit Amount"",""466.22000"",""Document Number"",""CM17000"",""Debit Amount"",""0.00000"",""Vendor Name"",""Crawfords, Inc."",""Transaction Description"",""COGS"",""Transaction Date"",""1/1/2014"""</f>
        <v>"GP Direct","Fabrikam, Inc.","Jet GL Transactions","Account Index","137","Credit Amount","466.22000","Document Number","CM17000","Debit Amount","0.00000","Vendor Name","Crawfords, Inc.","Transaction Description","COGS","Transaction Date","1/1/2014"</v>
      </c>
      <c r="F587" s="4">
        <v>0</v>
      </c>
      <c r="G587" s="4">
        <v>466.22</v>
      </c>
      <c r="J587" s="31">
        <f t="shared" si="104"/>
        <v>-466.22</v>
      </c>
      <c r="K587" s="32" t="str">
        <f t="shared" si="107"/>
        <v>COGS</v>
      </c>
      <c r="L587" s="32" t="str">
        <f>"CM17000"</f>
        <v>CM17000</v>
      </c>
      <c r="M587" s="33">
        <v>41640</v>
      </c>
      <c r="N587" s="31"/>
      <c r="R587" s="2">
        <f t="shared" si="103"/>
        <v>126</v>
      </c>
    </row>
    <row r="588" spans="1:18" hidden="1" outlineLevel="1" x14ac:dyDescent="0.2">
      <c r="A588" s="30" t="s">
        <v>53</v>
      </c>
      <c r="C588" s="18"/>
      <c r="D588" s="4"/>
      <c r="E588" s="19" t="str">
        <f>"""GP Direct"",""Fabrikam, Inc."",""Jet GL Transactions"",""Account Index"",""137"",""Credit Amount"",""547.44000"",""Document Number"",""RTN116013"",""Debit Amount"",""0.00000"",""Vendor Name"",""Reynolds State College"",""Transaction Description"",""COGS"",""Transaction Date"",""1/1/201"&amp;"4"""</f>
        <v>"GP Direct","Fabrikam, Inc.","Jet GL Transactions","Account Index","137","Credit Amount","547.44000","Document Number","RTN116013","Debit Amount","0.00000","Vendor Name","Reynolds State College","Transaction Description","COGS","Transaction Date","1/1/2014"</v>
      </c>
      <c r="F588" s="4">
        <v>0</v>
      </c>
      <c r="G588" s="4">
        <v>547.44000000000005</v>
      </c>
      <c r="J588" s="31">
        <f t="shared" si="104"/>
        <v>-547.44000000000005</v>
      </c>
      <c r="K588" s="32" t="str">
        <f t="shared" si="107"/>
        <v>COGS</v>
      </c>
      <c r="L588" s="32" t="str">
        <f>"RTN116013"</f>
        <v>RTN116013</v>
      </c>
      <c r="M588" s="33">
        <v>41640</v>
      </c>
      <c r="N588" s="31"/>
      <c r="R588" s="2">
        <f t="shared" si="103"/>
        <v>127</v>
      </c>
    </row>
    <row r="589" spans="1:18" hidden="1" outlineLevel="1" x14ac:dyDescent="0.2">
      <c r="A589" s="30" t="s">
        <v>53</v>
      </c>
      <c r="C589" s="18"/>
      <c r="D589" s="4"/>
      <c r="E589" s="19" t="str">
        <f>"""GP Direct"",""Fabrikam, Inc."",""Jet GL Transactions"",""Account Index"",""137"",""Credit Amount"",""646.09000"",""Document Number"",""CM121001"",""Debit Amount"",""0.00000"",""Vendor Name"",""Rainbow Research"",""Transaction Description"",""COGS"",""Transaction Date"",""1/1/2014"""</f>
        <v>"GP Direct","Fabrikam, Inc.","Jet GL Transactions","Account Index","137","Credit Amount","646.09000","Document Number","CM121001","Debit Amount","0.00000","Vendor Name","Rainbow Research","Transaction Description","COGS","Transaction Date","1/1/2014"</v>
      </c>
      <c r="F589" s="4">
        <v>0</v>
      </c>
      <c r="G589" s="4">
        <v>646.09</v>
      </c>
      <c r="J589" s="31">
        <f t="shared" si="104"/>
        <v>-646.09</v>
      </c>
      <c r="K589" s="32" t="str">
        <f t="shared" si="107"/>
        <v>COGS</v>
      </c>
      <c r="L589" s="32" t="str">
        <f>"CM121001"</f>
        <v>CM121001</v>
      </c>
      <c r="M589" s="33">
        <v>41640</v>
      </c>
      <c r="N589" s="31"/>
      <c r="R589" s="2">
        <f t="shared" si="103"/>
        <v>128</v>
      </c>
    </row>
    <row r="590" spans="1:18" hidden="1" outlineLevel="1" x14ac:dyDescent="0.2">
      <c r="A590" s="30" t="s">
        <v>53</v>
      </c>
      <c r="C590" s="18"/>
      <c r="D590" s="4"/>
      <c r="E590" s="19" t="str">
        <f>"""GP Direct"",""Fabrikam, Inc."",""Jet GL Transactions"",""Account Index"",""137"",""Credit Amount"",""679.05000"",""Document Number"",""CM110032"",""Debit Amount"",""0.00000"",""Vendor Name"",""Plaza One"",""Transaction Description"",""COGS"",""Transaction Date"",""1/1/2014"""</f>
        <v>"GP Direct","Fabrikam, Inc.","Jet GL Transactions","Account Index","137","Credit Amount","679.05000","Document Number","CM110032","Debit Amount","0.00000","Vendor Name","Plaza One","Transaction Description","COGS","Transaction Date","1/1/2014"</v>
      </c>
      <c r="F590" s="4">
        <v>0</v>
      </c>
      <c r="G590" s="4">
        <v>679.05</v>
      </c>
      <c r="J590" s="31">
        <f t="shared" ref="J590:J621" si="108">IF(AND(F590="",G590=""),"",$F590-$G590)</f>
        <v>-679.05</v>
      </c>
      <c r="K590" s="32" t="str">
        <f t="shared" si="107"/>
        <v>COGS</v>
      </c>
      <c r="L590" s="32" t="str">
        <f>"CM110032"</f>
        <v>CM110032</v>
      </c>
      <c r="M590" s="33">
        <v>41640</v>
      </c>
      <c r="N590" s="31"/>
      <c r="R590" s="2">
        <f t="shared" si="103"/>
        <v>129</v>
      </c>
    </row>
    <row r="591" spans="1:18" hidden="1" outlineLevel="1" x14ac:dyDescent="0.2">
      <c r="A591" s="30" t="s">
        <v>53</v>
      </c>
      <c r="C591" s="18"/>
      <c r="D591" s="4"/>
      <c r="E591" s="19" t="str">
        <f>"""GP Direct"",""Fabrikam, Inc."",""Jet GL Transactions"",""Account Index"",""137"",""Credit Amount"",""712.55000"",""Document Number"",""RTN113011"",""Debit Amount"",""0.00000"",""Vendor Name"",""S &amp; S Properties"",""Transaction Description"",""COGS"",""Transaction Date"",""1/1/2014"""</f>
        <v>"GP Direct","Fabrikam, Inc.","Jet GL Transactions","Account Index","137","Credit Amount","712.55000","Document Number","RTN113011","Debit Amount","0.00000","Vendor Name","S &amp; S Properties","Transaction Description","COGS","Transaction Date","1/1/2014"</v>
      </c>
      <c r="F591" s="4">
        <v>0</v>
      </c>
      <c r="G591" s="4">
        <v>712.55</v>
      </c>
      <c r="J591" s="31">
        <f t="shared" si="108"/>
        <v>-712.55</v>
      </c>
      <c r="K591" s="32" t="str">
        <f t="shared" si="107"/>
        <v>COGS</v>
      </c>
      <c r="L591" s="32" t="str">
        <f>"RTN113011"</f>
        <v>RTN113011</v>
      </c>
      <c r="M591" s="33">
        <v>41640</v>
      </c>
      <c r="N591" s="31"/>
      <c r="R591" s="2">
        <f t="shared" ref="R591:R628" si="109">R590+1</f>
        <v>130</v>
      </c>
    </row>
    <row r="592" spans="1:18" hidden="1" outlineLevel="1" x14ac:dyDescent="0.2">
      <c r="A592" s="30" t="s">
        <v>53</v>
      </c>
      <c r="C592" s="18"/>
      <c r="D592" s="4"/>
      <c r="E592" s="19" t="str">
        <f>"""GP Direct"",""Fabrikam, Inc."",""Jet GL Transactions"",""Account Index"",""137"",""Credit Amount"",""795.76000"",""Document Number"",""RTN13073"",""Debit Amount"",""0.00000"",""Vendor Name"",""Communication Connections"",""Transaction Description"",""COGS"",""Transaction Date"",""1/1/2"&amp;"014"""</f>
        <v>"GP Direct","Fabrikam, Inc.","Jet GL Transactions","Account Index","137","Credit Amount","795.76000","Document Number","RTN13073","Debit Amount","0.00000","Vendor Name","Communication Connections","Transaction Description","COGS","Transaction Date","1/1/2014"</v>
      </c>
      <c r="F592" s="4">
        <v>0</v>
      </c>
      <c r="G592" s="4">
        <v>795.76</v>
      </c>
      <c r="J592" s="31">
        <f t="shared" si="108"/>
        <v>-795.76</v>
      </c>
      <c r="K592" s="32" t="str">
        <f t="shared" si="107"/>
        <v>COGS</v>
      </c>
      <c r="L592" s="32" t="str">
        <f>"RTN13073"</f>
        <v>RTN13073</v>
      </c>
      <c r="M592" s="33">
        <v>41640</v>
      </c>
      <c r="N592" s="31"/>
      <c r="R592" s="2">
        <f t="shared" si="109"/>
        <v>131</v>
      </c>
    </row>
    <row r="593" spans="1:18" hidden="1" outlineLevel="1" x14ac:dyDescent="0.2">
      <c r="A593" s="30" t="s">
        <v>53</v>
      </c>
      <c r="C593" s="18"/>
      <c r="D593" s="4"/>
      <c r="E593" s="19" t="str">
        <f>"""GP Direct"",""Fabrikam, Inc."",""Jet GL Transactions"",""Account Index"",""137"",""Credit Amount"",""819.87000"",""Document Number"",""RTN14060"",""Debit Amount"",""0.00000"",""Vendor Name"",""Novia Scotia Tech. Institute"",""Transaction Description"",""COGS"",""Transaction Date"",""1/"&amp;"1/2014"""</f>
        <v>"GP Direct","Fabrikam, Inc.","Jet GL Transactions","Account Index","137","Credit Amount","819.87000","Document Number","RTN14060","Debit Amount","0.00000","Vendor Name","Novia Scotia Tech. Institute","Transaction Description","COGS","Transaction Date","1/1/2014"</v>
      </c>
      <c r="F593" s="4">
        <v>0</v>
      </c>
      <c r="G593" s="4">
        <v>819.87</v>
      </c>
      <c r="J593" s="31">
        <f t="shared" si="108"/>
        <v>-819.87</v>
      </c>
      <c r="K593" s="32" t="str">
        <f t="shared" si="107"/>
        <v>COGS</v>
      </c>
      <c r="L593" s="32" t="str">
        <f>"RTN14060"</f>
        <v>RTN14060</v>
      </c>
      <c r="M593" s="33">
        <v>41640</v>
      </c>
      <c r="N593" s="31"/>
      <c r="R593" s="2">
        <f t="shared" si="109"/>
        <v>132</v>
      </c>
    </row>
    <row r="594" spans="1:18" hidden="1" outlineLevel="1" x14ac:dyDescent="0.2">
      <c r="A594" s="30" t="s">
        <v>53</v>
      </c>
      <c r="C594" s="18"/>
      <c r="D594" s="4"/>
      <c r="E594" s="19" t="str">
        <f>"""GP Direct"",""Fabrikam, Inc."",""Jet GL Transactions"",""Account Index"",""137"",""Credit Amount"",""829.39000"",""Document Number"",""CM122001"",""Debit Amount"",""0.00000"",""Vendor Name"",""Pacific Digital"",""Transaction Description"",""COGS"",""Transaction Date"",""1/1/2014"""</f>
        <v>"GP Direct","Fabrikam, Inc.","Jet GL Transactions","Account Index","137","Credit Amount","829.39000","Document Number","CM122001","Debit Amount","0.00000","Vendor Name","Pacific Digital","Transaction Description","COGS","Transaction Date","1/1/2014"</v>
      </c>
      <c r="F594" s="4">
        <v>0</v>
      </c>
      <c r="G594" s="4">
        <v>829.39</v>
      </c>
      <c r="J594" s="31">
        <f t="shared" si="108"/>
        <v>-829.39</v>
      </c>
      <c r="K594" s="32" t="str">
        <f t="shared" si="107"/>
        <v>COGS</v>
      </c>
      <c r="L594" s="32" t="str">
        <f>"CM122001"</f>
        <v>CM122001</v>
      </c>
      <c r="M594" s="33">
        <v>41640</v>
      </c>
      <c r="N594" s="31"/>
      <c r="R594" s="2">
        <f t="shared" si="109"/>
        <v>133</v>
      </c>
    </row>
    <row r="595" spans="1:18" hidden="1" outlineLevel="1" x14ac:dyDescent="0.2">
      <c r="A595" s="30" t="s">
        <v>53</v>
      </c>
      <c r="C595" s="18"/>
      <c r="D595" s="4"/>
      <c r="E595" s="19" t="str">
        <f>"""GP Direct"",""Fabrikam, Inc."",""Jet GL Transactions"",""Account Index"",""137"",""Credit Amount"",""831.67000"",""Document Number"",""RTN12092"",""Debit Amount"",""0.00000"",""Vendor Name"",""Boyle's Country Inn's"",""Transaction Description"",""COGS"",""Transaction Date"",""1/1/2014"""</f>
        <v>"GP Direct","Fabrikam, Inc.","Jet GL Transactions","Account Index","137","Credit Amount","831.67000","Document Number","RTN12092","Debit Amount","0.00000","Vendor Name","Boyle's Country Inn's","Transaction Description","COGS","Transaction Date","1/1/2014"</v>
      </c>
      <c r="F595" s="4">
        <v>0</v>
      </c>
      <c r="G595" s="4">
        <v>831.67</v>
      </c>
      <c r="J595" s="31">
        <f t="shared" si="108"/>
        <v>-831.67</v>
      </c>
      <c r="K595" s="32" t="str">
        <f t="shared" si="107"/>
        <v>COGS</v>
      </c>
      <c r="L595" s="32" t="str">
        <f>"RTN12092"</f>
        <v>RTN12092</v>
      </c>
      <c r="M595" s="33">
        <v>41640</v>
      </c>
      <c r="N595" s="31"/>
      <c r="R595" s="2">
        <f t="shared" si="109"/>
        <v>134</v>
      </c>
    </row>
    <row r="596" spans="1:18" hidden="1" outlineLevel="1" x14ac:dyDescent="0.2">
      <c r="A596" s="30" t="s">
        <v>53</v>
      </c>
      <c r="C596" s="18"/>
      <c r="D596" s="4"/>
      <c r="E596" s="19" t="str">
        <f>"""GP Direct"",""Fabrikam, Inc."",""Jet GL Transactions"",""Account Index"",""137"",""Credit Amount"",""849.19000"",""Document Number"",""CM126002"",""Debit Amount"",""0.00000"",""Vendor Name"",""Snelling Communications Inc."",""Transaction Description"",""COGS"",""Transaction Date"",""1/"&amp;"1/2014"""</f>
        <v>"GP Direct","Fabrikam, Inc.","Jet GL Transactions","Account Index","137","Credit Amount","849.19000","Document Number","CM126002","Debit Amount","0.00000","Vendor Name","Snelling Communications Inc.","Transaction Description","COGS","Transaction Date","1/1/2014"</v>
      </c>
      <c r="F596" s="4">
        <v>0</v>
      </c>
      <c r="G596" s="4">
        <v>849.19</v>
      </c>
      <c r="J596" s="31">
        <f t="shared" si="108"/>
        <v>-849.19</v>
      </c>
      <c r="K596" s="32" t="str">
        <f t="shared" si="107"/>
        <v>COGS</v>
      </c>
      <c r="L596" s="32" t="str">
        <f>"CM126002"</f>
        <v>CM126002</v>
      </c>
      <c r="M596" s="33">
        <v>41640</v>
      </c>
      <c r="N596" s="31"/>
      <c r="R596" s="2">
        <f t="shared" si="109"/>
        <v>135</v>
      </c>
    </row>
    <row r="597" spans="1:18" hidden="1" outlineLevel="1" x14ac:dyDescent="0.2">
      <c r="A597" s="30" t="s">
        <v>53</v>
      </c>
      <c r="C597" s="18"/>
      <c r="D597" s="4"/>
      <c r="E597" s="19" t="str">
        <f>"""GP Direct"",""Fabrikam, Inc."",""Jet GL Transactions"",""Account Index"",""137"",""Credit Amount"",""914.90000"",""Document Number"",""CM110000"",""Debit Amount"",""0.00000"",""Vendor Name"",""Holling Communications Inc."",""Transaction Description"",""COGS"",""Transaction Date"",""1/1"&amp;"/2014"""</f>
        <v>"GP Direct","Fabrikam, Inc.","Jet GL Transactions","Account Index","137","Credit Amount","914.90000","Document Number","CM110000","Debit Amount","0.00000","Vendor Name","Holling Communications Inc.","Transaction Description","COGS","Transaction Date","1/1/2014"</v>
      </c>
      <c r="F597" s="4">
        <v>0</v>
      </c>
      <c r="G597" s="4">
        <v>914.9</v>
      </c>
      <c r="J597" s="31">
        <f t="shared" si="108"/>
        <v>-914.9</v>
      </c>
      <c r="K597" s="32" t="str">
        <f t="shared" si="107"/>
        <v>COGS</v>
      </c>
      <c r="L597" s="32" t="str">
        <f>"CM110000"</f>
        <v>CM110000</v>
      </c>
      <c r="M597" s="33">
        <v>41640</v>
      </c>
      <c r="N597" s="31"/>
      <c r="R597" s="2">
        <f t="shared" si="109"/>
        <v>136</v>
      </c>
    </row>
    <row r="598" spans="1:18" hidden="1" outlineLevel="1" x14ac:dyDescent="0.2">
      <c r="A598" s="30" t="s">
        <v>53</v>
      </c>
      <c r="C598" s="18"/>
      <c r="D598" s="4"/>
      <c r="E598" s="19" t="str">
        <f>"""GP Direct"",""Fabrikam, Inc."",""Jet GL Transactions"",""Account Index"",""137"",""Credit Amount"",""927.39000"",""Document Number"",""TRN17083"",""Debit Amount"",""0.00000"",""Vendor Name"",""Place &amp; MacDero Associates"",""Transaction Description"",""COGS"",""Transaction Date"",""1/1/"&amp;"2014"""</f>
        <v>"GP Direct","Fabrikam, Inc.","Jet GL Transactions","Account Index","137","Credit Amount","927.39000","Document Number","TRN17083","Debit Amount","0.00000","Vendor Name","Place &amp; MacDero Associates","Transaction Description","COGS","Transaction Date","1/1/2014"</v>
      </c>
      <c r="F598" s="4">
        <v>0</v>
      </c>
      <c r="G598" s="4">
        <v>927.39</v>
      </c>
      <c r="J598" s="31">
        <f t="shared" si="108"/>
        <v>-927.39</v>
      </c>
      <c r="K598" s="32" t="str">
        <f t="shared" si="107"/>
        <v>COGS</v>
      </c>
      <c r="L598" s="32" t="str">
        <f>"TRN17083"</f>
        <v>TRN17083</v>
      </c>
      <c r="M598" s="33">
        <v>41640</v>
      </c>
      <c r="N598" s="31"/>
      <c r="R598" s="2">
        <f t="shared" si="109"/>
        <v>137</v>
      </c>
    </row>
    <row r="599" spans="1:18" hidden="1" outlineLevel="1" x14ac:dyDescent="0.2">
      <c r="A599" s="30" t="s">
        <v>53</v>
      </c>
      <c r="C599" s="18"/>
      <c r="D599" s="4"/>
      <c r="E599" s="19" t="str">
        <f>"""GP Direct"",""Fabrikam, Inc."",""Jet GL Transactions"",""Account Index"",""137"",""Credit Amount"",""944.00000"",""Document Number"",""CM115054"",""Debit Amount"",""0.00000"",""Vendor Name"",""Berry Medical Center"",""Transaction Description"",""COGS"",""Transaction Date"",""1/1/2014"""</f>
        <v>"GP Direct","Fabrikam, Inc.","Jet GL Transactions","Account Index","137","Credit Amount","944.00000","Document Number","CM115054","Debit Amount","0.00000","Vendor Name","Berry Medical Center","Transaction Description","COGS","Transaction Date","1/1/2014"</v>
      </c>
      <c r="F599" s="4">
        <v>0</v>
      </c>
      <c r="G599" s="4">
        <v>944</v>
      </c>
      <c r="J599" s="31">
        <f t="shared" si="108"/>
        <v>-944</v>
      </c>
      <c r="K599" s="32" t="str">
        <f t="shared" si="107"/>
        <v>COGS</v>
      </c>
      <c r="L599" s="32" t="str">
        <f>"CM115054"</f>
        <v>CM115054</v>
      </c>
      <c r="M599" s="33">
        <v>41640</v>
      </c>
      <c r="N599" s="31"/>
      <c r="R599" s="2">
        <f t="shared" si="109"/>
        <v>138</v>
      </c>
    </row>
    <row r="600" spans="1:18" hidden="1" outlineLevel="1" x14ac:dyDescent="0.2">
      <c r="A600" s="30" t="s">
        <v>53</v>
      </c>
      <c r="C600" s="18"/>
      <c r="D600" s="4"/>
      <c r="E600" s="19" t="str">
        <f>"""GP Direct"",""Fabrikam, Inc."",""Jet GL Transactions"",""Account Index"",""137"",""Credit Amount"",""974.63000"",""Document Number"",""RTN14010"",""Debit Amount"",""0.00000"",""Vendor Name"",""Astor Suites"",""Transaction Description"",""COGS"",""Transaction Date"",""1/1/2014"""</f>
        <v>"GP Direct","Fabrikam, Inc.","Jet GL Transactions","Account Index","137","Credit Amount","974.63000","Document Number","RTN14010","Debit Amount","0.00000","Vendor Name","Astor Suites","Transaction Description","COGS","Transaction Date","1/1/2014"</v>
      </c>
      <c r="F600" s="4">
        <v>0</v>
      </c>
      <c r="G600" s="4">
        <v>974.63</v>
      </c>
      <c r="J600" s="31">
        <f t="shared" si="108"/>
        <v>-974.63</v>
      </c>
      <c r="K600" s="32" t="str">
        <f t="shared" si="107"/>
        <v>COGS</v>
      </c>
      <c r="L600" s="32" t="str">
        <f>"RTN14010"</f>
        <v>RTN14010</v>
      </c>
      <c r="M600" s="33">
        <v>41640</v>
      </c>
      <c r="N600" s="31"/>
      <c r="R600" s="2">
        <f t="shared" si="109"/>
        <v>139</v>
      </c>
    </row>
    <row r="601" spans="1:18" hidden="1" outlineLevel="1" x14ac:dyDescent="0.2">
      <c r="A601" s="30" t="s">
        <v>53</v>
      </c>
      <c r="C601" s="18"/>
      <c r="D601" s="4"/>
      <c r="E601" s="19" t="str">
        <f>"""GP Direct"",""Fabrikam, Inc."",""Jet GL Transactions"",""Account Index"",""137"",""Credit Amount"",""1130.00000"",""Document Number"",""00000000000000026"",""Debit Amount"",""0.00000"",""Vendor Name"","""",""Transaction Description"","""",""Transaction Date"",""1/1/2014"""</f>
        <v>"GP Direct","Fabrikam, Inc.","Jet GL Transactions","Account Index","137","Credit Amount","1130.00000","Document Number","00000000000000026","Debit Amount","0.00000","Vendor Name","","Transaction Description","","Transaction Date","1/1/2014"</v>
      </c>
      <c r="F601" s="4">
        <v>0</v>
      </c>
      <c r="G601" s="4">
        <v>1130</v>
      </c>
      <c r="J601" s="31">
        <f t="shared" si="108"/>
        <v>-1130</v>
      </c>
      <c r="K601" s="32" t="str">
        <f>""</f>
        <v/>
      </c>
      <c r="L601" s="32" t="str">
        <f>"00000000000000026"</f>
        <v>00000000000000026</v>
      </c>
      <c r="M601" s="33">
        <v>41640</v>
      </c>
      <c r="N601" s="31"/>
      <c r="R601" s="2">
        <f t="shared" si="109"/>
        <v>140</v>
      </c>
    </row>
    <row r="602" spans="1:18" hidden="1" outlineLevel="1" x14ac:dyDescent="0.2">
      <c r="A602" s="30" t="s">
        <v>53</v>
      </c>
      <c r="C602" s="18"/>
      <c r="D602" s="4"/>
      <c r="E602" s="19" t="str">
        <f>"""GP Direct"",""Fabrikam, Inc."",""Jet GL Transactions"",""Account Index"",""137"",""Credit Amount"",""1146.86000"",""Document Number"",""RTN13021"",""Debit Amount"",""0.00000"",""Vendor Name"",""Contoso, Ltd."",""Transaction Description"",""COGS"",""Transaction Date"",""1/1/2014"""</f>
        <v>"GP Direct","Fabrikam, Inc.","Jet GL Transactions","Account Index","137","Credit Amount","1146.86000","Document Number","RTN13021","Debit Amount","0.00000","Vendor Name","Contoso, Ltd.","Transaction Description","COGS","Transaction Date","1/1/2014"</v>
      </c>
      <c r="F602" s="4">
        <v>0</v>
      </c>
      <c r="G602" s="4">
        <v>1146.8599999999999</v>
      </c>
      <c r="J602" s="31">
        <f t="shared" si="108"/>
        <v>-1146.8599999999999</v>
      </c>
      <c r="K602" s="32" t="str">
        <f>"COGS"</f>
        <v>COGS</v>
      </c>
      <c r="L602" s="32" t="str">
        <f>"RTN13021"</f>
        <v>RTN13021</v>
      </c>
      <c r="M602" s="33">
        <v>41640</v>
      </c>
      <c r="N602" s="31"/>
      <c r="R602" s="2">
        <f t="shared" si="109"/>
        <v>141</v>
      </c>
    </row>
    <row r="603" spans="1:18" hidden="1" outlineLevel="1" x14ac:dyDescent="0.2">
      <c r="A603" s="30" t="s">
        <v>53</v>
      </c>
      <c r="C603" s="18"/>
      <c r="D603" s="4"/>
      <c r="E603" s="19" t="str">
        <f>"""GP Direct"",""Fabrikam, Inc."",""Jet GL Transactions"",""Account Index"",""137"",""Credit Amount"",""1158.31000"",""Document Number"",""RTN13022"",""Debit Amount"",""0.00000"",""Vendor Name"",""Contoso, Ltd."",""Transaction Description"",""COGS"",""Transaction Date"",""1/1/2014"""</f>
        <v>"GP Direct","Fabrikam, Inc.","Jet GL Transactions","Account Index","137","Credit Amount","1158.31000","Document Number","RTN13022","Debit Amount","0.00000","Vendor Name","Contoso, Ltd.","Transaction Description","COGS","Transaction Date","1/1/2014"</v>
      </c>
      <c r="F603" s="4">
        <v>0</v>
      </c>
      <c r="G603" s="4">
        <v>1158.31</v>
      </c>
      <c r="J603" s="31">
        <f t="shared" si="108"/>
        <v>-1158.31</v>
      </c>
      <c r="K603" s="32" t="str">
        <f>"COGS"</f>
        <v>COGS</v>
      </c>
      <c r="L603" s="32" t="str">
        <f>"RTN13022"</f>
        <v>RTN13022</v>
      </c>
      <c r="M603" s="33">
        <v>41640</v>
      </c>
      <c r="N603" s="31"/>
      <c r="R603" s="2">
        <f t="shared" si="109"/>
        <v>142</v>
      </c>
    </row>
    <row r="604" spans="1:18" hidden="1" outlineLevel="1" x14ac:dyDescent="0.2">
      <c r="A604" s="30" t="s">
        <v>53</v>
      </c>
      <c r="C604" s="18"/>
      <c r="D604" s="4"/>
      <c r="E604" s="19" t="str">
        <f>"""GP Direct"",""Fabrikam, Inc."",""Jet GL Transactions"",""Account Index"",""137"",""Credit Amount"",""1239.48000"",""Document Number"",""RTN17080"",""Debit Amount"",""0.00000"",""Vendor Name"",""Place &amp; MacDero Associates"",""Transaction Description"",""COGS"",""Transaction Date"",""1/1"&amp;"/2014"""</f>
        <v>"GP Direct","Fabrikam, Inc.","Jet GL Transactions","Account Index","137","Credit Amount","1239.48000","Document Number","RTN17080","Debit Amount","0.00000","Vendor Name","Place &amp; MacDero Associates","Transaction Description","COGS","Transaction Date","1/1/2014"</v>
      </c>
      <c r="F604" s="4">
        <v>0</v>
      </c>
      <c r="G604" s="4">
        <v>1239.48</v>
      </c>
      <c r="J604" s="31">
        <f t="shared" si="108"/>
        <v>-1239.48</v>
      </c>
      <c r="K604" s="32" t="str">
        <f>"COGS"</f>
        <v>COGS</v>
      </c>
      <c r="L604" s="32" t="str">
        <f>"RTN17080"</f>
        <v>RTN17080</v>
      </c>
      <c r="M604" s="33">
        <v>41640</v>
      </c>
      <c r="N604" s="31"/>
      <c r="R604" s="2">
        <f t="shared" si="109"/>
        <v>143</v>
      </c>
    </row>
    <row r="605" spans="1:18" hidden="1" outlineLevel="1" x14ac:dyDescent="0.2">
      <c r="A605" s="30" t="s">
        <v>53</v>
      </c>
      <c r="C605" s="18"/>
      <c r="D605" s="4"/>
      <c r="E605" s="19" t="str">
        <f>"""GP Direct"",""Fabrikam, Inc."",""Jet GL Transactions"",""Account Index"",""137"",""Credit Amount"",""1543.60000"",""Document Number"",""00000000000000026"",""Debit Amount"",""0.00000"",""Vendor Name"","""",""Transaction Description"","""",""Transaction Date"",""1/1/2014"""</f>
        <v>"GP Direct","Fabrikam, Inc.","Jet GL Transactions","Account Index","137","Credit Amount","1543.60000","Document Number","00000000000000026","Debit Amount","0.00000","Vendor Name","","Transaction Description","","Transaction Date","1/1/2014"</v>
      </c>
      <c r="F605" s="4">
        <v>0</v>
      </c>
      <c r="G605" s="4">
        <v>1543.6</v>
      </c>
      <c r="J605" s="31">
        <f t="shared" si="108"/>
        <v>-1543.6</v>
      </c>
      <c r="K605" s="32" t="str">
        <f>""</f>
        <v/>
      </c>
      <c r="L605" s="32" t="str">
        <f>"00000000000000026"</f>
        <v>00000000000000026</v>
      </c>
      <c r="M605" s="33">
        <v>41640</v>
      </c>
      <c r="N605" s="31"/>
      <c r="R605" s="2">
        <f t="shared" si="109"/>
        <v>144</v>
      </c>
    </row>
    <row r="606" spans="1:18" hidden="1" outlineLevel="1" x14ac:dyDescent="0.2">
      <c r="A606" s="30" t="s">
        <v>53</v>
      </c>
      <c r="C606" s="18"/>
      <c r="D606" s="4"/>
      <c r="E606" s="19" t="str">
        <f>"""GP Direct"",""Fabrikam, Inc."",""Jet GL Transactions"",""Account Index"",""137"",""Credit Amount"",""1796.11000"",""Document Number"",""RTN12010"",""Debit Amount"",""0.00000"",""Vendor Name"",""World Enterprises"",""Transaction Description"",""COGS"",""Transaction Date"",""1/1/2014"""</f>
        <v>"GP Direct","Fabrikam, Inc.","Jet GL Transactions","Account Index","137","Credit Amount","1796.11000","Document Number","RTN12010","Debit Amount","0.00000","Vendor Name","World Enterprises","Transaction Description","COGS","Transaction Date","1/1/2014"</v>
      </c>
      <c r="F606" s="4">
        <v>0</v>
      </c>
      <c r="G606" s="4">
        <v>1796.11</v>
      </c>
      <c r="J606" s="31">
        <f t="shared" si="108"/>
        <v>-1796.11</v>
      </c>
      <c r="K606" s="32" t="str">
        <f>"COGS"</f>
        <v>COGS</v>
      </c>
      <c r="L606" s="32" t="str">
        <f>"RTN12010"</f>
        <v>RTN12010</v>
      </c>
      <c r="M606" s="33">
        <v>41640</v>
      </c>
      <c r="N606" s="31"/>
      <c r="R606" s="2">
        <f t="shared" si="109"/>
        <v>145</v>
      </c>
    </row>
    <row r="607" spans="1:18" hidden="1" outlineLevel="1" x14ac:dyDescent="0.2">
      <c r="A607" s="30" t="s">
        <v>53</v>
      </c>
      <c r="C607" s="18"/>
      <c r="D607" s="4"/>
      <c r="E607" s="19" t="str">
        <f>"""GP Direct"",""Fabrikam, Inc."",""Jet GL Transactions"",""Account Index"",""137"",""Credit Amount"",""3564.68000"",""Document Number"",""CM111000"",""Debit Amount"",""0.00000"",""Vendor Name"",""International Mailing Corp."",""Transaction Description"",""COGS"",""Transaction Date"",""1/"&amp;"1/2014"""</f>
        <v>"GP Direct","Fabrikam, Inc.","Jet GL Transactions","Account Index","137","Credit Amount","3564.68000","Document Number","CM111000","Debit Amount","0.00000","Vendor Name","International Mailing Corp.","Transaction Description","COGS","Transaction Date","1/1/2014"</v>
      </c>
      <c r="F607" s="4">
        <v>0</v>
      </c>
      <c r="G607" s="4">
        <v>3564.68</v>
      </c>
      <c r="J607" s="31">
        <f t="shared" si="108"/>
        <v>-3564.68</v>
      </c>
      <c r="K607" s="32" t="str">
        <f>"COGS"</f>
        <v>COGS</v>
      </c>
      <c r="L607" s="32" t="str">
        <f>"CM111000"</f>
        <v>CM111000</v>
      </c>
      <c r="M607" s="33">
        <v>41640</v>
      </c>
      <c r="N607" s="31"/>
      <c r="R607" s="2">
        <f t="shared" si="109"/>
        <v>146</v>
      </c>
    </row>
    <row r="608" spans="1:18" hidden="1" outlineLevel="1" x14ac:dyDescent="0.2">
      <c r="A608" s="30" t="s">
        <v>53</v>
      </c>
      <c r="C608" s="18"/>
      <c r="D608" s="4"/>
      <c r="E608" s="19" t="str">
        <f>"""GP Direct"",""Fabrikam, Inc."",""Jet GL Transactions"",""Account Index"",""137"",""Credit Amount"",""4623.36000"",""Document Number"",""RTN13031"",""Debit Amount"",""0.00000"",""Vendor Name"",""Central Distributing"",""Transaction Description"",""COGS"",""Transaction Date"",""1/1/2014"""</f>
        <v>"GP Direct","Fabrikam, Inc.","Jet GL Transactions","Account Index","137","Credit Amount","4623.36000","Document Number","RTN13031","Debit Amount","0.00000","Vendor Name","Central Distributing","Transaction Description","COGS","Transaction Date","1/1/2014"</v>
      </c>
      <c r="F608" s="4">
        <v>0</v>
      </c>
      <c r="G608" s="4">
        <v>4623.3599999999997</v>
      </c>
      <c r="J608" s="31">
        <f t="shared" si="108"/>
        <v>-4623.3599999999997</v>
      </c>
      <c r="K608" s="32" t="str">
        <f>"COGS"</f>
        <v>COGS</v>
      </c>
      <c r="L608" s="32" t="str">
        <f>"RTN13031"</f>
        <v>RTN13031</v>
      </c>
      <c r="M608" s="33">
        <v>41640</v>
      </c>
      <c r="N608" s="31"/>
      <c r="R608" s="2">
        <f t="shared" si="109"/>
        <v>147</v>
      </c>
    </row>
    <row r="609" spans="1:18" hidden="1" outlineLevel="1" x14ac:dyDescent="0.2">
      <c r="A609" s="30" t="s">
        <v>53</v>
      </c>
      <c r="C609" s="18"/>
      <c r="D609" s="4"/>
      <c r="E609" s="19" t="str">
        <f>"""GP Direct"",""Fabrikam, Inc."",""Jet GL Transactions"",""Account Index"",""137"",""Credit Amount"",""38901.25000"",""Document Number"",""00000000000000026"",""Debit Amount"",""0.00000"",""Vendor Name"","""",""Transaction Description"","""",""Transaction Date"",""1/1/2014"""</f>
        <v>"GP Direct","Fabrikam, Inc.","Jet GL Transactions","Account Index","137","Credit Amount","38901.25000","Document Number","00000000000000026","Debit Amount","0.00000","Vendor Name","","Transaction Description","","Transaction Date","1/1/2014"</v>
      </c>
      <c r="F609" s="4">
        <v>0</v>
      </c>
      <c r="G609" s="4">
        <v>38901.25</v>
      </c>
      <c r="J609" s="31">
        <f t="shared" si="108"/>
        <v>-38901.25</v>
      </c>
      <c r="K609" s="32" t="str">
        <f>""</f>
        <v/>
      </c>
      <c r="L609" s="32" t="str">
        <f>"00000000000000026"</f>
        <v>00000000000000026</v>
      </c>
      <c r="M609" s="33">
        <v>41640</v>
      </c>
      <c r="N609" s="31"/>
      <c r="R609" s="2">
        <f t="shared" si="109"/>
        <v>148</v>
      </c>
    </row>
    <row r="610" spans="1:18" hidden="1" outlineLevel="1" x14ac:dyDescent="0.2">
      <c r="A610" s="30" t="s">
        <v>53</v>
      </c>
      <c r="C610" s="18"/>
      <c r="D610" s="4"/>
      <c r="E610" s="19" t="str">
        <f>"""GP Direct"",""Fabrikam, Inc."",""Jet GL Transactions"",""Account Index"",""137"",""Credit Amount"",""41531.28000"",""Document Number"",""00000000000000026"",""Debit Amount"",""0.00000"",""Vendor Name"","""",""Transaction Description"","""",""Transaction Date"",""1/1/2014"""</f>
        <v>"GP Direct","Fabrikam, Inc.","Jet GL Transactions","Account Index","137","Credit Amount","41531.28000","Document Number","00000000000000026","Debit Amount","0.00000","Vendor Name","","Transaction Description","","Transaction Date","1/1/2014"</v>
      </c>
      <c r="F610" s="4">
        <v>0</v>
      </c>
      <c r="G610" s="4">
        <v>41531.279999999999</v>
      </c>
      <c r="J610" s="31">
        <f t="shared" si="108"/>
        <v>-41531.279999999999</v>
      </c>
      <c r="K610" s="32" t="str">
        <f>""</f>
        <v/>
      </c>
      <c r="L610" s="32" t="str">
        <f>"00000000000000026"</f>
        <v>00000000000000026</v>
      </c>
      <c r="M610" s="33">
        <v>41640</v>
      </c>
      <c r="N610" s="31"/>
      <c r="R610" s="2">
        <f t="shared" si="109"/>
        <v>149</v>
      </c>
    </row>
    <row r="611" spans="1:18" hidden="1" outlineLevel="1" x14ac:dyDescent="0.2">
      <c r="A611" s="30" t="s">
        <v>53</v>
      </c>
      <c r="C611" s="18"/>
      <c r="D611" s="4"/>
      <c r="E611" s="19" t="str">
        <f>"""GP Direct"",""Fabrikam, Inc."",""Jet GL Transactions"",""Account Index"",""137"",""Credit Amount"",""0.00000"",""Document Number"","""",""Debit Amount"",""829.12000"",""Vendor Name"","""",""Transaction Description"","""",""Transaction Date"",""1/4/2014"""</f>
        <v>"GP Direct","Fabrikam, Inc.","Jet GL Transactions","Account Index","137","Credit Amount","0.00000","Document Number","","Debit Amount","829.12000","Vendor Name","","Transaction Description","","Transaction Date","1/4/2014"</v>
      </c>
      <c r="F611" s="4">
        <v>829.12</v>
      </c>
      <c r="G611" s="4">
        <v>0</v>
      </c>
      <c r="J611" s="31">
        <f t="shared" si="108"/>
        <v>829.12</v>
      </c>
      <c r="K611" s="32" t="str">
        <f>""</f>
        <v/>
      </c>
      <c r="L611" s="32" t="str">
        <f>""</f>
        <v/>
      </c>
      <c r="M611" s="33">
        <v>41643</v>
      </c>
      <c r="N611" s="31"/>
      <c r="R611" s="2">
        <f t="shared" si="109"/>
        <v>150</v>
      </c>
    </row>
    <row r="612" spans="1:18" hidden="1" outlineLevel="1" x14ac:dyDescent="0.2">
      <c r="A612" s="30" t="s">
        <v>53</v>
      </c>
      <c r="C612" s="18"/>
      <c r="D612" s="4"/>
      <c r="E612" s="19" t="str">
        <f>"""GP Direct"",""Fabrikam, Inc."",""Jet GL Transactions"",""Account Index"",""137"",""Credit Amount"",""0.00000"",""Document Number"","""",""Debit Amount"",""1572.61000"",""Vendor Name"","""",""Transaction Description"","""",""Transaction Date"",""1/10/2014"""</f>
        <v>"GP Direct","Fabrikam, Inc.","Jet GL Transactions","Account Index","137","Credit Amount","0.00000","Document Number","","Debit Amount","1572.61000","Vendor Name","","Transaction Description","","Transaction Date","1/10/2014"</v>
      </c>
      <c r="F612" s="4">
        <v>1572.61</v>
      </c>
      <c r="G612" s="4">
        <v>0</v>
      </c>
      <c r="J612" s="31">
        <f t="shared" si="108"/>
        <v>1572.61</v>
      </c>
      <c r="K612" s="32" t="str">
        <f>""</f>
        <v/>
      </c>
      <c r="L612" s="32" t="str">
        <f>""</f>
        <v/>
      </c>
      <c r="M612" s="33">
        <v>41649</v>
      </c>
      <c r="N612" s="31"/>
      <c r="R612" s="2">
        <f t="shared" si="109"/>
        <v>151</v>
      </c>
    </row>
    <row r="613" spans="1:18" hidden="1" outlineLevel="1" x14ac:dyDescent="0.2">
      <c r="A613" s="30" t="s">
        <v>53</v>
      </c>
      <c r="C613" s="18"/>
      <c r="D613" s="4"/>
      <c r="E613" s="19" t="str">
        <f>"""GP Direct"",""Fabrikam, Inc."",""Jet GL Transactions"",""Account Index"",""137"",""Credit Amount"",""0.00000"",""Document Number"","""",""Debit Amount"",""2921.08000"",""Vendor Name"","""",""Transaction Description"","""",""Transaction Date"",""1/10/2014"""</f>
        <v>"GP Direct","Fabrikam, Inc.","Jet GL Transactions","Account Index","137","Credit Amount","0.00000","Document Number","","Debit Amount","2921.08000","Vendor Name","","Transaction Description","","Transaction Date","1/10/2014"</v>
      </c>
      <c r="F613" s="4">
        <v>2921.08</v>
      </c>
      <c r="G613" s="4">
        <v>0</v>
      </c>
      <c r="J613" s="31">
        <f t="shared" si="108"/>
        <v>2921.08</v>
      </c>
      <c r="K613" s="32" t="str">
        <f>""</f>
        <v/>
      </c>
      <c r="L613" s="32" t="str">
        <f>""</f>
        <v/>
      </c>
      <c r="M613" s="33">
        <v>41649</v>
      </c>
      <c r="N613" s="31"/>
      <c r="R613" s="2">
        <f t="shared" si="109"/>
        <v>152</v>
      </c>
    </row>
    <row r="614" spans="1:18" hidden="1" outlineLevel="1" x14ac:dyDescent="0.2">
      <c r="A614" s="30" t="s">
        <v>53</v>
      </c>
      <c r="C614" s="18"/>
      <c r="D614" s="4"/>
      <c r="E614" s="19" t="str">
        <f>"""GP Direct"",""Fabrikam, Inc."",""Jet GL Transactions"",""Account Index"",""137"",""Credit Amount"",""0.00000"",""Document Number"","""",""Debit Amount"",""944.55000"",""Vendor Name"","""",""Transaction Description"","""",""Transaction Date"",""1/19/2014"""</f>
        <v>"GP Direct","Fabrikam, Inc.","Jet GL Transactions","Account Index","137","Credit Amount","0.00000","Document Number","","Debit Amount","944.55000","Vendor Name","","Transaction Description","","Transaction Date","1/19/2014"</v>
      </c>
      <c r="F614" s="4">
        <v>944.55</v>
      </c>
      <c r="G614" s="4">
        <v>0</v>
      </c>
      <c r="J614" s="31">
        <f t="shared" si="108"/>
        <v>944.55</v>
      </c>
      <c r="K614" s="32" t="str">
        <f>""</f>
        <v/>
      </c>
      <c r="L614" s="32" t="str">
        <f>""</f>
        <v/>
      </c>
      <c r="M614" s="33">
        <v>41658</v>
      </c>
      <c r="N614" s="31"/>
      <c r="R614" s="2">
        <f t="shared" si="109"/>
        <v>153</v>
      </c>
    </row>
    <row r="615" spans="1:18" hidden="1" outlineLevel="1" x14ac:dyDescent="0.2">
      <c r="A615" s="30" t="s">
        <v>53</v>
      </c>
      <c r="C615" s="18"/>
      <c r="D615" s="4"/>
      <c r="E615" s="19" t="str">
        <f>"""GP Direct"",""Fabrikam, Inc."",""Jet GL Transactions"",""Account Index"",""137"",""Credit Amount"",""0.00000"",""Document Number"","""",""Debit Amount"",""447.06000"",""Vendor Name"","""",""Transaction Description"","""",""Transaction Date"",""1/22/2014"""</f>
        <v>"GP Direct","Fabrikam, Inc.","Jet GL Transactions","Account Index","137","Credit Amount","0.00000","Document Number","","Debit Amount","447.06000","Vendor Name","","Transaction Description","","Transaction Date","1/22/2014"</v>
      </c>
      <c r="F615" s="4">
        <v>447.06</v>
      </c>
      <c r="G615" s="4">
        <v>0</v>
      </c>
      <c r="J615" s="31">
        <f t="shared" si="108"/>
        <v>447.06</v>
      </c>
      <c r="K615" s="32" t="str">
        <f>""</f>
        <v/>
      </c>
      <c r="L615" s="32" t="str">
        <f>""</f>
        <v/>
      </c>
      <c r="M615" s="33">
        <v>41661</v>
      </c>
      <c r="N615" s="31"/>
      <c r="R615" s="2">
        <f t="shared" si="109"/>
        <v>154</v>
      </c>
    </row>
    <row r="616" spans="1:18" hidden="1" outlineLevel="1" x14ac:dyDescent="0.2">
      <c r="A616" s="30" t="s">
        <v>53</v>
      </c>
      <c r="C616" s="18"/>
      <c r="D616" s="4"/>
      <c r="E616" s="19" t="str">
        <f>"""GP Direct"",""Fabrikam, Inc."",""Jet GL Transactions"",""Account Index"",""137"",""Credit Amount"",""0.00000"",""Document Number"","""",""Debit Amount"",""846.66000"",""Vendor Name"","""",""Transaction Description"","""",""Transaction Date"",""1/22/2014"""</f>
        <v>"GP Direct","Fabrikam, Inc.","Jet GL Transactions","Account Index","137","Credit Amount","0.00000","Document Number","","Debit Amount","846.66000","Vendor Name","","Transaction Description","","Transaction Date","1/22/2014"</v>
      </c>
      <c r="F616" s="4">
        <v>846.66</v>
      </c>
      <c r="G616" s="4">
        <v>0</v>
      </c>
      <c r="J616" s="31">
        <f t="shared" si="108"/>
        <v>846.66</v>
      </c>
      <c r="K616" s="32" t="str">
        <f>""</f>
        <v/>
      </c>
      <c r="L616" s="32" t="str">
        <f>""</f>
        <v/>
      </c>
      <c r="M616" s="33">
        <v>41661</v>
      </c>
      <c r="N616" s="31"/>
      <c r="R616" s="2">
        <f t="shared" si="109"/>
        <v>155</v>
      </c>
    </row>
    <row r="617" spans="1:18" hidden="1" outlineLevel="1" x14ac:dyDescent="0.2">
      <c r="A617" s="30" t="s">
        <v>53</v>
      </c>
      <c r="C617" s="18"/>
      <c r="D617" s="4"/>
      <c r="E617" s="19" t="str">
        <f>"""GP Direct"",""Fabrikam, Inc."",""Jet GL Transactions"",""Account Index"",""137"",""Credit Amount"",""0.00000"",""Document Number"","""",""Debit Amount"",""2706.18000"",""Vendor Name"","""",""Transaction Description"","""",""Transaction Date"",""1/24/2014"""</f>
        <v>"GP Direct","Fabrikam, Inc.","Jet GL Transactions","Account Index","137","Credit Amount","0.00000","Document Number","","Debit Amount","2706.18000","Vendor Name","","Transaction Description","","Transaction Date","1/24/2014"</v>
      </c>
      <c r="F617" s="4">
        <v>2706.18</v>
      </c>
      <c r="G617" s="4">
        <v>0</v>
      </c>
      <c r="J617" s="31">
        <f t="shared" si="108"/>
        <v>2706.18</v>
      </c>
      <c r="K617" s="32" t="str">
        <f>""</f>
        <v/>
      </c>
      <c r="L617" s="32" t="str">
        <f>""</f>
        <v/>
      </c>
      <c r="M617" s="33">
        <v>41663</v>
      </c>
      <c r="N617" s="31"/>
      <c r="R617" s="2">
        <f t="shared" si="109"/>
        <v>156</v>
      </c>
    </row>
    <row r="618" spans="1:18" hidden="1" outlineLevel="1" x14ac:dyDescent="0.2">
      <c r="A618" s="30" t="s">
        <v>53</v>
      </c>
      <c r="C618" s="18"/>
      <c r="D618" s="4"/>
      <c r="E618" s="19" t="str">
        <f>"""GP Direct"",""Fabrikam, Inc."",""Jet GL Transactions"",""Account Index"",""137"",""Credit Amount"",""0.00000"",""Document Number"","""",""Debit Amount"",""50.25000"",""Vendor Name"",""Aaron Fitz Electrical"",""Transaction Description"",""COGS"",""Transaction Date"",""2/15/2014"""</f>
        <v>"GP Direct","Fabrikam, Inc.","Jet GL Transactions","Account Index","137","Credit Amount","0.00000","Document Number","","Debit Amount","50.25000","Vendor Name","Aaron Fitz Electrical","Transaction Description","COGS","Transaction Date","2/15/2014"</v>
      </c>
      <c r="F618" s="4">
        <v>50.25</v>
      </c>
      <c r="G618" s="4">
        <v>0</v>
      </c>
      <c r="J618" s="31">
        <f t="shared" si="108"/>
        <v>50.25</v>
      </c>
      <c r="K618" s="32" t="str">
        <f>"COGS"</f>
        <v>COGS</v>
      </c>
      <c r="L618" s="32" t="str">
        <f>""</f>
        <v/>
      </c>
      <c r="M618" s="33">
        <v>41685</v>
      </c>
      <c r="N618" s="31"/>
      <c r="R618" s="2">
        <f t="shared" si="109"/>
        <v>157</v>
      </c>
    </row>
    <row r="619" spans="1:18" hidden="1" outlineLevel="1" x14ac:dyDescent="0.2">
      <c r="A619" s="30" t="s">
        <v>53</v>
      </c>
      <c r="C619" s="18"/>
      <c r="D619" s="4"/>
      <c r="E619" s="19" t="str">
        <f>"""GP Direct"",""Fabrikam, Inc."",""Jet GL Transactions"",""Account Index"",""137"",""Credit Amount"",""86.25000"",""Document Number"",""00000000000000027"",""Debit Amount"",""0.00000"",""Vendor Name"","""",""Transaction Description"","""",""Transaction Date"",""3/25/2014"""</f>
        <v>"GP Direct","Fabrikam, Inc.","Jet GL Transactions","Account Index","137","Credit Amount","86.25000","Document Number","00000000000000027","Debit Amount","0.00000","Vendor Name","","Transaction Description","","Transaction Date","3/25/2014"</v>
      </c>
      <c r="F619" s="4">
        <v>0</v>
      </c>
      <c r="G619" s="4">
        <v>86.25</v>
      </c>
      <c r="J619" s="31">
        <f t="shared" si="108"/>
        <v>-86.25</v>
      </c>
      <c r="K619" s="32" t="str">
        <f>""</f>
        <v/>
      </c>
      <c r="L619" s="32" t="str">
        <f>"00000000000000027"</f>
        <v>00000000000000027</v>
      </c>
      <c r="M619" s="33">
        <v>41723</v>
      </c>
      <c r="N619" s="31"/>
      <c r="R619" s="2">
        <f t="shared" si="109"/>
        <v>158</v>
      </c>
    </row>
    <row r="620" spans="1:18" hidden="1" outlineLevel="1" x14ac:dyDescent="0.2">
      <c r="A620" s="30" t="s">
        <v>53</v>
      </c>
      <c r="C620" s="18"/>
      <c r="D620" s="4"/>
      <c r="E620" s="19" t="str">
        <f>"""GP Direct"",""Fabrikam, Inc."",""Jet GL Transactions"",""Account Index"",""137"",""Credit Amount"",""2263.50000"",""Document Number"",""00000000000000027"",""Debit Amount"",""0.00000"",""Vendor Name"","""",""Transaction Description"","""",""Transaction Date"",""3/25/2014"""</f>
        <v>"GP Direct","Fabrikam, Inc.","Jet GL Transactions","Account Index","137","Credit Amount","2263.50000","Document Number","00000000000000027","Debit Amount","0.00000","Vendor Name","","Transaction Description","","Transaction Date","3/25/2014"</v>
      </c>
      <c r="F620" s="4">
        <v>0</v>
      </c>
      <c r="G620" s="4">
        <v>2263.5</v>
      </c>
      <c r="J620" s="31">
        <f t="shared" si="108"/>
        <v>-2263.5</v>
      </c>
      <c r="K620" s="32" t="str">
        <f>""</f>
        <v/>
      </c>
      <c r="L620" s="32" t="str">
        <f>"00000000000000027"</f>
        <v>00000000000000027</v>
      </c>
      <c r="M620" s="33">
        <v>41723</v>
      </c>
      <c r="N620" s="31"/>
      <c r="R620" s="2">
        <f t="shared" si="109"/>
        <v>159</v>
      </c>
    </row>
    <row r="621" spans="1:18" hidden="1" outlineLevel="1" x14ac:dyDescent="0.2">
      <c r="A621" s="30" t="s">
        <v>53</v>
      </c>
      <c r="C621" s="18"/>
      <c r="D621" s="4"/>
      <c r="E621" s="19" t="str">
        <f>"""GP Direct"",""Fabrikam, Inc."",""Jet GL Transactions"",""Account Index"",""137"",""Credit Amount"",""559.60000"",""Document Number"",""00000000000000025"",""Debit Amount"",""0.00000"",""Vendor Name"","""",""Transaction Description"","""",""Transaction Date"",""3/28/2014"""</f>
        <v>"GP Direct","Fabrikam, Inc.","Jet GL Transactions","Account Index","137","Credit Amount","559.60000","Document Number","00000000000000025","Debit Amount","0.00000","Vendor Name","","Transaction Description","","Transaction Date","3/28/2014"</v>
      </c>
      <c r="F621" s="4">
        <v>0</v>
      </c>
      <c r="G621" s="4">
        <v>559.6</v>
      </c>
      <c r="J621" s="31">
        <f t="shared" si="108"/>
        <v>-559.6</v>
      </c>
      <c r="K621" s="32" t="str">
        <f>""</f>
        <v/>
      </c>
      <c r="L621" s="32" t="str">
        <f t="shared" ref="L621:L628" si="110">"00000000000000025"</f>
        <v>00000000000000025</v>
      </c>
      <c r="M621" s="33">
        <v>41726</v>
      </c>
      <c r="N621" s="31"/>
      <c r="R621" s="2">
        <f t="shared" si="109"/>
        <v>160</v>
      </c>
    </row>
    <row r="622" spans="1:18" hidden="1" outlineLevel="1" x14ac:dyDescent="0.2">
      <c r="A622" s="30" t="s">
        <v>53</v>
      </c>
      <c r="C622" s="18"/>
      <c r="D622" s="4"/>
      <c r="E622" s="19" t="str">
        <f>"""GP Direct"",""Fabrikam, Inc."",""Jet GL Transactions"",""Account Index"",""137"",""Credit Amount"",""748.40000"",""Document Number"",""00000000000000025"",""Debit Amount"",""0.00000"",""Vendor Name"","""",""Transaction Description"","""",""Transaction Date"",""3/28/2014"""</f>
        <v>"GP Direct","Fabrikam, Inc.","Jet GL Transactions","Account Index","137","Credit Amount","748.40000","Document Number","00000000000000025","Debit Amount","0.00000","Vendor Name","","Transaction Description","","Transaction Date","3/28/2014"</v>
      </c>
      <c r="F622" s="4">
        <v>0</v>
      </c>
      <c r="G622" s="4">
        <v>748.4</v>
      </c>
      <c r="J622" s="31">
        <f t="shared" ref="J622:J628" si="111">IF(AND(F622="",G622=""),"",$F622-$G622)</f>
        <v>-748.4</v>
      </c>
      <c r="K622" s="32" t="str">
        <f>""</f>
        <v/>
      </c>
      <c r="L622" s="32" t="str">
        <f t="shared" si="110"/>
        <v>00000000000000025</v>
      </c>
      <c r="M622" s="33">
        <v>41726</v>
      </c>
      <c r="N622" s="31"/>
      <c r="R622" s="2">
        <f t="shared" si="109"/>
        <v>161</v>
      </c>
    </row>
    <row r="623" spans="1:18" hidden="1" outlineLevel="1" x14ac:dyDescent="0.2">
      <c r="A623" s="30" t="s">
        <v>53</v>
      </c>
      <c r="C623" s="18"/>
      <c r="D623" s="4"/>
      <c r="E623" s="19" t="str">
        <f>"""GP Direct"",""Fabrikam, Inc."",""Jet GL Transactions"",""Account Index"",""137"",""Credit Amount"",""1758.10000"",""Document Number"",""00000000000000025"",""Debit Amount"",""0.00000"",""Vendor Name"","""",""Transaction Description"","""",""Transaction Date"",""3/28/2014"""</f>
        <v>"GP Direct","Fabrikam, Inc.","Jet GL Transactions","Account Index","137","Credit Amount","1758.10000","Document Number","00000000000000025","Debit Amount","0.00000","Vendor Name","","Transaction Description","","Transaction Date","3/28/2014"</v>
      </c>
      <c r="F623" s="4">
        <v>0</v>
      </c>
      <c r="G623" s="4">
        <v>1758.1</v>
      </c>
      <c r="J623" s="31">
        <f t="shared" si="111"/>
        <v>-1758.1</v>
      </c>
      <c r="K623" s="32" t="str">
        <f>""</f>
        <v/>
      </c>
      <c r="L623" s="32" t="str">
        <f t="shared" si="110"/>
        <v>00000000000000025</v>
      </c>
      <c r="M623" s="33">
        <v>41726</v>
      </c>
      <c r="N623" s="31"/>
      <c r="R623" s="2">
        <f t="shared" si="109"/>
        <v>162</v>
      </c>
    </row>
    <row r="624" spans="1:18" hidden="1" outlineLevel="1" x14ac:dyDescent="0.2">
      <c r="A624" s="30" t="s">
        <v>53</v>
      </c>
      <c r="C624" s="18"/>
      <c r="D624" s="4"/>
      <c r="E624" s="19" t="str">
        <f>"""GP Direct"",""Fabrikam, Inc."",""Jet GL Transactions"",""Account Index"",""137"",""Credit Amount"",""2394.00000"",""Document Number"",""00000000000000025"",""Debit Amount"",""0.00000"",""Vendor Name"","""",""Transaction Description"","""",""Transaction Date"",""3/28/2014"""</f>
        <v>"GP Direct","Fabrikam, Inc.","Jet GL Transactions","Account Index","137","Credit Amount","2394.00000","Document Number","00000000000000025","Debit Amount","0.00000","Vendor Name","","Transaction Description","","Transaction Date","3/28/2014"</v>
      </c>
      <c r="F624" s="4">
        <v>0</v>
      </c>
      <c r="G624" s="4">
        <v>2394</v>
      </c>
      <c r="J624" s="31">
        <f t="shared" si="111"/>
        <v>-2394</v>
      </c>
      <c r="K624" s="32" t="str">
        <f>""</f>
        <v/>
      </c>
      <c r="L624" s="32" t="str">
        <f t="shared" si="110"/>
        <v>00000000000000025</v>
      </c>
      <c r="M624" s="33">
        <v>41726</v>
      </c>
      <c r="N624" s="31"/>
      <c r="R624" s="2">
        <f t="shared" si="109"/>
        <v>163</v>
      </c>
    </row>
    <row r="625" spans="1:18" hidden="1" outlineLevel="1" x14ac:dyDescent="0.2">
      <c r="A625" s="30" t="s">
        <v>53</v>
      </c>
      <c r="C625" s="18"/>
      <c r="D625" s="4"/>
      <c r="E625" s="19" t="str">
        <f>"""GP Direct"",""Fabrikam, Inc."",""Jet GL Transactions"",""Account Index"",""137"",""Credit Amount"",""3148.50000"",""Document Number"",""00000000000000025"",""Debit Amount"",""0.00000"",""Vendor Name"","""",""Transaction Description"","""",""Transaction Date"",""3/28/2014"""</f>
        <v>"GP Direct","Fabrikam, Inc.","Jet GL Transactions","Account Index","137","Credit Amount","3148.50000","Document Number","00000000000000025","Debit Amount","0.00000","Vendor Name","","Transaction Description","","Transaction Date","3/28/2014"</v>
      </c>
      <c r="F625" s="4">
        <v>0</v>
      </c>
      <c r="G625" s="4">
        <v>3148.5</v>
      </c>
      <c r="J625" s="31">
        <f t="shared" si="111"/>
        <v>-3148.5</v>
      </c>
      <c r="K625" s="32" t="str">
        <f>""</f>
        <v/>
      </c>
      <c r="L625" s="32" t="str">
        <f t="shared" si="110"/>
        <v>00000000000000025</v>
      </c>
      <c r="M625" s="33">
        <v>41726</v>
      </c>
      <c r="N625" s="31"/>
      <c r="R625" s="2">
        <f t="shared" si="109"/>
        <v>164</v>
      </c>
    </row>
    <row r="626" spans="1:18" hidden="1" outlineLevel="1" x14ac:dyDescent="0.2">
      <c r="A626" s="30" t="s">
        <v>53</v>
      </c>
      <c r="C626" s="18"/>
      <c r="D626" s="4"/>
      <c r="E626" s="19" t="str">
        <f>"""GP Direct"",""Fabrikam, Inc."",""Jet GL Transactions"",""Account Index"",""137"",""Credit Amount"",""16896.25000"",""Document Number"",""00000000000000025"",""Debit Amount"",""0.00000"",""Vendor Name"","""",""Transaction Description"","""",""Transaction Date"",""3/28/2014"""</f>
        <v>"GP Direct","Fabrikam, Inc.","Jet GL Transactions","Account Index","137","Credit Amount","16896.25000","Document Number","00000000000000025","Debit Amount","0.00000","Vendor Name","","Transaction Description","","Transaction Date","3/28/2014"</v>
      </c>
      <c r="F626" s="4">
        <v>0</v>
      </c>
      <c r="G626" s="4">
        <v>16896.25</v>
      </c>
      <c r="J626" s="31">
        <f t="shared" si="111"/>
        <v>-16896.25</v>
      </c>
      <c r="K626" s="32" t="str">
        <f>""</f>
        <v/>
      </c>
      <c r="L626" s="32" t="str">
        <f t="shared" si="110"/>
        <v>00000000000000025</v>
      </c>
      <c r="M626" s="33">
        <v>41726</v>
      </c>
      <c r="N626" s="31"/>
      <c r="R626" s="2">
        <f t="shared" si="109"/>
        <v>165</v>
      </c>
    </row>
    <row r="627" spans="1:18" hidden="1" outlineLevel="1" x14ac:dyDescent="0.2">
      <c r="A627" s="30" t="s">
        <v>53</v>
      </c>
      <c r="C627" s="18"/>
      <c r="D627" s="4"/>
      <c r="E627" s="19" t="str">
        <f>"""GP Direct"",""Fabrikam, Inc."",""Jet GL Transactions"",""Account Index"",""137"",""Credit Amount"",""20987.05000"",""Document Number"",""00000000000000025"",""Debit Amount"",""0.00000"",""Vendor Name"","""",""Transaction Description"","""",""Transaction Date"",""3/28/2014"""</f>
        <v>"GP Direct","Fabrikam, Inc.","Jet GL Transactions","Account Index","137","Credit Amount","20987.05000","Document Number","00000000000000025","Debit Amount","0.00000","Vendor Name","","Transaction Description","","Transaction Date","3/28/2014"</v>
      </c>
      <c r="F627" s="4">
        <v>0</v>
      </c>
      <c r="G627" s="4">
        <v>20987.05</v>
      </c>
      <c r="J627" s="31">
        <f t="shared" si="111"/>
        <v>-20987.05</v>
      </c>
      <c r="K627" s="32" t="str">
        <f>""</f>
        <v/>
      </c>
      <c r="L627" s="32" t="str">
        <f t="shared" si="110"/>
        <v>00000000000000025</v>
      </c>
      <c r="M627" s="33">
        <v>41726</v>
      </c>
      <c r="N627" s="31"/>
      <c r="R627" s="2">
        <f t="shared" si="109"/>
        <v>166</v>
      </c>
    </row>
    <row r="628" spans="1:18" hidden="1" outlineLevel="1" x14ac:dyDescent="0.2">
      <c r="A628" s="30" t="s">
        <v>53</v>
      </c>
      <c r="C628" s="18"/>
      <c r="D628" s="4"/>
      <c r="E628" s="19" t="str">
        <f>"""GP Direct"",""Fabrikam, Inc."",""Jet GL Transactions"",""Account Index"",""137"",""Credit Amount"",""44962.50000"",""Document Number"",""00000000000000025"",""Debit Amount"",""0.00000"",""Vendor Name"","""",""Transaction Description"","""",""Transaction Date"",""3/28/2014"""</f>
        <v>"GP Direct","Fabrikam, Inc.","Jet GL Transactions","Account Index","137","Credit Amount","44962.50000","Document Number","00000000000000025","Debit Amount","0.00000","Vendor Name","","Transaction Description","","Transaction Date","3/28/2014"</v>
      </c>
      <c r="F628" s="4">
        <v>0</v>
      </c>
      <c r="G628" s="4">
        <v>44962.5</v>
      </c>
      <c r="J628" s="31">
        <f t="shared" si="111"/>
        <v>-44962.5</v>
      </c>
      <c r="K628" s="32" t="str">
        <f>""</f>
        <v/>
      </c>
      <c r="L628" s="32" t="str">
        <f t="shared" si="110"/>
        <v>00000000000000025</v>
      </c>
      <c r="M628" s="33">
        <v>41726</v>
      </c>
      <c r="N628" s="31"/>
      <c r="R628" s="2">
        <f t="shared" si="109"/>
        <v>167</v>
      </c>
    </row>
    <row r="629" spans="1:18" hidden="1" x14ac:dyDescent="0.2">
      <c r="A629" s="29" t="s">
        <v>1386</v>
      </c>
      <c r="C629" s="18"/>
    </row>
    <row r="630" spans="1:18" ht="17.25" customHeight="1" collapsed="1" x14ac:dyDescent="0.2">
      <c r="A630" s="30" t="s">
        <v>53</v>
      </c>
      <c r="C630" s="14" t="str">
        <f>"000-4510-02"</f>
        <v>000-4510-02</v>
      </c>
      <c r="D630" s="2">
        <v>138</v>
      </c>
      <c r="E630" s="2"/>
      <c r="F630" s="2" t="s">
        <v>10</v>
      </c>
      <c r="G630" s="2" t="s">
        <v>8</v>
      </c>
      <c r="H630" s="13" t="str">
        <f>"  "&amp;C630</f>
        <v xml:space="preserve">  000-4510-02</v>
      </c>
      <c r="I630" s="15" t="str">
        <f>"Cost of Goods Sold - Finished Goods"</f>
        <v>Cost of Goods Sold - Finished Goods</v>
      </c>
      <c r="J630" s="16">
        <f>SUM(J631:J653)</f>
        <v>38579.539999999994</v>
      </c>
      <c r="K630" s="13"/>
      <c r="L630" s="13"/>
      <c r="M630" s="13"/>
      <c r="N630" s="17">
        <v>110700</v>
      </c>
      <c r="O630" s="16">
        <f>J630-N630</f>
        <v>-72120.460000000006</v>
      </c>
    </row>
    <row r="631" spans="1:18" hidden="1" outlineLevel="1" x14ac:dyDescent="0.2">
      <c r="A631" s="30" t="s">
        <v>53</v>
      </c>
      <c r="C631" s="18"/>
      <c r="D631" s="4"/>
      <c r="E631" s="19" t="str">
        <f>"""GP Direct"",""Fabrikam, Inc."",""Jet GL Transactions"",""Account Index"",""138"",""Credit Amount"",""0.00000"",""Document Number"",""SLS110002"",""Debit Amount"",""693.25000"",""Vendor Name"",""Holling Communications Inc."",""Transaction Description"",""COGS"",""Transaction Date"",""1/"&amp;"1/2014"""</f>
        <v>"GP Direct","Fabrikam, Inc.","Jet GL Transactions","Account Index","138","Credit Amount","0.00000","Document Number","SLS110002","Debit Amount","693.25000","Vendor Name","Holling Communications Inc.","Transaction Description","COGS","Transaction Date","1/1/2014"</v>
      </c>
      <c r="F631" s="4">
        <v>693.25</v>
      </c>
      <c r="G631" s="4">
        <v>0</v>
      </c>
      <c r="J631" s="31">
        <f t="shared" ref="J631:J652" si="112">IF(AND(F631="",G631=""),"",$F631-$G631)</f>
        <v>693.25</v>
      </c>
      <c r="K631" s="32" t="str">
        <f t="shared" ref="K631:K649" si="113">"COGS"</f>
        <v>COGS</v>
      </c>
      <c r="L631" s="32" t="str">
        <f>"SLS110002"</f>
        <v>SLS110002</v>
      </c>
      <c r="M631" s="33">
        <v>41640</v>
      </c>
      <c r="N631" s="31"/>
      <c r="R631" s="2">
        <f t="shared" ref="R631" si="114">R630+1</f>
        <v>1</v>
      </c>
    </row>
    <row r="632" spans="1:18" hidden="1" outlineLevel="1" x14ac:dyDescent="0.2">
      <c r="A632" s="30" t="s">
        <v>53</v>
      </c>
      <c r="C632" s="18"/>
      <c r="D632" s="4"/>
      <c r="E632" s="19" t="str">
        <f>"""GP Direct"",""Fabrikam, Inc."",""Jet GL Transactions"",""Account Index"",""138"",""Credit Amount"",""0.00000"",""Document Number"",""SLS110020"",""Debit Amount"",""1123.30000"",""Vendor Name"",""Lawrence Telemarketing"",""Transaction Description"",""COGS"",""Transaction Date"",""1/1/20"&amp;"14"""</f>
        <v>"GP Direct","Fabrikam, Inc.","Jet GL Transactions","Account Index","138","Credit Amount","0.00000","Document Number","SLS110020","Debit Amount","1123.30000","Vendor Name","Lawrence Telemarketing","Transaction Description","COGS","Transaction Date","1/1/2014"</v>
      </c>
      <c r="F632" s="4">
        <v>1123.3</v>
      </c>
      <c r="G632" s="4">
        <v>0</v>
      </c>
      <c r="J632" s="31">
        <f t="shared" si="112"/>
        <v>1123.3</v>
      </c>
      <c r="K632" s="32" t="str">
        <f t="shared" si="113"/>
        <v>COGS</v>
      </c>
      <c r="L632" s="32" t="str">
        <f>"SLS110020"</f>
        <v>SLS110020</v>
      </c>
      <c r="M632" s="33">
        <v>41640</v>
      </c>
      <c r="N632" s="31"/>
      <c r="R632" s="2">
        <f t="shared" ref="R632:R652" si="115">R631+1</f>
        <v>2</v>
      </c>
    </row>
    <row r="633" spans="1:18" hidden="1" outlineLevel="1" x14ac:dyDescent="0.2">
      <c r="A633" s="30" t="s">
        <v>53</v>
      </c>
      <c r="C633" s="18"/>
      <c r="D633" s="4"/>
      <c r="E633" s="19" t="str">
        <f>"""GP Direct"",""Fabrikam, Inc."",""Jet GL Transactions"",""Account Index"",""138"",""Credit Amount"",""0.00000"",""Document Number"",""SLS110031"",""Debit Amount"",""1119.16000"",""Vendor Name"",""Plaza One"",""Transaction Description"",""COGS"",""Transaction Date"",""1/1/2014"""</f>
        <v>"GP Direct","Fabrikam, Inc.","Jet GL Transactions","Account Index","138","Credit Amount","0.00000","Document Number","SLS110031","Debit Amount","1119.16000","Vendor Name","Plaza One","Transaction Description","COGS","Transaction Date","1/1/2014"</v>
      </c>
      <c r="F633" s="4">
        <v>1119.1600000000001</v>
      </c>
      <c r="G633" s="4">
        <v>0</v>
      </c>
      <c r="J633" s="31">
        <f t="shared" si="112"/>
        <v>1119.1600000000001</v>
      </c>
      <c r="K633" s="32" t="str">
        <f t="shared" si="113"/>
        <v>COGS</v>
      </c>
      <c r="L633" s="32" t="str">
        <f>"SLS110031"</f>
        <v>SLS110031</v>
      </c>
      <c r="M633" s="33">
        <v>41640</v>
      </c>
      <c r="N633" s="31"/>
      <c r="R633" s="2">
        <f t="shared" si="115"/>
        <v>3</v>
      </c>
    </row>
    <row r="634" spans="1:18" hidden="1" outlineLevel="1" x14ac:dyDescent="0.2">
      <c r="A634" s="30" t="s">
        <v>53</v>
      </c>
      <c r="C634" s="18"/>
      <c r="D634" s="4"/>
      <c r="E634" s="19" t="str">
        <f>"""GP Direct"",""Fabrikam, Inc."",""Jet GL Transactions"",""Account Index"",""138"",""Credit Amount"",""0.00000"",""Document Number"",""SLS11013"",""Debit Amount"",""4919.89000"",""Vendor Name"",""Alton Manufacturing"",""Transaction Description"",""COGS"",""Transaction Date"",""1/1/2014"""</f>
        <v>"GP Direct","Fabrikam, Inc.","Jet GL Transactions","Account Index","138","Credit Amount","0.00000","Document Number","SLS11013","Debit Amount","4919.89000","Vendor Name","Alton Manufacturing","Transaction Description","COGS","Transaction Date","1/1/2014"</v>
      </c>
      <c r="F634" s="4">
        <v>4919.8900000000003</v>
      </c>
      <c r="G634" s="4">
        <v>0</v>
      </c>
      <c r="J634" s="31">
        <f t="shared" si="112"/>
        <v>4919.8900000000003</v>
      </c>
      <c r="K634" s="32" t="str">
        <f t="shared" si="113"/>
        <v>COGS</v>
      </c>
      <c r="L634" s="32" t="str">
        <f>"SLS11013"</f>
        <v>SLS11013</v>
      </c>
      <c r="M634" s="33">
        <v>41640</v>
      </c>
      <c r="N634" s="31"/>
      <c r="R634" s="2">
        <f t="shared" si="115"/>
        <v>4</v>
      </c>
    </row>
    <row r="635" spans="1:18" hidden="1" outlineLevel="1" x14ac:dyDescent="0.2">
      <c r="A635" s="30" t="s">
        <v>53</v>
      </c>
      <c r="C635" s="18"/>
      <c r="D635" s="4"/>
      <c r="E635" s="19" t="str">
        <f>"""GP Direct"",""Fabrikam, Inc."",""Jet GL Transactions"",""Account Index"",""138"",""Credit Amount"",""0.00000"",""Document Number"",""SLS11014"",""Debit Amount"",""1815.38000"",""Vendor Name"",""Aaron Fitz Electrical"",""Transaction Description"",""COGS"",""Transaction Date"",""1/1/2014"&amp;""""</f>
        <v>"GP Direct","Fabrikam, Inc.","Jet GL Transactions","Account Index","138","Credit Amount","0.00000","Document Number","SLS11014","Debit Amount","1815.38000","Vendor Name","Aaron Fitz Electrical","Transaction Description","COGS","Transaction Date","1/1/2014"</v>
      </c>
      <c r="F635" s="4">
        <v>1815.38</v>
      </c>
      <c r="G635" s="4">
        <v>0</v>
      </c>
      <c r="J635" s="31">
        <f t="shared" si="112"/>
        <v>1815.38</v>
      </c>
      <c r="K635" s="32" t="str">
        <f t="shared" si="113"/>
        <v>COGS</v>
      </c>
      <c r="L635" s="32" t="str">
        <f>"SLS11014"</f>
        <v>SLS11014</v>
      </c>
      <c r="M635" s="33">
        <v>41640</v>
      </c>
      <c r="N635" s="31"/>
      <c r="R635" s="2">
        <f t="shared" si="115"/>
        <v>5</v>
      </c>
    </row>
    <row r="636" spans="1:18" hidden="1" outlineLevel="1" x14ac:dyDescent="0.2">
      <c r="A636" s="30" t="s">
        <v>53</v>
      </c>
      <c r="C636" s="18"/>
      <c r="D636" s="4"/>
      <c r="E636" s="19" t="str">
        <f>"""GP Direct"",""Fabrikam, Inc."",""Jet GL Transactions"",""Account Index"",""138"",""Credit Amount"",""0.00000"",""Document Number"",""SLS11091"",""Debit Amount"",""1439.47000"",""Vendor Name"",""Country View Estates"",""Transaction Description"",""COGS"",""Transaction Date"",""1/1/2014"""</f>
        <v>"GP Direct","Fabrikam, Inc.","Jet GL Transactions","Account Index","138","Credit Amount","0.00000","Document Number","SLS11091","Debit Amount","1439.47000","Vendor Name","Country View Estates","Transaction Description","COGS","Transaction Date","1/1/2014"</v>
      </c>
      <c r="F636" s="4">
        <v>1439.47</v>
      </c>
      <c r="G636" s="4">
        <v>0</v>
      </c>
      <c r="J636" s="31">
        <f t="shared" si="112"/>
        <v>1439.47</v>
      </c>
      <c r="K636" s="32" t="str">
        <f t="shared" si="113"/>
        <v>COGS</v>
      </c>
      <c r="L636" s="32" t="str">
        <f>"SLS11091"</f>
        <v>SLS11091</v>
      </c>
      <c r="M636" s="33">
        <v>41640</v>
      </c>
      <c r="N636" s="31"/>
      <c r="R636" s="2">
        <f t="shared" si="115"/>
        <v>6</v>
      </c>
    </row>
    <row r="637" spans="1:18" hidden="1" outlineLevel="1" x14ac:dyDescent="0.2">
      <c r="A637" s="30" t="s">
        <v>53</v>
      </c>
      <c r="C637" s="18"/>
      <c r="D637" s="4"/>
      <c r="E637" s="19" t="str">
        <f>"""GP Direct"",""Fabrikam, Inc."",""Jet GL Transactions"",""Account Index"",""138"",""Credit Amount"",""0.00000"",""Document Number"",""SLS112031"",""Debit Amount"",""813.45000"",""Vendor Name"",""Northstar Mall"",""Transaction Description"",""COGS"",""Transaction Date"",""1/1/2014"""</f>
        <v>"GP Direct","Fabrikam, Inc.","Jet GL Transactions","Account Index","138","Credit Amount","0.00000","Document Number","SLS112031","Debit Amount","813.45000","Vendor Name","Northstar Mall","Transaction Description","COGS","Transaction Date","1/1/2014"</v>
      </c>
      <c r="F637" s="4">
        <v>813.45</v>
      </c>
      <c r="G637" s="4">
        <v>0</v>
      </c>
      <c r="J637" s="31">
        <f t="shared" si="112"/>
        <v>813.45</v>
      </c>
      <c r="K637" s="32" t="str">
        <f t="shared" si="113"/>
        <v>COGS</v>
      </c>
      <c r="L637" s="32" t="str">
        <f>"SLS112031"</f>
        <v>SLS112031</v>
      </c>
      <c r="M637" s="33">
        <v>41640</v>
      </c>
      <c r="N637" s="31"/>
      <c r="R637" s="2">
        <f t="shared" si="115"/>
        <v>7</v>
      </c>
    </row>
    <row r="638" spans="1:18" hidden="1" outlineLevel="1" x14ac:dyDescent="0.2">
      <c r="A638" s="30" t="s">
        <v>53</v>
      </c>
      <c r="C638" s="18"/>
      <c r="D638" s="4"/>
      <c r="E638" s="19" t="str">
        <f>"""GP Direct"",""Fabrikam, Inc."",""Jet GL Transactions"",""Account Index"",""138"",""Credit Amount"",""0.00000"",""Document Number"",""SLS114001"",""Debit Amount"",""3621.74000"",""Vendor Name"",""Hampton Village Eatery"",""Transaction Description"",""COGS"",""Transaction Date"",""1/1/20"&amp;"14"""</f>
        <v>"GP Direct","Fabrikam, Inc.","Jet GL Transactions","Account Index","138","Credit Amount","0.00000","Document Number","SLS114001","Debit Amount","3621.74000","Vendor Name","Hampton Village Eatery","Transaction Description","COGS","Transaction Date","1/1/2014"</v>
      </c>
      <c r="F638" s="4">
        <v>3621.74</v>
      </c>
      <c r="G638" s="4">
        <v>0</v>
      </c>
      <c r="J638" s="31">
        <f t="shared" si="112"/>
        <v>3621.74</v>
      </c>
      <c r="K638" s="32" t="str">
        <f t="shared" si="113"/>
        <v>COGS</v>
      </c>
      <c r="L638" s="32" t="str">
        <f>"SLS114001"</f>
        <v>SLS114001</v>
      </c>
      <c r="M638" s="33">
        <v>41640</v>
      </c>
      <c r="N638" s="31"/>
      <c r="R638" s="2">
        <f t="shared" si="115"/>
        <v>8</v>
      </c>
    </row>
    <row r="639" spans="1:18" hidden="1" outlineLevel="1" x14ac:dyDescent="0.2">
      <c r="A639" s="30" t="s">
        <v>53</v>
      </c>
      <c r="C639" s="18"/>
      <c r="D639" s="4"/>
      <c r="E639" s="19" t="str">
        <f>"""GP Direct"",""Fabrikam, Inc."",""Jet GL Transactions"",""Account Index"",""138"",""Credit Amount"",""0.00000"",""Document Number"",""SLS115002"",""Debit Amount"",""832.70000"",""Vendor Name"",""Coho Winery"",""Transaction Description"",""COGS"",""Transaction Date"",""1/1/2014"""</f>
        <v>"GP Direct","Fabrikam, Inc.","Jet GL Transactions","Account Index","138","Credit Amount","0.00000","Document Number","SLS115002","Debit Amount","832.70000","Vendor Name","Coho Winery","Transaction Description","COGS","Transaction Date","1/1/2014"</v>
      </c>
      <c r="F639" s="4">
        <v>832.7</v>
      </c>
      <c r="G639" s="4">
        <v>0</v>
      </c>
      <c r="J639" s="31">
        <f t="shared" si="112"/>
        <v>832.7</v>
      </c>
      <c r="K639" s="32" t="str">
        <f t="shared" si="113"/>
        <v>COGS</v>
      </c>
      <c r="L639" s="32" t="str">
        <f>"SLS115002"</f>
        <v>SLS115002</v>
      </c>
      <c r="M639" s="33">
        <v>41640</v>
      </c>
      <c r="N639" s="31"/>
      <c r="R639" s="2">
        <f t="shared" si="115"/>
        <v>9</v>
      </c>
    </row>
    <row r="640" spans="1:18" hidden="1" outlineLevel="1" x14ac:dyDescent="0.2">
      <c r="A640" s="30" t="s">
        <v>53</v>
      </c>
      <c r="C640" s="18"/>
      <c r="D640" s="4"/>
      <c r="E640" s="19" t="str">
        <f>"""GP Direct"",""Fabrikam, Inc."",""Jet GL Transactions"",""Account Index"",""138"",""Credit Amount"",""0.00000"",""Document Number"",""SLS116011"",""Debit Amount"",""1170.75000"",""Vendor Name"",""Reynolds State College"",""Transaction Description"",""COGS"",""Transaction Date"",""1/1/20"&amp;"14"""</f>
        <v>"GP Direct","Fabrikam, Inc.","Jet GL Transactions","Account Index","138","Credit Amount","0.00000","Document Number","SLS116011","Debit Amount","1170.75000","Vendor Name","Reynolds State College","Transaction Description","COGS","Transaction Date","1/1/2014"</v>
      </c>
      <c r="F640" s="4">
        <v>1170.75</v>
      </c>
      <c r="G640" s="4">
        <v>0</v>
      </c>
      <c r="J640" s="31">
        <f t="shared" si="112"/>
        <v>1170.75</v>
      </c>
      <c r="K640" s="32" t="str">
        <f t="shared" si="113"/>
        <v>COGS</v>
      </c>
      <c r="L640" s="32" t="str">
        <f>"SLS116011"</f>
        <v>SLS116011</v>
      </c>
      <c r="M640" s="33">
        <v>41640</v>
      </c>
      <c r="N640" s="31"/>
      <c r="R640" s="2">
        <f t="shared" si="115"/>
        <v>10</v>
      </c>
    </row>
    <row r="641" spans="1:18" hidden="1" outlineLevel="1" x14ac:dyDescent="0.2">
      <c r="A641" s="30" t="s">
        <v>53</v>
      </c>
      <c r="C641" s="18"/>
      <c r="D641" s="4"/>
      <c r="E641" s="19" t="str">
        <f>"""GP Direct"",""Fabrikam, Inc."",""Jet GL Transactions"",""Account Index"",""138"",""Credit Amount"",""0.00000"",""Document Number"",""SLS119000"",""Debit Amount"",""3135.95000"",""Vendor Name"",""Johnson, Kimberly"",""Transaction Description"",""COGS"",""Transaction Date"",""1/1/2014"""</f>
        <v>"GP Direct","Fabrikam, Inc.","Jet GL Transactions","Account Index","138","Credit Amount","0.00000","Document Number","SLS119000","Debit Amount","3135.95000","Vendor Name","Johnson, Kimberly","Transaction Description","COGS","Transaction Date","1/1/2014"</v>
      </c>
      <c r="F641" s="4">
        <v>3135.95</v>
      </c>
      <c r="G641" s="4">
        <v>0</v>
      </c>
      <c r="J641" s="31">
        <f t="shared" si="112"/>
        <v>3135.95</v>
      </c>
      <c r="K641" s="32" t="str">
        <f t="shared" si="113"/>
        <v>COGS</v>
      </c>
      <c r="L641" s="32" t="str">
        <f>"SLS119000"</f>
        <v>SLS119000</v>
      </c>
      <c r="M641" s="33">
        <v>41640</v>
      </c>
      <c r="N641" s="31"/>
      <c r="R641" s="2">
        <f t="shared" si="115"/>
        <v>11</v>
      </c>
    </row>
    <row r="642" spans="1:18" hidden="1" outlineLevel="1" x14ac:dyDescent="0.2">
      <c r="A642" s="30" t="s">
        <v>53</v>
      </c>
      <c r="C642" s="18"/>
      <c r="D642" s="4"/>
      <c r="E642" s="19" t="str">
        <f>"""GP Direct"",""Fabrikam, Inc."",""Jet GL Transactions"",""Account Index"",""138"",""Credit Amount"",""0.00000"",""Document Number"",""SLS12012"",""Debit Amount"",""1368.04000"",""Vendor Name"",""World Enterprises"",""Transaction Description"",""COGS"",""Transaction Date"",""1/1/2014"""</f>
        <v>"GP Direct","Fabrikam, Inc.","Jet GL Transactions","Account Index","138","Credit Amount","0.00000","Document Number","SLS12012","Debit Amount","1368.04000","Vendor Name","World Enterprises","Transaction Description","COGS","Transaction Date","1/1/2014"</v>
      </c>
      <c r="F642" s="4">
        <v>1368.04</v>
      </c>
      <c r="G642" s="4">
        <v>0</v>
      </c>
      <c r="J642" s="31">
        <f t="shared" si="112"/>
        <v>1368.04</v>
      </c>
      <c r="K642" s="32" t="str">
        <f t="shared" si="113"/>
        <v>COGS</v>
      </c>
      <c r="L642" s="32" t="str">
        <f>"SLS12012"</f>
        <v>SLS12012</v>
      </c>
      <c r="M642" s="33">
        <v>41640</v>
      </c>
      <c r="N642" s="31"/>
      <c r="R642" s="2">
        <f t="shared" si="115"/>
        <v>12</v>
      </c>
    </row>
    <row r="643" spans="1:18" hidden="1" outlineLevel="1" x14ac:dyDescent="0.2">
      <c r="A643" s="30" t="s">
        <v>53</v>
      </c>
      <c r="C643" s="18"/>
      <c r="D643" s="4"/>
      <c r="E643" s="19" t="str">
        <f>"""GP Direct"",""Fabrikam, Inc."",""Jet GL Transactions"",""Account Index"",""138"",""Credit Amount"",""0.00000"",""Document Number"",""SLS14012"",""Debit Amount"",""907.51000"",""Vendor Name"",""Astor Suites"",""Transaction Description"",""COGS"",""Transaction Date"",""1/1/2014"""</f>
        <v>"GP Direct","Fabrikam, Inc.","Jet GL Transactions","Account Index","138","Credit Amount","0.00000","Document Number","SLS14012","Debit Amount","907.51000","Vendor Name","Astor Suites","Transaction Description","COGS","Transaction Date","1/1/2014"</v>
      </c>
      <c r="F643" s="4">
        <v>907.51</v>
      </c>
      <c r="G643" s="4">
        <v>0</v>
      </c>
      <c r="J643" s="31">
        <f t="shared" si="112"/>
        <v>907.51</v>
      </c>
      <c r="K643" s="32" t="str">
        <f t="shared" si="113"/>
        <v>COGS</v>
      </c>
      <c r="L643" s="32" t="str">
        <f>"SLS14012"</f>
        <v>SLS14012</v>
      </c>
      <c r="M643" s="33">
        <v>41640</v>
      </c>
      <c r="N643" s="31"/>
      <c r="R643" s="2">
        <f t="shared" si="115"/>
        <v>13</v>
      </c>
    </row>
    <row r="644" spans="1:18" hidden="1" outlineLevel="1" x14ac:dyDescent="0.2">
      <c r="A644" s="30" t="s">
        <v>53</v>
      </c>
      <c r="C644" s="18"/>
      <c r="D644" s="4"/>
      <c r="E644" s="19" t="str">
        <f>"""GP Direct"",""Fabrikam, Inc."",""Jet GL Transactions"",""Account Index"",""138"",""Credit Amount"",""0.00000"",""Document Number"",""SLS16090"",""Debit Amount"",""2098.85000"",""Vendor Name"",""Executive Resources"",""Transaction Description"",""COGS"",""Transaction Date"",""1/1/2014"""</f>
        <v>"GP Direct","Fabrikam, Inc.","Jet GL Transactions","Account Index","138","Credit Amount","0.00000","Document Number","SLS16090","Debit Amount","2098.85000","Vendor Name","Executive Resources","Transaction Description","COGS","Transaction Date","1/1/2014"</v>
      </c>
      <c r="F644" s="4">
        <v>2098.85</v>
      </c>
      <c r="G644" s="4">
        <v>0</v>
      </c>
      <c r="J644" s="31">
        <f t="shared" si="112"/>
        <v>2098.85</v>
      </c>
      <c r="K644" s="32" t="str">
        <f t="shared" si="113"/>
        <v>COGS</v>
      </c>
      <c r="L644" s="32" t="str">
        <f>"SLS16090"</f>
        <v>SLS16090</v>
      </c>
      <c r="M644" s="33">
        <v>41640</v>
      </c>
      <c r="N644" s="31"/>
      <c r="R644" s="2">
        <f t="shared" si="115"/>
        <v>14</v>
      </c>
    </row>
    <row r="645" spans="1:18" hidden="1" outlineLevel="1" x14ac:dyDescent="0.2">
      <c r="A645" s="30" t="s">
        <v>53</v>
      </c>
      <c r="C645" s="18"/>
      <c r="D645" s="4"/>
      <c r="E645" s="19" t="str">
        <f>"""GP Direct"",""Fabrikam, Inc."",""Jet GL Transactions"",""Account Index"",""138"",""Credit Amount"",""0.00000"",""Document Number"",""SLS17003"",""Debit Amount"",""233.61000"",""Vendor Name"",""Midland Construction"",""Transaction Description"",""COGS"",""Transaction Date"",""1/1/2014"""</f>
        <v>"GP Direct","Fabrikam, Inc.","Jet GL Transactions","Account Index","138","Credit Amount","0.00000","Document Number","SLS17003","Debit Amount","233.61000","Vendor Name","Midland Construction","Transaction Description","COGS","Transaction Date","1/1/2014"</v>
      </c>
      <c r="F645" s="4">
        <v>233.61</v>
      </c>
      <c r="G645" s="4">
        <v>0</v>
      </c>
      <c r="J645" s="31">
        <f t="shared" si="112"/>
        <v>233.61</v>
      </c>
      <c r="K645" s="32" t="str">
        <f t="shared" si="113"/>
        <v>COGS</v>
      </c>
      <c r="L645" s="32" t="str">
        <f>"SLS17003"</f>
        <v>SLS17003</v>
      </c>
      <c r="M645" s="33">
        <v>41640</v>
      </c>
      <c r="N645" s="31"/>
      <c r="R645" s="2">
        <f t="shared" si="115"/>
        <v>15</v>
      </c>
    </row>
    <row r="646" spans="1:18" hidden="1" outlineLevel="1" x14ac:dyDescent="0.2">
      <c r="A646" s="30" t="s">
        <v>53</v>
      </c>
      <c r="C646" s="18"/>
      <c r="D646" s="4"/>
      <c r="E646" s="19" t="str">
        <f>"""GP Direct"",""Fabrikam, Inc."",""Jet GL Transactions"",""Account Index"",""138"",""Credit Amount"",""0.00000"",""Document Number"",""SLS17020"",""Debit Amount"",""2378.53000"",""Vendor Name"",""Mutual of  Omaha"",""Transaction Description"",""COGS"",""Transaction Date"",""1/1/2014"""</f>
        <v>"GP Direct","Fabrikam, Inc.","Jet GL Transactions","Account Index","138","Credit Amount","0.00000","Document Number","SLS17020","Debit Amount","2378.53000","Vendor Name","Mutual of  Omaha","Transaction Description","COGS","Transaction Date","1/1/2014"</v>
      </c>
      <c r="F646" s="4">
        <v>2378.5300000000002</v>
      </c>
      <c r="G646" s="4">
        <v>0</v>
      </c>
      <c r="J646" s="31">
        <f t="shared" si="112"/>
        <v>2378.5300000000002</v>
      </c>
      <c r="K646" s="32" t="str">
        <f t="shared" si="113"/>
        <v>COGS</v>
      </c>
      <c r="L646" s="32" t="str">
        <f>"SLS17020"</f>
        <v>SLS17020</v>
      </c>
      <c r="M646" s="33">
        <v>41640</v>
      </c>
      <c r="N646" s="31"/>
      <c r="R646" s="2">
        <f t="shared" si="115"/>
        <v>16</v>
      </c>
    </row>
    <row r="647" spans="1:18" hidden="1" outlineLevel="1" x14ac:dyDescent="0.2">
      <c r="A647" s="30" t="s">
        <v>53</v>
      </c>
      <c r="C647" s="18"/>
      <c r="D647" s="4"/>
      <c r="E647" s="19" t="str">
        <f>"""GP Direct"",""Fabrikam, Inc."",""Jet GL Transactions"",""Account Index"",""138"",""Credit Amount"",""0.00000"",""Document Number"",""SLS17023"",""Debit Amount"",""942.37000"",""Vendor Name"",""Mutual of  Omaha"",""Transaction Description"",""COGS"",""Transaction Date"",""1/1/2014"""</f>
        <v>"GP Direct","Fabrikam, Inc.","Jet GL Transactions","Account Index","138","Credit Amount","0.00000","Document Number","SLS17023","Debit Amount","942.37000","Vendor Name","Mutual of  Omaha","Transaction Description","COGS","Transaction Date","1/1/2014"</v>
      </c>
      <c r="F647" s="4">
        <v>942.37</v>
      </c>
      <c r="G647" s="4">
        <v>0</v>
      </c>
      <c r="J647" s="31">
        <f t="shared" si="112"/>
        <v>942.37</v>
      </c>
      <c r="K647" s="32" t="str">
        <f t="shared" si="113"/>
        <v>COGS</v>
      </c>
      <c r="L647" s="32" t="str">
        <f>"SLS17023"</f>
        <v>SLS17023</v>
      </c>
      <c r="M647" s="33">
        <v>41640</v>
      </c>
      <c r="N647" s="31"/>
      <c r="R647" s="2">
        <f t="shared" si="115"/>
        <v>17</v>
      </c>
    </row>
    <row r="648" spans="1:18" hidden="1" outlineLevel="1" x14ac:dyDescent="0.2">
      <c r="A648" s="30" t="s">
        <v>53</v>
      </c>
      <c r="C648" s="18"/>
      <c r="D648" s="4"/>
      <c r="E648" s="19" t="str">
        <f>"""GP Direct"",""Fabrikam, Inc."",""Jet GL Transactions"",""Account Index"",""138"",""Credit Amount"",""0.00000"",""Document Number"",""SLS18012"",""Debit Amount"",""2858.42000"",""Vendor Name"",""Mendota University"",""Transaction Description"",""COGS"",""Transaction Date"",""1/1/2014"""</f>
        <v>"GP Direct","Fabrikam, Inc.","Jet GL Transactions","Account Index","138","Credit Amount","0.00000","Document Number","SLS18012","Debit Amount","2858.42000","Vendor Name","Mendota University","Transaction Description","COGS","Transaction Date","1/1/2014"</v>
      </c>
      <c r="F648" s="4">
        <v>2858.42</v>
      </c>
      <c r="G648" s="4">
        <v>0</v>
      </c>
      <c r="J648" s="31">
        <f t="shared" si="112"/>
        <v>2858.42</v>
      </c>
      <c r="K648" s="32" t="str">
        <f t="shared" si="113"/>
        <v>COGS</v>
      </c>
      <c r="L648" s="32" t="str">
        <f>"SLS18012"</f>
        <v>SLS18012</v>
      </c>
      <c r="M648" s="33">
        <v>41640</v>
      </c>
      <c r="N648" s="31"/>
      <c r="R648" s="2">
        <f t="shared" si="115"/>
        <v>18</v>
      </c>
    </row>
    <row r="649" spans="1:18" hidden="1" outlineLevel="1" x14ac:dyDescent="0.2">
      <c r="A649" s="30" t="s">
        <v>53</v>
      </c>
      <c r="C649" s="18"/>
      <c r="D649" s="4"/>
      <c r="E649" s="19" t="str">
        <f>"""GP Direct"",""Fabrikam, Inc."",""Jet GL Transactions"",""Account Index"",""138"",""Credit Amount"",""0.00000"",""Document Number"",""SLS19000"",""Debit Amount"",""3208.74000"",""Vendor Name"",""Greenway Foods"",""Transaction Description"",""COGS"",""Transaction Date"",""1/1/2014"""</f>
        <v>"GP Direct","Fabrikam, Inc.","Jet GL Transactions","Account Index","138","Credit Amount","0.00000","Document Number","SLS19000","Debit Amount","3208.74000","Vendor Name","Greenway Foods","Transaction Description","COGS","Transaction Date","1/1/2014"</v>
      </c>
      <c r="F649" s="4">
        <v>3208.74</v>
      </c>
      <c r="G649" s="4">
        <v>0</v>
      </c>
      <c r="J649" s="31">
        <f t="shared" si="112"/>
        <v>3208.74</v>
      </c>
      <c r="K649" s="32" t="str">
        <f t="shared" si="113"/>
        <v>COGS</v>
      </c>
      <c r="L649" s="32" t="str">
        <f>"SLS19000"</f>
        <v>SLS19000</v>
      </c>
      <c r="M649" s="33">
        <v>41640</v>
      </c>
      <c r="N649" s="31"/>
      <c r="R649" s="2">
        <f t="shared" si="115"/>
        <v>19</v>
      </c>
    </row>
    <row r="650" spans="1:18" hidden="1" outlineLevel="1" x14ac:dyDescent="0.2">
      <c r="A650" s="30" t="s">
        <v>53</v>
      </c>
      <c r="C650" s="18"/>
      <c r="D650" s="4"/>
      <c r="E650" s="19" t="str">
        <f>"""GP Direct"",""Fabrikam, Inc."",""Jet GL Transactions"",""Account Index"",""138"",""Credit Amount"",""0.00000"",""Document Number"","""",""Debit Amount"",""3271.06000"",""Vendor Name"","""",""Transaction Description"","""",""Transaction Date"",""1/5/2014"""</f>
        <v>"GP Direct","Fabrikam, Inc.","Jet GL Transactions","Account Index","138","Credit Amount","0.00000","Document Number","","Debit Amount","3271.06000","Vendor Name","","Transaction Description","","Transaction Date","1/5/2014"</v>
      </c>
      <c r="F650" s="4">
        <v>3271.06</v>
      </c>
      <c r="G650" s="4">
        <v>0</v>
      </c>
      <c r="J650" s="31">
        <f t="shared" si="112"/>
        <v>3271.06</v>
      </c>
      <c r="K650" s="32" t="str">
        <f>""</f>
        <v/>
      </c>
      <c r="L650" s="32" t="str">
        <f>""</f>
        <v/>
      </c>
      <c r="M650" s="33">
        <v>41644</v>
      </c>
      <c r="N650" s="31"/>
      <c r="R650" s="2">
        <f t="shared" si="115"/>
        <v>20</v>
      </c>
    </row>
    <row r="651" spans="1:18" hidden="1" outlineLevel="1" x14ac:dyDescent="0.2">
      <c r="A651" s="30" t="s">
        <v>53</v>
      </c>
      <c r="C651" s="18"/>
      <c r="D651" s="4"/>
      <c r="E651" s="19" t="str">
        <f>"""GP Direct"",""Fabrikam, Inc."",""Jet GL Transactions"",""Account Index"",""138"",""Credit Amount"",""0.00000"",""Document Number"","""",""Debit Amount"",""931.33000"",""Vendor Name"","""",""Transaction Description"","""",""Transaction Date"",""1/6/2014"""</f>
        <v>"GP Direct","Fabrikam, Inc.","Jet GL Transactions","Account Index","138","Credit Amount","0.00000","Document Number","","Debit Amount","931.33000","Vendor Name","","Transaction Description","","Transaction Date","1/6/2014"</v>
      </c>
      <c r="F651" s="4">
        <v>931.33</v>
      </c>
      <c r="G651" s="4">
        <v>0</v>
      </c>
      <c r="J651" s="31">
        <f t="shared" si="112"/>
        <v>931.33</v>
      </c>
      <c r="K651" s="32" t="str">
        <f>""</f>
        <v/>
      </c>
      <c r="L651" s="32" t="str">
        <f>""</f>
        <v/>
      </c>
      <c r="M651" s="33">
        <v>41645</v>
      </c>
      <c r="N651" s="31"/>
      <c r="R651" s="2">
        <f t="shared" si="115"/>
        <v>21</v>
      </c>
    </row>
    <row r="652" spans="1:18" hidden="1" outlineLevel="1" x14ac:dyDescent="0.2">
      <c r="A652" s="30" t="s">
        <v>53</v>
      </c>
      <c r="C652" s="18"/>
      <c r="D652" s="4"/>
      <c r="E652" s="19" t="str">
        <f>"""GP Direct"",""Fabrikam, Inc."",""Jet GL Transactions"",""Account Index"",""138"",""Credit Amount"",""303.96000"",""Document Number"",""00000000000000027"",""Debit Amount"",""0.00000"",""Vendor Name"","""",""Transaction Description"","""",""Transaction Date"",""3/25/2014"""</f>
        <v>"GP Direct","Fabrikam, Inc.","Jet GL Transactions","Account Index","138","Credit Amount","303.96000","Document Number","00000000000000027","Debit Amount","0.00000","Vendor Name","","Transaction Description","","Transaction Date","3/25/2014"</v>
      </c>
      <c r="F652" s="4">
        <v>0</v>
      </c>
      <c r="G652" s="4">
        <v>303.95999999999998</v>
      </c>
      <c r="J652" s="31">
        <f t="shared" si="112"/>
        <v>-303.95999999999998</v>
      </c>
      <c r="K652" s="32" t="str">
        <f>""</f>
        <v/>
      </c>
      <c r="L652" s="32" t="str">
        <f>"00000000000000027"</f>
        <v>00000000000000027</v>
      </c>
      <c r="M652" s="33">
        <v>41723</v>
      </c>
      <c r="N652" s="31"/>
      <c r="R652" s="2">
        <f t="shared" si="115"/>
        <v>22</v>
      </c>
    </row>
    <row r="653" spans="1:18" hidden="1" x14ac:dyDescent="0.2">
      <c r="A653" s="29" t="s">
        <v>1386</v>
      </c>
      <c r="C653" s="18"/>
    </row>
    <row r="654" spans="1:18" ht="17.25" customHeight="1" collapsed="1" x14ac:dyDescent="0.2">
      <c r="A654" s="30" t="s">
        <v>53</v>
      </c>
      <c r="C654" s="14" t="str">
        <f>"000-4520-01"</f>
        <v>000-4520-01</v>
      </c>
      <c r="D654" s="2">
        <v>476</v>
      </c>
      <c r="E654" s="2"/>
      <c r="F654" s="2" t="s">
        <v>10</v>
      </c>
      <c r="G654" s="2" t="s">
        <v>8</v>
      </c>
      <c r="H654" s="13" t="str">
        <f>"  "&amp;C654</f>
        <v xml:space="preserve">  000-4520-01</v>
      </c>
      <c r="I654" s="15" t="str">
        <f>"CoGS - Material"</f>
        <v>CoGS - Material</v>
      </c>
      <c r="J654" s="16">
        <f>SUM(J655:J656)</f>
        <v>0</v>
      </c>
      <c r="K654" s="13"/>
      <c r="L654" s="13"/>
      <c r="M654" s="13"/>
      <c r="N654" s="17">
        <v>0</v>
      </c>
      <c r="O654" s="16">
        <f>J654-N654</f>
        <v>0</v>
      </c>
    </row>
    <row r="655" spans="1:18" hidden="1" outlineLevel="1" x14ac:dyDescent="0.2">
      <c r="A655" s="30" t="s">
        <v>53</v>
      </c>
      <c r="C655" s="18"/>
      <c r="D655" s="4"/>
      <c r="E655" s="19" t="str">
        <f>""</f>
        <v/>
      </c>
      <c r="F655" s="4" t="str">
        <f>""</f>
        <v/>
      </c>
      <c r="G655" s="4" t="str">
        <f>""</f>
        <v/>
      </c>
      <c r="J655" s="31" t="str">
        <f>IF(AND(F655="",G655=""),"",$F655-$G655)</f>
        <v/>
      </c>
      <c r="K655" s="32" t="str">
        <f>""</f>
        <v/>
      </c>
      <c r="L655" s="32" t="str">
        <f>""</f>
        <v/>
      </c>
      <c r="M655" s="33" t="str">
        <f>""</f>
        <v/>
      </c>
      <c r="N655" s="31"/>
      <c r="R655" s="2">
        <f t="shared" ref="R655" si="116">R654+1</f>
        <v>1</v>
      </c>
    </row>
    <row r="656" spans="1:18" hidden="1" x14ac:dyDescent="0.2">
      <c r="A656" s="29" t="s">
        <v>1386</v>
      </c>
      <c r="C656" s="18"/>
    </row>
    <row r="657" spans="1:18" ht="17.25" customHeight="1" collapsed="1" x14ac:dyDescent="0.2">
      <c r="A657" s="30" t="s">
        <v>53</v>
      </c>
      <c r="C657" s="14" t="str">
        <f>"000-4520-02"</f>
        <v>000-4520-02</v>
      </c>
      <c r="D657" s="2">
        <v>477</v>
      </c>
      <c r="E657" s="2"/>
      <c r="F657" s="2" t="s">
        <v>10</v>
      </c>
      <c r="G657" s="2" t="s">
        <v>8</v>
      </c>
      <c r="H657" s="13" t="str">
        <f>"  "&amp;C657</f>
        <v xml:space="preserve">  000-4520-02</v>
      </c>
      <c r="I657" s="15" t="str">
        <f>"CoGS - Material Fixed OH"</f>
        <v>CoGS - Material Fixed OH</v>
      </c>
      <c r="J657" s="16">
        <f>SUM(J658:J659)</f>
        <v>0</v>
      </c>
      <c r="K657" s="13"/>
      <c r="L657" s="13"/>
      <c r="M657" s="13"/>
      <c r="N657" s="17">
        <v>0</v>
      </c>
      <c r="O657" s="16">
        <f>J657-N657</f>
        <v>0</v>
      </c>
    </row>
    <row r="658" spans="1:18" hidden="1" outlineLevel="1" x14ac:dyDescent="0.2">
      <c r="A658" s="30" t="s">
        <v>53</v>
      </c>
      <c r="C658" s="18"/>
      <c r="D658" s="4"/>
      <c r="E658" s="19" t="str">
        <f>""</f>
        <v/>
      </c>
      <c r="F658" s="4" t="str">
        <f>""</f>
        <v/>
      </c>
      <c r="G658" s="4" t="str">
        <f>""</f>
        <v/>
      </c>
      <c r="J658" s="31" t="str">
        <f>IF(AND(F658="",G658=""),"",$F658-$G658)</f>
        <v/>
      </c>
      <c r="K658" s="32" t="str">
        <f>""</f>
        <v/>
      </c>
      <c r="L658" s="32" t="str">
        <f>""</f>
        <v/>
      </c>
      <c r="M658" s="33" t="str">
        <f>""</f>
        <v/>
      </c>
      <c r="N658" s="31"/>
      <c r="R658" s="2">
        <f t="shared" ref="R658" si="117">R657+1</f>
        <v>1</v>
      </c>
    </row>
    <row r="659" spans="1:18" hidden="1" x14ac:dyDescent="0.2">
      <c r="A659" s="29" t="s">
        <v>1386</v>
      </c>
      <c r="C659" s="18"/>
    </row>
    <row r="660" spans="1:18" ht="17.25" customHeight="1" collapsed="1" x14ac:dyDescent="0.2">
      <c r="A660" s="30" t="s">
        <v>53</v>
      </c>
      <c r="C660" s="14" t="str">
        <f>"000-4520-03"</f>
        <v>000-4520-03</v>
      </c>
      <c r="D660" s="2">
        <v>478</v>
      </c>
      <c r="E660" s="2"/>
      <c r="F660" s="2" t="s">
        <v>10</v>
      </c>
      <c r="G660" s="2" t="s">
        <v>8</v>
      </c>
      <c r="H660" s="13" t="str">
        <f>"  "&amp;C660</f>
        <v xml:space="preserve">  000-4520-03</v>
      </c>
      <c r="I660" s="15" t="str">
        <f>"CoGS - Material Var. OH"</f>
        <v>CoGS - Material Var. OH</v>
      </c>
      <c r="J660" s="16">
        <f>SUM(J661:J662)</f>
        <v>0</v>
      </c>
      <c r="K660" s="13"/>
      <c r="L660" s="13"/>
      <c r="M660" s="13"/>
      <c r="N660" s="17">
        <v>0</v>
      </c>
      <c r="O660" s="16">
        <f>J660-N660</f>
        <v>0</v>
      </c>
    </row>
    <row r="661" spans="1:18" hidden="1" outlineLevel="1" x14ac:dyDescent="0.2">
      <c r="A661" s="30" t="s">
        <v>53</v>
      </c>
      <c r="C661" s="18"/>
      <c r="D661" s="4"/>
      <c r="E661" s="19" t="str">
        <f>""</f>
        <v/>
      </c>
      <c r="F661" s="4" t="str">
        <f>""</f>
        <v/>
      </c>
      <c r="G661" s="4" t="str">
        <f>""</f>
        <v/>
      </c>
      <c r="J661" s="31" t="str">
        <f>IF(AND(F661="",G661=""),"",$F661-$G661)</f>
        <v/>
      </c>
      <c r="K661" s="32" t="str">
        <f>""</f>
        <v/>
      </c>
      <c r="L661" s="32" t="str">
        <f>""</f>
        <v/>
      </c>
      <c r="M661" s="33" t="str">
        <f>""</f>
        <v/>
      </c>
      <c r="N661" s="31"/>
      <c r="R661" s="2">
        <f t="shared" ref="R661" si="118">R660+1</f>
        <v>1</v>
      </c>
    </row>
    <row r="662" spans="1:18" hidden="1" x14ac:dyDescent="0.2">
      <c r="A662" s="29" t="s">
        <v>1386</v>
      </c>
      <c r="C662" s="18"/>
    </row>
    <row r="663" spans="1:18" ht="17.25" customHeight="1" collapsed="1" x14ac:dyDescent="0.2">
      <c r="A663" s="30" t="s">
        <v>53</v>
      </c>
      <c r="C663" s="14" t="str">
        <f>"000-4520-04"</f>
        <v>000-4520-04</v>
      </c>
      <c r="D663" s="2">
        <v>479</v>
      </c>
      <c r="E663" s="2"/>
      <c r="F663" s="2" t="s">
        <v>10</v>
      </c>
      <c r="G663" s="2" t="s">
        <v>8</v>
      </c>
      <c r="H663" s="13" t="str">
        <f>"  "&amp;C663</f>
        <v xml:space="preserve">  000-4520-04</v>
      </c>
      <c r="I663" s="15" t="str">
        <f>"CoGS - Labor"</f>
        <v>CoGS - Labor</v>
      </c>
      <c r="J663" s="16">
        <f>SUM(J664:J665)</f>
        <v>0</v>
      </c>
      <c r="K663" s="13"/>
      <c r="L663" s="13"/>
      <c r="M663" s="13"/>
      <c r="N663" s="17">
        <v>0</v>
      </c>
      <c r="O663" s="16">
        <f>J663-N663</f>
        <v>0</v>
      </c>
    </row>
    <row r="664" spans="1:18" hidden="1" outlineLevel="1" x14ac:dyDescent="0.2">
      <c r="A664" s="30" t="s">
        <v>53</v>
      </c>
      <c r="C664" s="18"/>
      <c r="D664" s="4"/>
      <c r="E664" s="19" t="str">
        <f>""</f>
        <v/>
      </c>
      <c r="F664" s="4" t="str">
        <f>""</f>
        <v/>
      </c>
      <c r="G664" s="4" t="str">
        <f>""</f>
        <v/>
      </c>
      <c r="J664" s="31" t="str">
        <f>IF(AND(F664="",G664=""),"",$F664-$G664)</f>
        <v/>
      </c>
      <c r="K664" s="32" t="str">
        <f>""</f>
        <v/>
      </c>
      <c r="L664" s="32" t="str">
        <f>""</f>
        <v/>
      </c>
      <c r="M664" s="33" t="str">
        <f>""</f>
        <v/>
      </c>
      <c r="N664" s="31"/>
      <c r="R664" s="2">
        <f t="shared" ref="R664" si="119">R663+1</f>
        <v>1</v>
      </c>
    </row>
    <row r="665" spans="1:18" hidden="1" x14ac:dyDescent="0.2">
      <c r="A665" s="29" t="s">
        <v>1386</v>
      </c>
      <c r="C665" s="18"/>
    </row>
    <row r="666" spans="1:18" ht="17.25" customHeight="1" collapsed="1" x14ac:dyDescent="0.2">
      <c r="A666" s="30" t="s">
        <v>53</v>
      </c>
      <c r="C666" s="14" t="str">
        <f>"000-4520-05"</f>
        <v>000-4520-05</v>
      </c>
      <c r="D666" s="2">
        <v>480</v>
      </c>
      <c r="E666" s="2"/>
      <c r="F666" s="2" t="s">
        <v>10</v>
      </c>
      <c r="G666" s="2" t="s">
        <v>8</v>
      </c>
      <c r="H666" s="13" t="str">
        <f>"  "&amp;C666</f>
        <v xml:space="preserve">  000-4520-05</v>
      </c>
      <c r="I666" s="15" t="str">
        <f>"CoGS - Labor Fixed OH"</f>
        <v>CoGS - Labor Fixed OH</v>
      </c>
      <c r="J666" s="16">
        <f>SUM(J667:J668)</f>
        <v>0</v>
      </c>
      <c r="K666" s="13"/>
      <c r="L666" s="13"/>
      <c r="M666" s="13"/>
      <c r="N666" s="17">
        <v>0</v>
      </c>
      <c r="O666" s="16">
        <f>J666-N666</f>
        <v>0</v>
      </c>
    </row>
    <row r="667" spans="1:18" hidden="1" outlineLevel="1" x14ac:dyDescent="0.2">
      <c r="A667" s="30" t="s">
        <v>53</v>
      </c>
      <c r="C667" s="18"/>
      <c r="D667" s="4"/>
      <c r="E667" s="19" t="str">
        <f>""</f>
        <v/>
      </c>
      <c r="F667" s="4" t="str">
        <f>""</f>
        <v/>
      </c>
      <c r="G667" s="4" t="str">
        <f>""</f>
        <v/>
      </c>
      <c r="J667" s="31" t="str">
        <f>IF(AND(F667="",G667=""),"",$F667-$G667)</f>
        <v/>
      </c>
      <c r="K667" s="32" t="str">
        <f>""</f>
        <v/>
      </c>
      <c r="L667" s="32" t="str">
        <f>""</f>
        <v/>
      </c>
      <c r="M667" s="33" t="str">
        <f>""</f>
        <v/>
      </c>
      <c r="N667" s="31"/>
      <c r="R667" s="2">
        <f t="shared" ref="R667" si="120">R666+1</f>
        <v>1</v>
      </c>
    </row>
    <row r="668" spans="1:18" hidden="1" x14ac:dyDescent="0.2">
      <c r="A668" s="29" t="s">
        <v>1386</v>
      </c>
      <c r="C668" s="18"/>
    </row>
    <row r="669" spans="1:18" ht="17.25" customHeight="1" collapsed="1" x14ac:dyDescent="0.2">
      <c r="A669" s="30" t="s">
        <v>53</v>
      </c>
      <c r="C669" s="14" t="str">
        <f>"000-4520-06"</f>
        <v>000-4520-06</v>
      </c>
      <c r="D669" s="2">
        <v>481</v>
      </c>
      <c r="E669" s="2"/>
      <c r="F669" s="2" t="s">
        <v>10</v>
      </c>
      <c r="G669" s="2" t="s">
        <v>8</v>
      </c>
      <c r="H669" s="13" t="str">
        <f>"  "&amp;C669</f>
        <v xml:space="preserve">  000-4520-06</v>
      </c>
      <c r="I669" s="15" t="str">
        <f>"CoGS - Labor Var. OH"</f>
        <v>CoGS - Labor Var. OH</v>
      </c>
      <c r="J669" s="16">
        <f>SUM(J670:J671)</f>
        <v>0</v>
      </c>
      <c r="K669" s="13"/>
      <c r="L669" s="13"/>
      <c r="M669" s="13"/>
      <c r="N669" s="17">
        <v>0</v>
      </c>
      <c r="O669" s="16">
        <f>J669-N669</f>
        <v>0</v>
      </c>
    </row>
    <row r="670" spans="1:18" hidden="1" outlineLevel="1" x14ac:dyDescent="0.2">
      <c r="A670" s="30" t="s">
        <v>53</v>
      </c>
      <c r="C670" s="18"/>
      <c r="D670" s="4"/>
      <c r="E670" s="19" t="str">
        <f>""</f>
        <v/>
      </c>
      <c r="F670" s="4" t="str">
        <f>""</f>
        <v/>
      </c>
      <c r="G670" s="4" t="str">
        <f>""</f>
        <v/>
      </c>
      <c r="J670" s="31" t="str">
        <f>IF(AND(F670="",G670=""),"",$F670-$G670)</f>
        <v/>
      </c>
      <c r="K670" s="32" t="str">
        <f>""</f>
        <v/>
      </c>
      <c r="L670" s="32" t="str">
        <f>""</f>
        <v/>
      </c>
      <c r="M670" s="33" t="str">
        <f>""</f>
        <v/>
      </c>
      <c r="N670" s="31"/>
      <c r="R670" s="2">
        <f t="shared" ref="R670" si="121">R669+1</f>
        <v>1</v>
      </c>
    </row>
    <row r="671" spans="1:18" hidden="1" x14ac:dyDescent="0.2">
      <c r="A671" s="29" t="s">
        <v>1386</v>
      </c>
      <c r="C671" s="18"/>
    </row>
    <row r="672" spans="1:18" ht="17.25" customHeight="1" collapsed="1" x14ac:dyDescent="0.2">
      <c r="A672" s="30" t="s">
        <v>53</v>
      </c>
      <c r="C672" s="14" t="str">
        <f>"000-4520-07"</f>
        <v>000-4520-07</v>
      </c>
      <c r="D672" s="2">
        <v>482</v>
      </c>
      <c r="E672" s="2"/>
      <c r="F672" s="2" t="s">
        <v>10</v>
      </c>
      <c r="G672" s="2" t="s">
        <v>8</v>
      </c>
      <c r="H672" s="13" t="str">
        <f>"  "&amp;C672</f>
        <v xml:space="preserve">  000-4520-07</v>
      </c>
      <c r="I672" s="15" t="str">
        <f>"CoGS - Machine"</f>
        <v>CoGS - Machine</v>
      </c>
      <c r="J672" s="16">
        <f>SUM(J673:J674)</f>
        <v>0</v>
      </c>
      <c r="K672" s="13"/>
      <c r="L672" s="13"/>
      <c r="M672" s="13"/>
      <c r="N672" s="17">
        <v>0</v>
      </c>
      <c r="O672" s="16">
        <f>J672-N672</f>
        <v>0</v>
      </c>
    </row>
    <row r="673" spans="1:18" hidden="1" outlineLevel="1" x14ac:dyDescent="0.2">
      <c r="A673" s="30" t="s">
        <v>53</v>
      </c>
      <c r="C673" s="18"/>
      <c r="D673" s="4"/>
      <c r="E673" s="19" t="str">
        <f>""</f>
        <v/>
      </c>
      <c r="F673" s="4" t="str">
        <f>""</f>
        <v/>
      </c>
      <c r="G673" s="4" t="str">
        <f>""</f>
        <v/>
      </c>
      <c r="J673" s="31" t="str">
        <f>IF(AND(F673="",G673=""),"",$F673-$G673)</f>
        <v/>
      </c>
      <c r="K673" s="32" t="str">
        <f>""</f>
        <v/>
      </c>
      <c r="L673" s="32" t="str">
        <f>""</f>
        <v/>
      </c>
      <c r="M673" s="33" t="str">
        <f>""</f>
        <v/>
      </c>
      <c r="N673" s="31"/>
      <c r="R673" s="2">
        <f t="shared" ref="R673" si="122">R672+1</f>
        <v>1</v>
      </c>
    </row>
    <row r="674" spans="1:18" hidden="1" x14ac:dyDescent="0.2">
      <c r="A674" s="29" t="s">
        <v>1386</v>
      </c>
      <c r="C674" s="18"/>
    </row>
    <row r="675" spans="1:18" ht="17.25" customHeight="1" collapsed="1" x14ac:dyDescent="0.2">
      <c r="A675" s="30" t="s">
        <v>53</v>
      </c>
      <c r="C675" s="14" t="str">
        <f>"000-4520-08"</f>
        <v>000-4520-08</v>
      </c>
      <c r="D675" s="2">
        <v>483</v>
      </c>
      <c r="E675" s="2"/>
      <c r="F675" s="2" t="s">
        <v>10</v>
      </c>
      <c r="G675" s="2" t="s">
        <v>8</v>
      </c>
      <c r="H675" s="13" t="str">
        <f>"  "&amp;C675</f>
        <v xml:space="preserve">  000-4520-08</v>
      </c>
      <c r="I675" s="15" t="str">
        <f>"CoGS - Machine Fixed OH"</f>
        <v>CoGS - Machine Fixed OH</v>
      </c>
      <c r="J675" s="16">
        <f>SUM(J676:J677)</f>
        <v>0</v>
      </c>
      <c r="K675" s="13"/>
      <c r="L675" s="13"/>
      <c r="M675" s="13"/>
      <c r="N675" s="17">
        <v>0</v>
      </c>
      <c r="O675" s="16">
        <f>J675-N675</f>
        <v>0</v>
      </c>
    </row>
    <row r="676" spans="1:18" hidden="1" outlineLevel="1" x14ac:dyDescent="0.2">
      <c r="A676" s="30" t="s">
        <v>53</v>
      </c>
      <c r="C676" s="18"/>
      <c r="D676" s="4"/>
      <c r="E676" s="19" t="str">
        <f>""</f>
        <v/>
      </c>
      <c r="F676" s="4" t="str">
        <f>""</f>
        <v/>
      </c>
      <c r="G676" s="4" t="str">
        <f>""</f>
        <v/>
      </c>
      <c r="J676" s="31" t="str">
        <f>IF(AND(F676="",G676=""),"",$F676-$G676)</f>
        <v/>
      </c>
      <c r="K676" s="32" t="str">
        <f>""</f>
        <v/>
      </c>
      <c r="L676" s="32" t="str">
        <f>""</f>
        <v/>
      </c>
      <c r="M676" s="33" t="str">
        <f>""</f>
        <v/>
      </c>
      <c r="N676" s="31"/>
      <c r="R676" s="2">
        <f t="shared" ref="R676" si="123">R675+1</f>
        <v>1</v>
      </c>
    </row>
    <row r="677" spans="1:18" hidden="1" x14ac:dyDescent="0.2">
      <c r="A677" s="29" t="s">
        <v>1386</v>
      </c>
      <c r="C677" s="18"/>
    </row>
    <row r="678" spans="1:18" ht="17.25" customHeight="1" collapsed="1" x14ac:dyDescent="0.2">
      <c r="A678" s="30" t="s">
        <v>53</v>
      </c>
      <c r="C678" s="14" t="str">
        <f>"000-4520-09"</f>
        <v>000-4520-09</v>
      </c>
      <c r="D678" s="2">
        <v>484</v>
      </c>
      <c r="E678" s="2"/>
      <c r="F678" s="2" t="s">
        <v>10</v>
      </c>
      <c r="G678" s="2" t="s">
        <v>8</v>
      </c>
      <c r="H678" s="13" t="str">
        <f>"  "&amp;C678</f>
        <v xml:space="preserve">  000-4520-09</v>
      </c>
      <c r="I678" s="15" t="str">
        <f>"CoGS - Machine Var. OH"</f>
        <v>CoGS - Machine Var. OH</v>
      </c>
      <c r="J678" s="16">
        <f>SUM(J679:J680)</f>
        <v>0</v>
      </c>
      <c r="K678" s="13"/>
      <c r="L678" s="13"/>
      <c r="M678" s="13"/>
      <c r="N678" s="17">
        <v>0</v>
      </c>
      <c r="O678" s="16">
        <f>J678-N678</f>
        <v>0</v>
      </c>
    </row>
    <row r="679" spans="1:18" hidden="1" outlineLevel="1" x14ac:dyDescent="0.2">
      <c r="A679" s="30" t="s">
        <v>53</v>
      </c>
      <c r="C679" s="18"/>
      <c r="D679" s="4"/>
      <c r="E679" s="19" t="str">
        <f>""</f>
        <v/>
      </c>
      <c r="F679" s="4" t="str">
        <f>""</f>
        <v/>
      </c>
      <c r="G679" s="4" t="str">
        <f>""</f>
        <v/>
      </c>
      <c r="J679" s="31" t="str">
        <f>IF(AND(F679="",G679=""),"",$F679-$G679)</f>
        <v/>
      </c>
      <c r="K679" s="32" t="str">
        <f>""</f>
        <v/>
      </c>
      <c r="L679" s="32" t="str">
        <f>""</f>
        <v/>
      </c>
      <c r="M679" s="33" t="str">
        <f>""</f>
        <v/>
      </c>
      <c r="N679" s="31"/>
      <c r="R679" s="2">
        <f t="shared" ref="R679" si="124">R678+1</f>
        <v>1</v>
      </c>
    </row>
    <row r="680" spans="1:18" hidden="1" x14ac:dyDescent="0.2">
      <c r="A680" s="29" t="s">
        <v>1386</v>
      </c>
      <c r="C680" s="18"/>
    </row>
    <row r="681" spans="1:18" ht="17.25" customHeight="1" collapsed="1" x14ac:dyDescent="0.2">
      <c r="A681" s="30" t="s">
        <v>53</v>
      </c>
      <c r="C681" s="14" t="str">
        <f>"000-4530-01"</f>
        <v>000-4530-01</v>
      </c>
      <c r="D681" s="2">
        <v>506</v>
      </c>
      <c r="E681" s="2"/>
      <c r="F681" s="2" t="s">
        <v>10</v>
      </c>
      <c r="G681" s="2" t="s">
        <v>8</v>
      </c>
      <c r="H681" s="13" t="str">
        <f>"  "&amp;C681</f>
        <v xml:space="preserve">  000-4530-01</v>
      </c>
      <c r="I681" s="15" t="str">
        <f>"Cost of Goods Sold/Expense"</f>
        <v>Cost of Goods Sold/Expense</v>
      </c>
      <c r="J681" s="16">
        <f>SUM(J682:J683)</f>
        <v>0</v>
      </c>
      <c r="K681" s="13"/>
      <c r="L681" s="13"/>
      <c r="M681" s="13"/>
      <c r="N681" s="17">
        <v>0</v>
      </c>
      <c r="O681" s="16">
        <f>J681-N681</f>
        <v>0</v>
      </c>
    </row>
    <row r="682" spans="1:18" hidden="1" outlineLevel="1" x14ac:dyDescent="0.2">
      <c r="A682" s="30" t="s">
        <v>53</v>
      </c>
      <c r="C682" s="18"/>
      <c r="D682" s="4"/>
      <c r="E682" s="19" t="str">
        <f>""</f>
        <v/>
      </c>
      <c r="F682" s="4" t="str">
        <f>""</f>
        <v/>
      </c>
      <c r="G682" s="4" t="str">
        <f>""</f>
        <v/>
      </c>
      <c r="J682" s="31" t="str">
        <f>IF(AND(F682="",G682=""),"",$F682-$G682)</f>
        <v/>
      </c>
      <c r="K682" s="32" t="str">
        <f>""</f>
        <v/>
      </c>
      <c r="L682" s="32" t="str">
        <f>""</f>
        <v/>
      </c>
      <c r="M682" s="33" t="str">
        <f>""</f>
        <v/>
      </c>
      <c r="N682" s="31"/>
      <c r="R682" s="2">
        <f t="shared" ref="R682" si="125">R681+1</f>
        <v>1</v>
      </c>
    </row>
    <row r="683" spans="1:18" hidden="1" x14ac:dyDescent="0.2">
      <c r="A683" s="29" t="s">
        <v>1386</v>
      </c>
      <c r="C683" s="18"/>
    </row>
    <row r="684" spans="1:18" ht="17.25" customHeight="1" collapsed="1" x14ac:dyDescent="0.2">
      <c r="A684" s="30" t="s">
        <v>53</v>
      </c>
      <c r="C684" s="14" t="str">
        <f>"000-4600-00"</f>
        <v>000-4600-00</v>
      </c>
      <c r="D684" s="2">
        <v>139</v>
      </c>
      <c r="E684" s="2"/>
      <c r="F684" s="2" t="s">
        <v>10</v>
      </c>
      <c r="G684" s="2" t="s">
        <v>8</v>
      </c>
      <c r="H684" s="13" t="str">
        <f>"  "&amp;C684</f>
        <v xml:space="preserve">  000-4600-00</v>
      </c>
      <c r="I684" s="15" t="str">
        <f>"Purchases Discounts Taken"</f>
        <v>Purchases Discounts Taken</v>
      </c>
      <c r="J684" s="16">
        <f>SUM(J685:J687)</f>
        <v>-229.57</v>
      </c>
      <c r="K684" s="13"/>
      <c r="L684" s="13"/>
      <c r="M684" s="13"/>
      <c r="N684" s="17">
        <v>-900</v>
      </c>
      <c r="O684" s="16">
        <f>J684-N684</f>
        <v>670.43000000000006</v>
      </c>
    </row>
    <row r="685" spans="1:18" hidden="1" outlineLevel="1" x14ac:dyDescent="0.2">
      <c r="A685" s="30" t="s">
        <v>53</v>
      </c>
      <c r="C685" s="18"/>
      <c r="D685" s="4"/>
      <c r="E685" s="19" t="str">
        <f>"""GP Direct"",""Fabrikam, Inc."",""Jet GL Transactions"",""Account Index"",""139"",""Credit Amount"",""135.71000"",""Document Number"",""115002"",""Debit Amount"",""0.00000"",""Vendor Name"",""Trey Research"",""Transaction Description"",""Term Discounts Taken"",""Transaction Date"",""1/1"&amp;"3/2014"""</f>
        <v>"GP Direct","Fabrikam, Inc.","Jet GL Transactions","Account Index","139","Credit Amount","135.71000","Document Number","115002","Debit Amount","0.00000","Vendor Name","Trey Research","Transaction Description","Term Discounts Taken","Transaction Date","1/13/2014"</v>
      </c>
      <c r="F685" s="4">
        <v>0</v>
      </c>
      <c r="G685" s="4">
        <v>135.71</v>
      </c>
      <c r="J685" s="31">
        <f>IF(AND(F685="",G685=""),"",$F685-$G685)</f>
        <v>-135.71</v>
      </c>
      <c r="K685" s="32" t="str">
        <f>"Term Discounts Taken"</f>
        <v>Term Discounts Taken</v>
      </c>
      <c r="L685" s="32" t="str">
        <f>"115002"</f>
        <v>115002</v>
      </c>
      <c r="M685" s="33">
        <v>41652</v>
      </c>
      <c r="N685" s="31"/>
      <c r="R685" s="2">
        <f t="shared" ref="R685" si="126">R684+1</f>
        <v>1</v>
      </c>
    </row>
    <row r="686" spans="1:18" hidden="1" outlineLevel="1" x14ac:dyDescent="0.2">
      <c r="A686" s="30" t="s">
        <v>53</v>
      </c>
      <c r="C686" s="18"/>
      <c r="D686" s="4"/>
      <c r="E686" s="19" t="str">
        <f>"""GP Direct"",""Fabrikam, Inc."",""Jet GL Transactions"",""Account Index"",""139"",""Credit Amount"",""93.86000"",""Document Number"",""115003"",""Debit Amount"",""0.00000"",""Vendor Name"",""Trey Research"",""Transaction Description"",""Term Discounts Taken"",""Transaction Date"",""1/23"&amp;"/2014"""</f>
        <v>"GP Direct","Fabrikam, Inc.","Jet GL Transactions","Account Index","139","Credit Amount","93.86000","Document Number","115003","Debit Amount","0.00000","Vendor Name","Trey Research","Transaction Description","Term Discounts Taken","Transaction Date","1/23/2014"</v>
      </c>
      <c r="F686" s="4">
        <v>0</v>
      </c>
      <c r="G686" s="4">
        <v>93.86</v>
      </c>
      <c r="J686" s="31">
        <f>IF(AND(F686="",G686=""),"",$F686-$G686)</f>
        <v>-93.86</v>
      </c>
      <c r="K686" s="32" t="str">
        <f>"Term Discounts Taken"</f>
        <v>Term Discounts Taken</v>
      </c>
      <c r="L686" s="32" t="str">
        <f>"115003"</f>
        <v>115003</v>
      </c>
      <c r="M686" s="33">
        <v>41662</v>
      </c>
      <c r="N686" s="31"/>
      <c r="R686" s="2">
        <f t="shared" ref="R686" si="127">R685+1</f>
        <v>2</v>
      </c>
    </row>
    <row r="687" spans="1:18" hidden="1" x14ac:dyDescent="0.2">
      <c r="A687" s="29" t="s">
        <v>1386</v>
      </c>
      <c r="C687" s="18"/>
    </row>
    <row r="688" spans="1:18" ht="17.25" customHeight="1" collapsed="1" x14ac:dyDescent="0.2">
      <c r="A688" s="30" t="s">
        <v>53</v>
      </c>
      <c r="C688" s="14" t="str">
        <f>"000-4601-00"</f>
        <v>000-4601-00</v>
      </c>
      <c r="D688" s="2">
        <v>140</v>
      </c>
      <c r="E688" s="2"/>
      <c r="F688" s="2" t="s">
        <v>10</v>
      </c>
      <c r="G688" s="2" t="s">
        <v>8</v>
      </c>
      <c r="H688" s="13" t="str">
        <f>"  "&amp;C688</f>
        <v xml:space="preserve">  000-4601-00</v>
      </c>
      <c r="I688" s="15" t="str">
        <f>"Purchases Trade Discounts"</f>
        <v>Purchases Trade Discounts</v>
      </c>
      <c r="J688" s="16">
        <f>SUM(J689:J690)</f>
        <v>0</v>
      </c>
      <c r="K688" s="13"/>
      <c r="L688" s="13"/>
      <c r="M688" s="13"/>
      <c r="N688" s="17">
        <v>0</v>
      </c>
      <c r="O688" s="16">
        <f>J688-N688</f>
        <v>0</v>
      </c>
    </row>
    <row r="689" spans="1:18" hidden="1" outlineLevel="1" x14ac:dyDescent="0.2">
      <c r="A689" s="30" t="s">
        <v>53</v>
      </c>
      <c r="C689" s="18"/>
      <c r="D689" s="4"/>
      <c r="E689" s="19" t="str">
        <f>""</f>
        <v/>
      </c>
      <c r="F689" s="4" t="str">
        <f>""</f>
        <v/>
      </c>
      <c r="G689" s="4" t="str">
        <f>""</f>
        <v/>
      </c>
      <c r="J689" s="31" t="str">
        <f>IF(AND(F689="",G689=""),"",$F689-$G689)</f>
        <v/>
      </c>
      <c r="K689" s="32" t="str">
        <f>""</f>
        <v/>
      </c>
      <c r="L689" s="32" t="str">
        <f>""</f>
        <v/>
      </c>
      <c r="M689" s="33" t="str">
        <f>""</f>
        <v/>
      </c>
      <c r="N689" s="31"/>
      <c r="R689" s="2">
        <f t="shared" ref="R689" si="128">R688+1</f>
        <v>1</v>
      </c>
    </row>
    <row r="690" spans="1:18" hidden="1" x14ac:dyDescent="0.2">
      <c r="A690" s="29" t="s">
        <v>1386</v>
      </c>
      <c r="C690" s="18"/>
    </row>
    <row r="691" spans="1:18" ht="17.25" customHeight="1" collapsed="1" x14ac:dyDescent="0.2">
      <c r="A691" s="30" t="s">
        <v>53</v>
      </c>
      <c r="C691" s="14" t="str">
        <f>"000-4700-00"</f>
        <v>000-4700-00</v>
      </c>
      <c r="D691" s="2">
        <v>141</v>
      </c>
      <c r="E691" s="2"/>
      <c r="F691" s="2" t="s">
        <v>10</v>
      </c>
      <c r="G691" s="2" t="s">
        <v>8</v>
      </c>
      <c r="H691" s="13" t="str">
        <f>"  "&amp;C691</f>
        <v xml:space="preserve">  000-4700-00</v>
      </c>
      <c r="I691" s="15" t="str">
        <f>"Shrinkage and Waste"</f>
        <v>Shrinkage and Waste</v>
      </c>
      <c r="J691" s="16">
        <f>SUM(J692:J693)</f>
        <v>24750.36</v>
      </c>
      <c r="K691" s="13"/>
      <c r="L691" s="13"/>
      <c r="M691" s="13"/>
      <c r="N691" s="17">
        <v>69000</v>
      </c>
      <c r="O691" s="16">
        <f>J691-N691</f>
        <v>-44249.64</v>
      </c>
    </row>
    <row r="692" spans="1:18" hidden="1" outlineLevel="1" x14ac:dyDescent="0.2">
      <c r="A692" s="30" t="s">
        <v>53</v>
      </c>
      <c r="C692" s="18"/>
      <c r="D692" s="4"/>
      <c r="E692" s="19" t="str">
        <f>"""GP Direct"",""Fabrikam, Inc."",""Jet GL Transactions"",""Account Index"",""141"",""Credit Amount"",""0.00000"",""Document Number"","""",""Debit Amount"",""24750.36000"",""Vendor Name"","""",""Transaction Description"","""",""Transaction Date"",""1/15/2014"""</f>
        <v>"GP Direct","Fabrikam, Inc.","Jet GL Transactions","Account Index","141","Credit Amount","0.00000","Document Number","","Debit Amount","24750.36000","Vendor Name","","Transaction Description","","Transaction Date","1/15/2014"</v>
      </c>
      <c r="F692" s="4">
        <v>24750.36</v>
      </c>
      <c r="G692" s="4">
        <v>0</v>
      </c>
      <c r="J692" s="31">
        <f>IF(AND(F692="",G692=""),"",$F692-$G692)</f>
        <v>24750.36</v>
      </c>
      <c r="K692" s="32" t="str">
        <f>""</f>
        <v/>
      </c>
      <c r="L692" s="32" t="str">
        <f>""</f>
        <v/>
      </c>
      <c r="M692" s="33">
        <v>41654</v>
      </c>
      <c r="N692" s="31"/>
      <c r="R692" s="2">
        <f t="shared" ref="R692" si="129">R691+1</f>
        <v>1</v>
      </c>
    </row>
    <row r="693" spans="1:18" hidden="1" x14ac:dyDescent="0.2">
      <c r="A693" s="29" t="s">
        <v>1386</v>
      </c>
      <c r="C693" s="18"/>
    </row>
    <row r="694" spans="1:18" ht="17.25" customHeight="1" collapsed="1" x14ac:dyDescent="0.2">
      <c r="A694" s="30" t="s">
        <v>53</v>
      </c>
      <c r="C694" s="14" t="str">
        <f>"000-4710-00"</f>
        <v>000-4710-00</v>
      </c>
      <c r="D694" s="2">
        <v>142</v>
      </c>
      <c r="E694" s="2"/>
      <c r="F694" s="2" t="s">
        <v>10</v>
      </c>
      <c r="G694" s="2" t="s">
        <v>8</v>
      </c>
      <c r="H694" s="13" t="str">
        <f>"  "&amp;C694</f>
        <v xml:space="preserve">  000-4710-00</v>
      </c>
      <c r="I694" s="15" t="str">
        <f>"Freight and Handling"</f>
        <v>Freight and Handling</v>
      </c>
      <c r="J694" s="16">
        <f>SUM(J695:J719)</f>
        <v>11739.950000000003</v>
      </c>
      <c r="K694" s="13"/>
      <c r="L694" s="13"/>
      <c r="M694" s="13"/>
      <c r="N694" s="17">
        <v>30000</v>
      </c>
      <c r="O694" s="16">
        <f>J694-N694</f>
        <v>-18260.049999999996</v>
      </c>
    </row>
    <row r="695" spans="1:18" hidden="1" outlineLevel="1" x14ac:dyDescent="0.2">
      <c r="A695" s="30" t="s">
        <v>53</v>
      </c>
      <c r="C695" s="18"/>
      <c r="D695" s="4"/>
      <c r="E695" s="19" t="str">
        <f>"""GP Direct"",""Fabrikam, Inc."",""Jet GL Transactions"",""Account Index"",""142"",""Credit Amount"",""0.00000"",""Document Number"",""110000"",""Debit Amount"",""780.44000"",""Vendor Name"",""ComVex, Inc."",""Transaction Description"",""Freight"",""Transaction Date"",""1/31/2014"""</f>
        <v>"GP Direct","Fabrikam, Inc.","Jet GL Transactions","Account Index","142","Credit Amount","0.00000","Document Number","110000","Debit Amount","780.44000","Vendor Name","ComVex, Inc.","Transaction Description","Freight","Transaction Date","1/31/2014"</v>
      </c>
      <c r="F695" s="4">
        <v>780.44</v>
      </c>
      <c r="G695" s="4">
        <v>0</v>
      </c>
      <c r="J695" s="31">
        <f t="shared" ref="J695:J718" si="130">IF(AND(F695="",G695=""),"",$F695-$G695)</f>
        <v>780.44</v>
      </c>
      <c r="K695" s="32" t="str">
        <f t="shared" ref="K695:K718" si="131">"Freight"</f>
        <v>Freight</v>
      </c>
      <c r="L695" s="32" t="str">
        <f>"110000"</f>
        <v>110000</v>
      </c>
      <c r="M695" s="33">
        <v>41670</v>
      </c>
      <c r="N695" s="31"/>
      <c r="R695" s="2">
        <f t="shared" ref="R695" si="132">R694+1</f>
        <v>1</v>
      </c>
    </row>
    <row r="696" spans="1:18" hidden="1" outlineLevel="1" x14ac:dyDescent="0.2">
      <c r="A696" s="30" t="s">
        <v>53</v>
      </c>
      <c r="C696" s="18"/>
      <c r="D696" s="4"/>
      <c r="E696" s="19" t="str">
        <f>"""GP Direct"",""Fabrikam, Inc."",""Jet GL Transactions"",""Account Index"",""142"",""Credit Amount"",""0.00000"",""Document Number"",""110002"",""Debit Amount"",""497.60000"",""Vendor Name"",""ComVex, Inc."",""Transaction Description"",""Freight"",""Transaction Date"",""1/31/2014"""</f>
        <v>"GP Direct","Fabrikam, Inc.","Jet GL Transactions","Account Index","142","Credit Amount","0.00000","Document Number","110002","Debit Amount","497.60000","Vendor Name","ComVex, Inc.","Transaction Description","Freight","Transaction Date","1/31/2014"</v>
      </c>
      <c r="F696" s="4">
        <v>497.6</v>
      </c>
      <c r="G696" s="4">
        <v>0</v>
      </c>
      <c r="J696" s="31">
        <f t="shared" si="130"/>
        <v>497.6</v>
      </c>
      <c r="K696" s="32" t="str">
        <f t="shared" si="131"/>
        <v>Freight</v>
      </c>
      <c r="L696" s="32" t="str">
        <f>"110002"</f>
        <v>110002</v>
      </c>
      <c r="M696" s="33">
        <v>41670</v>
      </c>
      <c r="N696" s="31"/>
      <c r="R696" s="2">
        <f t="shared" ref="R696:R718" si="133">R695+1</f>
        <v>2</v>
      </c>
    </row>
    <row r="697" spans="1:18" hidden="1" outlineLevel="1" x14ac:dyDescent="0.2">
      <c r="A697" s="30" t="s">
        <v>53</v>
      </c>
      <c r="C697" s="18"/>
      <c r="D697" s="4"/>
      <c r="E697" s="19" t="str">
        <f>"""GP Direct"",""Fabrikam, Inc."",""Jet GL Transactions"",""Account Index"",""142"",""Credit Amount"",""0.00000"",""Document Number"",""112000"",""Debit Amount"",""632.47000"",""Vendor Name"",""International Wire"",""Transaction Description"",""Freight"",""Transaction Date"",""1/31/2014"""</f>
        <v>"GP Direct","Fabrikam, Inc.","Jet GL Transactions","Account Index","142","Credit Amount","0.00000","Document Number","112000","Debit Amount","632.47000","Vendor Name","International Wire","Transaction Description","Freight","Transaction Date","1/31/2014"</v>
      </c>
      <c r="F697" s="4">
        <v>632.47</v>
      </c>
      <c r="G697" s="4">
        <v>0</v>
      </c>
      <c r="J697" s="31">
        <f t="shared" si="130"/>
        <v>632.47</v>
      </c>
      <c r="K697" s="32" t="str">
        <f t="shared" si="131"/>
        <v>Freight</v>
      </c>
      <c r="L697" s="32" t="str">
        <f>"112000"</f>
        <v>112000</v>
      </c>
      <c r="M697" s="33">
        <v>41670</v>
      </c>
      <c r="N697" s="31"/>
      <c r="R697" s="2">
        <f t="shared" si="133"/>
        <v>3</v>
      </c>
    </row>
    <row r="698" spans="1:18" hidden="1" outlineLevel="1" x14ac:dyDescent="0.2">
      <c r="A698" s="30" t="s">
        <v>53</v>
      </c>
      <c r="C698" s="18"/>
      <c r="D698" s="4"/>
      <c r="E698" s="19" t="str">
        <f>"""GP Direct"",""Fabrikam, Inc."",""Jet GL Transactions"",""Account Index"",""142"",""Credit Amount"",""0.00000"",""Document Number"",""112001"",""Debit Amount"",""307.81000"",""Vendor Name"",""International Wire"",""Transaction Description"",""Freight"",""Transaction Date"",""1/31/2014"""</f>
        <v>"GP Direct","Fabrikam, Inc.","Jet GL Transactions","Account Index","142","Credit Amount","0.00000","Document Number","112001","Debit Amount","307.81000","Vendor Name","International Wire","Transaction Description","Freight","Transaction Date","1/31/2014"</v>
      </c>
      <c r="F698" s="4">
        <v>307.81</v>
      </c>
      <c r="G698" s="4">
        <v>0</v>
      </c>
      <c r="J698" s="31">
        <f t="shared" si="130"/>
        <v>307.81</v>
      </c>
      <c r="K698" s="32" t="str">
        <f t="shared" si="131"/>
        <v>Freight</v>
      </c>
      <c r="L698" s="32" t="str">
        <f>"112001"</f>
        <v>112001</v>
      </c>
      <c r="M698" s="33">
        <v>41670</v>
      </c>
      <c r="N698" s="31"/>
      <c r="R698" s="2">
        <f t="shared" si="133"/>
        <v>4</v>
      </c>
    </row>
    <row r="699" spans="1:18" hidden="1" outlineLevel="1" x14ac:dyDescent="0.2">
      <c r="A699" s="30" t="s">
        <v>53</v>
      </c>
      <c r="C699" s="18"/>
      <c r="D699" s="4"/>
      <c r="E699" s="19" t="str">
        <f>"""GP Direct"",""Fabrikam, Inc."",""Jet GL Transactions"",""Account Index"",""142"",""Credit Amount"",""0.00000"",""Document Number"",""113000"",""Debit Amount"",""511.71000"",""Vendor Name"",""Fabrikam, Inc."",""Transaction Description"",""Freight"",""Transaction Date"",""1/31/2014"""</f>
        <v>"GP Direct","Fabrikam, Inc.","Jet GL Transactions","Account Index","142","Credit Amount","0.00000","Document Number","113000","Debit Amount","511.71000","Vendor Name","Fabrikam, Inc.","Transaction Description","Freight","Transaction Date","1/31/2014"</v>
      </c>
      <c r="F699" s="4">
        <v>511.71</v>
      </c>
      <c r="G699" s="4">
        <v>0</v>
      </c>
      <c r="J699" s="31">
        <f t="shared" si="130"/>
        <v>511.71</v>
      </c>
      <c r="K699" s="32" t="str">
        <f t="shared" si="131"/>
        <v>Freight</v>
      </c>
      <c r="L699" s="32" t="str">
        <f>"113000"</f>
        <v>113000</v>
      </c>
      <c r="M699" s="33">
        <v>41670</v>
      </c>
      <c r="N699" s="31"/>
      <c r="R699" s="2">
        <f t="shared" si="133"/>
        <v>5</v>
      </c>
    </row>
    <row r="700" spans="1:18" hidden="1" outlineLevel="1" x14ac:dyDescent="0.2">
      <c r="A700" s="30" t="s">
        <v>53</v>
      </c>
      <c r="C700" s="18"/>
      <c r="D700" s="4"/>
      <c r="E700" s="19" t="str">
        <f>"""GP Direct"",""Fabrikam, Inc."",""Jet GL Transactions"",""Account Index"",""142"",""Credit Amount"",""0.00000"",""Document Number"",""113002"",""Debit Amount"",""699.72000"",""Vendor Name"",""Fabrikam, Inc."",""Transaction Description"",""Freight"",""Transaction Date"",""1/31/2014"""</f>
        <v>"GP Direct","Fabrikam, Inc.","Jet GL Transactions","Account Index","142","Credit Amount","0.00000","Document Number","113002","Debit Amount","699.72000","Vendor Name","Fabrikam, Inc.","Transaction Description","Freight","Transaction Date","1/31/2014"</v>
      </c>
      <c r="F700" s="4">
        <v>699.72</v>
      </c>
      <c r="G700" s="4">
        <v>0</v>
      </c>
      <c r="J700" s="31">
        <f t="shared" si="130"/>
        <v>699.72</v>
      </c>
      <c r="K700" s="32" t="str">
        <f t="shared" si="131"/>
        <v>Freight</v>
      </c>
      <c r="L700" s="32" t="str">
        <f>"113002"</f>
        <v>113002</v>
      </c>
      <c r="M700" s="33">
        <v>41670</v>
      </c>
      <c r="N700" s="31"/>
      <c r="R700" s="2">
        <f t="shared" si="133"/>
        <v>6</v>
      </c>
    </row>
    <row r="701" spans="1:18" hidden="1" outlineLevel="1" x14ac:dyDescent="0.2">
      <c r="A701" s="30" t="s">
        <v>53</v>
      </c>
      <c r="C701" s="18"/>
      <c r="D701" s="4"/>
      <c r="E701" s="19" t="str">
        <f>"""GP Direct"",""Fabrikam, Inc."",""Jet GL Transactions"",""Account Index"",""142"",""Credit Amount"",""0.00000"",""Document Number"",""113005"",""Debit Amount"",""827.36000"",""Vendor Name"",""Fabrikam, Inc."",""Transaction Description"",""Freight"",""Transaction Date"",""1/31/2014"""</f>
        <v>"GP Direct","Fabrikam, Inc.","Jet GL Transactions","Account Index","142","Credit Amount","0.00000","Document Number","113005","Debit Amount","827.36000","Vendor Name","Fabrikam, Inc.","Transaction Description","Freight","Transaction Date","1/31/2014"</v>
      </c>
      <c r="F701" s="4">
        <v>827.36</v>
      </c>
      <c r="G701" s="4">
        <v>0</v>
      </c>
      <c r="J701" s="31">
        <f t="shared" si="130"/>
        <v>827.36</v>
      </c>
      <c r="K701" s="32" t="str">
        <f t="shared" si="131"/>
        <v>Freight</v>
      </c>
      <c r="L701" s="32" t="str">
        <f>"113005"</f>
        <v>113005</v>
      </c>
      <c r="M701" s="33">
        <v>41670</v>
      </c>
      <c r="N701" s="31"/>
      <c r="R701" s="2">
        <f t="shared" si="133"/>
        <v>7</v>
      </c>
    </row>
    <row r="702" spans="1:18" hidden="1" outlineLevel="1" x14ac:dyDescent="0.2">
      <c r="A702" s="30" t="s">
        <v>53</v>
      </c>
      <c r="C702" s="18"/>
      <c r="D702" s="4"/>
      <c r="E702" s="19" t="str">
        <f>"""GP Direct"",""Fabrikam, Inc."",""Jet GL Transactions"",""Account Index"",""142"",""Credit Amount"",""0.00000"",""Document Number"",""114000"",""Debit Amount"",""609.09000"",""Vendor Name"",""Attractive Telephone Co."",""Transaction Description"",""Freight"",""Transaction Date"",""1/31/"&amp;"2014"""</f>
        <v>"GP Direct","Fabrikam, Inc.","Jet GL Transactions","Account Index","142","Credit Amount","0.00000","Document Number","114000","Debit Amount","609.09000","Vendor Name","Attractive Telephone Co.","Transaction Description","Freight","Transaction Date","1/31/2014"</v>
      </c>
      <c r="F702" s="4">
        <v>609.09</v>
      </c>
      <c r="G702" s="4">
        <v>0</v>
      </c>
      <c r="J702" s="31">
        <f t="shared" si="130"/>
        <v>609.09</v>
      </c>
      <c r="K702" s="32" t="str">
        <f t="shared" si="131"/>
        <v>Freight</v>
      </c>
      <c r="L702" s="32" t="str">
        <f>"114000"</f>
        <v>114000</v>
      </c>
      <c r="M702" s="33">
        <v>41670</v>
      </c>
      <c r="N702" s="31"/>
      <c r="R702" s="2">
        <f t="shared" si="133"/>
        <v>8</v>
      </c>
    </row>
    <row r="703" spans="1:18" hidden="1" outlineLevel="1" x14ac:dyDescent="0.2">
      <c r="A703" s="30" t="s">
        <v>53</v>
      </c>
      <c r="C703" s="18"/>
      <c r="D703" s="4"/>
      <c r="E703" s="19" t="str">
        <f>"""GP Direct"",""Fabrikam, Inc."",""Jet GL Transactions"",""Account Index"",""142"",""Credit Amount"",""0.00000"",""Document Number"",""114001"",""Debit Amount"",""593.68000"",""Vendor Name"",""Attractive Telephone Co."",""Transaction Description"",""Freight"",""Transaction Date"",""1/31/"&amp;"2014"""</f>
        <v>"GP Direct","Fabrikam, Inc.","Jet GL Transactions","Account Index","142","Credit Amount","0.00000","Document Number","114001","Debit Amount","593.68000","Vendor Name","Attractive Telephone Co.","Transaction Description","Freight","Transaction Date","1/31/2014"</v>
      </c>
      <c r="F703" s="4">
        <v>593.67999999999995</v>
      </c>
      <c r="G703" s="4">
        <v>0</v>
      </c>
      <c r="J703" s="31">
        <f t="shared" si="130"/>
        <v>593.67999999999995</v>
      </c>
      <c r="K703" s="32" t="str">
        <f t="shared" si="131"/>
        <v>Freight</v>
      </c>
      <c r="L703" s="32" t="str">
        <f>"114001"</f>
        <v>114001</v>
      </c>
      <c r="M703" s="33">
        <v>41670</v>
      </c>
      <c r="N703" s="31"/>
      <c r="R703" s="2">
        <f t="shared" si="133"/>
        <v>9</v>
      </c>
    </row>
    <row r="704" spans="1:18" hidden="1" outlineLevel="1" x14ac:dyDescent="0.2">
      <c r="A704" s="30" t="s">
        <v>53</v>
      </c>
      <c r="C704" s="18"/>
      <c r="D704" s="4"/>
      <c r="E704" s="19" t="str">
        <f>"""GP Direct"",""Fabrikam, Inc."",""Jet GL Transactions"",""Account Index"",""142"",""Credit Amount"",""0.00000"",""Document Number"",""115002"",""Debit Amount"",""527.57000"",""Vendor Name"",""Skylab Satellite Inc."",""Transaction Description"",""Freight"",""Transaction Date"",""1/31/201"&amp;"4"""</f>
        <v>"GP Direct","Fabrikam, Inc.","Jet GL Transactions","Account Index","142","Credit Amount","0.00000","Document Number","115002","Debit Amount","527.57000","Vendor Name","Skylab Satellite Inc.","Transaction Description","Freight","Transaction Date","1/31/2014"</v>
      </c>
      <c r="F704" s="4">
        <v>527.57000000000005</v>
      </c>
      <c r="G704" s="4">
        <v>0</v>
      </c>
      <c r="J704" s="31">
        <f t="shared" si="130"/>
        <v>527.57000000000005</v>
      </c>
      <c r="K704" s="32" t="str">
        <f t="shared" si="131"/>
        <v>Freight</v>
      </c>
      <c r="L704" s="32" t="str">
        <f>"115002"</f>
        <v>115002</v>
      </c>
      <c r="M704" s="33">
        <v>41670</v>
      </c>
      <c r="N704" s="31"/>
      <c r="R704" s="2">
        <f t="shared" si="133"/>
        <v>10</v>
      </c>
    </row>
    <row r="705" spans="1:18" hidden="1" outlineLevel="1" x14ac:dyDescent="0.2">
      <c r="A705" s="30" t="s">
        <v>53</v>
      </c>
      <c r="C705" s="18"/>
      <c r="D705" s="4"/>
      <c r="E705" s="19" t="str">
        <f>"""GP Direct"",""Fabrikam, Inc."",""Jet GL Transactions"",""Account Index"",""142"",""Credit Amount"",""0.00000"",""Document Number"",""116000"",""Debit Amount"",""1568.59000"",""Vendor Name"",""Green Lake Wire Company"",""Transaction Description"",""Freight"",""Transaction Date"",""1/31/"&amp;"2014"""</f>
        <v>"GP Direct","Fabrikam, Inc.","Jet GL Transactions","Account Index","142","Credit Amount","0.00000","Document Number","116000","Debit Amount","1568.59000","Vendor Name","Green Lake Wire Company","Transaction Description","Freight","Transaction Date","1/31/2014"</v>
      </c>
      <c r="F705" s="4">
        <v>1568.59</v>
      </c>
      <c r="G705" s="4">
        <v>0</v>
      </c>
      <c r="J705" s="31">
        <f t="shared" si="130"/>
        <v>1568.59</v>
      </c>
      <c r="K705" s="32" t="str">
        <f t="shared" si="131"/>
        <v>Freight</v>
      </c>
      <c r="L705" s="32" t="str">
        <f>"116000"</f>
        <v>116000</v>
      </c>
      <c r="M705" s="33">
        <v>41670</v>
      </c>
      <c r="N705" s="31"/>
      <c r="R705" s="2">
        <f t="shared" si="133"/>
        <v>11</v>
      </c>
    </row>
    <row r="706" spans="1:18" hidden="1" outlineLevel="1" x14ac:dyDescent="0.2">
      <c r="A706" s="30" t="s">
        <v>53</v>
      </c>
      <c r="C706" s="18"/>
      <c r="D706" s="4"/>
      <c r="E706" s="19" t="str">
        <f>"""GP Direct"",""Fabrikam, Inc."",""Jet GL Transactions"",""Account Index"",""142"",""Credit Amount"",""0.00000"",""Document Number"",""116002"",""Debit Amount"",""614.42000"",""Vendor Name"",""Green Lake Wire Company"",""Transaction Description"",""Freight"",""Transaction Date"",""1/31/2"&amp;"014"""</f>
        <v>"GP Direct","Fabrikam, Inc.","Jet GL Transactions","Account Index","142","Credit Amount","0.00000","Document Number","116002","Debit Amount","614.42000","Vendor Name","Green Lake Wire Company","Transaction Description","Freight","Transaction Date","1/31/2014"</v>
      </c>
      <c r="F706" s="4">
        <v>614.41999999999996</v>
      </c>
      <c r="G706" s="4">
        <v>0</v>
      </c>
      <c r="J706" s="31">
        <f t="shared" si="130"/>
        <v>614.41999999999996</v>
      </c>
      <c r="K706" s="32" t="str">
        <f t="shared" si="131"/>
        <v>Freight</v>
      </c>
      <c r="L706" s="32" t="str">
        <f>"116002"</f>
        <v>116002</v>
      </c>
      <c r="M706" s="33">
        <v>41670</v>
      </c>
      <c r="N706" s="31"/>
      <c r="R706" s="2">
        <f t="shared" si="133"/>
        <v>12</v>
      </c>
    </row>
    <row r="707" spans="1:18" hidden="1" outlineLevel="1" x14ac:dyDescent="0.2">
      <c r="A707" s="30" t="s">
        <v>53</v>
      </c>
      <c r="C707" s="18"/>
      <c r="D707" s="4"/>
      <c r="E707" s="19" t="str">
        <f>"""GP Direct"",""Fabrikam, Inc."",""Jet GL Transactions"",""Account Index"",""142"",""Credit Amount"",""0.00000"",""Document Number"",""12005"",""Debit Amount"",""1397.08000"",""Vendor Name"",""Attractive Telephone Co."",""Transaction Description"",""Freight"",""Transaction Date"",""1/31/"&amp;"2014"""</f>
        <v>"GP Direct","Fabrikam, Inc.","Jet GL Transactions","Account Index","142","Credit Amount","0.00000","Document Number","12005","Debit Amount","1397.08000","Vendor Name","Attractive Telephone Co.","Transaction Description","Freight","Transaction Date","1/31/2014"</v>
      </c>
      <c r="F707" s="4">
        <v>1397.08</v>
      </c>
      <c r="G707" s="4">
        <v>0</v>
      </c>
      <c r="J707" s="31">
        <f t="shared" si="130"/>
        <v>1397.08</v>
      </c>
      <c r="K707" s="32" t="str">
        <f t="shared" si="131"/>
        <v>Freight</v>
      </c>
      <c r="L707" s="32" t="str">
        <f>"12005"</f>
        <v>12005</v>
      </c>
      <c r="M707" s="33">
        <v>41670</v>
      </c>
      <c r="N707" s="31"/>
      <c r="R707" s="2">
        <f t="shared" si="133"/>
        <v>13</v>
      </c>
    </row>
    <row r="708" spans="1:18" hidden="1" outlineLevel="1" x14ac:dyDescent="0.2">
      <c r="A708" s="30" t="s">
        <v>53</v>
      </c>
      <c r="C708" s="18"/>
      <c r="D708" s="4"/>
      <c r="E708" s="19" t="str">
        <f>"""GP Direct"",""Fabrikam, Inc."",""Jet GL Transactions"",""Account Index"",""142"",""Credit Amount"",""0.00000"",""Document Number"",""15001"",""Debit Amount"",""632.62000"",""Vendor Name"",""Leaf River Paging Systems"",""Transaction Description"",""Freight"",""Transaction Date"",""1/31/"&amp;"2014"""</f>
        <v>"GP Direct","Fabrikam, Inc.","Jet GL Transactions","Account Index","142","Credit Amount","0.00000","Document Number","15001","Debit Amount","632.62000","Vendor Name","Leaf River Paging Systems","Transaction Description","Freight","Transaction Date","1/31/2014"</v>
      </c>
      <c r="F708" s="4">
        <v>632.62</v>
      </c>
      <c r="G708" s="4">
        <v>0</v>
      </c>
      <c r="J708" s="31">
        <f t="shared" si="130"/>
        <v>632.62</v>
      </c>
      <c r="K708" s="32" t="str">
        <f t="shared" si="131"/>
        <v>Freight</v>
      </c>
      <c r="L708" s="32" t="str">
        <f>"15001"</f>
        <v>15001</v>
      </c>
      <c r="M708" s="33">
        <v>41670</v>
      </c>
      <c r="N708" s="31"/>
      <c r="R708" s="2">
        <f t="shared" si="133"/>
        <v>14</v>
      </c>
    </row>
    <row r="709" spans="1:18" hidden="1" outlineLevel="1" x14ac:dyDescent="0.2">
      <c r="A709" s="30" t="s">
        <v>53</v>
      </c>
      <c r="C709" s="18"/>
      <c r="D709" s="4"/>
      <c r="E709" s="19" t="str">
        <f>"""GP Direct"",""Fabrikam, Inc."",""Jet GL Transactions"",""Account Index"",""142"",""Credit Amount"",""0.00000"",""Document Number"",""16000"",""Debit Amount"",""799.76000"",""Vendor Name"",""Signature Systems"",""Transaction Description"",""Freight"",""Transaction Date"",""1/31/2014"""</f>
        <v>"GP Direct","Fabrikam, Inc.","Jet GL Transactions","Account Index","142","Credit Amount","0.00000","Document Number","16000","Debit Amount","799.76000","Vendor Name","Signature Systems","Transaction Description","Freight","Transaction Date","1/31/2014"</v>
      </c>
      <c r="F709" s="4">
        <v>799.76</v>
      </c>
      <c r="G709" s="4">
        <v>0</v>
      </c>
      <c r="J709" s="31">
        <f t="shared" si="130"/>
        <v>799.76</v>
      </c>
      <c r="K709" s="32" t="str">
        <f t="shared" si="131"/>
        <v>Freight</v>
      </c>
      <c r="L709" s="32" t="str">
        <f>"16000"</f>
        <v>16000</v>
      </c>
      <c r="M709" s="33">
        <v>41670</v>
      </c>
      <c r="N709" s="31"/>
      <c r="R709" s="2">
        <f t="shared" si="133"/>
        <v>15</v>
      </c>
    </row>
    <row r="710" spans="1:18" hidden="1" outlineLevel="1" x14ac:dyDescent="0.2">
      <c r="A710" s="30" t="s">
        <v>53</v>
      </c>
      <c r="C710" s="18"/>
      <c r="D710" s="4"/>
      <c r="E710" s="19" t="str">
        <f>"""GP Direct"",""Fabrikam, Inc."",""Jet GL Transactions"",""Account Index"",""142"",""Credit Amount"",""0.00000"",""Document Number"",""16001"",""Debit Amount"",""524.39000"",""Vendor Name"",""Signature Systems"",""Transaction Description"",""Freight"",""Transaction Date"",""1/31/2014"""</f>
        <v>"GP Direct","Fabrikam, Inc.","Jet GL Transactions","Account Index","142","Credit Amount","0.00000","Document Number","16001","Debit Amount","524.39000","Vendor Name","Signature Systems","Transaction Description","Freight","Transaction Date","1/31/2014"</v>
      </c>
      <c r="F710" s="4">
        <v>524.39</v>
      </c>
      <c r="G710" s="4">
        <v>0</v>
      </c>
      <c r="J710" s="31">
        <f t="shared" si="130"/>
        <v>524.39</v>
      </c>
      <c r="K710" s="32" t="str">
        <f t="shared" si="131"/>
        <v>Freight</v>
      </c>
      <c r="L710" s="32" t="str">
        <f>"16001"</f>
        <v>16001</v>
      </c>
      <c r="M710" s="33">
        <v>41670</v>
      </c>
      <c r="N710" s="31"/>
      <c r="R710" s="2">
        <f t="shared" si="133"/>
        <v>16</v>
      </c>
    </row>
    <row r="711" spans="1:18" hidden="1" outlineLevel="1" x14ac:dyDescent="0.2">
      <c r="A711" s="30" t="s">
        <v>53</v>
      </c>
      <c r="C711" s="18"/>
      <c r="D711" s="4"/>
      <c r="E711" s="19" t="str">
        <f>"""GP Direct"",""Fabrikam, Inc."",""Jet GL Transactions"",""Account Index"",""142"",""Credit Amount"",""0.00000"",""Document Number"",""17000"",""Debit Amount"",""256.94000"",""Vendor Name"",""Central Cellular, Inc."",""Transaction Description"",""Freight"",""Transaction Date"",""1/31/201"&amp;"4"""</f>
        <v>"GP Direct","Fabrikam, Inc.","Jet GL Transactions","Account Index","142","Credit Amount","0.00000","Document Number","17000","Debit Amount","256.94000","Vendor Name","Central Cellular, Inc.","Transaction Description","Freight","Transaction Date","1/31/2014"</v>
      </c>
      <c r="F711" s="4">
        <v>256.94</v>
      </c>
      <c r="G711" s="4">
        <v>0</v>
      </c>
      <c r="J711" s="31">
        <f t="shared" si="130"/>
        <v>256.94</v>
      </c>
      <c r="K711" s="32" t="str">
        <f t="shared" si="131"/>
        <v>Freight</v>
      </c>
      <c r="L711" s="32" t="str">
        <f>"17000"</f>
        <v>17000</v>
      </c>
      <c r="M711" s="33">
        <v>41670</v>
      </c>
      <c r="N711" s="31"/>
      <c r="R711" s="2">
        <f t="shared" si="133"/>
        <v>17</v>
      </c>
    </row>
    <row r="712" spans="1:18" hidden="1" outlineLevel="1" x14ac:dyDescent="0.2">
      <c r="A712" s="30" t="s">
        <v>53</v>
      </c>
      <c r="C712" s="18"/>
      <c r="D712" s="4"/>
      <c r="E712" s="19" t="str">
        <f>"""GP Direct"",""Fabrikam, Inc."",""Jet GL Transactions"",""Account Index"",""142"",""Credit Amount"",""0.00000"",""Document Number"",""17001"",""Debit Amount"",""570.20000"",""Vendor Name"",""Cruger Engineering Company"",""Transaction Description"",""Freight"",""Transaction Date"",""1/31"&amp;"/2014"""</f>
        <v>"GP Direct","Fabrikam, Inc.","Jet GL Transactions","Account Index","142","Credit Amount","0.00000","Document Number","17001","Debit Amount","570.20000","Vendor Name","Cruger Engineering Company","Transaction Description","Freight","Transaction Date","1/31/2014"</v>
      </c>
      <c r="F712" s="4">
        <v>570.20000000000005</v>
      </c>
      <c r="G712" s="4">
        <v>0</v>
      </c>
      <c r="J712" s="31">
        <f t="shared" si="130"/>
        <v>570.20000000000005</v>
      </c>
      <c r="K712" s="32" t="str">
        <f t="shared" si="131"/>
        <v>Freight</v>
      </c>
      <c r="L712" s="32" t="str">
        <f>"17001"</f>
        <v>17001</v>
      </c>
      <c r="M712" s="33">
        <v>41670</v>
      </c>
      <c r="N712" s="31"/>
      <c r="R712" s="2">
        <f t="shared" si="133"/>
        <v>18</v>
      </c>
    </row>
    <row r="713" spans="1:18" hidden="1" outlineLevel="1" x14ac:dyDescent="0.2">
      <c r="A713" s="30" t="s">
        <v>53</v>
      </c>
      <c r="C713" s="18"/>
      <c r="D713" s="4"/>
      <c r="E713" s="19" t="str">
        <f>"""GP Direct"",""Fabrikam, Inc."",""Jet GL Transactions"",""Account Index"",""142"",""Credit Amount"",""0.00000"",""Document Number"",""18000"",""Debit Amount"",""525.76000"",""Vendor Name"",""SofTel, Inc."",""Transaction Description"",""Freight"",""Transaction Date"",""1/31/2014"""</f>
        <v>"GP Direct","Fabrikam, Inc.","Jet GL Transactions","Account Index","142","Credit Amount","0.00000","Document Number","18000","Debit Amount","525.76000","Vendor Name","SofTel, Inc.","Transaction Description","Freight","Transaction Date","1/31/2014"</v>
      </c>
      <c r="F713" s="4">
        <v>525.76</v>
      </c>
      <c r="G713" s="4">
        <v>0</v>
      </c>
      <c r="J713" s="31">
        <f t="shared" si="130"/>
        <v>525.76</v>
      </c>
      <c r="K713" s="32" t="str">
        <f t="shared" si="131"/>
        <v>Freight</v>
      </c>
      <c r="L713" s="32" t="str">
        <f>"18000"</f>
        <v>18000</v>
      </c>
      <c r="M713" s="33">
        <v>41670</v>
      </c>
      <c r="N713" s="31"/>
      <c r="R713" s="2">
        <f t="shared" si="133"/>
        <v>19</v>
      </c>
    </row>
    <row r="714" spans="1:18" hidden="1" outlineLevel="1" x14ac:dyDescent="0.2">
      <c r="A714" s="30" t="s">
        <v>53</v>
      </c>
      <c r="C714" s="18"/>
      <c r="D714" s="4"/>
      <c r="E714" s="19" t="str">
        <f>"""GP Direct"",""Fabrikam, Inc."",""Jet GL Transactions"",""Account Index"",""142"",""Credit Amount"",""0.00000"",""Document Number"",""18002"",""Debit Amount"",""322.82000"",""Vendor Name"",""SofTel, Inc."",""Transaction Description"",""Freight"",""Transaction Date"",""1/31/2014"""</f>
        <v>"GP Direct","Fabrikam, Inc.","Jet GL Transactions","Account Index","142","Credit Amount","0.00000","Document Number","18002","Debit Amount","322.82000","Vendor Name","SofTel, Inc.","Transaction Description","Freight","Transaction Date","1/31/2014"</v>
      </c>
      <c r="F714" s="4">
        <v>322.82</v>
      </c>
      <c r="G714" s="4">
        <v>0</v>
      </c>
      <c r="J714" s="31">
        <f t="shared" si="130"/>
        <v>322.82</v>
      </c>
      <c r="K714" s="32" t="str">
        <f t="shared" si="131"/>
        <v>Freight</v>
      </c>
      <c r="L714" s="32" t="str">
        <f>"18002"</f>
        <v>18002</v>
      </c>
      <c r="M714" s="33">
        <v>41670</v>
      </c>
      <c r="N714" s="31"/>
      <c r="R714" s="2">
        <f t="shared" si="133"/>
        <v>20</v>
      </c>
    </row>
    <row r="715" spans="1:18" hidden="1" outlineLevel="1" x14ac:dyDescent="0.2">
      <c r="A715" s="30" t="s">
        <v>53</v>
      </c>
      <c r="C715" s="18"/>
      <c r="D715" s="4"/>
      <c r="E715" s="19" t="str">
        <f>"""GP Direct"",""Fabrikam, Inc."",""Jet GL Transactions"",""Account Index"",""142"",""Credit Amount"",""0.00000"",""Document Number"",""19000"",""Debit Amount"",""516.77000"",""Vendor Name"",""PageMaster"",""Transaction Description"",""Freight"",""Transaction Date"",""1/31/2014"""</f>
        <v>"GP Direct","Fabrikam, Inc.","Jet GL Transactions","Account Index","142","Credit Amount","0.00000","Document Number","19000","Debit Amount","516.77000","Vendor Name","PageMaster","Transaction Description","Freight","Transaction Date","1/31/2014"</v>
      </c>
      <c r="F715" s="4">
        <v>516.77</v>
      </c>
      <c r="G715" s="4">
        <v>0</v>
      </c>
      <c r="J715" s="31">
        <f t="shared" si="130"/>
        <v>516.77</v>
      </c>
      <c r="K715" s="32" t="str">
        <f t="shared" si="131"/>
        <v>Freight</v>
      </c>
      <c r="L715" s="32" t="str">
        <f>"19000"</f>
        <v>19000</v>
      </c>
      <c r="M715" s="33">
        <v>41670</v>
      </c>
      <c r="N715" s="31"/>
      <c r="R715" s="2">
        <f t="shared" si="133"/>
        <v>21</v>
      </c>
    </row>
    <row r="716" spans="1:18" hidden="1" outlineLevel="1" x14ac:dyDescent="0.2">
      <c r="A716" s="30" t="s">
        <v>53</v>
      </c>
      <c r="C716" s="18"/>
      <c r="D716" s="4"/>
      <c r="E716" s="19" t="str">
        <f>"""GP Direct"",""Fabrikam, Inc."",""Jet GL Transactions"",""Account Index"",""142"",""Credit Amount"",""322.82000"",""Document Number"",""18002"",""Debit Amount"",""0.00000"",""Vendor Name"",""SofTel, Inc."",""Transaction Description"",""Freight"",""Transaction Date"",""1/31/2014"""</f>
        <v>"GP Direct","Fabrikam, Inc.","Jet GL Transactions","Account Index","142","Credit Amount","322.82000","Document Number","18002","Debit Amount","0.00000","Vendor Name","SofTel, Inc.","Transaction Description","Freight","Transaction Date","1/31/2014"</v>
      </c>
      <c r="F716" s="4">
        <v>0</v>
      </c>
      <c r="G716" s="4">
        <v>322.82</v>
      </c>
      <c r="J716" s="31">
        <f t="shared" si="130"/>
        <v>-322.82</v>
      </c>
      <c r="K716" s="32" t="str">
        <f t="shared" si="131"/>
        <v>Freight</v>
      </c>
      <c r="L716" s="32" t="str">
        <f>"18002"</f>
        <v>18002</v>
      </c>
      <c r="M716" s="33">
        <v>41670</v>
      </c>
      <c r="N716" s="31"/>
      <c r="R716" s="2">
        <f t="shared" si="133"/>
        <v>22</v>
      </c>
    </row>
    <row r="717" spans="1:18" hidden="1" outlineLevel="1" x14ac:dyDescent="0.2">
      <c r="A717" s="30" t="s">
        <v>53</v>
      </c>
      <c r="C717" s="18"/>
      <c r="D717" s="4"/>
      <c r="E717" s="19" t="str">
        <f>"""GP Direct"",""Fabrikam, Inc."",""Jet GL Transactions"",""Account Index"",""142"",""Credit Amount"",""774.58000"",""Document Number"",""17002"",""Debit Amount"",""0.00000"",""Vendor Name"",""Central Cellular, Inc."",""Transaction Description"",""Freight"",""Transaction Date"",""1/31/201"&amp;"4"""</f>
        <v>"GP Direct","Fabrikam, Inc.","Jet GL Transactions","Account Index","142","Credit Amount","774.58000","Document Number","17002","Debit Amount","0.00000","Vendor Name","Central Cellular, Inc.","Transaction Description","Freight","Transaction Date","1/31/2014"</v>
      </c>
      <c r="F717" s="4">
        <v>0</v>
      </c>
      <c r="G717" s="4">
        <v>774.58</v>
      </c>
      <c r="J717" s="31">
        <f t="shared" si="130"/>
        <v>-774.58</v>
      </c>
      <c r="K717" s="32" t="str">
        <f t="shared" si="131"/>
        <v>Freight</v>
      </c>
      <c r="L717" s="32" t="str">
        <f>"17002"</f>
        <v>17002</v>
      </c>
      <c r="M717" s="33">
        <v>41670</v>
      </c>
      <c r="N717" s="31"/>
      <c r="R717" s="2">
        <f t="shared" si="133"/>
        <v>23</v>
      </c>
    </row>
    <row r="718" spans="1:18" hidden="1" outlineLevel="1" x14ac:dyDescent="0.2">
      <c r="A718" s="30" t="s">
        <v>53</v>
      </c>
      <c r="C718" s="18"/>
      <c r="D718" s="4"/>
      <c r="E718" s="19" t="str">
        <f>"""GP Direct"",""Fabrikam, Inc."",""Jet GL Transactions"",""Account Index"",""142"",""Credit Amount"",""879.45000"",""Document Number"",""111001"",""Debit Amount"",""0.00000"",""Vendor Name"",""Cruger Engineering Company"",""Transaction Description"",""Freight"",""Transaction Date"",""1/3"&amp;"1/2014"""</f>
        <v>"GP Direct","Fabrikam, Inc.","Jet GL Transactions","Account Index","142","Credit Amount","879.45000","Document Number","111001","Debit Amount","0.00000","Vendor Name","Cruger Engineering Company","Transaction Description","Freight","Transaction Date","1/31/2014"</v>
      </c>
      <c r="F718" s="4">
        <v>0</v>
      </c>
      <c r="G718" s="4">
        <v>879.45</v>
      </c>
      <c r="J718" s="31">
        <f t="shared" si="130"/>
        <v>-879.45</v>
      </c>
      <c r="K718" s="32" t="str">
        <f t="shared" si="131"/>
        <v>Freight</v>
      </c>
      <c r="L718" s="32" t="str">
        <f>"111001"</f>
        <v>111001</v>
      </c>
      <c r="M718" s="33">
        <v>41670</v>
      </c>
      <c r="N718" s="31"/>
      <c r="R718" s="2">
        <f t="shared" si="133"/>
        <v>24</v>
      </c>
    </row>
    <row r="719" spans="1:18" hidden="1" x14ac:dyDescent="0.2">
      <c r="A719" s="29" t="s">
        <v>1386</v>
      </c>
      <c r="C719" s="18"/>
    </row>
    <row r="720" spans="1:18" ht="17.25" customHeight="1" collapsed="1" x14ac:dyDescent="0.2">
      <c r="A720" s="30" t="s">
        <v>53</v>
      </c>
      <c r="C720" s="14" t="str">
        <f>"000-4720-00"</f>
        <v>000-4720-00</v>
      </c>
      <c r="D720" s="2">
        <v>143</v>
      </c>
      <c r="E720" s="2"/>
      <c r="F720" s="2" t="s">
        <v>10</v>
      </c>
      <c r="G720" s="2" t="s">
        <v>8</v>
      </c>
      <c r="H720" s="13" t="str">
        <f>"  "&amp;C720</f>
        <v xml:space="preserve">  000-4720-00</v>
      </c>
      <c r="I720" s="15" t="str">
        <f>"International Freight and Handling"</f>
        <v>International Freight and Handling</v>
      </c>
      <c r="J720" s="16">
        <f>SUM(J721:J727)</f>
        <v>8595.2300000000014</v>
      </c>
      <c r="K720" s="13"/>
      <c r="L720" s="13"/>
      <c r="M720" s="13"/>
      <c r="N720" s="17">
        <v>24000</v>
      </c>
      <c r="O720" s="16">
        <f>J720-N720</f>
        <v>-15404.769999999999</v>
      </c>
    </row>
    <row r="721" spans="1:18" hidden="1" outlineLevel="1" x14ac:dyDescent="0.2">
      <c r="A721" s="30" t="s">
        <v>53</v>
      </c>
      <c r="C721" s="18"/>
      <c r="D721" s="4"/>
      <c r="E721" s="19" t="str">
        <f>"""GP Direct"",""Fabrikam, Inc."",""Jet GL Transactions"",""Account Index"",""143"",""Credit Amount"",""0.00000"",""Document Number"",""11006"",""Debit Amount"",""1512.58000"",""Vendor Name"",""Circuit Distributing West"",""Transaction Description"",""Freight"",""Transaction Date"",""1/31"&amp;"/2014"""</f>
        <v>"GP Direct","Fabrikam, Inc.","Jet GL Transactions","Account Index","143","Credit Amount","0.00000","Document Number","11006","Debit Amount","1512.58000","Vendor Name","Circuit Distributing West","Transaction Description","Freight","Transaction Date","1/31/2014"</v>
      </c>
      <c r="F721" s="4">
        <v>1512.58</v>
      </c>
      <c r="G721" s="4">
        <v>0</v>
      </c>
      <c r="J721" s="31">
        <f t="shared" ref="J721:J726" si="134">IF(AND(F721="",G721=""),"",$F721-$G721)</f>
        <v>1512.58</v>
      </c>
      <c r="K721" s="32" t="str">
        <f t="shared" ref="K721:K726" si="135">"Freight"</f>
        <v>Freight</v>
      </c>
      <c r="L721" s="32" t="str">
        <f>"11006"</f>
        <v>11006</v>
      </c>
      <c r="M721" s="33">
        <v>41670</v>
      </c>
      <c r="N721" s="31"/>
      <c r="R721" s="2">
        <f t="shared" ref="R721" si="136">R720+1</f>
        <v>1</v>
      </c>
    </row>
    <row r="722" spans="1:18" hidden="1" outlineLevel="1" x14ac:dyDescent="0.2">
      <c r="A722" s="30" t="s">
        <v>53</v>
      </c>
      <c r="C722" s="18"/>
      <c r="D722" s="4"/>
      <c r="E722" s="19" t="str">
        <f>"""GP Direct"",""Fabrikam, Inc."",""Jet GL Transactions"",""Account Index"",""143"",""Credit Amount"",""0.00000"",""Document Number"",""12004"",""Debit Amount"",""2703.18000"",""Vendor Name"",""Capital Printed Circuits"",""Transaction Description"",""Freight"",""Transaction Date"",""1/31/"&amp;"2014"""</f>
        <v>"GP Direct","Fabrikam, Inc.","Jet GL Transactions","Account Index","143","Credit Amount","0.00000","Document Number","12004","Debit Amount","2703.18000","Vendor Name","Capital Printed Circuits","Transaction Description","Freight","Transaction Date","1/31/2014"</v>
      </c>
      <c r="F722" s="4">
        <v>2703.18</v>
      </c>
      <c r="G722" s="4">
        <v>0</v>
      </c>
      <c r="J722" s="31">
        <f t="shared" si="134"/>
        <v>2703.18</v>
      </c>
      <c r="K722" s="32" t="str">
        <f t="shared" si="135"/>
        <v>Freight</v>
      </c>
      <c r="L722" s="32" t="str">
        <f>"12004"</f>
        <v>12004</v>
      </c>
      <c r="M722" s="33">
        <v>41670</v>
      </c>
      <c r="N722" s="31"/>
      <c r="R722" s="2">
        <f t="shared" ref="R722:R726" si="137">R721+1</f>
        <v>2</v>
      </c>
    </row>
    <row r="723" spans="1:18" hidden="1" outlineLevel="1" x14ac:dyDescent="0.2">
      <c r="A723" s="30" t="s">
        <v>53</v>
      </c>
      <c r="C723" s="18"/>
      <c r="D723" s="4"/>
      <c r="E723" s="19" t="str">
        <f>"""GP Direct"",""Fabrikam, Inc."",""Jet GL Transactions"",""Account Index"",""143"",""Credit Amount"",""0.00000"",""Document Number"",""12005"",""Debit Amount"",""752.14000"",""Vendor Name"",""Capital Printed Circuits"",""Transaction Description"",""Freight"",""Transaction Date"",""1/31/2"&amp;"014"""</f>
        <v>"GP Direct","Fabrikam, Inc.","Jet GL Transactions","Account Index","143","Credit Amount","0.00000","Document Number","12005","Debit Amount","752.14000","Vendor Name","Capital Printed Circuits","Transaction Description","Freight","Transaction Date","1/31/2014"</v>
      </c>
      <c r="F723" s="4">
        <v>752.14</v>
      </c>
      <c r="G723" s="4">
        <v>0</v>
      </c>
      <c r="J723" s="31">
        <f t="shared" si="134"/>
        <v>752.14</v>
      </c>
      <c r="K723" s="32" t="str">
        <f t="shared" si="135"/>
        <v>Freight</v>
      </c>
      <c r="L723" s="32" t="str">
        <f>"12005"</f>
        <v>12005</v>
      </c>
      <c r="M723" s="33">
        <v>41670</v>
      </c>
      <c r="N723" s="31"/>
      <c r="R723" s="2">
        <f t="shared" si="137"/>
        <v>3</v>
      </c>
    </row>
    <row r="724" spans="1:18" hidden="1" outlineLevel="1" x14ac:dyDescent="0.2">
      <c r="A724" s="30" t="s">
        <v>53</v>
      </c>
      <c r="C724" s="18"/>
      <c r="D724" s="4"/>
      <c r="E724" s="19" t="str">
        <f>"""GP Direct"",""Fabrikam, Inc."",""Jet GL Transactions"",""Account Index"",""143"",""Credit Amount"",""0.00000"",""Document Number"",""13003"",""Debit Amount"",""1980.51000"",""Vendor Name"",""Continental Connectors"",""Transaction Description"",""Freight"",""Transaction Date"",""1/31/20"&amp;"14"""</f>
        <v>"GP Direct","Fabrikam, Inc.","Jet GL Transactions","Account Index","143","Credit Amount","0.00000","Document Number","13003","Debit Amount","1980.51000","Vendor Name","Continental Connectors","Transaction Description","Freight","Transaction Date","1/31/2014"</v>
      </c>
      <c r="F724" s="4">
        <v>1980.51</v>
      </c>
      <c r="G724" s="4">
        <v>0</v>
      </c>
      <c r="J724" s="31">
        <f t="shared" si="134"/>
        <v>1980.51</v>
      </c>
      <c r="K724" s="32" t="str">
        <f t="shared" si="135"/>
        <v>Freight</v>
      </c>
      <c r="L724" s="32" t="str">
        <f>"13003"</f>
        <v>13003</v>
      </c>
      <c r="M724" s="33">
        <v>41670</v>
      </c>
      <c r="N724" s="31"/>
      <c r="R724" s="2">
        <f t="shared" si="137"/>
        <v>4</v>
      </c>
    </row>
    <row r="725" spans="1:18" hidden="1" outlineLevel="1" x14ac:dyDescent="0.2">
      <c r="A725" s="30" t="s">
        <v>53</v>
      </c>
      <c r="C725" s="18"/>
      <c r="D725" s="4"/>
      <c r="E725" s="19" t="str">
        <f>"""GP Direct"",""Fabrikam, Inc."",""Jet GL Transactions"",""Account Index"",""143"",""Credit Amount"",""0.00000"",""Document Number"",""13004"",""Debit Amount"",""2398.96000"",""Vendor Name"",""Continental Connectors"",""Transaction Description"",""Freight"",""Transaction Date"",""1/31/20"&amp;"14"""</f>
        <v>"GP Direct","Fabrikam, Inc.","Jet GL Transactions","Account Index","143","Credit Amount","0.00000","Document Number","13004","Debit Amount","2398.96000","Vendor Name","Continental Connectors","Transaction Description","Freight","Transaction Date","1/31/2014"</v>
      </c>
      <c r="F725" s="4">
        <v>2398.96</v>
      </c>
      <c r="G725" s="4">
        <v>0</v>
      </c>
      <c r="J725" s="31">
        <f t="shared" si="134"/>
        <v>2398.96</v>
      </c>
      <c r="K725" s="32" t="str">
        <f t="shared" si="135"/>
        <v>Freight</v>
      </c>
      <c r="L725" s="32" t="str">
        <f>"13004"</f>
        <v>13004</v>
      </c>
      <c r="M725" s="33">
        <v>41670</v>
      </c>
      <c r="N725" s="31"/>
      <c r="R725" s="2">
        <f t="shared" si="137"/>
        <v>5</v>
      </c>
    </row>
    <row r="726" spans="1:18" hidden="1" outlineLevel="1" x14ac:dyDescent="0.2">
      <c r="A726" s="30" t="s">
        <v>53</v>
      </c>
      <c r="C726" s="18"/>
      <c r="D726" s="4"/>
      <c r="E726" s="19" t="str">
        <f>"""GP Direct"",""Fabrikam, Inc."",""Jet GL Transactions"",""Account Index"",""143"",""Credit Amount"",""752.14000"",""Document Number"",""12005"",""Debit Amount"",""0.00000"",""Vendor Name"",""Capital Printed Circuits"",""Transaction Description"",""Freight"",""Transaction Date"",""1/31/2"&amp;"014"""</f>
        <v>"GP Direct","Fabrikam, Inc.","Jet GL Transactions","Account Index","143","Credit Amount","752.14000","Document Number","12005","Debit Amount","0.00000","Vendor Name","Capital Printed Circuits","Transaction Description","Freight","Transaction Date","1/31/2014"</v>
      </c>
      <c r="F726" s="4">
        <v>0</v>
      </c>
      <c r="G726" s="4">
        <v>752.14</v>
      </c>
      <c r="J726" s="31">
        <f t="shared" si="134"/>
        <v>-752.14</v>
      </c>
      <c r="K726" s="32" t="str">
        <f t="shared" si="135"/>
        <v>Freight</v>
      </c>
      <c r="L726" s="32" t="str">
        <f>"12005"</f>
        <v>12005</v>
      </c>
      <c r="M726" s="33">
        <v>41670</v>
      </c>
      <c r="N726" s="31"/>
      <c r="R726" s="2">
        <f t="shared" si="137"/>
        <v>6</v>
      </c>
    </row>
    <row r="727" spans="1:18" hidden="1" x14ac:dyDescent="0.2">
      <c r="A727" s="29" t="s">
        <v>1386</v>
      </c>
      <c r="C727" s="18"/>
    </row>
    <row r="728" spans="1:18" ht="14.25" x14ac:dyDescent="0.25">
      <c r="A728" s="30" t="s">
        <v>53</v>
      </c>
      <c r="C728" s="12">
        <v>34</v>
      </c>
      <c r="D728" s="2"/>
      <c r="E728" s="2"/>
      <c r="F728" s="2"/>
      <c r="G728" s="2"/>
      <c r="H728" s="20" t="str">
        <f>"Selling Expense"</f>
        <v>Selling Expense</v>
      </c>
      <c r="I728" s="13"/>
      <c r="J728" s="13"/>
      <c r="K728" s="13"/>
      <c r="L728" s="13"/>
      <c r="M728" s="13"/>
      <c r="N728" s="13"/>
      <c r="O728" s="13"/>
    </row>
    <row r="729" spans="1:18" ht="17.25" customHeight="1" collapsed="1" x14ac:dyDescent="0.2">
      <c r="A729" s="30" t="s">
        <v>53</v>
      </c>
      <c r="C729" s="14" t="str">
        <f>"000-6800-01"</f>
        <v>000-6800-01</v>
      </c>
      <c r="D729" s="2">
        <v>513</v>
      </c>
      <c r="E729" s="2"/>
      <c r="F729" s="2" t="s">
        <v>10</v>
      </c>
      <c r="G729" s="2" t="s">
        <v>8</v>
      </c>
      <c r="H729" s="13" t="str">
        <f>"  "&amp;C729</f>
        <v xml:space="preserve">  000-6800-01</v>
      </c>
      <c r="I729" s="15" t="str">
        <f>"Project Expenses"</f>
        <v>Project Expenses</v>
      </c>
      <c r="J729" s="16">
        <f>SUM(J730:J731)</f>
        <v>0</v>
      </c>
      <c r="K729" s="13"/>
      <c r="L729" s="13"/>
      <c r="M729" s="13"/>
      <c r="N729" s="17">
        <v>0</v>
      </c>
      <c r="O729" s="16">
        <f>J729-N729</f>
        <v>0</v>
      </c>
    </row>
    <row r="730" spans="1:18" hidden="1" outlineLevel="1" x14ac:dyDescent="0.2">
      <c r="A730" s="30" t="s">
        <v>53</v>
      </c>
      <c r="C730" s="18"/>
      <c r="D730" s="4"/>
      <c r="E730" s="19" t="str">
        <f>""</f>
        <v/>
      </c>
      <c r="F730" s="4" t="str">
        <f>""</f>
        <v/>
      </c>
      <c r="G730" s="4" t="str">
        <f>""</f>
        <v/>
      </c>
      <c r="J730" s="31" t="str">
        <f>IF(AND(F730="",G730=""),"",$F730-$G730)</f>
        <v/>
      </c>
      <c r="K730" s="32" t="str">
        <f>""</f>
        <v/>
      </c>
      <c r="L730" s="32" t="str">
        <f>""</f>
        <v/>
      </c>
      <c r="M730" s="33" t="str">
        <f>""</f>
        <v/>
      </c>
      <c r="N730" s="31"/>
      <c r="R730" s="2">
        <f t="shared" ref="R730" si="138">R729+1</f>
        <v>1</v>
      </c>
    </row>
    <row r="731" spans="1:18" hidden="1" x14ac:dyDescent="0.2">
      <c r="A731" s="29" t="s">
        <v>1386</v>
      </c>
      <c r="C731" s="18"/>
    </row>
    <row r="732" spans="1:18" x14ac:dyDescent="0.2">
      <c r="A732" s="30"/>
    </row>
    <row r="733" spans="1:18" x14ac:dyDescent="0.2">
      <c r="A733" s="30"/>
    </row>
    <row r="734" spans="1:18" x14ac:dyDescent="0.2">
      <c r="A734" s="30"/>
    </row>
    <row r="735" spans="1:18" x14ac:dyDescent="0.2">
      <c r="A735" s="30"/>
    </row>
    <row r="736" spans="1:18" x14ac:dyDescent="0.2">
      <c r="A736" s="30"/>
    </row>
    <row r="737" spans="1:1" x14ac:dyDescent="0.2">
      <c r="A737" s="30"/>
    </row>
    <row r="738" spans="1:1" x14ac:dyDescent="0.2">
      <c r="A738" s="30"/>
    </row>
    <row r="739" spans="1:1" x14ac:dyDescent="0.2">
      <c r="A739" s="30"/>
    </row>
    <row r="740" spans="1:1" x14ac:dyDescent="0.2">
      <c r="A740" s="30"/>
    </row>
    <row r="741" spans="1:1" x14ac:dyDescent="0.2">
      <c r="A741" s="30"/>
    </row>
    <row r="742" spans="1:1" x14ac:dyDescent="0.2">
      <c r="A742" s="30"/>
    </row>
    <row r="743" spans="1:1" x14ac:dyDescent="0.2">
      <c r="A743" s="30"/>
    </row>
    <row r="744" spans="1:1" x14ac:dyDescent="0.2">
      <c r="A744" s="30"/>
    </row>
  </sheetData>
  <mergeCells count="1">
    <mergeCell ref="H4:I4"/>
  </mergeCells>
  <phoneticPr fontId="3" type="noConversion"/>
  <conditionalFormatting sqref="J14:M14">
    <cfRule type="expression" dxfId="23" priority="551" stopIfTrue="1">
      <formula>MOD($R14,2)=0</formula>
    </cfRule>
  </conditionalFormatting>
  <conditionalFormatting sqref="J376:M376 J462:M462 J730:M730">
    <cfRule type="expression" dxfId="22" priority="23" stopIfTrue="1">
      <formula>MOD($R376,2)=0</formula>
    </cfRule>
  </conditionalFormatting>
  <conditionalFormatting sqref="J17:M17 J122:M122 J142:M142 J150:M150 J153:M153 J167:M167 J171:M171 J174:M174 J177:M177 J180:M180 J183:M183 J187:M187 J190:M190 J193:M193 J196:M196 J216:M216 J219:M219 J222:M222 J225:M225 J228:M228 J231:M231 J234:M234 J269:M269 J272:M272 J276:M276 J279:M279 J282:M282 J285:M285 J288:M288 J332:M332 J335:M335 J339:M339 J342:M342 J345:M345 J348:M348 J351:M351 J354:M354 J357:M357 J360:M360 J363:M363 J366:M366 J369:M369 J372:M372">
    <cfRule type="expression" dxfId="21" priority="22" stopIfTrue="1">
      <formula>MOD($R17,2)=0</formula>
    </cfRule>
  </conditionalFormatting>
  <conditionalFormatting sqref="J631:M631 J655:M655 J658:M658 J661:M661 J664:M664 J667:M667 J670:M670 J673:M673 J676:M676 J679:M679 J682:M682 J685:M685 J689:M689 J692:M692 J695:M695 J721:M721">
    <cfRule type="expression" dxfId="20" priority="21" stopIfTrue="1">
      <formula>MOD($R631,2)=0</formula>
    </cfRule>
  </conditionalFormatting>
  <conditionalFormatting sqref="J384:M384 J387:M387 J390:M390 J410:M410 J413:M413 J416:M416 J455:M455 J458:M458">
    <cfRule type="expression" dxfId="19" priority="20" stopIfTrue="1">
      <formula>MOD($R384,2)=0</formula>
    </cfRule>
  </conditionalFormatting>
  <conditionalFormatting sqref="J336:M336">
    <cfRule type="expression" dxfId="18" priority="19" stopIfTrue="1">
      <formula>MOD($R336,2)=0</formula>
    </cfRule>
  </conditionalFormatting>
  <conditionalFormatting sqref="J289:M329">
    <cfRule type="expression" dxfId="17" priority="18" stopIfTrue="1">
      <formula>MOD($R289,2)=0</formula>
    </cfRule>
  </conditionalFormatting>
  <conditionalFormatting sqref="J273:M273">
    <cfRule type="expression" dxfId="16" priority="17" stopIfTrue="1">
      <formula>MOD($R273,2)=0</formula>
    </cfRule>
  </conditionalFormatting>
  <conditionalFormatting sqref="J235:M266">
    <cfRule type="expression" dxfId="15" priority="16" stopIfTrue="1">
      <formula>MOD($R235,2)=0</formula>
    </cfRule>
  </conditionalFormatting>
  <conditionalFormatting sqref="J197:M213">
    <cfRule type="expression" dxfId="14" priority="15" stopIfTrue="1">
      <formula>MOD($R197,2)=0</formula>
    </cfRule>
  </conditionalFormatting>
  <conditionalFormatting sqref="J184:M184">
    <cfRule type="expression" dxfId="13" priority="14" stopIfTrue="1">
      <formula>MOD($R184,2)=0</formula>
    </cfRule>
  </conditionalFormatting>
  <conditionalFormatting sqref="J168:M168">
    <cfRule type="expression" dxfId="12" priority="13" stopIfTrue="1">
      <formula>MOD($R168,2)=0</formula>
    </cfRule>
  </conditionalFormatting>
  <conditionalFormatting sqref="J154:M164">
    <cfRule type="expression" dxfId="11" priority="12" stopIfTrue="1">
      <formula>MOD($R154,2)=0</formula>
    </cfRule>
  </conditionalFormatting>
  <conditionalFormatting sqref="J143:M147">
    <cfRule type="expression" dxfId="10" priority="11" stopIfTrue="1">
      <formula>MOD($R143,2)=0</formula>
    </cfRule>
  </conditionalFormatting>
  <conditionalFormatting sqref="J123:M139">
    <cfRule type="expression" dxfId="9" priority="10" stopIfTrue="1">
      <formula>MOD($R123,2)=0</formula>
    </cfRule>
  </conditionalFormatting>
  <conditionalFormatting sqref="J18:M119">
    <cfRule type="expression" dxfId="8" priority="9" stopIfTrue="1">
      <formula>MOD($R18,2)=0</formula>
    </cfRule>
  </conditionalFormatting>
  <conditionalFormatting sqref="J463:M628">
    <cfRule type="expression" dxfId="7" priority="8" stopIfTrue="1">
      <formula>MOD($R463,2)=0</formula>
    </cfRule>
  </conditionalFormatting>
  <conditionalFormatting sqref="J722:M726">
    <cfRule type="expression" dxfId="6" priority="7" stopIfTrue="1">
      <formula>MOD($R722,2)=0</formula>
    </cfRule>
  </conditionalFormatting>
  <conditionalFormatting sqref="J696:M718">
    <cfRule type="expression" dxfId="5" priority="6" stopIfTrue="1">
      <formula>MOD($R696,2)=0</formula>
    </cfRule>
  </conditionalFormatting>
  <conditionalFormatting sqref="J686:M686">
    <cfRule type="expression" dxfId="4" priority="5" stopIfTrue="1">
      <formula>MOD($R686,2)=0</formula>
    </cfRule>
  </conditionalFormatting>
  <conditionalFormatting sqref="J632:M652">
    <cfRule type="expression" dxfId="3" priority="4" stopIfTrue="1">
      <formula>MOD($R632,2)=0</formula>
    </cfRule>
  </conditionalFormatting>
  <conditionalFormatting sqref="J377:M381">
    <cfRule type="expression" dxfId="2" priority="3" stopIfTrue="1">
      <formula>MOD($R377,2)=0</formula>
    </cfRule>
  </conditionalFormatting>
  <conditionalFormatting sqref="J417:M452">
    <cfRule type="expression" dxfId="1" priority="2" stopIfTrue="1">
      <formula>MOD($R417,2)=0</formula>
    </cfRule>
  </conditionalFormatting>
  <conditionalFormatting sqref="J391:M407">
    <cfRule type="expression" dxfId="0" priority="1" stopIfTrue="1">
      <formula>MOD($R391,2)=0</formula>
    </cfRule>
  </conditionalFormatting>
  <pageMargins left="0.7" right="0.7" top="0.75" bottom="0.75" header="0.3" footer="0.3"/>
  <pageSetup scale="94"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heetViews>
  <sheetFormatPr defaultRowHeight="12.75" x14ac:dyDescent="0.2"/>
  <sheetData>
    <row r="1" spans="1:5" x14ac:dyDescent="0.2">
      <c r="A1" s="1" t="s">
        <v>5180</v>
      </c>
      <c r="C1" s="1" t="s">
        <v>19</v>
      </c>
      <c r="D1" s="1" t="s">
        <v>20</v>
      </c>
      <c r="E1" s="1" t="s">
        <v>21</v>
      </c>
    </row>
    <row r="4" spans="1:5" x14ac:dyDescent="0.2">
      <c r="C4" s="1" t="s">
        <v>737</v>
      </c>
    </row>
    <row r="6" spans="1:5" x14ac:dyDescent="0.2">
      <c r="A6" s="1" t="s">
        <v>18</v>
      </c>
      <c r="C6" s="1" t="s">
        <v>3</v>
      </c>
      <c r="D6" s="1" t="s">
        <v>1941</v>
      </c>
      <c r="E6" s="1" t="s">
        <v>36</v>
      </c>
    </row>
    <row r="7" spans="1:5" x14ac:dyDescent="0.2">
      <c r="A7" s="1" t="s">
        <v>18</v>
      </c>
      <c r="C7" s="1" t="s">
        <v>724</v>
      </c>
      <c r="D7" s="1" t="s">
        <v>773</v>
      </c>
    </row>
    <row r="8" spans="1:5" x14ac:dyDescent="0.2">
      <c r="A8" s="1" t="s">
        <v>18</v>
      </c>
      <c r="C8" s="1" t="s">
        <v>726</v>
      </c>
      <c r="D8" s="1" t="s">
        <v>738</v>
      </c>
    </row>
    <row r="9" spans="1:5" x14ac:dyDescent="0.2">
      <c r="A9" s="1" t="s">
        <v>18</v>
      </c>
      <c r="C9" s="1" t="s">
        <v>725</v>
      </c>
      <c r="D9" s="1" t="s">
        <v>1373</v>
      </c>
    </row>
    <row r="10" spans="1:5" x14ac:dyDescent="0.2">
      <c r="A10" s="1" t="s">
        <v>18</v>
      </c>
      <c r="C10" s="1" t="s">
        <v>727</v>
      </c>
      <c r="D10" s="1" t="s">
        <v>738</v>
      </c>
    </row>
    <row r="11" spans="1:5" x14ac:dyDescent="0.2">
      <c r="A11" s="1" t="s">
        <v>18</v>
      </c>
      <c r="C11" s="1" t="s">
        <v>1</v>
      </c>
      <c r="D11" s="1" t="s">
        <v>739</v>
      </c>
      <c r="E11" s="1" t="s">
        <v>37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heetViews>
  <sheetFormatPr defaultRowHeight="12.75" x14ac:dyDescent="0.2"/>
  <sheetData>
    <row r="1" spans="1:5" x14ac:dyDescent="0.2">
      <c r="A1" s="1" t="s">
        <v>5180</v>
      </c>
      <c r="C1" s="1" t="s">
        <v>19</v>
      </c>
      <c r="D1" s="1" t="s">
        <v>20</v>
      </c>
      <c r="E1" s="1" t="s">
        <v>21</v>
      </c>
    </row>
    <row r="4" spans="1:5" x14ac:dyDescent="0.2">
      <c r="C4" s="1" t="s">
        <v>737</v>
      </c>
    </row>
    <row r="6" spans="1:5" x14ac:dyDescent="0.2">
      <c r="A6" s="1" t="s">
        <v>18</v>
      </c>
      <c r="C6" s="1" t="s">
        <v>3</v>
      </c>
      <c r="D6" s="1" t="s">
        <v>1941</v>
      </c>
      <c r="E6" s="1" t="s">
        <v>36</v>
      </c>
    </row>
    <row r="7" spans="1:5" x14ac:dyDescent="0.2">
      <c r="A7" s="1" t="s">
        <v>18</v>
      </c>
      <c r="C7" s="1" t="s">
        <v>724</v>
      </c>
      <c r="D7" s="1" t="s">
        <v>773</v>
      </c>
    </row>
    <row r="8" spans="1:5" x14ac:dyDescent="0.2">
      <c r="A8" s="1" t="s">
        <v>18</v>
      </c>
      <c r="C8" s="1" t="s">
        <v>726</v>
      </c>
      <c r="D8" s="1" t="s">
        <v>738</v>
      </c>
    </row>
    <row r="9" spans="1:5" x14ac:dyDescent="0.2">
      <c r="A9" s="1" t="s">
        <v>18</v>
      </c>
      <c r="C9" s="1" t="s">
        <v>725</v>
      </c>
      <c r="D9" s="1" t="s">
        <v>1373</v>
      </c>
    </row>
    <row r="10" spans="1:5" x14ac:dyDescent="0.2">
      <c r="A10" s="1" t="s">
        <v>18</v>
      </c>
      <c r="C10" s="1" t="s">
        <v>727</v>
      </c>
      <c r="D10" s="1" t="s">
        <v>738</v>
      </c>
    </row>
    <row r="11" spans="1:5" x14ac:dyDescent="0.2">
      <c r="A11" s="1" t="s">
        <v>18</v>
      </c>
      <c r="C11" s="1" t="s">
        <v>1</v>
      </c>
      <c r="D11" s="1" t="s">
        <v>739</v>
      </c>
      <c r="E11" s="1" t="s">
        <v>37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workbookViewId="0"/>
  </sheetViews>
  <sheetFormatPr defaultRowHeight="12.75" x14ac:dyDescent="0.2"/>
  <sheetData>
    <row r="1" spans="1:18" x14ac:dyDescent="0.2">
      <c r="A1" s="1" t="s">
        <v>5181</v>
      </c>
      <c r="C1" s="1" t="s">
        <v>4</v>
      </c>
      <c r="D1" s="1" t="s">
        <v>4</v>
      </c>
      <c r="E1" s="1" t="s">
        <v>4</v>
      </c>
      <c r="F1" s="1" t="s">
        <v>4</v>
      </c>
      <c r="G1" s="1" t="s">
        <v>4</v>
      </c>
      <c r="H1" s="1" t="s">
        <v>0</v>
      </c>
      <c r="I1" s="1" t="s">
        <v>9</v>
      </c>
      <c r="J1" s="1" t="s">
        <v>0</v>
      </c>
      <c r="K1" s="1" t="s">
        <v>0</v>
      </c>
      <c r="L1" s="1" t="s">
        <v>0</v>
      </c>
      <c r="M1" s="1" t="s">
        <v>9</v>
      </c>
      <c r="N1" s="1" t="s">
        <v>9</v>
      </c>
      <c r="O1" s="1" t="s">
        <v>9</v>
      </c>
      <c r="P1" s="1" t="s">
        <v>9</v>
      </c>
      <c r="R1" s="1" t="s">
        <v>4</v>
      </c>
    </row>
    <row r="2" spans="1:18" x14ac:dyDescent="0.2">
      <c r="A2" s="1" t="s">
        <v>4</v>
      </c>
      <c r="J2" s="1" t="s">
        <v>5</v>
      </c>
      <c r="K2" s="1" t="s">
        <v>22</v>
      </c>
      <c r="L2" s="1" t="s">
        <v>775</v>
      </c>
      <c r="M2" s="1" t="s">
        <v>23</v>
      </c>
      <c r="N2" s="1" t="s">
        <v>24</v>
      </c>
      <c r="O2" s="1" t="s">
        <v>25</v>
      </c>
      <c r="P2" s="1" t="s">
        <v>26</v>
      </c>
    </row>
    <row r="3" spans="1:18" x14ac:dyDescent="0.2">
      <c r="C3" s="1" t="s">
        <v>728</v>
      </c>
      <c r="D3" s="1" t="s">
        <v>729</v>
      </c>
    </row>
    <row r="4" spans="1:18" x14ac:dyDescent="0.2">
      <c r="C4" s="1" t="s">
        <v>730</v>
      </c>
      <c r="H4" s="1" t="s">
        <v>12</v>
      </c>
    </row>
    <row r="5" spans="1:18" x14ac:dyDescent="0.2">
      <c r="C5" s="1" t="s">
        <v>731</v>
      </c>
      <c r="D5" s="1" t="s">
        <v>732</v>
      </c>
    </row>
    <row r="6" spans="1:18" x14ac:dyDescent="0.2">
      <c r="C6" s="1" t="s">
        <v>733</v>
      </c>
      <c r="H6" s="1" t="s">
        <v>13</v>
      </c>
      <c r="I6" s="1" t="s">
        <v>734</v>
      </c>
    </row>
    <row r="7" spans="1:18" x14ac:dyDescent="0.2">
      <c r="C7" s="1" t="s">
        <v>735</v>
      </c>
      <c r="H7" s="1" t="s">
        <v>14</v>
      </c>
      <c r="I7" s="1" t="s">
        <v>736</v>
      </c>
    </row>
    <row r="8" spans="1:18" x14ac:dyDescent="0.2">
      <c r="H8" s="1" t="s">
        <v>15</v>
      </c>
      <c r="I8" s="1" t="s">
        <v>38</v>
      </c>
    </row>
    <row r="9" spans="1:18" x14ac:dyDescent="0.2">
      <c r="H9" s="1" t="s">
        <v>16</v>
      </c>
      <c r="I9" s="1" t="s">
        <v>39</v>
      </c>
      <c r="N9" s="1" t="s">
        <v>17</v>
      </c>
      <c r="O9" s="1" t="s">
        <v>40</v>
      </c>
    </row>
    <row r="11" spans="1:18" x14ac:dyDescent="0.2">
      <c r="J11" s="1" t="s">
        <v>11</v>
      </c>
      <c r="K11" s="1" t="s">
        <v>6</v>
      </c>
      <c r="L11" s="1" t="s">
        <v>774</v>
      </c>
      <c r="M11" s="1" t="s">
        <v>7</v>
      </c>
      <c r="N11" s="1" t="s">
        <v>1</v>
      </c>
      <c r="O11" s="1" t="s">
        <v>2</v>
      </c>
    </row>
    <row r="12" spans="1:18" x14ac:dyDescent="0.2">
      <c r="C12" s="1" t="s">
        <v>41</v>
      </c>
      <c r="H12" s="1" t="s">
        <v>42</v>
      </c>
    </row>
    <row r="13" spans="1:18" x14ac:dyDescent="0.2">
      <c r="C13" s="1" t="s">
        <v>43</v>
      </c>
      <c r="D13" s="1" t="s">
        <v>44</v>
      </c>
      <c r="F13" s="1" t="s">
        <v>10</v>
      </c>
      <c r="G13" s="1" t="s">
        <v>8</v>
      </c>
      <c r="H13" s="1" t="s">
        <v>45</v>
      </c>
      <c r="I13" s="1" t="s">
        <v>46</v>
      </c>
      <c r="J13" s="1" t="s">
        <v>47</v>
      </c>
      <c r="N13" s="1" t="s">
        <v>48</v>
      </c>
      <c r="O13" s="1" t="s">
        <v>5109</v>
      </c>
    </row>
    <row r="14" spans="1:18" x14ac:dyDescent="0.2">
      <c r="E14" s="1" t="s">
        <v>1400</v>
      </c>
      <c r="F14" s="1" t="s">
        <v>776</v>
      </c>
      <c r="G14" s="1" t="s">
        <v>49</v>
      </c>
      <c r="J14" s="1" t="s">
        <v>51</v>
      </c>
      <c r="K14" s="1" t="s">
        <v>52</v>
      </c>
      <c r="L14" s="1" t="s">
        <v>50</v>
      </c>
      <c r="M14" s="1" t="s">
        <v>777</v>
      </c>
      <c r="R14" s="1" t="s">
        <v>778</v>
      </c>
    </row>
    <row r="15" spans="1:18" x14ac:dyDescent="0.2">
      <c r="A15" s="1" t="s">
        <v>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workbookViewId="0"/>
  </sheetViews>
  <sheetFormatPr defaultRowHeight="12.75" x14ac:dyDescent="0.2"/>
  <sheetData>
    <row r="1" spans="1:18" x14ac:dyDescent="0.2">
      <c r="A1" s="1" t="s">
        <v>5181</v>
      </c>
      <c r="C1" s="1" t="s">
        <v>4</v>
      </c>
      <c r="D1" s="1" t="s">
        <v>4</v>
      </c>
      <c r="E1" s="1" t="s">
        <v>4</v>
      </c>
      <c r="F1" s="1" t="s">
        <v>4</v>
      </c>
      <c r="G1" s="1" t="s">
        <v>4</v>
      </c>
      <c r="H1" s="1" t="s">
        <v>0</v>
      </c>
      <c r="I1" s="1" t="s">
        <v>9</v>
      </c>
      <c r="J1" s="1" t="s">
        <v>0</v>
      </c>
      <c r="K1" s="1" t="s">
        <v>0</v>
      </c>
      <c r="L1" s="1" t="s">
        <v>0</v>
      </c>
      <c r="M1" s="1" t="s">
        <v>9</v>
      </c>
      <c r="N1" s="1" t="s">
        <v>9</v>
      </c>
      <c r="O1" s="1" t="s">
        <v>9</v>
      </c>
      <c r="P1" s="1" t="s">
        <v>9</v>
      </c>
      <c r="R1" s="1" t="s">
        <v>4</v>
      </c>
    </row>
    <row r="2" spans="1:18" x14ac:dyDescent="0.2">
      <c r="A2" s="1" t="s">
        <v>4</v>
      </c>
      <c r="J2" s="1" t="s">
        <v>5</v>
      </c>
      <c r="K2" s="1" t="s">
        <v>22</v>
      </c>
      <c r="L2" s="1" t="s">
        <v>775</v>
      </c>
      <c r="M2" s="1" t="s">
        <v>23</v>
      </c>
      <c r="N2" s="1" t="s">
        <v>24</v>
      </c>
      <c r="O2" s="1" t="s">
        <v>25</v>
      </c>
      <c r="P2" s="1" t="s">
        <v>26</v>
      </c>
    </row>
    <row r="3" spans="1:18" x14ac:dyDescent="0.2">
      <c r="C3" s="1" t="s">
        <v>728</v>
      </c>
      <c r="D3" s="1" t="s">
        <v>729</v>
      </c>
    </row>
    <row r="4" spans="1:18" x14ac:dyDescent="0.2">
      <c r="C4" s="1" t="s">
        <v>730</v>
      </c>
      <c r="H4" s="1" t="s">
        <v>12</v>
      </c>
    </row>
    <row r="5" spans="1:18" x14ac:dyDescent="0.2">
      <c r="C5" s="1" t="s">
        <v>731</v>
      </c>
      <c r="D5" s="1" t="s">
        <v>732</v>
      </c>
    </row>
    <row r="6" spans="1:18" x14ac:dyDescent="0.2">
      <c r="C6" s="1" t="s">
        <v>733</v>
      </c>
      <c r="H6" s="1" t="s">
        <v>13</v>
      </c>
      <c r="I6" s="1" t="s">
        <v>734</v>
      </c>
    </row>
    <row r="7" spans="1:18" x14ac:dyDescent="0.2">
      <c r="C7" s="1" t="s">
        <v>735</v>
      </c>
      <c r="H7" s="1" t="s">
        <v>14</v>
      </c>
      <c r="I7" s="1" t="s">
        <v>736</v>
      </c>
    </row>
    <row r="8" spans="1:18" x14ac:dyDescent="0.2">
      <c r="H8" s="1" t="s">
        <v>15</v>
      </c>
      <c r="I8" s="1" t="s">
        <v>38</v>
      </c>
    </row>
    <row r="9" spans="1:18" x14ac:dyDescent="0.2">
      <c r="H9" s="1" t="s">
        <v>16</v>
      </c>
      <c r="I9" s="1" t="s">
        <v>39</v>
      </c>
      <c r="N9" s="1" t="s">
        <v>17</v>
      </c>
      <c r="O9" s="1" t="s">
        <v>40</v>
      </c>
    </row>
    <row r="11" spans="1:18" x14ac:dyDescent="0.2">
      <c r="J11" s="1" t="s">
        <v>11</v>
      </c>
      <c r="K11" s="1" t="s">
        <v>6</v>
      </c>
      <c r="L11" s="1" t="s">
        <v>774</v>
      </c>
      <c r="M11" s="1" t="s">
        <v>7</v>
      </c>
      <c r="N11" s="1" t="s">
        <v>1</v>
      </c>
      <c r="O11" s="1" t="s">
        <v>2</v>
      </c>
    </row>
    <row r="12" spans="1:18" x14ac:dyDescent="0.2">
      <c r="C12" s="1" t="s">
        <v>41</v>
      </c>
      <c r="H12" s="1" t="s">
        <v>42</v>
      </c>
    </row>
    <row r="13" spans="1:18" x14ac:dyDescent="0.2">
      <c r="C13" s="1" t="s">
        <v>43</v>
      </c>
      <c r="D13" s="1" t="s">
        <v>44</v>
      </c>
      <c r="F13" s="1" t="s">
        <v>10</v>
      </c>
      <c r="G13" s="1" t="s">
        <v>8</v>
      </c>
      <c r="H13" s="1" t="s">
        <v>45</v>
      </c>
      <c r="I13" s="1" t="s">
        <v>46</v>
      </c>
      <c r="J13" s="1" t="s">
        <v>47</v>
      </c>
      <c r="N13" s="1" t="s">
        <v>48</v>
      </c>
      <c r="O13" s="1" t="s">
        <v>5109</v>
      </c>
    </row>
    <row r="14" spans="1:18" x14ac:dyDescent="0.2">
      <c r="E14" s="1" t="s">
        <v>1400</v>
      </c>
      <c r="F14" s="1" t="s">
        <v>776</v>
      </c>
      <c r="G14" s="1" t="s">
        <v>49</v>
      </c>
      <c r="J14" s="1" t="s">
        <v>51</v>
      </c>
      <c r="K14" s="1" t="s">
        <v>52</v>
      </c>
      <c r="L14" s="1" t="s">
        <v>50</v>
      </c>
      <c r="M14" s="1" t="s">
        <v>777</v>
      </c>
      <c r="R14" s="1" t="s">
        <v>778</v>
      </c>
    </row>
    <row r="15" spans="1:18" x14ac:dyDescent="0.2">
      <c r="A15" s="1" t="s">
        <v>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heetViews>
  <sheetFormatPr defaultRowHeight="12.75" x14ac:dyDescent="0.2"/>
  <sheetData>
    <row r="1" spans="1:5" x14ac:dyDescent="0.2">
      <c r="A1" s="1" t="s">
        <v>5183</v>
      </c>
      <c r="C1" s="1" t="s">
        <v>19</v>
      </c>
      <c r="D1" s="1" t="s">
        <v>20</v>
      </c>
      <c r="E1" s="1" t="s">
        <v>21</v>
      </c>
    </row>
    <row r="4" spans="1:5" x14ac:dyDescent="0.2">
      <c r="C4" s="1" t="s">
        <v>737</v>
      </c>
    </row>
    <row r="6" spans="1:5" x14ac:dyDescent="0.2">
      <c r="A6" s="1" t="s">
        <v>18</v>
      </c>
      <c r="C6" s="1" t="s">
        <v>3</v>
      </c>
      <c r="D6" s="1" t="s">
        <v>1941</v>
      </c>
      <c r="E6" s="1" t="s">
        <v>36</v>
      </c>
    </row>
    <row r="7" spans="1:5" x14ac:dyDescent="0.2">
      <c r="A7" s="1" t="s">
        <v>18</v>
      </c>
      <c r="C7" s="1" t="s">
        <v>724</v>
      </c>
      <c r="D7" s="1" t="s">
        <v>773</v>
      </c>
    </row>
    <row r="8" spans="1:5" x14ac:dyDescent="0.2">
      <c r="A8" s="1" t="s">
        <v>18</v>
      </c>
      <c r="C8" s="1" t="s">
        <v>726</v>
      </c>
      <c r="D8" s="1" t="s">
        <v>738</v>
      </c>
    </row>
    <row r="9" spans="1:5" x14ac:dyDescent="0.2">
      <c r="A9" s="1" t="s">
        <v>18</v>
      </c>
      <c r="C9" s="1" t="s">
        <v>725</v>
      </c>
      <c r="D9" s="1" t="s">
        <v>1373</v>
      </c>
    </row>
    <row r="10" spans="1:5" x14ac:dyDescent="0.2">
      <c r="A10" s="1" t="s">
        <v>18</v>
      </c>
      <c r="C10" s="1" t="s">
        <v>727</v>
      </c>
      <c r="D10" s="1" t="s">
        <v>738</v>
      </c>
    </row>
    <row r="11" spans="1:5" x14ac:dyDescent="0.2">
      <c r="A11" s="1" t="s">
        <v>18</v>
      </c>
      <c r="C11" s="1" t="s">
        <v>1</v>
      </c>
      <c r="D11" s="1" t="s">
        <v>739</v>
      </c>
      <c r="E11" s="1" t="s">
        <v>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1"/>
  <sheetViews>
    <sheetView workbookViewId="0"/>
  </sheetViews>
  <sheetFormatPr defaultRowHeight="12.75" x14ac:dyDescent="0.2"/>
  <sheetData>
    <row r="1" spans="1:18" x14ac:dyDescent="0.2">
      <c r="A1" s="1" t="s">
        <v>5185</v>
      </c>
      <c r="C1" s="1" t="s">
        <v>4</v>
      </c>
      <c r="D1" s="1" t="s">
        <v>4</v>
      </c>
      <c r="E1" s="1" t="s">
        <v>4</v>
      </c>
      <c r="F1" s="1" t="s">
        <v>4</v>
      </c>
      <c r="G1" s="1" t="s">
        <v>4</v>
      </c>
      <c r="H1" s="1" t="s">
        <v>0</v>
      </c>
      <c r="I1" s="1" t="s">
        <v>9</v>
      </c>
      <c r="J1" s="1" t="s">
        <v>0</v>
      </c>
      <c r="K1" s="1" t="s">
        <v>0</v>
      </c>
      <c r="L1" s="1" t="s">
        <v>0</v>
      </c>
      <c r="M1" s="1" t="s">
        <v>9</v>
      </c>
      <c r="N1" s="1" t="s">
        <v>9</v>
      </c>
      <c r="O1" s="1" t="s">
        <v>9</v>
      </c>
      <c r="P1" s="1" t="s">
        <v>9</v>
      </c>
      <c r="R1" s="1" t="s">
        <v>4</v>
      </c>
    </row>
    <row r="2" spans="1:18" x14ac:dyDescent="0.2">
      <c r="A2" s="1" t="s">
        <v>4</v>
      </c>
      <c r="J2" s="1" t="s">
        <v>5</v>
      </c>
      <c r="K2" s="1" t="s">
        <v>22</v>
      </c>
      <c r="L2" s="1" t="s">
        <v>775</v>
      </c>
      <c r="M2" s="1" t="s">
        <v>23</v>
      </c>
      <c r="N2" s="1" t="s">
        <v>24</v>
      </c>
      <c r="O2" s="1" t="s">
        <v>25</v>
      </c>
      <c r="P2" s="1" t="s">
        <v>26</v>
      </c>
    </row>
    <row r="3" spans="1:18" x14ac:dyDescent="0.2">
      <c r="C3" s="1" t="s">
        <v>728</v>
      </c>
      <c r="D3" s="1" t="s">
        <v>729</v>
      </c>
    </row>
    <row r="4" spans="1:18" x14ac:dyDescent="0.2">
      <c r="C4" s="1" t="s">
        <v>730</v>
      </c>
      <c r="H4" s="1" t="s">
        <v>12</v>
      </c>
    </row>
    <row r="5" spans="1:18" x14ac:dyDescent="0.2">
      <c r="C5" s="1" t="s">
        <v>731</v>
      </c>
      <c r="D5" s="1" t="s">
        <v>732</v>
      </c>
    </row>
    <row r="6" spans="1:18" x14ac:dyDescent="0.2">
      <c r="C6" s="1" t="s">
        <v>733</v>
      </c>
      <c r="H6" s="1" t="s">
        <v>13</v>
      </c>
      <c r="I6" s="1" t="s">
        <v>734</v>
      </c>
    </row>
    <row r="7" spans="1:18" x14ac:dyDescent="0.2">
      <c r="C7" s="1" t="s">
        <v>735</v>
      </c>
      <c r="H7" s="1" t="s">
        <v>14</v>
      </c>
      <c r="I7" s="1" t="s">
        <v>736</v>
      </c>
    </row>
    <row r="8" spans="1:18" x14ac:dyDescent="0.2">
      <c r="H8" s="1" t="s">
        <v>15</v>
      </c>
      <c r="I8" s="1" t="s">
        <v>38</v>
      </c>
    </row>
    <row r="9" spans="1:18" x14ac:dyDescent="0.2">
      <c r="H9" s="1" t="s">
        <v>16</v>
      </c>
      <c r="I9" s="1" t="s">
        <v>39</v>
      </c>
      <c r="N9" s="1" t="s">
        <v>17</v>
      </c>
      <c r="O9" s="1" t="s">
        <v>40</v>
      </c>
    </row>
    <row r="11" spans="1:18" x14ac:dyDescent="0.2">
      <c r="J11" s="1" t="s">
        <v>11</v>
      </c>
      <c r="K11" s="1" t="s">
        <v>6</v>
      </c>
      <c r="L11" s="1" t="s">
        <v>774</v>
      </c>
      <c r="M11" s="1" t="s">
        <v>7</v>
      </c>
      <c r="N11" s="1" t="s">
        <v>1</v>
      </c>
      <c r="O11" s="1" t="s">
        <v>2</v>
      </c>
    </row>
    <row r="12" spans="1:18" x14ac:dyDescent="0.2">
      <c r="C12" s="1" t="s">
        <v>41</v>
      </c>
      <c r="H12" s="1" t="s">
        <v>42</v>
      </c>
    </row>
    <row r="13" spans="1:18" x14ac:dyDescent="0.2">
      <c r="C13" s="1" t="s">
        <v>43</v>
      </c>
      <c r="D13" s="1" t="s">
        <v>44</v>
      </c>
      <c r="F13" s="1" t="s">
        <v>10</v>
      </c>
      <c r="G13" s="1" t="s">
        <v>8</v>
      </c>
      <c r="H13" s="1" t="s">
        <v>45</v>
      </c>
      <c r="I13" s="1" t="s">
        <v>46</v>
      </c>
      <c r="J13" s="1" t="s">
        <v>47</v>
      </c>
      <c r="N13" s="1" t="s">
        <v>48</v>
      </c>
      <c r="O13" s="1" t="s">
        <v>5109</v>
      </c>
    </row>
    <row r="14" spans="1:18" x14ac:dyDescent="0.2">
      <c r="E14" s="1" t="s">
        <v>1400</v>
      </c>
      <c r="F14" s="1" t="s">
        <v>776</v>
      </c>
      <c r="G14" s="1" t="s">
        <v>49</v>
      </c>
      <c r="J14" s="1" t="s">
        <v>51</v>
      </c>
      <c r="K14" s="1" t="s">
        <v>52</v>
      </c>
      <c r="L14" s="1" t="s">
        <v>50</v>
      </c>
      <c r="M14" s="1" t="s">
        <v>777</v>
      </c>
      <c r="R14" s="1" t="s">
        <v>778</v>
      </c>
    </row>
    <row r="15" spans="1:18" x14ac:dyDescent="0.2">
      <c r="A15" s="1" t="s">
        <v>4</v>
      </c>
    </row>
    <row r="16" spans="1:18" x14ac:dyDescent="0.2">
      <c r="A16" s="1" t="s">
        <v>53</v>
      </c>
      <c r="C16" s="1" t="s">
        <v>1404</v>
      </c>
      <c r="D16" s="1" t="s">
        <v>1341</v>
      </c>
      <c r="F16" s="1" t="s">
        <v>10</v>
      </c>
      <c r="G16" s="1" t="s">
        <v>8</v>
      </c>
      <c r="H16" s="1" t="s">
        <v>1342</v>
      </c>
      <c r="I16" s="1" t="s">
        <v>1343</v>
      </c>
      <c r="J16" s="1" t="s">
        <v>1405</v>
      </c>
      <c r="N16" s="1" t="s">
        <v>1344</v>
      </c>
      <c r="O16" s="1" t="s">
        <v>5110</v>
      </c>
    </row>
    <row r="17" spans="1:18" x14ac:dyDescent="0.2">
      <c r="A17" s="1" t="s">
        <v>53</v>
      </c>
      <c r="E17" s="1" t="s">
        <v>1406</v>
      </c>
      <c r="F17" s="1" t="s">
        <v>3296</v>
      </c>
      <c r="G17" s="1" t="s">
        <v>3193</v>
      </c>
      <c r="J17" s="1" t="s">
        <v>54</v>
      </c>
      <c r="K17" s="1" t="s">
        <v>3399</v>
      </c>
      <c r="L17" s="1" t="s">
        <v>3502</v>
      </c>
      <c r="M17" s="1" t="s">
        <v>3605</v>
      </c>
      <c r="R17" s="1" t="s">
        <v>779</v>
      </c>
    </row>
    <row r="18" spans="1:18" x14ac:dyDescent="0.2">
      <c r="A18" s="1" t="s">
        <v>53</v>
      </c>
      <c r="E18" s="1" t="s">
        <v>1960</v>
      </c>
      <c r="F18" s="1" t="s">
        <v>3297</v>
      </c>
      <c r="G18" s="1" t="s">
        <v>3194</v>
      </c>
      <c r="J18" s="1" t="s">
        <v>55</v>
      </c>
      <c r="K18" s="1" t="s">
        <v>3400</v>
      </c>
      <c r="L18" s="1" t="s">
        <v>3503</v>
      </c>
      <c r="M18" s="1" t="s">
        <v>3606</v>
      </c>
      <c r="R18" s="1" t="s">
        <v>780</v>
      </c>
    </row>
    <row r="19" spans="1:18" x14ac:dyDescent="0.2">
      <c r="A19" s="1" t="s">
        <v>53</v>
      </c>
      <c r="E19" s="1" t="s">
        <v>1961</v>
      </c>
      <c r="F19" s="1" t="s">
        <v>3298</v>
      </c>
      <c r="G19" s="1" t="s">
        <v>3195</v>
      </c>
      <c r="J19" s="1" t="s">
        <v>56</v>
      </c>
      <c r="K19" s="1" t="s">
        <v>3401</v>
      </c>
      <c r="L19" s="1" t="s">
        <v>3504</v>
      </c>
      <c r="M19" s="1" t="s">
        <v>3607</v>
      </c>
      <c r="R19" s="1" t="s">
        <v>781</v>
      </c>
    </row>
    <row r="20" spans="1:18" x14ac:dyDescent="0.2">
      <c r="A20" s="1" t="s">
        <v>53</v>
      </c>
      <c r="E20" s="1" t="s">
        <v>1962</v>
      </c>
      <c r="F20" s="1" t="s">
        <v>3299</v>
      </c>
      <c r="G20" s="1" t="s">
        <v>3196</v>
      </c>
      <c r="J20" s="1" t="s">
        <v>57</v>
      </c>
      <c r="K20" s="1" t="s">
        <v>3402</v>
      </c>
      <c r="L20" s="1" t="s">
        <v>3505</v>
      </c>
      <c r="M20" s="1" t="s">
        <v>3608</v>
      </c>
      <c r="R20" s="1" t="s">
        <v>782</v>
      </c>
    </row>
    <row r="21" spans="1:18" x14ac:dyDescent="0.2">
      <c r="A21" s="1" t="s">
        <v>53</v>
      </c>
      <c r="E21" s="1" t="s">
        <v>1963</v>
      </c>
      <c r="F21" s="1" t="s">
        <v>3300</v>
      </c>
      <c r="G21" s="1" t="s">
        <v>3197</v>
      </c>
      <c r="J21" s="1" t="s">
        <v>58</v>
      </c>
      <c r="K21" s="1" t="s">
        <v>3403</v>
      </c>
      <c r="L21" s="1" t="s">
        <v>3506</v>
      </c>
      <c r="M21" s="1" t="s">
        <v>3609</v>
      </c>
      <c r="R21" s="1" t="s">
        <v>783</v>
      </c>
    </row>
    <row r="22" spans="1:18" x14ac:dyDescent="0.2">
      <c r="A22" s="1" t="s">
        <v>53</v>
      </c>
      <c r="E22" s="1" t="s">
        <v>1964</v>
      </c>
      <c r="F22" s="1" t="s">
        <v>3301</v>
      </c>
      <c r="G22" s="1" t="s">
        <v>3198</v>
      </c>
      <c r="J22" s="1" t="s">
        <v>59</v>
      </c>
      <c r="K22" s="1" t="s">
        <v>3404</v>
      </c>
      <c r="L22" s="1" t="s">
        <v>3507</v>
      </c>
      <c r="M22" s="1" t="s">
        <v>3610</v>
      </c>
      <c r="R22" s="1" t="s">
        <v>784</v>
      </c>
    </row>
    <row r="23" spans="1:18" x14ac:dyDescent="0.2">
      <c r="A23" s="1" t="s">
        <v>53</v>
      </c>
      <c r="E23" s="1" t="s">
        <v>1965</v>
      </c>
      <c r="F23" s="1" t="s">
        <v>3302</v>
      </c>
      <c r="G23" s="1" t="s">
        <v>3199</v>
      </c>
      <c r="J23" s="1" t="s">
        <v>60</v>
      </c>
      <c r="K23" s="1" t="s">
        <v>3405</v>
      </c>
      <c r="L23" s="1" t="s">
        <v>3508</v>
      </c>
      <c r="M23" s="1" t="s">
        <v>3611</v>
      </c>
      <c r="R23" s="1" t="s">
        <v>785</v>
      </c>
    </row>
    <row r="24" spans="1:18" x14ac:dyDescent="0.2">
      <c r="A24" s="1" t="s">
        <v>53</v>
      </c>
      <c r="E24" s="1" t="s">
        <v>1966</v>
      </c>
      <c r="F24" s="1" t="s">
        <v>3303</v>
      </c>
      <c r="G24" s="1" t="s">
        <v>3200</v>
      </c>
      <c r="J24" s="1" t="s">
        <v>61</v>
      </c>
      <c r="K24" s="1" t="s">
        <v>3406</v>
      </c>
      <c r="L24" s="1" t="s">
        <v>3509</v>
      </c>
      <c r="M24" s="1" t="s">
        <v>3612</v>
      </c>
      <c r="R24" s="1" t="s">
        <v>786</v>
      </c>
    </row>
    <row r="25" spans="1:18" x14ac:dyDescent="0.2">
      <c r="A25" s="1" t="s">
        <v>53</v>
      </c>
      <c r="E25" s="1" t="s">
        <v>1967</v>
      </c>
      <c r="F25" s="1" t="s">
        <v>3304</v>
      </c>
      <c r="G25" s="1" t="s">
        <v>3201</v>
      </c>
      <c r="J25" s="1" t="s">
        <v>62</v>
      </c>
      <c r="K25" s="1" t="s">
        <v>3407</v>
      </c>
      <c r="L25" s="1" t="s">
        <v>3510</v>
      </c>
      <c r="M25" s="1" t="s">
        <v>3613</v>
      </c>
      <c r="R25" s="1" t="s">
        <v>787</v>
      </c>
    </row>
    <row r="26" spans="1:18" x14ac:dyDescent="0.2">
      <c r="A26" s="1" t="s">
        <v>53</v>
      </c>
      <c r="E26" s="1" t="s">
        <v>1968</v>
      </c>
      <c r="F26" s="1" t="s">
        <v>3305</v>
      </c>
      <c r="G26" s="1" t="s">
        <v>3202</v>
      </c>
      <c r="J26" s="1" t="s">
        <v>63</v>
      </c>
      <c r="K26" s="1" t="s">
        <v>3408</v>
      </c>
      <c r="L26" s="1" t="s">
        <v>3511</v>
      </c>
      <c r="M26" s="1" t="s">
        <v>3614</v>
      </c>
      <c r="R26" s="1" t="s">
        <v>788</v>
      </c>
    </row>
    <row r="27" spans="1:18" x14ac:dyDescent="0.2">
      <c r="A27" s="1" t="s">
        <v>53</v>
      </c>
      <c r="E27" s="1" t="s">
        <v>1969</v>
      </c>
      <c r="F27" s="1" t="s">
        <v>3306</v>
      </c>
      <c r="G27" s="1" t="s">
        <v>3203</v>
      </c>
      <c r="J27" s="1" t="s">
        <v>64</v>
      </c>
      <c r="K27" s="1" t="s">
        <v>3409</v>
      </c>
      <c r="L27" s="1" t="s">
        <v>3512</v>
      </c>
      <c r="M27" s="1" t="s">
        <v>3615</v>
      </c>
      <c r="R27" s="1" t="s">
        <v>789</v>
      </c>
    </row>
    <row r="28" spans="1:18" x14ac:dyDescent="0.2">
      <c r="A28" s="1" t="s">
        <v>53</v>
      </c>
      <c r="E28" s="1" t="s">
        <v>1970</v>
      </c>
      <c r="F28" s="1" t="s">
        <v>3307</v>
      </c>
      <c r="G28" s="1" t="s">
        <v>3204</v>
      </c>
      <c r="J28" s="1" t="s">
        <v>65</v>
      </c>
      <c r="K28" s="1" t="s">
        <v>3410</v>
      </c>
      <c r="L28" s="1" t="s">
        <v>3513</v>
      </c>
      <c r="M28" s="1" t="s">
        <v>3616</v>
      </c>
      <c r="R28" s="1" t="s">
        <v>790</v>
      </c>
    </row>
    <row r="29" spans="1:18" x14ac:dyDescent="0.2">
      <c r="A29" s="1" t="s">
        <v>53</v>
      </c>
      <c r="E29" s="1" t="s">
        <v>1971</v>
      </c>
      <c r="F29" s="1" t="s">
        <v>3308</v>
      </c>
      <c r="G29" s="1" t="s">
        <v>3205</v>
      </c>
      <c r="J29" s="1" t="s">
        <v>66</v>
      </c>
      <c r="K29" s="1" t="s">
        <v>3411</v>
      </c>
      <c r="L29" s="1" t="s">
        <v>3514</v>
      </c>
      <c r="M29" s="1" t="s">
        <v>3617</v>
      </c>
      <c r="R29" s="1" t="s">
        <v>791</v>
      </c>
    </row>
    <row r="30" spans="1:18" x14ac:dyDescent="0.2">
      <c r="A30" s="1" t="s">
        <v>53</v>
      </c>
      <c r="E30" s="1" t="s">
        <v>1972</v>
      </c>
      <c r="F30" s="1" t="s">
        <v>3309</v>
      </c>
      <c r="G30" s="1" t="s">
        <v>3206</v>
      </c>
      <c r="J30" s="1" t="s">
        <v>67</v>
      </c>
      <c r="K30" s="1" t="s">
        <v>3412</v>
      </c>
      <c r="L30" s="1" t="s">
        <v>3515</v>
      </c>
      <c r="M30" s="1" t="s">
        <v>3618</v>
      </c>
      <c r="R30" s="1" t="s">
        <v>792</v>
      </c>
    </row>
    <row r="31" spans="1:18" x14ac:dyDescent="0.2">
      <c r="A31" s="1" t="s">
        <v>53</v>
      </c>
      <c r="E31" s="1" t="s">
        <v>1973</v>
      </c>
      <c r="F31" s="1" t="s">
        <v>3310</v>
      </c>
      <c r="G31" s="1" t="s">
        <v>3207</v>
      </c>
      <c r="J31" s="1" t="s">
        <v>68</v>
      </c>
      <c r="K31" s="1" t="s">
        <v>3413</v>
      </c>
      <c r="L31" s="1" t="s">
        <v>3516</v>
      </c>
      <c r="M31" s="1" t="s">
        <v>3619</v>
      </c>
      <c r="R31" s="1" t="s">
        <v>793</v>
      </c>
    </row>
    <row r="32" spans="1:18" x14ac:dyDescent="0.2">
      <c r="A32" s="1" t="s">
        <v>53</v>
      </c>
      <c r="E32" s="1" t="s">
        <v>1974</v>
      </c>
      <c r="F32" s="1" t="s">
        <v>3311</v>
      </c>
      <c r="G32" s="1" t="s">
        <v>3208</v>
      </c>
      <c r="J32" s="1" t="s">
        <v>69</v>
      </c>
      <c r="K32" s="1" t="s">
        <v>3414</v>
      </c>
      <c r="L32" s="1" t="s">
        <v>3517</v>
      </c>
      <c r="M32" s="1" t="s">
        <v>3620</v>
      </c>
      <c r="R32" s="1" t="s">
        <v>794</v>
      </c>
    </row>
    <row r="33" spans="1:18" x14ac:dyDescent="0.2">
      <c r="A33" s="1" t="s">
        <v>53</v>
      </c>
      <c r="E33" s="1" t="s">
        <v>1975</v>
      </c>
      <c r="F33" s="1" t="s">
        <v>3312</v>
      </c>
      <c r="G33" s="1" t="s">
        <v>3209</v>
      </c>
      <c r="J33" s="1" t="s">
        <v>70</v>
      </c>
      <c r="K33" s="1" t="s">
        <v>3415</v>
      </c>
      <c r="L33" s="1" t="s">
        <v>3518</v>
      </c>
      <c r="M33" s="1" t="s">
        <v>3621</v>
      </c>
      <c r="R33" s="1" t="s">
        <v>795</v>
      </c>
    </row>
    <row r="34" spans="1:18" x14ac:dyDescent="0.2">
      <c r="A34" s="1" t="s">
        <v>53</v>
      </c>
      <c r="E34" s="1" t="s">
        <v>1976</v>
      </c>
      <c r="F34" s="1" t="s">
        <v>3313</v>
      </c>
      <c r="G34" s="1" t="s">
        <v>3210</v>
      </c>
      <c r="J34" s="1" t="s">
        <v>71</v>
      </c>
      <c r="K34" s="1" t="s">
        <v>3416</v>
      </c>
      <c r="L34" s="1" t="s">
        <v>3519</v>
      </c>
      <c r="M34" s="1" t="s">
        <v>3622</v>
      </c>
      <c r="R34" s="1" t="s">
        <v>796</v>
      </c>
    </row>
    <row r="35" spans="1:18" x14ac:dyDescent="0.2">
      <c r="A35" s="1" t="s">
        <v>53</v>
      </c>
      <c r="E35" s="1" t="s">
        <v>1977</v>
      </c>
      <c r="F35" s="1" t="s">
        <v>3314</v>
      </c>
      <c r="G35" s="1" t="s">
        <v>3211</v>
      </c>
      <c r="J35" s="1" t="s">
        <v>72</v>
      </c>
      <c r="K35" s="1" t="s">
        <v>3417</v>
      </c>
      <c r="L35" s="1" t="s">
        <v>3520</v>
      </c>
      <c r="M35" s="1" t="s">
        <v>3623</v>
      </c>
      <c r="R35" s="1" t="s">
        <v>797</v>
      </c>
    </row>
    <row r="36" spans="1:18" x14ac:dyDescent="0.2">
      <c r="A36" s="1" t="s">
        <v>53</v>
      </c>
      <c r="E36" s="1" t="s">
        <v>1978</v>
      </c>
      <c r="F36" s="1" t="s">
        <v>3315</v>
      </c>
      <c r="G36" s="1" t="s">
        <v>3212</v>
      </c>
      <c r="J36" s="1" t="s">
        <v>73</v>
      </c>
      <c r="K36" s="1" t="s">
        <v>3418</v>
      </c>
      <c r="L36" s="1" t="s">
        <v>3521</v>
      </c>
      <c r="M36" s="1" t="s">
        <v>3624</v>
      </c>
      <c r="R36" s="1" t="s">
        <v>798</v>
      </c>
    </row>
    <row r="37" spans="1:18" x14ac:dyDescent="0.2">
      <c r="A37" s="1" t="s">
        <v>53</v>
      </c>
      <c r="E37" s="1" t="s">
        <v>1979</v>
      </c>
      <c r="F37" s="1" t="s">
        <v>3316</v>
      </c>
      <c r="G37" s="1" t="s">
        <v>3213</v>
      </c>
      <c r="J37" s="1" t="s">
        <v>74</v>
      </c>
      <c r="K37" s="1" t="s">
        <v>3419</v>
      </c>
      <c r="L37" s="1" t="s">
        <v>3522</v>
      </c>
      <c r="M37" s="1" t="s">
        <v>3625</v>
      </c>
      <c r="R37" s="1" t="s">
        <v>799</v>
      </c>
    </row>
    <row r="38" spans="1:18" x14ac:dyDescent="0.2">
      <c r="A38" s="1" t="s">
        <v>53</v>
      </c>
      <c r="E38" s="1" t="s">
        <v>1980</v>
      </c>
      <c r="F38" s="1" t="s">
        <v>3317</v>
      </c>
      <c r="G38" s="1" t="s">
        <v>3214</v>
      </c>
      <c r="J38" s="1" t="s">
        <v>75</v>
      </c>
      <c r="K38" s="1" t="s">
        <v>3420</v>
      </c>
      <c r="L38" s="1" t="s">
        <v>3523</v>
      </c>
      <c r="M38" s="1" t="s">
        <v>3626</v>
      </c>
      <c r="R38" s="1" t="s">
        <v>800</v>
      </c>
    </row>
    <row r="39" spans="1:18" x14ac:dyDescent="0.2">
      <c r="A39" s="1" t="s">
        <v>53</v>
      </c>
      <c r="E39" s="1" t="s">
        <v>1981</v>
      </c>
      <c r="F39" s="1" t="s">
        <v>3318</v>
      </c>
      <c r="G39" s="1" t="s">
        <v>3215</v>
      </c>
      <c r="J39" s="1" t="s">
        <v>76</v>
      </c>
      <c r="K39" s="1" t="s">
        <v>3421</v>
      </c>
      <c r="L39" s="1" t="s">
        <v>3524</v>
      </c>
      <c r="M39" s="1" t="s">
        <v>3627</v>
      </c>
      <c r="R39" s="1" t="s">
        <v>801</v>
      </c>
    </row>
    <row r="40" spans="1:18" x14ac:dyDescent="0.2">
      <c r="A40" s="1" t="s">
        <v>53</v>
      </c>
      <c r="E40" s="1" t="s">
        <v>1982</v>
      </c>
      <c r="F40" s="1" t="s">
        <v>3319</v>
      </c>
      <c r="G40" s="1" t="s">
        <v>3216</v>
      </c>
      <c r="J40" s="1" t="s">
        <v>77</v>
      </c>
      <c r="K40" s="1" t="s">
        <v>3422</v>
      </c>
      <c r="L40" s="1" t="s">
        <v>3525</v>
      </c>
      <c r="M40" s="1" t="s">
        <v>3628</v>
      </c>
      <c r="R40" s="1" t="s">
        <v>802</v>
      </c>
    </row>
    <row r="41" spans="1:18" x14ac:dyDescent="0.2">
      <c r="A41" s="1" t="s">
        <v>53</v>
      </c>
      <c r="E41" s="1" t="s">
        <v>1983</v>
      </c>
      <c r="F41" s="1" t="s">
        <v>3320</v>
      </c>
      <c r="G41" s="1" t="s">
        <v>3217</v>
      </c>
      <c r="J41" s="1" t="s">
        <v>78</v>
      </c>
      <c r="K41" s="1" t="s">
        <v>3423</v>
      </c>
      <c r="L41" s="1" t="s">
        <v>3526</v>
      </c>
      <c r="M41" s="1" t="s">
        <v>3629</v>
      </c>
      <c r="R41" s="1" t="s">
        <v>803</v>
      </c>
    </row>
    <row r="42" spans="1:18" x14ac:dyDescent="0.2">
      <c r="A42" s="1" t="s">
        <v>53</v>
      </c>
      <c r="E42" s="1" t="s">
        <v>1984</v>
      </c>
      <c r="F42" s="1" t="s">
        <v>3321</v>
      </c>
      <c r="G42" s="1" t="s">
        <v>3218</v>
      </c>
      <c r="J42" s="1" t="s">
        <v>79</v>
      </c>
      <c r="K42" s="1" t="s">
        <v>3424</v>
      </c>
      <c r="L42" s="1" t="s">
        <v>3527</v>
      </c>
      <c r="M42" s="1" t="s">
        <v>3630</v>
      </c>
      <c r="R42" s="1" t="s">
        <v>804</v>
      </c>
    </row>
    <row r="43" spans="1:18" x14ac:dyDescent="0.2">
      <c r="A43" s="1" t="s">
        <v>53</v>
      </c>
      <c r="E43" s="1" t="s">
        <v>1985</v>
      </c>
      <c r="F43" s="1" t="s">
        <v>3322</v>
      </c>
      <c r="G43" s="1" t="s">
        <v>3219</v>
      </c>
      <c r="J43" s="1" t="s">
        <v>80</v>
      </c>
      <c r="K43" s="1" t="s">
        <v>3425</v>
      </c>
      <c r="L43" s="1" t="s">
        <v>3528</v>
      </c>
      <c r="M43" s="1" t="s">
        <v>3631</v>
      </c>
      <c r="R43" s="1" t="s">
        <v>805</v>
      </c>
    </row>
    <row r="44" spans="1:18" x14ac:dyDescent="0.2">
      <c r="A44" s="1" t="s">
        <v>53</v>
      </c>
      <c r="E44" s="1" t="s">
        <v>1986</v>
      </c>
      <c r="F44" s="1" t="s">
        <v>3323</v>
      </c>
      <c r="G44" s="1" t="s">
        <v>3220</v>
      </c>
      <c r="J44" s="1" t="s">
        <v>81</v>
      </c>
      <c r="K44" s="1" t="s">
        <v>3426</v>
      </c>
      <c r="L44" s="1" t="s">
        <v>3529</v>
      </c>
      <c r="M44" s="1" t="s">
        <v>3632</v>
      </c>
      <c r="R44" s="1" t="s">
        <v>806</v>
      </c>
    </row>
    <row r="45" spans="1:18" x14ac:dyDescent="0.2">
      <c r="A45" s="1" t="s">
        <v>53</v>
      </c>
      <c r="E45" s="1" t="s">
        <v>1987</v>
      </c>
      <c r="F45" s="1" t="s">
        <v>3324</v>
      </c>
      <c r="G45" s="1" t="s">
        <v>3221</v>
      </c>
      <c r="J45" s="1" t="s">
        <v>82</v>
      </c>
      <c r="K45" s="1" t="s">
        <v>3427</v>
      </c>
      <c r="L45" s="1" t="s">
        <v>3530</v>
      </c>
      <c r="M45" s="1" t="s">
        <v>3633</v>
      </c>
      <c r="R45" s="1" t="s">
        <v>807</v>
      </c>
    </row>
    <row r="46" spans="1:18" x14ac:dyDescent="0.2">
      <c r="A46" s="1" t="s">
        <v>53</v>
      </c>
      <c r="E46" s="1" t="s">
        <v>1988</v>
      </c>
      <c r="F46" s="1" t="s">
        <v>3325</v>
      </c>
      <c r="G46" s="1" t="s">
        <v>3222</v>
      </c>
      <c r="J46" s="1" t="s">
        <v>83</v>
      </c>
      <c r="K46" s="1" t="s">
        <v>3428</v>
      </c>
      <c r="L46" s="1" t="s">
        <v>3531</v>
      </c>
      <c r="M46" s="1" t="s">
        <v>3634</v>
      </c>
      <c r="R46" s="1" t="s">
        <v>808</v>
      </c>
    </row>
    <row r="47" spans="1:18" x14ac:dyDescent="0.2">
      <c r="A47" s="1" t="s">
        <v>53</v>
      </c>
      <c r="E47" s="1" t="s">
        <v>1989</v>
      </c>
      <c r="F47" s="1" t="s">
        <v>3326</v>
      </c>
      <c r="G47" s="1" t="s">
        <v>3223</v>
      </c>
      <c r="J47" s="1" t="s">
        <v>84</v>
      </c>
      <c r="K47" s="1" t="s">
        <v>3429</v>
      </c>
      <c r="L47" s="1" t="s">
        <v>3532</v>
      </c>
      <c r="M47" s="1" t="s">
        <v>3635</v>
      </c>
      <c r="R47" s="1" t="s">
        <v>809</v>
      </c>
    </row>
    <row r="48" spans="1:18" x14ac:dyDescent="0.2">
      <c r="A48" s="1" t="s">
        <v>53</v>
      </c>
      <c r="E48" s="1" t="s">
        <v>1990</v>
      </c>
      <c r="F48" s="1" t="s">
        <v>3327</v>
      </c>
      <c r="G48" s="1" t="s">
        <v>3224</v>
      </c>
      <c r="J48" s="1" t="s">
        <v>85</v>
      </c>
      <c r="K48" s="1" t="s">
        <v>3430</v>
      </c>
      <c r="L48" s="1" t="s">
        <v>3533</v>
      </c>
      <c r="M48" s="1" t="s">
        <v>3636</v>
      </c>
      <c r="R48" s="1" t="s">
        <v>810</v>
      </c>
    </row>
    <row r="49" spans="1:18" x14ac:dyDescent="0.2">
      <c r="A49" s="1" t="s">
        <v>53</v>
      </c>
      <c r="E49" s="1" t="s">
        <v>1991</v>
      </c>
      <c r="F49" s="1" t="s">
        <v>3328</v>
      </c>
      <c r="G49" s="1" t="s">
        <v>3225</v>
      </c>
      <c r="J49" s="1" t="s">
        <v>86</v>
      </c>
      <c r="K49" s="1" t="s">
        <v>3431</v>
      </c>
      <c r="L49" s="1" t="s">
        <v>3534</v>
      </c>
      <c r="M49" s="1" t="s">
        <v>3637</v>
      </c>
      <c r="R49" s="1" t="s">
        <v>811</v>
      </c>
    </row>
    <row r="50" spans="1:18" x14ac:dyDescent="0.2">
      <c r="A50" s="1" t="s">
        <v>53</v>
      </c>
      <c r="E50" s="1" t="s">
        <v>1992</v>
      </c>
      <c r="F50" s="1" t="s">
        <v>3329</v>
      </c>
      <c r="G50" s="1" t="s">
        <v>3226</v>
      </c>
      <c r="J50" s="1" t="s">
        <v>87</v>
      </c>
      <c r="K50" s="1" t="s">
        <v>3432</v>
      </c>
      <c r="L50" s="1" t="s">
        <v>3535</v>
      </c>
      <c r="M50" s="1" t="s">
        <v>3638</v>
      </c>
      <c r="R50" s="1" t="s">
        <v>812</v>
      </c>
    </row>
    <row r="51" spans="1:18" x14ac:dyDescent="0.2">
      <c r="A51" s="1" t="s">
        <v>53</v>
      </c>
      <c r="E51" s="1" t="s">
        <v>1993</v>
      </c>
      <c r="F51" s="1" t="s">
        <v>3330</v>
      </c>
      <c r="G51" s="1" t="s">
        <v>3227</v>
      </c>
      <c r="J51" s="1" t="s">
        <v>88</v>
      </c>
      <c r="K51" s="1" t="s">
        <v>3433</v>
      </c>
      <c r="L51" s="1" t="s">
        <v>3536</v>
      </c>
      <c r="M51" s="1" t="s">
        <v>3639</v>
      </c>
      <c r="R51" s="1" t="s">
        <v>813</v>
      </c>
    </row>
    <row r="52" spans="1:18" x14ac:dyDescent="0.2">
      <c r="A52" s="1" t="s">
        <v>53</v>
      </c>
      <c r="E52" s="1" t="s">
        <v>1994</v>
      </c>
      <c r="F52" s="1" t="s">
        <v>3331</v>
      </c>
      <c r="G52" s="1" t="s">
        <v>3228</v>
      </c>
      <c r="J52" s="1" t="s">
        <v>89</v>
      </c>
      <c r="K52" s="1" t="s">
        <v>3434</v>
      </c>
      <c r="L52" s="1" t="s">
        <v>3537</v>
      </c>
      <c r="M52" s="1" t="s">
        <v>3640</v>
      </c>
      <c r="R52" s="1" t="s">
        <v>814</v>
      </c>
    </row>
    <row r="53" spans="1:18" x14ac:dyDescent="0.2">
      <c r="A53" s="1" t="s">
        <v>53</v>
      </c>
      <c r="E53" s="1" t="s">
        <v>1995</v>
      </c>
      <c r="F53" s="1" t="s">
        <v>3332</v>
      </c>
      <c r="G53" s="1" t="s">
        <v>3229</v>
      </c>
      <c r="J53" s="1" t="s">
        <v>90</v>
      </c>
      <c r="K53" s="1" t="s">
        <v>3435</v>
      </c>
      <c r="L53" s="1" t="s">
        <v>3538</v>
      </c>
      <c r="M53" s="1" t="s">
        <v>3641</v>
      </c>
      <c r="R53" s="1" t="s">
        <v>815</v>
      </c>
    </row>
    <row r="54" spans="1:18" x14ac:dyDescent="0.2">
      <c r="A54" s="1" t="s">
        <v>53</v>
      </c>
      <c r="E54" s="1" t="s">
        <v>1996</v>
      </c>
      <c r="F54" s="1" t="s">
        <v>3333</v>
      </c>
      <c r="G54" s="1" t="s">
        <v>3230</v>
      </c>
      <c r="J54" s="1" t="s">
        <v>91</v>
      </c>
      <c r="K54" s="1" t="s">
        <v>3436</v>
      </c>
      <c r="L54" s="1" t="s">
        <v>3539</v>
      </c>
      <c r="M54" s="1" t="s">
        <v>3642</v>
      </c>
      <c r="R54" s="1" t="s">
        <v>816</v>
      </c>
    </row>
    <row r="55" spans="1:18" x14ac:dyDescent="0.2">
      <c r="A55" s="1" t="s">
        <v>53</v>
      </c>
      <c r="E55" s="1" t="s">
        <v>1997</v>
      </c>
      <c r="F55" s="1" t="s">
        <v>3334</v>
      </c>
      <c r="G55" s="1" t="s">
        <v>3231</v>
      </c>
      <c r="J55" s="1" t="s">
        <v>92</v>
      </c>
      <c r="K55" s="1" t="s">
        <v>3437</v>
      </c>
      <c r="L55" s="1" t="s">
        <v>3540</v>
      </c>
      <c r="M55" s="1" t="s">
        <v>3643</v>
      </c>
      <c r="R55" s="1" t="s">
        <v>817</v>
      </c>
    </row>
    <row r="56" spans="1:18" x14ac:dyDescent="0.2">
      <c r="A56" s="1" t="s">
        <v>53</v>
      </c>
      <c r="E56" s="1" t="s">
        <v>1998</v>
      </c>
      <c r="F56" s="1" t="s">
        <v>3335</v>
      </c>
      <c r="G56" s="1" t="s">
        <v>3232</v>
      </c>
      <c r="J56" s="1" t="s">
        <v>93</v>
      </c>
      <c r="K56" s="1" t="s">
        <v>3438</v>
      </c>
      <c r="L56" s="1" t="s">
        <v>3541</v>
      </c>
      <c r="M56" s="1" t="s">
        <v>3644</v>
      </c>
      <c r="R56" s="1" t="s">
        <v>818</v>
      </c>
    </row>
    <row r="57" spans="1:18" x14ac:dyDescent="0.2">
      <c r="A57" s="1" t="s">
        <v>53</v>
      </c>
      <c r="E57" s="1" t="s">
        <v>1999</v>
      </c>
      <c r="F57" s="1" t="s">
        <v>3336</v>
      </c>
      <c r="G57" s="1" t="s">
        <v>3233</v>
      </c>
      <c r="J57" s="1" t="s">
        <v>94</v>
      </c>
      <c r="K57" s="1" t="s">
        <v>3439</v>
      </c>
      <c r="L57" s="1" t="s">
        <v>3542</v>
      </c>
      <c r="M57" s="1" t="s">
        <v>3645</v>
      </c>
      <c r="R57" s="1" t="s">
        <v>819</v>
      </c>
    </row>
    <row r="58" spans="1:18" x14ac:dyDescent="0.2">
      <c r="A58" s="1" t="s">
        <v>53</v>
      </c>
      <c r="E58" s="1" t="s">
        <v>2000</v>
      </c>
      <c r="F58" s="1" t="s">
        <v>3337</v>
      </c>
      <c r="G58" s="1" t="s">
        <v>3234</v>
      </c>
      <c r="J58" s="1" t="s">
        <v>95</v>
      </c>
      <c r="K58" s="1" t="s">
        <v>3440</v>
      </c>
      <c r="L58" s="1" t="s">
        <v>3543</v>
      </c>
      <c r="M58" s="1" t="s">
        <v>3646</v>
      </c>
      <c r="R58" s="1" t="s">
        <v>820</v>
      </c>
    </row>
    <row r="59" spans="1:18" x14ac:dyDescent="0.2">
      <c r="A59" s="1" t="s">
        <v>53</v>
      </c>
      <c r="E59" s="1" t="s">
        <v>2001</v>
      </c>
      <c r="F59" s="1" t="s">
        <v>3338</v>
      </c>
      <c r="G59" s="1" t="s">
        <v>3235</v>
      </c>
      <c r="J59" s="1" t="s">
        <v>96</v>
      </c>
      <c r="K59" s="1" t="s">
        <v>3441</v>
      </c>
      <c r="L59" s="1" t="s">
        <v>3544</v>
      </c>
      <c r="M59" s="1" t="s">
        <v>3647</v>
      </c>
      <c r="R59" s="1" t="s">
        <v>821</v>
      </c>
    </row>
    <row r="60" spans="1:18" x14ac:dyDescent="0.2">
      <c r="A60" s="1" t="s">
        <v>53</v>
      </c>
      <c r="E60" s="1" t="s">
        <v>2002</v>
      </c>
      <c r="F60" s="1" t="s">
        <v>3339</v>
      </c>
      <c r="G60" s="1" t="s">
        <v>3236</v>
      </c>
      <c r="J60" s="1" t="s">
        <v>97</v>
      </c>
      <c r="K60" s="1" t="s">
        <v>3442</v>
      </c>
      <c r="L60" s="1" t="s">
        <v>3545</v>
      </c>
      <c r="M60" s="1" t="s">
        <v>3648</v>
      </c>
      <c r="R60" s="1" t="s">
        <v>822</v>
      </c>
    </row>
    <row r="61" spans="1:18" x14ac:dyDescent="0.2">
      <c r="A61" s="1" t="s">
        <v>53</v>
      </c>
      <c r="E61" s="1" t="s">
        <v>2003</v>
      </c>
      <c r="F61" s="1" t="s">
        <v>3340</v>
      </c>
      <c r="G61" s="1" t="s">
        <v>3237</v>
      </c>
      <c r="J61" s="1" t="s">
        <v>98</v>
      </c>
      <c r="K61" s="1" t="s">
        <v>3443</v>
      </c>
      <c r="L61" s="1" t="s">
        <v>3546</v>
      </c>
      <c r="M61" s="1" t="s">
        <v>3649</v>
      </c>
      <c r="R61" s="1" t="s">
        <v>823</v>
      </c>
    </row>
    <row r="62" spans="1:18" x14ac:dyDescent="0.2">
      <c r="A62" s="1" t="s">
        <v>53</v>
      </c>
      <c r="E62" s="1" t="s">
        <v>2004</v>
      </c>
      <c r="F62" s="1" t="s">
        <v>3341</v>
      </c>
      <c r="G62" s="1" t="s">
        <v>3238</v>
      </c>
      <c r="J62" s="1" t="s">
        <v>99</v>
      </c>
      <c r="K62" s="1" t="s">
        <v>3444</v>
      </c>
      <c r="L62" s="1" t="s">
        <v>3547</v>
      </c>
      <c r="M62" s="1" t="s">
        <v>3650</v>
      </c>
      <c r="R62" s="1" t="s">
        <v>824</v>
      </c>
    </row>
    <row r="63" spans="1:18" x14ac:dyDescent="0.2">
      <c r="A63" s="1" t="s">
        <v>53</v>
      </c>
      <c r="E63" s="1" t="s">
        <v>2005</v>
      </c>
      <c r="F63" s="1" t="s">
        <v>3342</v>
      </c>
      <c r="G63" s="1" t="s">
        <v>3239</v>
      </c>
      <c r="J63" s="1" t="s">
        <v>100</v>
      </c>
      <c r="K63" s="1" t="s">
        <v>3445</v>
      </c>
      <c r="L63" s="1" t="s">
        <v>3548</v>
      </c>
      <c r="M63" s="1" t="s">
        <v>3651</v>
      </c>
      <c r="R63" s="1" t="s">
        <v>825</v>
      </c>
    </row>
    <row r="64" spans="1:18" x14ac:dyDescent="0.2">
      <c r="A64" s="1" t="s">
        <v>53</v>
      </c>
      <c r="E64" s="1" t="s">
        <v>2006</v>
      </c>
      <c r="F64" s="1" t="s">
        <v>3343</v>
      </c>
      <c r="G64" s="1" t="s">
        <v>3240</v>
      </c>
      <c r="J64" s="1" t="s">
        <v>101</v>
      </c>
      <c r="K64" s="1" t="s">
        <v>3446</v>
      </c>
      <c r="L64" s="1" t="s">
        <v>3549</v>
      </c>
      <c r="M64" s="1" t="s">
        <v>3652</v>
      </c>
      <c r="R64" s="1" t="s">
        <v>826</v>
      </c>
    </row>
    <row r="65" spans="1:18" x14ac:dyDescent="0.2">
      <c r="A65" s="1" t="s">
        <v>53</v>
      </c>
      <c r="E65" s="1" t="s">
        <v>2007</v>
      </c>
      <c r="F65" s="1" t="s">
        <v>3344</v>
      </c>
      <c r="G65" s="1" t="s">
        <v>3241</v>
      </c>
      <c r="J65" s="1" t="s">
        <v>102</v>
      </c>
      <c r="K65" s="1" t="s">
        <v>3447</v>
      </c>
      <c r="L65" s="1" t="s">
        <v>3550</v>
      </c>
      <c r="M65" s="1" t="s">
        <v>3653</v>
      </c>
      <c r="R65" s="1" t="s">
        <v>827</v>
      </c>
    </row>
    <row r="66" spans="1:18" x14ac:dyDescent="0.2">
      <c r="A66" s="1" t="s">
        <v>53</v>
      </c>
      <c r="E66" s="1" t="s">
        <v>2008</v>
      </c>
      <c r="F66" s="1" t="s">
        <v>3345</v>
      </c>
      <c r="G66" s="1" t="s">
        <v>3242</v>
      </c>
      <c r="J66" s="1" t="s">
        <v>103</v>
      </c>
      <c r="K66" s="1" t="s">
        <v>3448</v>
      </c>
      <c r="L66" s="1" t="s">
        <v>3551</v>
      </c>
      <c r="M66" s="1" t="s">
        <v>3654</v>
      </c>
      <c r="R66" s="1" t="s">
        <v>828</v>
      </c>
    </row>
    <row r="67" spans="1:18" x14ac:dyDescent="0.2">
      <c r="A67" s="1" t="s">
        <v>53</v>
      </c>
      <c r="E67" s="1" t="s">
        <v>2009</v>
      </c>
      <c r="F67" s="1" t="s">
        <v>3346</v>
      </c>
      <c r="G67" s="1" t="s">
        <v>3243</v>
      </c>
      <c r="J67" s="1" t="s">
        <v>104</v>
      </c>
      <c r="K67" s="1" t="s">
        <v>3449</v>
      </c>
      <c r="L67" s="1" t="s">
        <v>3552</v>
      </c>
      <c r="M67" s="1" t="s">
        <v>3655</v>
      </c>
      <c r="R67" s="1" t="s">
        <v>829</v>
      </c>
    </row>
    <row r="68" spans="1:18" x14ac:dyDescent="0.2">
      <c r="A68" s="1" t="s">
        <v>53</v>
      </c>
      <c r="E68" s="1" t="s">
        <v>2010</v>
      </c>
      <c r="F68" s="1" t="s">
        <v>3347</v>
      </c>
      <c r="G68" s="1" t="s">
        <v>3244</v>
      </c>
      <c r="J68" s="1" t="s">
        <v>105</v>
      </c>
      <c r="K68" s="1" t="s">
        <v>3450</v>
      </c>
      <c r="L68" s="1" t="s">
        <v>3553</v>
      </c>
      <c r="M68" s="1" t="s">
        <v>3656</v>
      </c>
      <c r="R68" s="1" t="s">
        <v>830</v>
      </c>
    </row>
    <row r="69" spans="1:18" x14ac:dyDescent="0.2">
      <c r="A69" s="1" t="s">
        <v>53</v>
      </c>
      <c r="E69" s="1" t="s">
        <v>2011</v>
      </c>
      <c r="F69" s="1" t="s">
        <v>3348</v>
      </c>
      <c r="G69" s="1" t="s">
        <v>3245</v>
      </c>
      <c r="J69" s="1" t="s">
        <v>106</v>
      </c>
      <c r="K69" s="1" t="s">
        <v>3451</v>
      </c>
      <c r="L69" s="1" t="s">
        <v>3554</v>
      </c>
      <c r="M69" s="1" t="s">
        <v>3657</v>
      </c>
      <c r="R69" s="1" t="s">
        <v>831</v>
      </c>
    </row>
    <row r="70" spans="1:18" x14ac:dyDescent="0.2">
      <c r="A70" s="1" t="s">
        <v>53</v>
      </c>
      <c r="E70" s="1" t="s">
        <v>2012</v>
      </c>
      <c r="F70" s="1" t="s">
        <v>3349</v>
      </c>
      <c r="G70" s="1" t="s">
        <v>3246</v>
      </c>
      <c r="J70" s="1" t="s">
        <v>107</v>
      </c>
      <c r="K70" s="1" t="s">
        <v>3452</v>
      </c>
      <c r="L70" s="1" t="s">
        <v>3555</v>
      </c>
      <c r="M70" s="1" t="s">
        <v>3658</v>
      </c>
      <c r="R70" s="1" t="s">
        <v>832</v>
      </c>
    </row>
    <row r="71" spans="1:18" x14ac:dyDescent="0.2">
      <c r="A71" s="1" t="s">
        <v>53</v>
      </c>
      <c r="E71" s="1" t="s">
        <v>2013</v>
      </c>
      <c r="F71" s="1" t="s">
        <v>3350</v>
      </c>
      <c r="G71" s="1" t="s">
        <v>3247</v>
      </c>
      <c r="J71" s="1" t="s">
        <v>108</v>
      </c>
      <c r="K71" s="1" t="s">
        <v>3453</v>
      </c>
      <c r="L71" s="1" t="s">
        <v>3556</v>
      </c>
      <c r="M71" s="1" t="s">
        <v>3659</v>
      </c>
      <c r="R71" s="1" t="s">
        <v>833</v>
      </c>
    </row>
    <row r="72" spans="1:18" x14ac:dyDescent="0.2">
      <c r="A72" s="1" t="s">
        <v>53</v>
      </c>
      <c r="E72" s="1" t="s">
        <v>2014</v>
      </c>
      <c r="F72" s="1" t="s">
        <v>3351</v>
      </c>
      <c r="G72" s="1" t="s">
        <v>3248</v>
      </c>
      <c r="J72" s="1" t="s">
        <v>109</v>
      </c>
      <c r="K72" s="1" t="s">
        <v>3454</v>
      </c>
      <c r="L72" s="1" t="s">
        <v>3557</v>
      </c>
      <c r="M72" s="1" t="s">
        <v>3660</v>
      </c>
      <c r="R72" s="1" t="s">
        <v>834</v>
      </c>
    </row>
    <row r="73" spans="1:18" x14ac:dyDescent="0.2">
      <c r="A73" s="1" t="s">
        <v>53</v>
      </c>
      <c r="E73" s="1" t="s">
        <v>2015</v>
      </c>
      <c r="F73" s="1" t="s">
        <v>3352</v>
      </c>
      <c r="G73" s="1" t="s">
        <v>3249</v>
      </c>
      <c r="J73" s="1" t="s">
        <v>110</v>
      </c>
      <c r="K73" s="1" t="s">
        <v>3455</v>
      </c>
      <c r="L73" s="1" t="s">
        <v>3558</v>
      </c>
      <c r="M73" s="1" t="s">
        <v>3661</v>
      </c>
      <c r="R73" s="1" t="s">
        <v>835</v>
      </c>
    </row>
    <row r="74" spans="1:18" x14ac:dyDescent="0.2">
      <c r="A74" s="1" t="s">
        <v>53</v>
      </c>
      <c r="E74" s="1" t="s">
        <v>2016</v>
      </c>
      <c r="F74" s="1" t="s">
        <v>3353</v>
      </c>
      <c r="G74" s="1" t="s">
        <v>3250</v>
      </c>
      <c r="J74" s="1" t="s">
        <v>111</v>
      </c>
      <c r="K74" s="1" t="s">
        <v>3456</v>
      </c>
      <c r="L74" s="1" t="s">
        <v>3559</v>
      </c>
      <c r="M74" s="1" t="s">
        <v>3662</v>
      </c>
      <c r="R74" s="1" t="s">
        <v>836</v>
      </c>
    </row>
    <row r="75" spans="1:18" x14ac:dyDescent="0.2">
      <c r="A75" s="1" t="s">
        <v>53</v>
      </c>
      <c r="E75" s="1" t="s">
        <v>2017</v>
      </c>
      <c r="F75" s="1" t="s">
        <v>3354</v>
      </c>
      <c r="G75" s="1" t="s">
        <v>3251</v>
      </c>
      <c r="J75" s="1" t="s">
        <v>112</v>
      </c>
      <c r="K75" s="1" t="s">
        <v>3457</v>
      </c>
      <c r="L75" s="1" t="s">
        <v>3560</v>
      </c>
      <c r="M75" s="1" t="s">
        <v>3663</v>
      </c>
      <c r="R75" s="1" t="s">
        <v>837</v>
      </c>
    </row>
    <row r="76" spans="1:18" x14ac:dyDescent="0.2">
      <c r="A76" s="1" t="s">
        <v>53</v>
      </c>
      <c r="E76" s="1" t="s">
        <v>2018</v>
      </c>
      <c r="F76" s="1" t="s">
        <v>3355</v>
      </c>
      <c r="G76" s="1" t="s">
        <v>3252</v>
      </c>
      <c r="J76" s="1" t="s">
        <v>113</v>
      </c>
      <c r="K76" s="1" t="s">
        <v>3458</v>
      </c>
      <c r="L76" s="1" t="s">
        <v>3561</v>
      </c>
      <c r="M76" s="1" t="s">
        <v>3664</v>
      </c>
      <c r="R76" s="1" t="s">
        <v>838</v>
      </c>
    </row>
    <row r="77" spans="1:18" x14ac:dyDescent="0.2">
      <c r="A77" s="1" t="s">
        <v>53</v>
      </c>
      <c r="E77" s="1" t="s">
        <v>2019</v>
      </c>
      <c r="F77" s="1" t="s">
        <v>3356</v>
      </c>
      <c r="G77" s="1" t="s">
        <v>3253</v>
      </c>
      <c r="J77" s="1" t="s">
        <v>114</v>
      </c>
      <c r="K77" s="1" t="s">
        <v>3459</v>
      </c>
      <c r="L77" s="1" t="s">
        <v>3562</v>
      </c>
      <c r="M77" s="1" t="s">
        <v>3665</v>
      </c>
      <c r="R77" s="1" t="s">
        <v>839</v>
      </c>
    </row>
    <row r="78" spans="1:18" x14ac:dyDescent="0.2">
      <c r="A78" s="1" t="s">
        <v>53</v>
      </c>
      <c r="E78" s="1" t="s">
        <v>2020</v>
      </c>
      <c r="F78" s="1" t="s">
        <v>3357</v>
      </c>
      <c r="G78" s="1" t="s">
        <v>3254</v>
      </c>
      <c r="J78" s="1" t="s">
        <v>115</v>
      </c>
      <c r="K78" s="1" t="s">
        <v>3460</v>
      </c>
      <c r="L78" s="1" t="s">
        <v>3563</v>
      </c>
      <c r="M78" s="1" t="s">
        <v>3666</v>
      </c>
      <c r="R78" s="1" t="s">
        <v>840</v>
      </c>
    </row>
    <row r="79" spans="1:18" x14ac:dyDescent="0.2">
      <c r="A79" s="1" t="s">
        <v>53</v>
      </c>
      <c r="E79" s="1" t="s">
        <v>2021</v>
      </c>
      <c r="F79" s="1" t="s">
        <v>3358</v>
      </c>
      <c r="G79" s="1" t="s">
        <v>3255</v>
      </c>
      <c r="J79" s="1" t="s">
        <v>116</v>
      </c>
      <c r="K79" s="1" t="s">
        <v>3461</v>
      </c>
      <c r="L79" s="1" t="s">
        <v>3564</v>
      </c>
      <c r="M79" s="1" t="s">
        <v>3667</v>
      </c>
      <c r="R79" s="1" t="s">
        <v>841</v>
      </c>
    </row>
    <row r="80" spans="1:18" x14ac:dyDescent="0.2">
      <c r="A80" s="1" t="s">
        <v>53</v>
      </c>
      <c r="E80" s="1" t="s">
        <v>2022</v>
      </c>
      <c r="F80" s="1" t="s">
        <v>3359</v>
      </c>
      <c r="G80" s="1" t="s">
        <v>3256</v>
      </c>
      <c r="J80" s="1" t="s">
        <v>117</v>
      </c>
      <c r="K80" s="1" t="s">
        <v>3462</v>
      </c>
      <c r="L80" s="1" t="s">
        <v>3565</v>
      </c>
      <c r="M80" s="1" t="s">
        <v>3668</v>
      </c>
      <c r="R80" s="1" t="s">
        <v>842</v>
      </c>
    </row>
    <row r="81" spans="1:18" x14ac:dyDescent="0.2">
      <c r="A81" s="1" t="s">
        <v>53</v>
      </c>
      <c r="E81" s="1" t="s">
        <v>2023</v>
      </c>
      <c r="F81" s="1" t="s">
        <v>3360</v>
      </c>
      <c r="G81" s="1" t="s">
        <v>3257</v>
      </c>
      <c r="J81" s="1" t="s">
        <v>118</v>
      </c>
      <c r="K81" s="1" t="s">
        <v>3463</v>
      </c>
      <c r="L81" s="1" t="s">
        <v>3566</v>
      </c>
      <c r="M81" s="1" t="s">
        <v>3669</v>
      </c>
      <c r="R81" s="1" t="s">
        <v>843</v>
      </c>
    </row>
    <row r="82" spans="1:18" x14ac:dyDescent="0.2">
      <c r="A82" s="1" t="s">
        <v>53</v>
      </c>
      <c r="E82" s="1" t="s">
        <v>2024</v>
      </c>
      <c r="F82" s="1" t="s">
        <v>3361</v>
      </c>
      <c r="G82" s="1" t="s">
        <v>3258</v>
      </c>
      <c r="J82" s="1" t="s">
        <v>119</v>
      </c>
      <c r="K82" s="1" t="s">
        <v>3464</v>
      </c>
      <c r="L82" s="1" t="s">
        <v>3567</v>
      </c>
      <c r="M82" s="1" t="s">
        <v>3670</v>
      </c>
      <c r="R82" s="1" t="s">
        <v>844</v>
      </c>
    </row>
    <row r="83" spans="1:18" x14ac:dyDescent="0.2">
      <c r="A83" s="1" t="s">
        <v>53</v>
      </c>
      <c r="E83" s="1" t="s">
        <v>2025</v>
      </c>
      <c r="F83" s="1" t="s">
        <v>3362</v>
      </c>
      <c r="G83" s="1" t="s">
        <v>3259</v>
      </c>
      <c r="J83" s="1" t="s">
        <v>120</v>
      </c>
      <c r="K83" s="1" t="s">
        <v>3465</v>
      </c>
      <c r="L83" s="1" t="s">
        <v>3568</v>
      </c>
      <c r="M83" s="1" t="s">
        <v>3671</v>
      </c>
      <c r="R83" s="1" t="s">
        <v>845</v>
      </c>
    </row>
    <row r="84" spans="1:18" x14ac:dyDescent="0.2">
      <c r="A84" s="1" t="s">
        <v>53</v>
      </c>
      <c r="E84" s="1" t="s">
        <v>2026</v>
      </c>
      <c r="F84" s="1" t="s">
        <v>3363</v>
      </c>
      <c r="G84" s="1" t="s">
        <v>3260</v>
      </c>
      <c r="J84" s="1" t="s">
        <v>121</v>
      </c>
      <c r="K84" s="1" t="s">
        <v>3466</v>
      </c>
      <c r="L84" s="1" t="s">
        <v>3569</v>
      </c>
      <c r="M84" s="1" t="s">
        <v>3672</v>
      </c>
      <c r="R84" s="1" t="s">
        <v>846</v>
      </c>
    </row>
    <row r="85" spans="1:18" x14ac:dyDescent="0.2">
      <c r="A85" s="1" t="s">
        <v>53</v>
      </c>
      <c r="E85" s="1" t="s">
        <v>2027</v>
      </c>
      <c r="F85" s="1" t="s">
        <v>3364</v>
      </c>
      <c r="G85" s="1" t="s">
        <v>3261</v>
      </c>
      <c r="J85" s="1" t="s">
        <v>122</v>
      </c>
      <c r="K85" s="1" t="s">
        <v>3467</v>
      </c>
      <c r="L85" s="1" t="s">
        <v>3570</v>
      </c>
      <c r="M85" s="1" t="s">
        <v>3673</v>
      </c>
      <c r="R85" s="1" t="s">
        <v>847</v>
      </c>
    </row>
    <row r="86" spans="1:18" x14ac:dyDescent="0.2">
      <c r="A86" s="1" t="s">
        <v>53</v>
      </c>
      <c r="E86" s="1" t="s">
        <v>2028</v>
      </c>
      <c r="F86" s="1" t="s">
        <v>3365</v>
      </c>
      <c r="G86" s="1" t="s">
        <v>3262</v>
      </c>
      <c r="J86" s="1" t="s">
        <v>123</v>
      </c>
      <c r="K86" s="1" t="s">
        <v>3468</v>
      </c>
      <c r="L86" s="1" t="s">
        <v>3571</v>
      </c>
      <c r="M86" s="1" t="s">
        <v>3674</v>
      </c>
      <c r="R86" s="1" t="s">
        <v>848</v>
      </c>
    </row>
    <row r="87" spans="1:18" x14ac:dyDescent="0.2">
      <c r="A87" s="1" t="s">
        <v>53</v>
      </c>
      <c r="E87" s="1" t="s">
        <v>2029</v>
      </c>
      <c r="F87" s="1" t="s">
        <v>3366</v>
      </c>
      <c r="G87" s="1" t="s">
        <v>3263</v>
      </c>
      <c r="J87" s="1" t="s">
        <v>124</v>
      </c>
      <c r="K87" s="1" t="s">
        <v>3469</v>
      </c>
      <c r="L87" s="1" t="s">
        <v>3572</v>
      </c>
      <c r="M87" s="1" t="s">
        <v>3675</v>
      </c>
      <c r="R87" s="1" t="s">
        <v>849</v>
      </c>
    </row>
    <row r="88" spans="1:18" x14ac:dyDescent="0.2">
      <c r="A88" s="1" t="s">
        <v>53</v>
      </c>
      <c r="E88" s="1" t="s">
        <v>2030</v>
      </c>
      <c r="F88" s="1" t="s">
        <v>3367</v>
      </c>
      <c r="G88" s="1" t="s">
        <v>3264</v>
      </c>
      <c r="J88" s="1" t="s">
        <v>125</v>
      </c>
      <c r="K88" s="1" t="s">
        <v>3470</v>
      </c>
      <c r="L88" s="1" t="s">
        <v>3573</v>
      </c>
      <c r="M88" s="1" t="s">
        <v>3676</v>
      </c>
      <c r="R88" s="1" t="s">
        <v>850</v>
      </c>
    </row>
    <row r="89" spans="1:18" x14ac:dyDescent="0.2">
      <c r="A89" s="1" t="s">
        <v>53</v>
      </c>
      <c r="E89" s="1" t="s">
        <v>2031</v>
      </c>
      <c r="F89" s="1" t="s">
        <v>3368</v>
      </c>
      <c r="G89" s="1" t="s">
        <v>3265</v>
      </c>
      <c r="J89" s="1" t="s">
        <v>126</v>
      </c>
      <c r="K89" s="1" t="s">
        <v>3471</v>
      </c>
      <c r="L89" s="1" t="s">
        <v>3574</v>
      </c>
      <c r="M89" s="1" t="s">
        <v>3677</v>
      </c>
      <c r="R89" s="1" t="s">
        <v>851</v>
      </c>
    </row>
    <row r="90" spans="1:18" x14ac:dyDescent="0.2">
      <c r="A90" s="1" t="s">
        <v>53</v>
      </c>
      <c r="E90" s="1" t="s">
        <v>2032</v>
      </c>
      <c r="F90" s="1" t="s">
        <v>3369</v>
      </c>
      <c r="G90" s="1" t="s">
        <v>3266</v>
      </c>
      <c r="J90" s="1" t="s">
        <v>127</v>
      </c>
      <c r="K90" s="1" t="s">
        <v>3472</v>
      </c>
      <c r="L90" s="1" t="s">
        <v>3575</v>
      </c>
      <c r="M90" s="1" t="s">
        <v>3678</v>
      </c>
      <c r="R90" s="1" t="s">
        <v>852</v>
      </c>
    </row>
    <row r="91" spans="1:18" x14ac:dyDescent="0.2">
      <c r="A91" s="1" t="s">
        <v>53</v>
      </c>
      <c r="E91" s="1" t="s">
        <v>2033</v>
      </c>
      <c r="F91" s="1" t="s">
        <v>3370</v>
      </c>
      <c r="G91" s="1" t="s">
        <v>3267</v>
      </c>
      <c r="J91" s="1" t="s">
        <v>128</v>
      </c>
      <c r="K91" s="1" t="s">
        <v>3473</v>
      </c>
      <c r="L91" s="1" t="s">
        <v>3576</v>
      </c>
      <c r="M91" s="1" t="s">
        <v>3679</v>
      </c>
      <c r="R91" s="1" t="s">
        <v>853</v>
      </c>
    </row>
    <row r="92" spans="1:18" x14ac:dyDescent="0.2">
      <c r="A92" s="1" t="s">
        <v>53</v>
      </c>
      <c r="E92" s="1" t="s">
        <v>2034</v>
      </c>
      <c r="F92" s="1" t="s">
        <v>3371</v>
      </c>
      <c r="G92" s="1" t="s">
        <v>3268</v>
      </c>
      <c r="J92" s="1" t="s">
        <v>129</v>
      </c>
      <c r="K92" s="1" t="s">
        <v>3474</v>
      </c>
      <c r="L92" s="1" t="s">
        <v>3577</v>
      </c>
      <c r="M92" s="1" t="s">
        <v>3680</v>
      </c>
      <c r="R92" s="1" t="s">
        <v>854</v>
      </c>
    </row>
    <row r="93" spans="1:18" x14ac:dyDescent="0.2">
      <c r="A93" s="1" t="s">
        <v>53</v>
      </c>
      <c r="E93" s="1" t="s">
        <v>2035</v>
      </c>
      <c r="F93" s="1" t="s">
        <v>3372</v>
      </c>
      <c r="G93" s="1" t="s">
        <v>3269</v>
      </c>
      <c r="J93" s="1" t="s">
        <v>130</v>
      </c>
      <c r="K93" s="1" t="s">
        <v>3475</v>
      </c>
      <c r="L93" s="1" t="s">
        <v>3578</v>
      </c>
      <c r="M93" s="1" t="s">
        <v>3681</v>
      </c>
      <c r="R93" s="1" t="s">
        <v>855</v>
      </c>
    </row>
    <row r="94" spans="1:18" x14ac:dyDescent="0.2">
      <c r="A94" s="1" t="s">
        <v>53</v>
      </c>
      <c r="E94" s="1" t="s">
        <v>2036</v>
      </c>
      <c r="F94" s="1" t="s">
        <v>3373</v>
      </c>
      <c r="G94" s="1" t="s">
        <v>3270</v>
      </c>
      <c r="J94" s="1" t="s">
        <v>131</v>
      </c>
      <c r="K94" s="1" t="s">
        <v>3476</v>
      </c>
      <c r="L94" s="1" t="s">
        <v>3579</v>
      </c>
      <c r="M94" s="1" t="s">
        <v>3682</v>
      </c>
      <c r="R94" s="1" t="s">
        <v>856</v>
      </c>
    </row>
    <row r="95" spans="1:18" x14ac:dyDescent="0.2">
      <c r="A95" s="1" t="s">
        <v>53</v>
      </c>
      <c r="E95" s="1" t="s">
        <v>2037</v>
      </c>
      <c r="F95" s="1" t="s">
        <v>3374</v>
      </c>
      <c r="G95" s="1" t="s">
        <v>3271</v>
      </c>
      <c r="J95" s="1" t="s">
        <v>132</v>
      </c>
      <c r="K95" s="1" t="s">
        <v>3477</v>
      </c>
      <c r="L95" s="1" t="s">
        <v>3580</v>
      </c>
      <c r="M95" s="1" t="s">
        <v>3683</v>
      </c>
      <c r="R95" s="1" t="s">
        <v>857</v>
      </c>
    </row>
    <row r="96" spans="1:18" x14ac:dyDescent="0.2">
      <c r="A96" s="1" t="s">
        <v>53</v>
      </c>
      <c r="E96" s="1" t="s">
        <v>2038</v>
      </c>
      <c r="F96" s="1" t="s">
        <v>3375</v>
      </c>
      <c r="G96" s="1" t="s">
        <v>3272</v>
      </c>
      <c r="J96" s="1" t="s">
        <v>133</v>
      </c>
      <c r="K96" s="1" t="s">
        <v>3478</v>
      </c>
      <c r="L96" s="1" t="s">
        <v>3581</v>
      </c>
      <c r="M96" s="1" t="s">
        <v>3684</v>
      </c>
      <c r="R96" s="1" t="s">
        <v>858</v>
      </c>
    </row>
    <row r="97" spans="1:18" x14ac:dyDescent="0.2">
      <c r="A97" s="1" t="s">
        <v>53</v>
      </c>
      <c r="E97" s="1" t="s">
        <v>2039</v>
      </c>
      <c r="F97" s="1" t="s">
        <v>3376</v>
      </c>
      <c r="G97" s="1" t="s">
        <v>3273</v>
      </c>
      <c r="J97" s="1" t="s">
        <v>134</v>
      </c>
      <c r="K97" s="1" t="s">
        <v>3479</v>
      </c>
      <c r="L97" s="1" t="s">
        <v>3582</v>
      </c>
      <c r="M97" s="1" t="s">
        <v>3685</v>
      </c>
      <c r="R97" s="1" t="s">
        <v>859</v>
      </c>
    </row>
    <row r="98" spans="1:18" x14ac:dyDescent="0.2">
      <c r="A98" s="1" t="s">
        <v>53</v>
      </c>
      <c r="E98" s="1" t="s">
        <v>2040</v>
      </c>
      <c r="F98" s="1" t="s">
        <v>3377</v>
      </c>
      <c r="G98" s="1" t="s">
        <v>3274</v>
      </c>
      <c r="J98" s="1" t="s">
        <v>135</v>
      </c>
      <c r="K98" s="1" t="s">
        <v>3480</v>
      </c>
      <c r="L98" s="1" t="s">
        <v>3583</v>
      </c>
      <c r="M98" s="1" t="s">
        <v>3686</v>
      </c>
      <c r="R98" s="1" t="s">
        <v>860</v>
      </c>
    </row>
    <row r="99" spans="1:18" x14ac:dyDescent="0.2">
      <c r="A99" s="1" t="s">
        <v>53</v>
      </c>
      <c r="E99" s="1" t="s">
        <v>2041</v>
      </c>
      <c r="F99" s="1" t="s">
        <v>3378</v>
      </c>
      <c r="G99" s="1" t="s">
        <v>3275</v>
      </c>
      <c r="J99" s="1" t="s">
        <v>136</v>
      </c>
      <c r="K99" s="1" t="s">
        <v>3481</v>
      </c>
      <c r="L99" s="1" t="s">
        <v>3584</v>
      </c>
      <c r="M99" s="1" t="s">
        <v>3687</v>
      </c>
      <c r="R99" s="1" t="s">
        <v>861</v>
      </c>
    </row>
    <row r="100" spans="1:18" x14ac:dyDescent="0.2">
      <c r="A100" s="1" t="s">
        <v>53</v>
      </c>
      <c r="E100" s="1" t="s">
        <v>2042</v>
      </c>
      <c r="F100" s="1" t="s">
        <v>3379</v>
      </c>
      <c r="G100" s="1" t="s">
        <v>3276</v>
      </c>
      <c r="J100" s="1" t="s">
        <v>137</v>
      </c>
      <c r="K100" s="1" t="s">
        <v>3482</v>
      </c>
      <c r="L100" s="1" t="s">
        <v>3585</v>
      </c>
      <c r="M100" s="1" t="s">
        <v>3688</v>
      </c>
      <c r="R100" s="1" t="s">
        <v>862</v>
      </c>
    </row>
    <row r="101" spans="1:18" x14ac:dyDescent="0.2">
      <c r="A101" s="1" t="s">
        <v>53</v>
      </c>
      <c r="E101" s="1" t="s">
        <v>2043</v>
      </c>
      <c r="F101" s="1" t="s">
        <v>3380</v>
      </c>
      <c r="G101" s="1" t="s">
        <v>3277</v>
      </c>
      <c r="J101" s="1" t="s">
        <v>138</v>
      </c>
      <c r="K101" s="1" t="s">
        <v>3483</v>
      </c>
      <c r="L101" s="1" t="s">
        <v>3586</v>
      </c>
      <c r="M101" s="1" t="s">
        <v>3689</v>
      </c>
      <c r="R101" s="1" t="s">
        <v>863</v>
      </c>
    </row>
    <row r="102" spans="1:18" x14ac:dyDescent="0.2">
      <c r="A102" s="1" t="s">
        <v>53</v>
      </c>
      <c r="E102" s="1" t="s">
        <v>2044</v>
      </c>
      <c r="F102" s="1" t="s">
        <v>3381</v>
      </c>
      <c r="G102" s="1" t="s">
        <v>3278</v>
      </c>
      <c r="J102" s="1" t="s">
        <v>139</v>
      </c>
      <c r="K102" s="1" t="s">
        <v>3484</v>
      </c>
      <c r="L102" s="1" t="s">
        <v>3587</v>
      </c>
      <c r="M102" s="1" t="s">
        <v>3690</v>
      </c>
      <c r="R102" s="1" t="s">
        <v>864</v>
      </c>
    </row>
    <row r="103" spans="1:18" x14ac:dyDescent="0.2">
      <c r="A103" s="1" t="s">
        <v>53</v>
      </c>
      <c r="E103" s="1" t="s">
        <v>2045</v>
      </c>
      <c r="F103" s="1" t="s">
        <v>3382</v>
      </c>
      <c r="G103" s="1" t="s">
        <v>3279</v>
      </c>
      <c r="J103" s="1" t="s">
        <v>140</v>
      </c>
      <c r="K103" s="1" t="s">
        <v>3485</v>
      </c>
      <c r="L103" s="1" t="s">
        <v>3588</v>
      </c>
      <c r="M103" s="1" t="s">
        <v>3691</v>
      </c>
      <c r="R103" s="1" t="s">
        <v>865</v>
      </c>
    </row>
    <row r="104" spans="1:18" x14ac:dyDescent="0.2">
      <c r="A104" s="1" t="s">
        <v>53</v>
      </c>
      <c r="E104" s="1" t="s">
        <v>2046</v>
      </c>
      <c r="F104" s="1" t="s">
        <v>3383</v>
      </c>
      <c r="G104" s="1" t="s">
        <v>3280</v>
      </c>
      <c r="J104" s="1" t="s">
        <v>141</v>
      </c>
      <c r="K104" s="1" t="s">
        <v>3486</v>
      </c>
      <c r="L104" s="1" t="s">
        <v>3589</v>
      </c>
      <c r="M104" s="1" t="s">
        <v>3692</v>
      </c>
      <c r="R104" s="1" t="s">
        <v>866</v>
      </c>
    </row>
    <row r="105" spans="1:18" x14ac:dyDescent="0.2">
      <c r="A105" s="1" t="s">
        <v>53</v>
      </c>
      <c r="E105" s="1" t="s">
        <v>2047</v>
      </c>
      <c r="F105" s="1" t="s">
        <v>3384</v>
      </c>
      <c r="G105" s="1" t="s">
        <v>3281</v>
      </c>
      <c r="J105" s="1" t="s">
        <v>142</v>
      </c>
      <c r="K105" s="1" t="s">
        <v>3487</v>
      </c>
      <c r="L105" s="1" t="s">
        <v>3590</v>
      </c>
      <c r="M105" s="1" t="s">
        <v>3693</v>
      </c>
      <c r="R105" s="1" t="s">
        <v>867</v>
      </c>
    </row>
    <row r="106" spans="1:18" x14ac:dyDescent="0.2">
      <c r="A106" s="1" t="s">
        <v>53</v>
      </c>
      <c r="E106" s="1" t="s">
        <v>2048</v>
      </c>
      <c r="F106" s="1" t="s">
        <v>3385</v>
      </c>
      <c r="G106" s="1" t="s">
        <v>3282</v>
      </c>
      <c r="J106" s="1" t="s">
        <v>143</v>
      </c>
      <c r="K106" s="1" t="s">
        <v>3488</v>
      </c>
      <c r="L106" s="1" t="s">
        <v>3591</v>
      </c>
      <c r="M106" s="1" t="s">
        <v>3694</v>
      </c>
      <c r="R106" s="1" t="s">
        <v>868</v>
      </c>
    </row>
    <row r="107" spans="1:18" x14ac:dyDescent="0.2">
      <c r="A107" s="1" t="s">
        <v>53</v>
      </c>
      <c r="E107" s="1" t="s">
        <v>2049</v>
      </c>
      <c r="F107" s="1" t="s">
        <v>3386</v>
      </c>
      <c r="G107" s="1" t="s">
        <v>3283</v>
      </c>
      <c r="J107" s="1" t="s">
        <v>144</v>
      </c>
      <c r="K107" s="1" t="s">
        <v>3489</v>
      </c>
      <c r="L107" s="1" t="s">
        <v>3592</v>
      </c>
      <c r="M107" s="1" t="s">
        <v>3695</v>
      </c>
      <c r="R107" s="1" t="s">
        <v>869</v>
      </c>
    </row>
    <row r="108" spans="1:18" x14ac:dyDescent="0.2">
      <c r="A108" s="1" t="s">
        <v>53</v>
      </c>
      <c r="E108" s="1" t="s">
        <v>2050</v>
      </c>
      <c r="F108" s="1" t="s">
        <v>3387</v>
      </c>
      <c r="G108" s="1" t="s">
        <v>3284</v>
      </c>
      <c r="J108" s="1" t="s">
        <v>145</v>
      </c>
      <c r="K108" s="1" t="s">
        <v>3490</v>
      </c>
      <c r="L108" s="1" t="s">
        <v>3593</v>
      </c>
      <c r="M108" s="1" t="s">
        <v>3696</v>
      </c>
      <c r="R108" s="1" t="s">
        <v>870</v>
      </c>
    </row>
    <row r="109" spans="1:18" x14ac:dyDescent="0.2">
      <c r="A109" s="1" t="s">
        <v>53</v>
      </c>
      <c r="E109" s="1" t="s">
        <v>2051</v>
      </c>
      <c r="F109" s="1" t="s">
        <v>3388</v>
      </c>
      <c r="G109" s="1" t="s">
        <v>3285</v>
      </c>
      <c r="J109" s="1" t="s">
        <v>146</v>
      </c>
      <c r="K109" s="1" t="s">
        <v>3491</v>
      </c>
      <c r="L109" s="1" t="s">
        <v>3594</v>
      </c>
      <c r="M109" s="1" t="s">
        <v>3697</v>
      </c>
      <c r="R109" s="1" t="s">
        <v>871</v>
      </c>
    </row>
    <row r="110" spans="1:18" x14ac:dyDescent="0.2">
      <c r="A110" s="1" t="s">
        <v>53</v>
      </c>
      <c r="E110" s="1" t="s">
        <v>2052</v>
      </c>
      <c r="F110" s="1" t="s">
        <v>3389</v>
      </c>
      <c r="G110" s="1" t="s">
        <v>3286</v>
      </c>
      <c r="J110" s="1" t="s">
        <v>147</v>
      </c>
      <c r="K110" s="1" t="s">
        <v>3492</v>
      </c>
      <c r="L110" s="1" t="s">
        <v>3595</v>
      </c>
      <c r="M110" s="1" t="s">
        <v>3698</v>
      </c>
      <c r="R110" s="1" t="s">
        <v>872</v>
      </c>
    </row>
    <row r="111" spans="1:18" x14ac:dyDescent="0.2">
      <c r="A111" s="1" t="s">
        <v>53</v>
      </c>
      <c r="E111" s="1" t="s">
        <v>2053</v>
      </c>
      <c r="F111" s="1" t="s">
        <v>3390</v>
      </c>
      <c r="G111" s="1" t="s">
        <v>3287</v>
      </c>
      <c r="J111" s="1" t="s">
        <v>148</v>
      </c>
      <c r="K111" s="1" t="s">
        <v>3493</v>
      </c>
      <c r="L111" s="1" t="s">
        <v>3596</v>
      </c>
      <c r="M111" s="1" t="s">
        <v>3699</v>
      </c>
      <c r="R111" s="1" t="s">
        <v>873</v>
      </c>
    </row>
    <row r="112" spans="1:18" x14ac:dyDescent="0.2">
      <c r="A112" s="1" t="s">
        <v>53</v>
      </c>
      <c r="E112" s="1" t="s">
        <v>2054</v>
      </c>
      <c r="F112" s="1" t="s">
        <v>3391</v>
      </c>
      <c r="G112" s="1" t="s">
        <v>3288</v>
      </c>
      <c r="J112" s="1" t="s">
        <v>149</v>
      </c>
      <c r="K112" s="1" t="s">
        <v>3494</v>
      </c>
      <c r="L112" s="1" t="s">
        <v>3597</v>
      </c>
      <c r="M112" s="1" t="s">
        <v>3700</v>
      </c>
      <c r="R112" s="1" t="s">
        <v>874</v>
      </c>
    </row>
    <row r="113" spans="1:18" x14ac:dyDescent="0.2">
      <c r="A113" s="1" t="s">
        <v>53</v>
      </c>
      <c r="E113" s="1" t="s">
        <v>2055</v>
      </c>
      <c r="F113" s="1" t="s">
        <v>3392</v>
      </c>
      <c r="G113" s="1" t="s">
        <v>3289</v>
      </c>
      <c r="J113" s="1" t="s">
        <v>150</v>
      </c>
      <c r="K113" s="1" t="s">
        <v>3495</v>
      </c>
      <c r="L113" s="1" t="s">
        <v>3598</v>
      </c>
      <c r="M113" s="1" t="s">
        <v>3701</v>
      </c>
      <c r="R113" s="1" t="s">
        <v>875</v>
      </c>
    </row>
    <row r="114" spans="1:18" x14ac:dyDescent="0.2">
      <c r="A114" s="1" t="s">
        <v>53</v>
      </c>
      <c r="E114" s="1" t="s">
        <v>2056</v>
      </c>
      <c r="F114" s="1" t="s">
        <v>3393</v>
      </c>
      <c r="G114" s="1" t="s">
        <v>3290</v>
      </c>
      <c r="J114" s="1" t="s">
        <v>151</v>
      </c>
      <c r="K114" s="1" t="s">
        <v>3496</v>
      </c>
      <c r="L114" s="1" t="s">
        <v>3599</v>
      </c>
      <c r="M114" s="1" t="s">
        <v>3702</v>
      </c>
      <c r="R114" s="1" t="s">
        <v>876</v>
      </c>
    </row>
    <row r="115" spans="1:18" x14ac:dyDescent="0.2">
      <c r="A115" s="1" t="s">
        <v>53</v>
      </c>
      <c r="E115" s="1" t="s">
        <v>2057</v>
      </c>
      <c r="F115" s="1" t="s">
        <v>3394</v>
      </c>
      <c r="G115" s="1" t="s">
        <v>3291</v>
      </c>
      <c r="J115" s="1" t="s">
        <v>152</v>
      </c>
      <c r="K115" s="1" t="s">
        <v>3497</v>
      </c>
      <c r="L115" s="1" t="s">
        <v>3600</v>
      </c>
      <c r="M115" s="1" t="s">
        <v>3703</v>
      </c>
      <c r="R115" s="1" t="s">
        <v>877</v>
      </c>
    </row>
    <row r="116" spans="1:18" x14ac:dyDescent="0.2">
      <c r="A116" s="1" t="s">
        <v>53</v>
      </c>
      <c r="E116" s="1" t="s">
        <v>2058</v>
      </c>
      <c r="F116" s="1" t="s">
        <v>3395</v>
      </c>
      <c r="G116" s="1" t="s">
        <v>3292</v>
      </c>
      <c r="J116" s="1" t="s">
        <v>153</v>
      </c>
      <c r="K116" s="1" t="s">
        <v>3498</v>
      </c>
      <c r="L116" s="1" t="s">
        <v>3601</v>
      </c>
      <c r="M116" s="1" t="s">
        <v>3704</v>
      </c>
      <c r="R116" s="1" t="s">
        <v>878</v>
      </c>
    </row>
    <row r="117" spans="1:18" x14ac:dyDescent="0.2">
      <c r="A117" s="1" t="s">
        <v>53</v>
      </c>
      <c r="E117" s="1" t="s">
        <v>2059</v>
      </c>
      <c r="F117" s="1" t="s">
        <v>3396</v>
      </c>
      <c r="G117" s="1" t="s">
        <v>3293</v>
      </c>
      <c r="J117" s="1" t="s">
        <v>154</v>
      </c>
      <c r="K117" s="1" t="s">
        <v>3499</v>
      </c>
      <c r="L117" s="1" t="s">
        <v>3602</v>
      </c>
      <c r="M117" s="1" t="s">
        <v>3705</v>
      </c>
      <c r="R117" s="1" t="s">
        <v>879</v>
      </c>
    </row>
    <row r="118" spans="1:18" x14ac:dyDescent="0.2">
      <c r="A118" s="1" t="s">
        <v>53</v>
      </c>
      <c r="E118" s="1" t="s">
        <v>2060</v>
      </c>
      <c r="F118" s="1" t="s">
        <v>3397</v>
      </c>
      <c r="G118" s="1" t="s">
        <v>3294</v>
      </c>
      <c r="J118" s="1" t="s">
        <v>155</v>
      </c>
      <c r="K118" s="1" t="s">
        <v>3500</v>
      </c>
      <c r="L118" s="1" t="s">
        <v>3603</v>
      </c>
      <c r="M118" s="1" t="s">
        <v>3706</v>
      </c>
      <c r="R118" s="1" t="s">
        <v>880</v>
      </c>
    </row>
    <row r="119" spans="1:18" x14ac:dyDescent="0.2">
      <c r="A119" s="1" t="s">
        <v>53</v>
      </c>
      <c r="E119" s="1" t="s">
        <v>2061</v>
      </c>
      <c r="F119" s="1" t="s">
        <v>3398</v>
      </c>
      <c r="G119" s="1" t="s">
        <v>3295</v>
      </c>
      <c r="J119" s="1" t="s">
        <v>156</v>
      </c>
      <c r="K119" s="1" t="s">
        <v>3501</v>
      </c>
      <c r="L119" s="1" t="s">
        <v>3604</v>
      </c>
      <c r="M119" s="1" t="s">
        <v>3707</v>
      </c>
      <c r="R119" s="1" t="s">
        <v>881</v>
      </c>
    </row>
    <row r="120" spans="1:18" x14ac:dyDescent="0.2">
      <c r="A120" s="1" t="s">
        <v>1386</v>
      </c>
    </row>
    <row r="121" spans="1:18" x14ac:dyDescent="0.2">
      <c r="A121" s="1" t="s">
        <v>53</v>
      </c>
      <c r="C121" s="1" t="s">
        <v>1407</v>
      </c>
      <c r="D121" s="1" t="s">
        <v>1408</v>
      </c>
      <c r="F121" s="1" t="s">
        <v>10</v>
      </c>
      <c r="G121" s="1" t="s">
        <v>8</v>
      </c>
      <c r="H121" s="1" t="s">
        <v>1409</v>
      </c>
      <c r="I121" s="1" t="s">
        <v>1410</v>
      </c>
      <c r="J121" s="1" t="s">
        <v>1411</v>
      </c>
      <c r="N121" s="1" t="s">
        <v>1412</v>
      </c>
      <c r="O121" s="1" t="s">
        <v>5111</v>
      </c>
    </row>
    <row r="122" spans="1:18" x14ac:dyDescent="0.2">
      <c r="A122" s="1" t="s">
        <v>53</v>
      </c>
      <c r="E122" s="1" t="s">
        <v>1413</v>
      </c>
      <c r="F122" s="1" t="s">
        <v>3121</v>
      </c>
      <c r="G122" s="1" t="s">
        <v>3103</v>
      </c>
      <c r="J122" s="1" t="s">
        <v>157</v>
      </c>
      <c r="K122" s="1" t="s">
        <v>3139</v>
      </c>
      <c r="L122" s="1" t="s">
        <v>3157</v>
      </c>
      <c r="M122" s="1" t="s">
        <v>3175</v>
      </c>
      <c r="R122" s="1" t="s">
        <v>882</v>
      </c>
    </row>
    <row r="123" spans="1:18" x14ac:dyDescent="0.2">
      <c r="A123" s="1" t="s">
        <v>53</v>
      </c>
      <c r="E123" s="1" t="s">
        <v>2062</v>
      </c>
      <c r="F123" s="1" t="s">
        <v>3122</v>
      </c>
      <c r="G123" s="1" t="s">
        <v>3104</v>
      </c>
      <c r="J123" s="1" t="s">
        <v>158</v>
      </c>
      <c r="K123" s="1" t="s">
        <v>3140</v>
      </c>
      <c r="L123" s="1" t="s">
        <v>3158</v>
      </c>
      <c r="M123" s="1" t="s">
        <v>3176</v>
      </c>
      <c r="R123" s="1" t="s">
        <v>883</v>
      </c>
    </row>
    <row r="124" spans="1:18" x14ac:dyDescent="0.2">
      <c r="A124" s="1" t="s">
        <v>53</v>
      </c>
      <c r="E124" s="1" t="s">
        <v>2063</v>
      </c>
      <c r="F124" s="1" t="s">
        <v>3123</v>
      </c>
      <c r="G124" s="1" t="s">
        <v>3105</v>
      </c>
      <c r="J124" s="1" t="s">
        <v>159</v>
      </c>
      <c r="K124" s="1" t="s">
        <v>3141</v>
      </c>
      <c r="L124" s="1" t="s">
        <v>3159</v>
      </c>
      <c r="M124" s="1" t="s">
        <v>3177</v>
      </c>
      <c r="R124" s="1" t="s">
        <v>884</v>
      </c>
    </row>
    <row r="125" spans="1:18" x14ac:dyDescent="0.2">
      <c r="A125" s="1" t="s">
        <v>53</v>
      </c>
      <c r="E125" s="1" t="s">
        <v>2064</v>
      </c>
      <c r="F125" s="1" t="s">
        <v>3124</v>
      </c>
      <c r="G125" s="1" t="s">
        <v>3106</v>
      </c>
      <c r="J125" s="1" t="s">
        <v>160</v>
      </c>
      <c r="K125" s="1" t="s">
        <v>3142</v>
      </c>
      <c r="L125" s="1" t="s">
        <v>3160</v>
      </c>
      <c r="M125" s="1" t="s">
        <v>3178</v>
      </c>
      <c r="R125" s="1" t="s">
        <v>885</v>
      </c>
    </row>
    <row r="126" spans="1:18" x14ac:dyDescent="0.2">
      <c r="A126" s="1" t="s">
        <v>53</v>
      </c>
      <c r="E126" s="1" t="s">
        <v>2065</v>
      </c>
      <c r="F126" s="1" t="s">
        <v>3125</v>
      </c>
      <c r="G126" s="1" t="s">
        <v>3107</v>
      </c>
      <c r="J126" s="1" t="s">
        <v>161</v>
      </c>
      <c r="K126" s="1" t="s">
        <v>3143</v>
      </c>
      <c r="L126" s="1" t="s">
        <v>3161</v>
      </c>
      <c r="M126" s="1" t="s">
        <v>3179</v>
      </c>
      <c r="R126" s="1" t="s">
        <v>886</v>
      </c>
    </row>
    <row r="127" spans="1:18" x14ac:dyDescent="0.2">
      <c r="A127" s="1" t="s">
        <v>53</v>
      </c>
      <c r="E127" s="1" t="s">
        <v>2066</v>
      </c>
      <c r="F127" s="1" t="s">
        <v>3126</v>
      </c>
      <c r="G127" s="1" t="s">
        <v>3108</v>
      </c>
      <c r="J127" s="1" t="s">
        <v>162</v>
      </c>
      <c r="K127" s="1" t="s">
        <v>3144</v>
      </c>
      <c r="L127" s="1" t="s">
        <v>3162</v>
      </c>
      <c r="M127" s="1" t="s">
        <v>3180</v>
      </c>
      <c r="R127" s="1" t="s">
        <v>887</v>
      </c>
    </row>
    <row r="128" spans="1:18" x14ac:dyDescent="0.2">
      <c r="A128" s="1" t="s">
        <v>53</v>
      </c>
      <c r="E128" s="1" t="s">
        <v>2067</v>
      </c>
      <c r="F128" s="1" t="s">
        <v>3127</v>
      </c>
      <c r="G128" s="1" t="s">
        <v>3109</v>
      </c>
      <c r="J128" s="1" t="s">
        <v>163</v>
      </c>
      <c r="K128" s="1" t="s">
        <v>3145</v>
      </c>
      <c r="L128" s="1" t="s">
        <v>3163</v>
      </c>
      <c r="M128" s="1" t="s">
        <v>3181</v>
      </c>
      <c r="R128" s="1" t="s">
        <v>888</v>
      </c>
    </row>
    <row r="129" spans="1:18" x14ac:dyDescent="0.2">
      <c r="A129" s="1" t="s">
        <v>53</v>
      </c>
      <c r="E129" s="1" t="s">
        <v>2068</v>
      </c>
      <c r="F129" s="1" t="s">
        <v>3128</v>
      </c>
      <c r="G129" s="1" t="s">
        <v>3110</v>
      </c>
      <c r="J129" s="1" t="s">
        <v>164</v>
      </c>
      <c r="K129" s="1" t="s">
        <v>3146</v>
      </c>
      <c r="L129" s="1" t="s">
        <v>3164</v>
      </c>
      <c r="M129" s="1" t="s">
        <v>3182</v>
      </c>
      <c r="R129" s="1" t="s">
        <v>889</v>
      </c>
    </row>
    <row r="130" spans="1:18" x14ac:dyDescent="0.2">
      <c r="A130" s="1" t="s">
        <v>53</v>
      </c>
      <c r="E130" s="1" t="s">
        <v>2069</v>
      </c>
      <c r="F130" s="1" t="s">
        <v>3129</v>
      </c>
      <c r="G130" s="1" t="s">
        <v>3111</v>
      </c>
      <c r="J130" s="1" t="s">
        <v>165</v>
      </c>
      <c r="K130" s="1" t="s">
        <v>3147</v>
      </c>
      <c r="L130" s="1" t="s">
        <v>3165</v>
      </c>
      <c r="M130" s="1" t="s">
        <v>3183</v>
      </c>
      <c r="R130" s="1" t="s">
        <v>890</v>
      </c>
    </row>
    <row r="131" spans="1:18" x14ac:dyDescent="0.2">
      <c r="A131" s="1" t="s">
        <v>53</v>
      </c>
      <c r="E131" s="1" t="s">
        <v>2070</v>
      </c>
      <c r="F131" s="1" t="s">
        <v>3130</v>
      </c>
      <c r="G131" s="1" t="s">
        <v>3112</v>
      </c>
      <c r="J131" s="1" t="s">
        <v>166</v>
      </c>
      <c r="K131" s="1" t="s">
        <v>3148</v>
      </c>
      <c r="L131" s="1" t="s">
        <v>3166</v>
      </c>
      <c r="M131" s="1" t="s">
        <v>3184</v>
      </c>
      <c r="R131" s="1" t="s">
        <v>891</v>
      </c>
    </row>
    <row r="132" spans="1:18" x14ac:dyDescent="0.2">
      <c r="A132" s="1" t="s">
        <v>53</v>
      </c>
      <c r="E132" s="1" t="s">
        <v>2071</v>
      </c>
      <c r="F132" s="1" t="s">
        <v>3131</v>
      </c>
      <c r="G132" s="1" t="s">
        <v>3113</v>
      </c>
      <c r="J132" s="1" t="s">
        <v>167</v>
      </c>
      <c r="K132" s="1" t="s">
        <v>3149</v>
      </c>
      <c r="L132" s="1" t="s">
        <v>3167</v>
      </c>
      <c r="M132" s="1" t="s">
        <v>3185</v>
      </c>
      <c r="R132" s="1" t="s">
        <v>892</v>
      </c>
    </row>
    <row r="133" spans="1:18" x14ac:dyDescent="0.2">
      <c r="A133" s="1" t="s">
        <v>53</v>
      </c>
      <c r="E133" s="1" t="s">
        <v>2072</v>
      </c>
      <c r="F133" s="1" t="s">
        <v>3132</v>
      </c>
      <c r="G133" s="1" t="s">
        <v>3114</v>
      </c>
      <c r="J133" s="1" t="s">
        <v>168</v>
      </c>
      <c r="K133" s="1" t="s">
        <v>3150</v>
      </c>
      <c r="L133" s="1" t="s">
        <v>3168</v>
      </c>
      <c r="M133" s="1" t="s">
        <v>3186</v>
      </c>
      <c r="R133" s="1" t="s">
        <v>893</v>
      </c>
    </row>
    <row r="134" spans="1:18" x14ac:dyDescent="0.2">
      <c r="A134" s="1" t="s">
        <v>53</v>
      </c>
      <c r="E134" s="1" t="s">
        <v>2073</v>
      </c>
      <c r="F134" s="1" t="s">
        <v>3133</v>
      </c>
      <c r="G134" s="1" t="s">
        <v>3115</v>
      </c>
      <c r="J134" s="1" t="s">
        <v>169</v>
      </c>
      <c r="K134" s="1" t="s">
        <v>3151</v>
      </c>
      <c r="L134" s="1" t="s">
        <v>3169</v>
      </c>
      <c r="M134" s="1" t="s">
        <v>3187</v>
      </c>
      <c r="R134" s="1" t="s">
        <v>894</v>
      </c>
    </row>
    <row r="135" spans="1:18" x14ac:dyDescent="0.2">
      <c r="A135" s="1" t="s">
        <v>53</v>
      </c>
      <c r="E135" s="1" t="s">
        <v>2074</v>
      </c>
      <c r="F135" s="1" t="s">
        <v>3134</v>
      </c>
      <c r="G135" s="1" t="s">
        <v>3116</v>
      </c>
      <c r="J135" s="1" t="s">
        <v>170</v>
      </c>
      <c r="K135" s="1" t="s">
        <v>3152</v>
      </c>
      <c r="L135" s="1" t="s">
        <v>3170</v>
      </c>
      <c r="M135" s="1" t="s">
        <v>3188</v>
      </c>
      <c r="R135" s="1" t="s">
        <v>895</v>
      </c>
    </row>
    <row r="136" spans="1:18" x14ac:dyDescent="0.2">
      <c r="A136" s="1" t="s">
        <v>53</v>
      </c>
      <c r="E136" s="1" t="s">
        <v>2075</v>
      </c>
      <c r="F136" s="1" t="s">
        <v>3135</v>
      </c>
      <c r="G136" s="1" t="s">
        <v>3117</v>
      </c>
      <c r="J136" s="1" t="s">
        <v>171</v>
      </c>
      <c r="K136" s="1" t="s">
        <v>3153</v>
      </c>
      <c r="L136" s="1" t="s">
        <v>3171</v>
      </c>
      <c r="M136" s="1" t="s">
        <v>3189</v>
      </c>
      <c r="R136" s="1" t="s">
        <v>896</v>
      </c>
    </row>
    <row r="137" spans="1:18" x14ac:dyDescent="0.2">
      <c r="A137" s="1" t="s">
        <v>53</v>
      </c>
      <c r="E137" s="1" t="s">
        <v>2076</v>
      </c>
      <c r="F137" s="1" t="s">
        <v>3136</v>
      </c>
      <c r="G137" s="1" t="s">
        <v>3118</v>
      </c>
      <c r="J137" s="1" t="s">
        <v>172</v>
      </c>
      <c r="K137" s="1" t="s">
        <v>3154</v>
      </c>
      <c r="L137" s="1" t="s">
        <v>3172</v>
      </c>
      <c r="M137" s="1" t="s">
        <v>3190</v>
      </c>
      <c r="R137" s="1" t="s">
        <v>897</v>
      </c>
    </row>
    <row r="138" spans="1:18" x14ac:dyDescent="0.2">
      <c r="A138" s="1" t="s">
        <v>53</v>
      </c>
      <c r="E138" s="1" t="s">
        <v>2077</v>
      </c>
      <c r="F138" s="1" t="s">
        <v>3137</v>
      </c>
      <c r="G138" s="1" t="s">
        <v>3119</v>
      </c>
      <c r="J138" s="1" t="s">
        <v>173</v>
      </c>
      <c r="K138" s="1" t="s">
        <v>3155</v>
      </c>
      <c r="L138" s="1" t="s">
        <v>3173</v>
      </c>
      <c r="M138" s="1" t="s">
        <v>3191</v>
      </c>
      <c r="R138" s="1" t="s">
        <v>898</v>
      </c>
    </row>
    <row r="139" spans="1:18" x14ac:dyDescent="0.2">
      <c r="A139" s="1" t="s">
        <v>53</v>
      </c>
      <c r="E139" s="1" t="s">
        <v>2078</v>
      </c>
      <c r="F139" s="1" t="s">
        <v>3138</v>
      </c>
      <c r="G139" s="1" t="s">
        <v>3120</v>
      </c>
      <c r="J139" s="1" t="s">
        <v>174</v>
      </c>
      <c r="K139" s="1" t="s">
        <v>3156</v>
      </c>
      <c r="L139" s="1" t="s">
        <v>3174</v>
      </c>
      <c r="M139" s="1" t="s">
        <v>3192</v>
      </c>
      <c r="R139" s="1" t="s">
        <v>899</v>
      </c>
    </row>
    <row r="140" spans="1:18" x14ac:dyDescent="0.2">
      <c r="A140" s="1" t="s">
        <v>1386</v>
      </c>
    </row>
    <row r="141" spans="1:18" x14ac:dyDescent="0.2">
      <c r="A141" s="1" t="s">
        <v>53</v>
      </c>
      <c r="C141" s="1" t="s">
        <v>1414</v>
      </c>
      <c r="D141" s="1" t="s">
        <v>1415</v>
      </c>
      <c r="F141" s="1" t="s">
        <v>10</v>
      </c>
      <c r="G141" s="1" t="s">
        <v>8</v>
      </c>
      <c r="H141" s="1" t="s">
        <v>1416</v>
      </c>
      <c r="I141" s="1" t="s">
        <v>1417</v>
      </c>
      <c r="J141" s="1" t="s">
        <v>1418</v>
      </c>
      <c r="N141" s="1" t="s">
        <v>1419</v>
      </c>
      <c r="O141" s="1" t="s">
        <v>5112</v>
      </c>
    </row>
    <row r="142" spans="1:18" x14ac:dyDescent="0.2">
      <c r="A142" s="1" t="s">
        <v>53</v>
      </c>
      <c r="E142" s="1" t="s">
        <v>1420</v>
      </c>
      <c r="F142" s="1" t="s">
        <v>3079</v>
      </c>
      <c r="G142" s="1" t="s">
        <v>3073</v>
      </c>
      <c r="J142" s="1" t="s">
        <v>175</v>
      </c>
      <c r="K142" s="1" t="s">
        <v>3085</v>
      </c>
      <c r="L142" s="1" t="s">
        <v>3091</v>
      </c>
      <c r="M142" s="1" t="s">
        <v>3097</v>
      </c>
      <c r="R142" s="1" t="s">
        <v>900</v>
      </c>
    </row>
    <row r="143" spans="1:18" x14ac:dyDescent="0.2">
      <c r="A143" s="1" t="s">
        <v>53</v>
      </c>
      <c r="E143" s="1" t="s">
        <v>2079</v>
      </c>
      <c r="F143" s="1" t="s">
        <v>3080</v>
      </c>
      <c r="G143" s="1" t="s">
        <v>3074</v>
      </c>
      <c r="J143" s="1" t="s">
        <v>176</v>
      </c>
      <c r="K143" s="1" t="s">
        <v>3086</v>
      </c>
      <c r="L143" s="1" t="s">
        <v>3092</v>
      </c>
      <c r="M143" s="1" t="s">
        <v>3098</v>
      </c>
      <c r="R143" s="1" t="s">
        <v>901</v>
      </c>
    </row>
    <row r="144" spans="1:18" x14ac:dyDescent="0.2">
      <c r="A144" s="1" t="s">
        <v>53</v>
      </c>
      <c r="E144" s="1" t="s">
        <v>2080</v>
      </c>
      <c r="F144" s="1" t="s">
        <v>3081</v>
      </c>
      <c r="G144" s="1" t="s">
        <v>3075</v>
      </c>
      <c r="J144" s="1" t="s">
        <v>177</v>
      </c>
      <c r="K144" s="1" t="s">
        <v>3087</v>
      </c>
      <c r="L144" s="1" t="s">
        <v>3093</v>
      </c>
      <c r="M144" s="1" t="s">
        <v>3099</v>
      </c>
      <c r="R144" s="1" t="s">
        <v>902</v>
      </c>
    </row>
    <row r="145" spans="1:18" x14ac:dyDescent="0.2">
      <c r="A145" s="1" t="s">
        <v>53</v>
      </c>
      <c r="E145" s="1" t="s">
        <v>2081</v>
      </c>
      <c r="F145" s="1" t="s">
        <v>3082</v>
      </c>
      <c r="G145" s="1" t="s">
        <v>3076</v>
      </c>
      <c r="J145" s="1" t="s">
        <v>178</v>
      </c>
      <c r="K145" s="1" t="s">
        <v>3088</v>
      </c>
      <c r="L145" s="1" t="s">
        <v>3094</v>
      </c>
      <c r="M145" s="1" t="s">
        <v>3100</v>
      </c>
      <c r="R145" s="1" t="s">
        <v>903</v>
      </c>
    </row>
    <row r="146" spans="1:18" x14ac:dyDescent="0.2">
      <c r="A146" s="1" t="s">
        <v>53</v>
      </c>
      <c r="E146" s="1" t="s">
        <v>2082</v>
      </c>
      <c r="F146" s="1" t="s">
        <v>3083</v>
      </c>
      <c r="G146" s="1" t="s">
        <v>3077</v>
      </c>
      <c r="J146" s="1" t="s">
        <v>179</v>
      </c>
      <c r="K146" s="1" t="s">
        <v>3089</v>
      </c>
      <c r="L146" s="1" t="s">
        <v>3095</v>
      </c>
      <c r="M146" s="1" t="s">
        <v>3101</v>
      </c>
      <c r="R146" s="1" t="s">
        <v>904</v>
      </c>
    </row>
    <row r="147" spans="1:18" x14ac:dyDescent="0.2">
      <c r="A147" s="1" t="s">
        <v>53</v>
      </c>
      <c r="E147" s="1" t="s">
        <v>2083</v>
      </c>
      <c r="F147" s="1" t="s">
        <v>3084</v>
      </c>
      <c r="G147" s="1" t="s">
        <v>3078</v>
      </c>
      <c r="J147" s="1" t="s">
        <v>180</v>
      </c>
      <c r="K147" s="1" t="s">
        <v>3090</v>
      </c>
      <c r="L147" s="1" t="s">
        <v>3096</v>
      </c>
      <c r="M147" s="1" t="s">
        <v>3102</v>
      </c>
      <c r="R147" s="1" t="s">
        <v>905</v>
      </c>
    </row>
    <row r="148" spans="1:18" x14ac:dyDescent="0.2">
      <c r="A148" s="1" t="s">
        <v>1386</v>
      </c>
    </row>
    <row r="149" spans="1:18" x14ac:dyDescent="0.2">
      <c r="A149" s="1" t="s">
        <v>53</v>
      </c>
      <c r="C149" s="1" t="s">
        <v>1421</v>
      </c>
      <c r="D149" s="1" t="s">
        <v>1422</v>
      </c>
      <c r="F149" s="1" t="s">
        <v>10</v>
      </c>
      <c r="G149" s="1" t="s">
        <v>8</v>
      </c>
      <c r="H149" s="1" t="s">
        <v>1423</v>
      </c>
      <c r="I149" s="1" t="s">
        <v>1424</v>
      </c>
      <c r="J149" s="1" t="s">
        <v>1425</v>
      </c>
      <c r="N149" s="1" t="s">
        <v>1426</v>
      </c>
      <c r="O149" s="1" t="s">
        <v>5113</v>
      </c>
    </row>
    <row r="150" spans="1:18" x14ac:dyDescent="0.2">
      <c r="A150" s="1" t="s">
        <v>53</v>
      </c>
      <c r="E150" s="1" t="s">
        <v>1427</v>
      </c>
      <c r="F150" s="1" t="s">
        <v>1428</v>
      </c>
      <c r="G150" s="1" t="s">
        <v>181</v>
      </c>
      <c r="J150" s="1" t="s">
        <v>183</v>
      </c>
      <c r="K150" s="1" t="s">
        <v>184</v>
      </c>
      <c r="L150" s="1" t="s">
        <v>182</v>
      </c>
      <c r="M150" s="1" t="s">
        <v>1429</v>
      </c>
      <c r="R150" s="1" t="s">
        <v>906</v>
      </c>
    </row>
    <row r="151" spans="1:18" x14ac:dyDescent="0.2">
      <c r="A151" s="1" t="s">
        <v>1386</v>
      </c>
    </row>
    <row r="152" spans="1:18" x14ac:dyDescent="0.2">
      <c r="A152" s="1" t="s">
        <v>53</v>
      </c>
      <c r="C152" s="1" t="s">
        <v>1430</v>
      </c>
      <c r="D152" s="1" t="s">
        <v>1431</v>
      </c>
      <c r="F152" s="1" t="s">
        <v>10</v>
      </c>
      <c r="G152" s="1" t="s">
        <v>8</v>
      </c>
      <c r="H152" s="1" t="s">
        <v>1432</v>
      </c>
      <c r="I152" s="1" t="s">
        <v>1433</v>
      </c>
      <c r="J152" s="1" t="s">
        <v>1434</v>
      </c>
      <c r="N152" s="1" t="s">
        <v>1435</v>
      </c>
      <c r="O152" s="1" t="s">
        <v>5114</v>
      </c>
    </row>
    <row r="153" spans="1:18" x14ac:dyDescent="0.2">
      <c r="A153" s="1" t="s">
        <v>53</v>
      </c>
      <c r="E153" s="1" t="s">
        <v>1436</v>
      </c>
      <c r="F153" s="1" t="s">
        <v>3025</v>
      </c>
      <c r="G153" s="1" t="s">
        <v>3013</v>
      </c>
      <c r="J153" s="1" t="s">
        <v>185</v>
      </c>
      <c r="K153" s="1" t="s">
        <v>3037</v>
      </c>
      <c r="L153" s="1" t="s">
        <v>3049</v>
      </c>
      <c r="M153" s="1" t="s">
        <v>3061</v>
      </c>
      <c r="R153" s="1" t="s">
        <v>907</v>
      </c>
    </row>
    <row r="154" spans="1:18" x14ac:dyDescent="0.2">
      <c r="A154" s="1" t="s">
        <v>53</v>
      </c>
      <c r="E154" s="1" t="s">
        <v>2084</v>
      </c>
      <c r="F154" s="1" t="s">
        <v>3026</v>
      </c>
      <c r="G154" s="1" t="s">
        <v>3014</v>
      </c>
      <c r="J154" s="1" t="s">
        <v>186</v>
      </c>
      <c r="K154" s="1" t="s">
        <v>3038</v>
      </c>
      <c r="L154" s="1" t="s">
        <v>3050</v>
      </c>
      <c r="M154" s="1" t="s">
        <v>3062</v>
      </c>
      <c r="R154" s="1" t="s">
        <v>908</v>
      </c>
    </row>
    <row r="155" spans="1:18" x14ac:dyDescent="0.2">
      <c r="A155" s="1" t="s">
        <v>53</v>
      </c>
      <c r="E155" s="1" t="s">
        <v>2085</v>
      </c>
      <c r="F155" s="1" t="s">
        <v>3027</v>
      </c>
      <c r="G155" s="1" t="s">
        <v>3015</v>
      </c>
      <c r="J155" s="1" t="s">
        <v>187</v>
      </c>
      <c r="K155" s="1" t="s">
        <v>3039</v>
      </c>
      <c r="L155" s="1" t="s">
        <v>3051</v>
      </c>
      <c r="M155" s="1" t="s">
        <v>3063</v>
      </c>
      <c r="R155" s="1" t="s">
        <v>909</v>
      </c>
    </row>
    <row r="156" spans="1:18" x14ac:dyDescent="0.2">
      <c r="A156" s="1" t="s">
        <v>53</v>
      </c>
      <c r="E156" s="1" t="s">
        <v>2086</v>
      </c>
      <c r="F156" s="1" t="s">
        <v>3028</v>
      </c>
      <c r="G156" s="1" t="s">
        <v>3016</v>
      </c>
      <c r="J156" s="1" t="s">
        <v>188</v>
      </c>
      <c r="K156" s="1" t="s">
        <v>3040</v>
      </c>
      <c r="L156" s="1" t="s">
        <v>3052</v>
      </c>
      <c r="M156" s="1" t="s">
        <v>3064</v>
      </c>
      <c r="R156" s="1" t="s">
        <v>910</v>
      </c>
    </row>
    <row r="157" spans="1:18" x14ac:dyDescent="0.2">
      <c r="A157" s="1" t="s">
        <v>53</v>
      </c>
      <c r="E157" s="1" t="s">
        <v>2087</v>
      </c>
      <c r="F157" s="1" t="s">
        <v>3029</v>
      </c>
      <c r="G157" s="1" t="s">
        <v>3017</v>
      </c>
      <c r="J157" s="1" t="s">
        <v>740</v>
      </c>
      <c r="K157" s="1" t="s">
        <v>3041</v>
      </c>
      <c r="L157" s="1" t="s">
        <v>3053</v>
      </c>
      <c r="M157" s="1" t="s">
        <v>3065</v>
      </c>
      <c r="R157" s="1" t="s">
        <v>911</v>
      </c>
    </row>
    <row r="158" spans="1:18" x14ac:dyDescent="0.2">
      <c r="A158" s="1" t="s">
        <v>53</v>
      </c>
      <c r="E158" s="1" t="s">
        <v>2088</v>
      </c>
      <c r="F158" s="1" t="s">
        <v>3030</v>
      </c>
      <c r="G158" s="1" t="s">
        <v>3018</v>
      </c>
      <c r="J158" s="1" t="s">
        <v>741</v>
      </c>
      <c r="K158" s="1" t="s">
        <v>3042</v>
      </c>
      <c r="L158" s="1" t="s">
        <v>3054</v>
      </c>
      <c r="M158" s="1" t="s">
        <v>3066</v>
      </c>
      <c r="R158" s="1" t="s">
        <v>912</v>
      </c>
    </row>
    <row r="159" spans="1:18" x14ac:dyDescent="0.2">
      <c r="A159" s="1" t="s">
        <v>53</v>
      </c>
      <c r="E159" s="1" t="s">
        <v>2089</v>
      </c>
      <c r="F159" s="1" t="s">
        <v>3031</v>
      </c>
      <c r="G159" s="1" t="s">
        <v>3019</v>
      </c>
      <c r="J159" s="1" t="s">
        <v>189</v>
      </c>
      <c r="K159" s="1" t="s">
        <v>3043</v>
      </c>
      <c r="L159" s="1" t="s">
        <v>3055</v>
      </c>
      <c r="M159" s="1" t="s">
        <v>3067</v>
      </c>
      <c r="R159" s="1" t="s">
        <v>913</v>
      </c>
    </row>
    <row r="160" spans="1:18" x14ac:dyDescent="0.2">
      <c r="A160" s="1" t="s">
        <v>53</v>
      </c>
      <c r="E160" s="1" t="s">
        <v>2090</v>
      </c>
      <c r="F160" s="1" t="s">
        <v>3032</v>
      </c>
      <c r="G160" s="1" t="s">
        <v>3020</v>
      </c>
      <c r="J160" s="1" t="s">
        <v>742</v>
      </c>
      <c r="K160" s="1" t="s">
        <v>3044</v>
      </c>
      <c r="L160" s="1" t="s">
        <v>3056</v>
      </c>
      <c r="M160" s="1" t="s">
        <v>3068</v>
      </c>
      <c r="R160" s="1" t="s">
        <v>914</v>
      </c>
    </row>
    <row r="161" spans="1:18" x14ac:dyDescent="0.2">
      <c r="A161" s="1" t="s">
        <v>53</v>
      </c>
      <c r="E161" s="1" t="s">
        <v>2091</v>
      </c>
      <c r="F161" s="1" t="s">
        <v>3033</v>
      </c>
      <c r="G161" s="1" t="s">
        <v>3021</v>
      </c>
      <c r="J161" s="1" t="s">
        <v>743</v>
      </c>
      <c r="K161" s="1" t="s">
        <v>3045</v>
      </c>
      <c r="L161" s="1" t="s">
        <v>3057</v>
      </c>
      <c r="M161" s="1" t="s">
        <v>3069</v>
      </c>
      <c r="R161" s="1" t="s">
        <v>915</v>
      </c>
    </row>
    <row r="162" spans="1:18" x14ac:dyDescent="0.2">
      <c r="A162" s="1" t="s">
        <v>53</v>
      </c>
      <c r="E162" s="1" t="s">
        <v>2092</v>
      </c>
      <c r="F162" s="1" t="s">
        <v>3034</v>
      </c>
      <c r="G162" s="1" t="s">
        <v>3022</v>
      </c>
      <c r="J162" s="1" t="s">
        <v>190</v>
      </c>
      <c r="K162" s="1" t="s">
        <v>3046</v>
      </c>
      <c r="L162" s="1" t="s">
        <v>3058</v>
      </c>
      <c r="M162" s="1" t="s">
        <v>3070</v>
      </c>
      <c r="R162" s="1" t="s">
        <v>916</v>
      </c>
    </row>
    <row r="163" spans="1:18" x14ac:dyDescent="0.2">
      <c r="A163" s="1" t="s">
        <v>53</v>
      </c>
      <c r="E163" s="1" t="s">
        <v>2093</v>
      </c>
      <c r="F163" s="1" t="s">
        <v>3035</v>
      </c>
      <c r="G163" s="1" t="s">
        <v>3023</v>
      </c>
      <c r="J163" s="1" t="s">
        <v>744</v>
      </c>
      <c r="K163" s="1" t="s">
        <v>3047</v>
      </c>
      <c r="L163" s="1" t="s">
        <v>3059</v>
      </c>
      <c r="M163" s="1" t="s">
        <v>3071</v>
      </c>
      <c r="R163" s="1" t="s">
        <v>917</v>
      </c>
    </row>
    <row r="164" spans="1:18" x14ac:dyDescent="0.2">
      <c r="A164" s="1" t="s">
        <v>53</v>
      </c>
      <c r="E164" s="1" t="s">
        <v>2094</v>
      </c>
      <c r="F164" s="1" t="s">
        <v>3036</v>
      </c>
      <c r="G164" s="1" t="s">
        <v>3024</v>
      </c>
      <c r="J164" s="1" t="s">
        <v>745</v>
      </c>
      <c r="K164" s="1" t="s">
        <v>3048</v>
      </c>
      <c r="L164" s="1" t="s">
        <v>3060</v>
      </c>
      <c r="M164" s="1" t="s">
        <v>3072</v>
      </c>
      <c r="R164" s="1" t="s">
        <v>918</v>
      </c>
    </row>
    <row r="165" spans="1:18" x14ac:dyDescent="0.2">
      <c r="A165" s="1" t="s">
        <v>1386</v>
      </c>
    </row>
    <row r="166" spans="1:18" x14ac:dyDescent="0.2">
      <c r="A166" s="1" t="s">
        <v>53</v>
      </c>
      <c r="C166" s="1" t="s">
        <v>1437</v>
      </c>
      <c r="D166" s="1" t="s">
        <v>1438</v>
      </c>
      <c r="F166" s="1" t="s">
        <v>10</v>
      </c>
      <c r="G166" s="1" t="s">
        <v>8</v>
      </c>
      <c r="H166" s="1" t="s">
        <v>1439</v>
      </c>
      <c r="I166" s="1" t="s">
        <v>1440</v>
      </c>
      <c r="J166" s="1" t="s">
        <v>1441</v>
      </c>
      <c r="N166" s="1" t="s">
        <v>1442</v>
      </c>
      <c r="O166" s="1" t="s">
        <v>5115</v>
      </c>
    </row>
    <row r="167" spans="1:18" x14ac:dyDescent="0.2">
      <c r="A167" s="1" t="s">
        <v>53</v>
      </c>
      <c r="E167" s="1" t="s">
        <v>1443</v>
      </c>
      <c r="F167" s="1" t="s">
        <v>2096</v>
      </c>
      <c r="G167" s="1" t="s">
        <v>2095</v>
      </c>
      <c r="J167" s="1" t="s">
        <v>746</v>
      </c>
      <c r="K167" s="1" t="s">
        <v>2097</v>
      </c>
      <c r="L167" s="1" t="s">
        <v>2098</v>
      </c>
      <c r="M167" s="1" t="s">
        <v>2099</v>
      </c>
      <c r="R167" s="1" t="s">
        <v>919</v>
      </c>
    </row>
    <row r="168" spans="1:18" x14ac:dyDescent="0.2">
      <c r="A168" s="1" t="s">
        <v>53</v>
      </c>
      <c r="E168" s="1" t="s">
        <v>2100</v>
      </c>
      <c r="F168" s="1" t="s">
        <v>2102</v>
      </c>
      <c r="G168" s="1" t="s">
        <v>2101</v>
      </c>
      <c r="J168" s="1" t="s">
        <v>191</v>
      </c>
      <c r="K168" s="1" t="s">
        <v>2103</v>
      </c>
      <c r="L168" s="1" t="s">
        <v>2104</v>
      </c>
      <c r="M168" s="1" t="s">
        <v>2105</v>
      </c>
      <c r="R168" s="1" t="s">
        <v>920</v>
      </c>
    </row>
    <row r="169" spans="1:18" x14ac:dyDescent="0.2">
      <c r="A169" s="1" t="s">
        <v>1386</v>
      </c>
    </row>
    <row r="170" spans="1:18" x14ac:dyDescent="0.2">
      <c r="A170" s="1" t="s">
        <v>53</v>
      </c>
      <c r="C170" s="1" t="s">
        <v>1444</v>
      </c>
      <c r="D170" s="1" t="s">
        <v>1445</v>
      </c>
      <c r="F170" s="1" t="s">
        <v>10</v>
      </c>
      <c r="G170" s="1" t="s">
        <v>8</v>
      </c>
      <c r="H170" s="1" t="s">
        <v>1446</v>
      </c>
      <c r="I170" s="1" t="s">
        <v>1447</v>
      </c>
      <c r="J170" s="1" t="s">
        <v>1448</v>
      </c>
      <c r="N170" s="1" t="s">
        <v>1449</v>
      </c>
      <c r="O170" s="1" t="s">
        <v>5116</v>
      </c>
    </row>
    <row r="171" spans="1:18" x14ac:dyDescent="0.2">
      <c r="A171" s="1" t="s">
        <v>53</v>
      </c>
      <c r="E171" s="1" t="s">
        <v>1450</v>
      </c>
      <c r="F171" s="1" t="s">
        <v>1451</v>
      </c>
      <c r="G171" s="1" t="s">
        <v>192</v>
      </c>
      <c r="J171" s="1" t="s">
        <v>194</v>
      </c>
      <c r="K171" s="1" t="s">
        <v>195</v>
      </c>
      <c r="L171" s="1" t="s">
        <v>193</v>
      </c>
      <c r="M171" s="1" t="s">
        <v>1452</v>
      </c>
      <c r="R171" s="1" t="s">
        <v>921</v>
      </c>
    </row>
    <row r="172" spans="1:18" x14ac:dyDescent="0.2">
      <c r="A172" s="1" t="s">
        <v>1386</v>
      </c>
    </row>
    <row r="173" spans="1:18" x14ac:dyDescent="0.2">
      <c r="A173" s="1" t="s">
        <v>53</v>
      </c>
      <c r="C173" s="1" t="s">
        <v>1453</v>
      </c>
      <c r="D173" s="1" t="s">
        <v>1454</v>
      </c>
      <c r="F173" s="1" t="s">
        <v>10</v>
      </c>
      <c r="G173" s="1" t="s">
        <v>8</v>
      </c>
      <c r="H173" s="1" t="s">
        <v>1455</v>
      </c>
      <c r="I173" s="1" t="s">
        <v>1456</v>
      </c>
      <c r="J173" s="1" t="s">
        <v>1457</v>
      </c>
      <c r="N173" s="1" t="s">
        <v>1458</v>
      </c>
      <c r="O173" s="1" t="s">
        <v>5117</v>
      </c>
    </row>
    <row r="174" spans="1:18" x14ac:dyDescent="0.2">
      <c r="A174" s="1" t="s">
        <v>53</v>
      </c>
      <c r="E174" s="1" t="s">
        <v>1459</v>
      </c>
      <c r="F174" s="1" t="s">
        <v>1460</v>
      </c>
      <c r="G174" s="1" t="s">
        <v>196</v>
      </c>
      <c r="J174" s="1" t="s">
        <v>198</v>
      </c>
      <c r="K174" s="1" t="s">
        <v>199</v>
      </c>
      <c r="L174" s="1" t="s">
        <v>197</v>
      </c>
      <c r="M174" s="1" t="s">
        <v>1461</v>
      </c>
      <c r="R174" s="1" t="s">
        <v>922</v>
      </c>
    </row>
    <row r="175" spans="1:18" x14ac:dyDescent="0.2">
      <c r="A175" s="1" t="s">
        <v>1386</v>
      </c>
    </row>
    <row r="176" spans="1:18" x14ac:dyDescent="0.2">
      <c r="A176" s="1" t="s">
        <v>53</v>
      </c>
      <c r="C176" s="1" t="s">
        <v>1462</v>
      </c>
      <c r="D176" s="1" t="s">
        <v>1463</v>
      </c>
      <c r="F176" s="1" t="s">
        <v>10</v>
      </c>
      <c r="G176" s="1" t="s">
        <v>8</v>
      </c>
      <c r="H176" s="1" t="s">
        <v>1464</v>
      </c>
      <c r="I176" s="1" t="s">
        <v>1465</v>
      </c>
      <c r="J176" s="1" t="s">
        <v>1466</v>
      </c>
      <c r="N176" s="1" t="s">
        <v>1467</v>
      </c>
      <c r="O176" s="1" t="s">
        <v>5118</v>
      </c>
    </row>
    <row r="177" spans="1:18" x14ac:dyDescent="0.2">
      <c r="A177" s="1" t="s">
        <v>53</v>
      </c>
      <c r="E177" s="1" t="s">
        <v>1468</v>
      </c>
      <c r="F177" s="1" t="s">
        <v>2107</v>
      </c>
      <c r="G177" s="1" t="s">
        <v>2106</v>
      </c>
      <c r="J177" s="1" t="s">
        <v>200</v>
      </c>
      <c r="K177" s="1" t="s">
        <v>2108</v>
      </c>
      <c r="L177" s="1" t="s">
        <v>2109</v>
      </c>
      <c r="M177" s="1" t="s">
        <v>2110</v>
      </c>
      <c r="R177" s="1" t="s">
        <v>923</v>
      </c>
    </row>
    <row r="178" spans="1:18" x14ac:dyDescent="0.2">
      <c r="A178" s="1" t="s">
        <v>1386</v>
      </c>
    </row>
    <row r="179" spans="1:18" x14ac:dyDescent="0.2">
      <c r="A179" s="1" t="s">
        <v>53</v>
      </c>
      <c r="C179" s="1" t="s">
        <v>1469</v>
      </c>
      <c r="D179" s="1" t="s">
        <v>1470</v>
      </c>
      <c r="F179" s="1" t="s">
        <v>10</v>
      </c>
      <c r="G179" s="1" t="s">
        <v>8</v>
      </c>
      <c r="H179" s="1" t="s">
        <v>1471</v>
      </c>
      <c r="I179" s="1" t="s">
        <v>1472</v>
      </c>
      <c r="J179" s="1" t="s">
        <v>1473</v>
      </c>
      <c r="N179" s="1" t="s">
        <v>1474</v>
      </c>
      <c r="O179" s="1" t="s">
        <v>5119</v>
      </c>
    </row>
    <row r="180" spans="1:18" x14ac:dyDescent="0.2">
      <c r="A180" s="1" t="s">
        <v>53</v>
      </c>
      <c r="E180" s="1" t="s">
        <v>1475</v>
      </c>
      <c r="F180" s="1" t="s">
        <v>2112</v>
      </c>
      <c r="G180" s="1" t="s">
        <v>2111</v>
      </c>
      <c r="J180" s="1" t="s">
        <v>201</v>
      </c>
      <c r="K180" s="1" t="s">
        <v>2113</v>
      </c>
      <c r="L180" s="1" t="s">
        <v>2114</v>
      </c>
      <c r="M180" s="1" t="s">
        <v>2115</v>
      </c>
      <c r="R180" s="1" t="s">
        <v>924</v>
      </c>
    </row>
    <row r="181" spans="1:18" x14ac:dyDescent="0.2">
      <c r="A181" s="1" t="s">
        <v>1386</v>
      </c>
    </row>
    <row r="182" spans="1:18" x14ac:dyDescent="0.2">
      <c r="A182" s="1" t="s">
        <v>53</v>
      </c>
      <c r="C182" s="1" t="s">
        <v>1476</v>
      </c>
      <c r="D182" s="1" t="s">
        <v>1477</v>
      </c>
      <c r="F182" s="1" t="s">
        <v>10</v>
      </c>
      <c r="G182" s="1" t="s">
        <v>8</v>
      </c>
      <c r="H182" s="1" t="s">
        <v>1478</v>
      </c>
      <c r="I182" s="1" t="s">
        <v>1479</v>
      </c>
      <c r="J182" s="1" t="s">
        <v>1480</v>
      </c>
      <c r="N182" s="1" t="s">
        <v>1481</v>
      </c>
      <c r="O182" s="1" t="s">
        <v>5120</v>
      </c>
    </row>
    <row r="183" spans="1:18" x14ac:dyDescent="0.2">
      <c r="A183" s="1" t="s">
        <v>53</v>
      </c>
      <c r="E183" s="1" t="s">
        <v>1482</v>
      </c>
      <c r="F183" s="1" t="s">
        <v>2117</v>
      </c>
      <c r="G183" s="1" t="s">
        <v>2116</v>
      </c>
      <c r="J183" s="1" t="s">
        <v>202</v>
      </c>
      <c r="K183" s="1" t="s">
        <v>2118</v>
      </c>
      <c r="L183" s="1" t="s">
        <v>2119</v>
      </c>
      <c r="M183" s="1" t="s">
        <v>2120</v>
      </c>
      <c r="R183" s="1" t="s">
        <v>925</v>
      </c>
    </row>
    <row r="184" spans="1:18" x14ac:dyDescent="0.2">
      <c r="A184" s="1" t="s">
        <v>53</v>
      </c>
      <c r="E184" s="1" t="s">
        <v>2121</v>
      </c>
      <c r="F184" s="1" t="s">
        <v>2123</v>
      </c>
      <c r="G184" s="1" t="s">
        <v>2122</v>
      </c>
      <c r="J184" s="1" t="s">
        <v>203</v>
      </c>
      <c r="K184" s="1" t="s">
        <v>2124</v>
      </c>
      <c r="L184" s="1" t="s">
        <v>2125</v>
      </c>
      <c r="M184" s="1" t="s">
        <v>2126</v>
      </c>
      <c r="R184" s="1" t="s">
        <v>926</v>
      </c>
    </row>
    <row r="185" spans="1:18" x14ac:dyDescent="0.2">
      <c r="A185" s="1" t="s">
        <v>1386</v>
      </c>
    </row>
    <row r="186" spans="1:18" x14ac:dyDescent="0.2">
      <c r="A186" s="1" t="s">
        <v>53</v>
      </c>
      <c r="C186" s="1" t="s">
        <v>1483</v>
      </c>
      <c r="D186" s="1" t="s">
        <v>1484</v>
      </c>
      <c r="F186" s="1" t="s">
        <v>10</v>
      </c>
      <c r="G186" s="1" t="s">
        <v>8</v>
      </c>
      <c r="H186" s="1" t="s">
        <v>1485</v>
      </c>
      <c r="I186" s="1" t="s">
        <v>1486</v>
      </c>
      <c r="J186" s="1" t="s">
        <v>1487</v>
      </c>
      <c r="N186" s="1" t="s">
        <v>1488</v>
      </c>
      <c r="O186" s="1" t="s">
        <v>5121</v>
      </c>
    </row>
    <row r="187" spans="1:18" x14ac:dyDescent="0.2">
      <c r="A187" s="1" t="s">
        <v>53</v>
      </c>
      <c r="E187" s="1" t="s">
        <v>1489</v>
      </c>
      <c r="F187" s="1" t="s">
        <v>1490</v>
      </c>
      <c r="G187" s="1" t="s">
        <v>204</v>
      </c>
      <c r="J187" s="1" t="s">
        <v>206</v>
      </c>
      <c r="K187" s="1" t="s">
        <v>207</v>
      </c>
      <c r="L187" s="1" t="s">
        <v>205</v>
      </c>
      <c r="M187" s="1" t="s">
        <v>1491</v>
      </c>
      <c r="R187" s="1" t="s">
        <v>927</v>
      </c>
    </row>
    <row r="188" spans="1:18" x14ac:dyDescent="0.2">
      <c r="A188" s="1" t="s">
        <v>1386</v>
      </c>
    </row>
    <row r="189" spans="1:18" x14ac:dyDescent="0.2">
      <c r="A189" s="1" t="s">
        <v>53</v>
      </c>
      <c r="C189" s="1" t="s">
        <v>1492</v>
      </c>
      <c r="D189" s="1" t="s">
        <v>1493</v>
      </c>
      <c r="F189" s="1" t="s">
        <v>10</v>
      </c>
      <c r="G189" s="1" t="s">
        <v>8</v>
      </c>
      <c r="H189" s="1" t="s">
        <v>1494</v>
      </c>
      <c r="I189" s="1" t="s">
        <v>1495</v>
      </c>
      <c r="J189" s="1" t="s">
        <v>1496</v>
      </c>
      <c r="N189" s="1" t="s">
        <v>1497</v>
      </c>
      <c r="O189" s="1" t="s">
        <v>5122</v>
      </c>
    </row>
    <row r="190" spans="1:18" x14ac:dyDescent="0.2">
      <c r="A190" s="1" t="s">
        <v>53</v>
      </c>
      <c r="E190" s="1" t="s">
        <v>1498</v>
      </c>
      <c r="F190" s="1" t="s">
        <v>2128</v>
      </c>
      <c r="G190" s="1" t="s">
        <v>2127</v>
      </c>
      <c r="J190" s="1" t="s">
        <v>208</v>
      </c>
      <c r="K190" s="1" t="s">
        <v>2129</v>
      </c>
      <c r="L190" s="1" t="s">
        <v>2130</v>
      </c>
      <c r="M190" s="1" t="s">
        <v>2131</v>
      </c>
      <c r="R190" s="1" t="s">
        <v>928</v>
      </c>
    </row>
    <row r="191" spans="1:18" x14ac:dyDescent="0.2">
      <c r="A191" s="1" t="s">
        <v>1386</v>
      </c>
    </row>
    <row r="192" spans="1:18" x14ac:dyDescent="0.2">
      <c r="A192" s="1" t="s">
        <v>53</v>
      </c>
      <c r="C192" s="1" t="s">
        <v>1499</v>
      </c>
      <c r="D192" s="1" t="s">
        <v>1500</v>
      </c>
      <c r="F192" s="1" t="s">
        <v>10</v>
      </c>
      <c r="G192" s="1" t="s">
        <v>8</v>
      </c>
      <c r="H192" s="1" t="s">
        <v>1501</v>
      </c>
      <c r="I192" s="1" t="s">
        <v>1502</v>
      </c>
      <c r="J192" s="1" t="s">
        <v>1503</v>
      </c>
      <c r="N192" s="1" t="s">
        <v>1504</v>
      </c>
      <c r="O192" s="1" t="s">
        <v>5123</v>
      </c>
    </row>
    <row r="193" spans="1:18" x14ac:dyDescent="0.2">
      <c r="A193" s="1" t="s">
        <v>53</v>
      </c>
      <c r="E193" s="1" t="s">
        <v>1505</v>
      </c>
      <c r="F193" s="1" t="s">
        <v>2133</v>
      </c>
      <c r="G193" s="1" t="s">
        <v>2132</v>
      </c>
      <c r="J193" s="1" t="s">
        <v>209</v>
      </c>
      <c r="K193" s="1" t="s">
        <v>2134</v>
      </c>
      <c r="L193" s="1" t="s">
        <v>2135</v>
      </c>
      <c r="M193" s="1" t="s">
        <v>2136</v>
      </c>
      <c r="R193" s="1" t="s">
        <v>929</v>
      </c>
    </row>
    <row r="194" spans="1:18" x14ac:dyDescent="0.2">
      <c r="A194" s="1" t="s">
        <v>1386</v>
      </c>
    </row>
    <row r="195" spans="1:18" x14ac:dyDescent="0.2">
      <c r="A195" s="1" t="s">
        <v>53</v>
      </c>
      <c r="C195" s="1" t="s">
        <v>1506</v>
      </c>
      <c r="D195" s="1" t="s">
        <v>1507</v>
      </c>
      <c r="F195" s="1" t="s">
        <v>10</v>
      </c>
      <c r="G195" s="1" t="s">
        <v>8</v>
      </c>
      <c r="H195" s="1" t="s">
        <v>1508</v>
      </c>
      <c r="I195" s="1" t="s">
        <v>1509</v>
      </c>
      <c r="J195" s="1" t="s">
        <v>1510</v>
      </c>
      <c r="N195" s="1" t="s">
        <v>1511</v>
      </c>
      <c r="O195" s="1" t="s">
        <v>5124</v>
      </c>
    </row>
    <row r="196" spans="1:18" x14ac:dyDescent="0.2">
      <c r="A196" s="1" t="s">
        <v>53</v>
      </c>
      <c r="E196" s="1" t="s">
        <v>1512</v>
      </c>
      <c r="F196" s="1" t="s">
        <v>2941</v>
      </c>
      <c r="G196" s="1" t="s">
        <v>2923</v>
      </c>
      <c r="J196" s="1" t="s">
        <v>210</v>
      </c>
      <c r="K196" s="1" t="s">
        <v>2959</v>
      </c>
      <c r="L196" s="1" t="s">
        <v>2977</v>
      </c>
      <c r="M196" s="1" t="s">
        <v>2995</v>
      </c>
      <c r="R196" s="1" t="s">
        <v>930</v>
      </c>
    </row>
    <row r="197" spans="1:18" x14ac:dyDescent="0.2">
      <c r="A197" s="1" t="s">
        <v>53</v>
      </c>
      <c r="E197" s="1" t="s">
        <v>2137</v>
      </c>
      <c r="F197" s="1" t="s">
        <v>2942</v>
      </c>
      <c r="G197" s="1" t="s">
        <v>2924</v>
      </c>
      <c r="J197" s="1" t="s">
        <v>211</v>
      </c>
      <c r="K197" s="1" t="s">
        <v>2960</v>
      </c>
      <c r="L197" s="1" t="s">
        <v>2978</v>
      </c>
      <c r="M197" s="1" t="s">
        <v>2996</v>
      </c>
      <c r="R197" s="1" t="s">
        <v>931</v>
      </c>
    </row>
    <row r="198" spans="1:18" x14ac:dyDescent="0.2">
      <c r="A198" s="1" t="s">
        <v>53</v>
      </c>
      <c r="E198" s="1" t="s">
        <v>2138</v>
      </c>
      <c r="F198" s="1" t="s">
        <v>2943</v>
      </c>
      <c r="G198" s="1" t="s">
        <v>2925</v>
      </c>
      <c r="J198" s="1" t="s">
        <v>212</v>
      </c>
      <c r="K198" s="1" t="s">
        <v>2961</v>
      </c>
      <c r="L198" s="1" t="s">
        <v>2979</v>
      </c>
      <c r="M198" s="1" t="s">
        <v>2997</v>
      </c>
      <c r="R198" s="1" t="s">
        <v>932</v>
      </c>
    </row>
    <row r="199" spans="1:18" x14ac:dyDescent="0.2">
      <c r="A199" s="1" t="s">
        <v>53</v>
      </c>
      <c r="E199" s="1" t="s">
        <v>2139</v>
      </c>
      <c r="F199" s="1" t="s">
        <v>2944</v>
      </c>
      <c r="G199" s="1" t="s">
        <v>2926</v>
      </c>
      <c r="J199" s="1" t="s">
        <v>213</v>
      </c>
      <c r="K199" s="1" t="s">
        <v>2962</v>
      </c>
      <c r="L199" s="1" t="s">
        <v>2980</v>
      </c>
      <c r="M199" s="1" t="s">
        <v>2998</v>
      </c>
      <c r="R199" s="1" t="s">
        <v>933</v>
      </c>
    </row>
    <row r="200" spans="1:18" x14ac:dyDescent="0.2">
      <c r="A200" s="1" t="s">
        <v>53</v>
      </c>
      <c r="E200" s="1" t="s">
        <v>2140</v>
      </c>
      <c r="F200" s="1" t="s">
        <v>2945</v>
      </c>
      <c r="G200" s="1" t="s">
        <v>2927</v>
      </c>
      <c r="J200" s="1" t="s">
        <v>214</v>
      </c>
      <c r="K200" s="1" t="s">
        <v>2963</v>
      </c>
      <c r="L200" s="1" t="s">
        <v>2981</v>
      </c>
      <c r="M200" s="1" t="s">
        <v>2999</v>
      </c>
      <c r="R200" s="1" t="s">
        <v>934</v>
      </c>
    </row>
    <row r="201" spans="1:18" x14ac:dyDescent="0.2">
      <c r="A201" s="1" t="s">
        <v>53</v>
      </c>
      <c r="E201" s="1" t="s">
        <v>2141</v>
      </c>
      <c r="F201" s="1" t="s">
        <v>2946</v>
      </c>
      <c r="G201" s="1" t="s">
        <v>2928</v>
      </c>
      <c r="J201" s="1" t="s">
        <v>215</v>
      </c>
      <c r="K201" s="1" t="s">
        <v>2964</v>
      </c>
      <c r="L201" s="1" t="s">
        <v>2982</v>
      </c>
      <c r="M201" s="1" t="s">
        <v>3000</v>
      </c>
      <c r="R201" s="1" t="s">
        <v>935</v>
      </c>
    </row>
    <row r="202" spans="1:18" x14ac:dyDescent="0.2">
      <c r="A202" s="1" t="s">
        <v>53</v>
      </c>
      <c r="E202" s="1" t="s">
        <v>2142</v>
      </c>
      <c r="F202" s="1" t="s">
        <v>2947</v>
      </c>
      <c r="G202" s="1" t="s">
        <v>2929</v>
      </c>
      <c r="J202" s="1" t="s">
        <v>216</v>
      </c>
      <c r="K202" s="1" t="s">
        <v>2965</v>
      </c>
      <c r="L202" s="1" t="s">
        <v>2983</v>
      </c>
      <c r="M202" s="1" t="s">
        <v>3001</v>
      </c>
      <c r="R202" s="1" t="s">
        <v>936</v>
      </c>
    </row>
    <row r="203" spans="1:18" x14ac:dyDescent="0.2">
      <c r="A203" s="1" t="s">
        <v>53</v>
      </c>
      <c r="E203" s="1" t="s">
        <v>2143</v>
      </c>
      <c r="F203" s="1" t="s">
        <v>2948</v>
      </c>
      <c r="G203" s="1" t="s">
        <v>2930</v>
      </c>
      <c r="J203" s="1" t="s">
        <v>217</v>
      </c>
      <c r="K203" s="1" t="s">
        <v>2966</v>
      </c>
      <c r="L203" s="1" t="s">
        <v>2984</v>
      </c>
      <c r="M203" s="1" t="s">
        <v>3002</v>
      </c>
      <c r="R203" s="1" t="s">
        <v>937</v>
      </c>
    </row>
    <row r="204" spans="1:18" x14ac:dyDescent="0.2">
      <c r="A204" s="1" t="s">
        <v>53</v>
      </c>
      <c r="E204" s="1" t="s">
        <v>2144</v>
      </c>
      <c r="F204" s="1" t="s">
        <v>2949</v>
      </c>
      <c r="G204" s="1" t="s">
        <v>2931</v>
      </c>
      <c r="J204" s="1" t="s">
        <v>218</v>
      </c>
      <c r="K204" s="1" t="s">
        <v>2967</v>
      </c>
      <c r="L204" s="1" t="s">
        <v>2985</v>
      </c>
      <c r="M204" s="1" t="s">
        <v>3003</v>
      </c>
      <c r="R204" s="1" t="s">
        <v>938</v>
      </c>
    </row>
    <row r="205" spans="1:18" x14ac:dyDescent="0.2">
      <c r="A205" s="1" t="s">
        <v>53</v>
      </c>
      <c r="E205" s="1" t="s">
        <v>2145</v>
      </c>
      <c r="F205" s="1" t="s">
        <v>2950</v>
      </c>
      <c r="G205" s="1" t="s">
        <v>2932</v>
      </c>
      <c r="J205" s="1" t="s">
        <v>219</v>
      </c>
      <c r="K205" s="1" t="s">
        <v>2968</v>
      </c>
      <c r="L205" s="1" t="s">
        <v>2986</v>
      </c>
      <c r="M205" s="1" t="s">
        <v>3004</v>
      </c>
      <c r="R205" s="1" t="s">
        <v>939</v>
      </c>
    </row>
    <row r="206" spans="1:18" x14ac:dyDescent="0.2">
      <c r="A206" s="1" t="s">
        <v>53</v>
      </c>
      <c r="E206" s="1" t="s">
        <v>2146</v>
      </c>
      <c r="F206" s="1" t="s">
        <v>2951</v>
      </c>
      <c r="G206" s="1" t="s">
        <v>2933</v>
      </c>
      <c r="J206" s="1" t="s">
        <v>220</v>
      </c>
      <c r="K206" s="1" t="s">
        <v>2969</v>
      </c>
      <c r="L206" s="1" t="s">
        <v>2987</v>
      </c>
      <c r="M206" s="1" t="s">
        <v>3005</v>
      </c>
      <c r="R206" s="1" t="s">
        <v>940</v>
      </c>
    </row>
    <row r="207" spans="1:18" x14ac:dyDescent="0.2">
      <c r="A207" s="1" t="s">
        <v>53</v>
      </c>
      <c r="E207" s="1" t="s">
        <v>2147</v>
      </c>
      <c r="F207" s="1" t="s">
        <v>2952</v>
      </c>
      <c r="G207" s="1" t="s">
        <v>2934</v>
      </c>
      <c r="J207" s="1" t="s">
        <v>221</v>
      </c>
      <c r="K207" s="1" t="s">
        <v>2970</v>
      </c>
      <c r="L207" s="1" t="s">
        <v>2988</v>
      </c>
      <c r="M207" s="1" t="s">
        <v>3006</v>
      </c>
      <c r="R207" s="1" t="s">
        <v>941</v>
      </c>
    </row>
    <row r="208" spans="1:18" x14ac:dyDescent="0.2">
      <c r="A208" s="1" t="s">
        <v>53</v>
      </c>
      <c r="E208" s="1" t="s">
        <v>2148</v>
      </c>
      <c r="F208" s="1" t="s">
        <v>2953</v>
      </c>
      <c r="G208" s="1" t="s">
        <v>2935</v>
      </c>
      <c r="J208" s="1" t="s">
        <v>222</v>
      </c>
      <c r="K208" s="1" t="s">
        <v>2971</v>
      </c>
      <c r="L208" s="1" t="s">
        <v>2989</v>
      </c>
      <c r="M208" s="1" t="s">
        <v>3007</v>
      </c>
      <c r="R208" s="1" t="s">
        <v>942</v>
      </c>
    </row>
    <row r="209" spans="1:18" x14ac:dyDescent="0.2">
      <c r="A209" s="1" t="s">
        <v>53</v>
      </c>
      <c r="E209" s="1" t="s">
        <v>2149</v>
      </c>
      <c r="F209" s="1" t="s">
        <v>2954</v>
      </c>
      <c r="G209" s="1" t="s">
        <v>2936</v>
      </c>
      <c r="J209" s="1" t="s">
        <v>223</v>
      </c>
      <c r="K209" s="1" t="s">
        <v>2972</v>
      </c>
      <c r="L209" s="1" t="s">
        <v>2990</v>
      </c>
      <c r="M209" s="1" t="s">
        <v>3008</v>
      </c>
      <c r="R209" s="1" t="s">
        <v>943</v>
      </c>
    </row>
    <row r="210" spans="1:18" x14ac:dyDescent="0.2">
      <c r="A210" s="1" t="s">
        <v>53</v>
      </c>
      <c r="E210" s="1" t="s">
        <v>2150</v>
      </c>
      <c r="F210" s="1" t="s">
        <v>2955</v>
      </c>
      <c r="G210" s="1" t="s">
        <v>2937</v>
      </c>
      <c r="J210" s="1" t="s">
        <v>224</v>
      </c>
      <c r="K210" s="1" t="s">
        <v>2973</v>
      </c>
      <c r="L210" s="1" t="s">
        <v>2991</v>
      </c>
      <c r="M210" s="1" t="s">
        <v>3009</v>
      </c>
      <c r="R210" s="1" t="s">
        <v>944</v>
      </c>
    </row>
    <row r="211" spans="1:18" x14ac:dyDescent="0.2">
      <c r="A211" s="1" t="s">
        <v>53</v>
      </c>
      <c r="E211" s="1" t="s">
        <v>2151</v>
      </c>
      <c r="F211" s="1" t="s">
        <v>2956</v>
      </c>
      <c r="G211" s="1" t="s">
        <v>2938</v>
      </c>
      <c r="J211" s="1" t="s">
        <v>225</v>
      </c>
      <c r="K211" s="1" t="s">
        <v>2974</v>
      </c>
      <c r="L211" s="1" t="s">
        <v>2992</v>
      </c>
      <c r="M211" s="1" t="s">
        <v>3010</v>
      </c>
      <c r="R211" s="1" t="s">
        <v>945</v>
      </c>
    </row>
    <row r="212" spans="1:18" x14ac:dyDescent="0.2">
      <c r="A212" s="1" t="s">
        <v>53</v>
      </c>
      <c r="E212" s="1" t="s">
        <v>2152</v>
      </c>
      <c r="F212" s="1" t="s">
        <v>2957</v>
      </c>
      <c r="G212" s="1" t="s">
        <v>2939</v>
      </c>
      <c r="J212" s="1" t="s">
        <v>226</v>
      </c>
      <c r="K212" s="1" t="s">
        <v>2975</v>
      </c>
      <c r="L212" s="1" t="s">
        <v>2993</v>
      </c>
      <c r="M212" s="1" t="s">
        <v>3011</v>
      </c>
      <c r="R212" s="1" t="s">
        <v>946</v>
      </c>
    </row>
    <row r="213" spans="1:18" x14ac:dyDescent="0.2">
      <c r="A213" s="1" t="s">
        <v>53</v>
      </c>
      <c r="E213" s="1" t="s">
        <v>2153</v>
      </c>
      <c r="F213" s="1" t="s">
        <v>2958</v>
      </c>
      <c r="G213" s="1" t="s">
        <v>2940</v>
      </c>
      <c r="J213" s="1" t="s">
        <v>227</v>
      </c>
      <c r="K213" s="1" t="s">
        <v>2976</v>
      </c>
      <c r="L213" s="1" t="s">
        <v>2994</v>
      </c>
      <c r="M213" s="1" t="s">
        <v>3012</v>
      </c>
      <c r="R213" s="1" t="s">
        <v>947</v>
      </c>
    </row>
    <row r="214" spans="1:18" x14ac:dyDescent="0.2">
      <c r="A214" s="1" t="s">
        <v>1386</v>
      </c>
    </row>
    <row r="215" spans="1:18" x14ac:dyDescent="0.2">
      <c r="A215" s="1" t="s">
        <v>53</v>
      </c>
      <c r="C215" s="1" t="s">
        <v>1513</v>
      </c>
      <c r="D215" s="1" t="s">
        <v>1514</v>
      </c>
      <c r="F215" s="1" t="s">
        <v>10</v>
      </c>
      <c r="G215" s="1" t="s">
        <v>8</v>
      </c>
      <c r="H215" s="1" t="s">
        <v>1515</v>
      </c>
      <c r="I215" s="1" t="s">
        <v>1516</v>
      </c>
      <c r="J215" s="1" t="s">
        <v>1517</v>
      </c>
      <c r="N215" s="1" t="s">
        <v>1518</v>
      </c>
      <c r="O215" s="1" t="s">
        <v>5125</v>
      </c>
    </row>
    <row r="216" spans="1:18" x14ac:dyDescent="0.2">
      <c r="A216" s="1" t="s">
        <v>53</v>
      </c>
      <c r="E216" s="1" t="s">
        <v>1519</v>
      </c>
      <c r="F216" s="1" t="s">
        <v>1520</v>
      </c>
      <c r="G216" s="1" t="s">
        <v>228</v>
      </c>
      <c r="J216" s="1" t="s">
        <v>230</v>
      </c>
      <c r="K216" s="1" t="s">
        <v>231</v>
      </c>
      <c r="L216" s="1" t="s">
        <v>229</v>
      </c>
      <c r="M216" s="1" t="s">
        <v>1521</v>
      </c>
      <c r="R216" s="1" t="s">
        <v>948</v>
      </c>
    </row>
    <row r="217" spans="1:18" x14ac:dyDescent="0.2">
      <c r="A217" s="1" t="s">
        <v>1386</v>
      </c>
    </row>
    <row r="218" spans="1:18" x14ac:dyDescent="0.2">
      <c r="A218" s="1" t="s">
        <v>53</v>
      </c>
      <c r="C218" s="1" t="s">
        <v>1522</v>
      </c>
      <c r="D218" s="1" t="s">
        <v>1523</v>
      </c>
      <c r="F218" s="1" t="s">
        <v>10</v>
      </c>
      <c r="G218" s="1" t="s">
        <v>8</v>
      </c>
      <c r="H218" s="1" t="s">
        <v>1524</v>
      </c>
      <c r="I218" s="1" t="s">
        <v>1525</v>
      </c>
      <c r="J218" s="1" t="s">
        <v>1526</v>
      </c>
      <c r="N218" s="1" t="s">
        <v>1527</v>
      </c>
      <c r="O218" s="1" t="s">
        <v>5126</v>
      </c>
    </row>
    <row r="219" spans="1:18" x14ac:dyDescent="0.2">
      <c r="A219" s="1" t="s">
        <v>53</v>
      </c>
      <c r="E219" s="1" t="s">
        <v>1528</v>
      </c>
      <c r="F219" s="1" t="s">
        <v>2155</v>
      </c>
      <c r="G219" s="1" t="s">
        <v>2154</v>
      </c>
      <c r="J219" s="1" t="s">
        <v>232</v>
      </c>
      <c r="K219" s="1" t="s">
        <v>2156</v>
      </c>
      <c r="L219" s="1" t="s">
        <v>2157</v>
      </c>
      <c r="M219" s="1" t="s">
        <v>2158</v>
      </c>
      <c r="R219" s="1" t="s">
        <v>949</v>
      </c>
    </row>
    <row r="220" spans="1:18" x14ac:dyDescent="0.2">
      <c r="A220" s="1" t="s">
        <v>1386</v>
      </c>
    </row>
    <row r="221" spans="1:18" x14ac:dyDescent="0.2">
      <c r="A221" s="1" t="s">
        <v>53</v>
      </c>
      <c r="C221" s="1" t="s">
        <v>1529</v>
      </c>
      <c r="D221" s="1" t="s">
        <v>1530</v>
      </c>
      <c r="F221" s="1" t="s">
        <v>10</v>
      </c>
      <c r="G221" s="1" t="s">
        <v>8</v>
      </c>
      <c r="H221" s="1" t="s">
        <v>1531</v>
      </c>
      <c r="I221" s="1" t="s">
        <v>1532</v>
      </c>
      <c r="J221" s="1" t="s">
        <v>1533</v>
      </c>
      <c r="N221" s="1" t="s">
        <v>1534</v>
      </c>
      <c r="O221" s="1" t="s">
        <v>5127</v>
      </c>
    </row>
    <row r="222" spans="1:18" x14ac:dyDescent="0.2">
      <c r="A222" s="1" t="s">
        <v>53</v>
      </c>
      <c r="E222" s="1" t="s">
        <v>1535</v>
      </c>
      <c r="F222" s="1" t="s">
        <v>1536</v>
      </c>
      <c r="G222" s="1" t="s">
        <v>233</v>
      </c>
      <c r="J222" s="1" t="s">
        <v>235</v>
      </c>
      <c r="K222" s="1" t="s">
        <v>236</v>
      </c>
      <c r="L222" s="1" t="s">
        <v>234</v>
      </c>
      <c r="M222" s="1" t="s">
        <v>1537</v>
      </c>
      <c r="R222" s="1" t="s">
        <v>950</v>
      </c>
    </row>
    <row r="223" spans="1:18" x14ac:dyDescent="0.2">
      <c r="A223" s="1" t="s">
        <v>1386</v>
      </c>
    </row>
    <row r="224" spans="1:18" x14ac:dyDescent="0.2">
      <c r="A224" s="1" t="s">
        <v>53</v>
      </c>
      <c r="C224" s="1" t="s">
        <v>1538</v>
      </c>
      <c r="D224" s="1" t="s">
        <v>1539</v>
      </c>
      <c r="F224" s="1" t="s">
        <v>10</v>
      </c>
      <c r="G224" s="1" t="s">
        <v>8</v>
      </c>
      <c r="H224" s="1" t="s">
        <v>1540</v>
      </c>
      <c r="I224" s="1" t="s">
        <v>1541</v>
      </c>
      <c r="J224" s="1" t="s">
        <v>1542</v>
      </c>
      <c r="N224" s="1" t="s">
        <v>1543</v>
      </c>
      <c r="O224" s="1" t="s">
        <v>5128</v>
      </c>
    </row>
    <row r="225" spans="1:18" x14ac:dyDescent="0.2">
      <c r="A225" s="1" t="s">
        <v>53</v>
      </c>
      <c r="E225" s="1" t="s">
        <v>1544</v>
      </c>
      <c r="F225" s="1" t="s">
        <v>1545</v>
      </c>
      <c r="G225" s="1" t="s">
        <v>237</v>
      </c>
      <c r="J225" s="1" t="s">
        <v>239</v>
      </c>
      <c r="K225" s="1" t="s">
        <v>240</v>
      </c>
      <c r="L225" s="1" t="s">
        <v>238</v>
      </c>
      <c r="M225" s="1" t="s">
        <v>1546</v>
      </c>
      <c r="R225" s="1" t="s">
        <v>951</v>
      </c>
    </row>
    <row r="226" spans="1:18" x14ac:dyDescent="0.2">
      <c r="A226" s="1" t="s">
        <v>1386</v>
      </c>
    </row>
    <row r="227" spans="1:18" x14ac:dyDescent="0.2">
      <c r="A227" s="1" t="s">
        <v>53</v>
      </c>
      <c r="C227" s="1" t="s">
        <v>1547</v>
      </c>
      <c r="D227" s="1" t="s">
        <v>1548</v>
      </c>
      <c r="F227" s="1" t="s">
        <v>10</v>
      </c>
      <c r="G227" s="1" t="s">
        <v>8</v>
      </c>
      <c r="H227" s="1" t="s">
        <v>1549</v>
      </c>
      <c r="I227" s="1" t="s">
        <v>1550</v>
      </c>
      <c r="J227" s="1" t="s">
        <v>1551</v>
      </c>
      <c r="N227" s="1" t="s">
        <v>1552</v>
      </c>
      <c r="O227" s="1" t="s">
        <v>5129</v>
      </c>
    </row>
    <row r="228" spans="1:18" x14ac:dyDescent="0.2">
      <c r="A228" s="1" t="s">
        <v>53</v>
      </c>
      <c r="E228" s="1" t="s">
        <v>1553</v>
      </c>
      <c r="F228" s="1" t="s">
        <v>1554</v>
      </c>
      <c r="G228" s="1" t="s">
        <v>241</v>
      </c>
      <c r="J228" s="1" t="s">
        <v>243</v>
      </c>
      <c r="K228" s="1" t="s">
        <v>244</v>
      </c>
      <c r="L228" s="1" t="s">
        <v>242</v>
      </c>
      <c r="M228" s="1" t="s">
        <v>1555</v>
      </c>
      <c r="R228" s="1" t="s">
        <v>952</v>
      </c>
    </row>
    <row r="229" spans="1:18" x14ac:dyDescent="0.2">
      <c r="A229" s="1" t="s">
        <v>1386</v>
      </c>
    </row>
    <row r="230" spans="1:18" x14ac:dyDescent="0.2">
      <c r="A230" s="1" t="s">
        <v>53</v>
      </c>
      <c r="C230" s="1" t="s">
        <v>1556</v>
      </c>
      <c r="D230" s="1" t="s">
        <v>1557</v>
      </c>
      <c r="F230" s="1" t="s">
        <v>10</v>
      </c>
      <c r="G230" s="1" t="s">
        <v>8</v>
      </c>
      <c r="H230" s="1" t="s">
        <v>1558</v>
      </c>
      <c r="I230" s="1" t="s">
        <v>1559</v>
      </c>
      <c r="J230" s="1" t="s">
        <v>1560</v>
      </c>
      <c r="N230" s="1" t="s">
        <v>1561</v>
      </c>
      <c r="O230" s="1" t="s">
        <v>5130</v>
      </c>
    </row>
    <row r="231" spans="1:18" x14ac:dyDescent="0.2">
      <c r="A231" s="1" t="s">
        <v>53</v>
      </c>
      <c r="E231" s="1" t="s">
        <v>1562</v>
      </c>
      <c r="F231" s="1" t="s">
        <v>1563</v>
      </c>
      <c r="G231" s="1" t="s">
        <v>245</v>
      </c>
      <c r="J231" s="1" t="s">
        <v>247</v>
      </c>
      <c r="K231" s="1" t="s">
        <v>248</v>
      </c>
      <c r="L231" s="1" t="s">
        <v>246</v>
      </c>
      <c r="M231" s="1" t="s">
        <v>1564</v>
      </c>
      <c r="R231" s="1" t="s">
        <v>953</v>
      </c>
    </row>
    <row r="232" spans="1:18" x14ac:dyDescent="0.2">
      <c r="A232" s="1" t="s">
        <v>1386</v>
      </c>
    </row>
    <row r="233" spans="1:18" x14ac:dyDescent="0.2">
      <c r="A233" s="1" t="s">
        <v>53</v>
      </c>
      <c r="C233" s="1" t="s">
        <v>1565</v>
      </c>
      <c r="D233" s="1" t="s">
        <v>1566</v>
      </c>
      <c r="F233" s="1" t="s">
        <v>10</v>
      </c>
      <c r="G233" s="1" t="s">
        <v>8</v>
      </c>
      <c r="H233" s="1" t="s">
        <v>1567</v>
      </c>
      <c r="I233" s="1" t="s">
        <v>1568</v>
      </c>
      <c r="J233" s="1" t="s">
        <v>1569</v>
      </c>
      <c r="N233" s="1" t="s">
        <v>1570</v>
      </c>
      <c r="O233" s="1" t="s">
        <v>5131</v>
      </c>
    </row>
    <row r="234" spans="1:18" x14ac:dyDescent="0.2">
      <c r="A234" s="1" t="s">
        <v>53</v>
      </c>
      <c r="E234" s="1" t="s">
        <v>1571</v>
      </c>
      <c r="F234" s="1" t="s">
        <v>2791</v>
      </c>
      <c r="G234" s="1" t="s">
        <v>2758</v>
      </c>
      <c r="J234" s="1" t="s">
        <v>249</v>
      </c>
      <c r="K234" s="1" t="s">
        <v>2824</v>
      </c>
      <c r="L234" s="1" t="s">
        <v>2857</v>
      </c>
      <c r="M234" s="1" t="s">
        <v>2890</v>
      </c>
      <c r="R234" s="1" t="s">
        <v>954</v>
      </c>
    </row>
    <row r="235" spans="1:18" x14ac:dyDescent="0.2">
      <c r="A235" s="1" t="s">
        <v>53</v>
      </c>
      <c r="E235" s="1" t="s">
        <v>2159</v>
      </c>
      <c r="F235" s="1" t="s">
        <v>2792</v>
      </c>
      <c r="G235" s="1" t="s">
        <v>2759</v>
      </c>
      <c r="J235" s="1" t="s">
        <v>250</v>
      </c>
      <c r="K235" s="1" t="s">
        <v>2825</v>
      </c>
      <c r="L235" s="1" t="s">
        <v>2858</v>
      </c>
      <c r="M235" s="1" t="s">
        <v>2891</v>
      </c>
      <c r="R235" s="1" t="s">
        <v>955</v>
      </c>
    </row>
    <row r="236" spans="1:18" x14ac:dyDescent="0.2">
      <c r="A236" s="1" t="s">
        <v>53</v>
      </c>
      <c r="E236" s="1" t="s">
        <v>2160</v>
      </c>
      <c r="F236" s="1" t="s">
        <v>2793</v>
      </c>
      <c r="G236" s="1" t="s">
        <v>2760</v>
      </c>
      <c r="J236" s="1" t="s">
        <v>251</v>
      </c>
      <c r="K236" s="1" t="s">
        <v>2826</v>
      </c>
      <c r="L236" s="1" t="s">
        <v>2859</v>
      </c>
      <c r="M236" s="1" t="s">
        <v>2892</v>
      </c>
      <c r="R236" s="1" t="s">
        <v>956</v>
      </c>
    </row>
    <row r="237" spans="1:18" x14ac:dyDescent="0.2">
      <c r="A237" s="1" t="s">
        <v>53</v>
      </c>
      <c r="E237" s="1" t="s">
        <v>2161</v>
      </c>
      <c r="F237" s="1" t="s">
        <v>2794</v>
      </c>
      <c r="G237" s="1" t="s">
        <v>2761</v>
      </c>
      <c r="J237" s="1" t="s">
        <v>252</v>
      </c>
      <c r="K237" s="1" t="s">
        <v>2827</v>
      </c>
      <c r="L237" s="1" t="s">
        <v>2860</v>
      </c>
      <c r="M237" s="1" t="s">
        <v>2893</v>
      </c>
      <c r="R237" s="1" t="s">
        <v>957</v>
      </c>
    </row>
    <row r="238" spans="1:18" x14ac:dyDescent="0.2">
      <c r="A238" s="1" t="s">
        <v>53</v>
      </c>
      <c r="E238" s="1" t="s">
        <v>2162</v>
      </c>
      <c r="F238" s="1" t="s">
        <v>2795</v>
      </c>
      <c r="G238" s="1" t="s">
        <v>2762</v>
      </c>
      <c r="J238" s="1" t="s">
        <v>253</v>
      </c>
      <c r="K238" s="1" t="s">
        <v>2828</v>
      </c>
      <c r="L238" s="1" t="s">
        <v>2861</v>
      </c>
      <c r="M238" s="1" t="s">
        <v>2894</v>
      </c>
      <c r="R238" s="1" t="s">
        <v>958</v>
      </c>
    </row>
    <row r="239" spans="1:18" x14ac:dyDescent="0.2">
      <c r="A239" s="1" t="s">
        <v>53</v>
      </c>
      <c r="E239" s="1" t="s">
        <v>2163</v>
      </c>
      <c r="F239" s="1" t="s">
        <v>2796</v>
      </c>
      <c r="G239" s="1" t="s">
        <v>2763</v>
      </c>
      <c r="J239" s="1" t="s">
        <v>254</v>
      </c>
      <c r="K239" s="1" t="s">
        <v>2829</v>
      </c>
      <c r="L239" s="1" t="s">
        <v>2862</v>
      </c>
      <c r="M239" s="1" t="s">
        <v>2895</v>
      </c>
      <c r="R239" s="1" t="s">
        <v>959</v>
      </c>
    </row>
    <row r="240" spans="1:18" x14ac:dyDescent="0.2">
      <c r="A240" s="1" t="s">
        <v>53</v>
      </c>
      <c r="E240" s="1" t="s">
        <v>2164</v>
      </c>
      <c r="F240" s="1" t="s">
        <v>2797</v>
      </c>
      <c r="G240" s="1" t="s">
        <v>2764</v>
      </c>
      <c r="J240" s="1" t="s">
        <v>255</v>
      </c>
      <c r="K240" s="1" t="s">
        <v>2830</v>
      </c>
      <c r="L240" s="1" t="s">
        <v>2863</v>
      </c>
      <c r="M240" s="1" t="s">
        <v>2896</v>
      </c>
      <c r="R240" s="1" t="s">
        <v>960</v>
      </c>
    </row>
    <row r="241" spans="1:18" x14ac:dyDescent="0.2">
      <c r="A241" s="1" t="s">
        <v>53</v>
      </c>
      <c r="E241" s="1" t="s">
        <v>2165</v>
      </c>
      <c r="F241" s="1" t="s">
        <v>2798</v>
      </c>
      <c r="G241" s="1" t="s">
        <v>2765</v>
      </c>
      <c r="J241" s="1" t="s">
        <v>256</v>
      </c>
      <c r="K241" s="1" t="s">
        <v>2831</v>
      </c>
      <c r="L241" s="1" t="s">
        <v>2864</v>
      </c>
      <c r="M241" s="1" t="s">
        <v>2897</v>
      </c>
      <c r="R241" s="1" t="s">
        <v>961</v>
      </c>
    </row>
    <row r="242" spans="1:18" x14ac:dyDescent="0.2">
      <c r="A242" s="1" t="s">
        <v>53</v>
      </c>
      <c r="E242" s="1" t="s">
        <v>2166</v>
      </c>
      <c r="F242" s="1" t="s">
        <v>2799</v>
      </c>
      <c r="G242" s="1" t="s">
        <v>2766</v>
      </c>
      <c r="J242" s="1" t="s">
        <v>257</v>
      </c>
      <c r="K242" s="1" t="s">
        <v>2832</v>
      </c>
      <c r="L242" s="1" t="s">
        <v>2865</v>
      </c>
      <c r="M242" s="1" t="s">
        <v>2898</v>
      </c>
      <c r="R242" s="1" t="s">
        <v>962</v>
      </c>
    </row>
    <row r="243" spans="1:18" x14ac:dyDescent="0.2">
      <c r="A243" s="1" t="s">
        <v>53</v>
      </c>
      <c r="E243" s="1" t="s">
        <v>2167</v>
      </c>
      <c r="F243" s="1" t="s">
        <v>2800</v>
      </c>
      <c r="G243" s="1" t="s">
        <v>2767</v>
      </c>
      <c r="J243" s="1" t="s">
        <v>258</v>
      </c>
      <c r="K243" s="1" t="s">
        <v>2833</v>
      </c>
      <c r="L243" s="1" t="s">
        <v>2866</v>
      </c>
      <c r="M243" s="1" t="s">
        <v>2899</v>
      </c>
      <c r="R243" s="1" t="s">
        <v>963</v>
      </c>
    </row>
    <row r="244" spans="1:18" x14ac:dyDescent="0.2">
      <c r="A244" s="1" t="s">
        <v>53</v>
      </c>
      <c r="E244" s="1" t="s">
        <v>2168</v>
      </c>
      <c r="F244" s="1" t="s">
        <v>2801</v>
      </c>
      <c r="G244" s="1" t="s">
        <v>2768</v>
      </c>
      <c r="J244" s="1" t="s">
        <v>259</v>
      </c>
      <c r="K244" s="1" t="s">
        <v>2834</v>
      </c>
      <c r="L244" s="1" t="s">
        <v>2867</v>
      </c>
      <c r="M244" s="1" t="s">
        <v>2900</v>
      </c>
      <c r="R244" s="1" t="s">
        <v>964</v>
      </c>
    </row>
    <row r="245" spans="1:18" x14ac:dyDescent="0.2">
      <c r="A245" s="1" t="s">
        <v>53</v>
      </c>
      <c r="E245" s="1" t="s">
        <v>2169</v>
      </c>
      <c r="F245" s="1" t="s">
        <v>2802</v>
      </c>
      <c r="G245" s="1" t="s">
        <v>2769</v>
      </c>
      <c r="J245" s="1" t="s">
        <v>260</v>
      </c>
      <c r="K245" s="1" t="s">
        <v>2835</v>
      </c>
      <c r="L245" s="1" t="s">
        <v>2868</v>
      </c>
      <c r="M245" s="1" t="s">
        <v>2901</v>
      </c>
      <c r="R245" s="1" t="s">
        <v>965</v>
      </c>
    </row>
    <row r="246" spans="1:18" x14ac:dyDescent="0.2">
      <c r="A246" s="1" t="s">
        <v>53</v>
      </c>
      <c r="E246" s="1" t="s">
        <v>2170</v>
      </c>
      <c r="F246" s="1" t="s">
        <v>2803</v>
      </c>
      <c r="G246" s="1" t="s">
        <v>2770</v>
      </c>
      <c r="J246" s="1" t="s">
        <v>261</v>
      </c>
      <c r="K246" s="1" t="s">
        <v>2836</v>
      </c>
      <c r="L246" s="1" t="s">
        <v>2869</v>
      </c>
      <c r="M246" s="1" t="s">
        <v>2902</v>
      </c>
      <c r="R246" s="1" t="s">
        <v>966</v>
      </c>
    </row>
    <row r="247" spans="1:18" x14ac:dyDescent="0.2">
      <c r="A247" s="1" t="s">
        <v>53</v>
      </c>
      <c r="E247" s="1" t="s">
        <v>2171</v>
      </c>
      <c r="F247" s="1" t="s">
        <v>2804</v>
      </c>
      <c r="G247" s="1" t="s">
        <v>2771</v>
      </c>
      <c r="J247" s="1" t="s">
        <v>262</v>
      </c>
      <c r="K247" s="1" t="s">
        <v>2837</v>
      </c>
      <c r="L247" s="1" t="s">
        <v>2870</v>
      </c>
      <c r="M247" s="1" t="s">
        <v>2903</v>
      </c>
      <c r="R247" s="1" t="s">
        <v>967</v>
      </c>
    </row>
    <row r="248" spans="1:18" x14ac:dyDescent="0.2">
      <c r="A248" s="1" t="s">
        <v>53</v>
      </c>
      <c r="E248" s="1" t="s">
        <v>2172</v>
      </c>
      <c r="F248" s="1" t="s">
        <v>2805</v>
      </c>
      <c r="G248" s="1" t="s">
        <v>2772</v>
      </c>
      <c r="J248" s="1" t="s">
        <v>263</v>
      </c>
      <c r="K248" s="1" t="s">
        <v>2838</v>
      </c>
      <c r="L248" s="1" t="s">
        <v>2871</v>
      </c>
      <c r="M248" s="1" t="s">
        <v>2904</v>
      </c>
      <c r="R248" s="1" t="s">
        <v>968</v>
      </c>
    </row>
    <row r="249" spans="1:18" x14ac:dyDescent="0.2">
      <c r="A249" s="1" t="s">
        <v>53</v>
      </c>
      <c r="E249" s="1" t="s">
        <v>2173</v>
      </c>
      <c r="F249" s="1" t="s">
        <v>2806</v>
      </c>
      <c r="G249" s="1" t="s">
        <v>2773</v>
      </c>
      <c r="J249" s="1" t="s">
        <v>264</v>
      </c>
      <c r="K249" s="1" t="s">
        <v>2839</v>
      </c>
      <c r="L249" s="1" t="s">
        <v>2872</v>
      </c>
      <c r="M249" s="1" t="s">
        <v>2905</v>
      </c>
      <c r="R249" s="1" t="s">
        <v>969</v>
      </c>
    </row>
    <row r="250" spans="1:18" x14ac:dyDescent="0.2">
      <c r="A250" s="1" t="s">
        <v>53</v>
      </c>
      <c r="E250" s="1" t="s">
        <v>2174</v>
      </c>
      <c r="F250" s="1" t="s">
        <v>2807</v>
      </c>
      <c r="G250" s="1" t="s">
        <v>2774</v>
      </c>
      <c r="J250" s="1" t="s">
        <v>265</v>
      </c>
      <c r="K250" s="1" t="s">
        <v>2840</v>
      </c>
      <c r="L250" s="1" t="s">
        <v>2873</v>
      </c>
      <c r="M250" s="1" t="s">
        <v>2906</v>
      </c>
      <c r="R250" s="1" t="s">
        <v>970</v>
      </c>
    </row>
    <row r="251" spans="1:18" x14ac:dyDescent="0.2">
      <c r="A251" s="1" t="s">
        <v>53</v>
      </c>
      <c r="E251" s="1" t="s">
        <v>2175</v>
      </c>
      <c r="F251" s="1" t="s">
        <v>2808</v>
      </c>
      <c r="G251" s="1" t="s">
        <v>2775</v>
      </c>
      <c r="J251" s="1" t="s">
        <v>266</v>
      </c>
      <c r="K251" s="1" t="s">
        <v>2841</v>
      </c>
      <c r="L251" s="1" t="s">
        <v>2874</v>
      </c>
      <c r="M251" s="1" t="s">
        <v>2907</v>
      </c>
      <c r="R251" s="1" t="s">
        <v>971</v>
      </c>
    </row>
    <row r="252" spans="1:18" x14ac:dyDescent="0.2">
      <c r="A252" s="1" t="s">
        <v>53</v>
      </c>
      <c r="E252" s="1" t="s">
        <v>2176</v>
      </c>
      <c r="F252" s="1" t="s">
        <v>2809</v>
      </c>
      <c r="G252" s="1" t="s">
        <v>2776</v>
      </c>
      <c r="J252" s="1" t="s">
        <v>267</v>
      </c>
      <c r="K252" s="1" t="s">
        <v>2842</v>
      </c>
      <c r="L252" s="1" t="s">
        <v>2875</v>
      </c>
      <c r="M252" s="1" t="s">
        <v>2908</v>
      </c>
      <c r="R252" s="1" t="s">
        <v>972</v>
      </c>
    </row>
    <row r="253" spans="1:18" x14ac:dyDescent="0.2">
      <c r="A253" s="1" t="s">
        <v>53</v>
      </c>
      <c r="E253" s="1" t="s">
        <v>2177</v>
      </c>
      <c r="F253" s="1" t="s">
        <v>2810</v>
      </c>
      <c r="G253" s="1" t="s">
        <v>2777</v>
      </c>
      <c r="J253" s="1" t="s">
        <v>268</v>
      </c>
      <c r="K253" s="1" t="s">
        <v>2843</v>
      </c>
      <c r="L253" s="1" t="s">
        <v>2876</v>
      </c>
      <c r="M253" s="1" t="s">
        <v>2909</v>
      </c>
      <c r="R253" s="1" t="s">
        <v>973</v>
      </c>
    </row>
    <row r="254" spans="1:18" x14ac:dyDescent="0.2">
      <c r="A254" s="1" t="s">
        <v>53</v>
      </c>
      <c r="E254" s="1" t="s">
        <v>2178</v>
      </c>
      <c r="F254" s="1" t="s">
        <v>2811</v>
      </c>
      <c r="G254" s="1" t="s">
        <v>2778</v>
      </c>
      <c r="J254" s="1" t="s">
        <v>269</v>
      </c>
      <c r="K254" s="1" t="s">
        <v>2844</v>
      </c>
      <c r="L254" s="1" t="s">
        <v>2877</v>
      </c>
      <c r="M254" s="1" t="s">
        <v>2910</v>
      </c>
      <c r="R254" s="1" t="s">
        <v>974</v>
      </c>
    </row>
    <row r="255" spans="1:18" x14ac:dyDescent="0.2">
      <c r="A255" s="1" t="s">
        <v>53</v>
      </c>
      <c r="E255" s="1" t="s">
        <v>2179</v>
      </c>
      <c r="F255" s="1" t="s">
        <v>2812</v>
      </c>
      <c r="G255" s="1" t="s">
        <v>2779</v>
      </c>
      <c r="J255" s="1" t="s">
        <v>270</v>
      </c>
      <c r="K255" s="1" t="s">
        <v>2845</v>
      </c>
      <c r="L255" s="1" t="s">
        <v>2878</v>
      </c>
      <c r="M255" s="1" t="s">
        <v>2911</v>
      </c>
      <c r="R255" s="1" t="s">
        <v>975</v>
      </c>
    </row>
    <row r="256" spans="1:18" x14ac:dyDescent="0.2">
      <c r="A256" s="1" t="s">
        <v>53</v>
      </c>
      <c r="E256" s="1" t="s">
        <v>2180</v>
      </c>
      <c r="F256" s="1" t="s">
        <v>2813</v>
      </c>
      <c r="G256" s="1" t="s">
        <v>2780</v>
      </c>
      <c r="J256" s="1" t="s">
        <v>271</v>
      </c>
      <c r="K256" s="1" t="s">
        <v>2846</v>
      </c>
      <c r="L256" s="1" t="s">
        <v>2879</v>
      </c>
      <c r="M256" s="1" t="s">
        <v>2912</v>
      </c>
      <c r="R256" s="1" t="s">
        <v>976</v>
      </c>
    </row>
    <row r="257" spans="1:18" x14ac:dyDescent="0.2">
      <c r="A257" s="1" t="s">
        <v>53</v>
      </c>
      <c r="E257" s="1" t="s">
        <v>2181</v>
      </c>
      <c r="F257" s="1" t="s">
        <v>2814</v>
      </c>
      <c r="G257" s="1" t="s">
        <v>2781</v>
      </c>
      <c r="J257" s="1" t="s">
        <v>272</v>
      </c>
      <c r="K257" s="1" t="s">
        <v>2847</v>
      </c>
      <c r="L257" s="1" t="s">
        <v>2880</v>
      </c>
      <c r="M257" s="1" t="s">
        <v>2913</v>
      </c>
      <c r="R257" s="1" t="s">
        <v>977</v>
      </c>
    </row>
    <row r="258" spans="1:18" x14ac:dyDescent="0.2">
      <c r="A258" s="1" t="s">
        <v>53</v>
      </c>
      <c r="E258" s="1" t="s">
        <v>2182</v>
      </c>
      <c r="F258" s="1" t="s">
        <v>2815</v>
      </c>
      <c r="G258" s="1" t="s">
        <v>2782</v>
      </c>
      <c r="J258" s="1" t="s">
        <v>273</v>
      </c>
      <c r="K258" s="1" t="s">
        <v>2848</v>
      </c>
      <c r="L258" s="1" t="s">
        <v>2881</v>
      </c>
      <c r="M258" s="1" t="s">
        <v>2914</v>
      </c>
      <c r="R258" s="1" t="s">
        <v>978</v>
      </c>
    </row>
    <row r="259" spans="1:18" x14ac:dyDescent="0.2">
      <c r="A259" s="1" t="s">
        <v>53</v>
      </c>
      <c r="E259" s="1" t="s">
        <v>2183</v>
      </c>
      <c r="F259" s="1" t="s">
        <v>2816</v>
      </c>
      <c r="G259" s="1" t="s">
        <v>2783</v>
      </c>
      <c r="J259" s="1" t="s">
        <v>274</v>
      </c>
      <c r="K259" s="1" t="s">
        <v>2849</v>
      </c>
      <c r="L259" s="1" t="s">
        <v>2882</v>
      </c>
      <c r="M259" s="1" t="s">
        <v>2915</v>
      </c>
      <c r="R259" s="1" t="s">
        <v>979</v>
      </c>
    </row>
    <row r="260" spans="1:18" x14ac:dyDescent="0.2">
      <c r="A260" s="1" t="s">
        <v>53</v>
      </c>
      <c r="E260" s="1" t="s">
        <v>2184</v>
      </c>
      <c r="F260" s="1" t="s">
        <v>2817</v>
      </c>
      <c r="G260" s="1" t="s">
        <v>2784</v>
      </c>
      <c r="J260" s="1" t="s">
        <v>1345</v>
      </c>
      <c r="K260" s="1" t="s">
        <v>2850</v>
      </c>
      <c r="L260" s="1" t="s">
        <v>2883</v>
      </c>
      <c r="M260" s="1" t="s">
        <v>2916</v>
      </c>
      <c r="R260" s="1" t="s">
        <v>1346</v>
      </c>
    </row>
    <row r="261" spans="1:18" x14ac:dyDescent="0.2">
      <c r="A261" s="1" t="s">
        <v>53</v>
      </c>
      <c r="E261" s="1" t="s">
        <v>2185</v>
      </c>
      <c r="F261" s="1" t="s">
        <v>2818</v>
      </c>
      <c r="G261" s="1" t="s">
        <v>2785</v>
      </c>
      <c r="J261" s="1" t="s">
        <v>1347</v>
      </c>
      <c r="K261" s="1" t="s">
        <v>2851</v>
      </c>
      <c r="L261" s="1" t="s">
        <v>2884</v>
      </c>
      <c r="M261" s="1" t="s">
        <v>2917</v>
      </c>
      <c r="R261" s="1" t="s">
        <v>1348</v>
      </c>
    </row>
    <row r="262" spans="1:18" x14ac:dyDescent="0.2">
      <c r="A262" s="1" t="s">
        <v>53</v>
      </c>
      <c r="E262" s="1" t="s">
        <v>2186</v>
      </c>
      <c r="F262" s="1" t="s">
        <v>2819</v>
      </c>
      <c r="G262" s="1" t="s">
        <v>2786</v>
      </c>
      <c r="J262" s="1" t="s">
        <v>275</v>
      </c>
      <c r="K262" s="1" t="s">
        <v>2852</v>
      </c>
      <c r="L262" s="1" t="s">
        <v>2885</v>
      </c>
      <c r="M262" s="1" t="s">
        <v>2918</v>
      </c>
      <c r="R262" s="1" t="s">
        <v>980</v>
      </c>
    </row>
    <row r="263" spans="1:18" x14ac:dyDescent="0.2">
      <c r="A263" s="1" t="s">
        <v>53</v>
      </c>
      <c r="E263" s="1" t="s">
        <v>2187</v>
      </c>
      <c r="F263" s="1" t="s">
        <v>2820</v>
      </c>
      <c r="G263" s="1" t="s">
        <v>2787</v>
      </c>
      <c r="J263" s="1" t="s">
        <v>276</v>
      </c>
      <c r="K263" s="1" t="s">
        <v>2853</v>
      </c>
      <c r="L263" s="1" t="s">
        <v>2886</v>
      </c>
      <c r="M263" s="1" t="s">
        <v>2919</v>
      </c>
      <c r="R263" s="1" t="s">
        <v>981</v>
      </c>
    </row>
    <row r="264" spans="1:18" x14ac:dyDescent="0.2">
      <c r="A264" s="1" t="s">
        <v>53</v>
      </c>
      <c r="E264" s="1" t="s">
        <v>2188</v>
      </c>
      <c r="F264" s="1" t="s">
        <v>2821</v>
      </c>
      <c r="G264" s="1" t="s">
        <v>2788</v>
      </c>
      <c r="J264" s="1" t="s">
        <v>1349</v>
      </c>
      <c r="K264" s="1" t="s">
        <v>2854</v>
      </c>
      <c r="L264" s="1" t="s">
        <v>2887</v>
      </c>
      <c r="M264" s="1" t="s">
        <v>2920</v>
      </c>
      <c r="R264" s="1" t="s">
        <v>1350</v>
      </c>
    </row>
    <row r="265" spans="1:18" x14ac:dyDescent="0.2">
      <c r="A265" s="1" t="s">
        <v>53</v>
      </c>
      <c r="E265" s="1" t="s">
        <v>2189</v>
      </c>
      <c r="F265" s="1" t="s">
        <v>2822</v>
      </c>
      <c r="G265" s="1" t="s">
        <v>2789</v>
      </c>
      <c r="J265" s="1" t="s">
        <v>1351</v>
      </c>
      <c r="K265" s="1" t="s">
        <v>2855</v>
      </c>
      <c r="L265" s="1" t="s">
        <v>2888</v>
      </c>
      <c r="M265" s="1" t="s">
        <v>2921</v>
      </c>
      <c r="R265" s="1" t="s">
        <v>1352</v>
      </c>
    </row>
    <row r="266" spans="1:18" x14ac:dyDescent="0.2">
      <c r="A266" s="1" t="s">
        <v>53</v>
      </c>
      <c r="E266" s="1" t="s">
        <v>2190</v>
      </c>
      <c r="F266" s="1" t="s">
        <v>2823</v>
      </c>
      <c r="G266" s="1" t="s">
        <v>2790</v>
      </c>
      <c r="J266" s="1" t="s">
        <v>277</v>
      </c>
      <c r="K266" s="1" t="s">
        <v>2856</v>
      </c>
      <c r="L266" s="1" t="s">
        <v>2889</v>
      </c>
      <c r="M266" s="1" t="s">
        <v>2922</v>
      </c>
      <c r="R266" s="1" t="s">
        <v>982</v>
      </c>
    </row>
    <row r="267" spans="1:18" x14ac:dyDescent="0.2">
      <c r="A267" s="1" t="s">
        <v>1386</v>
      </c>
    </row>
    <row r="268" spans="1:18" x14ac:dyDescent="0.2">
      <c r="A268" s="1" t="s">
        <v>53</v>
      </c>
      <c r="C268" s="1" t="s">
        <v>1572</v>
      </c>
      <c r="D268" s="1" t="s">
        <v>1387</v>
      </c>
      <c r="F268" s="1" t="s">
        <v>10</v>
      </c>
      <c r="G268" s="1" t="s">
        <v>8</v>
      </c>
      <c r="H268" s="1" t="s">
        <v>1388</v>
      </c>
      <c r="I268" s="1" t="s">
        <v>1389</v>
      </c>
      <c r="J268" s="1" t="s">
        <v>1390</v>
      </c>
      <c r="N268" s="1" t="s">
        <v>1391</v>
      </c>
      <c r="O268" s="1" t="s">
        <v>5132</v>
      </c>
    </row>
    <row r="269" spans="1:18" x14ac:dyDescent="0.2">
      <c r="A269" s="1" t="s">
        <v>53</v>
      </c>
      <c r="E269" s="1" t="s">
        <v>1401</v>
      </c>
      <c r="F269" s="1" t="s">
        <v>1573</v>
      </c>
      <c r="G269" s="1" t="s">
        <v>278</v>
      </c>
      <c r="J269" s="1" t="s">
        <v>280</v>
      </c>
      <c r="K269" s="1" t="s">
        <v>281</v>
      </c>
      <c r="L269" s="1" t="s">
        <v>279</v>
      </c>
      <c r="M269" s="1" t="s">
        <v>1574</v>
      </c>
      <c r="R269" s="1" t="s">
        <v>983</v>
      </c>
    </row>
    <row r="270" spans="1:18" x14ac:dyDescent="0.2">
      <c r="A270" s="1" t="s">
        <v>1386</v>
      </c>
    </row>
    <row r="271" spans="1:18" x14ac:dyDescent="0.2">
      <c r="A271" s="1" t="s">
        <v>53</v>
      </c>
      <c r="C271" s="1" t="s">
        <v>1575</v>
      </c>
      <c r="D271" s="1" t="s">
        <v>1392</v>
      </c>
      <c r="F271" s="1" t="s">
        <v>10</v>
      </c>
      <c r="G271" s="1" t="s">
        <v>8</v>
      </c>
      <c r="H271" s="1" t="s">
        <v>1393</v>
      </c>
      <c r="I271" s="1" t="s">
        <v>1394</v>
      </c>
      <c r="J271" s="1" t="s">
        <v>1576</v>
      </c>
      <c r="N271" s="1" t="s">
        <v>1395</v>
      </c>
      <c r="O271" s="1" t="s">
        <v>5133</v>
      </c>
    </row>
    <row r="272" spans="1:18" x14ac:dyDescent="0.2">
      <c r="A272" s="1" t="s">
        <v>53</v>
      </c>
      <c r="E272" s="1" t="s">
        <v>1402</v>
      </c>
      <c r="F272" s="1" t="s">
        <v>2192</v>
      </c>
      <c r="G272" s="1" t="s">
        <v>2191</v>
      </c>
      <c r="J272" s="1" t="s">
        <v>1353</v>
      </c>
      <c r="K272" s="1" t="s">
        <v>2193</v>
      </c>
      <c r="L272" s="1" t="s">
        <v>2194</v>
      </c>
      <c r="M272" s="1" t="s">
        <v>2195</v>
      </c>
      <c r="R272" s="1" t="s">
        <v>1354</v>
      </c>
    </row>
    <row r="273" spans="1:18" x14ac:dyDescent="0.2">
      <c r="A273" s="1" t="s">
        <v>53</v>
      </c>
      <c r="E273" s="1" t="s">
        <v>2196</v>
      </c>
      <c r="F273" s="1" t="s">
        <v>2198</v>
      </c>
      <c r="G273" s="1" t="s">
        <v>2197</v>
      </c>
      <c r="J273" s="1" t="s">
        <v>282</v>
      </c>
      <c r="K273" s="1" t="s">
        <v>2199</v>
      </c>
      <c r="L273" s="1" t="s">
        <v>2200</v>
      </c>
      <c r="M273" s="1" t="s">
        <v>2201</v>
      </c>
      <c r="R273" s="1" t="s">
        <v>984</v>
      </c>
    </row>
    <row r="274" spans="1:18" x14ac:dyDescent="0.2">
      <c r="A274" s="1" t="s">
        <v>1386</v>
      </c>
    </row>
    <row r="275" spans="1:18" x14ac:dyDescent="0.2">
      <c r="A275" s="1" t="s">
        <v>53</v>
      </c>
      <c r="C275" s="1" t="s">
        <v>1577</v>
      </c>
      <c r="D275" s="1" t="s">
        <v>747</v>
      </c>
      <c r="F275" s="1" t="s">
        <v>10</v>
      </c>
      <c r="G275" s="1" t="s">
        <v>8</v>
      </c>
      <c r="H275" s="1" t="s">
        <v>748</v>
      </c>
      <c r="I275" s="1" t="s">
        <v>749</v>
      </c>
      <c r="J275" s="1" t="s">
        <v>750</v>
      </c>
      <c r="N275" s="1" t="s">
        <v>751</v>
      </c>
      <c r="O275" s="1" t="s">
        <v>5134</v>
      </c>
    </row>
    <row r="276" spans="1:18" x14ac:dyDescent="0.2">
      <c r="A276" s="1" t="s">
        <v>53</v>
      </c>
      <c r="E276" s="1" t="s">
        <v>1578</v>
      </c>
      <c r="F276" s="1" t="s">
        <v>985</v>
      </c>
      <c r="G276" s="1" t="s">
        <v>283</v>
      </c>
      <c r="J276" s="1" t="s">
        <v>285</v>
      </c>
      <c r="K276" s="1" t="s">
        <v>286</v>
      </c>
      <c r="L276" s="1" t="s">
        <v>284</v>
      </c>
      <c r="M276" s="1" t="s">
        <v>986</v>
      </c>
      <c r="R276" s="1" t="s">
        <v>987</v>
      </c>
    </row>
    <row r="277" spans="1:18" x14ac:dyDescent="0.2">
      <c r="A277" s="1" t="s">
        <v>1386</v>
      </c>
    </row>
    <row r="278" spans="1:18" x14ac:dyDescent="0.2">
      <c r="A278" s="1" t="s">
        <v>53</v>
      </c>
      <c r="C278" s="1" t="s">
        <v>1579</v>
      </c>
      <c r="D278" s="1" t="s">
        <v>752</v>
      </c>
      <c r="F278" s="1" t="s">
        <v>10</v>
      </c>
      <c r="G278" s="1" t="s">
        <v>8</v>
      </c>
      <c r="H278" s="1" t="s">
        <v>753</v>
      </c>
      <c r="I278" s="1" t="s">
        <v>754</v>
      </c>
      <c r="J278" s="1" t="s">
        <v>1580</v>
      </c>
      <c r="N278" s="1" t="s">
        <v>755</v>
      </c>
      <c r="O278" s="1" t="s">
        <v>5135</v>
      </c>
    </row>
    <row r="279" spans="1:18" x14ac:dyDescent="0.2">
      <c r="A279" s="1" t="s">
        <v>53</v>
      </c>
      <c r="E279" s="1" t="s">
        <v>1581</v>
      </c>
      <c r="F279" s="1" t="s">
        <v>1582</v>
      </c>
      <c r="G279" s="1" t="s">
        <v>287</v>
      </c>
      <c r="J279" s="1" t="s">
        <v>289</v>
      </c>
      <c r="K279" s="1" t="s">
        <v>290</v>
      </c>
      <c r="L279" s="1" t="s">
        <v>288</v>
      </c>
      <c r="M279" s="1" t="s">
        <v>1583</v>
      </c>
      <c r="R279" s="1" t="s">
        <v>988</v>
      </c>
    </row>
    <row r="280" spans="1:18" x14ac:dyDescent="0.2">
      <c r="A280" s="1" t="s">
        <v>1386</v>
      </c>
    </row>
    <row r="281" spans="1:18" x14ac:dyDescent="0.2">
      <c r="A281" s="1" t="s">
        <v>53</v>
      </c>
      <c r="C281" s="1" t="s">
        <v>1584</v>
      </c>
      <c r="D281" s="1" t="s">
        <v>1374</v>
      </c>
      <c r="F281" s="1" t="s">
        <v>10</v>
      </c>
      <c r="G281" s="1" t="s">
        <v>8</v>
      </c>
      <c r="H281" s="1" t="s">
        <v>1375</v>
      </c>
      <c r="I281" s="1" t="s">
        <v>1376</v>
      </c>
      <c r="J281" s="1" t="s">
        <v>1585</v>
      </c>
      <c r="N281" s="1" t="s">
        <v>1377</v>
      </c>
      <c r="O281" s="1" t="s">
        <v>5136</v>
      </c>
    </row>
    <row r="282" spans="1:18" x14ac:dyDescent="0.2">
      <c r="A282" s="1" t="s">
        <v>53</v>
      </c>
      <c r="E282" s="1" t="s">
        <v>1586</v>
      </c>
      <c r="F282" s="1" t="s">
        <v>1588</v>
      </c>
      <c r="G282" s="1" t="s">
        <v>1587</v>
      </c>
      <c r="J282" s="1" t="s">
        <v>1355</v>
      </c>
      <c r="K282" s="1" t="s">
        <v>1589</v>
      </c>
      <c r="L282" s="1" t="s">
        <v>1590</v>
      </c>
      <c r="M282" s="1" t="s">
        <v>1591</v>
      </c>
      <c r="R282" s="1" t="s">
        <v>1356</v>
      </c>
    </row>
    <row r="283" spans="1:18" x14ac:dyDescent="0.2">
      <c r="A283" s="1" t="s">
        <v>1386</v>
      </c>
    </row>
    <row r="284" spans="1:18" x14ac:dyDescent="0.2">
      <c r="A284" s="1" t="s">
        <v>53</v>
      </c>
      <c r="C284" s="1" t="s">
        <v>1592</v>
      </c>
      <c r="D284" s="1" t="s">
        <v>1396</v>
      </c>
      <c r="F284" s="1" t="s">
        <v>10</v>
      </c>
      <c r="G284" s="1" t="s">
        <v>8</v>
      </c>
      <c r="H284" s="1" t="s">
        <v>1397</v>
      </c>
      <c r="I284" s="1" t="s">
        <v>1398</v>
      </c>
      <c r="J284" s="1" t="s">
        <v>1593</v>
      </c>
      <c r="N284" s="1" t="s">
        <v>1399</v>
      </c>
      <c r="O284" s="1" t="s">
        <v>5137</v>
      </c>
    </row>
    <row r="285" spans="1:18" x14ac:dyDescent="0.2">
      <c r="A285" s="1" t="s">
        <v>53</v>
      </c>
      <c r="E285" s="1" t="s">
        <v>1403</v>
      </c>
      <c r="F285" s="1" t="s">
        <v>1594</v>
      </c>
      <c r="G285" s="1" t="s">
        <v>291</v>
      </c>
      <c r="J285" s="1" t="s">
        <v>293</v>
      </c>
      <c r="K285" s="1" t="s">
        <v>294</v>
      </c>
      <c r="L285" s="1" t="s">
        <v>292</v>
      </c>
      <c r="M285" s="1" t="s">
        <v>1595</v>
      </c>
      <c r="R285" s="1" t="s">
        <v>989</v>
      </c>
    </row>
    <row r="286" spans="1:18" x14ac:dyDescent="0.2">
      <c r="A286" s="1" t="s">
        <v>1386</v>
      </c>
    </row>
    <row r="287" spans="1:18" x14ac:dyDescent="0.2">
      <c r="A287" s="1" t="s">
        <v>53</v>
      </c>
      <c r="C287" s="1" t="s">
        <v>1596</v>
      </c>
      <c r="D287" s="1" t="s">
        <v>1597</v>
      </c>
      <c r="F287" s="1" t="s">
        <v>10</v>
      </c>
      <c r="G287" s="1" t="s">
        <v>8</v>
      </c>
      <c r="H287" s="1" t="s">
        <v>1598</v>
      </c>
      <c r="I287" s="1" t="s">
        <v>1599</v>
      </c>
      <c r="J287" s="1" t="s">
        <v>1600</v>
      </c>
      <c r="N287" s="1" t="s">
        <v>1601</v>
      </c>
      <c r="O287" s="1" t="s">
        <v>5138</v>
      </c>
    </row>
    <row r="288" spans="1:18" x14ac:dyDescent="0.2">
      <c r="A288" s="1" t="s">
        <v>53</v>
      </c>
      <c r="E288" s="1" t="s">
        <v>1602</v>
      </c>
      <c r="F288" s="1" t="s">
        <v>2590</v>
      </c>
      <c r="G288" s="1" t="s">
        <v>2548</v>
      </c>
      <c r="J288" s="1" t="s">
        <v>1357</v>
      </c>
      <c r="K288" s="1" t="s">
        <v>2632</v>
      </c>
      <c r="L288" s="1" t="s">
        <v>2674</v>
      </c>
      <c r="M288" s="1" t="s">
        <v>2716</v>
      </c>
      <c r="R288" s="1" t="s">
        <v>1358</v>
      </c>
    </row>
    <row r="289" spans="1:18" x14ac:dyDescent="0.2">
      <c r="A289" s="1" t="s">
        <v>53</v>
      </c>
      <c r="E289" s="1" t="s">
        <v>2202</v>
      </c>
      <c r="F289" s="1" t="s">
        <v>2591</v>
      </c>
      <c r="G289" s="1" t="s">
        <v>2549</v>
      </c>
      <c r="J289" s="1" t="s">
        <v>295</v>
      </c>
      <c r="K289" s="1" t="s">
        <v>2633</v>
      </c>
      <c r="L289" s="1" t="s">
        <v>2675</v>
      </c>
      <c r="M289" s="1" t="s">
        <v>2717</v>
      </c>
      <c r="R289" s="1" t="s">
        <v>990</v>
      </c>
    </row>
    <row r="290" spans="1:18" x14ac:dyDescent="0.2">
      <c r="A290" s="1" t="s">
        <v>53</v>
      </c>
      <c r="E290" s="1" t="s">
        <v>2203</v>
      </c>
      <c r="F290" s="1" t="s">
        <v>2592</v>
      </c>
      <c r="G290" s="1" t="s">
        <v>2550</v>
      </c>
      <c r="J290" s="1" t="s">
        <v>296</v>
      </c>
      <c r="K290" s="1" t="s">
        <v>2634</v>
      </c>
      <c r="L290" s="1" t="s">
        <v>2676</v>
      </c>
      <c r="M290" s="1" t="s">
        <v>2718</v>
      </c>
      <c r="R290" s="1" t="s">
        <v>991</v>
      </c>
    </row>
    <row r="291" spans="1:18" x14ac:dyDescent="0.2">
      <c r="A291" s="1" t="s">
        <v>53</v>
      </c>
      <c r="E291" s="1" t="s">
        <v>2204</v>
      </c>
      <c r="F291" s="1" t="s">
        <v>2593</v>
      </c>
      <c r="G291" s="1" t="s">
        <v>2551</v>
      </c>
      <c r="J291" s="1" t="s">
        <v>297</v>
      </c>
      <c r="K291" s="1" t="s">
        <v>2635</v>
      </c>
      <c r="L291" s="1" t="s">
        <v>2677</v>
      </c>
      <c r="M291" s="1" t="s">
        <v>2719</v>
      </c>
      <c r="R291" s="1" t="s">
        <v>992</v>
      </c>
    </row>
    <row r="292" spans="1:18" x14ac:dyDescent="0.2">
      <c r="A292" s="1" t="s">
        <v>53</v>
      </c>
      <c r="E292" s="1" t="s">
        <v>2205</v>
      </c>
      <c r="F292" s="1" t="s">
        <v>2594</v>
      </c>
      <c r="G292" s="1" t="s">
        <v>2552</v>
      </c>
      <c r="J292" s="1" t="s">
        <v>1359</v>
      </c>
      <c r="K292" s="1" t="s">
        <v>2636</v>
      </c>
      <c r="L292" s="1" t="s">
        <v>2678</v>
      </c>
      <c r="M292" s="1" t="s">
        <v>2720</v>
      </c>
      <c r="R292" s="1" t="s">
        <v>1360</v>
      </c>
    </row>
    <row r="293" spans="1:18" x14ac:dyDescent="0.2">
      <c r="A293" s="1" t="s">
        <v>53</v>
      </c>
      <c r="E293" s="1" t="s">
        <v>2206</v>
      </c>
      <c r="F293" s="1" t="s">
        <v>2595</v>
      </c>
      <c r="G293" s="1" t="s">
        <v>2553</v>
      </c>
      <c r="J293" s="1" t="s">
        <v>1361</v>
      </c>
      <c r="K293" s="1" t="s">
        <v>2637</v>
      </c>
      <c r="L293" s="1" t="s">
        <v>2679</v>
      </c>
      <c r="M293" s="1" t="s">
        <v>2721</v>
      </c>
      <c r="R293" s="1" t="s">
        <v>1362</v>
      </c>
    </row>
    <row r="294" spans="1:18" x14ac:dyDescent="0.2">
      <c r="A294" s="1" t="s">
        <v>53</v>
      </c>
      <c r="E294" s="1" t="s">
        <v>2207</v>
      </c>
      <c r="F294" s="1" t="s">
        <v>2596</v>
      </c>
      <c r="G294" s="1" t="s">
        <v>2554</v>
      </c>
      <c r="J294" s="1" t="s">
        <v>298</v>
      </c>
      <c r="K294" s="1" t="s">
        <v>2638</v>
      </c>
      <c r="L294" s="1" t="s">
        <v>2680</v>
      </c>
      <c r="M294" s="1" t="s">
        <v>2722</v>
      </c>
      <c r="R294" s="1" t="s">
        <v>993</v>
      </c>
    </row>
    <row r="295" spans="1:18" x14ac:dyDescent="0.2">
      <c r="A295" s="1" t="s">
        <v>53</v>
      </c>
      <c r="E295" s="1" t="s">
        <v>2208</v>
      </c>
      <c r="F295" s="1" t="s">
        <v>2597</v>
      </c>
      <c r="G295" s="1" t="s">
        <v>2555</v>
      </c>
      <c r="J295" s="1" t="s">
        <v>299</v>
      </c>
      <c r="K295" s="1" t="s">
        <v>2639</v>
      </c>
      <c r="L295" s="1" t="s">
        <v>2681</v>
      </c>
      <c r="M295" s="1" t="s">
        <v>2723</v>
      </c>
      <c r="R295" s="1" t="s">
        <v>994</v>
      </c>
    </row>
    <row r="296" spans="1:18" x14ac:dyDescent="0.2">
      <c r="A296" s="1" t="s">
        <v>53</v>
      </c>
      <c r="E296" s="1" t="s">
        <v>2209</v>
      </c>
      <c r="F296" s="1" t="s">
        <v>2598</v>
      </c>
      <c r="G296" s="1" t="s">
        <v>2556</v>
      </c>
      <c r="J296" s="1" t="s">
        <v>300</v>
      </c>
      <c r="K296" s="1" t="s">
        <v>2640</v>
      </c>
      <c r="L296" s="1" t="s">
        <v>2682</v>
      </c>
      <c r="M296" s="1" t="s">
        <v>2724</v>
      </c>
      <c r="R296" s="1" t="s">
        <v>995</v>
      </c>
    </row>
    <row r="297" spans="1:18" x14ac:dyDescent="0.2">
      <c r="A297" s="1" t="s">
        <v>53</v>
      </c>
      <c r="E297" s="1" t="s">
        <v>2210</v>
      </c>
      <c r="F297" s="1" t="s">
        <v>2599</v>
      </c>
      <c r="G297" s="1" t="s">
        <v>2557</v>
      </c>
      <c r="J297" s="1" t="s">
        <v>301</v>
      </c>
      <c r="K297" s="1" t="s">
        <v>2641</v>
      </c>
      <c r="L297" s="1" t="s">
        <v>2683</v>
      </c>
      <c r="M297" s="1" t="s">
        <v>2725</v>
      </c>
      <c r="R297" s="1" t="s">
        <v>996</v>
      </c>
    </row>
    <row r="298" spans="1:18" x14ac:dyDescent="0.2">
      <c r="A298" s="1" t="s">
        <v>53</v>
      </c>
      <c r="E298" s="1" t="s">
        <v>2211</v>
      </c>
      <c r="F298" s="1" t="s">
        <v>2600</v>
      </c>
      <c r="G298" s="1" t="s">
        <v>2558</v>
      </c>
      <c r="J298" s="1" t="s">
        <v>302</v>
      </c>
      <c r="K298" s="1" t="s">
        <v>2642</v>
      </c>
      <c r="L298" s="1" t="s">
        <v>2684</v>
      </c>
      <c r="M298" s="1" t="s">
        <v>2726</v>
      </c>
      <c r="R298" s="1" t="s">
        <v>997</v>
      </c>
    </row>
    <row r="299" spans="1:18" x14ac:dyDescent="0.2">
      <c r="A299" s="1" t="s">
        <v>53</v>
      </c>
      <c r="E299" s="1" t="s">
        <v>2212</v>
      </c>
      <c r="F299" s="1" t="s">
        <v>2601</v>
      </c>
      <c r="G299" s="1" t="s">
        <v>2559</v>
      </c>
      <c r="J299" s="1" t="s">
        <v>303</v>
      </c>
      <c r="K299" s="1" t="s">
        <v>2643</v>
      </c>
      <c r="L299" s="1" t="s">
        <v>2685</v>
      </c>
      <c r="M299" s="1" t="s">
        <v>2727</v>
      </c>
      <c r="R299" s="1" t="s">
        <v>998</v>
      </c>
    </row>
    <row r="300" spans="1:18" x14ac:dyDescent="0.2">
      <c r="A300" s="1" t="s">
        <v>53</v>
      </c>
      <c r="E300" s="1" t="s">
        <v>2213</v>
      </c>
      <c r="F300" s="1" t="s">
        <v>2602</v>
      </c>
      <c r="G300" s="1" t="s">
        <v>2560</v>
      </c>
      <c r="J300" s="1" t="s">
        <v>304</v>
      </c>
      <c r="K300" s="1" t="s">
        <v>2644</v>
      </c>
      <c r="L300" s="1" t="s">
        <v>2686</v>
      </c>
      <c r="M300" s="1" t="s">
        <v>2728</v>
      </c>
      <c r="R300" s="1" t="s">
        <v>999</v>
      </c>
    </row>
    <row r="301" spans="1:18" x14ac:dyDescent="0.2">
      <c r="A301" s="1" t="s">
        <v>53</v>
      </c>
      <c r="E301" s="1" t="s">
        <v>2214</v>
      </c>
      <c r="F301" s="1" t="s">
        <v>2603</v>
      </c>
      <c r="G301" s="1" t="s">
        <v>2561</v>
      </c>
      <c r="J301" s="1" t="s">
        <v>305</v>
      </c>
      <c r="K301" s="1" t="s">
        <v>2645</v>
      </c>
      <c r="L301" s="1" t="s">
        <v>2687</v>
      </c>
      <c r="M301" s="1" t="s">
        <v>2729</v>
      </c>
      <c r="R301" s="1" t="s">
        <v>1000</v>
      </c>
    </row>
    <row r="302" spans="1:18" x14ac:dyDescent="0.2">
      <c r="A302" s="1" t="s">
        <v>53</v>
      </c>
      <c r="E302" s="1" t="s">
        <v>2215</v>
      </c>
      <c r="F302" s="1" t="s">
        <v>2604</v>
      </c>
      <c r="G302" s="1" t="s">
        <v>2562</v>
      </c>
      <c r="J302" s="1" t="s">
        <v>306</v>
      </c>
      <c r="K302" s="1" t="s">
        <v>2646</v>
      </c>
      <c r="L302" s="1" t="s">
        <v>2688</v>
      </c>
      <c r="M302" s="1" t="s">
        <v>2730</v>
      </c>
      <c r="R302" s="1" t="s">
        <v>1001</v>
      </c>
    </row>
    <row r="303" spans="1:18" x14ac:dyDescent="0.2">
      <c r="A303" s="1" t="s">
        <v>53</v>
      </c>
      <c r="E303" s="1" t="s">
        <v>2216</v>
      </c>
      <c r="F303" s="1" t="s">
        <v>2605</v>
      </c>
      <c r="G303" s="1" t="s">
        <v>2563</v>
      </c>
      <c r="J303" s="1" t="s">
        <v>307</v>
      </c>
      <c r="K303" s="1" t="s">
        <v>2647</v>
      </c>
      <c r="L303" s="1" t="s">
        <v>2689</v>
      </c>
      <c r="M303" s="1" t="s">
        <v>2731</v>
      </c>
      <c r="R303" s="1" t="s">
        <v>1002</v>
      </c>
    </row>
    <row r="304" spans="1:18" x14ac:dyDescent="0.2">
      <c r="A304" s="1" t="s">
        <v>53</v>
      </c>
      <c r="E304" s="1" t="s">
        <v>2217</v>
      </c>
      <c r="F304" s="1" t="s">
        <v>2606</v>
      </c>
      <c r="G304" s="1" t="s">
        <v>2564</v>
      </c>
      <c r="J304" s="1" t="s">
        <v>308</v>
      </c>
      <c r="K304" s="1" t="s">
        <v>2648</v>
      </c>
      <c r="L304" s="1" t="s">
        <v>2690</v>
      </c>
      <c r="M304" s="1" t="s">
        <v>2732</v>
      </c>
      <c r="R304" s="1" t="s">
        <v>1003</v>
      </c>
    </row>
    <row r="305" spans="1:18" x14ac:dyDescent="0.2">
      <c r="A305" s="1" t="s">
        <v>53</v>
      </c>
      <c r="E305" s="1" t="s">
        <v>2218</v>
      </c>
      <c r="F305" s="1" t="s">
        <v>2607</v>
      </c>
      <c r="G305" s="1" t="s">
        <v>2565</v>
      </c>
      <c r="J305" s="1" t="s">
        <v>309</v>
      </c>
      <c r="K305" s="1" t="s">
        <v>2649</v>
      </c>
      <c r="L305" s="1" t="s">
        <v>2691</v>
      </c>
      <c r="M305" s="1" t="s">
        <v>2733</v>
      </c>
      <c r="R305" s="1" t="s">
        <v>1004</v>
      </c>
    </row>
    <row r="306" spans="1:18" x14ac:dyDescent="0.2">
      <c r="A306" s="1" t="s">
        <v>53</v>
      </c>
      <c r="E306" s="1" t="s">
        <v>2219</v>
      </c>
      <c r="F306" s="1" t="s">
        <v>2608</v>
      </c>
      <c r="G306" s="1" t="s">
        <v>2566</v>
      </c>
      <c r="J306" s="1" t="s">
        <v>310</v>
      </c>
      <c r="K306" s="1" t="s">
        <v>2650</v>
      </c>
      <c r="L306" s="1" t="s">
        <v>2692</v>
      </c>
      <c r="M306" s="1" t="s">
        <v>2734</v>
      </c>
      <c r="R306" s="1" t="s">
        <v>1005</v>
      </c>
    </row>
    <row r="307" spans="1:18" x14ac:dyDescent="0.2">
      <c r="A307" s="1" t="s">
        <v>53</v>
      </c>
      <c r="E307" s="1" t="s">
        <v>2220</v>
      </c>
      <c r="F307" s="1" t="s">
        <v>2609</v>
      </c>
      <c r="G307" s="1" t="s">
        <v>2567</v>
      </c>
      <c r="J307" s="1" t="s">
        <v>311</v>
      </c>
      <c r="K307" s="1" t="s">
        <v>2651</v>
      </c>
      <c r="L307" s="1" t="s">
        <v>2693</v>
      </c>
      <c r="M307" s="1" t="s">
        <v>2735</v>
      </c>
      <c r="R307" s="1" t="s">
        <v>1006</v>
      </c>
    </row>
    <row r="308" spans="1:18" x14ac:dyDescent="0.2">
      <c r="A308" s="1" t="s">
        <v>53</v>
      </c>
      <c r="E308" s="1" t="s">
        <v>2221</v>
      </c>
      <c r="F308" s="1" t="s">
        <v>2610</v>
      </c>
      <c r="G308" s="1" t="s">
        <v>2568</v>
      </c>
      <c r="J308" s="1" t="s">
        <v>312</v>
      </c>
      <c r="K308" s="1" t="s">
        <v>2652</v>
      </c>
      <c r="L308" s="1" t="s">
        <v>2694</v>
      </c>
      <c r="M308" s="1" t="s">
        <v>2736</v>
      </c>
      <c r="R308" s="1" t="s">
        <v>1007</v>
      </c>
    </row>
    <row r="309" spans="1:18" x14ac:dyDescent="0.2">
      <c r="A309" s="1" t="s">
        <v>53</v>
      </c>
      <c r="E309" s="1" t="s">
        <v>2222</v>
      </c>
      <c r="F309" s="1" t="s">
        <v>2611</v>
      </c>
      <c r="G309" s="1" t="s">
        <v>2569</v>
      </c>
      <c r="J309" s="1" t="s">
        <v>313</v>
      </c>
      <c r="K309" s="1" t="s">
        <v>2653</v>
      </c>
      <c r="L309" s="1" t="s">
        <v>2695</v>
      </c>
      <c r="M309" s="1" t="s">
        <v>2737</v>
      </c>
      <c r="R309" s="1" t="s">
        <v>1008</v>
      </c>
    </row>
    <row r="310" spans="1:18" x14ac:dyDescent="0.2">
      <c r="A310" s="1" t="s">
        <v>53</v>
      </c>
      <c r="E310" s="1" t="s">
        <v>2223</v>
      </c>
      <c r="F310" s="1" t="s">
        <v>2612</v>
      </c>
      <c r="G310" s="1" t="s">
        <v>2570</v>
      </c>
      <c r="J310" s="1" t="s">
        <v>314</v>
      </c>
      <c r="K310" s="1" t="s">
        <v>2654</v>
      </c>
      <c r="L310" s="1" t="s">
        <v>2696</v>
      </c>
      <c r="M310" s="1" t="s">
        <v>2738</v>
      </c>
      <c r="R310" s="1" t="s">
        <v>1009</v>
      </c>
    </row>
    <row r="311" spans="1:18" x14ac:dyDescent="0.2">
      <c r="A311" s="1" t="s">
        <v>53</v>
      </c>
      <c r="E311" s="1" t="s">
        <v>2224</v>
      </c>
      <c r="F311" s="1" t="s">
        <v>2613</v>
      </c>
      <c r="G311" s="1" t="s">
        <v>2571</v>
      </c>
      <c r="J311" s="1" t="s">
        <v>315</v>
      </c>
      <c r="K311" s="1" t="s">
        <v>2655</v>
      </c>
      <c r="L311" s="1" t="s">
        <v>2697</v>
      </c>
      <c r="M311" s="1" t="s">
        <v>2739</v>
      </c>
      <c r="R311" s="1" t="s">
        <v>1010</v>
      </c>
    </row>
    <row r="312" spans="1:18" x14ac:dyDescent="0.2">
      <c r="A312" s="1" t="s">
        <v>53</v>
      </c>
      <c r="E312" s="1" t="s">
        <v>2225</v>
      </c>
      <c r="F312" s="1" t="s">
        <v>2614</v>
      </c>
      <c r="G312" s="1" t="s">
        <v>2572</v>
      </c>
      <c r="J312" s="1" t="s">
        <v>316</v>
      </c>
      <c r="K312" s="1" t="s">
        <v>2656</v>
      </c>
      <c r="L312" s="1" t="s">
        <v>2698</v>
      </c>
      <c r="M312" s="1" t="s">
        <v>2740</v>
      </c>
      <c r="R312" s="1" t="s">
        <v>1011</v>
      </c>
    </row>
    <row r="313" spans="1:18" x14ac:dyDescent="0.2">
      <c r="A313" s="1" t="s">
        <v>53</v>
      </c>
      <c r="E313" s="1" t="s">
        <v>2226</v>
      </c>
      <c r="F313" s="1" t="s">
        <v>2615</v>
      </c>
      <c r="G313" s="1" t="s">
        <v>2573</v>
      </c>
      <c r="J313" s="1" t="s">
        <v>317</v>
      </c>
      <c r="K313" s="1" t="s">
        <v>2657</v>
      </c>
      <c r="L313" s="1" t="s">
        <v>2699</v>
      </c>
      <c r="M313" s="1" t="s">
        <v>2741</v>
      </c>
      <c r="R313" s="1" t="s">
        <v>1012</v>
      </c>
    </row>
    <row r="314" spans="1:18" x14ac:dyDescent="0.2">
      <c r="A314" s="1" t="s">
        <v>53</v>
      </c>
      <c r="E314" s="1" t="s">
        <v>2227</v>
      </c>
      <c r="F314" s="1" t="s">
        <v>2616</v>
      </c>
      <c r="G314" s="1" t="s">
        <v>2574</v>
      </c>
      <c r="J314" s="1" t="s">
        <v>318</v>
      </c>
      <c r="K314" s="1" t="s">
        <v>2658</v>
      </c>
      <c r="L314" s="1" t="s">
        <v>2700</v>
      </c>
      <c r="M314" s="1" t="s">
        <v>2742</v>
      </c>
      <c r="R314" s="1" t="s">
        <v>1013</v>
      </c>
    </row>
    <row r="315" spans="1:18" x14ac:dyDescent="0.2">
      <c r="A315" s="1" t="s">
        <v>53</v>
      </c>
      <c r="E315" s="1" t="s">
        <v>2228</v>
      </c>
      <c r="F315" s="1" t="s">
        <v>2617</v>
      </c>
      <c r="G315" s="1" t="s">
        <v>2575</v>
      </c>
      <c r="J315" s="1" t="s">
        <v>319</v>
      </c>
      <c r="K315" s="1" t="s">
        <v>2659</v>
      </c>
      <c r="L315" s="1" t="s">
        <v>2701</v>
      </c>
      <c r="M315" s="1" t="s">
        <v>2743</v>
      </c>
      <c r="R315" s="1" t="s">
        <v>1014</v>
      </c>
    </row>
    <row r="316" spans="1:18" x14ac:dyDescent="0.2">
      <c r="A316" s="1" t="s">
        <v>53</v>
      </c>
      <c r="E316" s="1" t="s">
        <v>2229</v>
      </c>
      <c r="F316" s="1" t="s">
        <v>2618</v>
      </c>
      <c r="G316" s="1" t="s">
        <v>2576</v>
      </c>
      <c r="J316" s="1" t="s">
        <v>320</v>
      </c>
      <c r="K316" s="1" t="s">
        <v>2660</v>
      </c>
      <c r="L316" s="1" t="s">
        <v>2702</v>
      </c>
      <c r="M316" s="1" t="s">
        <v>2744</v>
      </c>
      <c r="R316" s="1" t="s">
        <v>1015</v>
      </c>
    </row>
    <row r="317" spans="1:18" x14ac:dyDescent="0.2">
      <c r="A317" s="1" t="s">
        <v>53</v>
      </c>
      <c r="E317" s="1" t="s">
        <v>2230</v>
      </c>
      <c r="F317" s="1" t="s">
        <v>2619</v>
      </c>
      <c r="G317" s="1" t="s">
        <v>2577</v>
      </c>
      <c r="J317" s="1" t="s">
        <v>321</v>
      </c>
      <c r="K317" s="1" t="s">
        <v>2661</v>
      </c>
      <c r="L317" s="1" t="s">
        <v>2703</v>
      </c>
      <c r="M317" s="1" t="s">
        <v>2745</v>
      </c>
      <c r="R317" s="1" t="s">
        <v>1016</v>
      </c>
    </row>
    <row r="318" spans="1:18" x14ac:dyDescent="0.2">
      <c r="A318" s="1" t="s">
        <v>53</v>
      </c>
      <c r="E318" s="1" t="s">
        <v>2231</v>
      </c>
      <c r="F318" s="1" t="s">
        <v>2620</v>
      </c>
      <c r="G318" s="1" t="s">
        <v>2578</v>
      </c>
      <c r="J318" s="1" t="s">
        <v>322</v>
      </c>
      <c r="K318" s="1" t="s">
        <v>2662</v>
      </c>
      <c r="L318" s="1" t="s">
        <v>2704</v>
      </c>
      <c r="M318" s="1" t="s">
        <v>2746</v>
      </c>
      <c r="R318" s="1" t="s">
        <v>1017</v>
      </c>
    </row>
    <row r="319" spans="1:18" x14ac:dyDescent="0.2">
      <c r="A319" s="1" t="s">
        <v>53</v>
      </c>
      <c r="E319" s="1" t="s">
        <v>2232</v>
      </c>
      <c r="F319" s="1" t="s">
        <v>2621</v>
      </c>
      <c r="G319" s="1" t="s">
        <v>2579</v>
      </c>
      <c r="J319" s="1" t="s">
        <v>323</v>
      </c>
      <c r="K319" s="1" t="s">
        <v>2663</v>
      </c>
      <c r="L319" s="1" t="s">
        <v>2705</v>
      </c>
      <c r="M319" s="1" t="s">
        <v>2747</v>
      </c>
      <c r="R319" s="1" t="s">
        <v>1018</v>
      </c>
    </row>
    <row r="320" spans="1:18" x14ac:dyDescent="0.2">
      <c r="A320" s="1" t="s">
        <v>53</v>
      </c>
      <c r="E320" s="1" t="s">
        <v>2233</v>
      </c>
      <c r="F320" s="1" t="s">
        <v>2622</v>
      </c>
      <c r="G320" s="1" t="s">
        <v>2580</v>
      </c>
      <c r="J320" s="1" t="s">
        <v>324</v>
      </c>
      <c r="K320" s="1" t="s">
        <v>2664</v>
      </c>
      <c r="L320" s="1" t="s">
        <v>2706</v>
      </c>
      <c r="M320" s="1" t="s">
        <v>2748</v>
      </c>
      <c r="R320" s="1" t="s">
        <v>1019</v>
      </c>
    </row>
    <row r="321" spans="1:18" x14ac:dyDescent="0.2">
      <c r="A321" s="1" t="s">
        <v>53</v>
      </c>
      <c r="E321" s="1" t="s">
        <v>2234</v>
      </c>
      <c r="F321" s="1" t="s">
        <v>2623</v>
      </c>
      <c r="G321" s="1" t="s">
        <v>2581</v>
      </c>
      <c r="J321" s="1" t="s">
        <v>325</v>
      </c>
      <c r="K321" s="1" t="s">
        <v>2665</v>
      </c>
      <c r="L321" s="1" t="s">
        <v>2707</v>
      </c>
      <c r="M321" s="1" t="s">
        <v>2749</v>
      </c>
      <c r="R321" s="1" t="s">
        <v>1020</v>
      </c>
    </row>
    <row r="322" spans="1:18" x14ac:dyDescent="0.2">
      <c r="A322" s="1" t="s">
        <v>53</v>
      </c>
      <c r="E322" s="1" t="s">
        <v>2235</v>
      </c>
      <c r="F322" s="1" t="s">
        <v>2624</v>
      </c>
      <c r="G322" s="1" t="s">
        <v>2582</v>
      </c>
      <c r="J322" s="1" t="s">
        <v>326</v>
      </c>
      <c r="K322" s="1" t="s">
        <v>2666</v>
      </c>
      <c r="L322" s="1" t="s">
        <v>2708</v>
      </c>
      <c r="M322" s="1" t="s">
        <v>2750</v>
      </c>
      <c r="R322" s="1" t="s">
        <v>1021</v>
      </c>
    </row>
    <row r="323" spans="1:18" x14ac:dyDescent="0.2">
      <c r="A323" s="1" t="s">
        <v>53</v>
      </c>
      <c r="E323" s="1" t="s">
        <v>2236</v>
      </c>
      <c r="F323" s="1" t="s">
        <v>2625</v>
      </c>
      <c r="G323" s="1" t="s">
        <v>2583</v>
      </c>
      <c r="J323" s="1" t="s">
        <v>327</v>
      </c>
      <c r="K323" s="1" t="s">
        <v>2667</v>
      </c>
      <c r="L323" s="1" t="s">
        <v>2709</v>
      </c>
      <c r="M323" s="1" t="s">
        <v>2751</v>
      </c>
      <c r="R323" s="1" t="s">
        <v>1022</v>
      </c>
    </row>
    <row r="324" spans="1:18" x14ac:dyDescent="0.2">
      <c r="A324" s="1" t="s">
        <v>53</v>
      </c>
      <c r="E324" s="1" t="s">
        <v>2237</v>
      </c>
      <c r="F324" s="1" t="s">
        <v>2626</v>
      </c>
      <c r="G324" s="1" t="s">
        <v>2584</v>
      </c>
      <c r="J324" s="1" t="s">
        <v>328</v>
      </c>
      <c r="K324" s="1" t="s">
        <v>2668</v>
      </c>
      <c r="L324" s="1" t="s">
        <v>2710</v>
      </c>
      <c r="M324" s="1" t="s">
        <v>2752</v>
      </c>
      <c r="R324" s="1" t="s">
        <v>1023</v>
      </c>
    </row>
    <row r="325" spans="1:18" x14ac:dyDescent="0.2">
      <c r="A325" s="1" t="s">
        <v>53</v>
      </c>
      <c r="E325" s="1" t="s">
        <v>2238</v>
      </c>
      <c r="F325" s="1" t="s">
        <v>2627</v>
      </c>
      <c r="G325" s="1" t="s">
        <v>2585</v>
      </c>
      <c r="J325" s="1" t="s">
        <v>329</v>
      </c>
      <c r="K325" s="1" t="s">
        <v>2669</v>
      </c>
      <c r="L325" s="1" t="s">
        <v>2711</v>
      </c>
      <c r="M325" s="1" t="s">
        <v>2753</v>
      </c>
      <c r="R325" s="1" t="s">
        <v>1024</v>
      </c>
    </row>
    <row r="326" spans="1:18" x14ac:dyDescent="0.2">
      <c r="A326" s="1" t="s">
        <v>53</v>
      </c>
      <c r="E326" s="1" t="s">
        <v>2239</v>
      </c>
      <c r="F326" s="1" t="s">
        <v>2628</v>
      </c>
      <c r="G326" s="1" t="s">
        <v>2586</v>
      </c>
      <c r="J326" s="1" t="s">
        <v>330</v>
      </c>
      <c r="K326" s="1" t="s">
        <v>2670</v>
      </c>
      <c r="L326" s="1" t="s">
        <v>2712</v>
      </c>
      <c r="M326" s="1" t="s">
        <v>2754</v>
      </c>
      <c r="R326" s="1" t="s">
        <v>1025</v>
      </c>
    </row>
    <row r="327" spans="1:18" x14ac:dyDescent="0.2">
      <c r="A327" s="1" t="s">
        <v>53</v>
      </c>
      <c r="E327" s="1" t="s">
        <v>2240</v>
      </c>
      <c r="F327" s="1" t="s">
        <v>2629</v>
      </c>
      <c r="G327" s="1" t="s">
        <v>2587</v>
      </c>
      <c r="J327" s="1" t="s">
        <v>331</v>
      </c>
      <c r="K327" s="1" t="s">
        <v>2671</v>
      </c>
      <c r="L327" s="1" t="s">
        <v>2713</v>
      </c>
      <c r="M327" s="1" t="s">
        <v>2755</v>
      </c>
      <c r="R327" s="1" t="s">
        <v>1026</v>
      </c>
    </row>
    <row r="328" spans="1:18" x14ac:dyDescent="0.2">
      <c r="A328" s="1" t="s">
        <v>53</v>
      </c>
      <c r="E328" s="1" t="s">
        <v>2241</v>
      </c>
      <c r="F328" s="1" t="s">
        <v>2630</v>
      </c>
      <c r="G328" s="1" t="s">
        <v>2588</v>
      </c>
      <c r="J328" s="1" t="s">
        <v>332</v>
      </c>
      <c r="K328" s="1" t="s">
        <v>2672</v>
      </c>
      <c r="L328" s="1" t="s">
        <v>2714</v>
      </c>
      <c r="M328" s="1" t="s">
        <v>2756</v>
      </c>
      <c r="R328" s="1" t="s">
        <v>1027</v>
      </c>
    </row>
    <row r="329" spans="1:18" x14ac:dyDescent="0.2">
      <c r="A329" s="1" t="s">
        <v>53</v>
      </c>
      <c r="E329" s="1" t="s">
        <v>2242</v>
      </c>
      <c r="F329" s="1" t="s">
        <v>2631</v>
      </c>
      <c r="G329" s="1" t="s">
        <v>2589</v>
      </c>
      <c r="J329" s="1" t="s">
        <v>333</v>
      </c>
      <c r="K329" s="1" t="s">
        <v>2673</v>
      </c>
      <c r="L329" s="1" t="s">
        <v>2715</v>
      </c>
      <c r="M329" s="1" t="s">
        <v>2757</v>
      </c>
      <c r="R329" s="1" t="s">
        <v>1028</v>
      </c>
    </row>
    <row r="330" spans="1:18" x14ac:dyDescent="0.2">
      <c r="A330" s="1" t="s">
        <v>1386</v>
      </c>
    </row>
    <row r="331" spans="1:18" x14ac:dyDescent="0.2">
      <c r="A331" s="1" t="s">
        <v>53</v>
      </c>
      <c r="C331" s="1" t="s">
        <v>1603</v>
      </c>
      <c r="D331" s="1" t="s">
        <v>1604</v>
      </c>
      <c r="F331" s="1" t="s">
        <v>10</v>
      </c>
      <c r="G331" s="1" t="s">
        <v>8</v>
      </c>
      <c r="H331" s="1" t="s">
        <v>1605</v>
      </c>
      <c r="I331" s="1" t="s">
        <v>1606</v>
      </c>
      <c r="J331" s="1" t="s">
        <v>1607</v>
      </c>
      <c r="N331" s="1" t="s">
        <v>1608</v>
      </c>
      <c r="O331" s="1" t="s">
        <v>5139</v>
      </c>
    </row>
    <row r="332" spans="1:18" x14ac:dyDescent="0.2">
      <c r="A332" s="1" t="s">
        <v>53</v>
      </c>
      <c r="E332" s="1" t="s">
        <v>1609</v>
      </c>
      <c r="F332" s="1" t="s">
        <v>2244</v>
      </c>
      <c r="G332" s="1" t="s">
        <v>2243</v>
      </c>
      <c r="J332" s="1" t="s">
        <v>334</v>
      </c>
      <c r="K332" s="1" t="s">
        <v>2245</v>
      </c>
      <c r="L332" s="1" t="s">
        <v>2246</v>
      </c>
      <c r="M332" s="1" t="s">
        <v>2247</v>
      </c>
      <c r="R332" s="1" t="s">
        <v>1029</v>
      </c>
    </row>
    <row r="333" spans="1:18" x14ac:dyDescent="0.2">
      <c r="A333" s="1" t="s">
        <v>1386</v>
      </c>
    </row>
    <row r="334" spans="1:18" x14ac:dyDescent="0.2">
      <c r="A334" s="1" t="s">
        <v>53</v>
      </c>
      <c r="C334" s="1" t="s">
        <v>1610</v>
      </c>
      <c r="D334" s="1" t="s">
        <v>1611</v>
      </c>
      <c r="F334" s="1" t="s">
        <v>10</v>
      </c>
      <c r="G334" s="1" t="s">
        <v>8</v>
      </c>
      <c r="H334" s="1" t="s">
        <v>1612</v>
      </c>
      <c r="I334" s="1" t="s">
        <v>1613</v>
      </c>
      <c r="J334" s="1" t="s">
        <v>1614</v>
      </c>
      <c r="N334" s="1" t="s">
        <v>1615</v>
      </c>
      <c r="O334" s="1" t="s">
        <v>5140</v>
      </c>
    </row>
    <row r="335" spans="1:18" x14ac:dyDescent="0.2">
      <c r="A335" s="1" t="s">
        <v>53</v>
      </c>
      <c r="E335" s="1" t="s">
        <v>1616</v>
      </c>
      <c r="F335" s="1" t="s">
        <v>2249</v>
      </c>
      <c r="G335" s="1" t="s">
        <v>2248</v>
      </c>
      <c r="J335" s="1" t="s">
        <v>335</v>
      </c>
      <c r="K335" s="1" t="s">
        <v>2250</v>
      </c>
      <c r="L335" s="1" t="s">
        <v>2251</v>
      </c>
      <c r="M335" s="1" t="s">
        <v>2252</v>
      </c>
      <c r="R335" s="1" t="s">
        <v>1030</v>
      </c>
    </row>
    <row r="336" spans="1:18" x14ac:dyDescent="0.2">
      <c r="A336" s="1" t="s">
        <v>53</v>
      </c>
      <c r="E336" s="1" t="s">
        <v>2253</v>
      </c>
      <c r="F336" s="1" t="s">
        <v>2255</v>
      </c>
      <c r="G336" s="1" t="s">
        <v>2254</v>
      </c>
      <c r="J336" s="1" t="s">
        <v>336</v>
      </c>
      <c r="K336" s="1" t="s">
        <v>2256</v>
      </c>
      <c r="L336" s="1" t="s">
        <v>2257</v>
      </c>
      <c r="M336" s="1" t="s">
        <v>2258</v>
      </c>
      <c r="R336" s="1" t="s">
        <v>1031</v>
      </c>
    </row>
    <row r="337" spans="1:18" x14ac:dyDescent="0.2">
      <c r="A337" s="1" t="s">
        <v>1386</v>
      </c>
    </row>
    <row r="338" spans="1:18" x14ac:dyDescent="0.2">
      <c r="A338" s="1" t="s">
        <v>53</v>
      </c>
      <c r="C338" s="1" t="s">
        <v>1617</v>
      </c>
      <c r="D338" s="1" t="s">
        <v>1618</v>
      </c>
      <c r="F338" s="1" t="s">
        <v>10</v>
      </c>
      <c r="G338" s="1" t="s">
        <v>8</v>
      </c>
      <c r="H338" s="1" t="s">
        <v>1619</v>
      </c>
      <c r="I338" s="1" t="s">
        <v>1620</v>
      </c>
      <c r="J338" s="1" t="s">
        <v>1621</v>
      </c>
      <c r="N338" s="1" t="s">
        <v>1622</v>
      </c>
      <c r="O338" s="1" t="s">
        <v>5141</v>
      </c>
    </row>
    <row r="339" spans="1:18" x14ac:dyDescent="0.2">
      <c r="A339" s="1" t="s">
        <v>53</v>
      </c>
      <c r="E339" s="1" t="s">
        <v>1623</v>
      </c>
      <c r="F339" s="1" t="s">
        <v>1624</v>
      </c>
      <c r="G339" s="1" t="s">
        <v>337</v>
      </c>
      <c r="J339" s="1" t="s">
        <v>339</v>
      </c>
      <c r="K339" s="1" t="s">
        <v>340</v>
      </c>
      <c r="L339" s="1" t="s">
        <v>338</v>
      </c>
      <c r="M339" s="1" t="s">
        <v>1625</v>
      </c>
      <c r="R339" s="1" t="s">
        <v>1032</v>
      </c>
    </row>
    <row r="340" spans="1:18" x14ac:dyDescent="0.2">
      <c r="A340" s="1" t="s">
        <v>1386</v>
      </c>
    </row>
    <row r="341" spans="1:18" x14ac:dyDescent="0.2">
      <c r="A341" s="1" t="s">
        <v>53</v>
      </c>
      <c r="C341" s="1" t="s">
        <v>1626</v>
      </c>
      <c r="D341" s="1" t="s">
        <v>1627</v>
      </c>
      <c r="F341" s="1" t="s">
        <v>10</v>
      </c>
      <c r="G341" s="1" t="s">
        <v>8</v>
      </c>
      <c r="H341" s="1" t="s">
        <v>1628</v>
      </c>
      <c r="I341" s="1" t="s">
        <v>1629</v>
      </c>
      <c r="J341" s="1" t="s">
        <v>1630</v>
      </c>
      <c r="N341" s="1" t="s">
        <v>1631</v>
      </c>
      <c r="O341" s="1" t="s">
        <v>5142</v>
      </c>
    </row>
    <row r="342" spans="1:18" x14ac:dyDescent="0.2">
      <c r="A342" s="1" t="s">
        <v>53</v>
      </c>
      <c r="E342" s="1" t="s">
        <v>1632</v>
      </c>
      <c r="F342" s="1" t="s">
        <v>1633</v>
      </c>
      <c r="G342" s="1" t="s">
        <v>341</v>
      </c>
      <c r="J342" s="1" t="s">
        <v>343</v>
      </c>
      <c r="K342" s="1" t="s">
        <v>344</v>
      </c>
      <c r="L342" s="1" t="s">
        <v>342</v>
      </c>
      <c r="M342" s="1" t="s">
        <v>1634</v>
      </c>
      <c r="R342" s="1" t="s">
        <v>1033</v>
      </c>
    </row>
    <row r="343" spans="1:18" x14ac:dyDescent="0.2">
      <c r="A343" s="1" t="s">
        <v>1386</v>
      </c>
    </row>
    <row r="344" spans="1:18" x14ac:dyDescent="0.2">
      <c r="A344" s="1" t="s">
        <v>53</v>
      </c>
      <c r="C344" s="1" t="s">
        <v>1635</v>
      </c>
      <c r="D344" s="1" t="s">
        <v>1636</v>
      </c>
      <c r="F344" s="1" t="s">
        <v>10</v>
      </c>
      <c r="G344" s="1" t="s">
        <v>8</v>
      </c>
      <c r="H344" s="1" t="s">
        <v>1637</v>
      </c>
      <c r="I344" s="1" t="s">
        <v>1638</v>
      </c>
      <c r="J344" s="1" t="s">
        <v>1639</v>
      </c>
      <c r="N344" s="1" t="s">
        <v>1640</v>
      </c>
      <c r="O344" s="1" t="s">
        <v>5143</v>
      </c>
    </row>
    <row r="345" spans="1:18" x14ac:dyDescent="0.2">
      <c r="A345" s="1" t="s">
        <v>53</v>
      </c>
      <c r="E345" s="1" t="s">
        <v>1641</v>
      </c>
      <c r="F345" s="1" t="s">
        <v>1642</v>
      </c>
      <c r="G345" s="1" t="s">
        <v>345</v>
      </c>
      <c r="J345" s="1" t="s">
        <v>347</v>
      </c>
      <c r="K345" s="1" t="s">
        <v>348</v>
      </c>
      <c r="L345" s="1" t="s">
        <v>346</v>
      </c>
      <c r="M345" s="1" t="s">
        <v>1643</v>
      </c>
      <c r="R345" s="1" t="s">
        <v>1034</v>
      </c>
    </row>
    <row r="346" spans="1:18" x14ac:dyDescent="0.2">
      <c r="A346" s="1" t="s">
        <v>1386</v>
      </c>
    </row>
    <row r="347" spans="1:18" x14ac:dyDescent="0.2">
      <c r="A347" s="1" t="s">
        <v>53</v>
      </c>
      <c r="C347" s="1" t="s">
        <v>1644</v>
      </c>
      <c r="D347" s="1" t="s">
        <v>1645</v>
      </c>
      <c r="F347" s="1" t="s">
        <v>10</v>
      </c>
      <c r="G347" s="1" t="s">
        <v>8</v>
      </c>
      <c r="H347" s="1" t="s">
        <v>1646</v>
      </c>
      <c r="I347" s="1" t="s">
        <v>1647</v>
      </c>
      <c r="J347" s="1" t="s">
        <v>1648</v>
      </c>
      <c r="N347" s="1" t="s">
        <v>1649</v>
      </c>
      <c r="O347" s="1" t="s">
        <v>5144</v>
      </c>
    </row>
    <row r="348" spans="1:18" x14ac:dyDescent="0.2">
      <c r="A348" s="1" t="s">
        <v>53</v>
      </c>
      <c r="E348" s="1" t="s">
        <v>1650</v>
      </c>
      <c r="F348" s="1" t="s">
        <v>1651</v>
      </c>
      <c r="G348" s="1" t="s">
        <v>349</v>
      </c>
      <c r="J348" s="1" t="s">
        <v>351</v>
      </c>
      <c r="K348" s="1" t="s">
        <v>352</v>
      </c>
      <c r="L348" s="1" t="s">
        <v>350</v>
      </c>
      <c r="M348" s="1" t="s">
        <v>1652</v>
      </c>
      <c r="R348" s="1" t="s">
        <v>1035</v>
      </c>
    </row>
    <row r="349" spans="1:18" x14ac:dyDescent="0.2">
      <c r="A349" s="1" t="s">
        <v>1386</v>
      </c>
    </row>
    <row r="350" spans="1:18" x14ac:dyDescent="0.2">
      <c r="A350" s="1" t="s">
        <v>53</v>
      </c>
      <c r="C350" s="1" t="s">
        <v>1653</v>
      </c>
      <c r="D350" s="1" t="s">
        <v>1654</v>
      </c>
      <c r="F350" s="1" t="s">
        <v>10</v>
      </c>
      <c r="G350" s="1" t="s">
        <v>8</v>
      </c>
      <c r="H350" s="1" t="s">
        <v>1655</v>
      </c>
      <c r="I350" s="1" t="s">
        <v>1656</v>
      </c>
      <c r="J350" s="1" t="s">
        <v>1657</v>
      </c>
      <c r="N350" s="1" t="s">
        <v>1658</v>
      </c>
      <c r="O350" s="1" t="s">
        <v>5145</v>
      </c>
    </row>
    <row r="351" spans="1:18" x14ac:dyDescent="0.2">
      <c r="A351" s="1" t="s">
        <v>53</v>
      </c>
      <c r="E351" s="1" t="s">
        <v>1659</v>
      </c>
      <c r="F351" s="1" t="s">
        <v>1660</v>
      </c>
      <c r="G351" s="1" t="s">
        <v>353</v>
      </c>
      <c r="J351" s="1" t="s">
        <v>355</v>
      </c>
      <c r="K351" s="1" t="s">
        <v>356</v>
      </c>
      <c r="L351" s="1" t="s">
        <v>354</v>
      </c>
      <c r="M351" s="1" t="s">
        <v>1661</v>
      </c>
      <c r="R351" s="1" t="s">
        <v>1036</v>
      </c>
    </row>
    <row r="352" spans="1:18" x14ac:dyDescent="0.2">
      <c r="A352" s="1" t="s">
        <v>1386</v>
      </c>
    </row>
    <row r="353" spans="1:18" x14ac:dyDescent="0.2">
      <c r="A353" s="1" t="s">
        <v>53</v>
      </c>
      <c r="C353" s="1" t="s">
        <v>1662</v>
      </c>
      <c r="D353" s="1" t="s">
        <v>1663</v>
      </c>
      <c r="F353" s="1" t="s">
        <v>10</v>
      </c>
      <c r="G353" s="1" t="s">
        <v>8</v>
      </c>
      <c r="H353" s="1" t="s">
        <v>1664</v>
      </c>
      <c r="I353" s="1" t="s">
        <v>1665</v>
      </c>
      <c r="J353" s="1" t="s">
        <v>1666</v>
      </c>
      <c r="N353" s="1" t="s">
        <v>1667</v>
      </c>
      <c r="O353" s="1" t="s">
        <v>5146</v>
      </c>
    </row>
    <row r="354" spans="1:18" x14ac:dyDescent="0.2">
      <c r="A354" s="1" t="s">
        <v>53</v>
      </c>
      <c r="E354" s="1" t="s">
        <v>1668</v>
      </c>
      <c r="F354" s="1" t="s">
        <v>1669</v>
      </c>
      <c r="G354" s="1" t="s">
        <v>357</v>
      </c>
      <c r="J354" s="1" t="s">
        <v>359</v>
      </c>
      <c r="K354" s="1" t="s">
        <v>360</v>
      </c>
      <c r="L354" s="1" t="s">
        <v>358</v>
      </c>
      <c r="M354" s="1" t="s">
        <v>1670</v>
      </c>
      <c r="R354" s="1" t="s">
        <v>1037</v>
      </c>
    </row>
    <row r="355" spans="1:18" x14ac:dyDescent="0.2">
      <c r="A355" s="1" t="s">
        <v>1386</v>
      </c>
    </row>
    <row r="356" spans="1:18" x14ac:dyDescent="0.2">
      <c r="A356" s="1" t="s">
        <v>53</v>
      </c>
      <c r="C356" s="1" t="s">
        <v>1671</v>
      </c>
      <c r="D356" s="1" t="s">
        <v>1672</v>
      </c>
      <c r="F356" s="1" t="s">
        <v>10</v>
      </c>
      <c r="G356" s="1" t="s">
        <v>8</v>
      </c>
      <c r="H356" s="1" t="s">
        <v>1673</v>
      </c>
      <c r="I356" s="1" t="s">
        <v>1674</v>
      </c>
      <c r="J356" s="1" t="s">
        <v>1675</v>
      </c>
      <c r="N356" s="1" t="s">
        <v>1676</v>
      </c>
      <c r="O356" s="1" t="s">
        <v>5147</v>
      </c>
    </row>
    <row r="357" spans="1:18" x14ac:dyDescent="0.2">
      <c r="A357" s="1" t="s">
        <v>53</v>
      </c>
      <c r="E357" s="1" t="s">
        <v>1677</v>
      </c>
      <c r="F357" s="1" t="s">
        <v>1678</v>
      </c>
      <c r="G357" s="1" t="s">
        <v>361</v>
      </c>
      <c r="J357" s="1" t="s">
        <v>363</v>
      </c>
      <c r="K357" s="1" t="s">
        <v>364</v>
      </c>
      <c r="L357" s="1" t="s">
        <v>362</v>
      </c>
      <c r="M357" s="1" t="s">
        <v>1679</v>
      </c>
      <c r="R357" s="1" t="s">
        <v>1038</v>
      </c>
    </row>
    <row r="358" spans="1:18" x14ac:dyDescent="0.2">
      <c r="A358" s="1" t="s">
        <v>1386</v>
      </c>
    </row>
    <row r="359" spans="1:18" x14ac:dyDescent="0.2">
      <c r="A359" s="1" t="s">
        <v>53</v>
      </c>
      <c r="C359" s="1" t="s">
        <v>1680</v>
      </c>
      <c r="D359" s="1" t="s">
        <v>1681</v>
      </c>
      <c r="F359" s="1" t="s">
        <v>10</v>
      </c>
      <c r="G359" s="1" t="s">
        <v>8</v>
      </c>
      <c r="H359" s="1" t="s">
        <v>1682</v>
      </c>
      <c r="I359" s="1" t="s">
        <v>1683</v>
      </c>
      <c r="J359" s="1" t="s">
        <v>1684</v>
      </c>
      <c r="N359" s="1" t="s">
        <v>1685</v>
      </c>
      <c r="O359" s="1" t="s">
        <v>5148</v>
      </c>
    </row>
    <row r="360" spans="1:18" x14ac:dyDescent="0.2">
      <c r="A360" s="1" t="s">
        <v>53</v>
      </c>
      <c r="E360" s="1" t="s">
        <v>1686</v>
      </c>
      <c r="F360" s="1" t="s">
        <v>1687</v>
      </c>
      <c r="G360" s="1" t="s">
        <v>365</v>
      </c>
      <c r="J360" s="1" t="s">
        <v>367</v>
      </c>
      <c r="K360" s="1" t="s">
        <v>368</v>
      </c>
      <c r="L360" s="1" t="s">
        <v>366</v>
      </c>
      <c r="M360" s="1" t="s">
        <v>1688</v>
      </c>
      <c r="R360" s="1" t="s">
        <v>1039</v>
      </c>
    </row>
    <row r="361" spans="1:18" x14ac:dyDescent="0.2">
      <c r="A361" s="1" t="s">
        <v>1386</v>
      </c>
    </row>
    <row r="362" spans="1:18" x14ac:dyDescent="0.2">
      <c r="A362" s="1" t="s">
        <v>53</v>
      </c>
      <c r="C362" s="1" t="s">
        <v>1689</v>
      </c>
      <c r="D362" s="1" t="s">
        <v>1690</v>
      </c>
      <c r="F362" s="1" t="s">
        <v>10</v>
      </c>
      <c r="G362" s="1" t="s">
        <v>8</v>
      </c>
      <c r="H362" s="1" t="s">
        <v>1691</v>
      </c>
      <c r="I362" s="1" t="s">
        <v>1692</v>
      </c>
      <c r="J362" s="1" t="s">
        <v>1693</v>
      </c>
      <c r="N362" s="1" t="s">
        <v>1694</v>
      </c>
      <c r="O362" s="1" t="s">
        <v>5149</v>
      </c>
    </row>
    <row r="363" spans="1:18" x14ac:dyDescent="0.2">
      <c r="A363" s="1" t="s">
        <v>53</v>
      </c>
      <c r="E363" s="1" t="s">
        <v>1695</v>
      </c>
      <c r="F363" s="1" t="s">
        <v>1696</v>
      </c>
      <c r="G363" s="1" t="s">
        <v>369</v>
      </c>
      <c r="J363" s="1" t="s">
        <v>371</v>
      </c>
      <c r="K363" s="1" t="s">
        <v>372</v>
      </c>
      <c r="L363" s="1" t="s">
        <v>370</v>
      </c>
      <c r="M363" s="1" t="s">
        <v>1697</v>
      </c>
      <c r="R363" s="1" t="s">
        <v>1040</v>
      </c>
    </row>
    <row r="364" spans="1:18" x14ac:dyDescent="0.2">
      <c r="A364" s="1" t="s">
        <v>1386</v>
      </c>
    </row>
    <row r="365" spans="1:18" x14ac:dyDescent="0.2">
      <c r="A365" s="1" t="s">
        <v>53</v>
      </c>
      <c r="C365" s="1" t="s">
        <v>1698</v>
      </c>
      <c r="D365" s="1" t="s">
        <v>1699</v>
      </c>
      <c r="F365" s="1" t="s">
        <v>10</v>
      </c>
      <c r="G365" s="1" t="s">
        <v>8</v>
      </c>
      <c r="H365" s="1" t="s">
        <v>1700</v>
      </c>
      <c r="I365" s="1" t="s">
        <v>1701</v>
      </c>
      <c r="J365" s="1" t="s">
        <v>1702</v>
      </c>
      <c r="N365" s="1" t="s">
        <v>1703</v>
      </c>
      <c r="O365" s="1" t="s">
        <v>5150</v>
      </c>
    </row>
    <row r="366" spans="1:18" x14ac:dyDescent="0.2">
      <c r="A366" s="1" t="s">
        <v>53</v>
      </c>
      <c r="E366" s="1" t="s">
        <v>1704</v>
      </c>
      <c r="F366" s="1" t="s">
        <v>1705</v>
      </c>
      <c r="G366" s="1" t="s">
        <v>373</v>
      </c>
      <c r="J366" s="1" t="s">
        <v>375</v>
      </c>
      <c r="K366" s="1" t="s">
        <v>376</v>
      </c>
      <c r="L366" s="1" t="s">
        <v>374</v>
      </c>
      <c r="M366" s="1" t="s">
        <v>1706</v>
      </c>
      <c r="R366" s="1" t="s">
        <v>1041</v>
      </c>
    </row>
    <row r="367" spans="1:18" x14ac:dyDescent="0.2">
      <c r="A367" s="1" t="s">
        <v>1386</v>
      </c>
    </row>
    <row r="368" spans="1:18" x14ac:dyDescent="0.2">
      <c r="A368" s="1" t="s">
        <v>53</v>
      </c>
      <c r="C368" s="1" t="s">
        <v>1707</v>
      </c>
      <c r="D368" s="1" t="s">
        <v>1708</v>
      </c>
      <c r="F368" s="1" t="s">
        <v>10</v>
      </c>
      <c r="G368" s="1" t="s">
        <v>8</v>
      </c>
      <c r="H368" s="1" t="s">
        <v>1709</v>
      </c>
      <c r="I368" s="1" t="s">
        <v>1710</v>
      </c>
      <c r="J368" s="1" t="s">
        <v>1711</v>
      </c>
      <c r="N368" s="1" t="s">
        <v>1712</v>
      </c>
      <c r="O368" s="1" t="s">
        <v>5151</v>
      </c>
    </row>
    <row r="369" spans="1:18" x14ac:dyDescent="0.2">
      <c r="A369" s="1" t="s">
        <v>53</v>
      </c>
      <c r="E369" s="1" t="s">
        <v>1713</v>
      </c>
      <c r="F369" s="1" t="s">
        <v>1714</v>
      </c>
      <c r="G369" s="1" t="s">
        <v>377</v>
      </c>
      <c r="J369" s="1" t="s">
        <v>379</v>
      </c>
      <c r="K369" s="1" t="s">
        <v>380</v>
      </c>
      <c r="L369" s="1" t="s">
        <v>378</v>
      </c>
      <c r="M369" s="1" t="s">
        <v>1715</v>
      </c>
      <c r="R369" s="1" t="s">
        <v>1042</v>
      </c>
    </row>
    <row r="370" spans="1:18" x14ac:dyDescent="0.2">
      <c r="A370" s="1" t="s">
        <v>1386</v>
      </c>
    </row>
    <row r="371" spans="1:18" x14ac:dyDescent="0.2">
      <c r="A371" s="1" t="s">
        <v>53</v>
      </c>
      <c r="C371" s="1" t="s">
        <v>1716</v>
      </c>
      <c r="D371" s="1" t="s">
        <v>1717</v>
      </c>
      <c r="F371" s="1" t="s">
        <v>10</v>
      </c>
      <c r="G371" s="1" t="s">
        <v>8</v>
      </c>
      <c r="H371" s="1" t="s">
        <v>1718</v>
      </c>
      <c r="I371" s="1" t="s">
        <v>1719</v>
      </c>
      <c r="J371" s="1" t="s">
        <v>1720</v>
      </c>
      <c r="N371" s="1" t="s">
        <v>1721</v>
      </c>
      <c r="O371" s="1" t="s">
        <v>5152</v>
      </c>
    </row>
    <row r="372" spans="1:18" x14ac:dyDescent="0.2">
      <c r="A372" s="1" t="s">
        <v>53</v>
      </c>
      <c r="E372" s="1" t="s">
        <v>1722</v>
      </c>
      <c r="F372" s="1" t="s">
        <v>1723</v>
      </c>
      <c r="G372" s="1" t="s">
        <v>381</v>
      </c>
      <c r="J372" s="1" t="s">
        <v>383</v>
      </c>
      <c r="K372" s="1" t="s">
        <v>384</v>
      </c>
      <c r="L372" s="1" t="s">
        <v>382</v>
      </c>
      <c r="M372" s="1" t="s">
        <v>1724</v>
      </c>
      <c r="R372" s="1" t="s">
        <v>1043</v>
      </c>
    </row>
    <row r="373" spans="1:18" x14ac:dyDescent="0.2">
      <c r="A373" s="1" t="s">
        <v>1386</v>
      </c>
    </row>
    <row r="374" spans="1:18" x14ac:dyDescent="0.2">
      <c r="A374" s="1" t="s">
        <v>53</v>
      </c>
      <c r="C374" s="1" t="s">
        <v>1725</v>
      </c>
      <c r="H374" s="1" t="s">
        <v>1726</v>
      </c>
    </row>
    <row r="375" spans="1:18" x14ac:dyDescent="0.2">
      <c r="A375" s="1" t="s">
        <v>53</v>
      </c>
      <c r="C375" s="1" t="s">
        <v>1727</v>
      </c>
      <c r="D375" s="1" t="s">
        <v>1728</v>
      </c>
      <c r="F375" s="1" t="s">
        <v>10</v>
      </c>
      <c r="G375" s="1" t="s">
        <v>8</v>
      </c>
      <c r="H375" s="1" t="s">
        <v>1729</v>
      </c>
      <c r="I375" s="1" t="s">
        <v>1730</v>
      </c>
      <c r="J375" s="1" t="s">
        <v>1731</v>
      </c>
      <c r="N375" s="1" t="s">
        <v>1732</v>
      </c>
      <c r="O375" s="1" t="s">
        <v>5153</v>
      </c>
    </row>
    <row r="376" spans="1:18" x14ac:dyDescent="0.2">
      <c r="A376" s="1" t="s">
        <v>53</v>
      </c>
      <c r="E376" s="1" t="s">
        <v>1733</v>
      </c>
      <c r="F376" s="1" t="s">
        <v>4809</v>
      </c>
      <c r="G376" s="1" t="s">
        <v>4803</v>
      </c>
      <c r="J376" s="1" t="s">
        <v>385</v>
      </c>
      <c r="K376" s="1" t="s">
        <v>4815</v>
      </c>
      <c r="L376" s="1" t="s">
        <v>4821</v>
      </c>
      <c r="M376" s="1" t="s">
        <v>4827</v>
      </c>
      <c r="R376" s="1" t="s">
        <v>1044</v>
      </c>
    </row>
    <row r="377" spans="1:18" x14ac:dyDescent="0.2">
      <c r="A377" s="1" t="s">
        <v>53</v>
      </c>
      <c r="E377" s="1" t="s">
        <v>2259</v>
      </c>
      <c r="F377" s="1" t="s">
        <v>4810</v>
      </c>
      <c r="G377" s="1" t="s">
        <v>4804</v>
      </c>
      <c r="J377" s="1" t="s">
        <v>386</v>
      </c>
      <c r="K377" s="1" t="s">
        <v>4816</v>
      </c>
      <c r="L377" s="1" t="s">
        <v>4822</v>
      </c>
      <c r="M377" s="1" t="s">
        <v>4828</v>
      </c>
      <c r="R377" s="1" t="s">
        <v>1045</v>
      </c>
    </row>
    <row r="378" spans="1:18" x14ac:dyDescent="0.2">
      <c r="A378" s="1" t="s">
        <v>53</v>
      </c>
      <c r="E378" s="1" t="s">
        <v>2260</v>
      </c>
      <c r="F378" s="1" t="s">
        <v>4811</v>
      </c>
      <c r="G378" s="1" t="s">
        <v>4805</v>
      </c>
      <c r="J378" s="1" t="s">
        <v>387</v>
      </c>
      <c r="K378" s="1" t="s">
        <v>4817</v>
      </c>
      <c r="L378" s="1" t="s">
        <v>4823</v>
      </c>
      <c r="M378" s="1" t="s">
        <v>4829</v>
      </c>
      <c r="R378" s="1" t="s">
        <v>1046</v>
      </c>
    </row>
    <row r="379" spans="1:18" x14ac:dyDescent="0.2">
      <c r="A379" s="1" t="s">
        <v>53</v>
      </c>
      <c r="E379" s="1" t="s">
        <v>2261</v>
      </c>
      <c r="F379" s="1" t="s">
        <v>4812</v>
      </c>
      <c r="G379" s="1" t="s">
        <v>4806</v>
      </c>
      <c r="J379" s="1" t="s">
        <v>388</v>
      </c>
      <c r="K379" s="1" t="s">
        <v>4818</v>
      </c>
      <c r="L379" s="1" t="s">
        <v>4824</v>
      </c>
      <c r="M379" s="1" t="s">
        <v>4830</v>
      </c>
      <c r="R379" s="1" t="s">
        <v>1047</v>
      </c>
    </row>
    <row r="380" spans="1:18" x14ac:dyDescent="0.2">
      <c r="A380" s="1" t="s">
        <v>53</v>
      </c>
      <c r="E380" s="1" t="s">
        <v>2262</v>
      </c>
      <c r="F380" s="1" t="s">
        <v>4813</v>
      </c>
      <c r="G380" s="1" t="s">
        <v>4807</v>
      </c>
      <c r="J380" s="1" t="s">
        <v>389</v>
      </c>
      <c r="K380" s="1" t="s">
        <v>4819</v>
      </c>
      <c r="L380" s="1" t="s">
        <v>4825</v>
      </c>
      <c r="M380" s="1" t="s">
        <v>4831</v>
      </c>
      <c r="R380" s="1" t="s">
        <v>1048</v>
      </c>
    </row>
    <row r="381" spans="1:18" x14ac:dyDescent="0.2">
      <c r="A381" s="1" t="s">
        <v>53</v>
      </c>
      <c r="E381" s="1" t="s">
        <v>2263</v>
      </c>
      <c r="F381" s="1" t="s">
        <v>4814</v>
      </c>
      <c r="G381" s="1" t="s">
        <v>4808</v>
      </c>
      <c r="J381" s="1" t="s">
        <v>390</v>
      </c>
      <c r="K381" s="1" t="s">
        <v>4820</v>
      </c>
      <c r="L381" s="1" t="s">
        <v>4826</v>
      </c>
      <c r="M381" s="1" t="s">
        <v>4832</v>
      </c>
      <c r="R381" s="1" t="s">
        <v>1049</v>
      </c>
    </row>
    <row r="382" spans="1:18" x14ac:dyDescent="0.2">
      <c r="A382" s="1" t="s">
        <v>1386</v>
      </c>
    </row>
    <row r="383" spans="1:18" x14ac:dyDescent="0.2">
      <c r="A383" s="1" t="s">
        <v>53</v>
      </c>
      <c r="C383" s="1" t="s">
        <v>1734</v>
      </c>
      <c r="D383" s="1" t="s">
        <v>1735</v>
      </c>
      <c r="F383" s="1" t="s">
        <v>10</v>
      </c>
      <c r="G383" s="1" t="s">
        <v>8</v>
      </c>
      <c r="H383" s="1" t="s">
        <v>1736</v>
      </c>
      <c r="I383" s="1" t="s">
        <v>1737</v>
      </c>
      <c r="J383" s="1" t="s">
        <v>1738</v>
      </c>
      <c r="N383" s="1" t="s">
        <v>1739</v>
      </c>
      <c r="O383" s="1" t="s">
        <v>5154</v>
      </c>
    </row>
    <row r="384" spans="1:18" x14ac:dyDescent="0.2">
      <c r="A384" s="1" t="s">
        <v>53</v>
      </c>
      <c r="E384" s="1" t="s">
        <v>1740</v>
      </c>
      <c r="F384" s="1" t="s">
        <v>1741</v>
      </c>
      <c r="G384" s="1" t="s">
        <v>391</v>
      </c>
      <c r="J384" s="1" t="s">
        <v>393</v>
      </c>
      <c r="K384" s="1" t="s">
        <v>394</v>
      </c>
      <c r="L384" s="1" t="s">
        <v>392</v>
      </c>
      <c r="M384" s="1" t="s">
        <v>1742</v>
      </c>
      <c r="R384" s="1" t="s">
        <v>1050</v>
      </c>
    </row>
    <row r="385" spans="1:18" x14ac:dyDescent="0.2">
      <c r="A385" s="1" t="s">
        <v>1386</v>
      </c>
    </row>
    <row r="386" spans="1:18" x14ac:dyDescent="0.2">
      <c r="A386" s="1" t="s">
        <v>53</v>
      </c>
      <c r="C386" s="1" t="s">
        <v>1743</v>
      </c>
      <c r="D386" s="1" t="s">
        <v>1744</v>
      </c>
      <c r="F386" s="1" t="s">
        <v>10</v>
      </c>
      <c r="G386" s="1" t="s">
        <v>8</v>
      </c>
      <c r="H386" s="1" t="s">
        <v>1745</v>
      </c>
      <c r="I386" s="1" t="s">
        <v>1746</v>
      </c>
      <c r="J386" s="1" t="s">
        <v>1747</v>
      </c>
      <c r="N386" s="1" t="s">
        <v>1748</v>
      </c>
      <c r="O386" s="1" t="s">
        <v>5155</v>
      </c>
    </row>
    <row r="387" spans="1:18" x14ac:dyDescent="0.2">
      <c r="A387" s="1" t="s">
        <v>53</v>
      </c>
      <c r="E387" s="1" t="s">
        <v>1749</v>
      </c>
      <c r="F387" s="1" t="s">
        <v>1750</v>
      </c>
      <c r="G387" s="1" t="s">
        <v>395</v>
      </c>
      <c r="J387" s="1" t="s">
        <v>397</v>
      </c>
      <c r="K387" s="1" t="s">
        <v>398</v>
      </c>
      <c r="L387" s="1" t="s">
        <v>396</v>
      </c>
      <c r="M387" s="1" t="s">
        <v>1751</v>
      </c>
      <c r="R387" s="1" t="s">
        <v>1051</v>
      </c>
    </row>
    <row r="388" spans="1:18" x14ac:dyDescent="0.2">
      <c r="A388" s="1" t="s">
        <v>1386</v>
      </c>
    </row>
    <row r="389" spans="1:18" x14ac:dyDescent="0.2">
      <c r="A389" s="1" t="s">
        <v>53</v>
      </c>
      <c r="C389" s="1" t="s">
        <v>1752</v>
      </c>
      <c r="D389" s="1" t="s">
        <v>1753</v>
      </c>
      <c r="F389" s="1" t="s">
        <v>10</v>
      </c>
      <c r="G389" s="1" t="s">
        <v>8</v>
      </c>
      <c r="H389" s="1" t="s">
        <v>1754</v>
      </c>
      <c r="I389" s="1" t="s">
        <v>1755</v>
      </c>
      <c r="J389" s="1" t="s">
        <v>1756</v>
      </c>
      <c r="N389" s="1" t="s">
        <v>1757</v>
      </c>
      <c r="O389" s="1" t="s">
        <v>5156</v>
      </c>
    </row>
    <row r="390" spans="1:18" x14ac:dyDescent="0.2">
      <c r="A390" s="1" t="s">
        <v>53</v>
      </c>
      <c r="E390" s="1" t="s">
        <v>1758</v>
      </c>
      <c r="F390" s="1" t="s">
        <v>5036</v>
      </c>
      <c r="G390" s="1" t="s">
        <v>5018</v>
      </c>
      <c r="J390" s="1" t="s">
        <v>399</v>
      </c>
      <c r="K390" s="1" t="s">
        <v>5054</v>
      </c>
      <c r="L390" s="1" t="s">
        <v>5072</v>
      </c>
      <c r="M390" s="1" t="s">
        <v>5090</v>
      </c>
      <c r="R390" s="1" t="s">
        <v>1052</v>
      </c>
    </row>
    <row r="391" spans="1:18" x14ac:dyDescent="0.2">
      <c r="A391" s="1" t="s">
        <v>53</v>
      </c>
      <c r="E391" s="1" t="s">
        <v>2264</v>
      </c>
      <c r="F391" s="1" t="s">
        <v>5037</v>
      </c>
      <c r="G391" s="1" t="s">
        <v>5019</v>
      </c>
      <c r="J391" s="1" t="s">
        <v>400</v>
      </c>
      <c r="K391" s="1" t="s">
        <v>5055</v>
      </c>
      <c r="L391" s="1" t="s">
        <v>5073</v>
      </c>
      <c r="M391" s="1" t="s">
        <v>5091</v>
      </c>
      <c r="R391" s="1" t="s">
        <v>1053</v>
      </c>
    </row>
    <row r="392" spans="1:18" x14ac:dyDescent="0.2">
      <c r="A392" s="1" t="s">
        <v>53</v>
      </c>
      <c r="E392" s="1" t="s">
        <v>2265</v>
      </c>
      <c r="F392" s="1" t="s">
        <v>5038</v>
      </c>
      <c r="G392" s="1" t="s">
        <v>5020</v>
      </c>
      <c r="J392" s="1" t="s">
        <v>401</v>
      </c>
      <c r="K392" s="1" t="s">
        <v>5056</v>
      </c>
      <c r="L392" s="1" t="s">
        <v>5074</v>
      </c>
      <c r="M392" s="1" t="s">
        <v>5092</v>
      </c>
      <c r="R392" s="1" t="s">
        <v>1054</v>
      </c>
    </row>
    <row r="393" spans="1:18" x14ac:dyDescent="0.2">
      <c r="A393" s="1" t="s">
        <v>53</v>
      </c>
      <c r="E393" s="1" t="s">
        <v>2266</v>
      </c>
      <c r="F393" s="1" t="s">
        <v>5039</v>
      </c>
      <c r="G393" s="1" t="s">
        <v>5021</v>
      </c>
      <c r="J393" s="1" t="s">
        <v>402</v>
      </c>
      <c r="K393" s="1" t="s">
        <v>5057</v>
      </c>
      <c r="L393" s="1" t="s">
        <v>5075</v>
      </c>
      <c r="M393" s="1" t="s">
        <v>5093</v>
      </c>
      <c r="R393" s="1" t="s">
        <v>1055</v>
      </c>
    </row>
    <row r="394" spans="1:18" x14ac:dyDescent="0.2">
      <c r="A394" s="1" t="s">
        <v>53</v>
      </c>
      <c r="E394" s="1" t="s">
        <v>2267</v>
      </c>
      <c r="F394" s="1" t="s">
        <v>5040</v>
      </c>
      <c r="G394" s="1" t="s">
        <v>5022</v>
      </c>
      <c r="J394" s="1" t="s">
        <v>403</v>
      </c>
      <c r="K394" s="1" t="s">
        <v>5058</v>
      </c>
      <c r="L394" s="1" t="s">
        <v>5076</v>
      </c>
      <c r="M394" s="1" t="s">
        <v>5094</v>
      </c>
      <c r="R394" s="1" t="s">
        <v>1056</v>
      </c>
    </row>
    <row r="395" spans="1:18" x14ac:dyDescent="0.2">
      <c r="A395" s="1" t="s">
        <v>53</v>
      </c>
      <c r="E395" s="1" t="s">
        <v>2268</v>
      </c>
      <c r="F395" s="1" t="s">
        <v>5041</v>
      </c>
      <c r="G395" s="1" t="s">
        <v>5023</v>
      </c>
      <c r="J395" s="1" t="s">
        <v>404</v>
      </c>
      <c r="K395" s="1" t="s">
        <v>5059</v>
      </c>
      <c r="L395" s="1" t="s">
        <v>5077</v>
      </c>
      <c r="M395" s="1" t="s">
        <v>5095</v>
      </c>
      <c r="R395" s="1" t="s">
        <v>1057</v>
      </c>
    </row>
    <row r="396" spans="1:18" x14ac:dyDescent="0.2">
      <c r="A396" s="1" t="s">
        <v>53</v>
      </c>
      <c r="E396" s="1" t="s">
        <v>2269</v>
      </c>
      <c r="F396" s="1" t="s">
        <v>5042</v>
      </c>
      <c r="G396" s="1" t="s">
        <v>5024</v>
      </c>
      <c r="J396" s="1" t="s">
        <v>405</v>
      </c>
      <c r="K396" s="1" t="s">
        <v>5060</v>
      </c>
      <c r="L396" s="1" t="s">
        <v>5078</v>
      </c>
      <c r="M396" s="1" t="s">
        <v>5096</v>
      </c>
      <c r="R396" s="1" t="s">
        <v>1058</v>
      </c>
    </row>
    <row r="397" spans="1:18" x14ac:dyDescent="0.2">
      <c r="A397" s="1" t="s">
        <v>53</v>
      </c>
      <c r="E397" s="1" t="s">
        <v>2270</v>
      </c>
      <c r="F397" s="1" t="s">
        <v>5043</v>
      </c>
      <c r="G397" s="1" t="s">
        <v>5025</v>
      </c>
      <c r="J397" s="1" t="s">
        <v>406</v>
      </c>
      <c r="K397" s="1" t="s">
        <v>5061</v>
      </c>
      <c r="L397" s="1" t="s">
        <v>5079</v>
      </c>
      <c r="M397" s="1" t="s">
        <v>5097</v>
      </c>
      <c r="R397" s="1" t="s">
        <v>1059</v>
      </c>
    </row>
    <row r="398" spans="1:18" x14ac:dyDescent="0.2">
      <c r="A398" s="1" t="s">
        <v>53</v>
      </c>
      <c r="E398" s="1" t="s">
        <v>2271</v>
      </c>
      <c r="F398" s="1" t="s">
        <v>5044</v>
      </c>
      <c r="G398" s="1" t="s">
        <v>5026</v>
      </c>
      <c r="J398" s="1" t="s">
        <v>407</v>
      </c>
      <c r="K398" s="1" t="s">
        <v>5062</v>
      </c>
      <c r="L398" s="1" t="s">
        <v>5080</v>
      </c>
      <c r="M398" s="1" t="s">
        <v>5098</v>
      </c>
      <c r="R398" s="1" t="s">
        <v>1060</v>
      </c>
    </row>
    <row r="399" spans="1:18" x14ac:dyDescent="0.2">
      <c r="A399" s="1" t="s">
        <v>53</v>
      </c>
      <c r="E399" s="1" t="s">
        <v>2272</v>
      </c>
      <c r="F399" s="1" t="s">
        <v>5045</v>
      </c>
      <c r="G399" s="1" t="s">
        <v>5027</v>
      </c>
      <c r="J399" s="1" t="s">
        <v>408</v>
      </c>
      <c r="K399" s="1" t="s">
        <v>5063</v>
      </c>
      <c r="L399" s="1" t="s">
        <v>5081</v>
      </c>
      <c r="M399" s="1" t="s">
        <v>5099</v>
      </c>
      <c r="R399" s="1" t="s">
        <v>1061</v>
      </c>
    </row>
    <row r="400" spans="1:18" x14ac:dyDescent="0.2">
      <c r="A400" s="1" t="s">
        <v>53</v>
      </c>
      <c r="E400" s="1" t="s">
        <v>2273</v>
      </c>
      <c r="F400" s="1" t="s">
        <v>5046</v>
      </c>
      <c r="G400" s="1" t="s">
        <v>5028</v>
      </c>
      <c r="J400" s="1" t="s">
        <v>409</v>
      </c>
      <c r="K400" s="1" t="s">
        <v>5064</v>
      </c>
      <c r="L400" s="1" t="s">
        <v>5082</v>
      </c>
      <c r="M400" s="1" t="s">
        <v>5100</v>
      </c>
      <c r="R400" s="1" t="s">
        <v>1062</v>
      </c>
    </row>
    <row r="401" spans="1:18" x14ac:dyDescent="0.2">
      <c r="A401" s="1" t="s">
        <v>53</v>
      </c>
      <c r="E401" s="1" t="s">
        <v>2274</v>
      </c>
      <c r="F401" s="1" t="s">
        <v>5047</v>
      </c>
      <c r="G401" s="1" t="s">
        <v>5029</v>
      </c>
      <c r="J401" s="1" t="s">
        <v>410</v>
      </c>
      <c r="K401" s="1" t="s">
        <v>5065</v>
      </c>
      <c r="L401" s="1" t="s">
        <v>5083</v>
      </c>
      <c r="M401" s="1" t="s">
        <v>5101</v>
      </c>
      <c r="R401" s="1" t="s">
        <v>1063</v>
      </c>
    </row>
    <row r="402" spans="1:18" x14ac:dyDescent="0.2">
      <c r="A402" s="1" t="s">
        <v>53</v>
      </c>
      <c r="E402" s="1" t="s">
        <v>2275</v>
      </c>
      <c r="F402" s="1" t="s">
        <v>5048</v>
      </c>
      <c r="G402" s="1" t="s">
        <v>5030</v>
      </c>
      <c r="J402" s="1" t="s">
        <v>411</v>
      </c>
      <c r="K402" s="1" t="s">
        <v>5066</v>
      </c>
      <c r="L402" s="1" t="s">
        <v>5084</v>
      </c>
      <c r="M402" s="1" t="s">
        <v>5102</v>
      </c>
      <c r="R402" s="1" t="s">
        <v>1064</v>
      </c>
    </row>
    <row r="403" spans="1:18" x14ac:dyDescent="0.2">
      <c r="A403" s="1" t="s">
        <v>53</v>
      </c>
      <c r="E403" s="1" t="s">
        <v>2276</v>
      </c>
      <c r="F403" s="1" t="s">
        <v>5049</v>
      </c>
      <c r="G403" s="1" t="s">
        <v>5031</v>
      </c>
      <c r="J403" s="1" t="s">
        <v>412</v>
      </c>
      <c r="K403" s="1" t="s">
        <v>5067</v>
      </c>
      <c r="L403" s="1" t="s">
        <v>5085</v>
      </c>
      <c r="M403" s="1" t="s">
        <v>5103</v>
      </c>
      <c r="R403" s="1" t="s">
        <v>1065</v>
      </c>
    </row>
    <row r="404" spans="1:18" x14ac:dyDescent="0.2">
      <c r="A404" s="1" t="s">
        <v>53</v>
      </c>
      <c r="E404" s="1" t="s">
        <v>2277</v>
      </c>
      <c r="F404" s="1" t="s">
        <v>5050</v>
      </c>
      <c r="G404" s="1" t="s">
        <v>5032</v>
      </c>
      <c r="J404" s="1" t="s">
        <v>413</v>
      </c>
      <c r="K404" s="1" t="s">
        <v>5068</v>
      </c>
      <c r="L404" s="1" t="s">
        <v>5086</v>
      </c>
      <c r="M404" s="1" t="s">
        <v>5104</v>
      </c>
      <c r="R404" s="1" t="s">
        <v>1066</v>
      </c>
    </row>
    <row r="405" spans="1:18" x14ac:dyDescent="0.2">
      <c r="A405" s="1" t="s">
        <v>53</v>
      </c>
      <c r="E405" s="1" t="s">
        <v>2278</v>
      </c>
      <c r="F405" s="1" t="s">
        <v>5051</v>
      </c>
      <c r="G405" s="1" t="s">
        <v>5033</v>
      </c>
      <c r="J405" s="1" t="s">
        <v>414</v>
      </c>
      <c r="K405" s="1" t="s">
        <v>5069</v>
      </c>
      <c r="L405" s="1" t="s">
        <v>5087</v>
      </c>
      <c r="M405" s="1" t="s">
        <v>5105</v>
      </c>
      <c r="R405" s="1" t="s">
        <v>1067</v>
      </c>
    </row>
    <row r="406" spans="1:18" x14ac:dyDescent="0.2">
      <c r="A406" s="1" t="s">
        <v>53</v>
      </c>
      <c r="E406" s="1" t="s">
        <v>2279</v>
      </c>
      <c r="F406" s="1" t="s">
        <v>5052</v>
      </c>
      <c r="G406" s="1" t="s">
        <v>5034</v>
      </c>
      <c r="J406" s="1" t="s">
        <v>415</v>
      </c>
      <c r="K406" s="1" t="s">
        <v>5070</v>
      </c>
      <c r="L406" s="1" t="s">
        <v>5088</v>
      </c>
      <c r="M406" s="1" t="s">
        <v>5106</v>
      </c>
      <c r="R406" s="1" t="s">
        <v>1068</v>
      </c>
    </row>
    <row r="407" spans="1:18" x14ac:dyDescent="0.2">
      <c r="A407" s="1" t="s">
        <v>53</v>
      </c>
      <c r="E407" s="1" t="s">
        <v>2280</v>
      </c>
      <c r="F407" s="1" t="s">
        <v>5053</v>
      </c>
      <c r="G407" s="1" t="s">
        <v>5035</v>
      </c>
      <c r="J407" s="1" t="s">
        <v>416</v>
      </c>
      <c r="K407" s="1" t="s">
        <v>5071</v>
      </c>
      <c r="L407" s="1" t="s">
        <v>5089</v>
      </c>
      <c r="M407" s="1" t="s">
        <v>5107</v>
      </c>
      <c r="R407" s="1" t="s">
        <v>1069</v>
      </c>
    </row>
    <row r="408" spans="1:18" x14ac:dyDescent="0.2">
      <c r="A408" s="1" t="s">
        <v>1386</v>
      </c>
    </row>
    <row r="409" spans="1:18" x14ac:dyDescent="0.2">
      <c r="A409" s="1" t="s">
        <v>53</v>
      </c>
      <c r="C409" s="1" t="s">
        <v>1759</v>
      </c>
      <c r="D409" s="1" t="s">
        <v>1760</v>
      </c>
      <c r="F409" s="1" t="s">
        <v>10</v>
      </c>
      <c r="G409" s="1" t="s">
        <v>8</v>
      </c>
      <c r="H409" s="1" t="s">
        <v>1761</v>
      </c>
      <c r="I409" s="1" t="s">
        <v>1762</v>
      </c>
      <c r="J409" s="1" t="s">
        <v>1763</v>
      </c>
      <c r="N409" s="1" t="s">
        <v>1764</v>
      </c>
      <c r="O409" s="1" t="s">
        <v>5157</v>
      </c>
    </row>
    <row r="410" spans="1:18" x14ac:dyDescent="0.2">
      <c r="A410" s="1" t="s">
        <v>53</v>
      </c>
      <c r="E410" s="1" t="s">
        <v>1765</v>
      </c>
      <c r="F410" s="1" t="s">
        <v>1766</v>
      </c>
      <c r="G410" s="1" t="s">
        <v>417</v>
      </c>
      <c r="J410" s="1" t="s">
        <v>419</v>
      </c>
      <c r="K410" s="1" t="s">
        <v>420</v>
      </c>
      <c r="L410" s="1" t="s">
        <v>418</v>
      </c>
      <c r="M410" s="1" t="s">
        <v>1767</v>
      </c>
      <c r="R410" s="1" t="s">
        <v>1070</v>
      </c>
    </row>
    <row r="411" spans="1:18" x14ac:dyDescent="0.2">
      <c r="A411" s="1" t="s">
        <v>1386</v>
      </c>
    </row>
    <row r="412" spans="1:18" x14ac:dyDescent="0.2">
      <c r="A412" s="1" t="s">
        <v>53</v>
      </c>
      <c r="C412" s="1" t="s">
        <v>1768</v>
      </c>
      <c r="D412" s="1" t="s">
        <v>1769</v>
      </c>
      <c r="F412" s="1" t="s">
        <v>10</v>
      </c>
      <c r="G412" s="1" t="s">
        <v>8</v>
      </c>
      <c r="H412" s="1" t="s">
        <v>1770</v>
      </c>
      <c r="I412" s="1" t="s">
        <v>1771</v>
      </c>
      <c r="J412" s="1" t="s">
        <v>1772</v>
      </c>
      <c r="N412" s="1" t="s">
        <v>1773</v>
      </c>
      <c r="O412" s="1" t="s">
        <v>5158</v>
      </c>
    </row>
    <row r="413" spans="1:18" x14ac:dyDescent="0.2">
      <c r="A413" s="1" t="s">
        <v>53</v>
      </c>
      <c r="E413" s="1" t="s">
        <v>1774</v>
      </c>
      <c r="F413" s="1" t="s">
        <v>1775</v>
      </c>
      <c r="G413" s="1" t="s">
        <v>421</v>
      </c>
      <c r="J413" s="1" t="s">
        <v>423</v>
      </c>
      <c r="K413" s="1" t="s">
        <v>424</v>
      </c>
      <c r="L413" s="1" t="s">
        <v>422</v>
      </c>
      <c r="M413" s="1" t="s">
        <v>1776</v>
      </c>
      <c r="R413" s="1" t="s">
        <v>1071</v>
      </c>
    </row>
    <row r="414" spans="1:18" x14ac:dyDescent="0.2">
      <c r="A414" s="1" t="s">
        <v>1386</v>
      </c>
    </row>
    <row r="415" spans="1:18" x14ac:dyDescent="0.2">
      <c r="A415" s="1" t="s">
        <v>53</v>
      </c>
      <c r="C415" s="1" t="s">
        <v>1777</v>
      </c>
      <c r="D415" s="1" t="s">
        <v>1778</v>
      </c>
      <c r="F415" s="1" t="s">
        <v>10</v>
      </c>
      <c r="G415" s="1" t="s">
        <v>8</v>
      </c>
      <c r="H415" s="1" t="s">
        <v>1779</v>
      </c>
      <c r="I415" s="1" t="s">
        <v>1780</v>
      </c>
      <c r="J415" s="1" t="s">
        <v>1781</v>
      </c>
      <c r="N415" s="1" t="s">
        <v>1782</v>
      </c>
      <c r="O415" s="1" t="s">
        <v>5159</v>
      </c>
    </row>
    <row r="416" spans="1:18" x14ac:dyDescent="0.2">
      <c r="A416" s="1" t="s">
        <v>53</v>
      </c>
      <c r="E416" s="1" t="s">
        <v>1783</v>
      </c>
      <c r="F416" s="1" t="s">
        <v>4870</v>
      </c>
      <c r="G416" s="1" t="s">
        <v>4833</v>
      </c>
      <c r="J416" s="1" t="s">
        <v>425</v>
      </c>
      <c r="K416" s="1" t="s">
        <v>4907</v>
      </c>
      <c r="L416" s="1" t="s">
        <v>4944</v>
      </c>
      <c r="M416" s="1" t="s">
        <v>4981</v>
      </c>
      <c r="R416" s="1" t="s">
        <v>1072</v>
      </c>
    </row>
    <row r="417" spans="1:18" x14ac:dyDescent="0.2">
      <c r="A417" s="1" t="s">
        <v>53</v>
      </c>
      <c r="E417" s="1" t="s">
        <v>2281</v>
      </c>
      <c r="F417" s="1" t="s">
        <v>4871</v>
      </c>
      <c r="G417" s="1" t="s">
        <v>4834</v>
      </c>
      <c r="J417" s="1" t="s">
        <v>426</v>
      </c>
      <c r="K417" s="1" t="s">
        <v>4908</v>
      </c>
      <c r="L417" s="1" t="s">
        <v>4945</v>
      </c>
      <c r="M417" s="1" t="s">
        <v>4982</v>
      </c>
      <c r="R417" s="1" t="s">
        <v>1073</v>
      </c>
    </row>
    <row r="418" spans="1:18" x14ac:dyDescent="0.2">
      <c r="A418" s="1" t="s">
        <v>53</v>
      </c>
      <c r="E418" s="1" t="s">
        <v>2282</v>
      </c>
      <c r="F418" s="1" t="s">
        <v>4872</v>
      </c>
      <c r="G418" s="1" t="s">
        <v>4835</v>
      </c>
      <c r="J418" s="1" t="s">
        <v>427</v>
      </c>
      <c r="K418" s="1" t="s">
        <v>4909</v>
      </c>
      <c r="L418" s="1" t="s">
        <v>4946</v>
      </c>
      <c r="M418" s="1" t="s">
        <v>4983</v>
      </c>
      <c r="R418" s="1" t="s">
        <v>1074</v>
      </c>
    </row>
    <row r="419" spans="1:18" x14ac:dyDescent="0.2">
      <c r="A419" s="1" t="s">
        <v>53</v>
      </c>
      <c r="E419" s="1" t="s">
        <v>2283</v>
      </c>
      <c r="F419" s="1" t="s">
        <v>4873</v>
      </c>
      <c r="G419" s="1" t="s">
        <v>4836</v>
      </c>
      <c r="J419" s="1" t="s">
        <v>428</v>
      </c>
      <c r="K419" s="1" t="s">
        <v>4910</v>
      </c>
      <c r="L419" s="1" t="s">
        <v>4947</v>
      </c>
      <c r="M419" s="1" t="s">
        <v>4984</v>
      </c>
      <c r="R419" s="1" t="s">
        <v>1075</v>
      </c>
    </row>
    <row r="420" spans="1:18" x14ac:dyDescent="0.2">
      <c r="A420" s="1" t="s">
        <v>53</v>
      </c>
      <c r="E420" s="1" t="s">
        <v>2284</v>
      </c>
      <c r="F420" s="1" t="s">
        <v>4874</v>
      </c>
      <c r="G420" s="1" t="s">
        <v>4837</v>
      </c>
      <c r="J420" s="1" t="s">
        <v>429</v>
      </c>
      <c r="K420" s="1" t="s">
        <v>4911</v>
      </c>
      <c r="L420" s="1" t="s">
        <v>4948</v>
      </c>
      <c r="M420" s="1" t="s">
        <v>4985</v>
      </c>
      <c r="R420" s="1" t="s">
        <v>1076</v>
      </c>
    </row>
    <row r="421" spans="1:18" x14ac:dyDescent="0.2">
      <c r="A421" s="1" t="s">
        <v>53</v>
      </c>
      <c r="E421" s="1" t="s">
        <v>2285</v>
      </c>
      <c r="F421" s="1" t="s">
        <v>4875</v>
      </c>
      <c r="G421" s="1" t="s">
        <v>4838</v>
      </c>
      <c r="J421" s="1" t="s">
        <v>430</v>
      </c>
      <c r="K421" s="1" t="s">
        <v>4912</v>
      </c>
      <c r="L421" s="1" t="s">
        <v>4949</v>
      </c>
      <c r="M421" s="1" t="s">
        <v>4986</v>
      </c>
      <c r="R421" s="1" t="s">
        <v>1077</v>
      </c>
    </row>
    <row r="422" spans="1:18" x14ac:dyDescent="0.2">
      <c r="A422" s="1" t="s">
        <v>53</v>
      </c>
      <c r="E422" s="1" t="s">
        <v>2286</v>
      </c>
      <c r="F422" s="1" t="s">
        <v>4876</v>
      </c>
      <c r="G422" s="1" t="s">
        <v>4839</v>
      </c>
      <c r="J422" s="1" t="s">
        <v>431</v>
      </c>
      <c r="K422" s="1" t="s">
        <v>4913</v>
      </c>
      <c r="L422" s="1" t="s">
        <v>4950</v>
      </c>
      <c r="M422" s="1" t="s">
        <v>4987</v>
      </c>
      <c r="R422" s="1" t="s">
        <v>1078</v>
      </c>
    </row>
    <row r="423" spans="1:18" x14ac:dyDescent="0.2">
      <c r="A423" s="1" t="s">
        <v>53</v>
      </c>
      <c r="E423" s="1" t="s">
        <v>2287</v>
      </c>
      <c r="F423" s="1" t="s">
        <v>4877</v>
      </c>
      <c r="G423" s="1" t="s">
        <v>4840</v>
      </c>
      <c r="J423" s="1" t="s">
        <v>432</v>
      </c>
      <c r="K423" s="1" t="s">
        <v>4914</v>
      </c>
      <c r="L423" s="1" t="s">
        <v>4951</v>
      </c>
      <c r="M423" s="1" t="s">
        <v>4988</v>
      </c>
      <c r="R423" s="1" t="s">
        <v>1079</v>
      </c>
    </row>
    <row r="424" spans="1:18" x14ac:dyDescent="0.2">
      <c r="A424" s="1" t="s">
        <v>53</v>
      </c>
      <c r="E424" s="1" t="s">
        <v>2288</v>
      </c>
      <c r="F424" s="1" t="s">
        <v>4878</v>
      </c>
      <c r="G424" s="1" t="s">
        <v>4841</v>
      </c>
      <c r="J424" s="1" t="s">
        <v>433</v>
      </c>
      <c r="K424" s="1" t="s">
        <v>4915</v>
      </c>
      <c r="L424" s="1" t="s">
        <v>4952</v>
      </c>
      <c r="M424" s="1" t="s">
        <v>4989</v>
      </c>
      <c r="R424" s="1" t="s">
        <v>1080</v>
      </c>
    </row>
    <row r="425" spans="1:18" x14ac:dyDescent="0.2">
      <c r="A425" s="1" t="s">
        <v>53</v>
      </c>
      <c r="E425" s="1" t="s">
        <v>2289</v>
      </c>
      <c r="F425" s="1" t="s">
        <v>4879</v>
      </c>
      <c r="G425" s="1" t="s">
        <v>4842</v>
      </c>
      <c r="J425" s="1" t="s">
        <v>434</v>
      </c>
      <c r="K425" s="1" t="s">
        <v>4916</v>
      </c>
      <c r="L425" s="1" t="s">
        <v>4953</v>
      </c>
      <c r="M425" s="1" t="s">
        <v>4990</v>
      </c>
      <c r="R425" s="1" t="s">
        <v>1081</v>
      </c>
    </row>
    <row r="426" spans="1:18" x14ac:dyDescent="0.2">
      <c r="A426" s="1" t="s">
        <v>53</v>
      </c>
      <c r="E426" s="1" t="s">
        <v>2290</v>
      </c>
      <c r="F426" s="1" t="s">
        <v>4880</v>
      </c>
      <c r="G426" s="1" t="s">
        <v>4843</v>
      </c>
      <c r="J426" s="1" t="s">
        <v>435</v>
      </c>
      <c r="K426" s="1" t="s">
        <v>4917</v>
      </c>
      <c r="L426" s="1" t="s">
        <v>4954</v>
      </c>
      <c r="M426" s="1" t="s">
        <v>4991</v>
      </c>
      <c r="R426" s="1" t="s">
        <v>1082</v>
      </c>
    </row>
    <row r="427" spans="1:18" x14ac:dyDescent="0.2">
      <c r="A427" s="1" t="s">
        <v>53</v>
      </c>
      <c r="E427" s="1" t="s">
        <v>2291</v>
      </c>
      <c r="F427" s="1" t="s">
        <v>4881</v>
      </c>
      <c r="G427" s="1" t="s">
        <v>4844</v>
      </c>
      <c r="J427" s="1" t="s">
        <v>436</v>
      </c>
      <c r="K427" s="1" t="s">
        <v>4918</v>
      </c>
      <c r="L427" s="1" t="s">
        <v>4955</v>
      </c>
      <c r="M427" s="1" t="s">
        <v>4992</v>
      </c>
      <c r="R427" s="1" t="s">
        <v>1083</v>
      </c>
    </row>
    <row r="428" spans="1:18" x14ac:dyDescent="0.2">
      <c r="A428" s="1" t="s">
        <v>53</v>
      </c>
      <c r="E428" s="1" t="s">
        <v>2292</v>
      </c>
      <c r="F428" s="1" t="s">
        <v>4882</v>
      </c>
      <c r="G428" s="1" t="s">
        <v>4845</v>
      </c>
      <c r="J428" s="1" t="s">
        <v>437</v>
      </c>
      <c r="K428" s="1" t="s">
        <v>4919</v>
      </c>
      <c r="L428" s="1" t="s">
        <v>4956</v>
      </c>
      <c r="M428" s="1" t="s">
        <v>4993</v>
      </c>
      <c r="R428" s="1" t="s">
        <v>1084</v>
      </c>
    </row>
    <row r="429" spans="1:18" x14ac:dyDescent="0.2">
      <c r="A429" s="1" t="s">
        <v>53</v>
      </c>
      <c r="E429" s="1" t="s">
        <v>2293</v>
      </c>
      <c r="F429" s="1" t="s">
        <v>4883</v>
      </c>
      <c r="G429" s="1" t="s">
        <v>4846</v>
      </c>
      <c r="J429" s="1" t="s">
        <v>438</v>
      </c>
      <c r="K429" s="1" t="s">
        <v>4920</v>
      </c>
      <c r="L429" s="1" t="s">
        <v>4957</v>
      </c>
      <c r="M429" s="1" t="s">
        <v>4994</v>
      </c>
      <c r="R429" s="1" t="s">
        <v>1085</v>
      </c>
    </row>
    <row r="430" spans="1:18" x14ac:dyDescent="0.2">
      <c r="A430" s="1" t="s">
        <v>53</v>
      </c>
      <c r="E430" s="1" t="s">
        <v>2294</v>
      </c>
      <c r="F430" s="1" t="s">
        <v>4884</v>
      </c>
      <c r="G430" s="1" t="s">
        <v>4847</v>
      </c>
      <c r="J430" s="1" t="s">
        <v>439</v>
      </c>
      <c r="K430" s="1" t="s">
        <v>4921</v>
      </c>
      <c r="L430" s="1" t="s">
        <v>4958</v>
      </c>
      <c r="M430" s="1" t="s">
        <v>4995</v>
      </c>
      <c r="R430" s="1" t="s">
        <v>1086</v>
      </c>
    </row>
    <row r="431" spans="1:18" x14ac:dyDescent="0.2">
      <c r="A431" s="1" t="s">
        <v>53</v>
      </c>
      <c r="E431" s="1" t="s">
        <v>2295</v>
      </c>
      <c r="F431" s="1" t="s">
        <v>4885</v>
      </c>
      <c r="G431" s="1" t="s">
        <v>4848</v>
      </c>
      <c r="J431" s="1" t="s">
        <v>440</v>
      </c>
      <c r="K431" s="1" t="s">
        <v>4922</v>
      </c>
      <c r="L431" s="1" t="s">
        <v>4959</v>
      </c>
      <c r="M431" s="1" t="s">
        <v>4996</v>
      </c>
      <c r="R431" s="1" t="s">
        <v>1087</v>
      </c>
    </row>
    <row r="432" spans="1:18" x14ac:dyDescent="0.2">
      <c r="A432" s="1" t="s">
        <v>53</v>
      </c>
      <c r="E432" s="1" t="s">
        <v>2296</v>
      </c>
      <c r="F432" s="1" t="s">
        <v>4886</v>
      </c>
      <c r="G432" s="1" t="s">
        <v>4849</v>
      </c>
      <c r="J432" s="1" t="s">
        <v>441</v>
      </c>
      <c r="K432" s="1" t="s">
        <v>4923</v>
      </c>
      <c r="L432" s="1" t="s">
        <v>4960</v>
      </c>
      <c r="M432" s="1" t="s">
        <v>4997</v>
      </c>
      <c r="R432" s="1" t="s">
        <v>1088</v>
      </c>
    </row>
    <row r="433" spans="1:18" x14ac:dyDescent="0.2">
      <c r="A433" s="1" t="s">
        <v>53</v>
      </c>
      <c r="E433" s="1" t="s">
        <v>2297</v>
      </c>
      <c r="F433" s="1" t="s">
        <v>4887</v>
      </c>
      <c r="G433" s="1" t="s">
        <v>4850</v>
      </c>
      <c r="J433" s="1" t="s">
        <v>442</v>
      </c>
      <c r="K433" s="1" t="s">
        <v>4924</v>
      </c>
      <c r="L433" s="1" t="s">
        <v>4961</v>
      </c>
      <c r="M433" s="1" t="s">
        <v>4998</v>
      </c>
      <c r="R433" s="1" t="s">
        <v>1089</v>
      </c>
    </row>
    <row r="434" spans="1:18" x14ac:dyDescent="0.2">
      <c r="A434" s="1" t="s">
        <v>53</v>
      </c>
      <c r="E434" s="1" t="s">
        <v>2298</v>
      </c>
      <c r="F434" s="1" t="s">
        <v>4888</v>
      </c>
      <c r="G434" s="1" t="s">
        <v>4851</v>
      </c>
      <c r="J434" s="1" t="s">
        <v>443</v>
      </c>
      <c r="K434" s="1" t="s">
        <v>4925</v>
      </c>
      <c r="L434" s="1" t="s">
        <v>4962</v>
      </c>
      <c r="M434" s="1" t="s">
        <v>4999</v>
      </c>
      <c r="R434" s="1" t="s">
        <v>1090</v>
      </c>
    </row>
    <row r="435" spans="1:18" x14ac:dyDescent="0.2">
      <c r="A435" s="1" t="s">
        <v>53</v>
      </c>
      <c r="E435" s="1" t="s">
        <v>2299</v>
      </c>
      <c r="F435" s="1" t="s">
        <v>4889</v>
      </c>
      <c r="G435" s="1" t="s">
        <v>4852</v>
      </c>
      <c r="J435" s="1" t="s">
        <v>444</v>
      </c>
      <c r="K435" s="1" t="s">
        <v>4926</v>
      </c>
      <c r="L435" s="1" t="s">
        <v>4963</v>
      </c>
      <c r="M435" s="1" t="s">
        <v>5000</v>
      </c>
      <c r="R435" s="1" t="s">
        <v>1091</v>
      </c>
    </row>
    <row r="436" spans="1:18" x14ac:dyDescent="0.2">
      <c r="A436" s="1" t="s">
        <v>53</v>
      </c>
      <c r="E436" s="1" t="s">
        <v>2300</v>
      </c>
      <c r="F436" s="1" t="s">
        <v>4890</v>
      </c>
      <c r="G436" s="1" t="s">
        <v>4853</v>
      </c>
      <c r="J436" s="1" t="s">
        <v>445</v>
      </c>
      <c r="K436" s="1" t="s">
        <v>4927</v>
      </c>
      <c r="L436" s="1" t="s">
        <v>4964</v>
      </c>
      <c r="M436" s="1" t="s">
        <v>5001</v>
      </c>
      <c r="R436" s="1" t="s">
        <v>1092</v>
      </c>
    </row>
    <row r="437" spans="1:18" x14ac:dyDescent="0.2">
      <c r="A437" s="1" t="s">
        <v>53</v>
      </c>
      <c r="E437" s="1" t="s">
        <v>2301</v>
      </c>
      <c r="F437" s="1" t="s">
        <v>4891</v>
      </c>
      <c r="G437" s="1" t="s">
        <v>4854</v>
      </c>
      <c r="J437" s="1" t="s">
        <v>446</v>
      </c>
      <c r="K437" s="1" t="s">
        <v>4928</v>
      </c>
      <c r="L437" s="1" t="s">
        <v>4965</v>
      </c>
      <c r="M437" s="1" t="s">
        <v>5002</v>
      </c>
      <c r="R437" s="1" t="s">
        <v>1093</v>
      </c>
    </row>
    <row r="438" spans="1:18" x14ac:dyDescent="0.2">
      <c r="A438" s="1" t="s">
        <v>53</v>
      </c>
      <c r="E438" s="1" t="s">
        <v>2302</v>
      </c>
      <c r="F438" s="1" t="s">
        <v>4892</v>
      </c>
      <c r="G438" s="1" t="s">
        <v>4855</v>
      </c>
      <c r="J438" s="1" t="s">
        <v>447</v>
      </c>
      <c r="K438" s="1" t="s">
        <v>4929</v>
      </c>
      <c r="L438" s="1" t="s">
        <v>4966</v>
      </c>
      <c r="M438" s="1" t="s">
        <v>5003</v>
      </c>
      <c r="R438" s="1" t="s">
        <v>1094</v>
      </c>
    </row>
    <row r="439" spans="1:18" x14ac:dyDescent="0.2">
      <c r="A439" s="1" t="s">
        <v>53</v>
      </c>
      <c r="E439" s="1" t="s">
        <v>2303</v>
      </c>
      <c r="F439" s="1" t="s">
        <v>4893</v>
      </c>
      <c r="G439" s="1" t="s">
        <v>4856</v>
      </c>
      <c r="J439" s="1" t="s">
        <v>448</v>
      </c>
      <c r="K439" s="1" t="s">
        <v>4930</v>
      </c>
      <c r="L439" s="1" t="s">
        <v>4967</v>
      </c>
      <c r="M439" s="1" t="s">
        <v>5004</v>
      </c>
      <c r="R439" s="1" t="s">
        <v>1095</v>
      </c>
    </row>
    <row r="440" spans="1:18" x14ac:dyDescent="0.2">
      <c r="A440" s="1" t="s">
        <v>53</v>
      </c>
      <c r="E440" s="1" t="s">
        <v>2304</v>
      </c>
      <c r="F440" s="1" t="s">
        <v>4894</v>
      </c>
      <c r="G440" s="1" t="s">
        <v>4857</v>
      </c>
      <c r="J440" s="1" t="s">
        <v>449</v>
      </c>
      <c r="K440" s="1" t="s">
        <v>4931</v>
      </c>
      <c r="L440" s="1" t="s">
        <v>4968</v>
      </c>
      <c r="M440" s="1" t="s">
        <v>5005</v>
      </c>
      <c r="R440" s="1" t="s">
        <v>1096</v>
      </c>
    </row>
    <row r="441" spans="1:18" x14ac:dyDescent="0.2">
      <c r="A441" s="1" t="s">
        <v>53</v>
      </c>
      <c r="E441" s="1" t="s">
        <v>2305</v>
      </c>
      <c r="F441" s="1" t="s">
        <v>4895</v>
      </c>
      <c r="G441" s="1" t="s">
        <v>4858</v>
      </c>
      <c r="J441" s="1" t="s">
        <v>450</v>
      </c>
      <c r="K441" s="1" t="s">
        <v>4932</v>
      </c>
      <c r="L441" s="1" t="s">
        <v>4969</v>
      </c>
      <c r="M441" s="1" t="s">
        <v>5006</v>
      </c>
      <c r="R441" s="1" t="s">
        <v>1097</v>
      </c>
    </row>
    <row r="442" spans="1:18" x14ac:dyDescent="0.2">
      <c r="A442" s="1" t="s">
        <v>53</v>
      </c>
      <c r="E442" s="1" t="s">
        <v>2306</v>
      </c>
      <c r="F442" s="1" t="s">
        <v>4896</v>
      </c>
      <c r="G442" s="1" t="s">
        <v>4859</v>
      </c>
      <c r="J442" s="1" t="s">
        <v>451</v>
      </c>
      <c r="K442" s="1" t="s">
        <v>4933</v>
      </c>
      <c r="L442" s="1" t="s">
        <v>4970</v>
      </c>
      <c r="M442" s="1" t="s">
        <v>5007</v>
      </c>
      <c r="R442" s="1" t="s">
        <v>1098</v>
      </c>
    </row>
    <row r="443" spans="1:18" x14ac:dyDescent="0.2">
      <c r="A443" s="1" t="s">
        <v>53</v>
      </c>
      <c r="E443" s="1" t="s">
        <v>2307</v>
      </c>
      <c r="F443" s="1" t="s">
        <v>4897</v>
      </c>
      <c r="G443" s="1" t="s">
        <v>4860</v>
      </c>
      <c r="J443" s="1" t="s">
        <v>452</v>
      </c>
      <c r="K443" s="1" t="s">
        <v>4934</v>
      </c>
      <c r="L443" s="1" t="s">
        <v>4971</v>
      </c>
      <c r="M443" s="1" t="s">
        <v>5008</v>
      </c>
      <c r="R443" s="1" t="s">
        <v>1099</v>
      </c>
    </row>
    <row r="444" spans="1:18" x14ac:dyDescent="0.2">
      <c r="A444" s="1" t="s">
        <v>53</v>
      </c>
      <c r="E444" s="1" t="s">
        <v>2308</v>
      </c>
      <c r="F444" s="1" t="s">
        <v>4898</v>
      </c>
      <c r="G444" s="1" t="s">
        <v>4861</v>
      </c>
      <c r="J444" s="1" t="s">
        <v>453</v>
      </c>
      <c r="K444" s="1" t="s">
        <v>4935</v>
      </c>
      <c r="L444" s="1" t="s">
        <v>4972</v>
      </c>
      <c r="M444" s="1" t="s">
        <v>5009</v>
      </c>
      <c r="R444" s="1" t="s">
        <v>1100</v>
      </c>
    </row>
    <row r="445" spans="1:18" x14ac:dyDescent="0.2">
      <c r="A445" s="1" t="s">
        <v>53</v>
      </c>
      <c r="E445" s="1" t="s">
        <v>2309</v>
      </c>
      <c r="F445" s="1" t="s">
        <v>4899</v>
      </c>
      <c r="G445" s="1" t="s">
        <v>4862</v>
      </c>
      <c r="J445" s="1" t="s">
        <v>454</v>
      </c>
      <c r="K445" s="1" t="s">
        <v>4936</v>
      </c>
      <c r="L445" s="1" t="s">
        <v>4973</v>
      </c>
      <c r="M445" s="1" t="s">
        <v>5010</v>
      </c>
      <c r="R445" s="1" t="s">
        <v>1101</v>
      </c>
    </row>
    <row r="446" spans="1:18" x14ac:dyDescent="0.2">
      <c r="A446" s="1" t="s">
        <v>53</v>
      </c>
      <c r="E446" s="1" t="s">
        <v>2310</v>
      </c>
      <c r="F446" s="1" t="s">
        <v>4900</v>
      </c>
      <c r="G446" s="1" t="s">
        <v>4863</v>
      </c>
      <c r="J446" s="1" t="s">
        <v>455</v>
      </c>
      <c r="K446" s="1" t="s">
        <v>4937</v>
      </c>
      <c r="L446" s="1" t="s">
        <v>4974</v>
      </c>
      <c r="M446" s="1" t="s">
        <v>5011</v>
      </c>
      <c r="R446" s="1" t="s">
        <v>1102</v>
      </c>
    </row>
    <row r="447" spans="1:18" x14ac:dyDescent="0.2">
      <c r="A447" s="1" t="s">
        <v>53</v>
      </c>
      <c r="E447" s="1" t="s">
        <v>2311</v>
      </c>
      <c r="F447" s="1" t="s">
        <v>4901</v>
      </c>
      <c r="G447" s="1" t="s">
        <v>4864</v>
      </c>
      <c r="J447" s="1" t="s">
        <v>456</v>
      </c>
      <c r="K447" s="1" t="s">
        <v>4938</v>
      </c>
      <c r="L447" s="1" t="s">
        <v>4975</v>
      </c>
      <c r="M447" s="1" t="s">
        <v>5012</v>
      </c>
      <c r="R447" s="1" t="s">
        <v>1103</v>
      </c>
    </row>
    <row r="448" spans="1:18" x14ac:dyDescent="0.2">
      <c r="A448" s="1" t="s">
        <v>53</v>
      </c>
      <c r="E448" s="1" t="s">
        <v>2312</v>
      </c>
      <c r="F448" s="1" t="s">
        <v>4902</v>
      </c>
      <c r="G448" s="1" t="s">
        <v>4865</v>
      </c>
      <c r="J448" s="1" t="s">
        <v>457</v>
      </c>
      <c r="K448" s="1" t="s">
        <v>4939</v>
      </c>
      <c r="L448" s="1" t="s">
        <v>4976</v>
      </c>
      <c r="M448" s="1" t="s">
        <v>5013</v>
      </c>
      <c r="R448" s="1" t="s">
        <v>1104</v>
      </c>
    </row>
    <row r="449" spans="1:18" x14ac:dyDescent="0.2">
      <c r="A449" s="1" t="s">
        <v>53</v>
      </c>
      <c r="E449" s="1" t="s">
        <v>2313</v>
      </c>
      <c r="F449" s="1" t="s">
        <v>4903</v>
      </c>
      <c r="G449" s="1" t="s">
        <v>4866</v>
      </c>
      <c r="J449" s="1" t="s">
        <v>458</v>
      </c>
      <c r="K449" s="1" t="s">
        <v>4940</v>
      </c>
      <c r="L449" s="1" t="s">
        <v>4977</v>
      </c>
      <c r="M449" s="1" t="s">
        <v>5014</v>
      </c>
      <c r="R449" s="1" t="s">
        <v>1105</v>
      </c>
    </row>
    <row r="450" spans="1:18" x14ac:dyDescent="0.2">
      <c r="A450" s="1" t="s">
        <v>53</v>
      </c>
      <c r="E450" s="1" t="s">
        <v>2314</v>
      </c>
      <c r="F450" s="1" t="s">
        <v>4904</v>
      </c>
      <c r="G450" s="1" t="s">
        <v>4867</v>
      </c>
      <c r="J450" s="1" t="s">
        <v>459</v>
      </c>
      <c r="K450" s="1" t="s">
        <v>4941</v>
      </c>
      <c r="L450" s="1" t="s">
        <v>4978</v>
      </c>
      <c r="M450" s="1" t="s">
        <v>5015</v>
      </c>
      <c r="R450" s="1" t="s">
        <v>1106</v>
      </c>
    </row>
    <row r="451" spans="1:18" x14ac:dyDescent="0.2">
      <c r="A451" s="1" t="s">
        <v>53</v>
      </c>
      <c r="E451" s="1" t="s">
        <v>2315</v>
      </c>
      <c r="F451" s="1" t="s">
        <v>4905</v>
      </c>
      <c r="G451" s="1" t="s">
        <v>4868</v>
      </c>
      <c r="J451" s="1" t="s">
        <v>460</v>
      </c>
      <c r="K451" s="1" t="s">
        <v>4942</v>
      </c>
      <c r="L451" s="1" t="s">
        <v>4979</v>
      </c>
      <c r="M451" s="1" t="s">
        <v>5016</v>
      </c>
      <c r="R451" s="1" t="s">
        <v>1107</v>
      </c>
    </row>
    <row r="452" spans="1:18" x14ac:dyDescent="0.2">
      <c r="A452" s="1" t="s">
        <v>53</v>
      </c>
      <c r="E452" s="1" t="s">
        <v>2316</v>
      </c>
      <c r="F452" s="1" t="s">
        <v>4906</v>
      </c>
      <c r="G452" s="1" t="s">
        <v>4869</v>
      </c>
      <c r="J452" s="1" t="s">
        <v>461</v>
      </c>
      <c r="K452" s="1" t="s">
        <v>4943</v>
      </c>
      <c r="L452" s="1" t="s">
        <v>4980</v>
      </c>
      <c r="M452" s="1" t="s">
        <v>5017</v>
      </c>
      <c r="R452" s="1" t="s">
        <v>1108</v>
      </c>
    </row>
    <row r="453" spans="1:18" x14ac:dyDescent="0.2">
      <c r="A453" s="1" t="s">
        <v>1386</v>
      </c>
    </row>
    <row r="454" spans="1:18" x14ac:dyDescent="0.2">
      <c r="A454" s="1" t="s">
        <v>53</v>
      </c>
      <c r="C454" s="1" t="s">
        <v>1784</v>
      </c>
      <c r="D454" s="1" t="s">
        <v>1785</v>
      </c>
      <c r="F454" s="1" t="s">
        <v>10</v>
      </c>
      <c r="G454" s="1" t="s">
        <v>8</v>
      </c>
      <c r="H454" s="1" t="s">
        <v>1786</v>
      </c>
      <c r="I454" s="1" t="s">
        <v>1787</v>
      </c>
      <c r="J454" s="1" t="s">
        <v>1788</v>
      </c>
      <c r="N454" s="1" t="s">
        <v>1789</v>
      </c>
      <c r="O454" s="1" t="s">
        <v>5160</v>
      </c>
    </row>
    <row r="455" spans="1:18" x14ac:dyDescent="0.2">
      <c r="A455" s="1" t="s">
        <v>53</v>
      </c>
      <c r="E455" s="1" t="s">
        <v>1790</v>
      </c>
      <c r="F455" s="1" t="s">
        <v>1791</v>
      </c>
      <c r="G455" s="1" t="s">
        <v>462</v>
      </c>
      <c r="J455" s="1" t="s">
        <v>464</v>
      </c>
      <c r="K455" s="1" t="s">
        <v>465</v>
      </c>
      <c r="L455" s="1" t="s">
        <v>463</v>
      </c>
      <c r="M455" s="1" t="s">
        <v>1792</v>
      </c>
      <c r="R455" s="1" t="s">
        <v>1109</v>
      </c>
    </row>
    <row r="456" spans="1:18" x14ac:dyDescent="0.2">
      <c r="A456" s="1" t="s">
        <v>1386</v>
      </c>
    </row>
    <row r="457" spans="1:18" x14ac:dyDescent="0.2">
      <c r="A457" s="1" t="s">
        <v>53</v>
      </c>
      <c r="C457" s="1" t="s">
        <v>1793</v>
      </c>
      <c r="D457" s="1" t="s">
        <v>1363</v>
      </c>
      <c r="F457" s="1" t="s">
        <v>10</v>
      </c>
      <c r="G457" s="1" t="s">
        <v>8</v>
      </c>
      <c r="H457" s="1" t="s">
        <v>1364</v>
      </c>
      <c r="I457" s="1" t="s">
        <v>1365</v>
      </c>
      <c r="J457" s="1" t="s">
        <v>1794</v>
      </c>
      <c r="N457" s="1" t="s">
        <v>1366</v>
      </c>
      <c r="O457" s="1" t="s">
        <v>5161</v>
      </c>
    </row>
    <row r="458" spans="1:18" x14ac:dyDescent="0.2">
      <c r="A458" s="1" t="s">
        <v>53</v>
      </c>
      <c r="E458" s="1" t="s">
        <v>1795</v>
      </c>
      <c r="F458" s="1" t="s">
        <v>1367</v>
      </c>
      <c r="G458" s="1" t="s">
        <v>466</v>
      </c>
      <c r="J458" s="1" t="s">
        <v>468</v>
      </c>
      <c r="K458" s="1" t="s">
        <v>469</v>
      </c>
      <c r="L458" s="1" t="s">
        <v>467</v>
      </c>
      <c r="M458" s="1" t="s">
        <v>1368</v>
      </c>
      <c r="R458" s="1" t="s">
        <v>1110</v>
      </c>
    </row>
    <row r="459" spans="1:18" x14ac:dyDescent="0.2">
      <c r="A459" s="1" t="s">
        <v>1386</v>
      </c>
    </row>
    <row r="460" spans="1:18" x14ac:dyDescent="0.2">
      <c r="A460" s="1" t="s">
        <v>53</v>
      </c>
      <c r="C460" s="1" t="s">
        <v>1796</v>
      </c>
      <c r="H460" s="1" t="s">
        <v>1797</v>
      </c>
    </row>
    <row r="461" spans="1:18" x14ac:dyDescent="0.2">
      <c r="A461" s="1" t="s">
        <v>53</v>
      </c>
      <c r="C461" s="1" t="s">
        <v>1798</v>
      </c>
      <c r="D461" s="1" t="s">
        <v>1369</v>
      </c>
      <c r="F461" s="1" t="s">
        <v>10</v>
      </c>
      <c r="G461" s="1" t="s">
        <v>8</v>
      </c>
      <c r="H461" s="1" t="s">
        <v>1370</v>
      </c>
      <c r="I461" s="1" t="s">
        <v>1371</v>
      </c>
      <c r="J461" s="1" t="s">
        <v>1799</v>
      </c>
      <c r="N461" s="1" t="s">
        <v>1372</v>
      </c>
      <c r="O461" s="1" t="s">
        <v>5162</v>
      </c>
    </row>
    <row r="462" spans="1:18" x14ac:dyDescent="0.2">
      <c r="A462" s="1" t="s">
        <v>53</v>
      </c>
      <c r="E462" s="1" t="s">
        <v>1800</v>
      </c>
      <c r="F462" s="1" t="s">
        <v>3875</v>
      </c>
      <c r="G462" s="1" t="s">
        <v>3708</v>
      </c>
      <c r="J462" s="1" t="s">
        <v>470</v>
      </c>
      <c r="K462" s="1" t="s">
        <v>4042</v>
      </c>
      <c r="L462" s="1" t="s">
        <v>4209</v>
      </c>
      <c r="M462" s="1" t="s">
        <v>4376</v>
      </c>
      <c r="R462" s="1" t="s">
        <v>1111</v>
      </c>
    </row>
    <row r="463" spans="1:18" x14ac:dyDescent="0.2">
      <c r="A463" s="1" t="s">
        <v>53</v>
      </c>
      <c r="E463" s="1" t="s">
        <v>2317</v>
      </c>
      <c r="F463" s="1" t="s">
        <v>3876</v>
      </c>
      <c r="G463" s="1" t="s">
        <v>3709</v>
      </c>
      <c r="J463" s="1" t="s">
        <v>471</v>
      </c>
      <c r="K463" s="1" t="s">
        <v>4043</v>
      </c>
      <c r="L463" s="1" t="s">
        <v>4210</v>
      </c>
      <c r="M463" s="1" t="s">
        <v>4377</v>
      </c>
      <c r="R463" s="1" t="s">
        <v>1112</v>
      </c>
    </row>
    <row r="464" spans="1:18" x14ac:dyDescent="0.2">
      <c r="A464" s="1" t="s">
        <v>53</v>
      </c>
      <c r="E464" s="1" t="s">
        <v>2318</v>
      </c>
      <c r="F464" s="1" t="s">
        <v>3877</v>
      </c>
      <c r="G464" s="1" t="s">
        <v>3710</v>
      </c>
      <c r="J464" s="1" t="s">
        <v>472</v>
      </c>
      <c r="K464" s="1" t="s">
        <v>4044</v>
      </c>
      <c r="L464" s="1" t="s">
        <v>4211</v>
      </c>
      <c r="M464" s="1" t="s">
        <v>4378</v>
      </c>
      <c r="R464" s="1" t="s">
        <v>1113</v>
      </c>
    </row>
    <row r="465" spans="1:18" x14ac:dyDescent="0.2">
      <c r="A465" s="1" t="s">
        <v>53</v>
      </c>
      <c r="E465" s="1" t="s">
        <v>2319</v>
      </c>
      <c r="F465" s="1" t="s">
        <v>3878</v>
      </c>
      <c r="G465" s="1" t="s">
        <v>3711</v>
      </c>
      <c r="J465" s="1" t="s">
        <v>473</v>
      </c>
      <c r="K465" s="1" t="s">
        <v>4045</v>
      </c>
      <c r="L465" s="1" t="s">
        <v>4212</v>
      </c>
      <c r="M465" s="1" t="s">
        <v>4379</v>
      </c>
      <c r="R465" s="1" t="s">
        <v>1114</v>
      </c>
    </row>
    <row r="466" spans="1:18" x14ac:dyDescent="0.2">
      <c r="A466" s="1" t="s">
        <v>53</v>
      </c>
      <c r="E466" s="1" t="s">
        <v>2320</v>
      </c>
      <c r="F466" s="1" t="s">
        <v>3879</v>
      </c>
      <c r="G466" s="1" t="s">
        <v>3712</v>
      </c>
      <c r="J466" s="1" t="s">
        <v>474</v>
      </c>
      <c r="K466" s="1" t="s">
        <v>4046</v>
      </c>
      <c r="L466" s="1" t="s">
        <v>4213</v>
      </c>
      <c r="M466" s="1" t="s">
        <v>4380</v>
      </c>
      <c r="R466" s="1" t="s">
        <v>1115</v>
      </c>
    </row>
    <row r="467" spans="1:18" x14ac:dyDescent="0.2">
      <c r="A467" s="1" t="s">
        <v>53</v>
      </c>
      <c r="E467" s="1" t="s">
        <v>2321</v>
      </c>
      <c r="F467" s="1" t="s">
        <v>3880</v>
      </c>
      <c r="G467" s="1" t="s">
        <v>3713</v>
      </c>
      <c r="J467" s="1" t="s">
        <v>475</v>
      </c>
      <c r="K467" s="1" t="s">
        <v>4047</v>
      </c>
      <c r="L467" s="1" t="s">
        <v>4214</v>
      </c>
      <c r="M467" s="1" t="s">
        <v>4381</v>
      </c>
      <c r="R467" s="1" t="s">
        <v>1116</v>
      </c>
    </row>
    <row r="468" spans="1:18" x14ac:dyDescent="0.2">
      <c r="A468" s="1" t="s">
        <v>53</v>
      </c>
      <c r="E468" s="1" t="s">
        <v>2322</v>
      </c>
      <c r="F468" s="1" t="s">
        <v>3881</v>
      </c>
      <c r="G468" s="1" t="s">
        <v>3714</v>
      </c>
      <c r="J468" s="1" t="s">
        <v>476</v>
      </c>
      <c r="K468" s="1" t="s">
        <v>4048</v>
      </c>
      <c r="L468" s="1" t="s">
        <v>4215</v>
      </c>
      <c r="M468" s="1" t="s">
        <v>4382</v>
      </c>
      <c r="R468" s="1" t="s">
        <v>1117</v>
      </c>
    </row>
    <row r="469" spans="1:18" x14ac:dyDescent="0.2">
      <c r="A469" s="1" t="s">
        <v>53</v>
      </c>
      <c r="E469" s="1" t="s">
        <v>2323</v>
      </c>
      <c r="F469" s="1" t="s">
        <v>3882</v>
      </c>
      <c r="G469" s="1" t="s">
        <v>3715</v>
      </c>
      <c r="J469" s="1" t="s">
        <v>477</v>
      </c>
      <c r="K469" s="1" t="s">
        <v>4049</v>
      </c>
      <c r="L469" s="1" t="s">
        <v>4216</v>
      </c>
      <c r="M469" s="1" t="s">
        <v>4383</v>
      </c>
      <c r="R469" s="1" t="s">
        <v>1118</v>
      </c>
    </row>
    <row r="470" spans="1:18" x14ac:dyDescent="0.2">
      <c r="A470" s="1" t="s">
        <v>53</v>
      </c>
      <c r="E470" s="1" t="s">
        <v>2324</v>
      </c>
      <c r="F470" s="1" t="s">
        <v>3883</v>
      </c>
      <c r="G470" s="1" t="s">
        <v>3716</v>
      </c>
      <c r="J470" s="1" t="s">
        <v>478</v>
      </c>
      <c r="K470" s="1" t="s">
        <v>4050</v>
      </c>
      <c r="L470" s="1" t="s">
        <v>4217</v>
      </c>
      <c r="M470" s="1" t="s">
        <v>4384</v>
      </c>
      <c r="R470" s="1" t="s">
        <v>1119</v>
      </c>
    </row>
    <row r="471" spans="1:18" x14ac:dyDescent="0.2">
      <c r="A471" s="1" t="s">
        <v>53</v>
      </c>
      <c r="E471" s="1" t="s">
        <v>2325</v>
      </c>
      <c r="F471" s="1" t="s">
        <v>3884</v>
      </c>
      <c r="G471" s="1" t="s">
        <v>3717</v>
      </c>
      <c r="J471" s="1" t="s">
        <v>479</v>
      </c>
      <c r="K471" s="1" t="s">
        <v>4051</v>
      </c>
      <c r="L471" s="1" t="s">
        <v>4218</v>
      </c>
      <c r="M471" s="1" t="s">
        <v>4385</v>
      </c>
      <c r="R471" s="1" t="s">
        <v>1120</v>
      </c>
    </row>
    <row r="472" spans="1:18" x14ac:dyDescent="0.2">
      <c r="A472" s="1" t="s">
        <v>53</v>
      </c>
      <c r="E472" s="1" t="s">
        <v>2326</v>
      </c>
      <c r="F472" s="1" t="s">
        <v>3885</v>
      </c>
      <c r="G472" s="1" t="s">
        <v>3718</v>
      </c>
      <c r="J472" s="1" t="s">
        <v>480</v>
      </c>
      <c r="K472" s="1" t="s">
        <v>4052</v>
      </c>
      <c r="L472" s="1" t="s">
        <v>4219</v>
      </c>
      <c r="M472" s="1" t="s">
        <v>4386</v>
      </c>
      <c r="R472" s="1" t="s">
        <v>1121</v>
      </c>
    </row>
    <row r="473" spans="1:18" x14ac:dyDescent="0.2">
      <c r="A473" s="1" t="s">
        <v>53</v>
      </c>
      <c r="E473" s="1" t="s">
        <v>2327</v>
      </c>
      <c r="F473" s="1" t="s">
        <v>3886</v>
      </c>
      <c r="G473" s="1" t="s">
        <v>3719</v>
      </c>
      <c r="J473" s="1" t="s">
        <v>481</v>
      </c>
      <c r="K473" s="1" t="s">
        <v>4053</v>
      </c>
      <c r="L473" s="1" t="s">
        <v>4220</v>
      </c>
      <c r="M473" s="1" t="s">
        <v>4387</v>
      </c>
      <c r="R473" s="1" t="s">
        <v>1122</v>
      </c>
    </row>
    <row r="474" spans="1:18" x14ac:dyDescent="0.2">
      <c r="A474" s="1" t="s">
        <v>53</v>
      </c>
      <c r="E474" s="1" t="s">
        <v>2328</v>
      </c>
      <c r="F474" s="1" t="s">
        <v>3887</v>
      </c>
      <c r="G474" s="1" t="s">
        <v>3720</v>
      </c>
      <c r="J474" s="1" t="s">
        <v>482</v>
      </c>
      <c r="K474" s="1" t="s">
        <v>4054</v>
      </c>
      <c r="L474" s="1" t="s">
        <v>4221</v>
      </c>
      <c r="M474" s="1" t="s">
        <v>4388</v>
      </c>
      <c r="R474" s="1" t="s">
        <v>1123</v>
      </c>
    </row>
    <row r="475" spans="1:18" x14ac:dyDescent="0.2">
      <c r="A475" s="1" t="s">
        <v>53</v>
      </c>
      <c r="E475" s="1" t="s">
        <v>2329</v>
      </c>
      <c r="F475" s="1" t="s">
        <v>3888</v>
      </c>
      <c r="G475" s="1" t="s">
        <v>3721</v>
      </c>
      <c r="J475" s="1" t="s">
        <v>483</v>
      </c>
      <c r="K475" s="1" t="s">
        <v>4055</v>
      </c>
      <c r="L475" s="1" t="s">
        <v>4222</v>
      </c>
      <c r="M475" s="1" t="s">
        <v>4389</v>
      </c>
      <c r="R475" s="1" t="s">
        <v>1124</v>
      </c>
    </row>
    <row r="476" spans="1:18" x14ac:dyDescent="0.2">
      <c r="A476" s="1" t="s">
        <v>53</v>
      </c>
      <c r="E476" s="1" t="s">
        <v>2330</v>
      </c>
      <c r="F476" s="1" t="s">
        <v>3889</v>
      </c>
      <c r="G476" s="1" t="s">
        <v>3722</v>
      </c>
      <c r="J476" s="1" t="s">
        <v>484</v>
      </c>
      <c r="K476" s="1" t="s">
        <v>4056</v>
      </c>
      <c r="L476" s="1" t="s">
        <v>4223</v>
      </c>
      <c r="M476" s="1" t="s">
        <v>4390</v>
      </c>
      <c r="R476" s="1" t="s">
        <v>1125</v>
      </c>
    </row>
    <row r="477" spans="1:18" x14ac:dyDescent="0.2">
      <c r="A477" s="1" t="s">
        <v>53</v>
      </c>
      <c r="E477" s="1" t="s">
        <v>2331</v>
      </c>
      <c r="F477" s="1" t="s">
        <v>3890</v>
      </c>
      <c r="G477" s="1" t="s">
        <v>3723</v>
      </c>
      <c r="J477" s="1" t="s">
        <v>485</v>
      </c>
      <c r="K477" s="1" t="s">
        <v>4057</v>
      </c>
      <c r="L477" s="1" t="s">
        <v>4224</v>
      </c>
      <c r="M477" s="1" t="s">
        <v>4391</v>
      </c>
      <c r="R477" s="1" t="s">
        <v>1126</v>
      </c>
    </row>
    <row r="478" spans="1:18" x14ac:dyDescent="0.2">
      <c r="A478" s="1" t="s">
        <v>53</v>
      </c>
      <c r="E478" s="1" t="s">
        <v>2332</v>
      </c>
      <c r="F478" s="1" t="s">
        <v>3891</v>
      </c>
      <c r="G478" s="1" t="s">
        <v>3724</v>
      </c>
      <c r="J478" s="1" t="s">
        <v>486</v>
      </c>
      <c r="K478" s="1" t="s">
        <v>4058</v>
      </c>
      <c r="L478" s="1" t="s">
        <v>4225</v>
      </c>
      <c r="M478" s="1" t="s">
        <v>4392</v>
      </c>
      <c r="R478" s="1" t="s">
        <v>1127</v>
      </c>
    </row>
    <row r="479" spans="1:18" x14ac:dyDescent="0.2">
      <c r="A479" s="1" t="s">
        <v>53</v>
      </c>
      <c r="E479" s="1" t="s">
        <v>2333</v>
      </c>
      <c r="F479" s="1" t="s">
        <v>3892</v>
      </c>
      <c r="G479" s="1" t="s">
        <v>3725</v>
      </c>
      <c r="J479" s="1" t="s">
        <v>487</v>
      </c>
      <c r="K479" s="1" t="s">
        <v>4059</v>
      </c>
      <c r="L479" s="1" t="s">
        <v>4226</v>
      </c>
      <c r="M479" s="1" t="s">
        <v>4393</v>
      </c>
      <c r="R479" s="1" t="s">
        <v>1128</v>
      </c>
    </row>
    <row r="480" spans="1:18" x14ac:dyDescent="0.2">
      <c r="A480" s="1" t="s">
        <v>53</v>
      </c>
      <c r="E480" s="1" t="s">
        <v>2334</v>
      </c>
      <c r="F480" s="1" t="s">
        <v>3893</v>
      </c>
      <c r="G480" s="1" t="s">
        <v>3726</v>
      </c>
      <c r="J480" s="1" t="s">
        <v>488</v>
      </c>
      <c r="K480" s="1" t="s">
        <v>4060</v>
      </c>
      <c r="L480" s="1" t="s">
        <v>4227</v>
      </c>
      <c r="M480" s="1" t="s">
        <v>4394</v>
      </c>
      <c r="R480" s="1" t="s">
        <v>1129</v>
      </c>
    </row>
    <row r="481" spans="1:18" x14ac:dyDescent="0.2">
      <c r="A481" s="1" t="s">
        <v>53</v>
      </c>
      <c r="E481" s="1" t="s">
        <v>2335</v>
      </c>
      <c r="F481" s="1" t="s">
        <v>3894</v>
      </c>
      <c r="G481" s="1" t="s">
        <v>3727</v>
      </c>
      <c r="J481" s="1" t="s">
        <v>489</v>
      </c>
      <c r="K481" s="1" t="s">
        <v>4061</v>
      </c>
      <c r="L481" s="1" t="s">
        <v>4228</v>
      </c>
      <c r="M481" s="1" t="s">
        <v>4395</v>
      </c>
      <c r="R481" s="1" t="s">
        <v>1130</v>
      </c>
    </row>
    <row r="482" spans="1:18" x14ac:dyDescent="0.2">
      <c r="A482" s="1" t="s">
        <v>53</v>
      </c>
      <c r="E482" s="1" t="s">
        <v>2336</v>
      </c>
      <c r="F482" s="1" t="s">
        <v>3895</v>
      </c>
      <c r="G482" s="1" t="s">
        <v>3728</v>
      </c>
      <c r="J482" s="1" t="s">
        <v>490</v>
      </c>
      <c r="K482" s="1" t="s">
        <v>4062</v>
      </c>
      <c r="L482" s="1" t="s">
        <v>4229</v>
      </c>
      <c r="M482" s="1" t="s">
        <v>4396</v>
      </c>
      <c r="R482" s="1" t="s">
        <v>1131</v>
      </c>
    </row>
    <row r="483" spans="1:18" x14ac:dyDescent="0.2">
      <c r="A483" s="1" t="s">
        <v>53</v>
      </c>
      <c r="E483" s="1" t="s">
        <v>2337</v>
      </c>
      <c r="F483" s="1" t="s">
        <v>3896</v>
      </c>
      <c r="G483" s="1" t="s">
        <v>3729</v>
      </c>
      <c r="J483" s="1" t="s">
        <v>491</v>
      </c>
      <c r="K483" s="1" t="s">
        <v>4063</v>
      </c>
      <c r="L483" s="1" t="s">
        <v>4230</v>
      </c>
      <c r="M483" s="1" t="s">
        <v>4397</v>
      </c>
      <c r="R483" s="1" t="s">
        <v>1132</v>
      </c>
    </row>
    <row r="484" spans="1:18" x14ac:dyDescent="0.2">
      <c r="A484" s="1" t="s">
        <v>53</v>
      </c>
      <c r="E484" s="1" t="s">
        <v>2338</v>
      </c>
      <c r="F484" s="1" t="s">
        <v>3897</v>
      </c>
      <c r="G484" s="1" t="s">
        <v>3730</v>
      </c>
      <c r="J484" s="1" t="s">
        <v>492</v>
      </c>
      <c r="K484" s="1" t="s">
        <v>4064</v>
      </c>
      <c r="L484" s="1" t="s">
        <v>4231</v>
      </c>
      <c r="M484" s="1" t="s">
        <v>4398</v>
      </c>
      <c r="R484" s="1" t="s">
        <v>1133</v>
      </c>
    </row>
    <row r="485" spans="1:18" x14ac:dyDescent="0.2">
      <c r="A485" s="1" t="s">
        <v>53</v>
      </c>
      <c r="E485" s="1" t="s">
        <v>2339</v>
      </c>
      <c r="F485" s="1" t="s">
        <v>3898</v>
      </c>
      <c r="G485" s="1" t="s">
        <v>3731</v>
      </c>
      <c r="J485" s="1" t="s">
        <v>493</v>
      </c>
      <c r="K485" s="1" t="s">
        <v>4065</v>
      </c>
      <c r="L485" s="1" t="s">
        <v>4232</v>
      </c>
      <c r="M485" s="1" t="s">
        <v>4399</v>
      </c>
      <c r="R485" s="1" t="s">
        <v>1134</v>
      </c>
    </row>
    <row r="486" spans="1:18" x14ac:dyDescent="0.2">
      <c r="A486" s="1" t="s">
        <v>53</v>
      </c>
      <c r="E486" s="1" t="s">
        <v>2340</v>
      </c>
      <c r="F486" s="1" t="s">
        <v>3899</v>
      </c>
      <c r="G486" s="1" t="s">
        <v>3732</v>
      </c>
      <c r="J486" s="1" t="s">
        <v>494</v>
      </c>
      <c r="K486" s="1" t="s">
        <v>4066</v>
      </c>
      <c r="L486" s="1" t="s">
        <v>4233</v>
      </c>
      <c r="M486" s="1" t="s">
        <v>4400</v>
      </c>
      <c r="R486" s="1" t="s">
        <v>1135</v>
      </c>
    </row>
    <row r="487" spans="1:18" x14ac:dyDescent="0.2">
      <c r="A487" s="1" t="s">
        <v>53</v>
      </c>
      <c r="E487" s="1" t="s">
        <v>2341</v>
      </c>
      <c r="F487" s="1" t="s">
        <v>3900</v>
      </c>
      <c r="G487" s="1" t="s">
        <v>3733</v>
      </c>
      <c r="J487" s="1" t="s">
        <v>495</v>
      </c>
      <c r="K487" s="1" t="s">
        <v>4067</v>
      </c>
      <c r="L487" s="1" t="s">
        <v>4234</v>
      </c>
      <c r="M487" s="1" t="s">
        <v>4401</v>
      </c>
      <c r="R487" s="1" t="s">
        <v>1136</v>
      </c>
    </row>
    <row r="488" spans="1:18" x14ac:dyDescent="0.2">
      <c r="A488" s="1" t="s">
        <v>53</v>
      </c>
      <c r="E488" s="1" t="s">
        <v>2342</v>
      </c>
      <c r="F488" s="1" t="s">
        <v>3901</v>
      </c>
      <c r="G488" s="1" t="s">
        <v>3734</v>
      </c>
      <c r="J488" s="1" t="s">
        <v>496</v>
      </c>
      <c r="K488" s="1" t="s">
        <v>4068</v>
      </c>
      <c r="L488" s="1" t="s">
        <v>4235</v>
      </c>
      <c r="M488" s="1" t="s">
        <v>4402</v>
      </c>
      <c r="R488" s="1" t="s">
        <v>1137</v>
      </c>
    </row>
    <row r="489" spans="1:18" x14ac:dyDescent="0.2">
      <c r="A489" s="1" t="s">
        <v>53</v>
      </c>
      <c r="E489" s="1" t="s">
        <v>2343</v>
      </c>
      <c r="F489" s="1" t="s">
        <v>3902</v>
      </c>
      <c r="G489" s="1" t="s">
        <v>3735</v>
      </c>
      <c r="J489" s="1" t="s">
        <v>497</v>
      </c>
      <c r="K489" s="1" t="s">
        <v>4069</v>
      </c>
      <c r="L489" s="1" t="s">
        <v>4236</v>
      </c>
      <c r="M489" s="1" t="s">
        <v>4403</v>
      </c>
      <c r="R489" s="1" t="s">
        <v>1138</v>
      </c>
    </row>
    <row r="490" spans="1:18" x14ac:dyDescent="0.2">
      <c r="A490" s="1" t="s">
        <v>53</v>
      </c>
      <c r="E490" s="1" t="s">
        <v>2344</v>
      </c>
      <c r="F490" s="1" t="s">
        <v>3903</v>
      </c>
      <c r="G490" s="1" t="s">
        <v>3736</v>
      </c>
      <c r="J490" s="1" t="s">
        <v>498</v>
      </c>
      <c r="K490" s="1" t="s">
        <v>4070</v>
      </c>
      <c r="L490" s="1" t="s">
        <v>4237</v>
      </c>
      <c r="M490" s="1" t="s">
        <v>4404</v>
      </c>
      <c r="R490" s="1" t="s">
        <v>1139</v>
      </c>
    </row>
    <row r="491" spans="1:18" x14ac:dyDescent="0.2">
      <c r="A491" s="1" t="s">
        <v>53</v>
      </c>
      <c r="E491" s="1" t="s">
        <v>2345</v>
      </c>
      <c r="F491" s="1" t="s">
        <v>3904</v>
      </c>
      <c r="G491" s="1" t="s">
        <v>3737</v>
      </c>
      <c r="J491" s="1" t="s">
        <v>499</v>
      </c>
      <c r="K491" s="1" t="s">
        <v>4071</v>
      </c>
      <c r="L491" s="1" t="s">
        <v>4238</v>
      </c>
      <c r="M491" s="1" t="s">
        <v>4405</v>
      </c>
      <c r="R491" s="1" t="s">
        <v>1140</v>
      </c>
    </row>
    <row r="492" spans="1:18" x14ac:dyDescent="0.2">
      <c r="A492" s="1" t="s">
        <v>53</v>
      </c>
      <c r="E492" s="1" t="s">
        <v>2346</v>
      </c>
      <c r="F492" s="1" t="s">
        <v>3905</v>
      </c>
      <c r="G492" s="1" t="s">
        <v>3738</v>
      </c>
      <c r="J492" s="1" t="s">
        <v>500</v>
      </c>
      <c r="K492" s="1" t="s">
        <v>4072</v>
      </c>
      <c r="L492" s="1" t="s">
        <v>4239</v>
      </c>
      <c r="M492" s="1" t="s">
        <v>4406</v>
      </c>
      <c r="R492" s="1" t="s">
        <v>1141</v>
      </c>
    </row>
    <row r="493" spans="1:18" x14ac:dyDescent="0.2">
      <c r="A493" s="1" t="s">
        <v>53</v>
      </c>
      <c r="E493" s="1" t="s">
        <v>2347</v>
      </c>
      <c r="F493" s="1" t="s">
        <v>3906</v>
      </c>
      <c r="G493" s="1" t="s">
        <v>3739</v>
      </c>
      <c r="J493" s="1" t="s">
        <v>501</v>
      </c>
      <c r="K493" s="1" t="s">
        <v>4073</v>
      </c>
      <c r="L493" s="1" t="s">
        <v>4240</v>
      </c>
      <c r="M493" s="1" t="s">
        <v>4407</v>
      </c>
      <c r="R493" s="1" t="s">
        <v>1142</v>
      </c>
    </row>
    <row r="494" spans="1:18" x14ac:dyDescent="0.2">
      <c r="A494" s="1" t="s">
        <v>53</v>
      </c>
      <c r="E494" s="1" t="s">
        <v>2348</v>
      </c>
      <c r="F494" s="1" t="s">
        <v>3907</v>
      </c>
      <c r="G494" s="1" t="s">
        <v>3740</v>
      </c>
      <c r="J494" s="1" t="s">
        <v>502</v>
      </c>
      <c r="K494" s="1" t="s">
        <v>4074</v>
      </c>
      <c r="L494" s="1" t="s">
        <v>4241</v>
      </c>
      <c r="M494" s="1" t="s">
        <v>4408</v>
      </c>
      <c r="R494" s="1" t="s">
        <v>1143</v>
      </c>
    </row>
    <row r="495" spans="1:18" x14ac:dyDescent="0.2">
      <c r="A495" s="1" t="s">
        <v>53</v>
      </c>
      <c r="E495" s="1" t="s">
        <v>2349</v>
      </c>
      <c r="F495" s="1" t="s">
        <v>3908</v>
      </c>
      <c r="G495" s="1" t="s">
        <v>3741</v>
      </c>
      <c r="J495" s="1" t="s">
        <v>503</v>
      </c>
      <c r="K495" s="1" t="s">
        <v>4075</v>
      </c>
      <c r="L495" s="1" t="s">
        <v>4242</v>
      </c>
      <c r="M495" s="1" t="s">
        <v>4409</v>
      </c>
      <c r="R495" s="1" t="s">
        <v>1144</v>
      </c>
    </row>
    <row r="496" spans="1:18" x14ac:dyDescent="0.2">
      <c r="A496" s="1" t="s">
        <v>53</v>
      </c>
      <c r="E496" s="1" t="s">
        <v>2350</v>
      </c>
      <c r="F496" s="1" t="s">
        <v>3909</v>
      </c>
      <c r="G496" s="1" t="s">
        <v>3742</v>
      </c>
      <c r="J496" s="1" t="s">
        <v>504</v>
      </c>
      <c r="K496" s="1" t="s">
        <v>4076</v>
      </c>
      <c r="L496" s="1" t="s">
        <v>4243</v>
      </c>
      <c r="M496" s="1" t="s">
        <v>4410</v>
      </c>
      <c r="R496" s="1" t="s">
        <v>1145</v>
      </c>
    </row>
    <row r="497" spans="1:18" x14ac:dyDescent="0.2">
      <c r="A497" s="1" t="s">
        <v>53</v>
      </c>
      <c r="E497" s="1" t="s">
        <v>2351</v>
      </c>
      <c r="F497" s="1" t="s">
        <v>3910</v>
      </c>
      <c r="G497" s="1" t="s">
        <v>3743</v>
      </c>
      <c r="J497" s="1" t="s">
        <v>505</v>
      </c>
      <c r="K497" s="1" t="s">
        <v>4077</v>
      </c>
      <c r="L497" s="1" t="s">
        <v>4244</v>
      </c>
      <c r="M497" s="1" t="s">
        <v>4411</v>
      </c>
      <c r="R497" s="1" t="s">
        <v>1146</v>
      </c>
    </row>
    <row r="498" spans="1:18" x14ac:dyDescent="0.2">
      <c r="A498" s="1" t="s">
        <v>53</v>
      </c>
      <c r="E498" s="1" t="s">
        <v>2352</v>
      </c>
      <c r="F498" s="1" t="s">
        <v>3911</v>
      </c>
      <c r="G498" s="1" t="s">
        <v>3744</v>
      </c>
      <c r="J498" s="1" t="s">
        <v>506</v>
      </c>
      <c r="K498" s="1" t="s">
        <v>4078</v>
      </c>
      <c r="L498" s="1" t="s">
        <v>4245</v>
      </c>
      <c r="M498" s="1" t="s">
        <v>4412</v>
      </c>
      <c r="R498" s="1" t="s">
        <v>1147</v>
      </c>
    </row>
    <row r="499" spans="1:18" x14ac:dyDescent="0.2">
      <c r="A499" s="1" t="s">
        <v>53</v>
      </c>
      <c r="E499" s="1" t="s">
        <v>2353</v>
      </c>
      <c r="F499" s="1" t="s">
        <v>3912</v>
      </c>
      <c r="G499" s="1" t="s">
        <v>3745</v>
      </c>
      <c r="J499" s="1" t="s">
        <v>507</v>
      </c>
      <c r="K499" s="1" t="s">
        <v>4079</v>
      </c>
      <c r="L499" s="1" t="s">
        <v>4246</v>
      </c>
      <c r="M499" s="1" t="s">
        <v>4413</v>
      </c>
      <c r="R499" s="1" t="s">
        <v>1148</v>
      </c>
    </row>
    <row r="500" spans="1:18" x14ac:dyDescent="0.2">
      <c r="A500" s="1" t="s">
        <v>53</v>
      </c>
      <c r="E500" s="1" t="s">
        <v>2354</v>
      </c>
      <c r="F500" s="1" t="s">
        <v>3913</v>
      </c>
      <c r="G500" s="1" t="s">
        <v>3746</v>
      </c>
      <c r="J500" s="1" t="s">
        <v>508</v>
      </c>
      <c r="K500" s="1" t="s">
        <v>4080</v>
      </c>
      <c r="L500" s="1" t="s">
        <v>4247</v>
      </c>
      <c r="M500" s="1" t="s">
        <v>4414</v>
      </c>
      <c r="R500" s="1" t="s">
        <v>1149</v>
      </c>
    </row>
    <row r="501" spans="1:18" x14ac:dyDescent="0.2">
      <c r="A501" s="1" t="s">
        <v>53</v>
      </c>
      <c r="E501" s="1" t="s">
        <v>2355</v>
      </c>
      <c r="F501" s="1" t="s">
        <v>3914</v>
      </c>
      <c r="G501" s="1" t="s">
        <v>3747</v>
      </c>
      <c r="J501" s="1" t="s">
        <v>509</v>
      </c>
      <c r="K501" s="1" t="s">
        <v>4081</v>
      </c>
      <c r="L501" s="1" t="s">
        <v>4248</v>
      </c>
      <c r="M501" s="1" t="s">
        <v>4415</v>
      </c>
      <c r="R501" s="1" t="s">
        <v>1150</v>
      </c>
    </row>
    <row r="502" spans="1:18" x14ac:dyDescent="0.2">
      <c r="A502" s="1" t="s">
        <v>53</v>
      </c>
      <c r="E502" s="1" t="s">
        <v>2356</v>
      </c>
      <c r="F502" s="1" t="s">
        <v>3915</v>
      </c>
      <c r="G502" s="1" t="s">
        <v>3748</v>
      </c>
      <c r="J502" s="1" t="s">
        <v>510</v>
      </c>
      <c r="K502" s="1" t="s">
        <v>4082</v>
      </c>
      <c r="L502" s="1" t="s">
        <v>4249</v>
      </c>
      <c r="M502" s="1" t="s">
        <v>4416</v>
      </c>
      <c r="R502" s="1" t="s">
        <v>1151</v>
      </c>
    </row>
    <row r="503" spans="1:18" x14ac:dyDescent="0.2">
      <c r="A503" s="1" t="s">
        <v>53</v>
      </c>
      <c r="E503" s="1" t="s">
        <v>2357</v>
      </c>
      <c r="F503" s="1" t="s">
        <v>3916</v>
      </c>
      <c r="G503" s="1" t="s">
        <v>3749</v>
      </c>
      <c r="J503" s="1" t="s">
        <v>511</v>
      </c>
      <c r="K503" s="1" t="s">
        <v>4083</v>
      </c>
      <c r="L503" s="1" t="s">
        <v>4250</v>
      </c>
      <c r="M503" s="1" t="s">
        <v>4417</v>
      </c>
      <c r="R503" s="1" t="s">
        <v>1152</v>
      </c>
    </row>
    <row r="504" spans="1:18" x14ac:dyDescent="0.2">
      <c r="A504" s="1" t="s">
        <v>53</v>
      </c>
      <c r="E504" s="1" t="s">
        <v>2358</v>
      </c>
      <c r="F504" s="1" t="s">
        <v>3917</v>
      </c>
      <c r="G504" s="1" t="s">
        <v>3750</v>
      </c>
      <c r="J504" s="1" t="s">
        <v>512</v>
      </c>
      <c r="K504" s="1" t="s">
        <v>4084</v>
      </c>
      <c r="L504" s="1" t="s">
        <v>4251</v>
      </c>
      <c r="M504" s="1" t="s">
        <v>4418</v>
      </c>
      <c r="R504" s="1" t="s">
        <v>1153</v>
      </c>
    </row>
    <row r="505" spans="1:18" x14ac:dyDescent="0.2">
      <c r="A505" s="1" t="s">
        <v>53</v>
      </c>
      <c r="E505" s="1" t="s">
        <v>2359</v>
      </c>
      <c r="F505" s="1" t="s">
        <v>3918</v>
      </c>
      <c r="G505" s="1" t="s">
        <v>3751</v>
      </c>
      <c r="J505" s="1" t="s">
        <v>513</v>
      </c>
      <c r="K505" s="1" t="s">
        <v>4085</v>
      </c>
      <c r="L505" s="1" t="s">
        <v>4252</v>
      </c>
      <c r="M505" s="1" t="s">
        <v>4419</v>
      </c>
      <c r="R505" s="1" t="s">
        <v>1154</v>
      </c>
    </row>
    <row r="506" spans="1:18" x14ac:dyDescent="0.2">
      <c r="A506" s="1" t="s">
        <v>53</v>
      </c>
      <c r="E506" s="1" t="s">
        <v>2360</v>
      </c>
      <c r="F506" s="1" t="s">
        <v>3919</v>
      </c>
      <c r="G506" s="1" t="s">
        <v>3752</v>
      </c>
      <c r="J506" s="1" t="s">
        <v>514</v>
      </c>
      <c r="K506" s="1" t="s">
        <v>4086</v>
      </c>
      <c r="L506" s="1" t="s">
        <v>4253</v>
      </c>
      <c r="M506" s="1" t="s">
        <v>4420</v>
      </c>
      <c r="R506" s="1" t="s">
        <v>1155</v>
      </c>
    </row>
    <row r="507" spans="1:18" x14ac:dyDescent="0.2">
      <c r="A507" s="1" t="s">
        <v>53</v>
      </c>
      <c r="E507" s="1" t="s">
        <v>2361</v>
      </c>
      <c r="F507" s="1" t="s">
        <v>3920</v>
      </c>
      <c r="G507" s="1" t="s">
        <v>3753</v>
      </c>
      <c r="J507" s="1" t="s">
        <v>515</v>
      </c>
      <c r="K507" s="1" t="s">
        <v>4087</v>
      </c>
      <c r="L507" s="1" t="s">
        <v>4254</v>
      </c>
      <c r="M507" s="1" t="s">
        <v>4421</v>
      </c>
      <c r="R507" s="1" t="s">
        <v>1156</v>
      </c>
    </row>
    <row r="508" spans="1:18" x14ac:dyDescent="0.2">
      <c r="A508" s="1" t="s">
        <v>53</v>
      </c>
      <c r="E508" s="1" t="s">
        <v>2362</v>
      </c>
      <c r="F508" s="1" t="s">
        <v>3921</v>
      </c>
      <c r="G508" s="1" t="s">
        <v>3754</v>
      </c>
      <c r="J508" s="1" t="s">
        <v>516</v>
      </c>
      <c r="K508" s="1" t="s">
        <v>4088</v>
      </c>
      <c r="L508" s="1" t="s">
        <v>4255</v>
      </c>
      <c r="M508" s="1" t="s">
        <v>4422</v>
      </c>
      <c r="R508" s="1" t="s">
        <v>1157</v>
      </c>
    </row>
    <row r="509" spans="1:18" x14ac:dyDescent="0.2">
      <c r="A509" s="1" t="s">
        <v>53</v>
      </c>
      <c r="E509" s="1" t="s">
        <v>2363</v>
      </c>
      <c r="F509" s="1" t="s">
        <v>3922</v>
      </c>
      <c r="G509" s="1" t="s">
        <v>3755</v>
      </c>
      <c r="J509" s="1" t="s">
        <v>517</v>
      </c>
      <c r="K509" s="1" t="s">
        <v>4089</v>
      </c>
      <c r="L509" s="1" t="s">
        <v>4256</v>
      </c>
      <c r="M509" s="1" t="s">
        <v>4423</v>
      </c>
      <c r="R509" s="1" t="s">
        <v>1158</v>
      </c>
    </row>
    <row r="510" spans="1:18" x14ac:dyDescent="0.2">
      <c r="A510" s="1" t="s">
        <v>53</v>
      </c>
      <c r="E510" s="1" t="s">
        <v>2364</v>
      </c>
      <c r="F510" s="1" t="s">
        <v>3923</v>
      </c>
      <c r="G510" s="1" t="s">
        <v>3756</v>
      </c>
      <c r="J510" s="1" t="s">
        <v>518</v>
      </c>
      <c r="K510" s="1" t="s">
        <v>4090</v>
      </c>
      <c r="L510" s="1" t="s">
        <v>4257</v>
      </c>
      <c r="M510" s="1" t="s">
        <v>4424</v>
      </c>
      <c r="R510" s="1" t="s">
        <v>1159</v>
      </c>
    </row>
    <row r="511" spans="1:18" x14ac:dyDescent="0.2">
      <c r="A511" s="1" t="s">
        <v>53</v>
      </c>
      <c r="E511" s="1" t="s">
        <v>2365</v>
      </c>
      <c r="F511" s="1" t="s">
        <v>3924</v>
      </c>
      <c r="G511" s="1" t="s">
        <v>3757</v>
      </c>
      <c r="J511" s="1" t="s">
        <v>519</v>
      </c>
      <c r="K511" s="1" t="s">
        <v>4091</v>
      </c>
      <c r="L511" s="1" t="s">
        <v>4258</v>
      </c>
      <c r="M511" s="1" t="s">
        <v>4425</v>
      </c>
      <c r="R511" s="1" t="s">
        <v>1160</v>
      </c>
    </row>
    <row r="512" spans="1:18" x14ac:dyDescent="0.2">
      <c r="A512" s="1" t="s">
        <v>53</v>
      </c>
      <c r="E512" s="1" t="s">
        <v>2366</v>
      </c>
      <c r="F512" s="1" t="s">
        <v>3925</v>
      </c>
      <c r="G512" s="1" t="s">
        <v>3758</v>
      </c>
      <c r="J512" s="1" t="s">
        <v>520</v>
      </c>
      <c r="K512" s="1" t="s">
        <v>4092</v>
      </c>
      <c r="L512" s="1" t="s">
        <v>4259</v>
      </c>
      <c r="M512" s="1" t="s">
        <v>4426</v>
      </c>
      <c r="R512" s="1" t="s">
        <v>1161</v>
      </c>
    </row>
    <row r="513" spans="1:18" x14ac:dyDescent="0.2">
      <c r="A513" s="1" t="s">
        <v>53</v>
      </c>
      <c r="E513" s="1" t="s">
        <v>2367</v>
      </c>
      <c r="F513" s="1" t="s">
        <v>3926</v>
      </c>
      <c r="G513" s="1" t="s">
        <v>3759</v>
      </c>
      <c r="J513" s="1" t="s">
        <v>521</v>
      </c>
      <c r="K513" s="1" t="s">
        <v>4093</v>
      </c>
      <c r="L513" s="1" t="s">
        <v>4260</v>
      </c>
      <c r="M513" s="1" t="s">
        <v>4427</v>
      </c>
      <c r="R513" s="1" t="s">
        <v>1162</v>
      </c>
    </row>
    <row r="514" spans="1:18" x14ac:dyDescent="0.2">
      <c r="A514" s="1" t="s">
        <v>53</v>
      </c>
      <c r="E514" s="1" t="s">
        <v>2368</v>
      </c>
      <c r="F514" s="1" t="s">
        <v>3927</v>
      </c>
      <c r="G514" s="1" t="s">
        <v>3760</v>
      </c>
      <c r="J514" s="1" t="s">
        <v>522</v>
      </c>
      <c r="K514" s="1" t="s">
        <v>4094</v>
      </c>
      <c r="L514" s="1" t="s">
        <v>4261</v>
      </c>
      <c r="M514" s="1" t="s">
        <v>4428</v>
      </c>
      <c r="R514" s="1" t="s">
        <v>1163</v>
      </c>
    </row>
    <row r="515" spans="1:18" x14ac:dyDescent="0.2">
      <c r="A515" s="1" t="s">
        <v>53</v>
      </c>
      <c r="E515" s="1" t="s">
        <v>2369</v>
      </c>
      <c r="F515" s="1" t="s">
        <v>3928</v>
      </c>
      <c r="G515" s="1" t="s">
        <v>3761</v>
      </c>
      <c r="J515" s="1" t="s">
        <v>523</v>
      </c>
      <c r="K515" s="1" t="s">
        <v>4095</v>
      </c>
      <c r="L515" s="1" t="s">
        <v>4262</v>
      </c>
      <c r="M515" s="1" t="s">
        <v>4429</v>
      </c>
      <c r="R515" s="1" t="s">
        <v>1164</v>
      </c>
    </row>
    <row r="516" spans="1:18" x14ac:dyDescent="0.2">
      <c r="A516" s="1" t="s">
        <v>53</v>
      </c>
      <c r="E516" s="1" t="s">
        <v>2370</v>
      </c>
      <c r="F516" s="1" t="s">
        <v>3929</v>
      </c>
      <c r="G516" s="1" t="s">
        <v>3762</v>
      </c>
      <c r="J516" s="1" t="s">
        <v>524</v>
      </c>
      <c r="K516" s="1" t="s">
        <v>4096</v>
      </c>
      <c r="L516" s="1" t="s">
        <v>4263</v>
      </c>
      <c r="M516" s="1" t="s">
        <v>4430</v>
      </c>
      <c r="R516" s="1" t="s">
        <v>1165</v>
      </c>
    </row>
    <row r="517" spans="1:18" x14ac:dyDescent="0.2">
      <c r="A517" s="1" t="s">
        <v>53</v>
      </c>
      <c r="E517" s="1" t="s">
        <v>2371</v>
      </c>
      <c r="F517" s="1" t="s">
        <v>3930</v>
      </c>
      <c r="G517" s="1" t="s">
        <v>3763</v>
      </c>
      <c r="J517" s="1" t="s">
        <v>525</v>
      </c>
      <c r="K517" s="1" t="s">
        <v>4097</v>
      </c>
      <c r="L517" s="1" t="s">
        <v>4264</v>
      </c>
      <c r="M517" s="1" t="s">
        <v>4431</v>
      </c>
      <c r="R517" s="1" t="s">
        <v>1166</v>
      </c>
    </row>
    <row r="518" spans="1:18" x14ac:dyDescent="0.2">
      <c r="A518" s="1" t="s">
        <v>53</v>
      </c>
      <c r="E518" s="1" t="s">
        <v>2372</v>
      </c>
      <c r="F518" s="1" t="s">
        <v>3931</v>
      </c>
      <c r="G518" s="1" t="s">
        <v>3764</v>
      </c>
      <c r="J518" s="1" t="s">
        <v>526</v>
      </c>
      <c r="K518" s="1" t="s">
        <v>4098</v>
      </c>
      <c r="L518" s="1" t="s">
        <v>4265</v>
      </c>
      <c r="M518" s="1" t="s">
        <v>4432</v>
      </c>
      <c r="R518" s="1" t="s">
        <v>1167</v>
      </c>
    </row>
    <row r="519" spans="1:18" x14ac:dyDescent="0.2">
      <c r="A519" s="1" t="s">
        <v>53</v>
      </c>
      <c r="E519" s="1" t="s">
        <v>2373</v>
      </c>
      <c r="F519" s="1" t="s">
        <v>3932</v>
      </c>
      <c r="G519" s="1" t="s">
        <v>3765</v>
      </c>
      <c r="J519" s="1" t="s">
        <v>527</v>
      </c>
      <c r="K519" s="1" t="s">
        <v>4099</v>
      </c>
      <c r="L519" s="1" t="s">
        <v>4266</v>
      </c>
      <c r="M519" s="1" t="s">
        <v>4433</v>
      </c>
      <c r="R519" s="1" t="s">
        <v>1168</v>
      </c>
    </row>
    <row r="520" spans="1:18" x14ac:dyDescent="0.2">
      <c r="A520" s="1" t="s">
        <v>53</v>
      </c>
      <c r="E520" s="1" t="s">
        <v>2374</v>
      </c>
      <c r="F520" s="1" t="s">
        <v>3933</v>
      </c>
      <c r="G520" s="1" t="s">
        <v>3766</v>
      </c>
      <c r="J520" s="1" t="s">
        <v>528</v>
      </c>
      <c r="K520" s="1" t="s">
        <v>4100</v>
      </c>
      <c r="L520" s="1" t="s">
        <v>4267</v>
      </c>
      <c r="M520" s="1" t="s">
        <v>4434</v>
      </c>
      <c r="R520" s="1" t="s">
        <v>1169</v>
      </c>
    </row>
    <row r="521" spans="1:18" x14ac:dyDescent="0.2">
      <c r="A521" s="1" t="s">
        <v>53</v>
      </c>
      <c r="E521" s="1" t="s">
        <v>2375</v>
      </c>
      <c r="F521" s="1" t="s">
        <v>3934</v>
      </c>
      <c r="G521" s="1" t="s">
        <v>3767</v>
      </c>
      <c r="J521" s="1" t="s">
        <v>529</v>
      </c>
      <c r="K521" s="1" t="s">
        <v>4101</v>
      </c>
      <c r="L521" s="1" t="s">
        <v>4268</v>
      </c>
      <c r="M521" s="1" t="s">
        <v>4435</v>
      </c>
      <c r="R521" s="1" t="s">
        <v>1170</v>
      </c>
    </row>
    <row r="522" spans="1:18" x14ac:dyDescent="0.2">
      <c r="A522" s="1" t="s">
        <v>53</v>
      </c>
      <c r="E522" s="1" t="s">
        <v>2376</v>
      </c>
      <c r="F522" s="1" t="s">
        <v>3935</v>
      </c>
      <c r="G522" s="1" t="s">
        <v>3768</v>
      </c>
      <c r="J522" s="1" t="s">
        <v>530</v>
      </c>
      <c r="K522" s="1" t="s">
        <v>4102</v>
      </c>
      <c r="L522" s="1" t="s">
        <v>4269</v>
      </c>
      <c r="M522" s="1" t="s">
        <v>4436</v>
      </c>
      <c r="R522" s="1" t="s">
        <v>1171</v>
      </c>
    </row>
    <row r="523" spans="1:18" x14ac:dyDescent="0.2">
      <c r="A523" s="1" t="s">
        <v>53</v>
      </c>
      <c r="E523" s="1" t="s">
        <v>2377</v>
      </c>
      <c r="F523" s="1" t="s">
        <v>3936</v>
      </c>
      <c r="G523" s="1" t="s">
        <v>3769</v>
      </c>
      <c r="J523" s="1" t="s">
        <v>531</v>
      </c>
      <c r="K523" s="1" t="s">
        <v>4103</v>
      </c>
      <c r="L523" s="1" t="s">
        <v>4270</v>
      </c>
      <c r="M523" s="1" t="s">
        <v>4437</v>
      </c>
      <c r="R523" s="1" t="s">
        <v>1172</v>
      </c>
    </row>
    <row r="524" spans="1:18" x14ac:dyDescent="0.2">
      <c r="A524" s="1" t="s">
        <v>53</v>
      </c>
      <c r="E524" s="1" t="s">
        <v>2378</v>
      </c>
      <c r="F524" s="1" t="s">
        <v>3937</v>
      </c>
      <c r="G524" s="1" t="s">
        <v>3770</v>
      </c>
      <c r="J524" s="1" t="s">
        <v>532</v>
      </c>
      <c r="K524" s="1" t="s">
        <v>4104</v>
      </c>
      <c r="L524" s="1" t="s">
        <v>4271</v>
      </c>
      <c r="M524" s="1" t="s">
        <v>4438</v>
      </c>
      <c r="R524" s="1" t="s">
        <v>1173</v>
      </c>
    </row>
    <row r="525" spans="1:18" x14ac:dyDescent="0.2">
      <c r="A525" s="1" t="s">
        <v>53</v>
      </c>
      <c r="E525" s="1" t="s">
        <v>2379</v>
      </c>
      <c r="F525" s="1" t="s">
        <v>3938</v>
      </c>
      <c r="G525" s="1" t="s">
        <v>3771</v>
      </c>
      <c r="J525" s="1" t="s">
        <v>533</v>
      </c>
      <c r="K525" s="1" t="s">
        <v>4105</v>
      </c>
      <c r="L525" s="1" t="s">
        <v>4272</v>
      </c>
      <c r="M525" s="1" t="s">
        <v>4439</v>
      </c>
      <c r="R525" s="1" t="s">
        <v>1174</v>
      </c>
    </row>
    <row r="526" spans="1:18" x14ac:dyDescent="0.2">
      <c r="A526" s="1" t="s">
        <v>53</v>
      </c>
      <c r="E526" s="1" t="s">
        <v>2380</v>
      </c>
      <c r="F526" s="1" t="s">
        <v>3939</v>
      </c>
      <c r="G526" s="1" t="s">
        <v>3772</v>
      </c>
      <c r="J526" s="1" t="s">
        <v>534</v>
      </c>
      <c r="K526" s="1" t="s">
        <v>4106</v>
      </c>
      <c r="L526" s="1" t="s">
        <v>4273</v>
      </c>
      <c r="M526" s="1" t="s">
        <v>4440</v>
      </c>
      <c r="R526" s="1" t="s">
        <v>1175</v>
      </c>
    </row>
    <row r="527" spans="1:18" x14ac:dyDescent="0.2">
      <c r="A527" s="1" t="s">
        <v>53</v>
      </c>
      <c r="E527" s="1" t="s">
        <v>2381</v>
      </c>
      <c r="F527" s="1" t="s">
        <v>3940</v>
      </c>
      <c r="G527" s="1" t="s">
        <v>3773</v>
      </c>
      <c r="J527" s="1" t="s">
        <v>756</v>
      </c>
      <c r="K527" s="1" t="s">
        <v>4107</v>
      </c>
      <c r="L527" s="1" t="s">
        <v>4274</v>
      </c>
      <c r="M527" s="1" t="s">
        <v>4441</v>
      </c>
      <c r="R527" s="1" t="s">
        <v>1176</v>
      </c>
    </row>
    <row r="528" spans="1:18" x14ac:dyDescent="0.2">
      <c r="A528" s="1" t="s">
        <v>53</v>
      </c>
      <c r="E528" s="1" t="s">
        <v>2382</v>
      </c>
      <c r="F528" s="1" t="s">
        <v>3941</v>
      </c>
      <c r="G528" s="1" t="s">
        <v>3774</v>
      </c>
      <c r="J528" s="1" t="s">
        <v>757</v>
      </c>
      <c r="K528" s="1" t="s">
        <v>4108</v>
      </c>
      <c r="L528" s="1" t="s">
        <v>4275</v>
      </c>
      <c r="M528" s="1" t="s">
        <v>4442</v>
      </c>
      <c r="R528" s="1" t="s">
        <v>1177</v>
      </c>
    </row>
    <row r="529" spans="1:18" x14ac:dyDescent="0.2">
      <c r="A529" s="1" t="s">
        <v>53</v>
      </c>
      <c r="E529" s="1" t="s">
        <v>2383</v>
      </c>
      <c r="F529" s="1" t="s">
        <v>3942</v>
      </c>
      <c r="G529" s="1" t="s">
        <v>3775</v>
      </c>
      <c r="J529" s="1" t="s">
        <v>535</v>
      </c>
      <c r="K529" s="1" t="s">
        <v>4109</v>
      </c>
      <c r="L529" s="1" t="s">
        <v>4276</v>
      </c>
      <c r="M529" s="1" t="s">
        <v>4443</v>
      </c>
      <c r="R529" s="1" t="s">
        <v>1178</v>
      </c>
    </row>
    <row r="530" spans="1:18" x14ac:dyDescent="0.2">
      <c r="A530" s="1" t="s">
        <v>53</v>
      </c>
      <c r="E530" s="1" t="s">
        <v>2384</v>
      </c>
      <c r="F530" s="1" t="s">
        <v>3943</v>
      </c>
      <c r="G530" s="1" t="s">
        <v>3776</v>
      </c>
      <c r="J530" s="1" t="s">
        <v>758</v>
      </c>
      <c r="K530" s="1" t="s">
        <v>4110</v>
      </c>
      <c r="L530" s="1" t="s">
        <v>4277</v>
      </c>
      <c r="M530" s="1" t="s">
        <v>4444</v>
      </c>
      <c r="R530" s="1" t="s">
        <v>1179</v>
      </c>
    </row>
    <row r="531" spans="1:18" x14ac:dyDescent="0.2">
      <c r="A531" s="1" t="s">
        <v>53</v>
      </c>
      <c r="E531" s="1" t="s">
        <v>2385</v>
      </c>
      <c r="F531" s="1" t="s">
        <v>3944</v>
      </c>
      <c r="G531" s="1" t="s">
        <v>3777</v>
      </c>
      <c r="J531" s="1" t="s">
        <v>759</v>
      </c>
      <c r="K531" s="1" t="s">
        <v>4111</v>
      </c>
      <c r="L531" s="1" t="s">
        <v>4278</v>
      </c>
      <c r="M531" s="1" t="s">
        <v>4445</v>
      </c>
      <c r="R531" s="1" t="s">
        <v>1180</v>
      </c>
    </row>
    <row r="532" spans="1:18" x14ac:dyDescent="0.2">
      <c r="A532" s="1" t="s">
        <v>53</v>
      </c>
      <c r="E532" s="1" t="s">
        <v>2386</v>
      </c>
      <c r="F532" s="1" t="s">
        <v>3945</v>
      </c>
      <c r="G532" s="1" t="s">
        <v>3778</v>
      </c>
      <c r="J532" s="1" t="s">
        <v>536</v>
      </c>
      <c r="K532" s="1" t="s">
        <v>4112</v>
      </c>
      <c r="L532" s="1" t="s">
        <v>4279</v>
      </c>
      <c r="M532" s="1" t="s">
        <v>4446</v>
      </c>
      <c r="R532" s="1" t="s">
        <v>1181</v>
      </c>
    </row>
    <row r="533" spans="1:18" x14ac:dyDescent="0.2">
      <c r="A533" s="1" t="s">
        <v>53</v>
      </c>
      <c r="E533" s="1" t="s">
        <v>2387</v>
      </c>
      <c r="F533" s="1" t="s">
        <v>3946</v>
      </c>
      <c r="G533" s="1" t="s">
        <v>3779</v>
      </c>
      <c r="J533" s="1" t="s">
        <v>537</v>
      </c>
      <c r="K533" s="1" t="s">
        <v>4113</v>
      </c>
      <c r="L533" s="1" t="s">
        <v>4280</v>
      </c>
      <c r="M533" s="1" t="s">
        <v>4447</v>
      </c>
      <c r="R533" s="1" t="s">
        <v>1182</v>
      </c>
    </row>
    <row r="534" spans="1:18" x14ac:dyDescent="0.2">
      <c r="A534" s="1" t="s">
        <v>53</v>
      </c>
      <c r="E534" s="1" t="s">
        <v>2388</v>
      </c>
      <c r="F534" s="1" t="s">
        <v>3947</v>
      </c>
      <c r="G534" s="1" t="s">
        <v>3780</v>
      </c>
      <c r="J534" s="1" t="s">
        <v>538</v>
      </c>
      <c r="K534" s="1" t="s">
        <v>4114</v>
      </c>
      <c r="L534" s="1" t="s">
        <v>4281</v>
      </c>
      <c r="M534" s="1" t="s">
        <v>4448</v>
      </c>
      <c r="R534" s="1" t="s">
        <v>1183</v>
      </c>
    </row>
    <row r="535" spans="1:18" x14ac:dyDescent="0.2">
      <c r="A535" s="1" t="s">
        <v>53</v>
      </c>
      <c r="E535" s="1" t="s">
        <v>2389</v>
      </c>
      <c r="F535" s="1" t="s">
        <v>3948</v>
      </c>
      <c r="G535" s="1" t="s">
        <v>3781</v>
      </c>
      <c r="J535" s="1" t="s">
        <v>539</v>
      </c>
      <c r="K535" s="1" t="s">
        <v>4115</v>
      </c>
      <c r="L535" s="1" t="s">
        <v>4282</v>
      </c>
      <c r="M535" s="1" t="s">
        <v>4449</v>
      </c>
      <c r="R535" s="1" t="s">
        <v>1184</v>
      </c>
    </row>
    <row r="536" spans="1:18" x14ac:dyDescent="0.2">
      <c r="A536" s="1" t="s">
        <v>53</v>
      </c>
      <c r="E536" s="1" t="s">
        <v>2390</v>
      </c>
      <c r="F536" s="1" t="s">
        <v>3949</v>
      </c>
      <c r="G536" s="1" t="s">
        <v>3782</v>
      </c>
      <c r="J536" s="1" t="s">
        <v>540</v>
      </c>
      <c r="K536" s="1" t="s">
        <v>4116</v>
      </c>
      <c r="L536" s="1" t="s">
        <v>4283</v>
      </c>
      <c r="M536" s="1" t="s">
        <v>4450</v>
      </c>
      <c r="R536" s="1" t="s">
        <v>1185</v>
      </c>
    </row>
    <row r="537" spans="1:18" x14ac:dyDescent="0.2">
      <c r="A537" s="1" t="s">
        <v>53</v>
      </c>
      <c r="E537" s="1" t="s">
        <v>2391</v>
      </c>
      <c r="F537" s="1" t="s">
        <v>3950</v>
      </c>
      <c r="G537" s="1" t="s">
        <v>3783</v>
      </c>
      <c r="J537" s="1" t="s">
        <v>541</v>
      </c>
      <c r="K537" s="1" t="s">
        <v>4117</v>
      </c>
      <c r="L537" s="1" t="s">
        <v>4284</v>
      </c>
      <c r="M537" s="1" t="s">
        <v>4451</v>
      </c>
      <c r="R537" s="1" t="s">
        <v>1186</v>
      </c>
    </row>
    <row r="538" spans="1:18" x14ac:dyDescent="0.2">
      <c r="A538" s="1" t="s">
        <v>53</v>
      </c>
      <c r="E538" s="1" t="s">
        <v>2392</v>
      </c>
      <c r="F538" s="1" t="s">
        <v>3951</v>
      </c>
      <c r="G538" s="1" t="s">
        <v>3784</v>
      </c>
      <c r="J538" s="1" t="s">
        <v>542</v>
      </c>
      <c r="K538" s="1" t="s">
        <v>4118</v>
      </c>
      <c r="L538" s="1" t="s">
        <v>4285</v>
      </c>
      <c r="M538" s="1" t="s">
        <v>4452</v>
      </c>
      <c r="R538" s="1" t="s">
        <v>1187</v>
      </c>
    </row>
    <row r="539" spans="1:18" x14ac:dyDescent="0.2">
      <c r="A539" s="1" t="s">
        <v>53</v>
      </c>
      <c r="E539" s="1" t="s">
        <v>2393</v>
      </c>
      <c r="F539" s="1" t="s">
        <v>3952</v>
      </c>
      <c r="G539" s="1" t="s">
        <v>3785</v>
      </c>
      <c r="J539" s="1" t="s">
        <v>543</v>
      </c>
      <c r="K539" s="1" t="s">
        <v>4119</v>
      </c>
      <c r="L539" s="1" t="s">
        <v>4286</v>
      </c>
      <c r="M539" s="1" t="s">
        <v>4453</v>
      </c>
      <c r="R539" s="1" t="s">
        <v>1188</v>
      </c>
    </row>
    <row r="540" spans="1:18" x14ac:dyDescent="0.2">
      <c r="A540" s="1" t="s">
        <v>53</v>
      </c>
      <c r="E540" s="1" t="s">
        <v>2394</v>
      </c>
      <c r="F540" s="1" t="s">
        <v>3953</v>
      </c>
      <c r="G540" s="1" t="s">
        <v>3786</v>
      </c>
      <c r="J540" s="1" t="s">
        <v>544</v>
      </c>
      <c r="K540" s="1" t="s">
        <v>4120</v>
      </c>
      <c r="L540" s="1" t="s">
        <v>4287</v>
      </c>
      <c r="M540" s="1" t="s">
        <v>4454</v>
      </c>
      <c r="R540" s="1" t="s">
        <v>1189</v>
      </c>
    </row>
    <row r="541" spans="1:18" x14ac:dyDescent="0.2">
      <c r="A541" s="1" t="s">
        <v>53</v>
      </c>
      <c r="E541" s="1" t="s">
        <v>2395</v>
      </c>
      <c r="F541" s="1" t="s">
        <v>3954</v>
      </c>
      <c r="G541" s="1" t="s">
        <v>3787</v>
      </c>
      <c r="J541" s="1" t="s">
        <v>545</v>
      </c>
      <c r="K541" s="1" t="s">
        <v>4121</v>
      </c>
      <c r="L541" s="1" t="s">
        <v>4288</v>
      </c>
      <c r="M541" s="1" t="s">
        <v>4455</v>
      </c>
      <c r="R541" s="1" t="s">
        <v>1190</v>
      </c>
    </row>
    <row r="542" spans="1:18" x14ac:dyDescent="0.2">
      <c r="A542" s="1" t="s">
        <v>53</v>
      </c>
      <c r="E542" s="1" t="s">
        <v>2396</v>
      </c>
      <c r="F542" s="1" t="s">
        <v>3955</v>
      </c>
      <c r="G542" s="1" t="s">
        <v>3788</v>
      </c>
      <c r="J542" s="1" t="s">
        <v>546</v>
      </c>
      <c r="K542" s="1" t="s">
        <v>4122</v>
      </c>
      <c r="L542" s="1" t="s">
        <v>4289</v>
      </c>
      <c r="M542" s="1" t="s">
        <v>4456</v>
      </c>
      <c r="R542" s="1" t="s">
        <v>1191</v>
      </c>
    </row>
    <row r="543" spans="1:18" x14ac:dyDescent="0.2">
      <c r="A543" s="1" t="s">
        <v>53</v>
      </c>
      <c r="E543" s="1" t="s">
        <v>2397</v>
      </c>
      <c r="F543" s="1" t="s">
        <v>3956</v>
      </c>
      <c r="G543" s="1" t="s">
        <v>3789</v>
      </c>
      <c r="J543" s="1" t="s">
        <v>547</v>
      </c>
      <c r="K543" s="1" t="s">
        <v>4123</v>
      </c>
      <c r="L543" s="1" t="s">
        <v>4290</v>
      </c>
      <c r="M543" s="1" t="s">
        <v>4457</v>
      </c>
      <c r="R543" s="1" t="s">
        <v>1192</v>
      </c>
    </row>
    <row r="544" spans="1:18" x14ac:dyDescent="0.2">
      <c r="A544" s="1" t="s">
        <v>53</v>
      </c>
      <c r="E544" s="1" t="s">
        <v>2398</v>
      </c>
      <c r="F544" s="1" t="s">
        <v>3957</v>
      </c>
      <c r="G544" s="1" t="s">
        <v>3790</v>
      </c>
      <c r="J544" s="1" t="s">
        <v>548</v>
      </c>
      <c r="K544" s="1" t="s">
        <v>4124</v>
      </c>
      <c r="L544" s="1" t="s">
        <v>4291</v>
      </c>
      <c r="M544" s="1" t="s">
        <v>4458</v>
      </c>
      <c r="R544" s="1" t="s">
        <v>1193</v>
      </c>
    </row>
    <row r="545" spans="1:18" x14ac:dyDescent="0.2">
      <c r="A545" s="1" t="s">
        <v>53</v>
      </c>
      <c r="E545" s="1" t="s">
        <v>2399</v>
      </c>
      <c r="F545" s="1" t="s">
        <v>3958</v>
      </c>
      <c r="G545" s="1" t="s">
        <v>3791</v>
      </c>
      <c r="J545" s="1" t="s">
        <v>549</v>
      </c>
      <c r="K545" s="1" t="s">
        <v>4125</v>
      </c>
      <c r="L545" s="1" t="s">
        <v>4292</v>
      </c>
      <c r="M545" s="1" t="s">
        <v>4459</v>
      </c>
      <c r="R545" s="1" t="s">
        <v>1194</v>
      </c>
    </row>
    <row r="546" spans="1:18" x14ac:dyDescent="0.2">
      <c r="A546" s="1" t="s">
        <v>53</v>
      </c>
      <c r="E546" s="1" t="s">
        <v>2400</v>
      </c>
      <c r="F546" s="1" t="s">
        <v>3959</v>
      </c>
      <c r="G546" s="1" t="s">
        <v>3792</v>
      </c>
      <c r="J546" s="1" t="s">
        <v>550</v>
      </c>
      <c r="K546" s="1" t="s">
        <v>4126</v>
      </c>
      <c r="L546" s="1" t="s">
        <v>4293</v>
      </c>
      <c r="M546" s="1" t="s">
        <v>4460</v>
      </c>
      <c r="R546" s="1" t="s">
        <v>1195</v>
      </c>
    </row>
    <row r="547" spans="1:18" x14ac:dyDescent="0.2">
      <c r="A547" s="1" t="s">
        <v>53</v>
      </c>
      <c r="E547" s="1" t="s">
        <v>2401</v>
      </c>
      <c r="F547" s="1" t="s">
        <v>3960</v>
      </c>
      <c r="G547" s="1" t="s">
        <v>3793</v>
      </c>
      <c r="J547" s="1" t="s">
        <v>551</v>
      </c>
      <c r="K547" s="1" t="s">
        <v>4127</v>
      </c>
      <c r="L547" s="1" t="s">
        <v>4294</v>
      </c>
      <c r="M547" s="1" t="s">
        <v>4461</v>
      </c>
      <c r="R547" s="1" t="s">
        <v>1196</v>
      </c>
    </row>
    <row r="548" spans="1:18" x14ac:dyDescent="0.2">
      <c r="A548" s="1" t="s">
        <v>53</v>
      </c>
      <c r="E548" s="1" t="s">
        <v>2402</v>
      </c>
      <c r="F548" s="1" t="s">
        <v>3961</v>
      </c>
      <c r="G548" s="1" t="s">
        <v>3794</v>
      </c>
      <c r="J548" s="1" t="s">
        <v>552</v>
      </c>
      <c r="K548" s="1" t="s">
        <v>4128</v>
      </c>
      <c r="L548" s="1" t="s">
        <v>4295</v>
      </c>
      <c r="M548" s="1" t="s">
        <v>4462</v>
      </c>
      <c r="R548" s="1" t="s">
        <v>1197</v>
      </c>
    </row>
    <row r="549" spans="1:18" x14ac:dyDescent="0.2">
      <c r="A549" s="1" t="s">
        <v>53</v>
      </c>
      <c r="E549" s="1" t="s">
        <v>2403</v>
      </c>
      <c r="F549" s="1" t="s">
        <v>3962</v>
      </c>
      <c r="G549" s="1" t="s">
        <v>3795</v>
      </c>
      <c r="J549" s="1" t="s">
        <v>553</v>
      </c>
      <c r="K549" s="1" t="s">
        <v>4129</v>
      </c>
      <c r="L549" s="1" t="s">
        <v>4296</v>
      </c>
      <c r="M549" s="1" t="s">
        <v>4463</v>
      </c>
      <c r="R549" s="1" t="s">
        <v>1198</v>
      </c>
    </row>
    <row r="550" spans="1:18" x14ac:dyDescent="0.2">
      <c r="A550" s="1" t="s">
        <v>53</v>
      </c>
      <c r="E550" s="1" t="s">
        <v>2404</v>
      </c>
      <c r="F550" s="1" t="s">
        <v>3963</v>
      </c>
      <c r="G550" s="1" t="s">
        <v>3796</v>
      </c>
      <c r="J550" s="1" t="s">
        <v>554</v>
      </c>
      <c r="K550" s="1" t="s">
        <v>4130</v>
      </c>
      <c r="L550" s="1" t="s">
        <v>4297</v>
      </c>
      <c r="M550" s="1" t="s">
        <v>4464</v>
      </c>
      <c r="R550" s="1" t="s">
        <v>1199</v>
      </c>
    </row>
    <row r="551" spans="1:18" x14ac:dyDescent="0.2">
      <c r="A551" s="1" t="s">
        <v>53</v>
      </c>
      <c r="E551" s="1" t="s">
        <v>2405</v>
      </c>
      <c r="F551" s="1" t="s">
        <v>3964</v>
      </c>
      <c r="G551" s="1" t="s">
        <v>3797</v>
      </c>
      <c r="J551" s="1" t="s">
        <v>555</v>
      </c>
      <c r="K551" s="1" t="s">
        <v>4131</v>
      </c>
      <c r="L551" s="1" t="s">
        <v>4298</v>
      </c>
      <c r="M551" s="1" t="s">
        <v>4465</v>
      </c>
      <c r="R551" s="1" t="s">
        <v>1200</v>
      </c>
    </row>
    <row r="552" spans="1:18" x14ac:dyDescent="0.2">
      <c r="A552" s="1" t="s">
        <v>53</v>
      </c>
      <c r="E552" s="1" t="s">
        <v>2406</v>
      </c>
      <c r="F552" s="1" t="s">
        <v>3965</v>
      </c>
      <c r="G552" s="1" t="s">
        <v>3798</v>
      </c>
      <c r="J552" s="1" t="s">
        <v>556</v>
      </c>
      <c r="K552" s="1" t="s">
        <v>4132</v>
      </c>
      <c r="L552" s="1" t="s">
        <v>4299</v>
      </c>
      <c r="M552" s="1" t="s">
        <v>4466</v>
      </c>
      <c r="R552" s="1" t="s">
        <v>1201</v>
      </c>
    </row>
    <row r="553" spans="1:18" x14ac:dyDescent="0.2">
      <c r="A553" s="1" t="s">
        <v>53</v>
      </c>
      <c r="E553" s="1" t="s">
        <v>2407</v>
      </c>
      <c r="F553" s="1" t="s">
        <v>3966</v>
      </c>
      <c r="G553" s="1" t="s">
        <v>3799</v>
      </c>
      <c r="J553" s="1" t="s">
        <v>557</v>
      </c>
      <c r="K553" s="1" t="s">
        <v>4133</v>
      </c>
      <c r="L553" s="1" t="s">
        <v>4300</v>
      </c>
      <c r="M553" s="1" t="s">
        <v>4467</v>
      </c>
      <c r="R553" s="1" t="s">
        <v>1202</v>
      </c>
    </row>
    <row r="554" spans="1:18" x14ac:dyDescent="0.2">
      <c r="A554" s="1" t="s">
        <v>53</v>
      </c>
      <c r="E554" s="1" t="s">
        <v>2408</v>
      </c>
      <c r="F554" s="1" t="s">
        <v>3967</v>
      </c>
      <c r="G554" s="1" t="s">
        <v>3800</v>
      </c>
      <c r="J554" s="1" t="s">
        <v>558</v>
      </c>
      <c r="K554" s="1" t="s">
        <v>4134</v>
      </c>
      <c r="L554" s="1" t="s">
        <v>4301</v>
      </c>
      <c r="M554" s="1" t="s">
        <v>4468</v>
      </c>
      <c r="R554" s="1" t="s">
        <v>1203</v>
      </c>
    </row>
    <row r="555" spans="1:18" x14ac:dyDescent="0.2">
      <c r="A555" s="1" t="s">
        <v>53</v>
      </c>
      <c r="E555" s="1" t="s">
        <v>2409</v>
      </c>
      <c r="F555" s="1" t="s">
        <v>3968</v>
      </c>
      <c r="G555" s="1" t="s">
        <v>3801</v>
      </c>
      <c r="J555" s="1" t="s">
        <v>559</v>
      </c>
      <c r="K555" s="1" t="s">
        <v>4135</v>
      </c>
      <c r="L555" s="1" t="s">
        <v>4302</v>
      </c>
      <c r="M555" s="1" t="s">
        <v>4469</v>
      </c>
      <c r="R555" s="1" t="s">
        <v>1204</v>
      </c>
    </row>
    <row r="556" spans="1:18" x14ac:dyDescent="0.2">
      <c r="A556" s="1" t="s">
        <v>53</v>
      </c>
      <c r="E556" s="1" t="s">
        <v>2410</v>
      </c>
      <c r="F556" s="1" t="s">
        <v>3969</v>
      </c>
      <c r="G556" s="1" t="s">
        <v>3802</v>
      </c>
      <c r="J556" s="1" t="s">
        <v>560</v>
      </c>
      <c r="K556" s="1" t="s">
        <v>4136</v>
      </c>
      <c r="L556" s="1" t="s">
        <v>4303</v>
      </c>
      <c r="M556" s="1" t="s">
        <v>4470</v>
      </c>
      <c r="R556" s="1" t="s">
        <v>1205</v>
      </c>
    </row>
    <row r="557" spans="1:18" x14ac:dyDescent="0.2">
      <c r="A557" s="1" t="s">
        <v>53</v>
      </c>
      <c r="E557" s="1" t="s">
        <v>2411</v>
      </c>
      <c r="F557" s="1" t="s">
        <v>3970</v>
      </c>
      <c r="G557" s="1" t="s">
        <v>3803</v>
      </c>
      <c r="J557" s="1" t="s">
        <v>561</v>
      </c>
      <c r="K557" s="1" t="s">
        <v>4137</v>
      </c>
      <c r="L557" s="1" t="s">
        <v>4304</v>
      </c>
      <c r="M557" s="1" t="s">
        <v>4471</v>
      </c>
      <c r="R557" s="1" t="s">
        <v>1206</v>
      </c>
    </row>
    <row r="558" spans="1:18" x14ac:dyDescent="0.2">
      <c r="A558" s="1" t="s">
        <v>53</v>
      </c>
      <c r="E558" s="1" t="s">
        <v>2412</v>
      </c>
      <c r="F558" s="1" t="s">
        <v>3971</v>
      </c>
      <c r="G558" s="1" t="s">
        <v>3804</v>
      </c>
      <c r="J558" s="1" t="s">
        <v>562</v>
      </c>
      <c r="K558" s="1" t="s">
        <v>4138</v>
      </c>
      <c r="L558" s="1" t="s">
        <v>4305</v>
      </c>
      <c r="M558" s="1" t="s">
        <v>4472</v>
      </c>
      <c r="R558" s="1" t="s">
        <v>1207</v>
      </c>
    </row>
    <row r="559" spans="1:18" x14ac:dyDescent="0.2">
      <c r="A559" s="1" t="s">
        <v>53</v>
      </c>
      <c r="E559" s="1" t="s">
        <v>2413</v>
      </c>
      <c r="F559" s="1" t="s">
        <v>3972</v>
      </c>
      <c r="G559" s="1" t="s">
        <v>3805</v>
      </c>
      <c r="J559" s="1" t="s">
        <v>563</v>
      </c>
      <c r="K559" s="1" t="s">
        <v>4139</v>
      </c>
      <c r="L559" s="1" t="s">
        <v>4306</v>
      </c>
      <c r="M559" s="1" t="s">
        <v>4473</v>
      </c>
      <c r="R559" s="1" t="s">
        <v>1208</v>
      </c>
    </row>
    <row r="560" spans="1:18" x14ac:dyDescent="0.2">
      <c r="A560" s="1" t="s">
        <v>53</v>
      </c>
      <c r="E560" s="1" t="s">
        <v>2414</v>
      </c>
      <c r="F560" s="1" t="s">
        <v>3973</v>
      </c>
      <c r="G560" s="1" t="s">
        <v>3806</v>
      </c>
      <c r="J560" s="1" t="s">
        <v>564</v>
      </c>
      <c r="K560" s="1" t="s">
        <v>4140</v>
      </c>
      <c r="L560" s="1" t="s">
        <v>4307</v>
      </c>
      <c r="M560" s="1" t="s">
        <v>4474</v>
      </c>
      <c r="R560" s="1" t="s">
        <v>1209</v>
      </c>
    </row>
    <row r="561" spans="1:18" x14ac:dyDescent="0.2">
      <c r="A561" s="1" t="s">
        <v>53</v>
      </c>
      <c r="E561" s="1" t="s">
        <v>2415</v>
      </c>
      <c r="F561" s="1" t="s">
        <v>3974</v>
      </c>
      <c r="G561" s="1" t="s">
        <v>3807</v>
      </c>
      <c r="J561" s="1" t="s">
        <v>565</v>
      </c>
      <c r="K561" s="1" t="s">
        <v>4141</v>
      </c>
      <c r="L561" s="1" t="s">
        <v>4308</v>
      </c>
      <c r="M561" s="1" t="s">
        <v>4475</v>
      </c>
      <c r="R561" s="1" t="s">
        <v>1210</v>
      </c>
    </row>
    <row r="562" spans="1:18" x14ac:dyDescent="0.2">
      <c r="A562" s="1" t="s">
        <v>53</v>
      </c>
      <c r="E562" s="1" t="s">
        <v>2416</v>
      </c>
      <c r="F562" s="1" t="s">
        <v>3975</v>
      </c>
      <c r="G562" s="1" t="s">
        <v>3808</v>
      </c>
      <c r="J562" s="1" t="s">
        <v>566</v>
      </c>
      <c r="K562" s="1" t="s">
        <v>4142</v>
      </c>
      <c r="L562" s="1" t="s">
        <v>4309</v>
      </c>
      <c r="M562" s="1" t="s">
        <v>4476</v>
      </c>
      <c r="R562" s="1" t="s">
        <v>1211</v>
      </c>
    </row>
    <row r="563" spans="1:18" x14ac:dyDescent="0.2">
      <c r="A563" s="1" t="s">
        <v>53</v>
      </c>
      <c r="E563" s="1" t="s">
        <v>2417</v>
      </c>
      <c r="F563" s="1" t="s">
        <v>3976</v>
      </c>
      <c r="G563" s="1" t="s">
        <v>3809</v>
      </c>
      <c r="J563" s="1" t="s">
        <v>567</v>
      </c>
      <c r="K563" s="1" t="s">
        <v>4143</v>
      </c>
      <c r="L563" s="1" t="s">
        <v>4310</v>
      </c>
      <c r="M563" s="1" t="s">
        <v>4477</v>
      </c>
      <c r="R563" s="1" t="s">
        <v>1212</v>
      </c>
    </row>
    <row r="564" spans="1:18" x14ac:dyDescent="0.2">
      <c r="A564" s="1" t="s">
        <v>53</v>
      </c>
      <c r="E564" s="1" t="s">
        <v>2418</v>
      </c>
      <c r="F564" s="1" t="s">
        <v>3977</v>
      </c>
      <c r="G564" s="1" t="s">
        <v>3810</v>
      </c>
      <c r="J564" s="1" t="s">
        <v>568</v>
      </c>
      <c r="K564" s="1" t="s">
        <v>4144</v>
      </c>
      <c r="L564" s="1" t="s">
        <v>4311</v>
      </c>
      <c r="M564" s="1" t="s">
        <v>4478</v>
      </c>
      <c r="R564" s="1" t="s">
        <v>1213</v>
      </c>
    </row>
    <row r="565" spans="1:18" x14ac:dyDescent="0.2">
      <c r="A565" s="1" t="s">
        <v>53</v>
      </c>
      <c r="E565" s="1" t="s">
        <v>2419</v>
      </c>
      <c r="F565" s="1" t="s">
        <v>3978</v>
      </c>
      <c r="G565" s="1" t="s">
        <v>3811</v>
      </c>
      <c r="J565" s="1" t="s">
        <v>569</v>
      </c>
      <c r="K565" s="1" t="s">
        <v>4145</v>
      </c>
      <c r="L565" s="1" t="s">
        <v>4312</v>
      </c>
      <c r="M565" s="1" t="s">
        <v>4479</v>
      </c>
      <c r="R565" s="1" t="s">
        <v>1214</v>
      </c>
    </row>
    <row r="566" spans="1:18" x14ac:dyDescent="0.2">
      <c r="A566" s="1" t="s">
        <v>53</v>
      </c>
      <c r="E566" s="1" t="s">
        <v>2420</v>
      </c>
      <c r="F566" s="1" t="s">
        <v>3979</v>
      </c>
      <c r="G566" s="1" t="s">
        <v>3812</v>
      </c>
      <c r="J566" s="1" t="s">
        <v>760</v>
      </c>
      <c r="K566" s="1" t="s">
        <v>4146</v>
      </c>
      <c r="L566" s="1" t="s">
        <v>4313</v>
      </c>
      <c r="M566" s="1" t="s">
        <v>4480</v>
      </c>
      <c r="R566" s="1" t="s">
        <v>1215</v>
      </c>
    </row>
    <row r="567" spans="1:18" x14ac:dyDescent="0.2">
      <c r="A567" s="1" t="s">
        <v>53</v>
      </c>
      <c r="E567" s="1" t="s">
        <v>2421</v>
      </c>
      <c r="F567" s="1" t="s">
        <v>3980</v>
      </c>
      <c r="G567" s="1" t="s">
        <v>3813</v>
      </c>
      <c r="J567" s="1" t="s">
        <v>761</v>
      </c>
      <c r="K567" s="1" t="s">
        <v>4147</v>
      </c>
      <c r="L567" s="1" t="s">
        <v>4314</v>
      </c>
      <c r="M567" s="1" t="s">
        <v>4481</v>
      </c>
      <c r="R567" s="1" t="s">
        <v>1216</v>
      </c>
    </row>
    <row r="568" spans="1:18" x14ac:dyDescent="0.2">
      <c r="A568" s="1" t="s">
        <v>53</v>
      </c>
      <c r="E568" s="1" t="s">
        <v>2422</v>
      </c>
      <c r="F568" s="1" t="s">
        <v>3981</v>
      </c>
      <c r="G568" s="1" t="s">
        <v>3814</v>
      </c>
      <c r="J568" s="1" t="s">
        <v>570</v>
      </c>
      <c r="K568" s="1" t="s">
        <v>4148</v>
      </c>
      <c r="L568" s="1" t="s">
        <v>4315</v>
      </c>
      <c r="M568" s="1" t="s">
        <v>4482</v>
      </c>
      <c r="R568" s="1" t="s">
        <v>1217</v>
      </c>
    </row>
    <row r="569" spans="1:18" x14ac:dyDescent="0.2">
      <c r="A569" s="1" t="s">
        <v>53</v>
      </c>
      <c r="E569" s="1" t="s">
        <v>2423</v>
      </c>
      <c r="F569" s="1" t="s">
        <v>3982</v>
      </c>
      <c r="G569" s="1" t="s">
        <v>3815</v>
      </c>
      <c r="J569" s="1" t="s">
        <v>762</v>
      </c>
      <c r="K569" s="1" t="s">
        <v>4149</v>
      </c>
      <c r="L569" s="1" t="s">
        <v>4316</v>
      </c>
      <c r="M569" s="1" t="s">
        <v>4483</v>
      </c>
      <c r="R569" s="1" t="s">
        <v>1218</v>
      </c>
    </row>
    <row r="570" spans="1:18" x14ac:dyDescent="0.2">
      <c r="A570" s="1" t="s">
        <v>53</v>
      </c>
      <c r="E570" s="1" t="s">
        <v>2424</v>
      </c>
      <c r="F570" s="1" t="s">
        <v>3983</v>
      </c>
      <c r="G570" s="1" t="s">
        <v>3816</v>
      </c>
      <c r="J570" s="1" t="s">
        <v>763</v>
      </c>
      <c r="K570" s="1" t="s">
        <v>4150</v>
      </c>
      <c r="L570" s="1" t="s">
        <v>4317</v>
      </c>
      <c r="M570" s="1" t="s">
        <v>4484</v>
      </c>
      <c r="R570" s="1" t="s">
        <v>1219</v>
      </c>
    </row>
    <row r="571" spans="1:18" x14ac:dyDescent="0.2">
      <c r="A571" s="1" t="s">
        <v>53</v>
      </c>
      <c r="E571" s="1" t="s">
        <v>2425</v>
      </c>
      <c r="F571" s="1" t="s">
        <v>3984</v>
      </c>
      <c r="G571" s="1" t="s">
        <v>3817</v>
      </c>
      <c r="J571" s="1" t="s">
        <v>764</v>
      </c>
      <c r="K571" s="1" t="s">
        <v>4151</v>
      </c>
      <c r="L571" s="1" t="s">
        <v>4318</v>
      </c>
      <c r="M571" s="1" t="s">
        <v>4485</v>
      </c>
      <c r="R571" s="1" t="s">
        <v>1220</v>
      </c>
    </row>
    <row r="572" spans="1:18" x14ac:dyDescent="0.2">
      <c r="A572" s="1" t="s">
        <v>53</v>
      </c>
      <c r="E572" s="1" t="s">
        <v>2426</v>
      </c>
      <c r="F572" s="1" t="s">
        <v>3985</v>
      </c>
      <c r="G572" s="1" t="s">
        <v>3818</v>
      </c>
      <c r="J572" s="1" t="s">
        <v>571</v>
      </c>
      <c r="K572" s="1" t="s">
        <v>4152</v>
      </c>
      <c r="L572" s="1" t="s">
        <v>4319</v>
      </c>
      <c r="M572" s="1" t="s">
        <v>4486</v>
      </c>
      <c r="R572" s="1" t="s">
        <v>1221</v>
      </c>
    </row>
    <row r="573" spans="1:18" x14ac:dyDescent="0.2">
      <c r="A573" s="1" t="s">
        <v>53</v>
      </c>
      <c r="E573" s="1" t="s">
        <v>2427</v>
      </c>
      <c r="F573" s="1" t="s">
        <v>3986</v>
      </c>
      <c r="G573" s="1" t="s">
        <v>3819</v>
      </c>
      <c r="J573" s="1" t="s">
        <v>572</v>
      </c>
      <c r="K573" s="1" t="s">
        <v>4153</v>
      </c>
      <c r="L573" s="1" t="s">
        <v>4320</v>
      </c>
      <c r="M573" s="1" t="s">
        <v>4487</v>
      </c>
      <c r="R573" s="1" t="s">
        <v>1222</v>
      </c>
    </row>
    <row r="574" spans="1:18" x14ac:dyDescent="0.2">
      <c r="A574" s="1" t="s">
        <v>53</v>
      </c>
      <c r="E574" s="1" t="s">
        <v>2428</v>
      </c>
      <c r="F574" s="1" t="s">
        <v>3987</v>
      </c>
      <c r="G574" s="1" t="s">
        <v>3820</v>
      </c>
      <c r="J574" s="1" t="s">
        <v>573</v>
      </c>
      <c r="K574" s="1" t="s">
        <v>4154</v>
      </c>
      <c r="L574" s="1" t="s">
        <v>4321</v>
      </c>
      <c r="M574" s="1" t="s">
        <v>4488</v>
      </c>
      <c r="R574" s="1" t="s">
        <v>1223</v>
      </c>
    </row>
    <row r="575" spans="1:18" x14ac:dyDescent="0.2">
      <c r="A575" s="1" t="s">
        <v>53</v>
      </c>
      <c r="E575" s="1" t="s">
        <v>2429</v>
      </c>
      <c r="F575" s="1" t="s">
        <v>3988</v>
      </c>
      <c r="G575" s="1" t="s">
        <v>3821</v>
      </c>
      <c r="J575" s="1" t="s">
        <v>574</v>
      </c>
      <c r="K575" s="1" t="s">
        <v>4155</v>
      </c>
      <c r="L575" s="1" t="s">
        <v>4322</v>
      </c>
      <c r="M575" s="1" t="s">
        <v>4489</v>
      </c>
      <c r="R575" s="1" t="s">
        <v>1224</v>
      </c>
    </row>
    <row r="576" spans="1:18" x14ac:dyDescent="0.2">
      <c r="A576" s="1" t="s">
        <v>53</v>
      </c>
      <c r="E576" s="1" t="s">
        <v>2430</v>
      </c>
      <c r="F576" s="1" t="s">
        <v>3989</v>
      </c>
      <c r="G576" s="1" t="s">
        <v>3822</v>
      </c>
      <c r="J576" s="1" t="s">
        <v>575</v>
      </c>
      <c r="K576" s="1" t="s">
        <v>4156</v>
      </c>
      <c r="L576" s="1" t="s">
        <v>4323</v>
      </c>
      <c r="M576" s="1" t="s">
        <v>4490</v>
      </c>
      <c r="R576" s="1" t="s">
        <v>1225</v>
      </c>
    </row>
    <row r="577" spans="1:18" x14ac:dyDescent="0.2">
      <c r="A577" s="1" t="s">
        <v>53</v>
      </c>
      <c r="E577" s="1" t="s">
        <v>2431</v>
      </c>
      <c r="F577" s="1" t="s">
        <v>3990</v>
      </c>
      <c r="G577" s="1" t="s">
        <v>3823</v>
      </c>
      <c r="J577" s="1" t="s">
        <v>576</v>
      </c>
      <c r="K577" s="1" t="s">
        <v>4157</v>
      </c>
      <c r="L577" s="1" t="s">
        <v>4324</v>
      </c>
      <c r="M577" s="1" t="s">
        <v>4491</v>
      </c>
      <c r="R577" s="1" t="s">
        <v>1226</v>
      </c>
    </row>
    <row r="578" spans="1:18" x14ac:dyDescent="0.2">
      <c r="A578" s="1" t="s">
        <v>53</v>
      </c>
      <c r="E578" s="1" t="s">
        <v>2432</v>
      </c>
      <c r="F578" s="1" t="s">
        <v>3991</v>
      </c>
      <c r="G578" s="1" t="s">
        <v>3824</v>
      </c>
      <c r="J578" s="1" t="s">
        <v>577</v>
      </c>
      <c r="K578" s="1" t="s">
        <v>4158</v>
      </c>
      <c r="L578" s="1" t="s">
        <v>4325</v>
      </c>
      <c r="M578" s="1" t="s">
        <v>4492</v>
      </c>
      <c r="R578" s="1" t="s">
        <v>1227</v>
      </c>
    </row>
    <row r="579" spans="1:18" x14ac:dyDescent="0.2">
      <c r="A579" s="1" t="s">
        <v>53</v>
      </c>
      <c r="E579" s="1" t="s">
        <v>2433</v>
      </c>
      <c r="F579" s="1" t="s">
        <v>3992</v>
      </c>
      <c r="G579" s="1" t="s">
        <v>3825</v>
      </c>
      <c r="J579" s="1" t="s">
        <v>578</v>
      </c>
      <c r="K579" s="1" t="s">
        <v>4159</v>
      </c>
      <c r="L579" s="1" t="s">
        <v>4326</v>
      </c>
      <c r="M579" s="1" t="s">
        <v>4493</v>
      </c>
      <c r="R579" s="1" t="s">
        <v>1228</v>
      </c>
    </row>
    <row r="580" spans="1:18" x14ac:dyDescent="0.2">
      <c r="A580" s="1" t="s">
        <v>53</v>
      </c>
      <c r="E580" s="1" t="s">
        <v>2434</v>
      </c>
      <c r="F580" s="1" t="s">
        <v>3993</v>
      </c>
      <c r="G580" s="1" t="s">
        <v>3826</v>
      </c>
      <c r="J580" s="1" t="s">
        <v>579</v>
      </c>
      <c r="K580" s="1" t="s">
        <v>4160</v>
      </c>
      <c r="L580" s="1" t="s">
        <v>4327</v>
      </c>
      <c r="M580" s="1" t="s">
        <v>4494</v>
      </c>
      <c r="R580" s="1" t="s">
        <v>1229</v>
      </c>
    </row>
    <row r="581" spans="1:18" x14ac:dyDescent="0.2">
      <c r="A581" s="1" t="s">
        <v>53</v>
      </c>
      <c r="E581" s="1" t="s">
        <v>2435</v>
      </c>
      <c r="F581" s="1" t="s">
        <v>3994</v>
      </c>
      <c r="G581" s="1" t="s">
        <v>3827</v>
      </c>
      <c r="J581" s="1" t="s">
        <v>580</v>
      </c>
      <c r="K581" s="1" t="s">
        <v>4161</v>
      </c>
      <c r="L581" s="1" t="s">
        <v>4328</v>
      </c>
      <c r="M581" s="1" t="s">
        <v>4495</v>
      </c>
      <c r="R581" s="1" t="s">
        <v>1230</v>
      </c>
    </row>
    <row r="582" spans="1:18" x14ac:dyDescent="0.2">
      <c r="A582" s="1" t="s">
        <v>53</v>
      </c>
      <c r="E582" s="1" t="s">
        <v>2436</v>
      </c>
      <c r="F582" s="1" t="s">
        <v>3995</v>
      </c>
      <c r="G582" s="1" t="s">
        <v>3828</v>
      </c>
      <c r="J582" s="1" t="s">
        <v>581</v>
      </c>
      <c r="K582" s="1" t="s">
        <v>4162</v>
      </c>
      <c r="L582" s="1" t="s">
        <v>4329</v>
      </c>
      <c r="M582" s="1" t="s">
        <v>4496</v>
      </c>
      <c r="R582" s="1" t="s">
        <v>1231</v>
      </c>
    </row>
    <row r="583" spans="1:18" x14ac:dyDescent="0.2">
      <c r="A583" s="1" t="s">
        <v>53</v>
      </c>
      <c r="E583" s="1" t="s">
        <v>2437</v>
      </c>
      <c r="F583" s="1" t="s">
        <v>3996</v>
      </c>
      <c r="G583" s="1" t="s">
        <v>3829</v>
      </c>
      <c r="J583" s="1" t="s">
        <v>582</v>
      </c>
      <c r="K583" s="1" t="s">
        <v>4163</v>
      </c>
      <c r="L583" s="1" t="s">
        <v>4330</v>
      </c>
      <c r="M583" s="1" t="s">
        <v>4497</v>
      </c>
      <c r="R583" s="1" t="s">
        <v>1232</v>
      </c>
    </row>
    <row r="584" spans="1:18" x14ac:dyDescent="0.2">
      <c r="A584" s="1" t="s">
        <v>53</v>
      </c>
      <c r="E584" s="1" t="s">
        <v>2438</v>
      </c>
      <c r="F584" s="1" t="s">
        <v>3997</v>
      </c>
      <c r="G584" s="1" t="s">
        <v>3830</v>
      </c>
      <c r="J584" s="1" t="s">
        <v>583</v>
      </c>
      <c r="K584" s="1" t="s">
        <v>4164</v>
      </c>
      <c r="L584" s="1" t="s">
        <v>4331</v>
      </c>
      <c r="M584" s="1" t="s">
        <v>4498</v>
      </c>
      <c r="R584" s="1" t="s">
        <v>1233</v>
      </c>
    </row>
    <row r="585" spans="1:18" x14ac:dyDescent="0.2">
      <c r="A585" s="1" t="s">
        <v>53</v>
      </c>
      <c r="E585" s="1" t="s">
        <v>2439</v>
      </c>
      <c r="F585" s="1" t="s">
        <v>3998</v>
      </c>
      <c r="G585" s="1" t="s">
        <v>3831</v>
      </c>
      <c r="J585" s="1" t="s">
        <v>584</v>
      </c>
      <c r="K585" s="1" t="s">
        <v>4165</v>
      </c>
      <c r="L585" s="1" t="s">
        <v>4332</v>
      </c>
      <c r="M585" s="1" t="s">
        <v>4499</v>
      </c>
      <c r="R585" s="1" t="s">
        <v>1234</v>
      </c>
    </row>
    <row r="586" spans="1:18" x14ac:dyDescent="0.2">
      <c r="A586" s="1" t="s">
        <v>53</v>
      </c>
      <c r="E586" s="1" t="s">
        <v>2440</v>
      </c>
      <c r="F586" s="1" t="s">
        <v>3999</v>
      </c>
      <c r="G586" s="1" t="s">
        <v>3832</v>
      </c>
      <c r="J586" s="1" t="s">
        <v>585</v>
      </c>
      <c r="K586" s="1" t="s">
        <v>4166</v>
      </c>
      <c r="L586" s="1" t="s">
        <v>4333</v>
      </c>
      <c r="M586" s="1" t="s">
        <v>4500</v>
      </c>
      <c r="R586" s="1" t="s">
        <v>1235</v>
      </c>
    </row>
    <row r="587" spans="1:18" x14ac:dyDescent="0.2">
      <c r="A587" s="1" t="s">
        <v>53</v>
      </c>
      <c r="E587" s="1" t="s">
        <v>2441</v>
      </c>
      <c r="F587" s="1" t="s">
        <v>4000</v>
      </c>
      <c r="G587" s="1" t="s">
        <v>3833</v>
      </c>
      <c r="J587" s="1" t="s">
        <v>586</v>
      </c>
      <c r="K587" s="1" t="s">
        <v>4167</v>
      </c>
      <c r="L587" s="1" t="s">
        <v>4334</v>
      </c>
      <c r="M587" s="1" t="s">
        <v>4501</v>
      </c>
      <c r="R587" s="1" t="s">
        <v>1236</v>
      </c>
    </row>
    <row r="588" spans="1:18" x14ac:dyDescent="0.2">
      <c r="A588" s="1" t="s">
        <v>53</v>
      </c>
      <c r="E588" s="1" t="s">
        <v>2442</v>
      </c>
      <c r="F588" s="1" t="s">
        <v>4001</v>
      </c>
      <c r="G588" s="1" t="s">
        <v>3834</v>
      </c>
      <c r="J588" s="1" t="s">
        <v>587</v>
      </c>
      <c r="K588" s="1" t="s">
        <v>4168</v>
      </c>
      <c r="L588" s="1" t="s">
        <v>4335</v>
      </c>
      <c r="M588" s="1" t="s">
        <v>4502</v>
      </c>
      <c r="R588" s="1" t="s">
        <v>1237</v>
      </c>
    </row>
    <row r="589" spans="1:18" x14ac:dyDescent="0.2">
      <c r="A589" s="1" t="s">
        <v>53</v>
      </c>
      <c r="E589" s="1" t="s">
        <v>2443</v>
      </c>
      <c r="F589" s="1" t="s">
        <v>4002</v>
      </c>
      <c r="G589" s="1" t="s">
        <v>3835</v>
      </c>
      <c r="J589" s="1" t="s">
        <v>588</v>
      </c>
      <c r="K589" s="1" t="s">
        <v>4169</v>
      </c>
      <c r="L589" s="1" t="s">
        <v>4336</v>
      </c>
      <c r="M589" s="1" t="s">
        <v>4503</v>
      </c>
      <c r="R589" s="1" t="s">
        <v>1238</v>
      </c>
    </row>
    <row r="590" spans="1:18" x14ac:dyDescent="0.2">
      <c r="A590" s="1" t="s">
        <v>53</v>
      </c>
      <c r="E590" s="1" t="s">
        <v>2444</v>
      </c>
      <c r="F590" s="1" t="s">
        <v>4003</v>
      </c>
      <c r="G590" s="1" t="s">
        <v>3836</v>
      </c>
      <c r="J590" s="1" t="s">
        <v>589</v>
      </c>
      <c r="K590" s="1" t="s">
        <v>4170</v>
      </c>
      <c r="L590" s="1" t="s">
        <v>4337</v>
      </c>
      <c r="M590" s="1" t="s">
        <v>4504</v>
      </c>
      <c r="R590" s="1" t="s">
        <v>1239</v>
      </c>
    </row>
    <row r="591" spans="1:18" x14ac:dyDescent="0.2">
      <c r="A591" s="1" t="s">
        <v>53</v>
      </c>
      <c r="E591" s="1" t="s">
        <v>2445</v>
      </c>
      <c r="F591" s="1" t="s">
        <v>4004</v>
      </c>
      <c r="G591" s="1" t="s">
        <v>3837</v>
      </c>
      <c r="J591" s="1" t="s">
        <v>590</v>
      </c>
      <c r="K591" s="1" t="s">
        <v>4171</v>
      </c>
      <c r="L591" s="1" t="s">
        <v>4338</v>
      </c>
      <c r="M591" s="1" t="s">
        <v>4505</v>
      </c>
      <c r="R591" s="1" t="s">
        <v>1240</v>
      </c>
    </row>
    <row r="592" spans="1:18" x14ac:dyDescent="0.2">
      <c r="A592" s="1" t="s">
        <v>53</v>
      </c>
      <c r="E592" s="1" t="s">
        <v>2446</v>
      </c>
      <c r="F592" s="1" t="s">
        <v>4005</v>
      </c>
      <c r="G592" s="1" t="s">
        <v>3838</v>
      </c>
      <c r="J592" s="1" t="s">
        <v>591</v>
      </c>
      <c r="K592" s="1" t="s">
        <v>4172</v>
      </c>
      <c r="L592" s="1" t="s">
        <v>4339</v>
      </c>
      <c r="M592" s="1" t="s">
        <v>4506</v>
      </c>
      <c r="R592" s="1" t="s">
        <v>1241</v>
      </c>
    </row>
    <row r="593" spans="1:18" x14ac:dyDescent="0.2">
      <c r="A593" s="1" t="s">
        <v>53</v>
      </c>
      <c r="E593" s="1" t="s">
        <v>2447</v>
      </c>
      <c r="F593" s="1" t="s">
        <v>4006</v>
      </c>
      <c r="G593" s="1" t="s">
        <v>3839</v>
      </c>
      <c r="J593" s="1" t="s">
        <v>592</v>
      </c>
      <c r="K593" s="1" t="s">
        <v>4173</v>
      </c>
      <c r="L593" s="1" t="s">
        <v>4340</v>
      </c>
      <c r="M593" s="1" t="s">
        <v>4507</v>
      </c>
      <c r="R593" s="1" t="s">
        <v>1242</v>
      </c>
    </row>
    <row r="594" spans="1:18" x14ac:dyDescent="0.2">
      <c r="A594" s="1" t="s">
        <v>53</v>
      </c>
      <c r="E594" s="1" t="s">
        <v>2448</v>
      </c>
      <c r="F594" s="1" t="s">
        <v>4007</v>
      </c>
      <c r="G594" s="1" t="s">
        <v>3840</v>
      </c>
      <c r="J594" s="1" t="s">
        <v>593</v>
      </c>
      <c r="K594" s="1" t="s">
        <v>4174</v>
      </c>
      <c r="L594" s="1" t="s">
        <v>4341</v>
      </c>
      <c r="M594" s="1" t="s">
        <v>4508</v>
      </c>
      <c r="R594" s="1" t="s">
        <v>1243</v>
      </c>
    </row>
    <row r="595" spans="1:18" x14ac:dyDescent="0.2">
      <c r="A595" s="1" t="s">
        <v>53</v>
      </c>
      <c r="E595" s="1" t="s">
        <v>2449</v>
      </c>
      <c r="F595" s="1" t="s">
        <v>4008</v>
      </c>
      <c r="G595" s="1" t="s">
        <v>3841</v>
      </c>
      <c r="J595" s="1" t="s">
        <v>594</v>
      </c>
      <c r="K595" s="1" t="s">
        <v>4175</v>
      </c>
      <c r="L595" s="1" t="s">
        <v>4342</v>
      </c>
      <c r="M595" s="1" t="s">
        <v>4509</v>
      </c>
      <c r="R595" s="1" t="s">
        <v>1244</v>
      </c>
    </row>
    <row r="596" spans="1:18" x14ac:dyDescent="0.2">
      <c r="A596" s="1" t="s">
        <v>53</v>
      </c>
      <c r="E596" s="1" t="s">
        <v>2450</v>
      </c>
      <c r="F596" s="1" t="s">
        <v>4009</v>
      </c>
      <c r="G596" s="1" t="s">
        <v>3842</v>
      </c>
      <c r="J596" s="1" t="s">
        <v>595</v>
      </c>
      <c r="K596" s="1" t="s">
        <v>4176</v>
      </c>
      <c r="L596" s="1" t="s">
        <v>4343</v>
      </c>
      <c r="M596" s="1" t="s">
        <v>4510</v>
      </c>
      <c r="R596" s="1" t="s">
        <v>1245</v>
      </c>
    </row>
    <row r="597" spans="1:18" x14ac:dyDescent="0.2">
      <c r="A597" s="1" t="s">
        <v>53</v>
      </c>
      <c r="E597" s="1" t="s">
        <v>2451</v>
      </c>
      <c r="F597" s="1" t="s">
        <v>4010</v>
      </c>
      <c r="G597" s="1" t="s">
        <v>3843</v>
      </c>
      <c r="J597" s="1" t="s">
        <v>596</v>
      </c>
      <c r="K597" s="1" t="s">
        <v>4177</v>
      </c>
      <c r="L597" s="1" t="s">
        <v>4344</v>
      </c>
      <c r="M597" s="1" t="s">
        <v>4511</v>
      </c>
      <c r="R597" s="1" t="s">
        <v>1246</v>
      </c>
    </row>
    <row r="598" spans="1:18" x14ac:dyDescent="0.2">
      <c r="A598" s="1" t="s">
        <v>53</v>
      </c>
      <c r="E598" s="1" t="s">
        <v>2452</v>
      </c>
      <c r="F598" s="1" t="s">
        <v>4011</v>
      </c>
      <c r="G598" s="1" t="s">
        <v>3844</v>
      </c>
      <c r="J598" s="1" t="s">
        <v>597</v>
      </c>
      <c r="K598" s="1" t="s">
        <v>4178</v>
      </c>
      <c r="L598" s="1" t="s">
        <v>4345</v>
      </c>
      <c r="M598" s="1" t="s">
        <v>4512</v>
      </c>
      <c r="R598" s="1" t="s">
        <v>1247</v>
      </c>
    </row>
    <row r="599" spans="1:18" x14ac:dyDescent="0.2">
      <c r="A599" s="1" t="s">
        <v>53</v>
      </c>
      <c r="E599" s="1" t="s">
        <v>2453</v>
      </c>
      <c r="F599" s="1" t="s">
        <v>4012</v>
      </c>
      <c r="G599" s="1" t="s">
        <v>3845</v>
      </c>
      <c r="J599" s="1" t="s">
        <v>598</v>
      </c>
      <c r="K599" s="1" t="s">
        <v>4179</v>
      </c>
      <c r="L599" s="1" t="s">
        <v>4346</v>
      </c>
      <c r="M599" s="1" t="s">
        <v>4513</v>
      </c>
      <c r="R599" s="1" t="s">
        <v>1248</v>
      </c>
    </row>
    <row r="600" spans="1:18" x14ac:dyDescent="0.2">
      <c r="A600" s="1" t="s">
        <v>53</v>
      </c>
      <c r="E600" s="1" t="s">
        <v>2454</v>
      </c>
      <c r="F600" s="1" t="s">
        <v>4013</v>
      </c>
      <c r="G600" s="1" t="s">
        <v>3846</v>
      </c>
      <c r="J600" s="1" t="s">
        <v>599</v>
      </c>
      <c r="K600" s="1" t="s">
        <v>4180</v>
      </c>
      <c r="L600" s="1" t="s">
        <v>4347</v>
      </c>
      <c r="M600" s="1" t="s">
        <v>4514</v>
      </c>
      <c r="R600" s="1" t="s">
        <v>1249</v>
      </c>
    </row>
    <row r="601" spans="1:18" x14ac:dyDescent="0.2">
      <c r="A601" s="1" t="s">
        <v>53</v>
      </c>
      <c r="E601" s="1" t="s">
        <v>2455</v>
      </c>
      <c r="F601" s="1" t="s">
        <v>4014</v>
      </c>
      <c r="G601" s="1" t="s">
        <v>3847</v>
      </c>
      <c r="J601" s="1" t="s">
        <v>600</v>
      </c>
      <c r="K601" s="1" t="s">
        <v>4181</v>
      </c>
      <c r="L601" s="1" t="s">
        <v>4348</v>
      </c>
      <c r="M601" s="1" t="s">
        <v>4515</v>
      </c>
      <c r="R601" s="1" t="s">
        <v>1250</v>
      </c>
    </row>
    <row r="602" spans="1:18" x14ac:dyDescent="0.2">
      <c r="A602" s="1" t="s">
        <v>53</v>
      </c>
      <c r="E602" s="1" t="s">
        <v>2456</v>
      </c>
      <c r="F602" s="1" t="s">
        <v>4015</v>
      </c>
      <c r="G602" s="1" t="s">
        <v>3848</v>
      </c>
      <c r="J602" s="1" t="s">
        <v>601</v>
      </c>
      <c r="K602" s="1" t="s">
        <v>4182</v>
      </c>
      <c r="L602" s="1" t="s">
        <v>4349</v>
      </c>
      <c r="M602" s="1" t="s">
        <v>4516</v>
      </c>
      <c r="R602" s="1" t="s">
        <v>1251</v>
      </c>
    </row>
    <row r="603" spans="1:18" x14ac:dyDescent="0.2">
      <c r="A603" s="1" t="s">
        <v>53</v>
      </c>
      <c r="E603" s="1" t="s">
        <v>2457</v>
      </c>
      <c r="F603" s="1" t="s">
        <v>4016</v>
      </c>
      <c r="G603" s="1" t="s">
        <v>3849</v>
      </c>
      <c r="J603" s="1" t="s">
        <v>602</v>
      </c>
      <c r="K603" s="1" t="s">
        <v>4183</v>
      </c>
      <c r="L603" s="1" t="s">
        <v>4350</v>
      </c>
      <c r="M603" s="1" t="s">
        <v>4517</v>
      </c>
      <c r="R603" s="1" t="s">
        <v>1252</v>
      </c>
    </row>
    <row r="604" spans="1:18" x14ac:dyDescent="0.2">
      <c r="A604" s="1" t="s">
        <v>53</v>
      </c>
      <c r="E604" s="1" t="s">
        <v>2458</v>
      </c>
      <c r="F604" s="1" t="s">
        <v>4017</v>
      </c>
      <c r="G604" s="1" t="s">
        <v>3850</v>
      </c>
      <c r="J604" s="1" t="s">
        <v>603</v>
      </c>
      <c r="K604" s="1" t="s">
        <v>4184</v>
      </c>
      <c r="L604" s="1" t="s">
        <v>4351</v>
      </c>
      <c r="M604" s="1" t="s">
        <v>4518</v>
      </c>
      <c r="R604" s="1" t="s">
        <v>1253</v>
      </c>
    </row>
    <row r="605" spans="1:18" x14ac:dyDescent="0.2">
      <c r="A605" s="1" t="s">
        <v>53</v>
      </c>
      <c r="E605" s="1" t="s">
        <v>2459</v>
      </c>
      <c r="F605" s="1" t="s">
        <v>4018</v>
      </c>
      <c r="G605" s="1" t="s">
        <v>3851</v>
      </c>
      <c r="J605" s="1" t="s">
        <v>604</v>
      </c>
      <c r="K605" s="1" t="s">
        <v>4185</v>
      </c>
      <c r="L605" s="1" t="s">
        <v>4352</v>
      </c>
      <c r="M605" s="1" t="s">
        <v>4519</v>
      </c>
      <c r="R605" s="1" t="s">
        <v>1254</v>
      </c>
    </row>
    <row r="606" spans="1:18" x14ac:dyDescent="0.2">
      <c r="A606" s="1" t="s">
        <v>53</v>
      </c>
      <c r="E606" s="1" t="s">
        <v>2460</v>
      </c>
      <c r="F606" s="1" t="s">
        <v>4019</v>
      </c>
      <c r="G606" s="1" t="s">
        <v>3852</v>
      </c>
      <c r="J606" s="1" t="s">
        <v>605</v>
      </c>
      <c r="K606" s="1" t="s">
        <v>4186</v>
      </c>
      <c r="L606" s="1" t="s">
        <v>4353</v>
      </c>
      <c r="M606" s="1" t="s">
        <v>4520</v>
      </c>
      <c r="R606" s="1" t="s">
        <v>1255</v>
      </c>
    </row>
    <row r="607" spans="1:18" x14ac:dyDescent="0.2">
      <c r="A607" s="1" t="s">
        <v>53</v>
      </c>
      <c r="E607" s="1" t="s">
        <v>2461</v>
      </c>
      <c r="F607" s="1" t="s">
        <v>4020</v>
      </c>
      <c r="G607" s="1" t="s">
        <v>3853</v>
      </c>
      <c r="J607" s="1" t="s">
        <v>606</v>
      </c>
      <c r="K607" s="1" t="s">
        <v>4187</v>
      </c>
      <c r="L607" s="1" t="s">
        <v>4354</v>
      </c>
      <c r="M607" s="1" t="s">
        <v>4521</v>
      </c>
      <c r="R607" s="1" t="s">
        <v>1256</v>
      </c>
    </row>
    <row r="608" spans="1:18" x14ac:dyDescent="0.2">
      <c r="A608" s="1" t="s">
        <v>53</v>
      </c>
      <c r="E608" s="1" t="s">
        <v>2462</v>
      </c>
      <c r="F608" s="1" t="s">
        <v>4021</v>
      </c>
      <c r="G608" s="1" t="s">
        <v>3854</v>
      </c>
      <c r="J608" s="1" t="s">
        <v>607</v>
      </c>
      <c r="K608" s="1" t="s">
        <v>4188</v>
      </c>
      <c r="L608" s="1" t="s">
        <v>4355</v>
      </c>
      <c r="M608" s="1" t="s">
        <v>4522</v>
      </c>
      <c r="R608" s="1" t="s">
        <v>1257</v>
      </c>
    </row>
    <row r="609" spans="1:18" x14ac:dyDescent="0.2">
      <c r="A609" s="1" t="s">
        <v>53</v>
      </c>
      <c r="E609" s="1" t="s">
        <v>2463</v>
      </c>
      <c r="F609" s="1" t="s">
        <v>4022</v>
      </c>
      <c r="G609" s="1" t="s">
        <v>3855</v>
      </c>
      <c r="J609" s="1" t="s">
        <v>608</v>
      </c>
      <c r="K609" s="1" t="s">
        <v>4189</v>
      </c>
      <c r="L609" s="1" t="s">
        <v>4356</v>
      </c>
      <c r="M609" s="1" t="s">
        <v>4523</v>
      </c>
      <c r="R609" s="1" t="s">
        <v>1258</v>
      </c>
    </row>
    <row r="610" spans="1:18" x14ac:dyDescent="0.2">
      <c r="A610" s="1" t="s">
        <v>53</v>
      </c>
      <c r="E610" s="1" t="s">
        <v>2464</v>
      </c>
      <c r="F610" s="1" t="s">
        <v>4023</v>
      </c>
      <c r="G610" s="1" t="s">
        <v>3856</v>
      </c>
      <c r="J610" s="1" t="s">
        <v>609</v>
      </c>
      <c r="K610" s="1" t="s">
        <v>4190</v>
      </c>
      <c r="L610" s="1" t="s">
        <v>4357</v>
      </c>
      <c r="M610" s="1" t="s">
        <v>4524</v>
      </c>
      <c r="R610" s="1" t="s">
        <v>1259</v>
      </c>
    </row>
    <row r="611" spans="1:18" x14ac:dyDescent="0.2">
      <c r="A611" s="1" t="s">
        <v>53</v>
      </c>
      <c r="E611" s="1" t="s">
        <v>2465</v>
      </c>
      <c r="F611" s="1" t="s">
        <v>4024</v>
      </c>
      <c r="G611" s="1" t="s">
        <v>3857</v>
      </c>
      <c r="J611" s="1" t="s">
        <v>610</v>
      </c>
      <c r="K611" s="1" t="s">
        <v>4191</v>
      </c>
      <c r="L611" s="1" t="s">
        <v>4358</v>
      </c>
      <c r="M611" s="1" t="s">
        <v>4525</v>
      </c>
      <c r="R611" s="1" t="s">
        <v>1260</v>
      </c>
    </row>
    <row r="612" spans="1:18" x14ac:dyDescent="0.2">
      <c r="A612" s="1" t="s">
        <v>53</v>
      </c>
      <c r="E612" s="1" t="s">
        <v>2466</v>
      </c>
      <c r="F612" s="1" t="s">
        <v>4025</v>
      </c>
      <c r="G612" s="1" t="s">
        <v>3858</v>
      </c>
      <c r="J612" s="1" t="s">
        <v>611</v>
      </c>
      <c r="K612" s="1" t="s">
        <v>4192</v>
      </c>
      <c r="L612" s="1" t="s">
        <v>4359</v>
      </c>
      <c r="M612" s="1" t="s">
        <v>4526</v>
      </c>
      <c r="R612" s="1" t="s">
        <v>1261</v>
      </c>
    </row>
    <row r="613" spans="1:18" x14ac:dyDescent="0.2">
      <c r="A613" s="1" t="s">
        <v>53</v>
      </c>
      <c r="E613" s="1" t="s">
        <v>2467</v>
      </c>
      <c r="F613" s="1" t="s">
        <v>4026</v>
      </c>
      <c r="G613" s="1" t="s">
        <v>3859</v>
      </c>
      <c r="J613" s="1" t="s">
        <v>612</v>
      </c>
      <c r="K613" s="1" t="s">
        <v>4193</v>
      </c>
      <c r="L613" s="1" t="s">
        <v>4360</v>
      </c>
      <c r="M613" s="1" t="s">
        <v>4527</v>
      </c>
      <c r="R613" s="1" t="s">
        <v>1262</v>
      </c>
    </row>
    <row r="614" spans="1:18" x14ac:dyDescent="0.2">
      <c r="A614" s="1" t="s">
        <v>53</v>
      </c>
      <c r="E614" s="1" t="s">
        <v>2468</v>
      </c>
      <c r="F614" s="1" t="s">
        <v>4027</v>
      </c>
      <c r="G614" s="1" t="s">
        <v>3860</v>
      </c>
      <c r="J614" s="1" t="s">
        <v>613</v>
      </c>
      <c r="K614" s="1" t="s">
        <v>4194</v>
      </c>
      <c r="L614" s="1" t="s">
        <v>4361</v>
      </c>
      <c r="M614" s="1" t="s">
        <v>4528</v>
      </c>
      <c r="R614" s="1" t="s">
        <v>1263</v>
      </c>
    </row>
    <row r="615" spans="1:18" x14ac:dyDescent="0.2">
      <c r="A615" s="1" t="s">
        <v>53</v>
      </c>
      <c r="E615" s="1" t="s">
        <v>2469</v>
      </c>
      <c r="F615" s="1" t="s">
        <v>4028</v>
      </c>
      <c r="G615" s="1" t="s">
        <v>3861</v>
      </c>
      <c r="J615" s="1" t="s">
        <v>614</v>
      </c>
      <c r="K615" s="1" t="s">
        <v>4195</v>
      </c>
      <c r="L615" s="1" t="s">
        <v>4362</v>
      </c>
      <c r="M615" s="1" t="s">
        <v>4529</v>
      </c>
      <c r="R615" s="1" t="s">
        <v>1264</v>
      </c>
    </row>
    <row r="616" spans="1:18" x14ac:dyDescent="0.2">
      <c r="A616" s="1" t="s">
        <v>53</v>
      </c>
      <c r="E616" s="1" t="s">
        <v>2470</v>
      </c>
      <c r="F616" s="1" t="s">
        <v>4029</v>
      </c>
      <c r="G616" s="1" t="s">
        <v>3862</v>
      </c>
      <c r="J616" s="1" t="s">
        <v>615</v>
      </c>
      <c r="K616" s="1" t="s">
        <v>4196</v>
      </c>
      <c r="L616" s="1" t="s">
        <v>4363</v>
      </c>
      <c r="M616" s="1" t="s">
        <v>4530</v>
      </c>
      <c r="R616" s="1" t="s">
        <v>1265</v>
      </c>
    </row>
    <row r="617" spans="1:18" x14ac:dyDescent="0.2">
      <c r="A617" s="1" t="s">
        <v>53</v>
      </c>
      <c r="E617" s="1" t="s">
        <v>2471</v>
      </c>
      <c r="F617" s="1" t="s">
        <v>4030</v>
      </c>
      <c r="G617" s="1" t="s">
        <v>3863</v>
      </c>
      <c r="J617" s="1" t="s">
        <v>616</v>
      </c>
      <c r="K617" s="1" t="s">
        <v>4197</v>
      </c>
      <c r="L617" s="1" t="s">
        <v>4364</v>
      </c>
      <c r="M617" s="1" t="s">
        <v>4531</v>
      </c>
      <c r="R617" s="1" t="s">
        <v>1266</v>
      </c>
    </row>
    <row r="618" spans="1:18" x14ac:dyDescent="0.2">
      <c r="A618" s="1" t="s">
        <v>53</v>
      </c>
      <c r="E618" s="1" t="s">
        <v>2472</v>
      </c>
      <c r="F618" s="1" t="s">
        <v>4031</v>
      </c>
      <c r="G618" s="1" t="s">
        <v>3864</v>
      </c>
      <c r="J618" s="1" t="s">
        <v>617</v>
      </c>
      <c r="K618" s="1" t="s">
        <v>4198</v>
      </c>
      <c r="L618" s="1" t="s">
        <v>4365</v>
      </c>
      <c r="M618" s="1" t="s">
        <v>4532</v>
      </c>
      <c r="R618" s="1" t="s">
        <v>1267</v>
      </c>
    </row>
    <row r="619" spans="1:18" x14ac:dyDescent="0.2">
      <c r="A619" s="1" t="s">
        <v>53</v>
      </c>
      <c r="E619" s="1" t="s">
        <v>2473</v>
      </c>
      <c r="F619" s="1" t="s">
        <v>4032</v>
      </c>
      <c r="G619" s="1" t="s">
        <v>3865</v>
      </c>
      <c r="J619" s="1" t="s">
        <v>618</v>
      </c>
      <c r="K619" s="1" t="s">
        <v>4199</v>
      </c>
      <c r="L619" s="1" t="s">
        <v>4366</v>
      </c>
      <c r="M619" s="1" t="s">
        <v>4533</v>
      </c>
      <c r="R619" s="1" t="s">
        <v>1268</v>
      </c>
    </row>
    <row r="620" spans="1:18" x14ac:dyDescent="0.2">
      <c r="A620" s="1" t="s">
        <v>53</v>
      </c>
      <c r="E620" s="1" t="s">
        <v>2474</v>
      </c>
      <c r="F620" s="1" t="s">
        <v>4033</v>
      </c>
      <c r="G620" s="1" t="s">
        <v>3866</v>
      </c>
      <c r="J620" s="1" t="s">
        <v>619</v>
      </c>
      <c r="K620" s="1" t="s">
        <v>4200</v>
      </c>
      <c r="L620" s="1" t="s">
        <v>4367</v>
      </c>
      <c r="M620" s="1" t="s">
        <v>4534</v>
      </c>
      <c r="R620" s="1" t="s">
        <v>1269</v>
      </c>
    </row>
    <row r="621" spans="1:18" x14ac:dyDescent="0.2">
      <c r="A621" s="1" t="s">
        <v>53</v>
      </c>
      <c r="E621" s="1" t="s">
        <v>2475</v>
      </c>
      <c r="F621" s="1" t="s">
        <v>4034</v>
      </c>
      <c r="G621" s="1" t="s">
        <v>3867</v>
      </c>
      <c r="J621" s="1" t="s">
        <v>620</v>
      </c>
      <c r="K621" s="1" t="s">
        <v>4201</v>
      </c>
      <c r="L621" s="1" t="s">
        <v>4368</v>
      </c>
      <c r="M621" s="1" t="s">
        <v>4535</v>
      </c>
      <c r="R621" s="1" t="s">
        <v>1270</v>
      </c>
    </row>
    <row r="622" spans="1:18" x14ac:dyDescent="0.2">
      <c r="A622" s="1" t="s">
        <v>53</v>
      </c>
      <c r="E622" s="1" t="s">
        <v>2476</v>
      </c>
      <c r="F622" s="1" t="s">
        <v>4035</v>
      </c>
      <c r="G622" s="1" t="s">
        <v>3868</v>
      </c>
      <c r="J622" s="1" t="s">
        <v>621</v>
      </c>
      <c r="K622" s="1" t="s">
        <v>4202</v>
      </c>
      <c r="L622" s="1" t="s">
        <v>4369</v>
      </c>
      <c r="M622" s="1" t="s">
        <v>4536</v>
      </c>
      <c r="R622" s="1" t="s">
        <v>1271</v>
      </c>
    </row>
    <row r="623" spans="1:18" x14ac:dyDescent="0.2">
      <c r="A623" s="1" t="s">
        <v>53</v>
      </c>
      <c r="E623" s="1" t="s">
        <v>2477</v>
      </c>
      <c r="F623" s="1" t="s">
        <v>4036</v>
      </c>
      <c r="G623" s="1" t="s">
        <v>3869</v>
      </c>
      <c r="J623" s="1" t="s">
        <v>622</v>
      </c>
      <c r="K623" s="1" t="s">
        <v>4203</v>
      </c>
      <c r="L623" s="1" t="s">
        <v>4370</v>
      </c>
      <c r="M623" s="1" t="s">
        <v>4537</v>
      </c>
      <c r="R623" s="1" t="s">
        <v>1272</v>
      </c>
    </row>
    <row r="624" spans="1:18" x14ac:dyDescent="0.2">
      <c r="A624" s="1" t="s">
        <v>53</v>
      </c>
      <c r="E624" s="1" t="s">
        <v>2478</v>
      </c>
      <c r="F624" s="1" t="s">
        <v>4037</v>
      </c>
      <c r="G624" s="1" t="s">
        <v>3870</v>
      </c>
      <c r="J624" s="1" t="s">
        <v>623</v>
      </c>
      <c r="K624" s="1" t="s">
        <v>4204</v>
      </c>
      <c r="L624" s="1" t="s">
        <v>4371</v>
      </c>
      <c r="M624" s="1" t="s">
        <v>4538</v>
      </c>
      <c r="R624" s="1" t="s">
        <v>1273</v>
      </c>
    </row>
    <row r="625" spans="1:18" x14ac:dyDescent="0.2">
      <c r="A625" s="1" t="s">
        <v>53</v>
      </c>
      <c r="E625" s="1" t="s">
        <v>2479</v>
      </c>
      <c r="F625" s="1" t="s">
        <v>4038</v>
      </c>
      <c r="G625" s="1" t="s">
        <v>3871</v>
      </c>
      <c r="J625" s="1" t="s">
        <v>624</v>
      </c>
      <c r="K625" s="1" t="s">
        <v>4205</v>
      </c>
      <c r="L625" s="1" t="s">
        <v>4372</v>
      </c>
      <c r="M625" s="1" t="s">
        <v>4539</v>
      </c>
      <c r="R625" s="1" t="s">
        <v>1274</v>
      </c>
    </row>
    <row r="626" spans="1:18" x14ac:dyDescent="0.2">
      <c r="A626" s="1" t="s">
        <v>53</v>
      </c>
      <c r="E626" s="1" t="s">
        <v>2480</v>
      </c>
      <c r="F626" s="1" t="s">
        <v>4039</v>
      </c>
      <c r="G626" s="1" t="s">
        <v>3872</v>
      </c>
      <c r="J626" s="1" t="s">
        <v>625</v>
      </c>
      <c r="K626" s="1" t="s">
        <v>4206</v>
      </c>
      <c r="L626" s="1" t="s">
        <v>4373</v>
      </c>
      <c r="M626" s="1" t="s">
        <v>4540</v>
      </c>
      <c r="R626" s="1" t="s">
        <v>1275</v>
      </c>
    </row>
    <row r="627" spans="1:18" x14ac:dyDescent="0.2">
      <c r="A627" s="1" t="s">
        <v>53</v>
      </c>
      <c r="E627" s="1" t="s">
        <v>2481</v>
      </c>
      <c r="F627" s="1" t="s">
        <v>4040</v>
      </c>
      <c r="G627" s="1" t="s">
        <v>3873</v>
      </c>
      <c r="J627" s="1" t="s">
        <v>626</v>
      </c>
      <c r="K627" s="1" t="s">
        <v>4207</v>
      </c>
      <c r="L627" s="1" t="s">
        <v>4374</v>
      </c>
      <c r="M627" s="1" t="s">
        <v>4541</v>
      </c>
      <c r="R627" s="1" t="s">
        <v>1276</v>
      </c>
    </row>
    <row r="628" spans="1:18" x14ac:dyDescent="0.2">
      <c r="A628" s="1" t="s">
        <v>53</v>
      </c>
      <c r="E628" s="1" t="s">
        <v>2482</v>
      </c>
      <c r="F628" s="1" t="s">
        <v>4041</v>
      </c>
      <c r="G628" s="1" t="s">
        <v>3874</v>
      </c>
      <c r="J628" s="1" t="s">
        <v>627</v>
      </c>
      <c r="K628" s="1" t="s">
        <v>4208</v>
      </c>
      <c r="L628" s="1" t="s">
        <v>4375</v>
      </c>
      <c r="M628" s="1" t="s">
        <v>4542</v>
      </c>
      <c r="R628" s="1" t="s">
        <v>1277</v>
      </c>
    </row>
    <row r="629" spans="1:18" x14ac:dyDescent="0.2">
      <c r="A629" s="1" t="s">
        <v>1386</v>
      </c>
    </row>
    <row r="630" spans="1:18" x14ac:dyDescent="0.2">
      <c r="A630" s="1" t="s">
        <v>53</v>
      </c>
      <c r="C630" s="1" t="s">
        <v>1801</v>
      </c>
      <c r="D630" s="1" t="s">
        <v>1802</v>
      </c>
      <c r="F630" s="1" t="s">
        <v>10</v>
      </c>
      <c r="G630" s="1" t="s">
        <v>8</v>
      </c>
      <c r="H630" s="1" t="s">
        <v>1803</v>
      </c>
      <c r="I630" s="1" t="s">
        <v>1804</v>
      </c>
      <c r="J630" s="1" t="s">
        <v>1805</v>
      </c>
      <c r="N630" s="1" t="s">
        <v>1806</v>
      </c>
      <c r="O630" s="1" t="s">
        <v>5163</v>
      </c>
    </row>
    <row r="631" spans="1:18" x14ac:dyDescent="0.2">
      <c r="A631" s="1" t="s">
        <v>53</v>
      </c>
      <c r="E631" s="1" t="s">
        <v>1807</v>
      </c>
      <c r="F631" s="1" t="s">
        <v>4715</v>
      </c>
      <c r="G631" s="1" t="s">
        <v>4693</v>
      </c>
      <c r="J631" s="1" t="s">
        <v>628</v>
      </c>
      <c r="K631" s="1" t="s">
        <v>4737</v>
      </c>
      <c r="L631" s="1" t="s">
        <v>4759</v>
      </c>
      <c r="M631" s="1" t="s">
        <v>4781</v>
      </c>
      <c r="R631" s="1" t="s">
        <v>1278</v>
      </c>
    </row>
    <row r="632" spans="1:18" x14ac:dyDescent="0.2">
      <c r="A632" s="1" t="s">
        <v>53</v>
      </c>
      <c r="E632" s="1" t="s">
        <v>2483</v>
      </c>
      <c r="F632" s="1" t="s">
        <v>4716</v>
      </c>
      <c r="G632" s="1" t="s">
        <v>4694</v>
      </c>
      <c r="J632" s="1" t="s">
        <v>629</v>
      </c>
      <c r="K632" s="1" t="s">
        <v>4738</v>
      </c>
      <c r="L632" s="1" t="s">
        <v>4760</v>
      </c>
      <c r="M632" s="1" t="s">
        <v>4782</v>
      </c>
      <c r="R632" s="1" t="s">
        <v>1279</v>
      </c>
    </row>
    <row r="633" spans="1:18" x14ac:dyDescent="0.2">
      <c r="A633" s="1" t="s">
        <v>53</v>
      </c>
      <c r="E633" s="1" t="s">
        <v>2484</v>
      </c>
      <c r="F633" s="1" t="s">
        <v>4717</v>
      </c>
      <c r="G633" s="1" t="s">
        <v>4695</v>
      </c>
      <c r="J633" s="1" t="s">
        <v>630</v>
      </c>
      <c r="K633" s="1" t="s">
        <v>4739</v>
      </c>
      <c r="L633" s="1" t="s">
        <v>4761</v>
      </c>
      <c r="M633" s="1" t="s">
        <v>4783</v>
      </c>
      <c r="R633" s="1" t="s">
        <v>1280</v>
      </c>
    </row>
    <row r="634" spans="1:18" x14ac:dyDescent="0.2">
      <c r="A634" s="1" t="s">
        <v>53</v>
      </c>
      <c r="E634" s="1" t="s">
        <v>2485</v>
      </c>
      <c r="F634" s="1" t="s">
        <v>4718</v>
      </c>
      <c r="G634" s="1" t="s">
        <v>4696</v>
      </c>
      <c r="J634" s="1" t="s">
        <v>631</v>
      </c>
      <c r="K634" s="1" t="s">
        <v>4740</v>
      </c>
      <c r="L634" s="1" t="s">
        <v>4762</v>
      </c>
      <c r="M634" s="1" t="s">
        <v>4784</v>
      </c>
      <c r="R634" s="1" t="s">
        <v>1281</v>
      </c>
    </row>
    <row r="635" spans="1:18" x14ac:dyDescent="0.2">
      <c r="A635" s="1" t="s">
        <v>53</v>
      </c>
      <c r="E635" s="1" t="s">
        <v>2486</v>
      </c>
      <c r="F635" s="1" t="s">
        <v>4719</v>
      </c>
      <c r="G635" s="1" t="s">
        <v>4697</v>
      </c>
      <c r="J635" s="1" t="s">
        <v>632</v>
      </c>
      <c r="K635" s="1" t="s">
        <v>4741</v>
      </c>
      <c r="L635" s="1" t="s">
        <v>4763</v>
      </c>
      <c r="M635" s="1" t="s">
        <v>4785</v>
      </c>
      <c r="R635" s="1" t="s">
        <v>1282</v>
      </c>
    </row>
    <row r="636" spans="1:18" x14ac:dyDescent="0.2">
      <c r="A636" s="1" t="s">
        <v>53</v>
      </c>
      <c r="E636" s="1" t="s">
        <v>2487</v>
      </c>
      <c r="F636" s="1" t="s">
        <v>4720</v>
      </c>
      <c r="G636" s="1" t="s">
        <v>4698</v>
      </c>
      <c r="J636" s="1" t="s">
        <v>633</v>
      </c>
      <c r="K636" s="1" t="s">
        <v>4742</v>
      </c>
      <c r="L636" s="1" t="s">
        <v>4764</v>
      </c>
      <c r="M636" s="1" t="s">
        <v>4786</v>
      </c>
      <c r="R636" s="1" t="s">
        <v>1283</v>
      </c>
    </row>
    <row r="637" spans="1:18" x14ac:dyDescent="0.2">
      <c r="A637" s="1" t="s">
        <v>53</v>
      </c>
      <c r="E637" s="1" t="s">
        <v>2488</v>
      </c>
      <c r="F637" s="1" t="s">
        <v>4721</v>
      </c>
      <c r="G637" s="1" t="s">
        <v>4699</v>
      </c>
      <c r="J637" s="1" t="s">
        <v>634</v>
      </c>
      <c r="K637" s="1" t="s">
        <v>4743</v>
      </c>
      <c r="L637" s="1" t="s">
        <v>4765</v>
      </c>
      <c r="M637" s="1" t="s">
        <v>4787</v>
      </c>
      <c r="R637" s="1" t="s">
        <v>1284</v>
      </c>
    </row>
    <row r="638" spans="1:18" x14ac:dyDescent="0.2">
      <c r="A638" s="1" t="s">
        <v>53</v>
      </c>
      <c r="E638" s="1" t="s">
        <v>2489</v>
      </c>
      <c r="F638" s="1" t="s">
        <v>4722</v>
      </c>
      <c r="G638" s="1" t="s">
        <v>4700</v>
      </c>
      <c r="J638" s="1" t="s">
        <v>635</v>
      </c>
      <c r="K638" s="1" t="s">
        <v>4744</v>
      </c>
      <c r="L638" s="1" t="s">
        <v>4766</v>
      </c>
      <c r="M638" s="1" t="s">
        <v>4788</v>
      </c>
      <c r="R638" s="1" t="s">
        <v>1285</v>
      </c>
    </row>
    <row r="639" spans="1:18" x14ac:dyDescent="0.2">
      <c r="A639" s="1" t="s">
        <v>53</v>
      </c>
      <c r="E639" s="1" t="s">
        <v>2490</v>
      </c>
      <c r="F639" s="1" t="s">
        <v>4723</v>
      </c>
      <c r="G639" s="1" t="s">
        <v>4701</v>
      </c>
      <c r="J639" s="1" t="s">
        <v>636</v>
      </c>
      <c r="K639" s="1" t="s">
        <v>4745</v>
      </c>
      <c r="L639" s="1" t="s">
        <v>4767</v>
      </c>
      <c r="M639" s="1" t="s">
        <v>4789</v>
      </c>
      <c r="R639" s="1" t="s">
        <v>1286</v>
      </c>
    </row>
    <row r="640" spans="1:18" x14ac:dyDescent="0.2">
      <c r="A640" s="1" t="s">
        <v>53</v>
      </c>
      <c r="E640" s="1" t="s">
        <v>2491</v>
      </c>
      <c r="F640" s="1" t="s">
        <v>4724</v>
      </c>
      <c r="G640" s="1" t="s">
        <v>4702</v>
      </c>
      <c r="J640" s="1" t="s">
        <v>637</v>
      </c>
      <c r="K640" s="1" t="s">
        <v>4746</v>
      </c>
      <c r="L640" s="1" t="s">
        <v>4768</v>
      </c>
      <c r="M640" s="1" t="s">
        <v>4790</v>
      </c>
      <c r="R640" s="1" t="s">
        <v>1287</v>
      </c>
    </row>
    <row r="641" spans="1:18" x14ac:dyDescent="0.2">
      <c r="A641" s="1" t="s">
        <v>53</v>
      </c>
      <c r="E641" s="1" t="s">
        <v>2492</v>
      </c>
      <c r="F641" s="1" t="s">
        <v>4725</v>
      </c>
      <c r="G641" s="1" t="s">
        <v>4703</v>
      </c>
      <c r="J641" s="1" t="s">
        <v>638</v>
      </c>
      <c r="K641" s="1" t="s">
        <v>4747</v>
      </c>
      <c r="L641" s="1" t="s">
        <v>4769</v>
      </c>
      <c r="M641" s="1" t="s">
        <v>4791</v>
      </c>
      <c r="R641" s="1" t="s">
        <v>1288</v>
      </c>
    </row>
    <row r="642" spans="1:18" x14ac:dyDescent="0.2">
      <c r="A642" s="1" t="s">
        <v>53</v>
      </c>
      <c r="E642" s="1" t="s">
        <v>2493</v>
      </c>
      <c r="F642" s="1" t="s">
        <v>4726</v>
      </c>
      <c r="G642" s="1" t="s">
        <v>4704</v>
      </c>
      <c r="J642" s="1" t="s">
        <v>639</v>
      </c>
      <c r="K642" s="1" t="s">
        <v>4748</v>
      </c>
      <c r="L642" s="1" t="s">
        <v>4770</v>
      </c>
      <c r="M642" s="1" t="s">
        <v>4792</v>
      </c>
      <c r="R642" s="1" t="s">
        <v>1289</v>
      </c>
    </row>
    <row r="643" spans="1:18" x14ac:dyDescent="0.2">
      <c r="A643" s="1" t="s">
        <v>53</v>
      </c>
      <c r="E643" s="1" t="s">
        <v>2494</v>
      </c>
      <c r="F643" s="1" t="s">
        <v>4727</v>
      </c>
      <c r="G643" s="1" t="s">
        <v>4705</v>
      </c>
      <c r="J643" s="1" t="s">
        <v>640</v>
      </c>
      <c r="K643" s="1" t="s">
        <v>4749</v>
      </c>
      <c r="L643" s="1" t="s">
        <v>4771</v>
      </c>
      <c r="M643" s="1" t="s">
        <v>4793</v>
      </c>
      <c r="R643" s="1" t="s">
        <v>1290</v>
      </c>
    </row>
    <row r="644" spans="1:18" x14ac:dyDescent="0.2">
      <c r="A644" s="1" t="s">
        <v>53</v>
      </c>
      <c r="E644" s="1" t="s">
        <v>2495</v>
      </c>
      <c r="F644" s="1" t="s">
        <v>4728</v>
      </c>
      <c r="G644" s="1" t="s">
        <v>4706</v>
      </c>
      <c r="J644" s="1" t="s">
        <v>641</v>
      </c>
      <c r="K644" s="1" t="s">
        <v>4750</v>
      </c>
      <c r="L644" s="1" t="s">
        <v>4772</v>
      </c>
      <c r="M644" s="1" t="s">
        <v>4794</v>
      </c>
      <c r="R644" s="1" t="s">
        <v>1291</v>
      </c>
    </row>
    <row r="645" spans="1:18" x14ac:dyDescent="0.2">
      <c r="A645" s="1" t="s">
        <v>53</v>
      </c>
      <c r="E645" s="1" t="s">
        <v>2496</v>
      </c>
      <c r="F645" s="1" t="s">
        <v>4729</v>
      </c>
      <c r="G645" s="1" t="s">
        <v>4707</v>
      </c>
      <c r="J645" s="1" t="s">
        <v>642</v>
      </c>
      <c r="K645" s="1" t="s">
        <v>4751</v>
      </c>
      <c r="L645" s="1" t="s">
        <v>4773</v>
      </c>
      <c r="M645" s="1" t="s">
        <v>4795</v>
      </c>
      <c r="R645" s="1" t="s">
        <v>1292</v>
      </c>
    </row>
    <row r="646" spans="1:18" x14ac:dyDescent="0.2">
      <c r="A646" s="1" t="s">
        <v>53</v>
      </c>
      <c r="E646" s="1" t="s">
        <v>2497</v>
      </c>
      <c r="F646" s="1" t="s">
        <v>4730</v>
      </c>
      <c r="G646" s="1" t="s">
        <v>4708</v>
      </c>
      <c r="J646" s="1" t="s">
        <v>643</v>
      </c>
      <c r="K646" s="1" t="s">
        <v>4752</v>
      </c>
      <c r="L646" s="1" t="s">
        <v>4774</v>
      </c>
      <c r="M646" s="1" t="s">
        <v>4796</v>
      </c>
      <c r="R646" s="1" t="s">
        <v>1293</v>
      </c>
    </row>
    <row r="647" spans="1:18" x14ac:dyDescent="0.2">
      <c r="A647" s="1" t="s">
        <v>53</v>
      </c>
      <c r="E647" s="1" t="s">
        <v>2498</v>
      </c>
      <c r="F647" s="1" t="s">
        <v>4731</v>
      </c>
      <c r="G647" s="1" t="s">
        <v>4709</v>
      </c>
      <c r="J647" s="1" t="s">
        <v>644</v>
      </c>
      <c r="K647" s="1" t="s">
        <v>4753</v>
      </c>
      <c r="L647" s="1" t="s">
        <v>4775</v>
      </c>
      <c r="M647" s="1" t="s">
        <v>4797</v>
      </c>
      <c r="R647" s="1" t="s">
        <v>1294</v>
      </c>
    </row>
    <row r="648" spans="1:18" x14ac:dyDescent="0.2">
      <c r="A648" s="1" t="s">
        <v>53</v>
      </c>
      <c r="E648" s="1" t="s">
        <v>2499</v>
      </c>
      <c r="F648" s="1" t="s">
        <v>4732</v>
      </c>
      <c r="G648" s="1" t="s">
        <v>4710</v>
      </c>
      <c r="J648" s="1" t="s">
        <v>645</v>
      </c>
      <c r="K648" s="1" t="s">
        <v>4754</v>
      </c>
      <c r="L648" s="1" t="s">
        <v>4776</v>
      </c>
      <c r="M648" s="1" t="s">
        <v>4798</v>
      </c>
      <c r="R648" s="1" t="s">
        <v>1295</v>
      </c>
    </row>
    <row r="649" spans="1:18" x14ac:dyDescent="0.2">
      <c r="A649" s="1" t="s">
        <v>53</v>
      </c>
      <c r="E649" s="1" t="s">
        <v>2500</v>
      </c>
      <c r="F649" s="1" t="s">
        <v>4733</v>
      </c>
      <c r="G649" s="1" t="s">
        <v>4711</v>
      </c>
      <c r="J649" s="1" t="s">
        <v>646</v>
      </c>
      <c r="K649" s="1" t="s">
        <v>4755</v>
      </c>
      <c r="L649" s="1" t="s">
        <v>4777</v>
      </c>
      <c r="M649" s="1" t="s">
        <v>4799</v>
      </c>
      <c r="R649" s="1" t="s">
        <v>1296</v>
      </c>
    </row>
    <row r="650" spans="1:18" x14ac:dyDescent="0.2">
      <c r="A650" s="1" t="s">
        <v>53</v>
      </c>
      <c r="E650" s="1" t="s">
        <v>2501</v>
      </c>
      <c r="F650" s="1" t="s">
        <v>4734</v>
      </c>
      <c r="G650" s="1" t="s">
        <v>4712</v>
      </c>
      <c r="J650" s="1" t="s">
        <v>647</v>
      </c>
      <c r="K650" s="1" t="s">
        <v>4756</v>
      </c>
      <c r="L650" s="1" t="s">
        <v>4778</v>
      </c>
      <c r="M650" s="1" t="s">
        <v>4800</v>
      </c>
      <c r="R650" s="1" t="s">
        <v>1297</v>
      </c>
    </row>
    <row r="651" spans="1:18" x14ac:dyDescent="0.2">
      <c r="A651" s="1" t="s">
        <v>53</v>
      </c>
      <c r="E651" s="1" t="s">
        <v>2502</v>
      </c>
      <c r="F651" s="1" t="s">
        <v>4735</v>
      </c>
      <c r="G651" s="1" t="s">
        <v>4713</v>
      </c>
      <c r="J651" s="1" t="s">
        <v>648</v>
      </c>
      <c r="K651" s="1" t="s">
        <v>4757</v>
      </c>
      <c r="L651" s="1" t="s">
        <v>4779</v>
      </c>
      <c r="M651" s="1" t="s">
        <v>4801</v>
      </c>
      <c r="R651" s="1" t="s">
        <v>1298</v>
      </c>
    </row>
    <row r="652" spans="1:18" x14ac:dyDescent="0.2">
      <c r="A652" s="1" t="s">
        <v>53</v>
      </c>
      <c r="E652" s="1" t="s">
        <v>2503</v>
      </c>
      <c r="F652" s="1" t="s">
        <v>4736</v>
      </c>
      <c r="G652" s="1" t="s">
        <v>4714</v>
      </c>
      <c r="J652" s="1" t="s">
        <v>649</v>
      </c>
      <c r="K652" s="1" t="s">
        <v>4758</v>
      </c>
      <c r="L652" s="1" t="s">
        <v>4780</v>
      </c>
      <c r="M652" s="1" t="s">
        <v>4802</v>
      </c>
      <c r="R652" s="1" t="s">
        <v>1299</v>
      </c>
    </row>
    <row r="653" spans="1:18" x14ac:dyDescent="0.2">
      <c r="A653" s="1" t="s">
        <v>1386</v>
      </c>
    </row>
    <row r="654" spans="1:18" x14ac:dyDescent="0.2">
      <c r="A654" s="1" t="s">
        <v>53</v>
      </c>
      <c r="C654" s="1" t="s">
        <v>1808</v>
      </c>
      <c r="D654" s="1" t="s">
        <v>1809</v>
      </c>
      <c r="F654" s="1" t="s">
        <v>10</v>
      </c>
      <c r="G654" s="1" t="s">
        <v>8</v>
      </c>
      <c r="H654" s="1" t="s">
        <v>1810</v>
      </c>
      <c r="I654" s="1" t="s">
        <v>1811</v>
      </c>
      <c r="J654" s="1" t="s">
        <v>1812</v>
      </c>
      <c r="N654" s="1" t="s">
        <v>1813</v>
      </c>
      <c r="O654" s="1" t="s">
        <v>5164</v>
      </c>
    </row>
    <row r="655" spans="1:18" x14ac:dyDescent="0.2">
      <c r="A655" s="1" t="s">
        <v>53</v>
      </c>
      <c r="E655" s="1" t="s">
        <v>1814</v>
      </c>
      <c r="F655" s="1" t="s">
        <v>1815</v>
      </c>
      <c r="G655" s="1" t="s">
        <v>650</v>
      </c>
      <c r="J655" s="1" t="s">
        <v>652</v>
      </c>
      <c r="K655" s="1" t="s">
        <v>653</v>
      </c>
      <c r="L655" s="1" t="s">
        <v>651</v>
      </c>
      <c r="M655" s="1" t="s">
        <v>1816</v>
      </c>
      <c r="R655" s="1" t="s">
        <v>1300</v>
      </c>
    </row>
    <row r="656" spans="1:18" x14ac:dyDescent="0.2">
      <c r="A656" s="1" t="s">
        <v>1386</v>
      </c>
    </row>
    <row r="657" spans="1:18" x14ac:dyDescent="0.2">
      <c r="A657" s="1" t="s">
        <v>53</v>
      </c>
      <c r="C657" s="1" t="s">
        <v>1817</v>
      </c>
      <c r="D657" s="1" t="s">
        <v>1818</v>
      </c>
      <c r="F657" s="1" t="s">
        <v>10</v>
      </c>
      <c r="G657" s="1" t="s">
        <v>8</v>
      </c>
      <c r="H657" s="1" t="s">
        <v>1819</v>
      </c>
      <c r="I657" s="1" t="s">
        <v>1820</v>
      </c>
      <c r="J657" s="1" t="s">
        <v>1821</v>
      </c>
      <c r="N657" s="1" t="s">
        <v>1822</v>
      </c>
      <c r="O657" s="1" t="s">
        <v>5165</v>
      </c>
    </row>
    <row r="658" spans="1:18" x14ac:dyDescent="0.2">
      <c r="A658" s="1" t="s">
        <v>53</v>
      </c>
      <c r="E658" s="1" t="s">
        <v>1823</v>
      </c>
      <c r="F658" s="1" t="s">
        <v>1824</v>
      </c>
      <c r="G658" s="1" t="s">
        <v>654</v>
      </c>
      <c r="J658" s="1" t="s">
        <v>656</v>
      </c>
      <c r="K658" s="1" t="s">
        <v>657</v>
      </c>
      <c r="L658" s="1" t="s">
        <v>655</v>
      </c>
      <c r="M658" s="1" t="s">
        <v>1825</v>
      </c>
      <c r="R658" s="1" t="s">
        <v>1301</v>
      </c>
    </row>
    <row r="659" spans="1:18" x14ac:dyDescent="0.2">
      <c r="A659" s="1" t="s">
        <v>1386</v>
      </c>
    </row>
    <row r="660" spans="1:18" x14ac:dyDescent="0.2">
      <c r="A660" s="1" t="s">
        <v>53</v>
      </c>
      <c r="C660" s="1" t="s">
        <v>1826</v>
      </c>
      <c r="D660" s="1" t="s">
        <v>1827</v>
      </c>
      <c r="F660" s="1" t="s">
        <v>10</v>
      </c>
      <c r="G660" s="1" t="s">
        <v>8</v>
      </c>
      <c r="H660" s="1" t="s">
        <v>1828</v>
      </c>
      <c r="I660" s="1" t="s">
        <v>1829</v>
      </c>
      <c r="J660" s="1" t="s">
        <v>1830</v>
      </c>
      <c r="N660" s="1" t="s">
        <v>1831</v>
      </c>
      <c r="O660" s="1" t="s">
        <v>5166</v>
      </c>
    </row>
    <row r="661" spans="1:18" x14ac:dyDescent="0.2">
      <c r="A661" s="1" t="s">
        <v>53</v>
      </c>
      <c r="E661" s="1" t="s">
        <v>1832</v>
      </c>
      <c r="F661" s="1" t="s">
        <v>1833</v>
      </c>
      <c r="G661" s="1" t="s">
        <v>658</v>
      </c>
      <c r="J661" s="1" t="s">
        <v>660</v>
      </c>
      <c r="K661" s="1" t="s">
        <v>661</v>
      </c>
      <c r="L661" s="1" t="s">
        <v>659</v>
      </c>
      <c r="M661" s="1" t="s">
        <v>1834</v>
      </c>
      <c r="R661" s="1" t="s">
        <v>1302</v>
      </c>
    </row>
    <row r="662" spans="1:18" x14ac:dyDescent="0.2">
      <c r="A662" s="1" t="s">
        <v>1386</v>
      </c>
    </row>
    <row r="663" spans="1:18" x14ac:dyDescent="0.2">
      <c r="A663" s="1" t="s">
        <v>53</v>
      </c>
      <c r="C663" s="1" t="s">
        <v>1835</v>
      </c>
      <c r="D663" s="1" t="s">
        <v>1836</v>
      </c>
      <c r="F663" s="1" t="s">
        <v>10</v>
      </c>
      <c r="G663" s="1" t="s">
        <v>8</v>
      </c>
      <c r="H663" s="1" t="s">
        <v>1837</v>
      </c>
      <c r="I663" s="1" t="s">
        <v>1838</v>
      </c>
      <c r="J663" s="1" t="s">
        <v>1839</v>
      </c>
      <c r="N663" s="1" t="s">
        <v>1840</v>
      </c>
      <c r="O663" s="1" t="s">
        <v>5167</v>
      </c>
    </row>
    <row r="664" spans="1:18" x14ac:dyDescent="0.2">
      <c r="A664" s="1" t="s">
        <v>53</v>
      </c>
      <c r="E664" s="1" t="s">
        <v>1841</v>
      </c>
      <c r="F664" s="1" t="s">
        <v>1842</v>
      </c>
      <c r="G664" s="1" t="s">
        <v>662</v>
      </c>
      <c r="J664" s="1" t="s">
        <v>664</v>
      </c>
      <c r="K664" s="1" t="s">
        <v>665</v>
      </c>
      <c r="L664" s="1" t="s">
        <v>663</v>
      </c>
      <c r="M664" s="1" t="s">
        <v>1843</v>
      </c>
      <c r="R664" s="1" t="s">
        <v>1303</v>
      </c>
    </row>
    <row r="665" spans="1:18" x14ac:dyDescent="0.2">
      <c r="A665" s="1" t="s">
        <v>1386</v>
      </c>
    </row>
    <row r="666" spans="1:18" x14ac:dyDescent="0.2">
      <c r="A666" s="1" t="s">
        <v>53</v>
      </c>
      <c r="C666" s="1" t="s">
        <v>1844</v>
      </c>
      <c r="D666" s="1" t="s">
        <v>1845</v>
      </c>
      <c r="F666" s="1" t="s">
        <v>10</v>
      </c>
      <c r="G666" s="1" t="s">
        <v>8</v>
      </c>
      <c r="H666" s="1" t="s">
        <v>1846</v>
      </c>
      <c r="I666" s="1" t="s">
        <v>1847</v>
      </c>
      <c r="J666" s="1" t="s">
        <v>1848</v>
      </c>
      <c r="N666" s="1" t="s">
        <v>1849</v>
      </c>
      <c r="O666" s="1" t="s">
        <v>5168</v>
      </c>
    </row>
    <row r="667" spans="1:18" x14ac:dyDescent="0.2">
      <c r="A667" s="1" t="s">
        <v>53</v>
      </c>
      <c r="E667" s="1" t="s">
        <v>1850</v>
      </c>
      <c r="F667" s="1" t="s">
        <v>1851</v>
      </c>
      <c r="G667" s="1" t="s">
        <v>666</v>
      </c>
      <c r="J667" s="1" t="s">
        <v>668</v>
      </c>
      <c r="K667" s="1" t="s">
        <v>669</v>
      </c>
      <c r="L667" s="1" t="s">
        <v>667</v>
      </c>
      <c r="M667" s="1" t="s">
        <v>1852</v>
      </c>
      <c r="R667" s="1" t="s">
        <v>1304</v>
      </c>
    </row>
    <row r="668" spans="1:18" x14ac:dyDescent="0.2">
      <c r="A668" s="1" t="s">
        <v>1386</v>
      </c>
    </row>
    <row r="669" spans="1:18" x14ac:dyDescent="0.2">
      <c r="A669" s="1" t="s">
        <v>53</v>
      </c>
      <c r="C669" s="1" t="s">
        <v>1853</v>
      </c>
      <c r="D669" s="1" t="s">
        <v>1854</v>
      </c>
      <c r="F669" s="1" t="s">
        <v>10</v>
      </c>
      <c r="G669" s="1" t="s">
        <v>8</v>
      </c>
      <c r="H669" s="1" t="s">
        <v>1855</v>
      </c>
      <c r="I669" s="1" t="s">
        <v>1856</v>
      </c>
      <c r="J669" s="1" t="s">
        <v>1857</v>
      </c>
      <c r="N669" s="1" t="s">
        <v>1858</v>
      </c>
      <c r="O669" s="1" t="s">
        <v>5169</v>
      </c>
    </row>
    <row r="670" spans="1:18" x14ac:dyDescent="0.2">
      <c r="A670" s="1" t="s">
        <v>53</v>
      </c>
      <c r="E670" s="1" t="s">
        <v>1859</v>
      </c>
      <c r="F670" s="1" t="s">
        <v>1860</v>
      </c>
      <c r="G670" s="1" t="s">
        <v>670</v>
      </c>
      <c r="J670" s="1" t="s">
        <v>672</v>
      </c>
      <c r="K670" s="1" t="s">
        <v>673</v>
      </c>
      <c r="L670" s="1" t="s">
        <v>671</v>
      </c>
      <c r="M670" s="1" t="s">
        <v>1861</v>
      </c>
      <c r="R670" s="1" t="s">
        <v>1305</v>
      </c>
    </row>
    <row r="671" spans="1:18" x14ac:dyDescent="0.2">
      <c r="A671" s="1" t="s">
        <v>1386</v>
      </c>
    </row>
    <row r="672" spans="1:18" x14ac:dyDescent="0.2">
      <c r="A672" s="1" t="s">
        <v>53</v>
      </c>
      <c r="C672" s="1" t="s">
        <v>1862</v>
      </c>
      <c r="D672" s="1" t="s">
        <v>1863</v>
      </c>
      <c r="F672" s="1" t="s">
        <v>10</v>
      </c>
      <c r="G672" s="1" t="s">
        <v>8</v>
      </c>
      <c r="H672" s="1" t="s">
        <v>1864</v>
      </c>
      <c r="I672" s="1" t="s">
        <v>1865</v>
      </c>
      <c r="J672" s="1" t="s">
        <v>1866</v>
      </c>
      <c r="N672" s="1" t="s">
        <v>1867</v>
      </c>
      <c r="O672" s="1" t="s">
        <v>5170</v>
      </c>
    </row>
    <row r="673" spans="1:18" x14ac:dyDescent="0.2">
      <c r="A673" s="1" t="s">
        <v>53</v>
      </c>
      <c r="E673" s="1" t="s">
        <v>1868</v>
      </c>
      <c r="F673" s="1" t="s">
        <v>1869</v>
      </c>
      <c r="G673" s="1" t="s">
        <v>674</v>
      </c>
      <c r="J673" s="1" t="s">
        <v>676</v>
      </c>
      <c r="K673" s="1" t="s">
        <v>677</v>
      </c>
      <c r="L673" s="1" t="s">
        <v>675</v>
      </c>
      <c r="M673" s="1" t="s">
        <v>1870</v>
      </c>
      <c r="R673" s="1" t="s">
        <v>1306</v>
      </c>
    </row>
    <row r="674" spans="1:18" x14ac:dyDescent="0.2">
      <c r="A674" s="1" t="s">
        <v>1386</v>
      </c>
    </row>
    <row r="675" spans="1:18" x14ac:dyDescent="0.2">
      <c r="A675" s="1" t="s">
        <v>53</v>
      </c>
      <c r="C675" s="1" t="s">
        <v>1871</v>
      </c>
      <c r="D675" s="1" t="s">
        <v>1872</v>
      </c>
      <c r="F675" s="1" t="s">
        <v>10</v>
      </c>
      <c r="G675" s="1" t="s">
        <v>8</v>
      </c>
      <c r="H675" s="1" t="s">
        <v>1873</v>
      </c>
      <c r="I675" s="1" t="s">
        <v>1874</v>
      </c>
      <c r="J675" s="1" t="s">
        <v>1875</v>
      </c>
      <c r="N675" s="1" t="s">
        <v>1876</v>
      </c>
      <c r="O675" s="1" t="s">
        <v>5171</v>
      </c>
    </row>
    <row r="676" spans="1:18" x14ac:dyDescent="0.2">
      <c r="A676" s="1" t="s">
        <v>53</v>
      </c>
      <c r="E676" s="1" t="s">
        <v>1877</v>
      </c>
      <c r="F676" s="1" t="s">
        <v>1878</v>
      </c>
      <c r="G676" s="1" t="s">
        <v>678</v>
      </c>
      <c r="J676" s="1" t="s">
        <v>680</v>
      </c>
      <c r="K676" s="1" t="s">
        <v>681</v>
      </c>
      <c r="L676" s="1" t="s">
        <v>679</v>
      </c>
      <c r="M676" s="1" t="s">
        <v>1879</v>
      </c>
      <c r="R676" s="1" t="s">
        <v>1307</v>
      </c>
    </row>
    <row r="677" spans="1:18" x14ac:dyDescent="0.2">
      <c r="A677" s="1" t="s">
        <v>1386</v>
      </c>
    </row>
    <row r="678" spans="1:18" x14ac:dyDescent="0.2">
      <c r="A678" s="1" t="s">
        <v>53</v>
      </c>
      <c r="C678" s="1" t="s">
        <v>1880</v>
      </c>
      <c r="D678" s="1" t="s">
        <v>1881</v>
      </c>
      <c r="F678" s="1" t="s">
        <v>10</v>
      </c>
      <c r="G678" s="1" t="s">
        <v>8</v>
      </c>
      <c r="H678" s="1" t="s">
        <v>1882</v>
      </c>
      <c r="I678" s="1" t="s">
        <v>1883</v>
      </c>
      <c r="J678" s="1" t="s">
        <v>1884</v>
      </c>
      <c r="N678" s="1" t="s">
        <v>1885</v>
      </c>
      <c r="O678" s="1" t="s">
        <v>5172</v>
      </c>
    </row>
    <row r="679" spans="1:18" x14ac:dyDescent="0.2">
      <c r="A679" s="1" t="s">
        <v>53</v>
      </c>
      <c r="E679" s="1" t="s">
        <v>1886</v>
      </c>
      <c r="F679" s="1" t="s">
        <v>1887</v>
      </c>
      <c r="G679" s="1" t="s">
        <v>682</v>
      </c>
      <c r="J679" s="1" t="s">
        <v>684</v>
      </c>
      <c r="K679" s="1" t="s">
        <v>685</v>
      </c>
      <c r="L679" s="1" t="s">
        <v>683</v>
      </c>
      <c r="M679" s="1" t="s">
        <v>1888</v>
      </c>
      <c r="R679" s="1" t="s">
        <v>1308</v>
      </c>
    </row>
    <row r="680" spans="1:18" x14ac:dyDescent="0.2">
      <c r="A680" s="1" t="s">
        <v>1386</v>
      </c>
    </row>
    <row r="681" spans="1:18" x14ac:dyDescent="0.2">
      <c r="A681" s="1" t="s">
        <v>53</v>
      </c>
      <c r="C681" s="1" t="s">
        <v>1889</v>
      </c>
      <c r="D681" s="1" t="s">
        <v>765</v>
      </c>
      <c r="F681" s="1" t="s">
        <v>10</v>
      </c>
      <c r="G681" s="1" t="s">
        <v>8</v>
      </c>
      <c r="H681" s="1" t="s">
        <v>766</v>
      </c>
      <c r="I681" s="1" t="s">
        <v>767</v>
      </c>
      <c r="J681" s="1" t="s">
        <v>1890</v>
      </c>
      <c r="N681" s="1" t="s">
        <v>768</v>
      </c>
      <c r="O681" s="1" t="s">
        <v>5173</v>
      </c>
    </row>
    <row r="682" spans="1:18" x14ac:dyDescent="0.2">
      <c r="A682" s="1" t="s">
        <v>53</v>
      </c>
      <c r="E682" s="1" t="s">
        <v>1891</v>
      </c>
      <c r="F682" s="1" t="s">
        <v>1892</v>
      </c>
      <c r="G682" s="1" t="s">
        <v>686</v>
      </c>
      <c r="J682" s="1" t="s">
        <v>688</v>
      </c>
      <c r="K682" s="1" t="s">
        <v>689</v>
      </c>
      <c r="L682" s="1" t="s">
        <v>687</v>
      </c>
      <c r="M682" s="1" t="s">
        <v>1893</v>
      </c>
      <c r="R682" s="1" t="s">
        <v>1309</v>
      </c>
    </row>
    <row r="683" spans="1:18" x14ac:dyDescent="0.2">
      <c r="A683" s="1" t="s">
        <v>1386</v>
      </c>
    </row>
    <row r="684" spans="1:18" x14ac:dyDescent="0.2">
      <c r="A684" s="1" t="s">
        <v>53</v>
      </c>
      <c r="C684" s="1" t="s">
        <v>1894</v>
      </c>
      <c r="D684" s="1" t="s">
        <v>1895</v>
      </c>
      <c r="F684" s="1" t="s">
        <v>10</v>
      </c>
      <c r="G684" s="1" t="s">
        <v>8</v>
      </c>
      <c r="H684" s="1" t="s">
        <v>1896</v>
      </c>
      <c r="I684" s="1" t="s">
        <v>1897</v>
      </c>
      <c r="J684" s="1" t="s">
        <v>1898</v>
      </c>
      <c r="N684" s="1" t="s">
        <v>1899</v>
      </c>
      <c r="O684" s="1" t="s">
        <v>5174</v>
      </c>
    </row>
    <row r="685" spans="1:18" x14ac:dyDescent="0.2">
      <c r="A685" s="1" t="s">
        <v>53</v>
      </c>
      <c r="E685" s="1" t="s">
        <v>1900</v>
      </c>
      <c r="F685" s="1" t="s">
        <v>2505</v>
      </c>
      <c r="G685" s="1" t="s">
        <v>2504</v>
      </c>
      <c r="J685" s="1" t="s">
        <v>1378</v>
      </c>
      <c r="K685" s="1" t="s">
        <v>2506</v>
      </c>
      <c r="L685" s="1" t="s">
        <v>2507</v>
      </c>
      <c r="M685" s="1" t="s">
        <v>2508</v>
      </c>
      <c r="R685" s="1" t="s">
        <v>1379</v>
      </c>
    </row>
    <row r="686" spans="1:18" x14ac:dyDescent="0.2">
      <c r="A686" s="1" t="s">
        <v>53</v>
      </c>
      <c r="E686" s="1" t="s">
        <v>2509</v>
      </c>
      <c r="F686" s="1" t="s">
        <v>2511</v>
      </c>
      <c r="G686" s="1" t="s">
        <v>2510</v>
      </c>
      <c r="J686" s="1" t="s">
        <v>1380</v>
      </c>
      <c r="K686" s="1" t="s">
        <v>2512</v>
      </c>
      <c r="L686" s="1" t="s">
        <v>2513</v>
      </c>
      <c r="M686" s="1" t="s">
        <v>2514</v>
      </c>
      <c r="R686" s="1" t="s">
        <v>1381</v>
      </c>
    </row>
    <row r="687" spans="1:18" x14ac:dyDescent="0.2">
      <c r="A687" s="1" t="s">
        <v>1386</v>
      </c>
    </row>
    <row r="688" spans="1:18" x14ac:dyDescent="0.2">
      <c r="A688" s="1" t="s">
        <v>53</v>
      </c>
      <c r="C688" s="1" t="s">
        <v>1901</v>
      </c>
      <c r="D688" s="1" t="s">
        <v>1902</v>
      </c>
      <c r="F688" s="1" t="s">
        <v>10</v>
      </c>
      <c r="G688" s="1" t="s">
        <v>8</v>
      </c>
      <c r="H688" s="1" t="s">
        <v>1903</v>
      </c>
      <c r="I688" s="1" t="s">
        <v>1904</v>
      </c>
      <c r="J688" s="1" t="s">
        <v>1905</v>
      </c>
      <c r="N688" s="1" t="s">
        <v>1906</v>
      </c>
      <c r="O688" s="1" t="s">
        <v>5175</v>
      </c>
    </row>
    <row r="689" spans="1:18" x14ac:dyDescent="0.2">
      <c r="A689" s="1" t="s">
        <v>53</v>
      </c>
      <c r="E689" s="1" t="s">
        <v>1907</v>
      </c>
      <c r="F689" s="1" t="s">
        <v>1909</v>
      </c>
      <c r="G689" s="1" t="s">
        <v>1908</v>
      </c>
      <c r="J689" s="1" t="s">
        <v>1382</v>
      </c>
      <c r="K689" s="1" t="s">
        <v>1910</v>
      </c>
      <c r="L689" s="1" t="s">
        <v>1911</v>
      </c>
      <c r="M689" s="1" t="s">
        <v>1912</v>
      </c>
      <c r="R689" s="1" t="s">
        <v>1383</v>
      </c>
    </row>
    <row r="690" spans="1:18" x14ac:dyDescent="0.2">
      <c r="A690" s="1" t="s">
        <v>1386</v>
      </c>
    </row>
    <row r="691" spans="1:18" x14ac:dyDescent="0.2">
      <c r="A691" s="1" t="s">
        <v>53</v>
      </c>
      <c r="C691" s="1" t="s">
        <v>1913</v>
      </c>
      <c r="D691" s="1" t="s">
        <v>1914</v>
      </c>
      <c r="F691" s="1" t="s">
        <v>10</v>
      </c>
      <c r="G691" s="1" t="s">
        <v>8</v>
      </c>
      <c r="H691" s="1" t="s">
        <v>1915</v>
      </c>
      <c r="I691" s="1" t="s">
        <v>1916</v>
      </c>
      <c r="J691" s="1" t="s">
        <v>1917</v>
      </c>
      <c r="N691" s="1" t="s">
        <v>1918</v>
      </c>
      <c r="O691" s="1" t="s">
        <v>5176</v>
      </c>
    </row>
    <row r="692" spans="1:18" x14ac:dyDescent="0.2">
      <c r="A692" s="1" t="s">
        <v>53</v>
      </c>
      <c r="E692" s="1" t="s">
        <v>1919</v>
      </c>
      <c r="F692" s="1" t="s">
        <v>2516</v>
      </c>
      <c r="G692" s="1" t="s">
        <v>2515</v>
      </c>
      <c r="J692" s="1" t="s">
        <v>1384</v>
      </c>
      <c r="K692" s="1" t="s">
        <v>2517</v>
      </c>
      <c r="L692" s="1" t="s">
        <v>2518</v>
      </c>
      <c r="M692" s="1" t="s">
        <v>2519</v>
      </c>
      <c r="R692" s="1" t="s">
        <v>1385</v>
      </c>
    </row>
    <row r="693" spans="1:18" x14ac:dyDescent="0.2">
      <c r="A693" s="1" t="s">
        <v>1386</v>
      </c>
    </row>
    <row r="694" spans="1:18" x14ac:dyDescent="0.2">
      <c r="A694" s="1" t="s">
        <v>53</v>
      </c>
      <c r="C694" s="1" t="s">
        <v>1920</v>
      </c>
      <c r="D694" s="1" t="s">
        <v>769</v>
      </c>
      <c r="F694" s="1" t="s">
        <v>10</v>
      </c>
      <c r="G694" s="1" t="s">
        <v>8</v>
      </c>
      <c r="H694" s="1" t="s">
        <v>770</v>
      </c>
      <c r="I694" s="1" t="s">
        <v>771</v>
      </c>
      <c r="J694" s="1" t="s">
        <v>1921</v>
      </c>
      <c r="N694" s="1" t="s">
        <v>772</v>
      </c>
      <c r="O694" s="1" t="s">
        <v>5177</v>
      </c>
    </row>
    <row r="695" spans="1:18" x14ac:dyDescent="0.2">
      <c r="A695" s="1" t="s">
        <v>53</v>
      </c>
      <c r="E695" s="1" t="s">
        <v>1922</v>
      </c>
      <c r="F695" s="1" t="s">
        <v>4597</v>
      </c>
      <c r="G695" s="1" t="s">
        <v>4573</v>
      </c>
      <c r="J695" s="1" t="s">
        <v>690</v>
      </c>
      <c r="K695" s="1" t="s">
        <v>4621</v>
      </c>
      <c r="L695" s="1" t="s">
        <v>4645</v>
      </c>
      <c r="M695" s="1" t="s">
        <v>4669</v>
      </c>
      <c r="R695" s="1" t="s">
        <v>1310</v>
      </c>
    </row>
    <row r="696" spans="1:18" x14ac:dyDescent="0.2">
      <c r="A696" s="1" t="s">
        <v>53</v>
      </c>
      <c r="E696" s="1" t="s">
        <v>2520</v>
      </c>
      <c r="F696" s="1" t="s">
        <v>4598</v>
      </c>
      <c r="G696" s="1" t="s">
        <v>4574</v>
      </c>
      <c r="J696" s="1" t="s">
        <v>691</v>
      </c>
      <c r="K696" s="1" t="s">
        <v>4622</v>
      </c>
      <c r="L696" s="1" t="s">
        <v>4646</v>
      </c>
      <c r="M696" s="1" t="s">
        <v>4670</v>
      </c>
      <c r="R696" s="1" t="s">
        <v>1311</v>
      </c>
    </row>
    <row r="697" spans="1:18" x14ac:dyDescent="0.2">
      <c r="A697" s="1" t="s">
        <v>53</v>
      </c>
      <c r="E697" s="1" t="s">
        <v>2521</v>
      </c>
      <c r="F697" s="1" t="s">
        <v>4599</v>
      </c>
      <c r="G697" s="1" t="s">
        <v>4575</v>
      </c>
      <c r="J697" s="1" t="s">
        <v>692</v>
      </c>
      <c r="K697" s="1" t="s">
        <v>4623</v>
      </c>
      <c r="L697" s="1" t="s">
        <v>4647</v>
      </c>
      <c r="M697" s="1" t="s">
        <v>4671</v>
      </c>
      <c r="R697" s="1" t="s">
        <v>1312</v>
      </c>
    </row>
    <row r="698" spans="1:18" x14ac:dyDescent="0.2">
      <c r="A698" s="1" t="s">
        <v>53</v>
      </c>
      <c r="E698" s="1" t="s">
        <v>2522</v>
      </c>
      <c r="F698" s="1" t="s">
        <v>4600</v>
      </c>
      <c r="G698" s="1" t="s">
        <v>4576</v>
      </c>
      <c r="J698" s="1" t="s">
        <v>693</v>
      </c>
      <c r="K698" s="1" t="s">
        <v>4624</v>
      </c>
      <c r="L698" s="1" t="s">
        <v>4648</v>
      </c>
      <c r="M698" s="1" t="s">
        <v>4672</v>
      </c>
      <c r="R698" s="1" t="s">
        <v>1313</v>
      </c>
    </row>
    <row r="699" spans="1:18" x14ac:dyDescent="0.2">
      <c r="A699" s="1" t="s">
        <v>53</v>
      </c>
      <c r="E699" s="1" t="s">
        <v>2523</v>
      </c>
      <c r="F699" s="1" t="s">
        <v>4601</v>
      </c>
      <c r="G699" s="1" t="s">
        <v>4577</v>
      </c>
      <c r="J699" s="1" t="s">
        <v>694</v>
      </c>
      <c r="K699" s="1" t="s">
        <v>4625</v>
      </c>
      <c r="L699" s="1" t="s">
        <v>4649</v>
      </c>
      <c r="M699" s="1" t="s">
        <v>4673</v>
      </c>
      <c r="R699" s="1" t="s">
        <v>1314</v>
      </c>
    </row>
    <row r="700" spans="1:18" x14ac:dyDescent="0.2">
      <c r="A700" s="1" t="s">
        <v>53</v>
      </c>
      <c r="E700" s="1" t="s">
        <v>2524</v>
      </c>
      <c r="F700" s="1" t="s">
        <v>4602</v>
      </c>
      <c r="G700" s="1" t="s">
        <v>4578</v>
      </c>
      <c r="J700" s="1" t="s">
        <v>695</v>
      </c>
      <c r="K700" s="1" t="s">
        <v>4626</v>
      </c>
      <c r="L700" s="1" t="s">
        <v>4650</v>
      </c>
      <c r="M700" s="1" t="s">
        <v>4674</v>
      </c>
      <c r="R700" s="1" t="s">
        <v>1315</v>
      </c>
    </row>
    <row r="701" spans="1:18" x14ac:dyDescent="0.2">
      <c r="A701" s="1" t="s">
        <v>53</v>
      </c>
      <c r="E701" s="1" t="s">
        <v>2525</v>
      </c>
      <c r="F701" s="1" t="s">
        <v>4603</v>
      </c>
      <c r="G701" s="1" t="s">
        <v>4579</v>
      </c>
      <c r="J701" s="1" t="s">
        <v>696</v>
      </c>
      <c r="K701" s="1" t="s">
        <v>4627</v>
      </c>
      <c r="L701" s="1" t="s">
        <v>4651</v>
      </c>
      <c r="M701" s="1" t="s">
        <v>4675</v>
      </c>
      <c r="R701" s="1" t="s">
        <v>1316</v>
      </c>
    </row>
    <row r="702" spans="1:18" x14ac:dyDescent="0.2">
      <c r="A702" s="1" t="s">
        <v>53</v>
      </c>
      <c r="E702" s="1" t="s">
        <v>2526</v>
      </c>
      <c r="F702" s="1" t="s">
        <v>4604</v>
      </c>
      <c r="G702" s="1" t="s">
        <v>4580</v>
      </c>
      <c r="J702" s="1" t="s">
        <v>697</v>
      </c>
      <c r="K702" s="1" t="s">
        <v>4628</v>
      </c>
      <c r="L702" s="1" t="s">
        <v>4652</v>
      </c>
      <c r="M702" s="1" t="s">
        <v>4676</v>
      </c>
      <c r="R702" s="1" t="s">
        <v>1317</v>
      </c>
    </row>
    <row r="703" spans="1:18" x14ac:dyDescent="0.2">
      <c r="A703" s="1" t="s">
        <v>53</v>
      </c>
      <c r="E703" s="1" t="s">
        <v>2527</v>
      </c>
      <c r="F703" s="1" t="s">
        <v>4605</v>
      </c>
      <c r="G703" s="1" t="s">
        <v>4581</v>
      </c>
      <c r="J703" s="1" t="s">
        <v>698</v>
      </c>
      <c r="K703" s="1" t="s">
        <v>4629</v>
      </c>
      <c r="L703" s="1" t="s">
        <v>4653</v>
      </c>
      <c r="M703" s="1" t="s">
        <v>4677</v>
      </c>
      <c r="R703" s="1" t="s">
        <v>1318</v>
      </c>
    </row>
    <row r="704" spans="1:18" x14ac:dyDescent="0.2">
      <c r="A704" s="1" t="s">
        <v>53</v>
      </c>
      <c r="E704" s="1" t="s">
        <v>2528</v>
      </c>
      <c r="F704" s="1" t="s">
        <v>4606</v>
      </c>
      <c r="G704" s="1" t="s">
        <v>4582</v>
      </c>
      <c r="J704" s="1" t="s">
        <v>699</v>
      </c>
      <c r="K704" s="1" t="s">
        <v>4630</v>
      </c>
      <c r="L704" s="1" t="s">
        <v>4654</v>
      </c>
      <c r="M704" s="1" t="s">
        <v>4678</v>
      </c>
      <c r="R704" s="1" t="s">
        <v>1319</v>
      </c>
    </row>
    <row r="705" spans="1:18" x14ac:dyDescent="0.2">
      <c r="A705" s="1" t="s">
        <v>53</v>
      </c>
      <c r="E705" s="1" t="s">
        <v>2529</v>
      </c>
      <c r="F705" s="1" t="s">
        <v>4607</v>
      </c>
      <c r="G705" s="1" t="s">
        <v>4583</v>
      </c>
      <c r="J705" s="1" t="s">
        <v>700</v>
      </c>
      <c r="K705" s="1" t="s">
        <v>4631</v>
      </c>
      <c r="L705" s="1" t="s">
        <v>4655</v>
      </c>
      <c r="M705" s="1" t="s">
        <v>4679</v>
      </c>
      <c r="R705" s="1" t="s">
        <v>1320</v>
      </c>
    </row>
    <row r="706" spans="1:18" x14ac:dyDescent="0.2">
      <c r="A706" s="1" t="s">
        <v>53</v>
      </c>
      <c r="E706" s="1" t="s">
        <v>2530</v>
      </c>
      <c r="F706" s="1" t="s">
        <v>4608</v>
      </c>
      <c r="G706" s="1" t="s">
        <v>4584</v>
      </c>
      <c r="J706" s="1" t="s">
        <v>701</v>
      </c>
      <c r="K706" s="1" t="s">
        <v>4632</v>
      </c>
      <c r="L706" s="1" t="s">
        <v>4656</v>
      </c>
      <c r="M706" s="1" t="s">
        <v>4680</v>
      </c>
      <c r="R706" s="1" t="s">
        <v>1321</v>
      </c>
    </row>
    <row r="707" spans="1:18" x14ac:dyDescent="0.2">
      <c r="A707" s="1" t="s">
        <v>53</v>
      </c>
      <c r="E707" s="1" t="s">
        <v>2531</v>
      </c>
      <c r="F707" s="1" t="s">
        <v>4609</v>
      </c>
      <c r="G707" s="1" t="s">
        <v>4585</v>
      </c>
      <c r="J707" s="1" t="s">
        <v>702</v>
      </c>
      <c r="K707" s="1" t="s">
        <v>4633</v>
      </c>
      <c r="L707" s="1" t="s">
        <v>4657</v>
      </c>
      <c r="M707" s="1" t="s">
        <v>4681</v>
      </c>
      <c r="R707" s="1" t="s">
        <v>1322</v>
      </c>
    </row>
    <row r="708" spans="1:18" x14ac:dyDescent="0.2">
      <c r="A708" s="1" t="s">
        <v>53</v>
      </c>
      <c r="E708" s="1" t="s">
        <v>2532</v>
      </c>
      <c r="F708" s="1" t="s">
        <v>4610</v>
      </c>
      <c r="G708" s="1" t="s">
        <v>4586</v>
      </c>
      <c r="J708" s="1" t="s">
        <v>703</v>
      </c>
      <c r="K708" s="1" t="s">
        <v>4634</v>
      </c>
      <c r="L708" s="1" t="s">
        <v>4658</v>
      </c>
      <c r="M708" s="1" t="s">
        <v>4682</v>
      </c>
      <c r="R708" s="1" t="s">
        <v>1323</v>
      </c>
    </row>
    <row r="709" spans="1:18" x14ac:dyDescent="0.2">
      <c r="A709" s="1" t="s">
        <v>53</v>
      </c>
      <c r="E709" s="1" t="s">
        <v>2533</v>
      </c>
      <c r="F709" s="1" t="s">
        <v>4611</v>
      </c>
      <c r="G709" s="1" t="s">
        <v>4587</v>
      </c>
      <c r="J709" s="1" t="s">
        <v>704</v>
      </c>
      <c r="K709" s="1" t="s">
        <v>4635</v>
      </c>
      <c r="L709" s="1" t="s">
        <v>4659</v>
      </c>
      <c r="M709" s="1" t="s">
        <v>4683</v>
      </c>
      <c r="R709" s="1" t="s">
        <v>1324</v>
      </c>
    </row>
    <row r="710" spans="1:18" x14ac:dyDescent="0.2">
      <c r="A710" s="1" t="s">
        <v>53</v>
      </c>
      <c r="E710" s="1" t="s">
        <v>2534</v>
      </c>
      <c r="F710" s="1" t="s">
        <v>4612</v>
      </c>
      <c r="G710" s="1" t="s">
        <v>4588</v>
      </c>
      <c r="J710" s="1" t="s">
        <v>705</v>
      </c>
      <c r="K710" s="1" t="s">
        <v>4636</v>
      </c>
      <c r="L710" s="1" t="s">
        <v>4660</v>
      </c>
      <c r="M710" s="1" t="s">
        <v>4684</v>
      </c>
      <c r="R710" s="1" t="s">
        <v>1325</v>
      </c>
    </row>
    <row r="711" spans="1:18" x14ac:dyDescent="0.2">
      <c r="A711" s="1" t="s">
        <v>53</v>
      </c>
      <c r="E711" s="1" t="s">
        <v>2535</v>
      </c>
      <c r="F711" s="1" t="s">
        <v>4613</v>
      </c>
      <c r="G711" s="1" t="s">
        <v>4589</v>
      </c>
      <c r="J711" s="1" t="s">
        <v>706</v>
      </c>
      <c r="K711" s="1" t="s">
        <v>4637</v>
      </c>
      <c r="L711" s="1" t="s">
        <v>4661</v>
      </c>
      <c r="M711" s="1" t="s">
        <v>4685</v>
      </c>
      <c r="R711" s="1" t="s">
        <v>1326</v>
      </c>
    </row>
    <row r="712" spans="1:18" x14ac:dyDescent="0.2">
      <c r="A712" s="1" t="s">
        <v>53</v>
      </c>
      <c r="E712" s="1" t="s">
        <v>2536</v>
      </c>
      <c r="F712" s="1" t="s">
        <v>4614</v>
      </c>
      <c r="G712" s="1" t="s">
        <v>4590</v>
      </c>
      <c r="J712" s="1" t="s">
        <v>707</v>
      </c>
      <c r="K712" s="1" t="s">
        <v>4638</v>
      </c>
      <c r="L712" s="1" t="s">
        <v>4662</v>
      </c>
      <c r="M712" s="1" t="s">
        <v>4686</v>
      </c>
      <c r="R712" s="1" t="s">
        <v>1327</v>
      </c>
    </row>
    <row r="713" spans="1:18" x14ac:dyDescent="0.2">
      <c r="A713" s="1" t="s">
        <v>53</v>
      </c>
      <c r="E713" s="1" t="s">
        <v>2537</v>
      </c>
      <c r="F713" s="1" t="s">
        <v>4615</v>
      </c>
      <c r="G713" s="1" t="s">
        <v>4591</v>
      </c>
      <c r="J713" s="1" t="s">
        <v>708</v>
      </c>
      <c r="K713" s="1" t="s">
        <v>4639</v>
      </c>
      <c r="L713" s="1" t="s">
        <v>4663</v>
      </c>
      <c r="M713" s="1" t="s">
        <v>4687</v>
      </c>
      <c r="R713" s="1" t="s">
        <v>1328</v>
      </c>
    </row>
    <row r="714" spans="1:18" x14ac:dyDescent="0.2">
      <c r="A714" s="1" t="s">
        <v>53</v>
      </c>
      <c r="E714" s="1" t="s">
        <v>2538</v>
      </c>
      <c r="F714" s="1" t="s">
        <v>4616</v>
      </c>
      <c r="G714" s="1" t="s">
        <v>4592</v>
      </c>
      <c r="J714" s="1" t="s">
        <v>709</v>
      </c>
      <c r="K714" s="1" t="s">
        <v>4640</v>
      </c>
      <c r="L714" s="1" t="s">
        <v>4664</v>
      </c>
      <c r="M714" s="1" t="s">
        <v>4688</v>
      </c>
      <c r="R714" s="1" t="s">
        <v>1329</v>
      </c>
    </row>
    <row r="715" spans="1:18" x14ac:dyDescent="0.2">
      <c r="A715" s="1" t="s">
        <v>53</v>
      </c>
      <c r="E715" s="1" t="s">
        <v>2539</v>
      </c>
      <c r="F715" s="1" t="s">
        <v>4617</v>
      </c>
      <c r="G715" s="1" t="s">
        <v>4593</v>
      </c>
      <c r="J715" s="1" t="s">
        <v>710</v>
      </c>
      <c r="K715" s="1" t="s">
        <v>4641</v>
      </c>
      <c r="L715" s="1" t="s">
        <v>4665</v>
      </c>
      <c r="M715" s="1" t="s">
        <v>4689</v>
      </c>
      <c r="R715" s="1" t="s">
        <v>1330</v>
      </c>
    </row>
    <row r="716" spans="1:18" x14ac:dyDescent="0.2">
      <c r="A716" s="1" t="s">
        <v>53</v>
      </c>
      <c r="E716" s="1" t="s">
        <v>2540</v>
      </c>
      <c r="F716" s="1" t="s">
        <v>4618</v>
      </c>
      <c r="G716" s="1" t="s">
        <v>4594</v>
      </c>
      <c r="J716" s="1" t="s">
        <v>711</v>
      </c>
      <c r="K716" s="1" t="s">
        <v>4642</v>
      </c>
      <c r="L716" s="1" t="s">
        <v>4666</v>
      </c>
      <c r="M716" s="1" t="s">
        <v>4690</v>
      </c>
      <c r="R716" s="1" t="s">
        <v>1331</v>
      </c>
    </row>
    <row r="717" spans="1:18" x14ac:dyDescent="0.2">
      <c r="A717" s="1" t="s">
        <v>53</v>
      </c>
      <c r="E717" s="1" t="s">
        <v>2541</v>
      </c>
      <c r="F717" s="1" t="s">
        <v>4619</v>
      </c>
      <c r="G717" s="1" t="s">
        <v>4595</v>
      </c>
      <c r="J717" s="1" t="s">
        <v>712</v>
      </c>
      <c r="K717" s="1" t="s">
        <v>4643</v>
      </c>
      <c r="L717" s="1" t="s">
        <v>4667</v>
      </c>
      <c r="M717" s="1" t="s">
        <v>4691</v>
      </c>
      <c r="R717" s="1" t="s">
        <v>1332</v>
      </c>
    </row>
    <row r="718" spans="1:18" x14ac:dyDescent="0.2">
      <c r="A718" s="1" t="s">
        <v>53</v>
      </c>
      <c r="E718" s="1" t="s">
        <v>2542</v>
      </c>
      <c r="F718" s="1" t="s">
        <v>4620</v>
      </c>
      <c r="G718" s="1" t="s">
        <v>4596</v>
      </c>
      <c r="J718" s="1" t="s">
        <v>713</v>
      </c>
      <c r="K718" s="1" t="s">
        <v>4644</v>
      </c>
      <c r="L718" s="1" t="s">
        <v>4668</v>
      </c>
      <c r="M718" s="1" t="s">
        <v>4692</v>
      </c>
      <c r="R718" s="1" t="s">
        <v>1333</v>
      </c>
    </row>
    <row r="719" spans="1:18" x14ac:dyDescent="0.2">
      <c r="A719" s="1" t="s">
        <v>1386</v>
      </c>
    </row>
    <row r="720" spans="1:18" x14ac:dyDescent="0.2">
      <c r="A720" s="1" t="s">
        <v>53</v>
      </c>
      <c r="C720" s="1" t="s">
        <v>1923</v>
      </c>
      <c r="D720" s="1" t="s">
        <v>1924</v>
      </c>
      <c r="F720" s="1" t="s">
        <v>10</v>
      </c>
      <c r="G720" s="1" t="s">
        <v>8</v>
      </c>
      <c r="H720" s="1" t="s">
        <v>1925</v>
      </c>
      <c r="I720" s="1" t="s">
        <v>1926</v>
      </c>
      <c r="J720" s="1" t="s">
        <v>1927</v>
      </c>
      <c r="N720" s="1" t="s">
        <v>1928</v>
      </c>
      <c r="O720" s="1" t="s">
        <v>5178</v>
      </c>
    </row>
    <row r="721" spans="1:18" x14ac:dyDescent="0.2">
      <c r="A721" s="1" t="s">
        <v>53</v>
      </c>
      <c r="E721" s="1" t="s">
        <v>1929</v>
      </c>
      <c r="F721" s="1" t="s">
        <v>4549</v>
      </c>
      <c r="G721" s="1" t="s">
        <v>4543</v>
      </c>
      <c r="J721" s="1" t="s">
        <v>714</v>
      </c>
      <c r="K721" s="1" t="s">
        <v>4555</v>
      </c>
      <c r="L721" s="1" t="s">
        <v>4561</v>
      </c>
      <c r="M721" s="1" t="s">
        <v>4567</v>
      </c>
      <c r="R721" s="1" t="s">
        <v>1334</v>
      </c>
    </row>
    <row r="722" spans="1:18" x14ac:dyDescent="0.2">
      <c r="A722" s="1" t="s">
        <v>53</v>
      </c>
      <c r="E722" s="1" t="s">
        <v>2543</v>
      </c>
      <c r="F722" s="1" t="s">
        <v>4550</v>
      </c>
      <c r="G722" s="1" t="s">
        <v>4544</v>
      </c>
      <c r="J722" s="1" t="s">
        <v>715</v>
      </c>
      <c r="K722" s="1" t="s">
        <v>4556</v>
      </c>
      <c r="L722" s="1" t="s">
        <v>4562</v>
      </c>
      <c r="M722" s="1" t="s">
        <v>4568</v>
      </c>
      <c r="R722" s="1" t="s">
        <v>1335</v>
      </c>
    </row>
    <row r="723" spans="1:18" x14ac:dyDescent="0.2">
      <c r="A723" s="1" t="s">
        <v>53</v>
      </c>
      <c r="E723" s="1" t="s">
        <v>2544</v>
      </c>
      <c r="F723" s="1" t="s">
        <v>4551</v>
      </c>
      <c r="G723" s="1" t="s">
        <v>4545</v>
      </c>
      <c r="J723" s="1" t="s">
        <v>716</v>
      </c>
      <c r="K723" s="1" t="s">
        <v>4557</v>
      </c>
      <c r="L723" s="1" t="s">
        <v>4563</v>
      </c>
      <c r="M723" s="1" t="s">
        <v>4569</v>
      </c>
      <c r="R723" s="1" t="s">
        <v>1336</v>
      </c>
    </row>
    <row r="724" spans="1:18" x14ac:dyDescent="0.2">
      <c r="A724" s="1" t="s">
        <v>53</v>
      </c>
      <c r="E724" s="1" t="s">
        <v>2545</v>
      </c>
      <c r="F724" s="1" t="s">
        <v>4552</v>
      </c>
      <c r="G724" s="1" t="s">
        <v>4546</v>
      </c>
      <c r="J724" s="1" t="s">
        <v>717</v>
      </c>
      <c r="K724" s="1" t="s">
        <v>4558</v>
      </c>
      <c r="L724" s="1" t="s">
        <v>4564</v>
      </c>
      <c r="M724" s="1" t="s">
        <v>4570</v>
      </c>
      <c r="R724" s="1" t="s">
        <v>1337</v>
      </c>
    </row>
    <row r="725" spans="1:18" x14ac:dyDescent="0.2">
      <c r="A725" s="1" t="s">
        <v>53</v>
      </c>
      <c r="E725" s="1" t="s">
        <v>2546</v>
      </c>
      <c r="F725" s="1" t="s">
        <v>4553</v>
      </c>
      <c r="G725" s="1" t="s">
        <v>4547</v>
      </c>
      <c r="J725" s="1" t="s">
        <v>718</v>
      </c>
      <c r="K725" s="1" t="s">
        <v>4559</v>
      </c>
      <c r="L725" s="1" t="s">
        <v>4565</v>
      </c>
      <c r="M725" s="1" t="s">
        <v>4571</v>
      </c>
      <c r="R725" s="1" t="s">
        <v>1338</v>
      </c>
    </row>
    <row r="726" spans="1:18" x14ac:dyDescent="0.2">
      <c r="A726" s="1" t="s">
        <v>53</v>
      </c>
      <c r="E726" s="1" t="s">
        <v>2547</v>
      </c>
      <c r="F726" s="1" t="s">
        <v>4554</v>
      </c>
      <c r="G726" s="1" t="s">
        <v>4548</v>
      </c>
      <c r="J726" s="1" t="s">
        <v>719</v>
      </c>
      <c r="K726" s="1" t="s">
        <v>4560</v>
      </c>
      <c r="L726" s="1" t="s">
        <v>4566</v>
      </c>
      <c r="M726" s="1" t="s">
        <v>4572</v>
      </c>
      <c r="R726" s="1" t="s">
        <v>1339</v>
      </c>
    </row>
    <row r="727" spans="1:18" x14ac:dyDescent="0.2">
      <c r="A727" s="1" t="s">
        <v>1386</v>
      </c>
    </row>
    <row r="728" spans="1:18" x14ac:dyDescent="0.2">
      <c r="A728" s="1" t="s">
        <v>53</v>
      </c>
      <c r="C728" s="1" t="s">
        <v>1930</v>
      </c>
      <c r="H728" s="1" t="s">
        <v>1931</v>
      </c>
    </row>
    <row r="729" spans="1:18" x14ac:dyDescent="0.2">
      <c r="A729" s="1" t="s">
        <v>53</v>
      </c>
      <c r="C729" s="1" t="s">
        <v>1932</v>
      </c>
      <c r="D729" s="1" t="s">
        <v>1933</v>
      </c>
      <c r="F729" s="1" t="s">
        <v>10</v>
      </c>
      <c r="G729" s="1" t="s">
        <v>8</v>
      </c>
      <c r="H729" s="1" t="s">
        <v>1934</v>
      </c>
      <c r="I729" s="1" t="s">
        <v>1935</v>
      </c>
      <c r="J729" s="1" t="s">
        <v>1936</v>
      </c>
      <c r="N729" s="1" t="s">
        <v>1937</v>
      </c>
      <c r="O729" s="1" t="s">
        <v>5179</v>
      </c>
    </row>
    <row r="730" spans="1:18" x14ac:dyDescent="0.2">
      <c r="A730" s="1" t="s">
        <v>53</v>
      </c>
      <c r="E730" s="1" t="s">
        <v>1938</v>
      </c>
      <c r="F730" s="1" t="s">
        <v>1939</v>
      </c>
      <c r="G730" s="1" t="s">
        <v>720</v>
      </c>
      <c r="J730" s="1" t="s">
        <v>722</v>
      </c>
      <c r="K730" s="1" t="s">
        <v>723</v>
      </c>
      <c r="L730" s="1" t="s">
        <v>721</v>
      </c>
      <c r="M730" s="1" t="s">
        <v>1940</v>
      </c>
      <c r="R730" s="1" t="s">
        <v>1340</v>
      </c>
    </row>
    <row r="731" spans="1:18" x14ac:dyDescent="0.2">
      <c r="A731" s="1" t="s">
        <v>1386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Read Me</vt:lpstr>
      <vt:lpstr>Options</vt:lpstr>
      <vt:lpstr>Trx Actual vs Budget</vt:lpstr>
      <vt:lpstr>BudgetFilter</vt:lpstr>
      <vt:lpstr>CategoryFilter</vt:lpstr>
      <vt:lpstr>EndPeriod</vt:lpstr>
      <vt:lpstr>EndYear</vt:lpstr>
      <vt:lpstr>'Trx Actual vs Budget'!Print_Area</vt:lpstr>
      <vt:lpstr>StartPeriod</vt:lpstr>
      <vt:lpstr>StartYear</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Actual vs Budget Transactions</dc:title>
  <dc:subject>Jet Reports</dc:subject>
  <dc:creator>Tara May</dc:creator>
  <dc:description>GL transactions by gl accounts, category, and budget amount for each account.</dc:description>
  <cp:lastModifiedBy>Kim R. Duey</cp:lastModifiedBy>
  <cp:lastPrinted>2012-12-07T23:25:24Z</cp:lastPrinted>
  <dcterms:created xsi:type="dcterms:W3CDTF">2006-10-16T21:16:02Z</dcterms:created>
  <dcterms:modified xsi:type="dcterms:W3CDTF">2018-12-03T20:03:49Z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GL Actual vs Budget Transactions.xls</vt:lpwstr>
  </property>
  <property fmtid="{D5CDD505-2E9C-101B-9397-08002B2CF9AE}" pid="5" name="Jet Reports Last Version Refresh">
    <vt:lpwstr>Version 7.0.3  Released 4/18/2007 11:08:07 AM</vt:lpwstr>
  </property>
  <property fmtid="{D5CDD505-2E9C-101B-9397-08002B2CF9AE}" pid="6" name="Jet Reports Design Mode Active">
    <vt:bool>false</vt:bool>
  </property>
  <property fmtid="{D5CDD505-2E9C-101B-9397-08002B2CF9AE}" pid="7" name="Jet Reports Function Literals">
    <vt:lpwstr>,	;	,	{	}	[@[{0}]]	1033</vt:lpwstr>
  </property>
</Properties>
</file>