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0" windowWidth="28800" windowHeight="12000"/>
  </bookViews>
  <sheets>
    <sheet name="Read Me" sheetId="135" r:id="rId1"/>
    <sheet name="Options" sheetId="1" state="hidden" r:id="rId2"/>
    <sheet name="Income Statement" sheetId="2" r:id="rId3"/>
    <sheet name="Sheet8" sheetId="142" state="veryHidden" r:id="rId4"/>
    <sheet name="Sheet9" sheetId="143" state="veryHidden" r:id="rId5"/>
    <sheet name="Sheet10" sheetId="144" state="veryHidden" r:id="rId6"/>
    <sheet name="Sheet11" sheetId="145" state="veryHidden" r:id="rId7"/>
    <sheet name="Sheet12" sheetId="146" state="veryHidden" r:id="rId8"/>
    <sheet name="Sheet13" sheetId="147" state="veryHidden" r:id="rId9"/>
  </sheets>
  <definedNames>
    <definedName name="_____Seg1">Options!$D$7</definedName>
    <definedName name="_____Seg10">Options!$D$16</definedName>
    <definedName name="_____Seg2">Options!$D$8</definedName>
    <definedName name="_____Seg3">Options!$D$9</definedName>
    <definedName name="_____Seg4">Options!$D$10</definedName>
    <definedName name="_____Seg5">Options!$D$11</definedName>
    <definedName name="_____Seg6">Options!$D$12</definedName>
    <definedName name="_____Seg7">Options!$D$13</definedName>
    <definedName name="_____Seg8">Options!$D$14</definedName>
    <definedName name="_____Seg9">Options!$D$15</definedName>
    <definedName name="AssetDisposal">'Income Statement'!$K$120</definedName>
    <definedName name="BeforeTax">'Income Statement'!$K$142</definedName>
    <definedName name="COGS">'Income Statement'!$K$62</definedName>
    <definedName name="CurrentAssetDisposal">'Income Statement'!$H$120</definedName>
    <definedName name="CurrentBeforeTax">'Income Statement'!$H$142</definedName>
    <definedName name="CurrentCOGS">'Income Statement'!$H$62</definedName>
    <definedName name="CurrentDiscounts">'Income Statement'!$H$49</definedName>
    <definedName name="CurrentGrossProfit">'Income Statement'!$H$64</definedName>
    <definedName name="CurrentGrossSales">'Income Statement'!$H$41</definedName>
    <definedName name="CurrentNetProfit">'Income Statement'!$H$114</definedName>
    <definedName name="CurrentNetSales">'Income Statement'!$H$51</definedName>
    <definedName name="CurrentOpExp">'Income Statement'!$H$112</definedName>
    <definedName name="CurrentOtherExpenses">'Income Statement'!$H$138</definedName>
    <definedName name="CurrentOtherIncome">'Income Statement'!$H$130</definedName>
    <definedName name="CurrentOtherIncomeAndExp">'Income Statement'!$H$140</definedName>
    <definedName name="CurrentTaxExp">'Income Statement'!$H$148</definedName>
    <definedName name="EndPeriod">Options!$E$6</definedName>
    <definedName name="FiscalYear">Options!$E$4</definedName>
    <definedName name="GrossProfit">'Income Statement'!$K$64</definedName>
    <definedName name="GrossSales">'Income Statement'!$K$41</definedName>
    <definedName name="HideEmptyRows">Options!$E$17</definedName>
    <definedName name="LYPAssetDisposal">'Income Statement'!$I$120</definedName>
    <definedName name="LYPBeforeTaxes">'Income Statement'!$I$142</definedName>
    <definedName name="LYPCOGS">'Income Statement'!$I$62</definedName>
    <definedName name="LYPGrossProfit">'Income Statement'!$I$64</definedName>
    <definedName name="LYPGrossSales">'Income Statement'!$I$41</definedName>
    <definedName name="LYPNetProfit">'Income Statement'!$I$114</definedName>
    <definedName name="LYPNetSales">'Income Statement'!$I$51</definedName>
    <definedName name="LYPOpExpenses">'Income Statement'!$I$112</definedName>
    <definedName name="LYPOtherExpenses">'Income Statement'!$I$138</definedName>
    <definedName name="LYPOtherIncome">'Income Statement'!$I$130</definedName>
    <definedName name="LYPOtherIncomeAndExp">'Income Statement'!$I$140</definedName>
    <definedName name="LYPRtns">'Income Statement'!$I$49</definedName>
    <definedName name="LYPTaxExpense">'Income Statement'!$I$148</definedName>
    <definedName name="LYTDAssetDisposal">'Income Statement'!$L$120</definedName>
    <definedName name="LYTDBeforeTax">'Income Statement'!$L$142</definedName>
    <definedName name="LYTDCOGS">'Income Statement'!$L$62</definedName>
    <definedName name="LYTDGrossProfit">'Income Statement'!$L$64</definedName>
    <definedName name="LYTDGrossSales">'Income Statement'!$L$41</definedName>
    <definedName name="LYTDNetProfit">'Income Statement'!$L$114</definedName>
    <definedName name="LYTDNetSales">'Income Statement'!$L$51</definedName>
    <definedName name="LYTDOpExpenses">'Income Statement'!$L$112</definedName>
    <definedName name="LYTDOtherExpenses">'Income Statement'!$L$138</definedName>
    <definedName name="LYTDOtherIncome">'Income Statement'!$L$130</definedName>
    <definedName name="LYTDOtherIncomeAndExp">'Income Statement'!$L$140</definedName>
    <definedName name="LYTDRtns">'Income Statement'!$L$49</definedName>
    <definedName name="LYTDTaxExpense">'Income Statement'!$L$148</definedName>
    <definedName name="NetProfit">'Income Statement'!$K$114</definedName>
    <definedName name="NetSales">'Income Statement'!$K$51</definedName>
    <definedName name="OperatingExpenses">'Income Statement'!$K$112</definedName>
    <definedName name="OtherExpenses">'Income Statement'!$K$138</definedName>
    <definedName name="OtherIncome">'Income Statement'!$K$130</definedName>
    <definedName name="OtherIncomeAndExp">'Income Statement'!$K$140</definedName>
    <definedName name="RtnsDiscounts">'Income Statement'!$K$49</definedName>
    <definedName name="Seg10Filter">Options!$E$16</definedName>
    <definedName name="Seg1Filter">Options!$E$7</definedName>
    <definedName name="Seg2Filter">Options!$E$8</definedName>
    <definedName name="Seg3Filter">Options!$E$9</definedName>
    <definedName name="Seg4Filter">Options!$E$10</definedName>
    <definedName name="Seg5Filter">Options!$E$11</definedName>
    <definedName name="Seg6Filter">Options!$E$12</definedName>
    <definedName name="Seg7Filter">Options!$E$13</definedName>
    <definedName name="Seg8Filter">Options!$E$14</definedName>
    <definedName name="Seg9Filter">Options!$E$15</definedName>
    <definedName name="StartPeriod">Options!$E$5</definedName>
    <definedName name="TaxExpense">'Income Statement'!$K$148</definedName>
  </definedNames>
  <calcPr calcId="162913"/>
</workbook>
</file>

<file path=xl/calcChain.xml><?xml version="1.0" encoding="utf-8"?>
<calcChain xmlns="http://schemas.openxmlformats.org/spreadsheetml/2006/main">
  <c r="E4" i="2" l="1"/>
  <c r="H19" i="2" s="1"/>
  <c r="I19" i="2" s="1"/>
  <c r="G4" i="2"/>
  <c r="E5" i="2"/>
  <c r="G5" i="2" s="1"/>
  <c r="E6" i="2"/>
  <c r="E7" i="2"/>
  <c r="H7" i="2" s="1"/>
  <c r="E8" i="2"/>
  <c r="H8" i="2"/>
  <c r="E9" i="2"/>
  <c r="H9" i="2" s="1"/>
  <c r="K19" i="2"/>
  <c r="L19" i="2" s="1"/>
  <c r="D20" i="2"/>
  <c r="H20" i="2"/>
  <c r="I20" i="2"/>
  <c r="D21" i="2"/>
  <c r="D22" i="2" s="1"/>
  <c r="D23" i="2" s="1"/>
  <c r="D24" i="2" s="1"/>
  <c r="D25" i="2" s="1"/>
  <c r="D26" i="2" s="1"/>
  <c r="D27" i="2" s="1"/>
  <c r="D28" i="2" s="1"/>
  <c r="D29" i="2" s="1"/>
  <c r="D30" i="2" s="1"/>
  <c r="D31" i="2" s="1"/>
  <c r="D32" i="2" s="1"/>
  <c r="D33" i="2" s="1"/>
  <c r="D34" i="2" s="1"/>
  <c r="D35" i="2" s="1"/>
  <c r="D36" i="2" s="1"/>
  <c r="D37" i="2" s="1"/>
  <c r="D38" i="2" s="1"/>
  <c r="D39" i="2" s="1"/>
  <c r="G21" i="2"/>
  <c r="E21" i="2" s="1"/>
  <c r="E22" i="2" s="1"/>
  <c r="C22" i="2"/>
  <c r="G22" i="2"/>
  <c r="J22" i="2"/>
  <c r="M22" i="2"/>
  <c r="C23" i="2"/>
  <c r="G23" i="2"/>
  <c r="J23" i="2"/>
  <c r="M23" i="2"/>
  <c r="C24" i="2"/>
  <c r="G24" i="2"/>
  <c r="J24" i="2"/>
  <c r="M24" i="2"/>
  <c r="C25" i="2"/>
  <c r="G25" i="2"/>
  <c r="J25" i="2"/>
  <c r="M25" i="2"/>
  <c r="C26" i="2"/>
  <c r="G26" i="2"/>
  <c r="J26" i="2"/>
  <c r="M26" i="2"/>
  <c r="C27" i="2"/>
  <c r="G27" i="2"/>
  <c r="J27" i="2"/>
  <c r="M27" i="2"/>
  <c r="C28" i="2"/>
  <c r="G28" i="2"/>
  <c r="J28" i="2"/>
  <c r="M28" i="2"/>
  <c r="C29" i="2"/>
  <c r="G29" i="2"/>
  <c r="J29" i="2"/>
  <c r="M29" i="2"/>
  <c r="C30" i="2"/>
  <c r="G30" i="2"/>
  <c r="J30" i="2"/>
  <c r="M30" i="2"/>
  <c r="C31" i="2"/>
  <c r="G31" i="2"/>
  <c r="J31" i="2"/>
  <c r="M31" i="2"/>
  <c r="C32" i="2"/>
  <c r="G32" i="2"/>
  <c r="J32" i="2"/>
  <c r="M32" i="2"/>
  <c r="C33" i="2"/>
  <c r="G33" i="2"/>
  <c r="J33" i="2"/>
  <c r="M33" i="2"/>
  <c r="C34" i="2"/>
  <c r="G34" i="2"/>
  <c r="J34" i="2"/>
  <c r="M34" i="2"/>
  <c r="C35" i="2"/>
  <c r="G35" i="2"/>
  <c r="J35" i="2"/>
  <c r="M35" i="2"/>
  <c r="C36" i="2"/>
  <c r="G36" i="2"/>
  <c r="J36" i="2"/>
  <c r="M36" i="2"/>
  <c r="C37" i="2"/>
  <c r="G37" i="2"/>
  <c r="J37" i="2"/>
  <c r="M37" i="2"/>
  <c r="C38" i="2"/>
  <c r="G38" i="2"/>
  <c r="J38" i="2"/>
  <c r="M38" i="2"/>
  <c r="C39" i="2"/>
  <c r="G39" i="2"/>
  <c r="J39" i="2"/>
  <c r="M39" i="2"/>
  <c r="H41" i="2"/>
  <c r="I41" i="2"/>
  <c r="I51" i="2" s="1"/>
  <c r="K41" i="2"/>
  <c r="L41" i="2"/>
  <c r="M41" i="2"/>
  <c r="D43" i="2"/>
  <c r="D44" i="2" s="1"/>
  <c r="D45" i="2" s="1"/>
  <c r="G44" i="2"/>
  <c r="E44" i="2" s="1"/>
  <c r="E45" i="2" s="1"/>
  <c r="C45" i="2"/>
  <c r="G45" i="2"/>
  <c r="J45" i="2"/>
  <c r="M45" i="2"/>
  <c r="C46" i="2"/>
  <c r="G46" i="2"/>
  <c r="J46" i="2"/>
  <c r="M46" i="2"/>
  <c r="C47" i="2"/>
  <c r="G47" i="2"/>
  <c r="J47" i="2"/>
  <c r="M47" i="2"/>
  <c r="H49" i="2"/>
  <c r="I49" i="2"/>
  <c r="J49" i="2" s="1"/>
  <c r="K49" i="2"/>
  <c r="L49" i="2"/>
  <c r="M49" i="2"/>
  <c r="H51" i="2"/>
  <c r="K51" i="2"/>
  <c r="L51" i="2"/>
  <c r="M51" i="2" s="1"/>
  <c r="D53" i="2"/>
  <c r="D54" i="2"/>
  <c r="E54" i="2"/>
  <c r="E55" i="2" s="1"/>
  <c r="G54" i="2"/>
  <c r="C55" i="2"/>
  <c r="D55" i="2"/>
  <c r="D56" i="2" s="1"/>
  <c r="D57" i="2" s="1"/>
  <c r="D58" i="2" s="1"/>
  <c r="D59" i="2" s="1"/>
  <c r="D60" i="2" s="1"/>
  <c r="G55" i="2"/>
  <c r="J55" i="2"/>
  <c r="M55" i="2"/>
  <c r="C56" i="2"/>
  <c r="G56" i="2"/>
  <c r="J56" i="2"/>
  <c r="M56" i="2"/>
  <c r="C57" i="2"/>
  <c r="G57" i="2"/>
  <c r="J57" i="2"/>
  <c r="M57" i="2"/>
  <c r="C58" i="2"/>
  <c r="G58" i="2"/>
  <c r="J58" i="2"/>
  <c r="M58" i="2"/>
  <c r="C59" i="2"/>
  <c r="G59" i="2"/>
  <c r="J59" i="2"/>
  <c r="M59" i="2"/>
  <c r="C60" i="2"/>
  <c r="G60" i="2"/>
  <c r="J60" i="2"/>
  <c r="M60" i="2"/>
  <c r="H62" i="2"/>
  <c r="I62" i="2"/>
  <c r="J62" i="2" s="1"/>
  <c r="K62" i="2"/>
  <c r="L62" i="2"/>
  <c r="M62" i="2"/>
  <c r="H64" i="2"/>
  <c r="K64" i="2"/>
  <c r="K114" i="2" s="1"/>
  <c r="L64" i="2"/>
  <c r="M64" i="2" s="1"/>
  <c r="G68" i="2"/>
  <c r="E68" i="2" s="1"/>
  <c r="E69" i="2" s="1"/>
  <c r="C69" i="2"/>
  <c r="D69" i="2"/>
  <c r="G69" i="2"/>
  <c r="J69" i="2"/>
  <c r="M69" i="2"/>
  <c r="C70" i="2"/>
  <c r="D70" i="2"/>
  <c r="D71" i="2" s="1"/>
  <c r="D72" i="2" s="1"/>
  <c r="D73" i="2" s="1"/>
  <c r="D74" i="2" s="1"/>
  <c r="D75" i="2" s="1"/>
  <c r="D76" i="2" s="1"/>
  <c r="D77" i="2" s="1"/>
  <c r="D78" i="2" s="1"/>
  <c r="D79" i="2" s="1"/>
  <c r="D80" i="2" s="1"/>
  <c r="D81" i="2" s="1"/>
  <c r="D82" i="2" s="1"/>
  <c r="G70" i="2"/>
  <c r="J70" i="2"/>
  <c r="M70" i="2"/>
  <c r="C71" i="2"/>
  <c r="G71" i="2"/>
  <c r="J71" i="2"/>
  <c r="M71" i="2"/>
  <c r="C72" i="2"/>
  <c r="G72" i="2"/>
  <c r="J72" i="2"/>
  <c r="M72" i="2"/>
  <c r="C73" i="2"/>
  <c r="G73" i="2"/>
  <c r="J73" i="2"/>
  <c r="M73" i="2"/>
  <c r="C74" i="2"/>
  <c r="G74" i="2"/>
  <c r="J74" i="2"/>
  <c r="M74" i="2"/>
  <c r="C75" i="2"/>
  <c r="G75" i="2"/>
  <c r="J75" i="2"/>
  <c r="M75" i="2"/>
  <c r="C76" i="2"/>
  <c r="G76" i="2"/>
  <c r="J76" i="2"/>
  <c r="M76" i="2"/>
  <c r="C77" i="2"/>
  <c r="G77" i="2"/>
  <c r="J77" i="2"/>
  <c r="M77" i="2"/>
  <c r="C78" i="2"/>
  <c r="G78" i="2"/>
  <c r="J78" i="2"/>
  <c r="M78" i="2"/>
  <c r="C79" i="2"/>
  <c r="G79" i="2"/>
  <c r="J79" i="2"/>
  <c r="M79" i="2"/>
  <c r="C80" i="2"/>
  <c r="G80" i="2"/>
  <c r="J80" i="2"/>
  <c r="M80" i="2"/>
  <c r="C81" i="2"/>
  <c r="G81" i="2"/>
  <c r="J81" i="2"/>
  <c r="M81" i="2"/>
  <c r="C82" i="2"/>
  <c r="G82" i="2"/>
  <c r="J82" i="2"/>
  <c r="M82" i="2"/>
  <c r="D83" i="2"/>
  <c r="H84" i="2"/>
  <c r="H112" i="2" s="1"/>
  <c r="H114" i="2" s="1"/>
  <c r="H142" i="2" s="1"/>
  <c r="I84" i="2"/>
  <c r="J84" i="2"/>
  <c r="K84" i="2"/>
  <c r="L84" i="2"/>
  <c r="L112" i="2" s="1"/>
  <c r="G86" i="2"/>
  <c r="E86" i="2" s="1"/>
  <c r="E87" i="2" s="1"/>
  <c r="E88" i="2" s="1"/>
  <c r="E89" i="2" s="1"/>
  <c r="G89" i="2" s="1"/>
  <c r="C87" i="2"/>
  <c r="D87" i="2"/>
  <c r="G87" i="2"/>
  <c r="J87" i="2"/>
  <c r="M87" i="2"/>
  <c r="D88" i="2"/>
  <c r="H89" i="2"/>
  <c r="I89" i="2"/>
  <c r="I112" i="2" s="1"/>
  <c r="K89" i="2"/>
  <c r="L89" i="2"/>
  <c r="M89" i="2"/>
  <c r="E91" i="2"/>
  <c r="E92" i="2" s="1"/>
  <c r="G91" i="2"/>
  <c r="C92" i="2"/>
  <c r="D92" i="2"/>
  <c r="D93" i="2" s="1"/>
  <c r="D94" i="2" s="1"/>
  <c r="G92" i="2"/>
  <c r="J92" i="2"/>
  <c r="M92" i="2"/>
  <c r="C93" i="2"/>
  <c r="G93" i="2"/>
  <c r="J93" i="2"/>
  <c r="M93" i="2"/>
  <c r="C94" i="2"/>
  <c r="G94" i="2"/>
  <c r="J94" i="2"/>
  <c r="M94" i="2"/>
  <c r="H96" i="2"/>
  <c r="I96" i="2"/>
  <c r="J96" i="2"/>
  <c r="K96" i="2"/>
  <c r="L96" i="2"/>
  <c r="M96" i="2" s="1"/>
  <c r="G98" i="2"/>
  <c r="E98" i="2" s="1"/>
  <c r="E99" i="2" s="1"/>
  <c r="C99" i="2"/>
  <c r="D99" i="2"/>
  <c r="G99" i="2"/>
  <c r="J99" i="2"/>
  <c r="M99" i="2"/>
  <c r="C100" i="2"/>
  <c r="D100" i="2"/>
  <c r="D101" i="2" s="1"/>
  <c r="D102" i="2" s="1"/>
  <c r="G100" i="2"/>
  <c r="J100" i="2"/>
  <c r="M100" i="2"/>
  <c r="C101" i="2"/>
  <c r="G101" i="2"/>
  <c r="J101" i="2"/>
  <c r="M101" i="2"/>
  <c r="C102" i="2"/>
  <c r="G102" i="2"/>
  <c r="J102" i="2"/>
  <c r="M102" i="2"/>
  <c r="D103" i="2"/>
  <c r="H104" i="2"/>
  <c r="I104" i="2"/>
  <c r="J104" i="2"/>
  <c r="K104" i="2"/>
  <c r="L104" i="2"/>
  <c r="M104" i="2" s="1"/>
  <c r="D107" i="2"/>
  <c r="D108" i="2" s="1"/>
  <c r="D109" i="2" s="1"/>
  <c r="E107" i="2"/>
  <c r="E108" i="2" s="1"/>
  <c r="E109" i="2" s="1"/>
  <c r="E110" i="2" s="1"/>
  <c r="G110" i="2" s="1"/>
  <c r="G107" i="2"/>
  <c r="C108" i="2"/>
  <c r="G108" i="2"/>
  <c r="J108" i="2"/>
  <c r="M108" i="2"/>
  <c r="H110" i="2"/>
  <c r="I110" i="2"/>
  <c r="J110" i="2" s="1"/>
  <c r="K110" i="2"/>
  <c r="L110" i="2"/>
  <c r="M110" i="2" s="1"/>
  <c r="K112" i="2"/>
  <c r="D116" i="2"/>
  <c r="D117" i="2"/>
  <c r="D118" i="2" s="1"/>
  <c r="D119" i="2" s="1"/>
  <c r="E117" i="2"/>
  <c r="E118" i="2" s="1"/>
  <c r="E119" i="2" s="1"/>
  <c r="E120" i="2" s="1"/>
  <c r="G120" i="2" s="1"/>
  <c r="G117" i="2"/>
  <c r="G118" i="2"/>
  <c r="H118" i="2"/>
  <c r="H120" i="2" s="1"/>
  <c r="I118" i="2"/>
  <c r="J118" i="2"/>
  <c r="K118" i="2"/>
  <c r="K120" i="2" s="1"/>
  <c r="L118" i="2"/>
  <c r="M118" i="2" s="1"/>
  <c r="I120" i="2"/>
  <c r="J120" i="2" s="1"/>
  <c r="D122" i="2"/>
  <c r="D123" i="2" s="1"/>
  <c r="D124" i="2" s="1"/>
  <c r="G123" i="2"/>
  <c r="E123" i="2" s="1"/>
  <c r="E124" i="2" s="1"/>
  <c r="C124" i="2"/>
  <c r="G124" i="2"/>
  <c r="J124" i="2"/>
  <c r="M124" i="2"/>
  <c r="C125" i="2"/>
  <c r="G125" i="2"/>
  <c r="J125" i="2"/>
  <c r="M125" i="2"/>
  <c r="C126" i="2"/>
  <c r="G126" i="2"/>
  <c r="J126" i="2"/>
  <c r="M126" i="2"/>
  <c r="C127" i="2"/>
  <c r="G127" i="2"/>
  <c r="J127" i="2"/>
  <c r="M127" i="2"/>
  <c r="C128" i="2"/>
  <c r="G128" i="2"/>
  <c r="J128" i="2"/>
  <c r="M128" i="2"/>
  <c r="H130" i="2"/>
  <c r="I130" i="2"/>
  <c r="I140" i="2" s="1"/>
  <c r="J140" i="2" s="1"/>
  <c r="J130" i="2"/>
  <c r="K130" i="2"/>
  <c r="L130" i="2"/>
  <c r="M130" i="2"/>
  <c r="D132" i="2"/>
  <c r="D133" i="2" s="1"/>
  <c r="D134" i="2" s="1"/>
  <c r="G133" i="2"/>
  <c r="E133" i="2" s="1"/>
  <c r="E134" i="2" s="1"/>
  <c r="C134" i="2"/>
  <c r="G134" i="2"/>
  <c r="J134" i="2"/>
  <c r="M134" i="2"/>
  <c r="C135" i="2"/>
  <c r="G135" i="2"/>
  <c r="J135" i="2"/>
  <c r="B135" i="2" s="1"/>
  <c r="M135" i="2"/>
  <c r="C136" i="2"/>
  <c r="G136" i="2"/>
  <c r="J136" i="2"/>
  <c r="M136" i="2"/>
  <c r="H138" i="2"/>
  <c r="I138" i="2"/>
  <c r="J138" i="2"/>
  <c r="K138" i="2"/>
  <c r="L138" i="2"/>
  <c r="M138" i="2"/>
  <c r="H140" i="2"/>
  <c r="K140" i="2"/>
  <c r="L140" i="2"/>
  <c r="M140" i="2" s="1"/>
  <c r="D144" i="2"/>
  <c r="D145" i="2" s="1"/>
  <c r="D146" i="2" s="1"/>
  <c r="G145" i="2"/>
  <c r="E145" i="2" s="1"/>
  <c r="E146" i="2" s="1"/>
  <c r="G146" i="2"/>
  <c r="H146" i="2"/>
  <c r="I146" i="2"/>
  <c r="J146" i="2" s="1"/>
  <c r="K146" i="2"/>
  <c r="L146" i="2"/>
  <c r="M146" i="2"/>
  <c r="F4" i="1"/>
  <c r="F5" i="1"/>
  <c r="F6" i="1"/>
  <c r="F7" i="1"/>
  <c r="F8" i="1"/>
  <c r="F9" i="1"/>
  <c r="F17" i="1"/>
  <c r="P135" i="2"/>
  <c r="P136" i="2" s="1"/>
  <c r="B70" i="2"/>
  <c r="P99" i="2"/>
  <c r="P100" i="2" s="1"/>
  <c r="P101" i="2" s="1"/>
  <c r="P102" i="2" s="1"/>
  <c r="P92" i="2"/>
  <c r="P93" i="2" s="1"/>
  <c r="P94" i="2" s="1"/>
  <c r="P87" i="2"/>
  <c r="P146" i="2"/>
  <c r="P134" i="2"/>
  <c r="P124" i="2"/>
  <c r="P125" i="2" s="1"/>
  <c r="P126" i="2" s="1"/>
  <c r="P127" i="2" s="1"/>
  <c r="P128" i="2" s="1"/>
  <c r="P118" i="2"/>
  <c r="P108" i="2"/>
  <c r="P69" i="2"/>
  <c r="P70" i="2" s="1"/>
  <c r="P71" i="2" s="1"/>
  <c r="P72" i="2" s="1"/>
  <c r="P73" i="2" s="1"/>
  <c r="P74" i="2" s="1"/>
  <c r="P75" i="2" s="1"/>
  <c r="P76" i="2" s="1"/>
  <c r="P77" i="2" s="1"/>
  <c r="P78" i="2" s="1"/>
  <c r="P79" i="2" s="1"/>
  <c r="P80" i="2" s="1"/>
  <c r="P81" i="2" s="1"/>
  <c r="P82" i="2" s="1"/>
  <c r="P55" i="2"/>
  <c r="P56" i="2" s="1"/>
  <c r="P57" i="2" s="1"/>
  <c r="P58" i="2" s="1"/>
  <c r="P59" i="2" s="1"/>
  <c r="P60" i="2" s="1"/>
  <c r="P45" i="2"/>
  <c r="P46" i="2" s="1"/>
  <c r="P47" i="2" s="1"/>
  <c r="P22" i="2"/>
  <c r="P23" i="2" s="1"/>
  <c r="P24" i="2" s="1"/>
  <c r="P25" i="2" s="1"/>
  <c r="P26" i="2" s="1"/>
  <c r="P27" i="2" s="1"/>
  <c r="P28" i="2" s="1"/>
  <c r="P29" i="2" s="1"/>
  <c r="P30" i="2" s="1"/>
  <c r="P31" i="2" s="1"/>
  <c r="P32" i="2" s="1"/>
  <c r="P33" i="2" s="1"/>
  <c r="P34" i="2" s="1"/>
  <c r="P35" i="2" s="1"/>
  <c r="P36" i="2" s="1"/>
  <c r="P37" i="2" s="1"/>
  <c r="P38" i="2" s="1"/>
  <c r="P39" i="2" s="1"/>
  <c r="E4" i="1"/>
  <c r="E5" i="1"/>
  <c r="E6" i="1"/>
  <c r="E7" i="1"/>
  <c r="G7" i="1" s="1"/>
  <c r="D7" i="1"/>
  <c r="D8" i="1"/>
  <c r="G8" i="1"/>
  <c r="D9" i="1"/>
  <c r="G9" i="1"/>
  <c r="D10" i="1"/>
  <c r="G10" i="1"/>
  <c r="D11" i="1"/>
  <c r="G11" i="1"/>
  <c r="D12" i="1"/>
  <c r="G12" i="1"/>
  <c r="D13" i="1"/>
  <c r="G13" i="1"/>
  <c r="D14" i="1"/>
  <c r="G14" i="1"/>
  <c r="D15" i="1"/>
  <c r="G15" i="1"/>
  <c r="D16" i="1"/>
  <c r="G16" i="1"/>
  <c r="J112" i="2" l="1"/>
  <c r="I64" i="2"/>
  <c r="J51" i="2"/>
  <c r="M112" i="2"/>
  <c r="L114" i="2"/>
  <c r="E70" i="2"/>
  <c r="E71" i="2" s="1"/>
  <c r="E72" i="2" s="1"/>
  <c r="E73" i="2" s="1"/>
  <c r="E74" i="2" s="1"/>
  <c r="E75" i="2" s="1"/>
  <c r="E76" i="2" s="1"/>
  <c r="E77" i="2" s="1"/>
  <c r="E78" i="2" s="1"/>
  <c r="E79" i="2" s="1"/>
  <c r="E80" i="2" s="1"/>
  <c r="E81" i="2" s="1"/>
  <c r="E82" i="2" s="1"/>
  <c r="E83" i="2"/>
  <c r="E84" i="2" s="1"/>
  <c r="G84" i="2" s="1"/>
  <c r="E129" i="2"/>
  <c r="E130" i="2" s="1"/>
  <c r="G130" i="2" s="1"/>
  <c r="E125" i="2"/>
  <c r="E126" i="2" s="1"/>
  <c r="E127" i="2" s="1"/>
  <c r="E128" i="2" s="1"/>
  <c r="D129" i="2"/>
  <c r="D125" i="2"/>
  <c r="D126" i="2" s="1"/>
  <c r="D127" i="2" s="1"/>
  <c r="D128" i="2" s="1"/>
  <c r="E100" i="2"/>
  <c r="E101" i="2" s="1"/>
  <c r="E102" i="2" s="1"/>
  <c r="E103" i="2"/>
  <c r="E104" i="2" s="1"/>
  <c r="G104" i="2" s="1"/>
  <c r="E40" i="2"/>
  <c r="E41" i="2" s="1"/>
  <c r="G41" i="2" s="1"/>
  <c r="E23" i="2"/>
  <c r="E24" i="2" s="1"/>
  <c r="E25" i="2" s="1"/>
  <c r="E26" i="2" s="1"/>
  <c r="E27" i="2" s="1"/>
  <c r="E28" i="2" s="1"/>
  <c r="E29" i="2" s="1"/>
  <c r="E30" i="2" s="1"/>
  <c r="E31" i="2" s="1"/>
  <c r="E32" i="2" s="1"/>
  <c r="E33" i="2" s="1"/>
  <c r="E34" i="2" s="1"/>
  <c r="E35" i="2" s="1"/>
  <c r="E36" i="2" s="1"/>
  <c r="E37" i="2" s="1"/>
  <c r="E38" i="2" s="1"/>
  <c r="E39" i="2" s="1"/>
  <c r="E135" i="2"/>
  <c r="E136" i="2" s="1"/>
  <c r="E137" i="2"/>
  <c r="E138" i="2" s="1"/>
  <c r="G138" i="2" s="1"/>
  <c r="K142" i="2"/>
  <c r="E48" i="2"/>
  <c r="E49" i="2" s="1"/>
  <c r="G49" i="2" s="1"/>
  <c r="E46" i="2"/>
  <c r="E47" i="2" s="1"/>
  <c r="D135" i="2"/>
  <c r="D136" i="2" s="1"/>
  <c r="D137" i="2"/>
  <c r="E93" i="2"/>
  <c r="E94" i="2" s="1"/>
  <c r="E95" i="2"/>
  <c r="E96" i="2" s="1"/>
  <c r="G96" i="2" s="1"/>
  <c r="E61" i="2"/>
  <c r="E62" i="2" s="1"/>
  <c r="G62" i="2" s="1"/>
  <c r="E56" i="2"/>
  <c r="E57" i="2" s="1"/>
  <c r="E58" i="2" s="1"/>
  <c r="E59" i="2" s="1"/>
  <c r="E60" i="2" s="1"/>
  <c r="D48" i="2"/>
  <c r="D46" i="2"/>
  <c r="D47" i="2" s="1"/>
  <c r="L120" i="2"/>
  <c r="M120" i="2" s="1"/>
  <c r="D61" i="2"/>
  <c r="M84" i="2"/>
  <c r="D95" i="2"/>
  <c r="J89" i="2"/>
  <c r="J41" i="2"/>
  <c r="B125" i="2"/>
  <c r="B100" i="2"/>
  <c r="B93" i="2"/>
  <c r="B56" i="2"/>
  <c r="B46" i="2"/>
  <c r="B124" i="2"/>
  <c r="D147" i="2"/>
  <c r="E147" i="2"/>
  <c r="E148" i="2" s="1"/>
  <c r="G148" i="2" s="1"/>
  <c r="M114" i="2" l="1"/>
  <c r="L142" i="2"/>
  <c r="M142" i="2" s="1"/>
  <c r="J64" i="2"/>
  <c r="I114" i="2"/>
  <c r="B136" i="2"/>
  <c r="B126" i="2"/>
  <c r="B127" i="2"/>
  <c r="B47" i="2"/>
  <c r="B71" i="2"/>
  <c r="B92" i="2"/>
  <c r="B99" i="2"/>
  <c r="B57" i="2"/>
  <c r="B23" i="2"/>
  <c r="B22" i="2"/>
  <c r="B118" i="2"/>
  <c r="B55" i="2"/>
  <c r="B108" i="2"/>
  <c r="B45" i="2"/>
  <c r="B134" i="2"/>
  <c r="I142" i="2" l="1"/>
  <c r="J142" i="2" s="1"/>
  <c r="J114" i="2"/>
  <c r="B87" i="2"/>
  <c r="B72" i="2"/>
  <c r="B73" i="2"/>
  <c r="B101" i="2"/>
  <c r="B94" i="2"/>
  <c r="B102" i="2"/>
  <c r="B58" i="2"/>
  <c r="B24" i="2"/>
  <c r="B128" i="2" l="1"/>
  <c r="B74" i="2"/>
  <c r="B59" i="2"/>
  <c r="B25" i="2"/>
  <c r="B69" i="2" l="1"/>
  <c r="B60" i="2"/>
  <c r="B26" i="2"/>
  <c r="B75" i="2" l="1"/>
  <c r="B27" i="2"/>
  <c r="E17" i="1"/>
  <c r="B76" i="2" l="1"/>
  <c r="B28" i="2"/>
  <c r="K148" i="2"/>
  <c r="H148" i="2"/>
  <c r="B77" i="2" l="1"/>
  <c r="B78" i="2"/>
  <c r="B29" i="2"/>
  <c r="L148" i="2"/>
  <c r="M148" i="2" s="1"/>
  <c r="I148" i="2"/>
  <c r="J148" i="2" s="1"/>
  <c r="B30" i="2" l="1"/>
  <c r="B79" i="2" l="1"/>
  <c r="B31" i="2"/>
  <c r="B32" i="2" l="1"/>
  <c r="B80" i="2"/>
  <c r="B81" i="2" l="1"/>
  <c r="B33" i="2"/>
  <c r="B82" i="2" l="1"/>
  <c r="B34" i="2"/>
  <c r="B35" i="2" l="1"/>
  <c r="B36" i="2" l="1"/>
  <c r="B37" i="2" l="1"/>
  <c r="B38" i="2" l="1"/>
  <c r="K150" i="2"/>
  <c r="H150" i="2" l="1"/>
  <c r="B39" i="2"/>
  <c r="I150" i="2" l="1"/>
  <c r="J150" i="2" s="1"/>
  <c r="L150" i="2"/>
  <c r="M150" i="2" s="1"/>
</calcChain>
</file>

<file path=xl/sharedStrings.xml><?xml version="1.0" encoding="utf-8"?>
<sst xmlns="http://schemas.openxmlformats.org/spreadsheetml/2006/main" count="2173" uniqueCount="1221">
  <si>
    <t>Hide</t>
  </si>
  <si>
    <t>Category</t>
  </si>
  <si>
    <t>Fit</t>
  </si>
  <si>
    <t>YTD</t>
  </si>
  <si>
    <t>Fiscal Year</t>
  </si>
  <si>
    <t>Option</t>
  </si>
  <si>
    <t>Title</t>
  </si>
  <si>
    <t>Value</t>
  </si>
  <si>
    <t>Lookup</t>
  </si>
  <si>
    <t>Income Statement</t>
  </si>
  <si>
    <t>Net Sales</t>
  </si>
  <si>
    <t>Gross Profit On Sales</t>
  </si>
  <si>
    <t>Operating Expenses</t>
  </si>
  <si>
    <t>34..40</t>
  </si>
  <si>
    <t>Total Operating Expenses</t>
  </si>
  <si>
    <t>Net Profit on Sales</t>
  </si>
  <si>
    <t>Total Other Income and Expenses</t>
  </si>
  <si>
    <t>Net Income Before Taxes</t>
  </si>
  <si>
    <t>Net Income</t>
  </si>
  <si>
    <t>Ending Period</t>
  </si>
  <si>
    <t>Starting Period</t>
  </si>
  <si>
    <t>Accounts</t>
  </si>
  <si>
    <t>% Variance</t>
  </si>
  <si>
    <t>*</t>
  </si>
  <si>
    <t>Valid</t>
  </si>
  <si>
    <t>Message</t>
  </si>
  <si>
    <t>This Segment is not in your DB</t>
  </si>
  <si>
    <t xml:space="preserve"> </t>
  </si>
  <si>
    <t>Run Date:</t>
  </si>
  <si>
    <t xml:space="preserve">Report Readme </t>
  </si>
  <si>
    <t>About the report</t>
  </si>
  <si>
    <t>Modifying your report</t>
  </si>
  <si>
    <t>Version of Jet</t>
  </si>
  <si>
    <t>Services</t>
  </si>
  <si>
    <t>Training</t>
  </si>
  <si>
    <t>Sales</t>
  </si>
  <si>
    <t>DISCLAIMER</t>
  </si>
  <si>
    <t>Copyrights</t>
  </si>
  <si>
    <t>=NL("Lookup","GL10110","YEAR1","Headers=","Fiscal Year")</t>
  </si>
  <si>
    <t>=NL("Lookup","GL10110","PERIODID","Headers=","Period")</t>
  </si>
  <si>
    <t>=NL("Lookup","GL10110","PERIODID","Headers=","Period","PERIODID","&gt;"&amp;StartPeriod)</t>
  </si>
  <si>
    <t>=NL(,"SY00300","SGMTNAME","SGMTNUMB",$C10)</t>
  </si>
  <si>
    <t>=IF(D10="","",NL("Lookup","GL40200",{"SGMNTID","DSCRIPTN"},"SGMTNUMB",$C10,"Headers=",{"Segment1","Description"}))</t>
  </si>
  <si>
    <t>=IF(AND(E10&lt;&gt;"",NL(,"SY00300","SGMTNAME","SGMTNUMB",$C10)=""),"FALSE","TRUE")</t>
  </si>
  <si>
    <t>=NL(,"SY00300","SGMTNAME","SGMTNUMB",$C11)</t>
  </si>
  <si>
    <t>=IF(D11="","",NL("Lookup","GL40200",{"SGMNTID","DSCRIPTN"},"SGMTNUMB",$C11,"Headers=",{"Segment1","Description"}))</t>
  </si>
  <si>
    <t>=IF(AND(E11&lt;&gt;"",NL(,"SY00300","SGMTNAME","SGMTNUMB",$C11)=""),"FALSE","TRUE")</t>
  </si>
  <si>
    <t>=NL(,"SY00300","SGMTNAME","SGMTNUMB",$C12)</t>
  </si>
  <si>
    <t>=IF(D12="","",NL("Lookup","GL40200",{"SGMNTID","DSCRIPTN"},"SGMTNUMB",$C12,"Headers=",{"Segment1","Description"}))</t>
  </si>
  <si>
    <t>=IF(AND(E12&lt;&gt;"",NL(,"SY00300","SGMTNAME","SGMTNUMB",$C12)=""),"FALSE","TRUE")</t>
  </si>
  <si>
    <t>=NL(,"SY00300","SGMTNAME","SGMTNUMB",$C13)</t>
  </si>
  <si>
    <t>=IF(D13="","",NL("Lookup","GL40200",{"SGMNTID","DSCRIPTN"},"SGMTNUMB",$C13,"Headers=",{"Segment1","Description"}))</t>
  </si>
  <si>
    <t>=IF(AND(E13&lt;&gt;"",NL(,"SY00300","SGMTNAME","SGMTNUMB",$C13)=""),"FALSE","TRUE")</t>
  </si>
  <si>
    <t>=NL(,"SY00300","SGMTNAME","SGMTNUMB",$C14)</t>
  </si>
  <si>
    <t>=IF(D14="","",NL("Lookup","GL40200",{"SGMNTID","DSCRIPTN"},"SGMTNUMB",$C14,"Headers=",{"Segment1","Description"}))</t>
  </si>
  <si>
    <t>=IF(AND(E14&lt;&gt;"",NL(,"SY00300","SGMTNAME","SGMTNUMB",$C14)=""),"FALSE","TRUE")</t>
  </si>
  <si>
    <t>=NL(,"SY00300","SGMTNAME","SGMTNUMB",$C15)</t>
  </si>
  <si>
    <t>=IF(D15="","",NL("Lookup","GL40200",{"SGMNTID","DSCRIPTN"},"SGMTNUMB",$C15,"Headers=",{"Segment1","Description"}))</t>
  </si>
  <si>
    <t>=IF(AND(E15&lt;&gt;"",NL(,"SY00300","SGMTNAME","SGMTNUMB",$C15)=""),"FALSE","TRUE")</t>
  </si>
  <si>
    <t>=NL(,"SY00300","SGMTNAME","SGMTNUMB",$C16)</t>
  </si>
  <si>
    <t>=IF(D16="","",NL("Lookup","GL40200",{"SGMNTID","DSCRIPTN"},"SGMTNUMB",$C16,"Headers=",{"Segment1","Description"}))</t>
  </si>
  <si>
    <t>=IF(AND(E16&lt;&gt;"",NL(,"SY00300","SGMTNAME","SGMTNUMB",$C16)=""),"FALSE","TRUE")</t>
  </si>
  <si>
    <t>=NP("Eval","=FiscalYear")</t>
  </si>
  <si>
    <t>=NP("Eval","=EndPeriod")</t>
  </si>
  <si>
    <t>=NP("Eval","=StartPeriod")</t>
  </si>
  <si>
    <t>=IF(NP("Eval","=Seg1Filter")=0,"",NP("Eval","=Seg1Filter"))</t>
  </si>
  <si>
    <t>=IF(NP("Eval","=Seg2Filter")=0,"",NP("Eval","=Seg2Filter"))</t>
  </si>
  <si>
    <t>=IF(NP("Eval","=Seg3Filter")=0,"",NP("Eval","=Seg3Filter"))</t>
  </si>
  <si>
    <t>=IF(NP("Eval","=Seg4Filter")=0,"",NP("Eval","=Seg4Filter"))</t>
  </si>
  <si>
    <t>=IF(NP("Eval","=Seg5Filter")=0,"",NP("Eval","=Seg5Filter"))</t>
  </si>
  <si>
    <t>=IF(NP("Eval","=Seg6Filter")=0,"",NP("Eval","=Seg6Filter"))</t>
  </si>
  <si>
    <t>=IF(NP("Eval","=Seg7Filter")=0,"",NP("Eval","=Seg7Filter"))</t>
  </si>
  <si>
    <t>=IF(NP("Eval","=Seg8Filter")=0,"",NP("Eval","=Seg8Filter"))</t>
  </si>
  <si>
    <t>=IF(NP("Eval","=Seg9Filter")=0,"",NP("Eval","=Seg9Filter"))</t>
  </si>
  <si>
    <t>=IF(NP("Eval","=Seg10Filter")=0,"",NP("Eval","=Seg10Filter"))</t>
  </si>
  <si>
    <t>=NP("Eval","Today()")</t>
  </si>
  <si>
    <t>=D20</t>
  </si>
  <si>
    <t>=D21</t>
  </si>
  <si>
    <t>=D22</t>
  </si>
  <si>
    <t>=D23</t>
  </si>
  <si>
    <t>=SUBTOTAL(9,H22:H23)</t>
  </si>
  <si>
    <t>=SUBTOTAL(9,K22:K23)</t>
  </si>
  <si>
    <t>=D26</t>
  </si>
  <si>
    <t>=D27</t>
  </si>
  <si>
    <t>=D28</t>
  </si>
  <si>
    <t>=D29</t>
  </si>
  <si>
    <t>=SUBTOTAL(9,H28:H29)</t>
  </si>
  <si>
    <t>=SUBTOTAL(9,K28:K29)</t>
  </si>
  <si>
    <t>=CurrentGrossSales-CurrentDiscounts</t>
  </si>
  <si>
    <t>=LYPGrossSales-LYPRtns</t>
  </si>
  <si>
    <t>=GrossSales-RtnsDiscounts</t>
  </si>
  <si>
    <t>=LYTDGrossSales-LYTDRtns</t>
  </si>
  <si>
    <t>=D34</t>
  </si>
  <si>
    <t>=D35</t>
  </si>
  <si>
    <t>=D36</t>
  </si>
  <si>
    <t>=D37</t>
  </si>
  <si>
    <t>=SUBTOTAL(9,H36:H37)</t>
  </si>
  <si>
    <t>=SUBTOTAL(9,K36:K37)</t>
  </si>
  <si>
    <t>=CurrentNetSales-CurrentCOGS</t>
  </si>
  <si>
    <t>=LYPNetSales-LYPCOGS</t>
  </si>
  <si>
    <t>=NetSales-COGS</t>
  </si>
  <si>
    <t>=LYTDNetSales-LYTDCOGS</t>
  </si>
  <si>
    <t>=D44</t>
  </si>
  <si>
    <t>=D45</t>
  </si>
  <si>
    <t>=D46</t>
  </si>
  <si>
    <t>=SUBTOTAL(9,H45:H46)</t>
  </si>
  <si>
    <t>=SUBTOTAL(9,K45:K46)</t>
  </si>
  <si>
    <t>=D50</t>
  </si>
  <si>
    <t>=D51</t>
  </si>
  <si>
    <t>=SUBTOTAL(9,H51:H52)</t>
  </si>
  <si>
    <t>=SUBTOTAL(9,K51:K52)</t>
  </si>
  <si>
    <t>=SUBTOTAL(9,H44:H54)</t>
  </si>
  <si>
    <t>=SUBTOTAL(9,K44:K54)</t>
  </si>
  <si>
    <t>=CurrentGrossProfit-CurrentOpExp</t>
  </si>
  <si>
    <t>=LYPGrossProfit-LYPOpExpenses</t>
  </si>
  <si>
    <t>=GrossProfit-OperatingExpenses</t>
  </si>
  <si>
    <t>=LYTDGrossProfit-LYTDOpExpenses</t>
  </si>
  <si>
    <t>=D59</t>
  </si>
  <si>
    <t>=D60</t>
  </si>
  <si>
    <t>=D61</t>
  </si>
  <si>
    <t>=SUBTOTAL(9,H61:H62)</t>
  </si>
  <si>
    <t>=SUBTOTAL(9,K61:K62)</t>
  </si>
  <si>
    <t>=D65</t>
  </si>
  <si>
    <t>=D66</t>
  </si>
  <si>
    <t>=D67</t>
  </si>
  <si>
    <t>=SUBTOTAL(9,H67:H68)</t>
  </si>
  <si>
    <t>=SUBTOTAL(9,K67:K68)</t>
  </si>
  <si>
    <t>=D71</t>
  </si>
  <si>
    <t>=D72</t>
  </si>
  <si>
    <t>=D73</t>
  </si>
  <si>
    <t>=SUBTOTAL(9,H73:H74)</t>
  </si>
  <si>
    <t>=SUBTOTAL(9,K73:K74)</t>
  </si>
  <si>
    <t>=SUBTOTAL(9,H66:H76)</t>
  </si>
  <si>
    <t>=SUBTOTAL(9,K66:K76)</t>
  </si>
  <si>
    <t>=CurrentNetProfit+CurrentAssetDisposal+CurrentOtherIncomeAndExp</t>
  </si>
  <si>
    <t>=LYPNetProfit+LYPOtherIncomeAndExp+LYPAssetDisposal</t>
  </si>
  <si>
    <t>=NetProfit+OtherIncomeAndExp+AssetDisposal</t>
  </si>
  <si>
    <t>=LYTDNetProfit+LYTDOtherIncomeAndExp+LYTDAssetDisposal</t>
  </si>
  <si>
    <t>=D81</t>
  </si>
  <si>
    <t>=D82</t>
  </si>
  <si>
    <t>=D83</t>
  </si>
  <si>
    <t>=SUBTOTAL(9,H83:H84)</t>
  </si>
  <si>
    <t>=SUBTOTAL(9,K83:K84)</t>
  </si>
  <si>
    <t>=CurrentBeforeTax-CurrentTaxExp</t>
  </si>
  <si>
    <t>=LYPBeforeTaxes-LYPTaxExpense</t>
  </si>
  <si>
    <t>=BeforeTax-TaxExpense</t>
  </si>
  <si>
    <t>=LYTDBeforeTax-LYTDTaxExpense</t>
  </si>
  <si>
    <t>Auto</t>
  </si>
  <si>
    <t>Hide+Auto</t>
  </si>
  <si>
    <t>=D24</t>
  </si>
  <si>
    <t>=D30</t>
  </si>
  <si>
    <t>=D31</t>
  </si>
  <si>
    <t>=D32</t>
  </si>
  <si>
    <t>=D38</t>
  </si>
  <si>
    <t>=D54</t>
  </si>
  <si>
    <t>=D56</t>
  </si>
  <si>
    <t>Report Options</t>
  </si>
  <si>
    <t>1</t>
  </si>
  <si>
    <t>3</t>
  </si>
  <si>
    <t>=NL(,"SY00300","SGMTNAME","SGMTNUMB",$C7)</t>
  </si>
  <si>
    <t>=IF(D7="","",NL("Lookup","GL40200",{"SGMNTID","DSCRIPTN"},"SGMTNUMB",$C7,"Headers=",{"Segment1","Description"}))</t>
  </si>
  <si>
    <t>=IF(AND(E7&lt;&gt;"",NL(,"SY00300","SGMTNAME","SGMTNUMB",$C7)=""),"FALSE","TRUE")</t>
  </si>
  <si>
    <t>2</t>
  </si>
  <si>
    <t>=NL(,"SY00300","SGMTNAME","SGMTNUMB",$C8)</t>
  </si>
  <si>
    <t>=IF(D8="","",NL("Lookup","GL40200",{"SGMNTID","DSCRIPTN"},"SGMTNUMB",$C8,"Headers=",{"Segment1","Description"}))</t>
  </si>
  <si>
    <t>=IF(AND(E8&lt;&gt;"",NL(,"SY00300","SGMTNAME","SGMTNUMB",$C8)=""),"FALSE","TRUE")</t>
  </si>
  <si>
    <t>=NL(,"SY00300","SGMTNAME","SGMTNUMB",$C9)</t>
  </si>
  <si>
    <t>=IF(D9="","",NL("Lookup","GL40200",{"SGMNTID","DSCRIPTN"},"SGMTNUMB",$C9,"Headers=",{"Segment1","Description"}))</t>
  </si>
  <si>
    <t>=IF(AND(E9&lt;&gt;"",NL(,"SY00300","SGMTNAME","SGMTNUMB",$C9)=""),"FALSE","TRUE")</t>
  </si>
  <si>
    <t>4</t>
  </si>
  <si>
    <t>5</t>
  </si>
  <si>
    <t>6</t>
  </si>
  <si>
    <t>7</t>
  </si>
  <si>
    <t>8</t>
  </si>
  <si>
    <t>9</t>
  </si>
  <si>
    <t>10</t>
  </si>
  <si>
    <t>31</t>
  </si>
  <si>
    <t>32</t>
  </si>
  <si>
    <t>33</t>
  </si>
  <si>
    <t>47</t>
  </si>
  <si>
    <t>46</t>
  </si>
  <si>
    <t>43</t>
  </si>
  <si>
    <t>42</t>
  </si>
  <si>
    <t>41</t>
  </si>
  <si>
    <t>="000-4110-02"</t>
  </si>
  <si>
    <t>="000-4111-01"</t>
  </si>
  <si>
    <t>="000-4112-01"</t>
  </si>
  <si>
    <t>="000-4112-02"</t>
  </si>
  <si>
    <t>=D25</t>
  </si>
  <si>
    <t>="000-4115-01"</t>
  </si>
  <si>
    <t>="000-4115-02"</t>
  </si>
  <si>
    <t>="000-4116-01"</t>
  </si>
  <si>
    <t>="000-4117-01"</t>
  </si>
  <si>
    <t>="000-4117-02"</t>
  </si>
  <si>
    <t>="000-4120-00"</t>
  </si>
  <si>
    <t>="000-4122-00"</t>
  </si>
  <si>
    <t>=D33</t>
  </si>
  <si>
    <t>="000-4130-00"</t>
  </si>
  <si>
    <t>="000-4132-00"</t>
  </si>
  <si>
    <t>="000-4140-00"</t>
  </si>
  <si>
    <t>="000-4141-00"</t>
  </si>
  <si>
    <t>="000-4142-00"</t>
  </si>
  <si>
    <t>="000-4183-00"</t>
  </si>
  <si>
    <t>="000-4190-00"</t>
  </si>
  <si>
    <t>="000-4510-02"</t>
  </si>
  <si>
    <t>=D55</t>
  </si>
  <si>
    <t>="000-4600-00"</t>
  </si>
  <si>
    <t>="000-4700-00"</t>
  </si>
  <si>
    <t>=D57</t>
  </si>
  <si>
    <t>="000-4710-00"</t>
  </si>
  <si>
    <t>=D58</t>
  </si>
  <si>
    <t>="000-4720-00"</t>
  </si>
  <si>
    <t>="000-6410-00"</t>
  </si>
  <si>
    <t>="000-6420-00"</t>
  </si>
  <si>
    <t>="000-6430-00"</t>
  </si>
  <si>
    <t>="000-6600-00"</t>
  </si>
  <si>
    <t>="000-6610-00"</t>
  </si>
  <si>
    <t>="000-6620-00"</t>
  </si>
  <si>
    <t>="000-6700-00"</t>
  </si>
  <si>
    <t>="000-6710-00"</t>
  </si>
  <si>
    <t>="000-6730-00"</t>
  </si>
  <si>
    <t>="000-6750-00"</t>
  </si>
  <si>
    <t>="000-6760-00"</t>
  </si>
  <si>
    <t>="000-6770-00"</t>
  </si>
  <si>
    <t>="000-6790-00"</t>
  </si>
  <si>
    <t>=D108</t>
  </si>
  <si>
    <t>=D117</t>
  </si>
  <si>
    <t>=D118</t>
  </si>
  <si>
    <t>=D123</t>
  </si>
  <si>
    <t>=D124</t>
  </si>
  <si>
    <t>=D125</t>
  </si>
  <si>
    <t>=D126</t>
  </si>
  <si>
    <t>=D127</t>
  </si>
  <si>
    <t>=D133</t>
  </si>
  <si>
    <t>=D134</t>
  </si>
  <si>
    <t>=D135</t>
  </si>
  <si>
    <t>36</t>
  </si>
  <si>
    <t>39</t>
  </si>
  <si>
    <t>="000-6640-00"</t>
  </si>
  <si>
    <t>="000-6650-00"</t>
  </si>
  <si>
    <t>40</t>
  </si>
  <si>
    <t>="000-6210-00"</t>
  </si>
  <si>
    <t>="000-6220-00"</t>
  </si>
  <si>
    <t>="000-6230-00"</t>
  </si>
  <si>
    <t>="000-7020-00"</t>
  </si>
  <si>
    <t>="000-7040-00"</t>
  </si>
  <si>
    <t>="000-7401-00"</t>
  </si>
  <si>
    <t>="000-7402-00"</t>
  </si>
  <si>
    <t>="000-8020-00"</t>
  </si>
  <si>
    <t>="3"</t>
  </si>
  <si>
    <t>="6"</t>
  </si>
  <si>
    <t>fit</t>
  </si>
  <si>
    <t>.</t>
  </si>
  <si>
    <t>="Period "&amp;StartPeriod&amp;" to "&amp;EndPeriod</t>
  </si>
  <si>
    <t>="2017"</t>
  </si>
  <si>
    <t>="000"</t>
  </si>
  <si>
    <t>="000-4110-01"</t>
  </si>
  <si>
    <t>=D49</t>
  </si>
  <si>
    <t>="000-6780-00"</t>
  </si>
  <si>
    <t>=D145</t>
  </si>
  <si>
    <t>=D146</t>
  </si>
  <si>
    <t>Segment 1</t>
  </si>
  <si>
    <t>Segment 2</t>
  </si>
  <si>
    <t>Segment 3</t>
  </si>
  <si>
    <t>Hide empty rows</t>
  </si>
  <si>
    <t>Hide+?</t>
  </si>
  <si>
    <t>="Yes"</t>
  </si>
  <si>
    <t>=NL("Lookup",{"Yes";"No"},{"Do you want to hide all empty rows in this report?"})</t>
  </si>
  <si>
    <t>="Fiscal Year "&amp;$E$4</t>
  </si>
  <si>
    <t>="As of Period "&amp;$E$5</t>
  </si>
  <si>
    <t>=E7</t>
  </si>
  <si>
    <t>=E8</t>
  </si>
  <si>
    <t>=E9</t>
  </si>
  <si>
    <t>=E4</t>
  </si>
  <si>
    <t>=H19-1</t>
  </si>
  <si>
    <t>=K19-1</t>
  </si>
  <si>
    <t>=E20</t>
  </si>
  <si>
    <t>="Period "&amp;$E$6&amp;" to "&amp;$E$5</t>
  </si>
  <si>
    <t>=G21</t>
  </si>
  <si>
    <t>="  "&amp;GL(,"CatName",$D21)</t>
  </si>
  <si>
    <t>=IF(AND(MAX(H22:M22)=0,MIN(H22:M22)=0,HideEmptyRows="Yes"),"Hide","Show")</t>
  </si>
  <si>
    <t>=GL("Rows","Accounts",,,$E$4,$D22,$E$7,$E$8,$E$9,$E$10,$E$11,$E$12,$E$13,$E$14,$E$15,$E$16)</t>
  </si>
  <si>
    <t>=E21</t>
  </si>
  <si>
    <t>=IF(C22="","","    "&amp;GL(,"Name",C22))</t>
  </si>
  <si>
    <t>=IF($C22="",0,-GL(,"Balance",$C22,$E$4&amp;"/"&amp;$E$6,$E$4&amp;"/"&amp;$E$5,$D22))</t>
  </si>
  <si>
    <t>=IF($C22="",0,-GL(,"Balance",$C22,$E$4-1&amp;"/"&amp;$E$6,$E$4-1&amp;"/"&amp;$E$5,$D22))</t>
  </si>
  <si>
    <t>=IF(I22=0,0,(H22-I22)/I22)</t>
  </si>
  <si>
    <t>=IF($C22="",0,-GL(,"Balance",$C22,,$E$4&amp;"/"&amp;$E$5,$D22))</t>
  </si>
  <si>
    <t>=IF($C22="",0,-GL(,"Balance",$C22,,$E$4-1&amp;"/"&amp;$E$5,$D22))</t>
  </si>
  <si>
    <t>=IF(L22=0,0,(K22-L22)/L22)</t>
  </si>
  <si>
    <t>=P21+1</t>
  </si>
  <si>
    <t>=E22</t>
  </si>
  <si>
    <t>=E23</t>
  </si>
  <si>
    <t>="Gross"&amp;E24</t>
  </si>
  <si>
    <t>=SUBTOTAL(9,I22:I23)</t>
  </si>
  <si>
    <t>=IF(I24=0,0,(H24-I24)/I24)</t>
  </si>
  <si>
    <t>=SUBTOTAL(9,L22:L23)</t>
  </si>
  <si>
    <t>=IF(L24=0,0,(K24-L24)/L24)</t>
  </si>
  <si>
    <t>=E26</t>
  </si>
  <si>
    <t>=G27</t>
  </si>
  <si>
    <t>="  "&amp;GL(,"CatName",$D27)</t>
  </si>
  <si>
    <t>=IF(AND(MAX(H28:M28)=0,MIN(H28:M28)=0,HideEmptyRows="Yes"),"Hide","Show")</t>
  </si>
  <si>
    <t>=GL("Rows","Accounts",,,$E$4,$D28,$E$7,$E$8,$E$9,$E$10,$E$11,$E$12,$E$13,$E$14,$E$15,$E$16)</t>
  </si>
  <si>
    <t>=E27</t>
  </si>
  <si>
    <t>=IF(C28="","","    "&amp;GL(,"Name",C28))</t>
  </si>
  <si>
    <t>=IF($C28="",0,-GL(,"Balance",$C28,$E$4&amp;"/"&amp;$E$6,$E$4&amp;"/"&amp;$E$5,$D28))</t>
  </si>
  <si>
    <t>=IF($C28="",0,-GL(,"Balance",$C28,$E$4-1&amp;"/"&amp;$E$6,$E$4-1&amp;"/"&amp;$E$5,$D28))</t>
  </si>
  <si>
    <t>=IF(I28=0,0,(H28-I28)/I28)</t>
  </si>
  <si>
    <t>=IF($C28="",0,-GL(,"Balance",$C28,,$E$4&amp;"/"&amp;$E$5,$D28))</t>
  </si>
  <si>
    <t>=IF($C28="",0,-GL(,"Balance",$C28,,$E$4-1&amp;"/"&amp;$E$5,$D28))</t>
  </si>
  <si>
    <t>=IF(L28=0,0,(K28-L28)/L28)</t>
  </si>
  <si>
    <t>=P27+1</t>
  </si>
  <si>
    <t>=E28</t>
  </si>
  <si>
    <t>=E29</t>
  </si>
  <si>
    <t>="Total"&amp;E30</t>
  </si>
  <si>
    <t>=SUBTOTAL(9,I28:I29)</t>
  </si>
  <si>
    <t>=IF(I30=0,0,(H30-I30)/I30)</t>
  </si>
  <si>
    <t>=SUBTOTAL(9,L28:L29)</t>
  </si>
  <si>
    <t>=IF(L30=0,0,(K30-L30)/L30)</t>
  </si>
  <si>
    <t>=IF(I32=0,0,(H32-I32)/I32)</t>
  </si>
  <si>
    <t>=IF(L32=0,0,(K32-L32)/L32)</t>
  </si>
  <si>
    <t>=E34</t>
  </si>
  <si>
    <t>=G35</t>
  </si>
  <si>
    <t>="  "&amp;GL(,"CatName",$D35)</t>
  </si>
  <si>
    <t>=IF(AND(MAX(H36:M36)=0,MIN(H36:M36)=0,HideEmptyRows="Yes"),"Hide","Show")</t>
  </si>
  <si>
    <t>=GL("Rows","Accounts",,,$E$4,$D36,$E$7,$E$8,$E$9,$E$10,$E$11,$E$12,$E$13,$E$14,$E$15,$E$16)</t>
  </si>
  <si>
    <t>=E35</t>
  </si>
  <si>
    <t>=IF(C36="","","    "&amp;GL(,"Name",C36))</t>
  </si>
  <si>
    <t>=IF($C36="",0,GL(,"Balance",$C36,$E$4&amp;"/"&amp;$E$6,$E$4&amp;"/"&amp;$E$5,$D36))</t>
  </si>
  <si>
    <t>=IF($C36="",0,GL(,"Balance",$C36,$E$4-1&amp;"/"&amp;$E$6,$E$4-1&amp;"/"&amp;$E$5,$D36))</t>
  </si>
  <si>
    <t>=IF(I36=0,0,(H36-I36)/I36)</t>
  </si>
  <si>
    <t>=IF($C36="",0,GL(,"Balance",$C36,,$E$4&amp;"/"&amp;$E$5,$D36))</t>
  </si>
  <si>
    <t>=IF($C36="",0,GL(,"Balance",$C36,,$E$4-1&amp;"/"&amp;$E$5,$D36))</t>
  </si>
  <si>
    <t>=IF(L36=0,0,(K36-L36)/L36)</t>
  </si>
  <si>
    <t>=P35+1</t>
  </si>
  <si>
    <t>=E36</t>
  </si>
  <si>
    <t>=E37</t>
  </si>
  <si>
    <t>="Total"&amp;E38</t>
  </si>
  <si>
    <t>=SUBTOTAL(9,I36:I37)</t>
  </si>
  <si>
    <t>=IF(I38=0,0,(H38-I38)/I38)</t>
  </si>
  <si>
    <t>=SUBTOTAL(9,L36:L37)</t>
  </si>
  <si>
    <t>=IF(L38=0,0,(K38-L38)/L38)</t>
  </si>
  <si>
    <t>=IF(I40=0,0,(H40-I40)/I40)</t>
  </si>
  <si>
    <t>=IF(L40=0,0,(K40-L40)/L40)</t>
  </si>
  <si>
    <t>=GL("Rows=5","Categories",,,$E$4,$E$43,$E$7,$E$8,$E$9,$E$10,$E$11,$E$12,$E$13,$E$14,$E$15,$E$16)</t>
  </si>
  <si>
    <t>=G44</t>
  </si>
  <si>
    <t>=IF(D44="","","  "&amp;GL(,"CatName",$D44))</t>
  </si>
  <si>
    <t>=IF(AND(MAX(H45:M45)=0,MIN(H45:M45)=0,HideEmptyRows="Yes"),"Hide","Show")</t>
  </si>
  <si>
    <t>=GL("Rows","Accounts",,,$E$4,$D45,$E$7,$E$8,$E$9,$E$10,$E$11,$E$12,$E$13,$E$14,$E$15,$E$16)</t>
  </si>
  <si>
    <t>=IF(D44="",-1,D44)</t>
  </si>
  <si>
    <t>=E44</t>
  </si>
  <si>
    <t>=IF(C45="","","    "&amp;GL(,"Name",C45))</t>
  </si>
  <si>
    <t>=IF($C45="",0,GL(,"Balance",$C45,$E$4&amp;"/"&amp;$E$6,$E$4&amp;"/"&amp;$E$5,$D45))</t>
  </si>
  <si>
    <t>=IF($C45="",0,GL(,"Balance",$C45,$E$4-1&amp;"/"&amp;$E$6,$E$4-1&amp;"/"&amp;$E$5,$D45))</t>
  </si>
  <si>
    <t>=IF(I45=0,0,(H45-I45)/I45)</t>
  </si>
  <si>
    <t>=IF($C45="",0,GL(,"Balance",$C45,,$E$4&amp;"/"&amp;$E$5,$D45))</t>
  </si>
  <si>
    <t>=IF($C45="",0,GL(,"Balance",$C45,,$E$4-1&amp;"/"&amp;$E$5,$D45))</t>
  </si>
  <si>
    <t>=IF(L45=0,0,(K45-L45)/L45)</t>
  </si>
  <si>
    <t>=P44+1</t>
  </si>
  <si>
    <t>=E45</t>
  </si>
  <si>
    <t>=E46</t>
  </si>
  <si>
    <t>="  Total"&amp;E47</t>
  </si>
  <si>
    <t>=SUBTOTAL(9,I45:I46)</t>
  </si>
  <si>
    <t>=IF(I47=0,0,(H47-I47)/I47)</t>
  </si>
  <si>
    <t>=SUBTOTAL(9,L45:L46)</t>
  </si>
  <si>
    <t>=IF(L47=0,0,(K47-L47)/L47)</t>
  </si>
  <si>
    <t>=G50</t>
  </si>
  <si>
    <t>=IF(D50="","","  "&amp;GL(,"CatName",$D50))</t>
  </si>
  <si>
    <t>=IF(AND(MAX(H51:M51)=0,MIN(H51:M51)=0,HideEmptyRows="Yes"),"Hide","Show")</t>
  </si>
  <si>
    <t>=GL("Rows","Accounts",,,$E$4,$D51,$E$7,$E$8,$E$9,$E$10,$E$11,$E$12,$E$13,$E$14,$E$15,$E$16)</t>
  </si>
  <si>
    <t>=E50</t>
  </si>
  <si>
    <t>=IF(C51="","","    "&amp;GL(,"Name",C51))</t>
  </si>
  <si>
    <t>=IF($C51="",0,GL(,"Balance",$C51,$E$4&amp;"/"&amp;$E$6,$E$4&amp;"/"&amp;$E$5,$D51))</t>
  </si>
  <si>
    <t>=IF($C51="",0,GL(,"Balance",$C51,$E$4-1&amp;"/"&amp;$E$6,$E$4-1&amp;"/"&amp;$E$5,$D51))</t>
  </si>
  <si>
    <t>=IF(I51=0,0,(H51-I51)/I51)</t>
  </si>
  <si>
    <t>=IF($C51="",0,GL(,"Balance",$C51,,$E$4&amp;"/"&amp;$E$5,$D51))</t>
  </si>
  <si>
    <t>=IF($C51="",0,GL(,"Balance",$C51,,$E$4-1&amp;"/"&amp;$E$5,$D51))</t>
  </si>
  <si>
    <t>=IF(L51=0,0,(K51-L51)/L51)</t>
  </si>
  <si>
    <t>=P50+1</t>
  </si>
  <si>
    <t>=E51</t>
  </si>
  <si>
    <t>=E52</t>
  </si>
  <si>
    <t>="Total"&amp;E53</t>
  </si>
  <si>
    <t>=SUBTOTAL(9,I51:I52)</t>
  </si>
  <si>
    <t>=IF(I53=0,0,(H53-I53)/I53)</t>
  </si>
  <si>
    <t>=SUBTOTAL(9,L51:L52)</t>
  </si>
  <si>
    <t>=IF(L53=0,0,(K53-L53)/L53)</t>
  </si>
  <si>
    <t>=SUBTOTAL(9,I44:I54)</t>
  </si>
  <si>
    <t>=IF(I55=0,0,(H55-I55)/I55)</t>
  </si>
  <si>
    <t>=SUBTOTAL(9,L44:L54)</t>
  </si>
  <si>
    <t>=IF(L55=0,0,(K55-L55)/L55)</t>
  </si>
  <si>
    <t>=IF(I57=0,0,(H57-I57)/I57)</t>
  </si>
  <si>
    <t>=IF(L57=0,0,(K57-L57)/L57)</t>
  </si>
  <si>
    <t>=E59</t>
  </si>
  <si>
    <t>=G60</t>
  </si>
  <si>
    <t>=IF(D60="","","  "&amp;GL(,"CatName",$D60))</t>
  </si>
  <si>
    <t>=IF(AND(MAX(H61:M61)=0,MIN(H61:M61)=0,HideEmptyRows="Yes"),"Hide","Show")</t>
  </si>
  <si>
    <t>=GL("Rows","Accounts",,,$E$4,$D61,$E$7,$E$8,$E$9,$E$10,$E$11,$E$12,$E$13,$E$14,$E$15,$E$16)</t>
  </si>
  <si>
    <t>=E60</t>
  </si>
  <si>
    <t>=IF(C61="","","    "&amp;GL(,"Name",C61))</t>
  </si>
  <si>
    <t>=IF($C61="",0,-GL(,"Balance",$C61,$E$4&amp;"/"&amp;$E$6,$E$4&amp;"/"&amp;$E$5,$D61))</t>
  </si>
  <si>
    <t>=IF($C61="",0,-GL(,"Balance",$C61,$E$4-1&amp;"/"&amp;$E$6,$E$4-1&amp;"/"&amp;$E$5,$D61))</t>
  </si>
  <si>
    <t>=IF(I61=0,0,(H61-I61)/I61)</t>
  </si>
  <si>
    <t>=IF($C61="",0,-GL(,"Balance",$C61,,$E$4&amp;"/"&amp;$E$5,$D61))</t>
  </si>
  <si>
    <t>=IF($C61="",0,-GL(,"Balance",$C61,,$E$4-1&amp;"/"&amp;$E$5,$D61))</t>
  </si>
  <si>
    <t>=IF(L61=0,0,(K61-L61)/L61)</t>
  </si>
  <si>
    <t>=P60+1</t>
  </si>
  <si>
    <t>=E61</t>
  </si>
  <si>
    <t>=E62</t>
  </si>
  <si>
    <t>="Total"&amp;E63</t>
  </si>
  <si>
    <t>=SUBTOTAL(9,I61:I62)</t>
  </si>
  <si>
    <t>=IF(I63=0,0,(H63-I63)/I63)</t>
  </si>
  <si>
    <t>=SUBTOTAL(9,L61:L62)</t>
  </si>
  <si>
    <t>=IF(L63=0,0,(K63-L63)/L63)</t>
  </si>
  <si>
    <t>=E65</t>
  </si>
  <si>
    <t>=G66</t>
  </si>
  <si>
    <t>=IF(D66="","","  "&amp;GL(,"CatName",$D66))</t>
  </si>
  <si>
    <t>=IF(AND(MAX(H67:M67)=0,MIN(H67:M67)=0,HideEmptyRows="Yes"),"Hide","Show")</t>
  </si>
  <si>
    <t>=GL("Rows","Accounts",,,$E$4,$D67,$E$7,$E$8,$E$9,$E$10,$E$11,$E$12,$E$13,$E$14,$E$15,$E$16)</t>
  </si>
  <si>
    <t>=E66</t>
  </si>
  <si>
    <t>=IF(C67="","","    "&amp;GL(,"Name",C67))</t>
  </si>
  <si>
    <t>=IF($C67="",0,-GL(,"Balance",$C67,$E$4&amp;"/"&amp;$E$6,$E$4&amp;"/"&amp;$E$5,$D67))</t>
  </si>
  <si>
    <t>=IF($C67="",0,-GL(,"Balance",$C67,$E$4-1&amp;"/"&amp;$E$6,$E$4-1&amp;"/"&amp;$E$5,$D67))</t>
  </si>
  <si>
    <t>=IF(I67=0,0,(H67-I67)/I67)</t>
  </si>
  <si>
    <t>=IF($C67="",0,-GL(,"Balance",$C67,,$E$4&amp;"/"&amp;$E$5,$D67))</t>
  </si>
  <si>
    <t>=IF($C67="",0,-GL(,"Balance",$C67,,$E$4-1&amp;"/"&amp;$E$5,$D67))</t>
  </si>
  <si>
    <t>=IF(L67=0,0,(K67-L67)/L67)</t>
  </si>
  <si>
    <t>=P66+1</t>
  </si>
  <si>
    <t>=E67</t>
  </si>
  <si>
    <t>=E68</t>
  </si>
  <si>
    <t>="Total"&amp;E69</t>
  </si>
  <si>
    <t>=SUBTOTAL(9,I67:I68)</t>
  </si>
  <si>
    <t>=IF(I69=0,0,(H69-I69)/I69)</t>
  </si>
  <si>
    <t>=SUBTOTAL(9,L67:L68)</t>
  </si>
  <si>
    <t>=IF(L69=0,0,(K69-L69)/L69)</t>
  </si>
  <si>
    <t>=E71</t>
  </si>
  <si>
    <t>=G72</t>
  </si>
  <si>
    <t>=IF(D72="","","  "&amp;GL(,"CatName",$D72))</t>
  </si>
  <si>
    <t>=IF(AND(MAX(H73:M73)=0,MIN(H73:M73)=0,HideEmptyRows="Yes"),"Hide","Show")</t>
  </si>
  <si>
    <t>=GL("Rows","Accounts",,,$E$4,$D73,$E$7,$E$8,$E$9,$E$10,$E$11,$E$12,$E$13,$E$14,$E$15,$E$16)</t>
  </si>
  <si>
    <t>=E72</t>
  </si>
  <si>
    <t>=IF(C73="","","    "&amp;GL(,"Name",C73))</t>
  </si>
  <si>
    <t>=IF($C73="",0,-GL(,"Balance",$C73,$E$4&amp;"/"&amp;$E$6,$E$4&amp;"/"&amp;$E$5,$D73))</t>
  </si>
  <si>
    <t>=IF($C73="",0,-GL(,"Balance",$C73,$E$4-1&amp;"/"&amp;$E$6,$E$4-1&amp;"/"&amp;$E$5,$D73))</t>
  </si>
  <si>
    <t>=IF(I73=0,0,(H73-I73)/I73)</t>
  </si>
  <si>
    <t>=IF($C73="",0,-GL(,"Balance",$C73,,$E$4&amp;"/"&amp;$E$5,$D73))</t>
  </si>
  <si>
    <t>=IF($C73="",0,-GL(,"Balance",$C73,,$E$4-1&amp;"/"&amp;$E$5,$D73))</t>
  </si>
  <si>
    <t>=IF(L73=0,0,(K73-L73)/L73)</t>
  </si>
  <si>
    <t>=P72+1</t>
  </si>
  <si>
    <t>=E73</t>
  </si>
  <si>
    <t>=E74</t>
  </si>
  <si>
    <t>="Total"&amp;E75</t>
  </si>
  <si>
    <t>=SUBTOTAL(9,I73:I74)</t>
  </si>
  <si>
    <t>=IF(I75=0,0,(H75-I75)/I75)</t>
  </si>
  <si>
    <t>=SUBTOTAL(9,L73:L74)</t>
  </si>
  <si>
    <t>=IF(L75=0,0,(K75-L75)/L75)</t>
  </si>
  <si>
    <t>=SUBTOTAL(9,I66:I76)</t>
  </si>
  <si>
    <t>=IF(I77=0,0,(H77-I77)/I77)</t>
  </si>
  <si>
    <t>=SUBTOTAL(9,L66:L76)</t>
  </si>
  <si>
    <t>=IF(L77=0,0,(K77-L77)/L77)</t>
  </si>
  <si>
    <t>=IF(I79=0,0,(H79-I79)/I79)</t>
  </si>
  <si>
    <t>=IF(L79=0,0,(K79-L79)/L79)</t>
  </si>
  <si>
    <t>=E81</t>
  </si>
  <si>
    <t>=G82</t>
  </si>
  <si>
    <t>=IF(D82="","","  "&amp;GL(,"CatName",$D82))</t>
  </si>
  <si>
    <t>=GL("Rows","Accounts",,,$E$4,$D83,$E$7,$E$8,$E$9,$E$10,$E$11,$E$12,$E$13,$E$14,$E$15,$E$16)</t>
  </si>
  <si>
    <t>=E82</t>
  </si>
  <si>
    <t>=IF(C83="","","    "&amp;GL(,"Name",C83))</t>
  </si>
  <si>
    <t>=IF($C83="",0,-GL(,"Balance",$C83,$E$4&amp;"/"&amp;$E$6,$E$4&amp;"/"&amp;$E$5,$D83))</t>
  </si>
  <si>
    <t>=IF($C83="",0,-GL(,"Balance",$C83,$E$4-1&amp;"/"&amp;$E$6,$E$4-1&amp;"/"&amp;$E$5,$D83))</t>
  </si>
  <si>
    <t>=IF(I83=0,0,(H83-I83)/I83)</t>
  </si>
  <si>
    <t>=IF($C83="",0,-GL(,"Balance",$C83,,$E$4&amp;"/"&amp;$E$5,$D83))</t>
  </si>
  <si>
    <t>=IF($C83="",0,-GL(,"Balance",$C83,,$E$4-1&amp;"/"&amp;$E$5,$D83))</t>
  </si>
  <si>
    <t>=IF(L83=0,0,(K83-L83)/L83)</t>
  </si>
  <si>
    <t>=P82+1</t>
  </si>
  <si>
    <t>=E83</t>
  </si>
  <si>
    <t>=E84</t>
  </si>
  <si>
    <t>="Total"&amp;E85</t>
  </si>
  <si>
    <t>=SUBTOTAL(9,I83:I84)</t>
  </si>
  <si>
    <t>=IF(I85=0,0,(H85-I85)/I85)</t>
  </si>
  <si>
    <t>=SUBTOTAL(9,L83:L84)</t>
  </si>
  <si>
    <t>=IF(L85=0,0,(K85-L85)/L85)</t>
  </si>
  <si>
    <t>=IF(I87=0,0,(H87-I87)/I87)</t>
  </si>
  <si>
    <t>=IF(L87=0,0,(K87-L87)/L87)</t>
  </si>
  <si>
    <t>=IF(AND(MAX(H23:M23)=0,MIN(H23:M23)=0,HideEmptyRows="Yes"),"Hide","Show")</t>
  </si>
  <si>
    <t>=IF(C23="","","    "&amp;GL(,"Name",C23))</t>
  </si>
  <si>
    <t>=IF($C23="",0,-GL(,"Balance",$C23,$E$4&amp;"/"&amp;$E$6,$E$4&amp;"/"&amp;$E$5,$D23))</t>
  </si>
  <si>
    <t>=IF($C23="",0,-GL(,"Balance",$C23,$E$4-1&amp;"/"&amp;$E$6,$E$4-1&amp;"/"&amp;$E$5,$D23))</t>
  </si>
  <si>
    <t>=IF(I23=0,0,(H23-I23)/I23)</t>
  </si>
  <si>
    <t>=IF($C23="",0,-GL(,"Balance",$C23,,$E$4&amp;"/"&amp;$E$5,$D23))</t>
  </si>
  <si>
    <t>=IF($C23="",0,-GL(,"Balance",$C23,,$E$4-1&amp;"/"&amp;$E$5,$D23))</t>
  </si>
  <si>
    <t>=IF(L23=0,0,(K23-L23)/L23)</t>
  </si>
  <si>
    <t>=P22+1</t>
  </si>
  <si>
    <t>=IF(AND(MAX(H24:M24)=0,MIN(H24:M24)=0,HideEmptyRows="Yes"),"Hide","Show")</t>
  </si>
  <si>
    <t>=IF(C24="","","    "&amp;GL(,"Name",C24))</t>
  </si>
  <si>
    <t>=IF($C24="",0,-GL(,"Balance",$C24,$E$4&amp;"/"&amp;$E$6,$E$4&amp;"/"&amp;$E$5,$D24))</t>
  </si>
  <si>
    <t>=IF($C24="",0,-GL(,"Balance",$C24,$E$4-1&amp;"/"&amp;$E$6,$E$4-1&amp;"/"&amp;$E$5,$D24))</t>
  </si>
  <si>
    <t>=IF($C24="",0,-GL(,"Balance",$C24,,$E$4&amp;"/"&amp;$E$5,$D24))</t>
  </si>
  <si>
    <t>=IF($C24="",0,-GL(,"Balance",$C24,,$E$4-1&amp;"/"&amp;$E$5,$D24))</t>
  </si>
  <si>
    <t>=P23+1</t>
  </si>
  <si>
    <t>=IF(AND(MAX(H25:M25)=0,MIN(H25:M25)=0,HideEmptyRows="Yes"),"Hide","Show")</t>
  </si>
  <si>
    <t>=E24</t>
  </si>
  <si>
    <t>=IF(C25="","","    "&amp;GL(,"Name",C25))</t>
  </si>
  <si>
    <t>=IF($C25="",0,-GL(,"Balance",$C25,$E$4&amp;"/"&amp;$E$6,$E$4&amp;"/"&amp;$E$5,$D25))</t>
  </si>
  <si>
    <t>=IF($C25="",0,-GL(,"Balance",$C25,$E$4-1&amp;"/"&amp;$E$6,$E$4-1&amp;"/"&amp;$E$5,$D25))</t>
  </si>
  <si>
    <t>=IF(I25=0,0,(H25-I25)/I25)</t>
  </si>
  <si>
    <t>=IF($C25="",0,-GL(,"Balance",$C25,,$E$4&amp;"/"&amp;$E$5,$D25))</t>
  </si>
  <si>
    <t>=IF($C25="",0,-GL(,"Balance",$C25,,$E$4-1&amp;"/"&amp;$E$5,$D25))</t>
  </si>
  <si>
    <t>=IF(L25=0,0,(K25-L25)/L25)</t>
  </si>
  <si>
    <t>=P24+1</t>
  </si>
  <si>
    <t>=IF(AND(MAX(H26:M26)=0,MIN(H26:M26)=0,HideEmptyRows="Yes"),"Hide","Show")</t>
  </si>
  <si>
    <t>=E25</t>
  </si>
  <si>
    <t>=IF(C26="","","    "&amp;GL(,"Name",C26))</t>
  </si>
  <si>
    <t>=IF($C26="",0,-GL(,"Balance",$C26,$E$4&amp;"/"&amp;$E$6,$E$4&amp;"/"&amp;$E$5,$D26))</t>
  </si>
  <si>
    <t>=IF($C26="",0,-GL(,"Balance",$C26,$E$4-1&amp;"/"&amp;$E$6,$E$4-1&amp;"/"&amp;$E$5,$D26))</t>
  </si>
  <si>
    <t>=IF(I26=0,0,(H26-I26)/I26)</t>
  </si>
  <si>
    <t>=IF($C26="",0,-GL(,"Balance",$C26,,$E$4&amp;"/"&amp;$E$5,$D26))</t>
  </si>
  <si>
    <t>=IF($C26="",0,-GL(,"Balance",$C26,,$E$4-1&amp;"/"&amp;$E$5,$D26))</t>
  </si>
  <si>
    <t>=IF(L26=0,0,(K26-L26)/L26)</t>
  </si>
  <si>
    <t>=P25+1</t>
  </si>
  <si>
    <t>=IF(AND(MAX(H27:M27)=0,MIN(H27:M27)=0,HideEmptyRows="Yes"),"Hide","Show")</t>
  </si>
  <si>
    <t>=IF(C27="","","    "&amp;GL(,"Name",C27))</t>
  </si>
  <si>
    <t>=IF($C27="",0,-GL(,"Balance",$C27,$E$4&amp;"/"&amp;$E$6,$E$4&amp;"/"&amp;$E$5,$D27))</t>
  </si>
  <si>
    <t>=IF($C27="",0,-GL(,"Balance",$C27,$E$4-1&amp;"/"&amp;$E$6,$E$4-1&amp;"/"&amp;$E$5,$D27))</t>
  </si>
  <si>
    <t>=IF(I27=0,0,(H27-I27)/I27)</t>
  </si>
  <si>
    <t>=IF($C27="",0,-GL(,"Balance",$C27,,$E$4&amp;"/"&amp;$E$5,$D27))</t>
  </si>
  <si>
    <t>=IF($C27="",0,-GL(,"Balance",$C27,,$E$4-1&amp;"/"&amp;$E$5,$D27))</t>
  </si>
  <si>
    <t>=IF(L27=0,0,(K27-L27)/L27)</t>
  </si>
  <si>
    <t>=P26+1</t>
  </si>
  <si>
    <t>=IF(AND(MAX(H29:M29)=0,MIN(H29:M29)=0,HideEmptyRows="Yes"),"Hide","Show")</t>
  </si>
  <si>
    <t>=IF(C29="","","    "&amp;GL(,"Name",C29))</t>
  </si>
  <si>
    <t>=IF($C29="",0,-GL(,"Balance",$C29,$E$4&amp;"/"&amp;$E$6,$E$4&amp;"/"&amp;$E$5,$D29))</t>
  </si>
  <si>
    <t>=IF($C29="",0,-GL(,"Balance",$C29,$E$4-1&amp;"/"&amp;$E$6,$E$4-1&amp;"/"&amp;$E$5,$D29))</t>
  </si>
  <si>
    <t>=IF(I29=0,0,(H29-I29)/I29)</t>
  </si>
  <si>
    <t>=IF($C29="",0,-GL(,"Balance",$C29,,$E$4&amp;"/"&amp;$E$5,$D29))</t>
  </si>
  <si>
    <t>=IF($C29="",0,-GL(,"Balance",$C29,,$E$4-1&amp;"/"&amp;$E$5,$D29))</t>
  </si>
  <si>
    <t>=IF(L29=0,0,(K29-L29)/L29)</t>
  </si>
  <si>
    <t>=P28+1</t>
  </si>
  <si>
    <t>=IF(AND(MAX(H30:M30)=0,MIN(H30:M30)=0,HideEmptyRows="Yes"),"Hide","Show")</t>
  </si>
  <si>
    <t>=IF(C30="","","    "&amp;GL(,"Name",C30))</t>
  </si>
  <si>
    <t>=IF($C30="",0,-GL(,"Balance",$C30,$E$4&amp;"/"&amp;$E$6,$E$4&amp;"/"&amp;$E$5,$D30))</t>
  </si>
  <si>
    <t>=IF($C30="",0,-GL(,"Balance",$C30,$E$4-1&amp;"/"&amp;$E$6,$E$4-1&amp;"/"&amp;$E$5,$D30))</t>
  </si>
  <si>
    <t>=IF($C30="",0,-GL(,"Balance",$C30,,$E$4&amp;"/"&amp;$E$5,$D30))</t>
  </si>
  <si>
    <t>=IF($C30="",0,-GL(,"Balance",$C30,,$E$4-1&amp;"/"&amp;$E$5,$D30))</t>
  </si>
  <si>
    <t>=P29+1</t>
  </si>
  <si>
    <t>=IF(AND(MAX(H31:M31)=0,MIN(H31:M31)=0,HideEmptyRows="Yes"),"Hide","Show")</t>
  </si>
  <si>
    <t>=E30</t>
  </si>
  <si>
    <t>=IF(C31="","","    "&amp;GL(,"Name",C31))</t>
  </si>
  <si>
    <t>=IF($C31="",0,-GL(,"Balance",$C31,$E$4&amp;"/"&amp;$E$6,$E$4&amp;"/"&amp;$E$5,$D31))</t>
  </si>
  <si>
    <t>=IF($C31="",0,-GL(,"Balance",$C31,$E$4-1&amp;"/"&amp;$E$6,$E$4-1&amp;"/"&amp;$E$5,$D31))</t>
  </si>
  <si>
    <t>=IF(I31=0,0,(H31-I31)/I31)</t>
  </si>
  <si>
    <t>=IF($C31="",0,-GL(,"Balance",$C31,,$E$4&amp;"/"&amp;$E$5,$D31))</t>
  </si>
  <si>
    <t>=IF($C31="",0,-GL(,"Balance",$C31,,$E$4-1&amp;"/"&amp;$E$5,$D31))</t>
  </si>
  <si>
    <t>=IF(L31=0,0,(K31-L31)/L31)</t>
  </si>
  <si>
    <t>=P30+1</t>
  </si>
  <si>
    <t>=IF(AND(MAX(H32:M32)=0,MIN(H32:M32)=0,HideEmptyRows="Yes"),"Hide","Show")</t>
  </si>
  <si>
    <t>=E31</t>
  </si>
  <si>
    <t>=IF(C32="","","    "&amp;GL(,"Name",C32))</t>
  </si>
  <si>
    <t>=IF($C32="",0,-GL(,"Balance",$C32,$E$4&amp;"/"&amp;$E$6,$E$4&amp;"/"&amp;$E$5,$D32))</t>
  </si>
  <si>
    <t>=IF($C32="",0,-GL(,"Balance",$C32,$E$4-1&amp;"/"&amp;$E$6,$E$4-1&amp;"/"&amp;$E$5,$D32))</t>
  </si>
  <si>
    <t>=IF($C32="",0,-GL(,"Balance",$C32,,$E$4&amp;"/"&amp;$E$5,$D32))</t>
  </si>
  <si>
    <t>=IF($C32="",0,-GL(,"Balance",$C32,,$E$4-1&amp;"/"&amp;$E$5,$D32))</t>
  </si>
  <si>
    <t>=P31+1</t>
  </si>
  <si>
    <t>=IF(AND(MAX(H33:M33)=0,MIN(H33:M33)=0,HideEmptyRows="Yes"),"Hide","Show")</t>
  </si>
  <si>
    <t>=E32</t>
  </si>
  <si>
    <t>=IF(C33="","","    "&amp;GL(,"Name",C33))</t>
  </si>
  <si>
    <t>=IF($C33="",0,-GL(,"Balance",$C33,$E$4&amp;"/"&amp;$E$6,$E$4&amp;"/"&amp;$E$5,$D33))</t>
  </si>
  <si>
    <t>=IF($C33="",0,-GL(,"Balance",$C33,$E$4-1&amp;"/"&amp;$E$6,$E$4-1&amp;"/"&amp;$E$5,$D33))</t>
  </si>
  <si>
    <t>=IF(I33=0,0,(H33-I33)/I33)</t>
  </si>
  <si>
    <t>=IF($C33="",0,-GL(,"Balance",$C33,,$E$4&amp;"/"&amp;$E$5,$D33))</t>
  </si>
  <si>
    <t>=IF($C33="",0,-GL(,"Balance",$C33,,$E$4-1&amp;"/"&amp;$E$5,$D33))</t>
  </si>
  <si>
    <t>=IF(L33=0,0,(K33-L33)/L33)</t>
  </si>
  <si>
    <t>=P32+1</t>
  </si>
  <si>
    <t>=IF(AND(MAX(H34:M34)=0,MIN(H34:M34)=0,HideEmptyRows="Yes"),"Hide","Show")</t>
  </si>
  <si>
    <t>=E33</t>
  </si>
  <si>
    <t>=IF(C34="","","    "&amp;GL(,"Name",C34))</t>
  </si>
  <si>
    <t>=IF($C34="",0,-GL(,"Balance",$C34,$E$4&amp;"/"&amp;$E$6,$E$4&amp;"/"&amp;$E$5,$D34))</t>
  </si>
  <si>
    <t>=IF($C34="",0,-GL(,"Balance",$C34,$E$4-1&amp;"/"&amp;$E$6,$E$4-1&amp;"/"&amp;$E$5,$D34))</t>
  </si>
  <si>
    <t>=IF(I34=0,0,(H34-I34)/I34)</t>
  </si>
  <si>
    <t>=IF($C34="",0,-GL(,"Balance",$C34,,$E$4&amp;"/"&amp;$E$5,$D34))</t>
  </si>
  <si>
    <t>=IF($C34="",0,-GL(,"Balance",$C34,,$E$4-1&amp;"/"&amp;$E$5,$D34))</t>
  </si>
  <si>
    <t>=IF(L34=0,0,(K34-L34)/L34)</t>
  </si>
  <si>
    <t>=P33+1</t>
  </si>
  <si>
    <t>=IF(AND(MAX(H35:M35)=0,MIN(H35:M35)=0,HideEmptyRows="Yes"),"Hide","Show")</t>
  </si>
  <si>
    <t>=IF(C35="","","    "&amp;GL(,"Name",C35))</t>
  </si>
  <si>
    <t>=IF($C35="",0,-GL(,"Balance",$C35,$E$4&amp;"/"&amp;$E$6,$E$4&amp;"/"&amp;$E$5,$D35))</t>
  </si>
  <si>
    <t>=IF($C35="",0,-GL(,"Balance",$C35,$E$4-1&amp;"/"&amp;$E$6,$E$4-1&amp;"/"&amp;$E$5,$D35))</t>
  </si>
  <si>
    <t>=IF(I35=0,0,(H35-I35)/I35)</t>
  </si>
  <si>
    <t>=IF($C35="",0,-GL(,"Balance",$C35,,$E$4&amp;"/"&amp;$E$5,$D35))</t>
  </si>
  <si>
    <t>=IF($C35="",0,-GL(,"Balance",$C35,,$E$4-1&amp;"/"&amp;$E$5,$D35))</t>
  </si>
  <si>
    <t>=IF(L35=0,0,(K35-L35)/L35)</t>
  </si>
  <si>
    <t>=P34+1</t>
  </si>
  <si>
    <t>=IF($C36="",0,-GL(,"Balance",$C36,$E$4&amp;"/"&amp;$E$6,$E$4&amp;"/"&amp;$E$5,$D36))</t>
  </si>
  <si>
    <t>=IF($C36="",0,-GL(,"Balance",$C36,$E$4-1&amp;"/"&amp;$E$6,$E$4-1&amp;"/"&amp;$E$5,$D36))</t>
  </si>
  <si>
    <t>=IF($C36="",0,-GL(,"Balance",$C36,,$E$4&amp;"/"&amp;$E$5,$D36))</t>
  </si>
  <si>
    <t>=IF($C36="",0,-GL(,"Balance",$C36,,$E$4-1&amp;"/"&amp;$E$5,$D36))</t>
  </si>
  <si>
    <t>=IF(AND(MAX(H37:M37)=0,MIN(H37:M37)=0,HideEmptyRows="Yes"),"Hide","Show")</t>
  </si>
  <si>
    <t>=IF(C37="","","    "&amp;GL(,"Name",C37))</t>
  </si>
  <si>
    <t>=IF($C37="",0,-GL(,"Balance",$C37,$E$4&amp;"/"&amp;$E$6,$E$4&amp;"/"&amp;$E$5,$D37))</t>
  </si>
  <si>
    <t>=IF($C37="",0,-GL(,"Balance",$C37,$E$4-1&amp;"/"&amp;$E$6,$E$4-1&amp;"/"&amp;$E$5,$D37))</t>
  </si>
  <si>
    <t>=IF(I37=0,0,(H37-I37)/I37)</t>
  </si>
  <si>
    <t>=IF($C37="",0,-GL(,"Balance",$C37,,$E$4&amp;"/"&amp;$E$5,$D37))</t>
  </si>
  <si>
    <t>=IF($C37="",0,-GL(,"Balance",$C37,,$E$4-1&amp;"/"&amp;$E$5,$D37))</t>
  </si>
  <si>
    <t>=IF(L37=0,0,(K37-L37)/L37)</t>
  </si>
  <si>
    <t>=P36+1</t>
  </si>
  <si>
    <t>=IF(AND(MAX(H38:M38)=0,MIN(H38:M38)=0,HideEmptyRows="Yes"),"Hide","Show")</t>
  </si>
  <si>
    <t>=IF(C38="","","    "&amp;GL(,"Name",C38))</t>
  </si>
  <si>
    <t>=IF($C38="",0,-GL(,"Balance",$C38,$E$4&amp;"/"&amp;$E$6,$E$4&amp;"/"&amp;$E$5,$D38))</t>
  </si>
  <si>
    <t>=IF($C38="",0,-GL(,"Balance",$C38,$E$4-1&amp;"/"&amp;$E$6,$E$4-1&amp;"/"&amp;$E$5,$D38))</t>
  </si>
  <si>
    <t>=IF($C38="",0,-GL(,"Balance",$C38,,$E$4&amp;"/"&amp;$E$5,$D38))</t>
  </si>
  <si>
    <t>=IF($C38="",0,-GL(,"Balance",$C38,,$E$4-1&amp;"/"&amp;$E$5,$D38))</t>
  </si>
  <si>
    <t>=P37+1</t>
  </si>
  <si>
    <t>=IF(AND(MAX(H39:M39)=0,MIN(H39:M39)=0,HideEmptyRows="Yes"),"Hide","Show")</t>
  </si>
  <si>
    <t>=E38</t>
  </si>
  <si>
    <t>=IF(C39="","","    "&amp;GL(,"Name",C39))</t>
  </si>
  <si>
    <t>=IF($C39="",0,-GL(,"Balance",$C39,$E$4&amp;"/"&amp;$E$6,$E$4&amp;"/"&amp;$E$5,$D39))</t>
  </si>
  <si>
    <t>=IF($C39="",0,-GL(,"Balance",$C39,$E$4-1&amp;"/"&amp;$E$6,$E$4-1&amp;"/"&amp;$E$5,$D39))</t>
  </si>
  <si>
    <t>=IF(I39=0,0,(H39-I39)/I39)</t>
  </si>
  <si>
    <t>=IF($C39="",0,-GL(,"Balance",$C39,,$E$4&amp;"/"&amp;$E$5,$D39))</t>
  </si>
  <si>
    <t>=IF($C39="",0,-GL(,"Balance",$C39,,$E$4-1&amp;"/"&amp;$E$5,$D39))</t>
  </si>
  <si>
    <t>=IF(L39=0,0,(K39-L39)/L39)</t>
  </si>
  <si>
    <t>=P38+1</t>
  </si>
  <si>
    <t>=IF(AND(MAX(H46:M46)=0,MIN(H46:M46)=0,HideEmptyRows="Yes"),"Hide","Show")</t>
  </si>
  <si>
    <t>=IF(C46="","","    "&amp;GL(,"Name",C46))</t>
  </si>
  <si>
    <t>=IF($C46="",0,-GL(,"Balance",$C46,$E$4&amp;"/"&amp;$E$6,$E$4&amp;"/"&amp;$E$5,$D46))</t>
  </si>
  <si>
    <t>=IF($C46="",0,-GL(,"Balance",$C46,$E$4-1&amp;"/"&amp;$E$6,$E$4-1&amp;"/"&amp;$E$5,$D46))</t>
  </si>
  <si>
    <t>=IF(I46=0,0,(H46-I46)/I46)</t>
  </si>
  <si>
    <t>=IF($C46="",0,-GL(,"Balance",$C46,,$E$4&amp;"/"&amp;$E$5,$D46))</t>
  </si>
  <si>
    <t>=IF($C46="",0,-GL(,"Balance",$C46,,$E$4-1&amp;"/"&amp;$E$5,$D46))</t>
  </si>
  <si>
    <t>=IF(L46=0,0,(K46-L46)/L46)</t>
  </si>
  <si>
    <t>=P45+1</t>
  </si>
  <si>
    <t>=IF(AND(MAX(H47:M47)=0,MIN(H47:M47)=0,HideEmptyRows="Yes"),"Hide","Show")</t>
  </si>
  <si>
    <t>=IF(C47="","","    "&amp;GL(,"Name",C47))</t>
  </si>
  <si>
    <t>=IF($C47="",0,-GL(,"Balance",$C47,$E$4&amp;"/"&amp;$E$6,$E$4&amp;"/"&amp;$E$5,$D47))</t>
  </si>
  <si>
    <t>=IF($C47="",0,-GL(,"Balance",$C47,$E$4-1&amp;"/"&amp;$E$6,$E$4-1&amp;"/"&amp;$E$5,$D47))</t>
  </si>
  <si>
    <t>=IF($C47="",0,-GL(,"Balance",$C47,,$E$4&amp;"/"&amp;$E$5,$D47))</t>
  </si>
  <si>
    <t>=IF($C47="",0,-GL(,"Balance",$C47,,$E$4-1&amp;"/"&amp;$E$5,$D47))</t>
  </si>
  <si>
    <t>=P46+1</t>
  </si>
  <si>
    <t>=E54</t>
  </si>
  <si>
    <t>=IF(AND(MAX(H56:M56)=0,MIN(H56:M56)=0,HideEmptyRows="Yes"),"Hide","Show")</t>
  </si>
  <si>
    <t>=E55</t>
  </si>
  <si>
    <t>=IF(C56="","","    "&amp;GL(,"Name",C56))</t>
  </si>
  <si>
    <t>=IF($C56="",0,GL(,"Balance",$C56,$E$4&amp;"/"&amp;$E$6,$E$4&amp;"/"&amp;$E$5,$D56))</t>
  </si>
  <si>
    <t>=IF($C56="",0,GL(,"Balance",$C56,$E$4-1&amp;"/"&amp;$E$6,$E$4-1&amp;"/"&amp;$E$5,$D56))</t>
  </si>
  <si>
    <t>=IF(I56=0,0,(H56-I56)/I56)</t>
  </si>
  <si>
    <t>=IF($C56="",0,GL(,"Balance",$C56,,$E$4&amp;"/"&amp;$E$5,$D56))</t>
  </si>
  <si>
    <t>=IF($C56="",0,GL(,"Balance",$C56,,$E$4-1&amp;"/"&amp;$E$5,$D56))</t>
  </si>
  <si>
    <t>=IF(L56=0,0,(K56-L56)/L56)</t>
  </si>
  <si>
    <t>=P55+1</t>
  </si>
  <si>
    <t>=IF(AND(MAX(H57:M57)=0,MIN(H57:M57)=0,HideEmptyRows="Yes"),"Hide","Show")</t>
  </si>
  <si>
    <t>=E56</t>
  </si>
  <si>
    <t>=IF(C57="","","    "&amp;GL(,"Name",C57))</t>
  </si>
  <si>
    <t>=IF($C57="",0,GL(,"Balance",$C57,$E$4&amp;"/"&amp;$E$6,$E$4&amp;"/"&amp;$E$5,$D57))</t>
  </si>
  <si>
    <t>=IF($C57="",0,GL(,"Balance",$C57,$E$4-1&amp;"/"&amp;$E$6,$E$4-1&amp;"/"&amp;$E$5,$D57))</t>
  </si>
  <si>
    <t>=IF($C57="",0,GL(,"Balance",$C57,,$E$4&amp;"/"&amp;$E$5,$D57))</t>
  </si>
  <si>
    <t>=IF($C57="",0,GL(,"Balance",$C57,,$E$4-1&amp;"/"&amp;$E$5,$D57))</t>
  </si>
  <si>
    <t>=P56+1</t>
  </si>
  <si>
    <t>=IF(AND(MAX(H58:M58)=0,MIN(H58:M58)=0,HideEmptyRows="Yes"),"Hide","Show")</t>
  </si>
  <si>
    <t>=E57</t>
  </si>
  <si>
    <t>=IF(C58="","","    "&amp;GL(,"Name",C58))</t>
  </si>
  <si>
    <t>=IF($C58="",0,GL(,"Balance",$C58,$E$4&amp;"/"&amp;$E$6,$E$4&amp;"/"&amp;$E$5,$D58))</t>
  </si>
  <si>
    <t>=IF($C58="",0,GL(,"Balance",$C58,$E$4-1&amp;"/"&amp;$E$6,$E$4-1&amp;"/"&amp;$E$5,$D58))</t>
  </si>
  <si>
    <t>=IF(I58=0,0,(H58-I58)/I58)</t>
  </si>
  <si>
    <t>=IF($C58="",0,GL(,"Balance",$C58,,$E$4&amp;"/"&amp;$E$5,$D58))</t>
  </si>
  <si>
    <t>=IF($C58="",0,GL(,"Balance",$C58,,$E$4-1&amp;"/"&amp;$E$5,$D58))</t>
  </si>
  <si>
    <t>=IF(L58=0,0,(K58-L58)/L58)</t>
  </si>
  <si>
    <t>=P57+1</t>
  </si>
  <si>
    <t>=IF(AND(MAX(H59:M59)=0,MIN(H59:M59)=0,HideEmptyRows="Yes"),"Hide","Show")</t>
  </si>
  <si>
    <t>=E58</t>
  </si>
  <si>
    <t>=IF(C59="","","    "&amp;GL(,"Name",C59))</t>
  </si>
  <si>
    <t>=IF($C59="",0,GL(,"Balance",$C59,$E$4&amp;"/"&amp;$E$6,$E$4&amp;"/"&amp;$E$5,$D59))</t>
  </si>
  <si>
    <t>=IF($C59="",0,GL(,"Balance",$C59,$E$4-1&amp;"/"&amp;$E$6,$E$4-1&amp;"/"&amp;$E$5,$D59))</t>
  </si>
  <si>
    <t>=IF(I59=0,0,(H59-I59)/I59)</t>
  </si>
  <si>
    <t>=IF($C59="",0,GL(,"Balance",$C59,,$E$4&amp;"/"&amp;$E$5,$D59))</t>
  </si>
  <si>
    <t>=IF($C59="",0,GL(,"Balance",$C59,,$E$4-1&amp;"/"&amp;$E$5,$D59))</t>
  </si>
  <si>
    <t>=IF(L59=0,0,(K59-L59)/L59)</t>
  </si>
  <si>
    <t>=P58+1</t>
  </si>
  <si>
    <t>=IF(AND(MAX(H60:M60)=0,MIN(H60:M60)=0,HideEmptyRows="Yes"),"Hide","Show")</t>
  </si>
  <si>
    <t>=IF(C60="","","    "&amp;GL(,"Name",C60))</t>
  </si>
  <si>
    <t>=IF($C60="",0,GL(,"Balance",$C60,$E$4&amp;"/"&amp;$E$6,$E$4&amp;"/"&amp;$E$5,$D60))</t>
  </si>
  <si>
    <t>=IF($C60="",0,GL(,"Balance",$C60,$E$4-1&amp;"/"&amp;$E$6,$E$4-1&amp;"/"&amp;$E$5,$D60))</t>
  </si>
  <si>
    <t>=IF(I60=0,0,(H60-I60)/I60)</t>
  </si>
  <si>
    <t>=IF($C60="",0,GL(,"Balance",$C60,,$E$4&amp;"/"&amp;$E$5,$D60))</t>
  </si>
  <si>
    <t>=IF($C60="",0,GL(,"Balance",$C60,,$E$4-1&amp;"/"&amp;$E$5,$D60))</t>
  </si>
  <si>
    <t>=IF(L60=0,0,(K60-L60)/L60)</t>
  </si>
  <si>
    <t>=P59+1</t>
  </si>
  <si>
    <t>=IF(AND(MAX(H70:M70)=0,MIN(H70:M70)=0,HideEmptyRows="Yes"),"Hide","Show")</t>
  </si>
  <si>
    <t>=IF(D69="",-1,D69)</t>
  </si>
  <si>
    <t>=E69</t>
  </si>
  <si>
    <t>=IF(C70="","","    "&amp;GL(,"Name",C70))</t>
  </si>
  <si>
    <t>=IF($C70="",0,GL(,"Balance",$C70,$E$4&amp;"/"&amp;$E$6,$E$4&amp;"/"&amp;$E$5,$D70))</t>
  </si>
  <si>
    <t>=IF($C70="",0,GL(,"Balance",$C70,$E$4-1&amp;"/"&amp;$E$6,$E$4-1&amp;"/"&amp;$E$5,$D70))</t>
  </si>
  <si>
    <t>=IF(I70=0,0,(H70-I70)/I70)</t>
  </si>
  <si>
    <t>=IF($C70="",0,GL(,"Balance",$C70,,$E$4&amp;"/"&amp;$E$5,$D70))</t>
  </si>
  <si>
    <t>=IF($C70="",0,GL(,"Balance",$C70,,$E$4-1&amp;"/"&amp;$E$5,$D70))</t>
  </si>
  <si>
    <t>=IF(L70=0,0,(K70-L70)/L70)</t>
  </si>
  <si>
    <t>=P69+1</t>
  </si>
  <si>
    <t>=IF(AND(MAX(H71:M71)=0,MIN(H71:M71)=0,HideEmptyRows="Yes"),"Hide","Show")</t>
  </si>
  <si>
    <t>=IF(D70="",-1,D70)</t>
  </si>
  <si>
    <t>=E70</t>
  </si>
  <si>
    <t>=IF(C71="","","    "&amp;GL(,"Name",C71))</t>
  </si>
  <si>
    <t>=IF($C71="",0,GL(,"Balance",$C71,$E$4&amp;"/"&amp;$E$6,$E$4&amp;"/"&amp;$E$5,$D71))</t>
  </si>
  <si>
    <t>=IF($C71="",0,GL(,"Balance",$C71,$E$4-1&amp;"/"&amp;$E$6,$E$4-1&amp;"/"&amp;$E$5,$D71))</t>
  </si>
  <si>
    <t>=IF(I71=0,0,(H71-I71)/I71)</t>
  </si>
  <si>
    <t>=IF($C71="",0,GL(,"Balance",$C71,,$E$4&amp;"/"&amp;$E$5,$D71))</t>
  </si>
  <si>
    <t>=IF($C71="",0,GL(,"Balance",$C71,,$E$4-1&amp;"/"&amp;$E$5,$D71))</t>
  </si>
  <si>
    <t>=IF(L71=0,0,(K71-L71)/L71)</t>
  </si>
  <si>
    <t>=P70+1</t>
  </si>
  <si>
    <t>=IF(AND(MAX(H72:M72)=0,MIN(H72:M72)=0,HideEmptyRows="Yes"),"Hide","Show")</t>
  </si>
  <si>
    <t>=IF(D71="",-1,D71)</t>
  </si>
  <si>
    <t>=IF(C72="","","    "&amp;GL(,"Name",C72))</t>
  </si>
  <si>
    <t>=IF($C72="",0,GL(,"Balance",$C72,$E$4&amp;"/"&amp;$E$6,$E$4&amp;"/"&amp;$E$5,$D72))</t>
  </si>
  <si>
    <t>=IF($C72="",0,GL(,"Balance",$C72,$E$4-1&amp;"/"&amp;$E$6,$E$4-1&amp;"/"&amp;$E$5,$D72))</t>
  </si>
  <si>
    <t>=IF(I72=0,0,(H72-I72)/I72)</t>
  </si>
  <si>
    <t>=IF($C72="",0,GL(,"Balance",$C72,,$E$4&amp;"/"&amp;$E$5,$D72))</t>
  </si>
  <si>
    <t>=IF($C72="",0,GL(,"Balance",$C72,,$E$4-1&amp;"/"&amp;$E$5,$D72))</t>
  </si>
  <si>
    <t>=IF(L72=0,0,(K72-L72)/L72)</t>
  </si>
  <si>
    <t>=P71+1</t>
  </si>
  <si>
    <t>=IF(D72="",-1,D72)</t>
  </si>
  <si>
    <t>=IF($C73="",0,GL(,"Balance",$C73,$E$4&amp;"/"&amp;$E$6,$E$4&amp;"/"&amp;$E$5,$D73))</t>
  </si>
  <si>
    <t>=IF($C73="",0,GL(,"Balance",$C73,$E$4-1&amp;"/"&amp;$E$6,$E$4-1&amp;"/"&amp;$E$5,$D73))</t>
  </si>
  <si>
    <t>=IF($C73="",0,GL(,"Balance",$C73,,$E$4&amp;"/"&amp;$E$5,$D73))</t>
  </si>
  <si>
    <t>=IF($C73="",0,GL(,"Balance",$C73,,$E$4-1&amp;"/"&amp;$E$5,$D73))</t>
  </si>
  <si>
    <t>=IF(AND(MAX(H74:M74)=0,MIN(H74:M74)=0,HideEmptyRows="Yes"),"Hide","Show")</t>
  </si>
  <si>
    <t>=IF(D73="",-1,D73)</t>
  </si>
  <si>
    <t>=IF(C74="","","    "&amp;GL(,"Name",C74))</t>
  </si>
  <si>
    <t>=IF($C74="",0,GL(,"Balance",$C74,$E$4&amp;"/"&amp;$E$6,$E$4&amp;"/"&amp;$E$5,$D74))</t>
  </si>
  <si>
    <t>=IF($C74="",0,GL(,"Balance",$C74,$E$4-1&amp;"/"&amp;$E$6,$E$4-1&amp;"/"&amp;$E$5,$D74))</t>
  </si>
  <si>
    <t>=IF(I74=0,0,(H74-I74)/I74)</t>
  </si>
  <si>
    <t>=IF($C74="",0,GL(,"Balance",$C74,,$E$4&amp;"/"&amp;$E$5,$D74))</t>
  </si>
  <si>
    <t>=IF($C74="",0,GL(,"Balance",$C74,,$E$4-1&amp;"/"&amp;$E$5,$D74))</t>
  </si>
  <si>
    <t>=IF(L74=0,0,(K74-L74)/L74)</t>
  </si>
  <si>
    <t>=P73+1</t>
  </si>
  <si>
    <t>=IF(AND(MAX(H75:M75)=0,MIN(H75:M75)=0,HideEmptyRows="Yes"),"Hide","Show")</t>
  </si>
  <si>
    <t>=IF(D74="",-1,D74)</t>
  </si>
  <si>
    <t>=IF(C75="","","    "&amp;GL(,"Name",C75))</t>
  </si>
  <si>
    <t>=IF($C75="",0,GL(,"Balance",$C75,$E$4&amp;"/"&amp;$E$6,$E$4&amp;"/"&amp;$E$5,$D75))</t>
  </si>
  <si>
    <t>=IF($C75="",0,GL(,"Balance",$C75,$E$4-1&amp;"/"&amp;$E$6,$E$4-1&amp;"/"&amp;$E$5,$D75))</t>
  </si>
  <si>
    <t>=IF($C75="",0,GL(,"Balance",$C75,,$E$4&amp;"/"&amp;$E$5,$D75))</t>
  </si>
  <si>
    <t>=IF($C75="",0,GL(,"Balance",$C75,,$E$4-1&amp;"/"&amp;$E$5,$D75))</t>
  </si>
  <si>
    <t>=P74+1</t>
  </si>
  <si>
    <t>=IF(AND(MAX(H76:M76)=0,MIN(H76:M76)=0,HideEmptyRows="Yes"),"Hide","Show")</t>
  </si>
  <si>
    <t>=IF(D75="",-1,D75)</t>
  </si>
  <si>
    <t>=E75</t>
  </si>
  <si>
    <t>=IF(C76="","","    "&amp;GL(,"Name",C76))</t>
  </si>
  <si>
    <t>=IF($C76="",0,GL(,"Balance",$C76,$E$4&amp;"/"&amp;$E$6,$E$4&amp;"/"&amp;$E$5,$D76))</t>
  </si>
  <si>
    <t>=IF($C76="",0,GL(,"Balance",$C76,$E$4-1&amp;"/"&amp;$E$6,$E$4-1&amp;"/"&amp;$E$5,$D76))</t>
  </si>
  <si>
    <t>=IF(I76=0,0,(H76-I76)/I76)</t>
  </si>
  <si>
    <t>=IF($C76="",0,GL(,"Balance",$C76,,$E$4&amp;"/"&amp;$E$5,$D76))</t>
  </si>
  <si>
    <t>=IF($C76="",0,GL(,"Balance",$C76,,$E$4-1&amp;"/"&amp;$E$5,$D76))</t>
  </si>
  <si>
    <t>=IF(L76=0,0,(K76-L76)/L76)</t>
  </si>
  <si>
    <t>=P75+1</t>
  </si>
  <si>
    <t>=IF(AND(MAX(H77:M77)=0,MIN(H77:M77)=0,HideEmptyRows="Yes"),"Hide","Show")</t>
  </si>
  <si>
    <t>=IF(D76="",-1,D76)</t>
  </si>
  <si>
    <t>=E76</t>
  </si>
  <si>
    <t>=IF(C77="","","    "&amp;GL(,"Name",C77))</t>
  </si>
  <si>
    <t>=IF($C77="",0,GL(,"Balance",$C77,$E$4&amp;"/"&amp;$E$6,$E$4&amp;"/"&amp;$E$5,$D77))</t>
  </si>
  <si>
    <t>=IF($C77="",0,GL(,"Balance",$C77,$E$4-1&amp;"/"&amp;$E$6,$E$4-1&amp;"/"&amp;$E$5,$D77))</t>
  </si>
  <si>
    <t>=IF($C77="",0,GL(,"Balance",$C77,,$E$4&amp;"/"&amp;$E$5,$D77))</t>
  </si>
  <si>
    <t>=IF($C77="",0,GL(,"Balance",$C77,,$E$4-1&amp;"/"&amp;$E$5,$D77))</t>
  </si>
  <si>
    <t>=P76+1</t>
  </si>
  <si>
    <t>=IF(AND(MAX(H78:M78)=0,MIN(H78:M78)=0,HideEmptyRows="Yes"),"Hide","Show")</t>
  </si>
  <si>
    <t>=IF(D77="",-1,D77)</t>
  </si>
  <si>
    <t>=E77</t>
  </si>
  <si>
    <t>=IF(C78="","","    "&amp;GL(,"Name",C78))</t>
  </si>
  <si>
    <t>=IF($C78="",0,GL(,"Balance",$C78,$E$4&amp;"/"&amp;$E$6,$E$4&amp;"/"&amp;$E$5,$D78))</t>
  </si>
  <si>
    <t>=IF($C78="",0,GL(,"Balance",$C78,$E$4-1&amp;"/"&amp;$E$6,$E$4-1&amp;"/"&amp;$E$5,$D78))</t>
  </si>
  <si>
    <t>=IF(I78=0,0,(H78-I78)/I78)</t>
  </si>
  <si>
    <t>=IF($C78="",0,GL(,"Balance",$C78,,$E$4&amp;"/"&amp;$E$5,$D78))</t>
  </si>
  <si>
    <t>=IF($C78="",0,GL(,"Balance",$C78,,$E$4-1&amp;"/"&amp;$E$5,$D78))</t>
  </si>
  <si>
    <t>=IF(L78=0,0,(K78-L78)/L78)</t>
  </si>
  <si>
    <t>=P77+1</t>
  </si>
  <si>
    <t>=IF(AND(MAX(H79:M79)=0,MIN(H79:M79)=0,HideEmptyRows="Yes"),"Hide","Show")</t>
  </si>
  <si>
    <t>=IF(D78="",-1,D78)</t>
  </si>
  <si>
    <t>=E78</t>
  </si>
  <si>
    <t>=IF(C79="","","    "&amp;GL(,"Name",C79))</t>
  </si>
  <si>
    <t>=IF($C79="",0,GL(,"Balance",$C79,$E$4&amp;"/"&amp;$E$6,$E$4&amp;"/"&amp;$E$5,$D79))</t>
  </si>
  <si>
    <t>=IF($C79="",0,GL(,"Balance",$C79,$E$4-1&amp;"/"&amp;$E$6,$E$4-1&amp;"/"&amp;$E$5,$D79))</t>
  </si>
  <si>
    <t>=IF($C79="",0,GL(,"Balance",$C79,,$E$4&amp;"/"&amp;$E$5,$D79))</t>
  </si>
  <si>
    <t>=IF($C79="",0,GL(,"Balance",$C79,,$E$4-1&amp;"/"&amp;$E$5,$D79))</t>
  </si>
  <si>
    <t>=P78+1</t>
  </si>
  <si>
    <t>=IF(AND(MAX(H80:M80)=0,MIN(H80:M80)=0,HideEmptyRows="Yes"),"Hide","Show")</t>
  </si>
  <si>
    <t>=IF(D79="",-1,D79)</t>
  </si>
  <si>
    <t>=E79</t>
  </si>
  <si>
    <t>=IF(C80="","","    "&amp;GL(,"Name",C80))</t>
  </si>
  <si>
    <t>=IF($C80="",0,GL(,"Balance",$C80,$E$4&amp;"/"&amp;$E$6,$E$4&amp;"/"&amp;$E$5,$D80))</t>
  </si>
  <si>
    <t>=IF($C80="",0,GL(,"Balance",$C80,$E$4-1&amp;"/"&amp;$E$6,$E$4-1&amp;"/"&amp;$E$5,$D80))</t>
  </si>
  <si>
    <t>=IF(I80=0,0,(H80-I80)/I80)</t>
  </si>
  <si>
    <t>=IF($C80="",0,GL(,"Balance",$C80,,$E$4&amp;"/"&amp;$E$5,$D80))</t>
  </si>
  <si>
    <t>=IF($C80="",0,GL(,"Balance",$C80,,$E$4-1&amp;"/"&amp;$E$5,$D80))</t>
  </si>
  <si>
    <t>=IF(L80=0,0,(K80-L80)/L80)</t>
  </si>
  <si>
    <t>=P79+1</t>
  </si>
  <si>
    <t>=IF(AND(MAX(H81:M81)=0,MIN(H81:M81)=0,HideEmptyRows="Yes"),"Hide","Show")</t>
  </si>
  <si>
    <t>=IF(D80="",-1,D80)</t>
  </si>
  <si>
    <t>=E80</t>
  </si>
  <si>
    <t>=IF(C81="","","    "&amp;GL(,"Name",C81))</t>
  </si>
  <si>
    <t>=IF($C81="",0,GL(,"Balance",$C81,$E$4&amp;"/"&amp;$E$6,$E$4&amp;"/"&amp;$E$5,$D81))</t>
  </si>
  <si>
    <t>=IF($C81="",0,GL(,"Balance",$C81,$E$4-1&amp;"/"&amp;$E$6,$E$4-1&amp;"/"&amp;$E$5,$D81))</t>
  </si>
  <si>
    <t>=IF(I81=0,0,(H81-I81)/I81)</t>
  </si>
  <si>
    <t>=IF($C81="",0,GL(,"Balance",$C81,,$E$4&amp;"/"&amp;$E$5,$D81))</t>
  </si>
  <si>
    <t>=IF($C81="",0,GL(,"Balance",$C81,,$E$4-1&amp;"/"&amp;$E$5,$D81))</t>
  </si>
  <si>
    <t>=IF(L81=0,0,(K81-L81)/L81)</t>
  </si>
  <si>
    <t>=P80+1</t>
  </si>
  <si>
    <t>=IF(AND(MAX(H82:M82)=0,MIN(H82:M82)=0,HideEmptyRows="Yes"),"Hide","Show")</t>
  </si>
  <si>
    <t>=IF(D81="",-1,D81)</t>
  </si>
  <si>
    <t>=IF(C82="","","    "&amp;GL(,"Name",C82))</t>
  </si>
  <si>
    <t>=IF($C82="",0,GL(,"Balance",$C82,$E$4&amp;"/"&amp;$E$6,$E$4&amp;"/"&amp;$E$5,$D82))</t>
  </si>
  <si>
    <t>=IF($C82="",0,GL(,"Balance",$C82,$E$4-1&amp;"/"&amp;$E$6,$E$4-1&amp;"/"&amp;$E$5,$D82))</t>
  </si>
  <si>
    <t>=IF(I82=0,0,(H82-I82)/I82)</t>
  </si>
  <si>
    <t>=IF($C82="",0,GL(,"Balance",$C82,,$E$4&amp;"/"&amp;$E$5,$D82))</t>
  </si>
  <si>
    <t>=IF($C82="",0,GL(,"Balance",$C82,,$E$4-1&amp;"/"&amp;$E$5,$D82))</t>
  </si>
  <si>
    <t>=IF(L82=0,0,(K82-L82)/L82)</t>
  </si>
  <si>
    <t>=P81+1</t>
  </si>
  <si>
    <t>=E87</t>
  </si>
  <si>
    <t>=E88</t>
  </si>
  <si>
    <t>=IF(AND(MAX(H93:M93)=0,MIN(H93:M93)=0,HideEmptyRows="Yes"),"Hide","Show")</t>
  </si>
  <si>
    <t>=IF(D92="",-1,D92)</t>
  </si>
  <si>
    <t>=E92</t>
  </si>
  <si>
    <t>=IF(C93="","","    "&amp;GL(,"Name",C93))</t>
  </si>
  <si>
    <t>=IF($C93="",0,GL(,"Balance",$C93,$E$4&amp;"/"&amp;$E$6,$E$4&amp;"/"&amp;$E$5,$D93))</t>
  </si>
  <si>
    <t>=IF($C93="",0,GL(,"Balance",$C93,$E$4-1&amp;"/"&amp;$E$6,$E$4-1&amp;"/"&amp;$E$5,$D93))</t>
  </si>
  <si>
    <t>=IF(I93=0,0,(H93-I93)/I93)</t>
  </si>
  <si>
    <t>=IF($C93="",0,GL(,"Balance",$C93,,$E$4&amp;"/"&amp;$E$5,$D93))</t>
  </si>
  <si>
    <t>=IF($C93="",0,GL(,"Balance",$C93,,$E$4-1&amp;"/"&amp;$E$5,$D93))</t>
  </si>
  <si>
    <t>=IF(L93=0,0,(K93-L93)/L93)</t>
  </si>
  <si>
    <t>=P92+1</t>
  </si>
  <si>
    <t>=IF(AND(MAX(H94:M94)=0,MIN(H94:M94)=0,HideEmptyRows="Yes"),"Hide","Show")</t>
  </si>
  <si>
    <t>=IF(D93="",-1,D93)</t>
  </si>
  <si>
    <t>=E93</t>
  </si>
  <si>
    <t>=IF(C94="","","    "&amp;GL(,"Name",C94))</t>
  </si>
  <si>
    <t>=IF($C94="",0,GL(,"Balance",$C94,$E$4&amp;"/"&amp;$E$6,$E$4&amp;"/"&amp;$E$5,$D94))</t>
  </si>
  <si>
    <t>=IF($C94="",0,GL(,"Balance",$C94,$E$4-1&amp;"/"&amp;$E$6,$E$4-1&amp;"/"&amp;$E$5,$D94))</t>
  </si>
  <si>
    <t>=IF(I94=0,0,(H94-I94)/I94)</t>
  </si>
  <si>
    <t>=IF($C94="",0,GL(,"Balance",$C94,,$E$4&amp;"/"&amp;$E$5,$D94))</t>
  </si>
  <si>
    <t>=IF($C94="",0,GL(,"Balance",$C94,,$E$4-1&amp;"/"&amp;$E$5,$D94))</t>
  </si>
  <si>
    <t>=IF(L94=0,0,(K94-L94)/L94)</t>
  </si>
  <si>
    <t>=P93+1</t>
  </si>
  <si>
    <t>=IF(AND(MAX(H100:M100)=0,MIN(H100:M100)=0,HideEmptyRows="Yes"),"Hide","Show")</t>
  </si>
  <si>
    <t>=IF(D99="",-1,D99)</t>
  </si>
  <si>
    <t>=E99</t>
  </si>
  <si>
    <t>=IF(C100="","","    "&amp;GL(,"Name",C100))</t>
  </si>
  <si>
    <t>=IF($C100="",0,GL(,"Balance",$C100,$E$4&amp;"/"&amp;$E$6,$E$4&amp;"/"&amp;$E$5,$D100))</t>
  </si>
  <si>
    <t>=IF($C100="",0,GL(,"Balance",$C100,$E$4-1&amp;"/"&amp;$E$6,$E$4-1&amp;"/"&amp;$E$5,$D100))</t>
  </si>
  <si>
    <t>=IF(I100=0,0,(H100-I100)/I100)</t>
  </si>
  <si>
    <t>=IF($C100="",0,GL(,"Balance",$C100,,$E$4&amp;"/"&amp;$E$5,$D100))</t>
  </si>
  <si>
    <t>=IF($C100="",0,GL(,"Balance",$C100,,$E$4-1&amp;"/"&amp;$E$5,$D100))</t>
  </si>
  <si>
    <t>=IF(L100=0,0,(K100-L100)/L100)</t>
  </si>
  <si>
    <t>=P99+1</t>
  </si>
  <si>
    <t>=IF(AND(MAX(H101:M101)=0,MIN(H101:M101)=0,HideEmptyRows="Yes"),"Hide","Show")</t>
  </si>
  <si>
    <t>=IF(D100="",-1,D100)</t>
  </si>
  <si>
    <t>=E100</t>
  </si>
  <si>
    <t>=IF(C101="","","    "&amp;GL(,"Name",C101))</t>
  </si>
  <si>
    <t>=IF($C101="",0,GL(,"Balance",$C101,$E$4&amp;"/"&amp;$E$6,$E$4&amp;"/"&amp;$E$5,$D101))</t>
  </si>
  <si>
    <t>=IF($C101="",0,GL(,"Balance",$C101,$E$4-1&amp;"/"&amp;$E$6,$E$4-1&amp;"/"&amp;$E$5,$D101))</t>
  </si>
  <si>
    <t>=IF(I101=0,0,(H101-I101)/I101)</t>
  </si>
  <si>
    <t>=IF($C101="",0,GL(,"Balance",$C101,,$E$4&amp;"/"&amp;$E$5,$D101))</t>
  </si>
  <si>
    <t>=IF($C101="",0,GL(,"Balance",$C101,,$E$4-1&amp;"/"&amp;$E$5,$D101))</t>
  </si>
  <si>
    <t>=IF(L101=0,0,(K101-L101)/L101)</t>
  </si>
  <si>
    <t>=P100+1</t>
  </si>
  <si>
    <t>=IF(AND(MAX(H102:M102)=0,MIN(H102:M102)=0,HideEmptyRows="Yes"),"Hide","Show")</t>
  </si>
  <si>
    <t>=IF(D101="",-1,D101)</t>
  </si>
  <si>
    <t>=E101</t>
  </si>
  <si>
    <t>=IF(C102="","","    "&amp;GL(,"Name",C102))</t>
  </si>
  <si>
    <t>=IF($C102="",0,GL(,"Balance",$C102,$E$4&amp;"/"&amp;$E$6,$E$4&amp;"/"&amp;$E$5,$D102))</t>
  </si>
  <si>
    <t>=IF($C102="",0,GL(,"Balance",$C102,$E$4-1&amp;"/"&amp;$E$6,$E$4-1&amp;"/"&amp;$E$5,$D102))</t>
  </si>
  <si>
    <t>=IF(I102=0,0,(H102-I102)/I102)</t>
  </si>
  <si>
    <t>=IF($C102="",0,GL(,"Balance",$C102,,$E$4&amp;"/"&amp;$E$5,$D102))</t>
  </si>
  <si>
    <t>=IF($C102="",0,GL(,"Balance",$C102,,$E$4-1&amp;"/"&amp;$E$5,$D102))</t>
  </si>
  <si>
    <t>=IF(L102=0,0,(K102-L102)/L102)</t>
  </si>
  <si>
    <t>=P101+1</t>
  </si>
  <si>
    <t>=D107</t>
  </si>
  <si>
    <t>=E108</t>
  </si>
  <si>
    <t>=E109</t>
  </si>
  <si>
    <t>=E117</t>
  </si>
  <si>
    <t>=E118</t>
  </si>
  <si>
    <t>=E119</t>
  </si>
  <si>
    <t>=E123</t>
  </si>
  <si>
    <t>=IF(AND(MAX(H125:M125)=0,MIN(H125:M125)=0,HideEmptyRows="Yes"),"Hide","Show")</t>
  </si>
  <si>
    <t>=E124</t>
  </si>
  <si>
    <t>=IF(C125="","","    "&amp;GL(,"Name",C125))</t>
  </si>
  <si>
    <t>=IF($C125="",0,-GL(,"Balance",$C125,$E$4&amp;"/"&amp;$E$6,$E$4&amp;"/"&amp;$E$5,$D125))</t>
  </si>
  <si>
    <t>=IF($C125="",0,-GL(,"Balance",$C125,$E$4-1&amp;"/"&amp;$E$6,$E$4-1&amp;"/"&amp;$E$5,$D125))</t>
  </si>
  <si>
    <t>=IF(I125=0,0,(H125-I125)/I125)</t>
  </si>
  <si>
    <t>=IF($C125="",0,-GL(,"Balance",$C125,,$E$4&amp;"/"&amp;$E$5,$D125))</t>
  </si>
  <si>
    <t>=IF($C125="",0,-GL(,"Balance",$C125,,$E$4-1&amp;"/"&amp;$E$5,$D125))</t>
  </si>
  <si>
    <t>=IF(L125=0,0,(K125-L125)/L125)</t>
  </si>
  <si>
    <t>=P124+1</t>
  </si>
  <si>
    <t>=IF(AND(MAX(H126:M126)=0,MIN(H126:M126)=0,HideEmptyRows="Yes"),"Hide","Show")</t>
  </si>
  <si>
    <t>=E125</t>
  </si>
  <si>
    <t>=IF(C126="","","    "&amp;GL(,"Name",C126))</t>
  </si>
  <si>
    <t>=IF($C126="",0,-GL(,"Balance",$C126,$E$4&amp;"/"&amp;$E$6,$E$4&amp;"/"&amp;$E$5,$D126))</t>
  </si>
  <si>
    <t>=IF($C126="",0,-GL(,"Balance",$C126,$E$4-1&amp;"/"&amp;$E$6,$E$4-1&amp;"/"&amp;$E$5,$D126))</t>
  </si>
  <si>
    <t>=IF(I126=0,0,(H126-I126)/I126)</t>
  </si>
  <si>
    <t>=IF($C126="",0,-GL(,"Balance",$C126,,$E$4&amp;"/"&amp;$E$5,$D126))</t>
  </si>
  <si>
    <t>=IF($C126="",0,-GL(,"Balance",$C126,,$E$4-1&amp;"/"&amp;$E$5,$D126))</t>
  </si>
  <si>
    <t>=IF(L126=0,0,(K126-L126)/L126)</t>
  </si>
  <si>
    <t>=P125+1</t>
  </si>
  <si>
    <t>=IF(AND(MAX(H127:M127)=0,MIN(H127:M127)=0,HideEmptyRows="Yes"),"Hide","Show")</t>
  </si>
  <si>
    <t>=E126</t>
  </si>
  <si>
    <t>=IF(C127="","","    "&amp;GL(,"Name",C127))</t>
  </si>
  <si>
    <t>=IF($C127="",0,-GL(,"Balance",$C127,$E$4&amp;"/"&amp;$E$6,$E$4&amp;"/"&amp;$E$5,$D127))</t>
  </si>
  <si>
    <t>=IF($C127="",0,-GL(,"Balance",$C127,$E$4-1&amp;"/"&amp;$E$6,$E$4-1&amp;"/"&amp;$E$5,$D127))</t>
  </si>
  <si>
    <t>=IF(I127=0,0,(H127-I127)/I127)</t>
  </si>
  <si>
    <t>=IF($C127="",0,-GL(,"Balance",$C127,,$E$4&amp;"/"&amp;$E$5,$D127))</t>
  </si>
  <si>
    <t>=IF($C127="",0,-GL(,"Balance",$C127,,$E$4-1&amp;"/"&amp;$E$5,$D127))</t>
  </si>
  <si>
    <t>=IF(L127=0,0,(K127-L127)/L127)</t>
  </si>
  <si>
    <t>=P126+1</t>
  </si>
  <si>
    <t>=IF(AND(MAX(H128:M128)=0,MIN(H128:M128)=0,HideEmptyRows="Yes"),"Hide","Show")</t>
  </si>
  <si>
    <t>=E127</t>
  </si>
  <si>
    <t>=IF(C128="","","    "&amp;GL(,"Name",C128))</t>
  </si>
  <si>
    <t>=IF($C128="",0,-GL(,"Balance",$C128,$E$4&amp;"/"&amp;$E$6,$E$4&amp;"/"&amp;$E$5,$D128))</t>
  </si>
  <si>
    <t>=IF($C128="",0,-GL(,"Balance",$C128,$E$4-1&amp;"/"&amp;$E$6,$E$4-1&amp;"/"&amp;$E$5,$D128))</t>
  </si>
  <si>
    <t>=IF(I128=0,0,(H128-I128)/I128)</t>
  </si>
  <si>
    <t>=IF($C128="",0,-GL(,"Balance",$C128,,$E$4&amp;"/"&amp;$E$5,$D128))</t>
  </si>
  <si>
    <t>=IF($C128="",0,-GL(,"Balance",$C128,,$E$4-1&amp;"/"&amp;$E$5,$D128))</t>
  </si>
  <si>
    <t>=IF(L128=0,0,(K128-L128)/L128)</t>
  </si>
  <si>
    <t>=P127+1</t>
  </si>
  <si>
    <t>=E133</t>
  </si>
  <si>
    <t>=IF(AND(MAX(H135:M135)=0,MIN(H135:M135)=0,HideEmptyRows="Yes"),"Hide","Show")</t>
  </si>
  <si>
    <t>=E134</t>
  </si>
  <si>
    <t>=IF(C135="","","    "&amp;GL(,"Name",C135))</t>
  </si>
  <si>
    <t>=IF($C135="",0,-GL(,"Balance",$C135,$E$4&amp;"/"&amp;$E$6,$E$4&amp;"/"&amp;$E$5,$D135))</t>
  </si>
  <si>
    <t>=IF($C135="",0,-GL(,"Balance",$C135,$E$4-1&amp;"/"&amp;$E$6,$E$4-1&amp;"/"&amp;$E$5,$D135))</t>
  </si>
  <si>
    <t>=IF(I135=0,0,(H135-I135)/I135)</t>
  </si>
  <si>
    <t>=IF($C135="",0,-GL(,"Balance",$C135,,$E$4&amp;"/"&amp;$E$5,$D135))</t>
  </si>
  <si>
    <t>=IF($C135="",0,-GL(,"Balance",$C135,,$E$4-1&amp;"/"&amp;$E$5,$D135))</t>
  </si>
  <si>
    <t>=IF(L135=0,0,(K135-L135)/L135)</t>
  </si>
  <si>
    <t>=P134+1</t>
  </si>
  <si>
    <t>=IF(AND(MAX(H136:M136)=0,MIN(H136:M136)=0,HideEmptyRows="Yes"),"Hide","Show")</t>
  </si>
  <si>
    <t>=E135</t>
  </si>
  <si>
    <t>=IF(C136="","","    "&amp;GL(,"Name",C136))</t>
  </si>
  <si>
    <t>=IF($C136="",0,-GL(,"Balance",$C136,$E$4&amp;"/"&amp;$E$6,$E$4&amp;"/"&amp;$E$5,$D136))</t>
  </si>
  <si>
    <t>=IF($C136="",0,-GL(,"Balance",$C136,$E$4-1&amp;"/"&amp;$E$6,$E$4-1&amp;"/"&amp;$E$5,$D136))</t>
  </si>
  <si>
    <t>=IF(I136=0,0,(H136-I136)/I136)</t>
  </si>
  <si>
    <t>=IF($C136="",0,-GL(,"Balance",$C136,,$E$4&amp;"/"&amp;$E$5,$D136))</t>
  </si>
  <si>
    <t>=IF($C136="",0,-GL(,"Balance",$C136,,$E$4-1&amp;"/"&amp;$E$5,$D136))</t>
  </si>
  <si>
    <t>=IF(L136=0,0,(K136-L136)/L136)</t>
  </si>
  <si>
    <t>=P135+1</t>
  </si>
  <si>
    <t>=E145</t>
  </si>
  <si>
    <t>=E146</t>
  </si>
  <si>
    <t>=E147</t>
  </si>
  <si>
    <t>Auto+Hide</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</si>
  <si>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</si>
  <si>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</si>
  <si>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Click here for downloads</t>
  </si>
  <si>
    <t>Questions About This Report</t>
  </si>
  <si>
    <t>If you have questions about this or any other sample report, please email samplereports@jetglobal.com</t>
  </si>
  <si>
    <t>Click here to contact sample reports</t>
  </si>
  <si>
    <t>Getting Help</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</si>
  <si>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</si>
  <si>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</si>
  <si>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</si>
  <si>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</si>
  <si>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</si>
  <si>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</si>
  <si>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</si>
  <si>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</si>
  <si>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</si>
  <si>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</si>
  <si>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t>This report is intended to match the Income Statement in Dynamics GP.</t>
  </si>
  <si>
    <t>�</t>
  </si>
  <si>
    <t>=E40</t>
  </si>
  <si>
    <t>="Gross"&amp;E41</t>
  </si>
  <si>
    <t>=SUBTOTAL(9,H22:H40)</t>
  </si>
  <si>
    <t>=SUBTOTAL(9,I22:I40)</t>
  </si>
  <si>
    <t>=IF(I41=0,0,(H41-I41)/I41)</t>
  </si>
  <si>
    <t>=SUBTOTAL(9,K22:K40)</t>
  </si>
  <si>
    <t>=SUBTOTAL(9,L22:L40)</t>
  </si>
  <si>
    <t>=IF(L41=0,0,(K41-L41)/L41)</t>
  </si>
  <si>
    <t>=E43</t>
  </si>
  <si>
    <t>=D43</t>
  </si>
  <si>
    <t>="  "&amp;GL(,"CatName",$D44)</t>
  </si>
  <si>
    <t>=IF($C45="",0,-GL(,"Balance",$C45,$E$4&amp;"/"&amp;$E$6,$E$4&amp;"/"&amp;$E$5,$D45))</t>
  </si>
  <si>
    <t>=IF($C45="",0,-GL(,"Balance",$C45,$E$4-1&amp;"/"&amp;$E$6,$E$4-1&amp;"/"&amp;$E$5,$D45))</t>
  </si>
  <si>
    <t>=IF($C45="",0,-GL(,"Balance",$C45,,$E$4&amp;"/"&amp;$E$5,$D45))</t>
  </si>
  <si>
    <t>=IF($C45="",0,-GL(,"Balance",$C45,,$E$4-1&amp;"/"&amp;$E$5,$D45))</t>
  </si>
  <si>
    <t>=E48</t>
  </si>
  <si>
    <t>="Total"&amp;E49</t>
  </si>
  <si>
    <t>=SUBTOTAL(9,H45:H48)</t>
  </si>
  <si>
    <t>=SUBTOTAL(9,I45:I48)</t>
  </si>
  <si>
    <t>=IF(I49=0,0,(H49-I49)/I49)</t>
  </si>
  <si>
    <t>=SUBTOTAL(9,K45:K48)</t>
  </si>
  <si>
    <t>=SUBTOTAL(9,L45:L48)</t>
  </si>
  <si>
    <t>=IF(L49=0,0,(K49-L49)/L49)</t>
  </si>
  <si>
    <t>=E53</t>
  </si>
  <si>
    <t>=D53</t>
  </si>
  <si>
    <t>=G54</t>
  </si>
  <si>
    <t>="  "&amp;GL(,"CatName",$D54)</t>
  </si>
  <si>
    <t>=IF(AND(MAX(H55:M55)=0,MIN(H55:M55)=0,HideEmptyRows="Yes"),"Hide","Show")</t>
  </si>
  <si>
    <t>=GL("Rows","Accounts",,,$E$4,$D55,$E$7,$E$8,$E$9,$E$10,$E$11,$E$12,$E$13,$E$14,$E$15,$E$16)</t>
  </si>
  <si>
    <t>=IF(C55="","","    "&amp;GL(,"Name",C55))</t>
  </si>
  <si>
    <t>=IF($C55="",0,GL(,"Balance",$C55,$E$4&amp;"/"&amp;$E$6,$E$4&amp;"/"&amp;$E$5,$D55))</t>
  </si>
  <si>
    <t>=IF($C55="",0,GL(,"Balance",$C55,$E$4-1&amp;"/"&amp;$E$6,$E$4-1&amp;"/"&amp;$E$5,$D55))</t>
  </si>
  <si>
    <t>=IF($C55="",0,GL(,"Balance",$C55,,$E$4&amp;"/"&amp;$E$5,$D55))</t>
  </si>
  <si>
    <t>=IF($C55="",0,GL(,"Balance",$C55,,$E$4-1&amp;"/"&amp;$E$5,$D55))</t>
  </si>
  <si>
    <t>=P54+1</t>
  </si>
  <si>
    <t>="Total"&amp;E62</t>
  </si>
  <si>
    <t>=SUBTOTAL(9,H55:H61)</t>
  </si>
  <si>
    <t>=SUBTOTAL(9,I55:I61)</t>
  </si>
  <si>
    <t>=IF(I62=0,0,(H62-I62)/I62)</t>
  </si>
  <si>
    <t>=SUBTOTAL(9,K55:K61)</t>
  </si>
  <si>
    <t>=SUBTOTAL(9,L55:L61)</t>
  </si>
  <si>
    <t>=IF(L62=0,0,(K62-L62)/L62)</t>
  </si>
  <si>
    <t>=IF(I64=0,0,(H64-I64)/I64)</t>
  </si>
  <si>
    <t>=IF(L64=0,0,(K64-L64)/L64)</t>
  </si>
  <si>
    <t>=GL("Rows=5","Categories",,,$E$4,$E$67,$E$7,$E$8,$E$9,$E$10,$E$11,$E$12,$E$13,$E$14,$E$15,$E$16)</t>
  </si>
  <si>
    <t>=G68</t>
  </si>
  <si>
    <t>=IF(D68="","","  "&amp;GL(,"CatName",$D68))</t>
  </si>
  <si>
    <t>=IF(AND(MAX(H69:M69)=0,MIN(H69:M69)=0,HideEmptyRows="Yes"),"Hide","Show")</t>
  </si>
  <si>
    <t>=GL("Rows","Accounts",,,$E$4,$D69,$E$7,$E$8,$E$9,$E$10,$E$11,$E$12,$E$13,$E$14,$E$15,$E$16)</t>
  </si>
  <si>
    <t>=IF(D68="",-1,D68)</t>
  </si>
  <si>
    <t>=IF(C69="","","    "&amp;GL(,"Name",C69))</t>
  </si>
  <si>
    <t>=IF($C69="",0,GL(,"Balance",$C69,$E$4&amp;"/"&amp;$E$6,$E$4&amp;"/"&amp;$E$5,$D69))</t>
  </si>
  <si>
    <t>=IF($C69="",0,GL(,"Balance",$C69,$E$4-1&amp;"/"&amp;$E$6,$E$4-1&amp;"/"&amp;$E$5,$D69))</t>
  </si>
  <si>
    <t>=IF($C69="",0,GL(,"Balance",$C69,,$E$4&amp;"/"&amp;$E$5,$D69))</t>
  </si>
  <si>
    <t>=IF($C69="",0,GL(,"Balance",$C69,,$E$4-1&amp;"/"&amp;$E$5,$D69))</t>
  </si>
  <si>
    <t>=P68+1</t>
  </si>
  <si>
    <t>=D69</t>
  </si>
  <si>
    <t>="  Total"&amp;E84</t>
  </si>
  <si>
    <t>=SUBTOTAL(9,H69:H83)</t>
  </si>
  <si>
    <t>=SUBTOTAL(9,I69:I83)</t>
  </si>
  <si>
    <t>=IF(I84=0,0,(H84-I84)/I84)</t>
  </si>
  <si>
    <t>=SUBTOTAL(9,K69:K83)</t>
  </si>
  <si>
    <t>=SUBTOTAL(9,L69:L83)</t>
  </si>
  <si>
    <t>=IF(L84=0,0,(K84-L84)/L84)</t>
  </si>
  <si>
    <t>=G86</t>
  </si>
  <si>
    <t>=IF(D86="","","  "&amp;GL(,"CatName",$D86))</t>
  </si>
  <si>
    <t>=IF(AND(MAX(H87:M87)=0,MIN(H87:M87)=0,HideEmptyRows="Yes"),"Hide","Show")</t>
  </si>
  <si>
    <t>=GL("Rows","Accounts",,,$E$4,$D87,$E$7,$E$8,$E$9,$E$10,$E$11,$E$12,$E$13,$E$14,$E$15,$E$16)</t>
  </si>
  <si>
    <t>=IF(D86="",-1,D86)</t>
  </si>
  <si>
    <t>=E86</t>
  </si>
  <si>
    <t>=IF(C87="","","    "&amp;GL(,"Name",C87))</t>
  </si>
  <si>
    <t>=IF($C87="",0,GL(,"Balance",$C87,$E$4&amp;"/"&amp;$E$6,$E$4&amp;"/"&amp;$E$5,$D87))</t>
  </si>
  <si>
    <t>=IF($C87="",0,GL(,"Balance",$C87,$E$4-1&amp;"/"&amp;$E$6,$E$4-1&amp;"/"&amp;$E$5,$D87))</t>
  </si>
  <si>
    <t>=IF($C87="",0,GL(,"Balance",$C87,,$E$4&amp;"/"&amp;$E$5,$D87))</t>
  </si>
  <si>
    <t>=IF($C87="",0,GL(,"Balance",$C87,,$E$4-1&amp;"/"&amp;$E$5,$D87))</t>
  </si>
  <si>
    <t>=P86+1</t>
  </si>
  <si>
    <t>=D87</t>
  </si>
  <si>
    <t>="  Total"&amp;E89</t>
  </si>
  <si>
    <t>=SUBTOTAL(9,H87:H88)</t>
  </si>
  <si>
    <t>=SUBTOTAL(9,I87:I88)</t>
  </si>
  <si>
    <t>=IF(I89=0,0,(H89-I89)/I89)</t>
  </si>
  <si>
    <t>=SUBTOTAL(9,K87:K88)</t>
  </si>
  <si>
    <t>=SUBTOTAL(9,L87:L88)</t>
  </si>
  <si>
    <t>=IF(L89=0,0,(K89-L89)/L89)</t>
  </si>
  <si>
    <t>=G91</t>
  </si>
  <si>
    <t>=IF(D91="","","  "&amp;GL(,"CatName",$D91))</t>
  </si>
  <si>
    <t>=IF(AND(MAX(H92:M92)=0,MIN(H92:M92)=0,HideEmptyRows="Yes"),"Hide","Show")</t>
  </si>
  <si>
    <t>=GL("Rows","Accounts",,,$E$4,$D92,$E$7,$E$8,$E$9,$E$10,$E$11,$E$12,$E$13,$E$14,$E$15,$E$16)</t>
  </si>
  <si>
    <t>=IF(D91="",-1,D91)</t>
  </si>
  <si>
    <t>=E91</t>
  </si>
  <si>
    <t>=IF(C92="","","    "&amp;GL(,"Name",C92))</t>
  </si>
  <si>
    <t>=IF($C92="",0,GL(,"Balance",$C92,$E$4&amp;"/"&amp;$E$6,$E$4&amp;"/"&amp;$E$5,$D92))</t>
  </si>
  <si>
    <t>=IF($C92="",0,GL(,"Balance",$C92,$E$4-1&amp;"/"&amp;$E$6,$E$4-1&amp;"/"&amp;$E$5,$D92))</t>
  </si>
  <si>
    <t>=IF(I92=0,0,(H92-I92)/I92)</t>
  </si>
  <si>
    <t>=IF($C92="",0,GL(,"Balance",$C92,,$E$4&amp;"/"&amp;$E$5,$D92))</t>
  </si>
  <si>
    <t>=IF($C92="",0,GL(,"Balance",$C92,,$E$4-1&amp;"/"&amp;$E$5,$D92))</t>
  </si>
  <si>
    <t>=IF(L92=0,0,(K92-L92)/L92)</t>
  </si>
  <si>
    <t>=P91+1</t>
  </si>
  <si>
    <t>=D92</t>
  </si>
  <si>
    <t>=E95</t>
  </si>
  <si>
    <t>="  Total"&amp;E96</t>
  </si>
  <si>
    <t>=SUBTOTAL(9,H92:H95)</t>
  </si>
  <si>
    <t>=SUBTOTAL(9,I92:I95)</t>
  </si>
  <si>
    <t>=IF(I96=0,0,(H96-I96)/I96)</t>
  </si>
  <si>
    <t>=SUBTOTAL(9,K92:K95)</t>
  </si>
  <si>
    <t>=SUBTOTAL(9,L92:L95)</t>
  </si>
  <si>
    <t>=IF(L96=0,0,(K96-L96)/L96)</t>
  </si>
  <si>
    <t>=G98</t>
  </si>
  <si>
    <t>=IF(D98="","","  "&amp;GL(,"CatName",$D98))</t>
  </si>
  <si>
    <t>=IF(AND(MAX(H99:M99)=0,MIN(H99:M99)=0,HideEmptyRows="Yes"),"Hide","Show")</t>
  </si>
  <si>
    <t>=GL("Rows","Accounts",,,$E$4,$D99,$E$7,$E$8,$E$9,$E$10,$E$11,$E$12,$E$13,$E$14,$E$15,$E$16)</t>
  </si>
  <si>
    <t>=IF(D98="",-1,D98)</t>
  </si>
  <si>
    <t>=E98</t>
  </si>
  <si>
    <t>=IF(C99="","","    "&amp;GL(,"Name",C99))</t>
  </si>
  <si>
    <t>=IF($C99="",0,GL(,"Balance",$C99,$E$4&amp;"/"&amp;$E$6,$E$4&amp;"/"&amp;$E$5,$D99))</t>
  </si>
  <si>
    <t>=IF($C99="",0,GL(,"Balance",$C99,$E$4-1&amp;"/"&amp;$E$6,$E$4-1&amp;"/"&amp;$E$5,$D99))</t>
  </si>
  <si>
    <t>=IF(I99=0,0,(H99-I99)/I99)</t>
  </si>
  <si>
    <t>=IF($C99="",0,GL(,"Balance",$C99,,$E$4&amp;"/"&amp;$E$5,$D99))</t>
  </si>
  <si>
    <t>=IF($C99="",0,GL(,"Balance",$C99,,$E$4-1&amp;"/"&amp;$E$5,$D99))</t>
  </si>
  <si>
    <t>=IF(L99=0,0,(K99-L99)/L99)</t>
  </si>
  <si>
    <t>=P98+1</t>
  </si>
  <si>
    <t>=D99</t>
  </si>
  <si>
    <t>=E103</t>
  </si>
  <si>
    <t>="  Total"&amp;E104</t>
  </si>
  <si>
    <t>=SUBTOTAL(9,H99:H103)</t>
  </si>
  <si>
    <t>=SUBTOTAL(9,I99:I103)</t>
  </si>
  <si>
    <t>=IF(I104=0,0,(H104-I104)/I104)</t>
  </si>
  <si>
    <t>=SUBTOTAL(9,K99:K103)</t>
  </si>
  <si>
    <t>=SUBTOTAL(9,L99:L103)</t>
  </si>
  <si>
    <t>=IF(L104=0,0,(K104-L104)/L104)</t>
  </si>
  <si>
    <t>=D106</t>
  </si>
  <si>
    <t>=G107</t>
  </si>
  <si>
    <t>=IF(D107="","","  "&amp;GL(,"CatName",$D107))</t>
  </si>
  <si>
    <t>=IF(AND(MAX(H108:M108)=0,MIN(H108:M108)=0,HideEmptyRows="Yes"),"Hide","Show")</t>
  </si>
  <si>
    <t>=GL("Rows","Accounts",,,$E$4,$D108,$E$7,$E$8,$E$9,$E$10,$E$11,$E$12,$E$13,$E$14,$E$15,$E$16)</t>
  </si>
  <si>
    <t>=E107</t>
  </si>
  <si>
    <t>=IF(C108="","","    "&amp;GL(,"Name",C108))</t>
  </si>
  <si>
    <t>=IF($C108="",0,GL(,"Balance",$C108,$E$4&amp;"/"&amp;$E$6,$E$4&amp;"/"&amp;$E$5,$D108))</t>
  </si>
  <si>
    <t>=IF($C108="",0,GL(,"Balance",$C108,$E$4-1&amp;"/"&amp;$E$6,$E$4-1&amp;"/"&amp;$E$5,$D108))</t>
  </si>
  <si>
    <t>=IF(I108=0,0,(H108-I108)/I108)</t>
  </si>
  <si>
    <t>=IF($C108="",0,GL(,"Balance",$C108,,$E$4&amp;"/"&amp;$E$5,$D108))</t>
  </si>
  <si>
    <t>=IF($C108="",0,GL(,"Balance",$C108,,$E$4-1&amp;"/"&amp;$E$5,$D108))</t>
  </si>
  <si>
    <t>=IF(L108=0,0,(K108-L108)/L108)</t>
  </si>
  <si>
    <t>=P107+1</t>
  </si>
  <si>
    <t>="Total"&amp;E110</t>
  </si>
  <si>
    <t>=SUBTOTAL(9,H108:H109)</t>
  </si>
  <si>
    <t>=SUBTOTAL(9,I108:I109)</t>
  </si>
  <si>
    <t>=IF(I110=0,0,(H110-I110)/I110)</t>
  </si>
  <si>
    <t>=SUBTOTAL(9,K108:K109)</t>
  </si>
  <si>
    <t>=SUBTOTAL(9,L108:L109)</t>
  </si>
  <si>
    <t>=IF(L110=0,0,(K110-L110)/L110)</t>
  </si>
  <si>
    <t>=SUBTOTAL(9,H68:H111)</t>
  </si>
  <si>
    <t>=SUBTOTAL(9,I68:I111)</t>
  </si>
  <si>
    <t>=IF(I112=0,0,(H112-I112)/I112)</t>
  </si>
  <si>
    <t>=SUBTOTAL(9,K68:K111)</t>
  </si>
  <si>
    <t>=SUBTOTAL(9,L68:L111)</t>
  </si>
  <si>
    <t>=IF(L112=0,0,(K112-L112)/L112)</t>
  </si>
  <si>
    <t>=IF(I114=0,0,(H114-I114)/I114)</t>
  </si>
  <si>
    <t>=IF(L114=0,0,(K114-L114)/L114)</t>
  </si>
  <si>
    <t>=E116</t>
  </si>
  <si>
    <t>=D116</t>
  </si>
  <si>
    <t>=G117</t>
  </si>
  <si>
    <t>=IF(D117="","","  "&amp;GL(,"CatName",$D117))</t>
  </si>
  <si>
    <t>=IF(AND(MAX(H118:M118)=0,MIN(H118:M118)=0,HideEmptyRows="Yes"),"Hide","Show")</t>
  </si>
  <si>
    <t>=GL("Rows","Accounts",,,$E$4,$D118,$E$7,$E$8,$E$9,$E$10,$E$11,$E$12,$E$13,$E$14,$E$15,$E$16)</t>
  </si>
  <si>
    <t>=IF(C118="","","    "&amp;GL(,"Name",C118))</t>
  </si>
  <si>
    <t>=IF($C118="",0,-GL(,"Balance",$C118,$E$4&amp;"/"&amp;$E$6,$E$4&amp;"/"&amp;$E$5,$D118))</t>
  </si>
  <si>
    <t>=IF($C118="",0,-GL(,"Balance",$C118,$E$4-1&amp;"/"&amp;$E$6,$E$4-1&amp;"/"&amp;$E$5,$D118))</t>
  </si>
  <si>
    <t>=IF(I118=0,0,(H118-I118)/I118)</t>
  </si>
  <si>
    <t>=IF($C118="",0,-GL(,"Balance",$C118,,$E$4&amp;"/"&amp;$E$5,$D118))</t>
  </si>
  <si>
    <t>=IF($C118="",0,-GL(,"Balance",$C118,,$E$4-1&amp;"/"&amp;$E$5,$D118))</t>
  </si>
  <si>
    <t>=IF(L118=0,0,(K118-L118)/L118)</t>
  </si>
  <si>
    <t>=P117+1</t>
  </si>
  <si>
    <t>="Total"&amp;E120</t>
  </si>
  <si>
    <t>=SUBTOTAL(9,H118:H119)</t>
  </si>
  <si>
    <t>=SUBTOTAL(9,I118:I119)</t>
  </si>
  <si>
    <t>=IF(I120=0,0,(H120-I120)/I120)</t>
  </si>
  <si>
    <t>=SUBTOTAL(9,K118:K119)</t>
  </si>
  <si>
    <t>=SUBTOTAL(9,L118:L119)</t>
  </si>
  <si>
    <t>=IF(L120=0,0,(K120-L120)/L120)</t>
  </si>
  <si>
    <t>=E122</t>
  </si>
  <si>
    <t>=D122</t>
  </si>
  <si>
    <t>=G123</t>
  </si>
  <si>
    <t>=IF(D123="","","  "&amp;GL(,"CatName",$D123))</t>
  </si>
  <si>
    <t>=IF(AND(MAX(H124:M124)=0,MIN(H124:M124)=0,HideEmptyRows="Yes"),"Hide","Show")</t>
  </si>
  <si>
    <t>=GL("Rows","Accounts",,,$E$4,$D124,$E$7,$E$8,$E$9,$E$10,$E$11,$E$12,$E$13,$E$14,$E$15,$E$16)</t>
  </si>
  <si>
    <t>=IF(C124="","","    "&amp;GL(,"Name",C124))</t>
  </si>
  <si>
    <t>=IF($C124="",0,-GL(,"Balance",$C124,$E$4&amp;"/"&amp;$E$6,$E$4&amp;"/"&amp;$E$5,$D124))</t>
  </si>
  <si>
    <t>=IF($C124="",0,-GL(,"Balance",$C124,$E$4-1&amp;"/"&amp;$E$6,$E$4-1&amp;"/"&amp;$E$5,$D124))</t>
  </si>
  <si>
    <t>=IF(I124=0,0,(H124-I124)/I124)</t>
  </si>
  <si>
    <t>=IF($C124="",0,-GL(,"Balance",$C124,,$E$4&amp;"/"&amp;$E$5,$D124))</t>
  </si>
  <si>
    <t>=IF($C124="",0,-GL(,"Balance",$C124,,$E$4-1&amp;"/"&amp;$E$5,$D124))</t>
  </si>
  <si>
    <t>=IF(L124=0,0,(K124-L124)/L124)</t>
  </si>
  <si>
    <t>=P123+1</t>
  </si>
  <si>
    <t>=E129</t>
  </si>
  <si>
    <t>="Total"&amp;E130</t>
  </si>
  <si>
    <t>=SUBTOTAL(9,H124:H129)</t>
  </si>
  <si>
    <t>=SUBTOTAL(9,I124:I129)</t>
  </si>
  <si>
    <t>=IF(I130=0,0,(H130-I130)/I130)</t>
  </si>
  <si>
    <t>=SUBTOTAL(9,K124:K129)</t>
  </si>
  <si>
    <t>=SUBTOTAL(9,L124:L129)</t>
  </si>
  <si>
    <t>=IF(L130=0,0,(K130-L130)/L130)</t>
  </si>
  <si>
    <t>=E132</t>
  </si>
  <si>
    <t>=D132</t>
  </si>
  <si>
    <t>=G133</t>
  </si>
  <si>
    <t>=IF(D133="","","  "&amp;GL(,"CatName",$D133))</t>
  </si>
  <si>
    <t>=IF(AND(MAX(H134:M134)=0,MIN(H134:M134)=0,HideEmptyRows="Yes"),"Hide","Show")</t>
  </si>
  <si>
    <t>=GL("Rows","Accounts",,,$E$4,$D134,$E$7,$E$8,$E$9,$E$10,$E$11,$E$12,$E$13,$E$14,$E$15,$E$16)</t>
  </si>
  <si>
    <t>=IF(C134="","","    "&amp;GL(,"Name",C134))</t>
  </si>
  <si>
    <t>=IF($C134="",0,-GL(,"Balance",$C134,$E$4&amp;"/"&amp;$E$6,$E$4&amp;"/"&amp;$E$5,$D134))</t>
  </si>
  <si>
    <t>=IF($C134="",0,-GL(,"Balance",$C134,$E$4-1&amp;"/"&amp;$E$6,$E$4-1&amp;"/"&amp;$E$5,$D134))</t>
  </si>
  <si>
    <t>=IF(I134=0,0,(H134-I134)/I134)</t>
  </si>
  <si>
    <t>=IF($C134="",0,-GL(,"Balance",$C134,,$E$4&amp;"/"&amp;$E$5,$D134))</t>
  </si>
  <si>
    <t>=IF($C134="",0,-GL(,"Balance",$C134,,$E$4-1&amp;"/"&amp;$E$5,$D134))</t>
  </si>
  <si>
    <t>=IF(L134=0,0,(K134-L134)/L134)</t>
  </si>
  <si>
    <t>=P133+1</t>
  </si>
  <si>
    <t>=E137</t>
  </si>
  <si>
    <t>="Total"&amp;E138</t>
  </si>
  <si>
    <t>=SUBTOTAL(9,H134:H137)</t>
  </si>
  <si>
    <t>=SUBTOTAL(9,I134:I137)</t>
  </si>
  <si>
    <t>=IF(I138=0,0,(H138-I138)/I138)</t>
  </si>
  <si>
    <t>=SUBTOTAL(9,K134:K137)</t>
  </si>
  <si>
    <t>=SUBTOTAL(9,L134:L137)</t>
  </si>
  <si>
    <t>=IF(L138=0,0,(K138-L138)/L138)</t>
  </si>
  <si>
    <t>=SUBTOTAL(9,H123:H139)</t>
  </si>
  <si>
    <t>=SUBTOTAL(9,I123:I139)</t>
  </si>
  <si>
    <t>=IF(I140=0,0,(H140-I140)/I140)</t>
  </si>
  <si>
    <t>=SUBTOTAL(9,K123:K139)</t>
  </si>
  <si>
    <t>=SUBTOTAL(9,L123:L139)</t>
  </si>
  <si>
    <t>=IF(L140=0,0,(K140-L140)/L140)</t>
  </si>
  <si>
    <t>=IF(I142=0,0,(H142-I142)/I142)</t>
  </si>
  <si>
    <t>=IF(L142=0,0,(K142-L142)/L142)</t>
  </si>
  <si>
    <t>=E144</t>
  </si>
  <si>
    <t>=D144</t>
  </si>
  <si>
    <t>=G145</t>
  </si>
  <si>
    <t>=IF(D145="","","  "&amp;GL(,"CatName",$D145))</t>
  </si>
  <si>
    <t>=GL("Rows","Accounts",,,$E$4,$D146,$E$7,$E$8,$E$9,$E$10,$E$11,$E$12,$E$13,$E$14,$E$15,$E$16)</t>
  </si>
  <si>
    <t>=IF(C146="","","    "&amp;GL(,"Name",C146))</t>
  </si>
  <si>
    <t>=IF($C146="",0,-GL(,"Balance",$C146,$E$4&amp;"/"&amp;$E$6,$E$4&amp;"/"&amp;$E$5,$D146))</t>
  </si>
  <si>
    <t>=IF($C146="",0,-GL(,"Balance",$C146,$E$4-1&amp;"/"&amp;$E$6,$E$4-1&amp;"/"&amp;$E$5,$D146))</t>
  </si>
  <si>
    <t>=IF(I146=0,0,(H146-I146)/I146)</t>
  </si>
  <si>
    <t>=IF($C146="",0,-GL(,"Balance",$C146,,$E$4&amp;"/"&amp;$E$5,$D146))</t>
  </si>
  <si>
    <t>=IF($C146="",0,-GL(,"Balance",$C146,,$E$4-1&amp;"/"&amp;$E$5,$D146))</t>
  </si>
  <si>
    <t>=IF(L146=0,0,(K146-L146)/L146)</t>
  </si>
  <si>
    <t>=P145+1</t>
  </si>
  <si>
    <t>="Total"&amp;E148</t>
  </si>
  <si>
    <t>=SUBTOTAL(9,H146:H147)</t>
  </si>
  <si>
    <t>=SUBTOTAL(9,I146:I147)</t>
  </si>
  <si>
    <t>=IF(I148=0,0,(H148-I148)/I148)</t>
  </si>
  <si>
    <t>=SUBTOTAL(9,K146:K147)</t>
  </si>
  <si>
    <t>=SUBTOTAL(9,L146:L147)</t>
  </si>
  <si>
    <t>=IF(L148=0,0,(K148-L148)/L148)</t>
  </si>
  <si>
    <t>=IF(I150=0,0,(H150-I150)/I150)</t>
  </si>
  <si>
    <t>=IF(L150=0,0,(K150-L150)/L150)</t>
  </si>
  <si>
    <t>The account categories in column C of the "Income Statement" worksheet will need to be updated to reflect the appropriate account category numbers in your system.</t>
  </si>
  <si>
    <t>Auto+Hide+Hidesheet+Values+Formulas=Sheet8,Sheet9+FormulasOnly</t>
  </si>
  <si>
    <t>Auto+Hide+Values+Formulas=Sheet10,Sheet11+FormulasOnly</t>
  </si>
  <si>
    <t>Auto+Hide+Hidesheet+Values+Formulas=Sheet12,Sheet8,Sheet9</t>
  </si>
  <si>
    <t>Auto+Hide+Hidesheet+Values+Formulas=Sheet12,Sheet8,Sheet9+FormulasOnly</t>
  </si>
  <si>
    <t>Auto+Hide+Values+Formulas=Sheet13,Sheet10,Sheet11</t>
  </si>
  <si>
    <t>Auto+Hide+Values+Formulas=Sheet13,Sheet10,Sheet11+FormulasOnly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</si>
</sst>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0.0%"/>
  </numFmts>
  <fonts count="34" x14ac:knownFonts="1">
    <font>
      <sz val="10"/>
      <name val="Arial"/>
    </font>
    <font>
      <sz val="11"/>
      <color theme="1"/>
      <name val="Calibri"/>
      <family val="2"/>
      <scheme val="minor"/>
    </font>
    <font>
      <sz val="10"/>
      <name val="Arial"/>
      <family val="2"/>
    </font>
    <font>
      <sz val="8"/>
      <name val="Arial"/>
      <family val="2"/>
    </font>
    <font>
      <sz val="10"/>
      <name val="Arial"/>
      <family val="2"/>
    </font>
    <font>
      <u/>
      <sz val="10"/>
      <color indexed="12"/>
      <name val="Arial"/>
      <family val="2"/>
    </font>
    <font>
      <sz val="10"/>
      <name val="Arial"/>
      <family val="2"/>
    </font>
    <font>
      <sz val="10"/>
      <name val="Calibri"/>
      <family val="2"/>
      <scheme val="minor"/>
    </font>
    <font>
      <b/>
      <sz val="11"/>
      <name val="Calibri"/>
      <family val="2"/>
      <scheme val="minor"/>
    </font>
    <font>
      <sz val="10"/>
      <color theme="0" tint="-0.499984740745262"/>
      <name val="Calibri"/>
      <family val="2"/>
      <scheme val="minor"/>
    </font>
    <font>
      <sz val="9"/>
      <color indexed="55"/>
      <name val="Segoe UI"/>
      <family val="2"/>
    </font>
    <font>
      <sz val="9"/>
      <name val="Segoe UI"/>
      <family val="2"/>
    </font>
    <font>
      <sz val="11"/>
      <name val="Segoe UI"/>
      <family val="2"/>
    </font>
    <font>
      <sz val="11"/>
      <color indexed="55"/>
      <name val="Segoe UI"/>
      <family val="2"/>
    </font>
    <font>
      <b/>
      <sz val="18"/>
      <color theme="6" tint="-0.249977111117893"/>
      <name val="Segoe UI"/>
      <family val="2"/>
    </font>
    <font>
      <b/>
      <sz val="11"/>
      <color indexed="48"/>
      <name val="Segoe UI"/>
      <family val="2"/>
    </font>
    <font>
      <b/>
      <sz val="16"/>
      <color theme="6" tint="-0.249977111117893"/>
      <name val="Segoe UI"/>
      <family val="2"/>
    </font>
    <font>
      <b/>
      <i/>
      <sz val="12"/>
      <color theme="6" tint="-0.249977111117893"/>
      <name val="Segoe UI"/>
      <family val="2"/>
    </font>
    <font>
      <b/>
      <i/>
      <sz val="11"/>
      <color indexed="48"/>
      <name val="Segoe UI"/>
      <family val="2"/>
    </font>
    <font>
      <b/>
      <sz val="11"/>
      <name val="Segoe UI"/>
      <family val="2"/>
    </font>
    <font>
      <b/>
      <sz val="11"/>
      <color theme="0"/>
      <name val="Segoe UI"/>
      <family val="2"/>
    </font>
    <font>
      <b/>
      <sz val="10"/>
      <name val="Segoe UI"/>
      <family val="2"/>
    </font>
    <font>
      <sz val="10"/>
      <color indexed="48"/>
      <name val="Segoe UI"/>
      <family val="2"/>
    </font>
    <font>
      <sz val="10"/>
      <name val="Segoe UI"/>
      <family val="2"/>
    </font>
    <font>
      <b/>
      <i/>
      <sz val="11"/>
      <color theme="0"/>
      <name val="Segoe UI"/>
      <family val="2"/>
    </font>
    <font>
      <b/>
      <sz val="12"/>
      <name val="Segoe UI"/>
      <family val="2"/>
    </font>
    <font>
      <sz val="9"/>
      <color theme="0" tint="-0.499984740745262"/>
      <name val="Arial"/>
      <family val="2"/>
    </font>
    <font>
      <sz val="9"/>
      <name val="Arial"/>
      <family val="2"/>
    </font>
    <font>
      <sz val="9"/>
      <color rgb="FF000000"/>
      <name val="Segoe UI"/>
      <family val="2"/>
    </font>
    <font>
      <sz val="9"/>
      <color rgb="FF969696"/>
      <name val="Segoe UI"/>
      <family val="2"/>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8">
    <fill>
      <patternFill patternType="none"/>
    </fill>
    <fill>
      <patternFill patternType="gray125"/>
    </fill>
    <fill>
      <patternFill patternType="solid">
        <fgColor indexed="22"/>
        <bgColor indexed="64"/>
      </patternFill>
    </fill>
    <fill>
      <patternFill patternType="solid">
        <fgColor theme="6" tint="-0.499984740745262"/>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5" tint="0.59999389629810485"/>
        <bgColor indexed="64"/>
      </patternFill>
    </fill>
  </fills>
  <borders count="15">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s>
  <cellStyleXfs count="7">
    <xf numFmtId="0" fontId="0" fillId="0" borderId="0"/>
    <xf numFmtId="43" fontId="2" fillId="0" borderId="0" applyFont="0" applyFill="0" applyBorder="0" applyAlignment="0" applyProtection="0"/>
    <xf numFmtId="0" fontId="4" fillId="0" borderId="0"/>
    <xf numFmtId="0" fontId="6" fillId="0" borderId="0"/>
    <xf numFmtId="9" fontId="2" fillId="0" borderId="0" applyFont="0" applyFill="0" applyBorder="0" applyAlignment="0" applyProtection="0"/>
    <xf numFmtId="0" fontId="1" fillId="0" borderId="0"/>
    <xf numFmtId="0" fontId="5" fillId="0" borderId="0" applyNumberFormat="0" applyFill="0" applyBorder="0" applyAlignment="0" applyProtection="0">
      <alignment vertical="top"/>
      <protection locked="0"/>
    </xf>
  </cellStyleXfs>
  <cellXfs count="82">
    <xf numFmtId="0" fontId="0" fillId="0" borderId="0" xfId="0"/>
    <xf numFmtId="0" fontId="0" fillId="0" borderId="0" xfId="0" quotePrefix="1"/>
    <xf numFmtId="0" fontId="7" fillId="0" borderId="0" xfId="0" applyFont="1"/>
    <xf numFmtId="0" fontId="7" fillId="0" borderId="0" xfId="0" applyNumberFormat="1" applyFont="1"/>
    <xf numFmtId="0" fontId="8" fillId="4" borderId="0" xfId="0" applyFont="1" applyFill="1"/>
    <xf numFmtId="0" fontId="9" fillId="0" borderId="0" xfId="0" applyFont="1"/>
    <xf numFmtId="0" fontId="10" fillId="0" borderId="0" xfId="0" applyFont="1"/>
    <xf numFmtId="0" fontId="11" fillId="0" borderId="0" xfId="0" applyFont="1"/>
    <xf numFmtId="0" fontId="12" fillId="0" borderId="0" xfId="0" applyFont="1"/>
    <xf numFmtId="0" fontId="13" fillId="0" borderId="0" xfId="0" applyFont="1"/>
    <xf numFmtId="43" fontId="12" fillId="0" borderId="0" xfId="1" applyFont="1"/>
    <xf numFmtId="0" fontId="14" fillId="0" borderId="0" xfId="0" applyFont="1" applyFill="1" applyBorder="1" applyAlignment="1"/>
    <xf numFmtId="0" fontId="15" fillId="0" borderId="0" xfId="0" applyFont="1" applyFill="1" applyBorder="1" applyAlignment="1"/>
    <xf numFmtId="0" fontId="16" fillId="0" borderId="0" xfId="0" applyFont="1" applyFill="1" applyBorder="1" applyAlignment="1"/>
    <xf numFmtId="0" fontId="17" fillId="0" borderId="0" xfId="0" applyFont="1" applyFill="1" applyBorder="1" applyAlignment="1"/>
    <xf numFmtId="0" fontId="18" fillId="0" borderId="0" xfId="0" applyFont="1" applyFill="1" applyBorder="1" applyAlignment="1"/>
    <xf numFmtId="43" fontId="13" fillId="0" borderId="0" xfId="1" applyFont="1"/>
    <xf numFmtId="0" fontId="19" fillId="0" borderId="0" xfId="0" applyFont="1" applyBorder="1" applyAlignment="1"/>
    <xf numFmtId="14" fontId="19" fillId="0" borderId="0" xfId="0" applyNumberFormat="1" applyFont="1" applyBorder="1" applyAlignment="1"/>
    <xf numFmtId="14" fontId="19" fillId="0" borderId="0" xfId="0" applyNumberFormat="1" applyFont="1" applyAlignment="1"/>
    <xf numFmtId="0" fontId="13" fillId="2" borderId="0" xfId="0" applyFont="1" applyFill="1"/>
    <xf numFmtId="0" fontId="10" fillId="2" borderId="0" xfId="0" applyFont="1" applyFill="1"/>
    <xf numFmtId="0" fontId="20" fillId="3" borderId="0" xfId="0" applyFont="1" applyFill="1"/>
    <xf numFmtId="0" fontId="23" fillId="0" borderId="0" xfId="0" applyFont="1"/>
    <xf numFmtId="43" fontId="23" fillId="0" borderId="0" xfId="1" applyFont="1"/>
    <xf numFmtId="0" fontId="21" fillId="0" borderId="0" xfId="0" applyFont="1"/>
    <xf numFmtId="43" fontId="21" fillId="0" borderId="0" xfId="1" applyFont="1"/>
    <xf numFmtId="43" fontId="21" fillId="0" borderId="0" xfId="1" applyFont="1" applyAlignment="1">
      <alignment horizontal="right"/>
    </xf>
    <xf numFmtId="43" fontId="20" fillId="3" borderId="0" xfId="1" applyFont="1" applyFill="1" applyAlignment="1">
      <alignment horizontal="right" wrapText="1"/>
    </xf>
    <xf numFmtId="43" fontId="20" fillId="3" borderId="0" xfId="1" applyFont="1" applyFill="1" applyAlignment="1">
      <alignment horizontal="right"/>
    </xf>
    <xf numFmtId="2" fontId="24" fillId="3" borderId="0" xfId="1" applyNumberFormat="1" applyFont="1" applyFill="1" applyAlignment="1">
      <alignment horizontal="right" wrapText="1"/>
    </xf>
    <xf numFmtId="1" fontId="20" fillId="3" borderId="0" xfId="1" applyNumberFormat="1" applyFont="1" applyFill="1" applyAlignment="1">
      <alignment horizontal="right"/>
    </xf>
    <xf numFmtId="43" fontId="24" fillId="3" borderId="0" xfId="1" applyFont="1" applyFill="1" applyAlignment="1">
      <alignment horizontal="right"/>
    </xf>
    <xf numFmtId="0" fontId="21" fillId="5" borderId="1" xfId="0" applyFont="1" applyFill="1" applyBorder="1"/>
    <xf numFmtId="43" fontId="21" fillId="5" borderId="1" xfId="1" applyFont="1" applyFill="1" applyBorder="1"/>
    <xf numFmtId="164" fontId="23" fillId="0" borderId="0" xfId="4" applyNumberFormat="1" applyFont="1"/>
    <xf numFmtId="164" fontId="23" fillId="0" borderId="0" xfId="1" applyNumberFormat="1" applyFont="1"/>
    <xf numFmtId="164" fontId="21" fillId="5" borderId="1" xfId="4" applyNumberFormat="1" applyFont="1" applyFill="1" applyBorder="1"/>
    <xf numFmtId="164" fontId="21" fillId="0" borderId="0" xfId="1" applyNumberFormat="1" applyFont="1"/>
    <xf numFmtId="164" fontId="12" fillId="0" borderId="0" xfId="1" applyNumberFormat="1" applyFont="1"/>
    <xf numFmtId="164" fontId="20" fillId="3" borderId="0" xfId="4" applyNumberFormat="1" applyFont="1" applyFill="1" applyAlignment="1">
      <alignment horizontal="right"/>
    </xf>
    <xf numFmtId="164" fontId="12" fillId="0" borderId="0" xfId="4" applyNumberFormat="1" applyFont="1"/>
    <xf numFmtId="0" fontId="10" fillId="6" borderId="0" xfId="0" applyFont="1" applyFill="1"/>
    <xf numFmtId="0" fontId="13" fillId="6" borderId="0" xfId="0" applyFont="1" applyFill="1"/>
    <xf numFmtId="0" fontId="11" fillId="6" borderId="0" xfId="0" applyFont="1" applyFill="1"/>
    <xf numFmtId="43" fontId="11" fillId="6" borderId="0" xfId="1" applyFont="1" applyFill="1"/>
    <xf numFmtId="43" fontId="13" fillId="0" borderId="0" xfId="1" applyFont="1" applyAlignment="1">
      <alignment horizontal="right"/>
    </xf>
    <xf numFmtId="0" fontId="26" fillId="0" borderId="0" xfId="0" applyFont="1" applyFill="1"/>
    <xf numFmtId="0" fontId="27" fillId="0" borderId="0" xfId="0" applyFont="1"/>
    <xf numFmtId="0" fontId="28" fillId="0" borderId="0" xfId="0" applyNumberFormat="1" applyFont="1" applyAlignment="1"/>
    <xf numFmtId="0" fontId="29" fillId="0" borderId="0" xfId="0" applyNumberFormat="1" applyFont="1" applyAlignment="1"/>
    <xf numFmtId="0" fontId="21" fillId="5" borderId="2" xfId="0" applyFont="1" applyFill="1" applyBorder="1"/>
    <xf numFmtId="43" fontId="22" fillId="0" borderId="3" xfId="1" applyFont="1" applyFill="1" applyBorder="1"/>
    <xf numFmtId="164" fontId="22" fillId="0" borderId="3" xfId="1" applyNumberFormat="1" applyFont="1" applyFill="1" applyBorder="1"/>
    <xf numFmtId="0" fontId="22" fillId="0" borderId="3" xfId="0" applyFont="1" applyFill="1" applyBorder="1"/>
    <xf numFmtId="164" fontId="22" fillId="0" borderId="4" xfId="4" applyNumberFormat="1" applyFont="1" applyFill="1" applyBorder="1"/>
    <xf numFmtId="0" fontId="23" fillId="0" borderId="5" xfId="0" applyFont="1" applyBorder="1"/>
    <xf numFmtId="43" fontId="23" fillId="0" borderId="0" xfId="1" applyFont="1" applyBorder="1"/>
    <xf numFmtId="164" fontId="23" fillId="0" borderId="0" xfId="4" applyNumberFormat="1" applyFont="1" applyBorder="1"/>
    <xf numFmtId="164" fontId="23" fillId="0" borderId="6" xfId="4" applyNumberFormat="1" applyFont="1" applyBorder="1"/>
    <xf numFmtId="164" fontId="23" fillId="0" borderId="0" xfId="1" applyNumberFormat="1" applyFont="1" applyBorder="1"/>
    <xf numFmtId="0" fontId="23" fillId="0" borderId="0" xfId="0" applyFont="1" applyBorder="1"/>
    <xf numFmtId="164" fontId="21" fillId="5" borderId="7" xfId="4" applyNumberFormat="1" applyFont="1" applyFill="1" applyBorder="1"/>
    <xf numFmtId="0" fontId="21" fillId="0" borderId="5" xfId="0" applyFont="1" applyBorder="1"/>
    <xf numFmtId="43" fontId="21" fillId="0" borderId="0" xfId="1" applyFont="1" applyBorder="1"/>
    <xf numFmtId="0" fontId="23" fillId="0" borderId="8" xfId="0" applyFont="1" applyBorder="1"/>
    <xf numFmtId="43" fontId="23" fillId="0" borderId="9" xfId="1" applyFont="1" applyBorder="1"/>
    <xf numFmtId="164" fontId="23" fillId="0" borderId="9" xfId="4" applyNumberFormat="1" applyFont="1" applyBorder="1"/>
    <xf numFmtId="164" fontId="23" fillId="0" borderId="10" xfId="4" applyNumberFormat="1" applyFont="1" applyBorder="1"/>
    <xf numFmtId="0" fontId="25" fillId="5" borderId="11" xfId="0" applyFont="1" applyFill="1" applyBorder="1"/>
    <xf numFmtId="43" fontId="25" fillId="5" borderId="12" xfId="1" applyFont="1" applyFill="1" applyBorder="1"/>
    <xf numFmtId="164" fontId="25" fillId="5" borderId="12" xfId="4" applyNumberFormat="1" applyFont="1" applyFill="1" applyBorder="1"/>
    <xf numFmtId="164" fontId="25" fillId="5" borderId="13" xfId="4" applyNumberFormat="1" applyFont="1" applyFill="1" applyBorder="1"/>
    <xf numFmtId="0" fontId="30" fillId="0" borderId="0" xfId="5" applyFont="1"/>
    <xf numFmtId="0" fontId="30" fillId="0" borderId="0" xfId="5" applyFont="1" applyAlignment="1">
      <alignment vertical="top"/>
    </xf>
    <xf numFmtId="0" fontId="30" fillId="0" borderId="0" xfId="5" applyFont="1" applyAlignment="1">
      <alignment vertical="top" wrapText="1"/>
    </xf>
    <xf numFmtId="0" fontId="31" fillId="0" borderId="0" xfId="5" applyFont="1" applyAlignment="1">
      <alignment vertical="top"/>
    </xf>
    <xf numFmtId="0" fontId="32" fillId="0" borderId="0" xfId="5" applyFont="1" applyAlignment="1">
      <alignment vertical="top"/>
    </xf>
    <xf numFmtId="0" fontId="33" fillId="0" borderId="0" xfId="5" applyFont="1" applyAlignment="1">
      <alignment vertical="top"/>
    </xf>
    <xf numFmtId="0" fontId="5" fillId="0" borderId="0" xfId="6" applyAlignment="1" applyProtection="1">
      <alignment vertical="top"/>
    </xf>
    <xf numFmtId="0" fontId="7" fillId="0" borderId="0" xfId="0" quotePrefix="1" applyFont="1"/>
    <xf numFmtId="0" fontId="30" fillId="7" borderId="14" xfId="5" applyFont="1" applyFill="1" applyBorder="1" applyAlignment="1">
      <alignment vertical="top" wrapText="1"/>
    </xf>
  </cellXfs>
  <cellStyles count="7">
    <cellStyle name="Comma" xfId="1" builtinId="3"/>
    <cellStyle name="Hyperlink 3" xfId="6"/>
    <cellStyle name="Normal" xfId="0" builtinId="0"/>
    <cellStyle name="Normal 2" xfId="2"/>
    <cellStyle name="Normal 2 2" xfId="3"/>
    <cellStyle name="Normal 3" xfId="5"/>
    <cellStyle name="Percent" xfId="4"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E3EAF1"/>
      <rgbColor rgb="00CCFFFF"/>
      <rgbColor rgb="00CCFFCC"/>
      <rgbColor rgb="00E1E1D1"/>
      <rgbColor rgb="0099CCFF"/>
      <rgbColor rgb="00FF99CC"/>
      <rgbColor rgb="00CC99FF"/>
      <rgbColor rgb="00FFCC99"/>
      <rgbColor rgb="000074AB"/>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DA484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E29"/>
  <sheetViews>
    <sheetView showGridLines="0" tabSelected="1" topLeftCell="B3" workbookViewId="0"/>
  </sheetViews>
  <sheetFormatPr defaultColWidth="9.140625" defaultRowHeight="14.25" x14ac:dyDescent="0.25"/>
  <cols>
    <col min="1" max="1" width="3.42578125" style="73" hidden="1" customWidth="1"/>
    <col min="2" max="2" width="10.28515625" style="73" customWidth="1"/>
    <col min="3" max="3" width="27.140625" style="74" customWidth="1"/>
    <col min="4" max="4" width="77.28515625" style="75" customWidth="1"/>
    <col min="5" max="5" width="36.42578125" style="73" customWidth="1"/>
    <col min="6" max="16384" width="9.140625" style="73"/>
  </cols>
  <sheetData>
    <row r="1" spans="1:5" hidden="1" x14ac:dyDescent="0.25">
      <c r="A1" s="73" t="s">
        <v>940</v>
      </c>
    </row>
    <row r="7" spans="1:5" ht="30.75" x14ac:dyDescent="0.25">
      <c r="C7" s="76" t="s">
        <v>29</v>
      </c>
    </row>
    <row r="9" spans="1:5" x14ac:dyDescent="0.25">
      <c r="C9" s="77"/>
    </row>
    <row r="10" spans="1:5" x14ac:dyDescent="0.25">
      <c r="C10" s="78" t="s">
        <v>30</v>
      </c>
      <c r="D10" s="75" t="s">
        <v>958</v>
      </c>
    </row>
    <row r="11" spans="1:5" x14ac:dyDescent="0.25">
      <c r="C11" s="78"/>
    </row>
    <row r="12" spans="1:5" x14ac:dyDescent="0.25">
      <c r="C12" s="78" t="s">
        <v>31</v>
      </c>
      <c r="D12" s="75" t="s">
        <v>941</v>
      </c>
    </row>
    <row r="13" spans="1:5" ht="28.5" x14ac:dyDescent="0.25">
      <c r="C13" s="78"/>
      <c r="D13" s="81" t="s">
        <v>1214</v>
      </c>
    </row>
    <row r="14" spans="1:5" x14ac:dyDescent="0.25">
      <c r="C14" s="78"/>
    </row>
    <row r="15" spans="1:5" ht="57" x14ac:dyDescent="0.25">
      <c r="C15" s="78" t="s">
        <v>32</v>
      </c>
      <c r="D15" s="75" t="s">
        <v>942</v>
      </c>
      <c r="E15" s="79" t="s">
        <v>943</v>
      </c>
    </row>
    <row r="16" spans="1:5" x14ac:dyDescent="0.25">
      <c r="C16" s="78"/>
      <c r="E16" s="74"/>
    </row>
    <row r="17" spans="3:5" ht="28.5" x14ac:dyDescent="0.25">
      <c r="C17" s="78" t="s">
        <v>944</v>
      </c>
      <c r="D17" s="75" t="s">
        <v>945</v>
      </c>
      <c r="E17" s="79" t="s">
        <v>946</v>
      </c>
    </row>
    <row r="18" spans="3:5" x14ac:dyDescent="0.25">
      <c r="C18" s="78"/>
      <c r="E18" s="74"/>
    </row>
    <row r="19" spans="3:5" ht="57" x14ac:dyDescent="0.25">
      <c r="C19" s="78" t="s">
        <v>947</v>
      </c>
      <c r="D19" s="75" t="s">
        <v>948</v>
      </c>
      <c r="E19" s="79" t="s">
        <v>949</v>
      </c>
    </row>
    <row r="20" spans="3:5" x14ac:dyDescent="0.25">
      <c r="C20" s="78"/>
      <c r="E20" s="74"/>
    </row>
    <row r="21" spans="3:5" ht="30.75" customHeight="1" x14ac:dyDescent="0.25">
      <c r="C21" s="78" t="s">
        <v>33</v>
      </c>
      <c r="D21" s="75" t="s">
        <v>950</v>
      </c>
      <c r="E21" s="79" t="s">
        <v>951</v>
      </c>
    </row>
    <row r="22" spans="3:5" x14ac:dyDescent="0.25">
      <c r="C22" s="78"/>
      <c r="E22" s="74"/>
    </row>
    <row r="23" spans="3:5" ht="14.25" customHeight="1" x14ac:dyDescent="0.25">
      <c r="C23" s="78" t="s">
        <v>34</v>
      </c>
      <c r="D23" s="75" t="s">
        <v>952</v>
      </c>
      <c r="E23" s="79" t="s">
        <v>953</v>
      </c>
    </row>
    <row r="24" spans="3:5" x14ac:dyDescent="0.25">
      <c r="C24" s="78"/>
      <c r="E24" s="74"/>
    </row>
    <row r="25" spans="3:5" ht="15" customHeight="1" x14ac:dyDescent="0.25">
      <c r="C25" s="78" t="s">
        <v>35</v>
      </c>
      <c r="D25" s="75" t="s">
        <v>954</v>
      </c>
      <c r="E25" s="79" t="s">
        <v>955</v>
      </c>
    </row>
    <row r="26" spans="3:5" x14ac:dyDescent="0.25">
      <c r="C26" s="78"/>
    </row>
    <row r="27" spans="3:5" ht="71.25" x14ac:dyDescent="0.25">
      <c r="C27" s="78" t="s">
        <v>36</v>
      </c>
      <c r="D27" s="75" t="s">
        <v>956</v>
      </c>
    </row>
    <row r="28" spans="3:5" x14ac:dyDescent="0.25">
      <c r="C28" s="78"/>
    </row>
    <row r="29" spans="3:5" ht="17.25" customHeight="1" x14ac:dyDescent="0.25">
      <c r="C29" s="78" t="s">
        <v>37</v>
      </c>
      <c r="D29" s="75" t="s">
        <v>957</v>
      </c>
    </row>
  </sheetData>
  <hyperlinks>
    <hyperlink ref="E21" r:id="rId1"/>
    <hyperlink ref="E17" r:id="rId2"/>
    <hyperlink ref="E15" r:id="rId3"/>
    <hyperlink ref="E25" r:id="rId4"/>
    <hyperlink ref="E19" r:id="rId5"/>
    <hyperlink ref="E23"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heetViews>
  <sheetFormatPr defaultColWidth="9.140625" defaultRowHeight="12.75" x14ac:dyDescent="0.2"/>
  <cols>
    <col min="1" max="1" width="8.85546875" style="2" hidden="1" customWidth="1"/>
    <col min="2" max="3" width="9.140625" style="2"/>
    <col min="4" max="4" width="12.85546875" style="2" customWidth="1"/>
    <col min="5" max="16384" width="9.140625" style="2"/>
  </cols>
  <sheetData>
    <row r="1" spans="1:8" hidden="1" x14ac:dyDescent="0.2">
      <c r="A1" s="5" t="s">
        <v>1217</v>
      </c>
      <c r="B1" s="5"/>
      <c r="C1" s="5"/>
      <c r="D1" s="5" t="s">
        <v>6</v>
      </c>
      <c r="E1" s="5" t="s">
        <v>7</v>
      </c>
      <c r="F1" s="5" t="s">
        <v>8</v>
      </c>
      <c r="G1" s="5" t="s">
        <v>24</v>
      </c>
      <c r="H1" s="5" t="s">
        <v>25</v>
      </c>
    </row>
    <row r="2" spans="1:8" x14ac:dyDescent="0.2">
      <c r="A2" s="5"/>
    </row>
    <row r="3" spans="1:8" ht="15" x14ac:dyDescent="0.25">
      <c r="A3" s="5"/>
      <c r="D3" s="4" t="s">
        <v>156</v>
      </c>
      <c r="E3" s="4"/>
    </row>
    <row r="4" spans="1:8" x14ac:dyDescent="0.2">
      <c r="A4" s="5" t="s">
        <v>5</v>
      </c>
      <c r="D4" s="2" t="s">
        <v>4</v>
      </c>
      <c r="E4" s="2" t="str">
        <f>"2017"</f>
        <v>2017</v>
      </c>
      <c r="F4" s="2" t="str">
        <f>"Lookup"</f>
        <v>Lookup</v>
      </c>
    </row>
    <row r="5" spans="1:8" x14ac:dyDescent="0.2">
      <c r="A5" s="5" t="s">
        <v>5</v>
      </c>
      <c r="D5" s="2" t="s">
        <v>20</v>
      </c>
      <c r="E5" s="2" t="str">
        <f>"3"</f>
        <v>3</v>
      </c>
      <c r="F5" s="2" t="str">
        <f>"Lookup"</f>
        <v>Lookup</v>
      </c>
    </row>
    <row r="6" spans="1:8" x14ac:dyDescent="0.2">
      <c r="A6" s="5" t="s">
        <v>5</v>
      </c>
      <c r="D6" s="2" t="s">
        <v>19</v>
      </c>
      <c r="E6" s="2" t="str">
        <f>"6"</f>
        <v>6</v>
      </c>
      <c r="F6" s="2" t="str">
        <f>"Lookup"</f>
        <v>Lookup</v>
      </c>
    </row>
    <row r="7" spans="1:8" x14ac:dyDescent="0.2">
      <c r="A7" s="5" t="s">
        <v>5</v>
      </c>
      <c r="C7" s="2">
        <v>1</v>
      </c>
      <c r="D7" s="3" t="str">
        <f>"Division"</f>
        <v>Division</v>
      </c>
      <c r="E7" s="80" t="str">
        <f>"000"</f>
        <v>000</v>
      </c>
      <c r="F7" s="2" t="str">
        <f>"Lookup"</f>
        <v>Lookup</v>
      </c>
      <c r="G7" s="2" t="str">
        <f>IF(AND(E7&lt;&gt;"","Division"=""),"FALSE","TRUE")</f>
        <v>TRUE</v>
      </c>
      <c r="H7" s="2" t="s">
        <v>26</v>
      </c>
    </row>
    <row r="8" spans="1:8" x14ac:dyDescent="0.2">
      <c r="A8" s="5" t="s">
        <v>5</v>
      </c>
      <c r="C8" s="2">
        <v>2</v>
      </c>
      <c r="D8" s="3" t="str">
        <f>"Account"</f>
        <v>Account</v>
      </c>
      <c r="E8" s="3" t="s">
        <v>23</v>
      </c>
      <c r="F8" s="2" t="str">
        <f>"Lookup"</f>
        <v>Lookup</v>
      </c>
      <c r="G8" s="2" t="str">
        <f>IF(AND(E8&lt;&gt;"","Account"=""),"FALSE","TRUE")</f>
        <v>TRUE</v>
      </c>
      <c r="H8" s="2" t="s">
        <v>26</v>
      </c>
    </row>
    <row r="9" spans="1:8" x14ac:dyDescent="0.2">
      <c r="A9" s="5" t="s">
        <v>5</v>
      </c>
      <c r="C9" s="2">
        <v>3</v>
      </c>
      <c r="D9" s="3" t="str">
        <f>"Department"</f>
        <v>Department</v>
      </c>
      <c r="E9" s="3" t="s">
        <v>23</v>
      </c>
      <c r="F9" s="2" t="str">
        <f>"Lookup"</f>
        <v>Lookup</v>
      </c>
      <c r="G9" s="2" t="str">
        <f>IF(AND(E9&lt;&gt;"","Department"=""),"FALSE","TRUE")</f>
        <v>TRUE</v>
      </c>
      <c r="H9" s="2" t="s">
        <v>26</v>
      </c>
    </row>
    <row r="10" spans="1:8" x14ac:dyDescent="0.2">
      <c r="A10" s="5"/>
      <c r="C10" s="2">
        <v>4</v>
      </c>
      <c r="D10" s="2" t="str">
        <f>""</f>
        <v/>
      </c>
      <c r="G10" s="2" t="str">
        <f>IF(AND(E10&lt;&gt;"",""=""),"FALSE","TRUE")</f>
        <v>TRUE</v>
      </c>
      <c r="H10" s="2" t="s">
        <v>26</v>
      </c>
    </row>
    <row r="11" spans="1:8" x14ac:dyDescent="0.2">
      <c r="A11" s="5"/>
      <c r="C11" s="2">
        <v>5</v>
      </c>
      <c r="D11" s="2" t="str">
        <f>""</f>
        <v/>
      </c>
      <c r="G11" s="2" t="str">
        <f>IF(AND(E11&lt;&gt;"",""=""),"FALSE","TRUE")</f>
        <v>TRUE</v>
      </c>
      <c r="H11" s="2" t="s">
        <v>26</v>
      </c>
    </row>
    <row r="12" spans="1:8" x14ac:dyDescent="0.2">
      <c r="A12" s="5"/>
      <c r="C12" s="2">
        <v>6</v>
      </c>
      <c r="D12" s="2" t="str">
        <f>""</f>
        <v/>
      </c>
      <c r="G12" s="2" t="str">
        <f>IF(AND(E12&lt;&gt;"",""=""),"FALSE","TRUE")</f>
        <v>TRUE</v>
      </c>
      <c r="H12" s="2" t="s">
        <v>26</v>
      </c>
    </row>
    <row r="13" spans="1:8" x14ac:dyDescent="0.2">
      <c r="A13" s="5"/>
      <c r="C13" s="2">
        <v>7</v>
      </c>
      <c r="D13" s="2" t="str">
        <f>""</f>
        <v/>
      </c>
      <c r="G13" s="2" t="str">
        <f>IF(AND(E13&lt;&gt;"",""=""),"FALSE","TRUE")</f>
        <v>TRUE</v>
      </c>
      <c r="H13" s="2" t="s">
        <v>26</v>
      </c>
    </row>
    <row r="14" spans="1:8" x14ac:dyDescent="0.2">
      <c r="A14" s="5"/>
      <c r="C14" s="2">
        <v>8</v>
      </c>
      <c r="D14" s="2" t="str">
        <f>""</f>
        <v/>
      </c>
      <c r="G14" s="2" t="str">
        <f>IF(AND(E14&lt;&gt;"",""=""),"FALSE","TRUE")</f>
        <v>TRUE</v>
      </c>
      <c r="H14" s="2" t="s">
        <v>26</v>
      </c>
    </row>
    <row r="15" spans="1:8" x14ac:dyDescent="0.2">
      <c r="A15" s="5"/>
      <c r="C15" s="2">
        <v>9</v>
      </c>
      <c r="D15" s="2" t="str">
        <f>""</f>
        <v/>
      </c>
      <c r="G15" s="2" t="str">
        <f>IF(AND(E15&lt;&gt;"",""=""),"FALSE","TRUE")</f>
        <v>TRUE</v>
      </c>
      <c r="H15" s="2" t="s">
        <v>26</v>
      </c>
    </row>
    <row r="16" spans="1:8" x14ac:dyDescent="0.2">
      <c r="A16" s="5"/>
      <c r="C16" s="2">
        <v>10</v>
      </c>
      <c r="D16" s="2" t="str">
        <f>""</f>
        <v/>
      </c>
      <c r="G16" s="2" t="str">
        <f>IF(AND(E16&lt;&gt;"",""=""),"FALSE","TRUE")</f>
        <v>TRUE</v>
      </c>
      <c r="H16" s="2" t="s">
        <v>26</v>
      </c>
    </row>
    <row r="17" spans="1:6" x14ac:dyDescent="0.2">
      <c r="A17" s="47" t="s">
        <v>5</v>
      </c>
      <c r="B17" s="48"/>
      <c r="C17" s="48"/>
      <c r="D17" s="48" t="s">
        <v>264</v>
      </c>
      <c r="E17" s="48" t="str">
        <f>"Yes"</f>
        <v>Yes</v>
      </c>
      <c r="F17" s="48" t="str">
        <f>"Lookup"</f>
        <v>Lookup</v>
      </c>
    </row>
  </sheetData>
  <phoneticPr fontId="3"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62"/>
  <sheetViews>
    <sheetView showGridLines="0" topLeftCell="F2" zoomScale="80" zoomScaleNormal="80" workbookViewId="0"/>
  </sheetViews>
  <sheetFormatPr defaultColWidth="9.140625" defaultRowHeight="16.5" x14ac:dyDescent="0.3"/>
  <cols>
    <col min="1" max="3" width="8.85546875" style="9" hidden="1" customWidth="1"/>
    <col min="4" max="5" width="8.85546875" style="6" hidden="1" customWidth="1"/>
    <col min="6" max="6" width="9" style="7" customWidth="1"/>
    <col min="7" max="7" width="48.5703125" style="8" bestFit="1" customWidth="1"/>
    <col min="8" max="8" width="17" style="10" bestFit="1" customWidth="1"/>
    <col min="9" max="9" width="15.28515625" style="10" bestFit="1" customWidth="1"/>
    <col min="10" max="10" width="14.5703125" style="10" customWidth="1"/>
    <col min="11" max="11" width="12.28515625" style="10" bestFit="1" customWidth="1"/>
    <col min="12" max="12" width="12.85546875" style="8" bestFit="1" customWidth="1"/>
    <col min="13" max="13" width="15.28515625" style="8" bestFit="1" customWidth="1"/>
    <col min="14" max="14" width="9.28515625" style="8" bestFit="1" customWidth="1"/>
    <col min="15" max="15" width="9.140625" style="8"/>
    <col min="16" max="16" width="9.140625" style="9" hidden="1" customWidth="1"/>
    <col min="17" max="17" width="12.85546875" style="8" bestFit="1" customWidth="1"/>
    <col min="18" max="16384" width="9.140625" style="8"/>
  </cols>
  <sheetData>
    <row r="1" spans="1:16" hidden="1" x14ac:dyDescent="0.3">
      <c r="A1" s="42" t="s">
        <v>1219</v>
      </c>
      <c r="B1" s="42" t="s">
        <v>265</v>
      </c>
      <c r="C1" s="42" t="s">
        <v>0</v>
      </c>
      <c r="D1" s="42" t="s">
        <v>0</v>
      </c>
      <c r="E1" s="42" t="s">
        <v>0</v>
      </c>
      <c r="F1" s="44"/>
      <c r="G1" s="44" t="s">
        <v>2</v>
      </c>
      <c r="H1" s="45" t="s">
        <v>251</v>
      </c>
      <c r="I1" s="45" t="s">
        <v>251</v>
      </c>
      <c r="J1" s="45"/>
      <c r="K1" s="45" t="s">
        <v>251</v>
      </c>
      <c r="L1" s="45" t="s">
        <v>251</v>
      </c>
      <c r="M1" s="44"/>
      <c r="N1" s="44"/>
      <c r="O1" s="44"/>
      <c r="P1" s="42" t="s">
        <v>0</v>
      </c>
    </row>
    <row r="2" spans="1:16" x14ac:dyDescent="0.3">
      <c r="A2" s="42"/>
      <c r="B2" s="42"/>
    </row>
    <row r="3" spans="1:16" ht="26.25" x14ac:dyDescent="0.45">
      <c r="A3" s="42"/>
      <c r="B3" s="42"/>
      <c r="G3" s="11" t="s">
        <v>9</v>
      </c>
      <c r="H3" s="12"/>
      <c r="I3" s="12"/>
      <c r="J3" s="12"/>
      <c r="K3" s="12"/>
      <c r="L3" s="12"/>
      <c r="M3" s="12"/>
    </row>
    <row r="4" spans="1:16" ht="25.5" x14ac:dyDescent="0.5">
      <c r="A4" s="42"/>
      <c r="B4" s="42"/>
      <c r="E4" s="6" t="str">
        <f>"2017"</f>
        <v>2017</v>
      </c>
      <c r="G4" s="13" t="str">
        <f>"Fiscal Year "&amp;$E$4</f>
        <v>Fiscal Year 2017</v>
      </c>
      <c r="H4" s="12"/>
      <c r="I4" s="12"/>
      <c r="J4" s="12"/>
      <c r="K4" s="12"/>
      <c r="L4" s="12"/>
      <c r="M4" s="12"/>
    </row>
    <row r="5" spans="1:16" ht="17.25" x14ac:dyDescent="0.3">
      <c r="A5" s="42"/>
      <c r="B5" s="42"/>
      <c r="E5" s="6" t="str">
        <f>"6"</f>
        <v>6</v>
      </c>
      <c r="G5" s="14" t="str">
        <f>"As of Period "&amp;$E$5</f>
        <v>As of Period 6</v>
      </c>
      <c r="H5" s="15"/>
      <c r="I5" s="15"/>
      <c r="J5" s="15"/>
      <c r="K5" s="15"/>
      <c r="L5" s="15"/>
      <c r="M5" s="15"/>
    </row>
    <row r="6" spans="1:16" x14ac:dyDescent="0.3">
      <c r="A6" s="42"/>
      <c r="B6" s="42"/>
      <c r="E6" s="6" t="str">
        <f>"3"</f>
        <v>3</v>
      </c>
    </row>
    <row r="7" spans="1:16" s="9" customFormat="1" x14ac:dyDescent="0.3">
      <c r="A7" s="42"/>
      <c r="B7" s="42"/>
      <c r="D7" s="6"/>
      <c r="E7" s="6" t="str">
        <f>"000"</f>
        <v>000</v>
      </c>
      <c r="F7" s="6"/>
      <c r="G7" s="9" t="s">
        <v>261</v>
      </c>
      <c r="H7" s="46" t="str">
        <f>E7</f>
        <v>000</v>
      </c>
      <c r="I7" s="16"/>
      <c r="J7" s="16"/>
      <c r="K7" s="16"/>
    </row>
    <row r="8" spans="1:16" s="9" customFormat="1" x14ac:dyDescent="0.3">
      <c r="A8" s="42"/>
      <c r="B8" s="42"/>
      <c r="D8" s="6"/>
      <c r="E8" s="6" t="str">
        <f>"*"</f>
        <v>*</v>
      </c>
      <c r="F8" s="6"/>
      <c r="G8" s="9" t="s">
        <v>262</v>
      </c>
      <c r="H8" s="46" t="str">
        <f>E8</f>
        <v>*</v>
      </c>
      <c r="I8" s="16"/>
      <c r="J8" s="16"/>
      <c r="K8" s="16"/>
    </row>
    <row r="9" spans="1:16" s="9" customFormat="1" x14ac:dyDescent="0.3">
      <c r="A9" s="42"/>
      <c r="B9" s="42"/>
      <c r="D9" s="6"/>
      <c r="E9" s="6" t="str">
        <f>"*"</f>
        <v>*</v>
      </c>
      <c r="F9" s="6"/>
      <c r="G9" s="9" t="s">
        <v>263</v>
      </c>
      <c r="H9" s="46" t="str">
        <f>E9</f>
        <v>*</v>
      </c>
      <c r="I9" s="16"/>
      <c r="J9" s="16"/>
      <c r="K9" s="16"/>
    </row>
    <row r="10" spans="1:16" s="9" customFormat="1" hidden="1" x14ac:dyDescent="0.3">
      <c r="A10" s="42" t="s">
        <v>0</v>
      </c>
      <c r="B10" s="42"/>
      <c r="D10" s="6"/>
      <c r="E10" s="6"/>
      <c r="F10" s="6"/>
      <c r="H10" s="16"/>
      <c r="I10" s="16"/>
      <c r="J10" s="16"/>
      <c r="K10" s="16"/>
    </row>
    <row r="11" spans="1:16" s="9" customFormat="1" hidden="1" x14ac:dyDescent="0.3">
      <c r="A11" s="42" t="s">
        <v>0</v>
      </c>
      <c r="B11" s="42"/>
      <c r="D11" s="6"/>
      <c r="E11" s="6"/>
      <c r="F11" s="6"/>
      <c r="H11" s="16"/>
      <c r="I11" s="16"/>
      <c r="J11" s="16"/>
      <c r="K11" s="16"/>
    </row>
    <row r="12" spans="1:16" s="9" customFormat="1" hidden="1" x14ac:dyDescent="0.3">
      <c r="A12" s="42" t="s">
        <v>0</v>
      </c>
      <c r="B12" s="42"/>
      <c r="D12" s="6"/>
      <c r="E12" s="6"/>
      <c r="F12" s="6"/>
      <c r="H12" s="16"/>
      <c r="I12" s="16"/>
      <c r="J12" s="16"/>
      <c r="K12" s="16"/>
    </row>
    <row r="13" spans="1:16" s="9" customFormat="1" ht="18.75" hidden="1" customHeight="1" x14ac:dyDescent="0.3">
      <c r="A13" s="42" t="s">
        <v>0</v>
      </c>
      <c r="B13" s="42"/>
      <c r="D13" s="6"/>
      <c r="E13" s="6"/>
      <c r="F13" s="6"/>
      <c r="H13" s="16"/>
      <c r="I13" s="16"/>
      <c r="J13" s="16"/>
      <c r="K13" s="16"/>
    </row>
    <row r="14" spans="1:16" s="9" customFormat="1" hidden="1" x14ac:dyDescent="0.3">
      <c r="A14" s="42" t="s">
        <v>0</v>
      </c>
      <c r="B14" s="42"/>
      <c r="D14" s="6"/>
      <c r="E14" s="6"/>
      <c r="F14" s="6"/>
      <c r="H14" s="16"/>
      <c r="I14" s="16"/>
      <c r="J14" s="16"/>
      <c r="K14" s="16"/>
    </row>
    <row r="15" spans="1:16" s="9" customFormat="1" hidden="1" x14ac:dyDescent="0.3">
      <c r="A15" s="42" t="s">
        <v>0</v>
      </c>
      <c r="B15" s="42"/>
      <c r="D15" s="6"/>
      <c r="E15" s="6"/>
      <c r="F15" s="6"/>
      <c r="H15" s="16"/>
      <c r="I15" s="16"/>
      <c r="J15" s="16"/>
      <c r="K15" s="16"/>
    </row>
    <row r="16" spans="1:16" s="9" customFormat="1" hidden="1" x14ac:dyDescent="0.3">
      <c r="A16" s="42" t="s">
        <v>0</v>
      </c>
      <c r="B16" s="42"/>
      <c r="D16" s="6"/>
      <c r="E16" s="6"/>
      <c r="F16" s="6"/>
      <c r="H16" s="16"/>
      <c r="I16" s="16"/>
      <c r="J16" s="16"/>
      <c r="K16" s="16"/>
    </row>
    <row r="17" spans="1:16" s="9" customFormat="1" x14ac:dyDescent="0.3">
      <c r="A17" s="43"/>
      <c r="B17" s="43"/>
      <c r="D17" s="6"/>
      <c r="E17" s="6"/>
      <c r="F17" s="6"/>
      <c r="H17" s="16"/>
      <c r="I17" s="16"/>
      <c r="J17" s="16"/>
      <c r="K17" s="16"/>
    </row>
    <row r="18" spans="1:16" s="9" customFormat="1" x14ac:dyDescent="0.3">
      <c r="A18" s="43"/>
      <c r="B18" s="43"/>
      <c r="D18" s="6"/>
      <c r="E18" s="6"/>
      <c r="F18" s="6"/>
      <c r="H18" s="16"/>
      <c r="I18" s="16"/>
      <c r="J18" s="16"/>
      <c r="K18" s="16"/>
      <c r="L18" s="17" t="s">
        <v>28</v>
      </c>
      <c r="M18" s="18">
        <v>43368</v>
      </c>
      <c r="N18" s="19"/>
    </row>
    <row r="19" spans="1:16" x14ac:dyDescent="0.3">
      <c r="A19" s="43"/>
      <c r="B19" s="43"/>
      <c r="E19" s="6" t="s">
        <v>1</v>
      </c>
      <c r="G19" s="29"/>
      <c r="H19" s="31" t="str">
        <f>E4</f>
        <v>2017</v>
      </c>
      <c r="I19" s="31">
        <f>H19-1</f>
        <v>2016</v>
      </c>
      <c r="J19" s="31"/>
      <c r="K19" s="31" t="str">
        <f>E4</f>
        <v>2017</v>
      </c>
      <c r="L19" s="31">
        <f>K19-1</f>
        <v>2016</v>
      </c>
      <c r="M19" s="31"/>
    </row>
    <row r="20" spans="1:16" ht="21.75" customHeight="1" x14ac:dyDescent="0.3">
      <c r="A20" s="43"/>
      <c r="B20" s="43"/>
      <c r="D20" s="6">
        <f>E20</f>
        <v>31</v>
      </c>
      <c r="E20" s="6">
        <v>31</v>
      </c>
      <c r="G20" s="22" t="s">
        <v>21</v>
      </c>
      <c r="H20" s="32" t="str">
        <f>"Period "&amp;StartPeriod&amp;" to "&amp;EndPeriod</f>
        <v>Period 3 to 6</v>
      </c>
      <c r="I20" s="30" t="str">
        <f>"Period "&amp;$E$6&amp;" to "&amp;$E$5</f>
        <v>Period 3 to 6</v>
      </c>
      <c r="J20" s="28" t="s">
        <v>22</v>
      </c>
      <c r="K20" s="29" t="s">
        <v>3</v>
      </c>
      <c r="L20" s="29" t="s">
        <v>3</v>
      </c>
      <c r="M20" s="40" t="s">
        <v>22</v>
      </c>
    </row>
    <row r="21" spans="1:16" x14ac:dyDescent="0.3">
      <c r="A21" s="43"/>
      <c r="B21" s="43"/>
      <c r="D21" s="6">
        <f>D20</f>
        <v>31</v>
      </c>
      <c r="E21" s="6" t="str">
        <f>G21</f>
        <v xml:space="preserve">  Sales</v>
      </c>
      <c r="G21" s="51" t="str">
        <f>"  "&amp;"Sales"</f>
        <v xml:space="preserve">  Sales</v>
      </c>
      <c r="H21" s="52"/>
      <c r="I21" s="52"/>
      <c r="J21" s="53"/>
      <c r="K21" s="52" t="s">
        <v>252</v>
      </c>
      <c r="L21" s="54"/>
      <c r="M21" s="55"/>
    </row>
    <row r="22" spans="1:16" x14ac:dyDescent="0.3">
      <c r="A22" s="43"/>
      <c r="B22" s="50" t="str">
        <f>IF(AND(MAX(H22:M22)=0,MIN(H22:M22)=0,HideEmptyRows="Yes"),"Hide","Show")</f>
        <v>Show</v>
      </c>
      <c r="C22" s="20" t="str">
        <f>"000-4100-00"</f>
        <v>000-4100-00</v>
      </c>
      <c r="D22" s="6">
        <f>D21</f>
        <v>31</v>
      </c>
      <c r="E22" s="6" t="str">
        <f>E21</f>
        <v xml:space="preserve">  Sales</v>
      </c>
      <c r="G22" s="56" t="str">
        <f>"    Sales"</f>
        <v xml:space="preserve">    Sales</v>
      </c>
      <c r="H22" s="57">
        <v>9331.69</v>
      </c>
      <c r="I22" s="57">
        <v>539.54999999999995</v>
      </c>
      <c r="J22" s="58">
        <f>IF(I22=0,0,(H22-I22)/I22)</f>
        <v>16.29532017421926</v>
      </c>
      <c r="K22" s="57">
        <v>9331.69</v>
      </c>
      <c r="L22" s="57">
        <v>4136.55</v>
      </c>
      <c r="M22" s="59">
        <f>IF(L22=0,0,(K22-L22)/L22)</f>
        <v>1.255911327072077</v>
      </c>
      <c r="P22" s="9">
        <f>P21+1</f>
        <v>1</v>
      </c>
    </row>
    <row r="23" spans="1:16" x14ac:dyDescent="0.3">
      <c r="A23" s="43" t="s">
        <v>147</v>
      </c>
      <c r="B23" s="50" t="str">
        <f>IF(AND(MAX(H23:M23)=0,MIN(H23:M23)=0,HideEmptyRows="Yes"),"Hide","Show")</f>
        <v>Show</v>
      </c>
      <c r="C23" s="20" t="str">
        <f>"000-4110-01"</f>
        <v>000-4110-01</v>
      </c>
      <c r="D23" s="6">
        <f>D22</f>
        <v>31</v>
      </c>
      <c r="E23" s="6" t="str">
        <f>E22</f>
        <v xml:space="preserve">  Sales</v>
      </c>
      <c r="G23" s="56" t="str">
        <f>"    US Sales - Retail/Parts"</f>
        <v xml:space="preserve">    US Sales - Retail/Parts</v>
      </c>
      <c r="H23" s="57">
        <v>3238.95</v>
      </c>
      <c r="I23" s="57">
        <v>3229.15</v>
      </c>
      <c r="J23" s="58">
        <f>IF(I23=0,0,(H23-I23)/I23)</f>
        <v>3.034854373441843E-3</v>
      </c>
      <c r="K23" s="57">
        <v>7037.95</v>
      </c>
      <c r="L23" s="57">
        <v>14816.1</v>
      </c>
      <c r="M23" s="59">
        <f>IF(L23=0,0,(K23-L23)/L23)</f>
        <v>-0.52497958302117298</v>
      </c>
      <c r="P23" s="9">
        <f t="shared" ref="P23:P39" si="0">P22+1</f>
        <v>2</v>
      </c>
    </row>
    <row r="24" spans="1:16" x14ac:dyDescent="0.3">
      <c r="A24" s="43" t="s">
        <v>147</v>
      </c>
      <c r="B24" s="50" t="str">
        <f>IF(AND(MAX(H24:M24)=0,MIN(H24:M24)=0,HideEmptyRows="Yes"),"Hide","Show")</f>
        <v>Show</v>
      </c>
      <c r="C24" s="20" t="str">
        <f>"000-4110-02"</f>
        <v>000-4110-02</v>
      </c>
      <c r="D24" s="6">
        <f>D23</f>
        <v>31</v>
      </c>
      <c r="E24" s="6" t="str">
        <f>E23</f>
        <v xml:space="preserve">  Sales</v>
      </c>
      <c r="G24" s="56" t="str">
        <f>"    US Sales - Finished Goods"</f>
        <v xml:space="preserve">    US Sales - Finished Goods</v>
      </c>
      <c r="H24" s="57">
        <v>393070.1</v>
      </c>
      <c r="I24" s="57">
        <v>232691.3</v>
      </c>
      <c r="J24" s="58">
        <f>IF(I24=0,0,(H24-I24)/I24)</f>
        <v>0.68923419139434949</v>
      </c>
      <c r="K24" s="57">
        <v>472876.05</v>
      </c>
      <c r="L24" s="57">
        <v>341454.7</v>
      </c>
      <c r="M24" s="59">
        <f>IF(L24=0,0,(K24-L24)/L24)</f>
        <v>0.38488663357101244</v>
      </c>
      <c r="P24" s="9">
        <f t="shared" si="0"/>
        <v>3</v>
      </c>
    </row>
    <row r="25" spans="1:16" hidden="1" x14ac:dyDescent="0.3">
      <c r="A25" s="43" t="s">
        <v>147</v>
      </c>
      <c r="B25" s="50" t="str">
        <f>IF(AND(MAX(H25:M25)=0,MIN(H25:M25)=0,HideEmptyRows="Yes"),"Hide","Show")</f>
        <v>Hide</v>
      </c>
      <c r="C25" s="20" t="str">
        <f>"000-4111-01"</f>
        <v>000-4111-01</v>
      </c>
      <c r="D25" s="6">
        <f>D24</f>
        <v>31</v>
      </c>
      <c r="E25" s="6" t="str">
        <f>E24</f>
        <v xml:space="preserve">  Sales</v>
      </c>
      <c r="G25" s="56" t="str">
        <f>"    Canadian Sales - Retail/Parts"</f>
        <v xml:space="preserve">    Canadian Sales - Retail/Parts</v>
      </c>
      <c r="H25" s="57">
        <v>0</v>
      </c>
      <c r="I25" s="57">
        <v>0</v>
      </c>
      <c r="J25" s="58">
        <f>IF(I25=0,0,(H25-I25)/I25)</f>
        <v>0</v>
      </c>
      <c r="K25" s="57">
        <v>0</v>
      </c>
      <c r="L25" s="57">
        <v>0</v>
      </c>
      <c r="M25" s="59">
        <f>IF(L25=0,0,(K25-L25)/L25)</f>
        <v>0</v>
      </c>
      <c r="P25" s="9">
        <f t="shared" si="0"/>
        <v>4</v>
      </c>
    </row>
    <row r="26" spans="1:16" hidden="1" x14ac:dyDescent="0.3">
      <c r="A26" s="43" t="s">
        <v>147</v>
      </c>
      <c r="B26" s="50" t="str">
        <f>IF(AND(MAX(H26:M26)=0,MIN(H26:M26)=0,HideEmptyRows="Yes"),"Hide","Show")</f>
        <v>Hide</v>
      </c>
      <c r="C26" s="20" t="str">
        <f>"000-4112-01"</f>
        <v>000-4112-01</v>
      </c>
      <c r="D26" s="6">
        <f>D25</f>
        <v>31</v>
      </c>
      <c r="E26" s="6" t="str">
        <f>E25</f>
        <v xml:space="preserve">  Sales</v>
      </c>
      <c r="G26" s="56" t="str">
        <f>"    AustralAsian Sales - Retail/Parts"</f>
        <v xml:space="preserve">    AustralAsian Sales - Retail/Parts</v>
      </c>
      <c r="H26" s="57">
        <v>0</v>
      </c>
      <c r="I26" s="57">
        <v>0</v>
      </c>
      <c r="J26" s="58">
        <f>IF(I26=0,0,(H26-I26)/I26)</f>
        <v>0</v>
      </c>
      <c r="K26" s="57">
        <v>0</v>
      </c>
      <c r="L26" s="57">
        <v>0</v>
      </c>
      <c r="M26" s="59">
        <f>IF(L26=0,0,(K26-L26)/L26)</f>
        <v>0</v>
      </c>
      <c r="P26" s="9">
        <f t="shared" si="0"/>
        <v>5</v>
      </c>
    </row>
    <row r="27" spans="1:16" hidden="1" x14ac:dyDescent="0.3">
      <c r="A27" s="43" t="s">
        <v>147</v>
      </c>
      <c r="B27" s="50" t="str">
        <f>IF(AND(MAX(H27:M27)=0,MIN(H27:M27)=0,HideEmptyRows="Yes"),"Hide","Show")</f>
        <v>Hide</v>
      </c>
      <c r="C27" s="20" t="str">
        <f>"000-4112-02"</f>
        <v>000-4112-02</v>
      </c>
      <c r="D27" s="6">
        <f>D26</f>
        <v>31</v>
      </c>
      <c r="E27" s="6" t="str">
        <f>E26</f>
        <v xml:space="preserve">  Sales</v>
      </c>
      <c r="G27" s="56" t="str">
        <f>"    AustralAsian Sales - Finished Goods"</f>
        <v xml:space="preserve">    AustralAsian Sales - Finished Goods</v>
      </c>
      <c r="H27" s="57">
        <v>0</v>
      </c>
      <c r="I27" s="57">
        <v>0</v>
      </c>
      <c r="J27" s="58">
        <f>IF(I27=0,0,(H27-I27)/I27)</f>
        <v>0</v>
      </c>
      <c r="K27" s="57">
        <v>0</v>
      </c>
      <c r="L27" s="57">
        <v>0</v>
      </c>
      <c r="M27" s="59">
        <f>IF(L27=0,0,(K27-L27)/L27)</f>
        <v>0</v>
      </c>
      <c r="P27" s="9">
        <f t="shared" si="0"/>
        <v>6</v>
      </c>
    </row>
    <row r="28" spans="1:16" hidden="1" x14ac:dyDescent="0.3">
      <c r="A28" s="43" t="s">
        <v>147</v>
      </c>
      <c r="B28" s="50" t="str">
        <f>IF(AND(MAX(H28:M28)=0,MIN(H28:M28)=0,HideEmptyRows="Yes"),"Hide","Show")</f>
        <v>Hide</v>
      </c>
      <c r="C28" s="20" t="str">
        <f>"000-4115-01"</f>
        <v>000-4115-01</v>
      </c>
      <c r="D28" s="6">
        <f>D27</f>
        <v>31</v>
      </c>
      <c r="E28" s="6" t="str">
        <f>E27</f>
        <v xml:space="preserve">  Sales</v>
      </c>
      <c r="G28" s="56" t="str">
        <f>"    United Kingdom Sales - Retail/Parts"</f>
        <v xml:space="preserve">    United Kingdom Sales - Retail/Parts</v>
      </c>
      <c r="H28" s="57">
        <v>0</v>
      </c>
      <c r="I28" s="57">
        <v>0</v>
      </c>
      <c r="J28" s="58">
        <f>IF(I28=0,0,(H28-I28)/I28)</f>
        <v>0</v>
      </c>
      <c r="K28" s="57">
        <v>0</v>
      </c>
      <c r="L28" s="57">
        <v>0</v>
      </c>
      <c r="M28" s="59">
        <f>IF(L28=0,0,(K28-L28)/L28)</f>
        <v>0</v>
      </c>
      <c r="P28" s="9">
        <f t="shared" si="0"/>
        <v>7</v>
      </c>
    </row>
    <row r="29" spans="1:16" hidden="1" x14ac:dyDescent="0.3">
      <c r="A29" s="43" t="s">
        <v>147</v>
      </c>
      <c r="B29" s="50" t="str">
        <f>IF(AND(MAX(H29:M29)=0,MIN(H29:M29)=0,HideEmptyRows="Yes"),"Hide","Show")</f>
        <v>Hide</v>
      </c>
      <c r="C29" s="20" t="str">
        <f>"000-4115-02"</f>
        <v>000-4115-02</v>
      </c>
      <c r="D29" s="6">
        <f>D28</f>
        <v>31</v>
      </c>
      <c r="E29" s="6" t="str">
        <f>E28</f>
        <v xml:space="preserve">  Sales</v>
      </c>
      <c r="G29" s="56" t="str">
        <f>"    United Kingdom Sales - Finished Goods"</f>
        <v xml:space="preserve">    United Kingdom Sales - Finished Goods</v>
      </c>
      <c r="H29" s="57">
        <v>0</v>
      </c>
      <c r="I29" s="57">
        <v>0</v>
      </c>
      <c r="J29" s="58">
        <f>IF(I29=0,0,(H29-I29)/I29)</f>
        <v>0</v>
      </c>
      <c r="K29" s="57">
        <v>0</v>
      </c>
      <c r="L29" s="57">
        <v>0</v>
      </c>
      <c r="M29" s="59">
        <f>IF(L29=0,0,(K29-L29)/L29)</f>
        <v>0</v>
      </c>
      <c r="P29" s="9">
        <f t="shared" si="0"/>
        <v>8</v>
      </c>
    </row>
    <row r="30" spans="1:16" hidden="1" x14ac:dyDescent="0.3">
      <c r="A30" s="43" t="s">
        <v>147</v>
      </c>
      <c r="B30" s="50" t="str">
        <f>IF(AND(MAX(H30:M30)=0,MIN(H30:M30)=0,HideEmptyRows="Yes"),"Hide","Show")</f>
        <v>Hide</v>
      </c>
      <c r="C30" s="20" t="str">
        <f>"000-4116-01"</f>
        <v>000-4116-01</v>
      </c>
      <c r="D30" s="6">
        <f>D29</f>
        <v>31</v>
      </c>
      <c r="E30" s="6" t="str">
        <f>E29</f>
        <v xml:space="preserve">  Sales</v>
      </c>
      <c r="G30" s="56" t="str">
        <f>"    South Africa - Retail/Parts"</f>
        <v xml:space="preserve">    South Africa - Retail/Parts</v>
      </c>
      <c r="H30" s="57">
        <v>0</v>
      </c>
      <c r="I30" s="57">
        <v>0</v>
      </c>
      <c r="J30" s="58">
        <f>IF(I30=0,0,(H30-I30)/I30)</f>
        <v>0</v>
      </c>
      <c r="K30" s="57">
        <v>0</v>
      </c>
      <c r="L30" s="57">
        <v>0</v>
      </c>
      <c r="M30" s="59">
        <f>IF(L30=0,0,(K30-L30)/L30)</f>
        <v>0</v>
      </c>
      <c r="P30" s="9">
        <f t="shared" si="0"/>
        <v>9</v>
      </c>
    </row>
    <row r="31" spans="1:16" hidden="1" x14ac:dyDescent="0.3">
      <c r="A31" s="43" t="s">
        <v>147</v>
      </c>
      <c r="B31" s="50" t="str">
        <f>IF(AND(MAX(H31:M31)=0,MIN(H31:M31)=0,HideEmptyRows="Yes"),"Hide","Show")</f>
        <v>Hide</v>
      </c>
      <c r="C31" s="20" t="str">
        <f>"000-4117-01"</f>
        <v>000-4117-01</v>
      </c>
      <c r="D31" s="6">
        <f>D30</f>
        <v>31</v>
      </c>
      <c r="E31" s="6" t="str">
        <f>E30</f>
        <v xml:space="preserve">  Sales</v>
      </c>
      <c r="G31" s="56" t="str">
        <f>"    Singapore Sales - Retail/Parts"</f>
        <v xml:space="preserve">    Singapore Sales - Retail/Parts</v>
      </c>
      <c r="H31" s="57">
        <v>0</v>
      </c>
      <c r="I31" s="57">
        <v>0</v>
      </c>
      <c r="J31" s="58">
        <f>IF(I31=0,0,(H31-I31)/I31)</f>
        <v>0</v>
      </c>
      <c r="K31" s="57">
        <v>0</v>
      </c>
      <c r="L31" s="57">
        <v>0</v>
      </c>
      <c r="M31" s="59">
        <f>IF(L31=0,0,(K31-L31)/L31)</f>
        <v>0</v>
      </c>
      <c r="P31" s="9">
        <f t="shared" si="0"/>
        <v>10</v>
      </c>
    </row>
    <row r="32" spans="1:16" hidden="1" x14ac:dyDescent="0.3">
      <c r="A32" s="43" t="s">
        <v>147</v>
      </c>
      <c r="B32" s="50" t="str">
        <f>IF(AND(MAX(H32:M32)=0,MIN(H32:M32)=0,HideEmptyRows="Yes"),"Hide","Show")</f>
        <v>Hide</v>
      </c>
      <c r="C32" s="20" t="str">
        <f>"000-4117-02"</f>
        <v>000-4117-02</v>
      </c>
      <c r="D32" s="6">
        <f>D31</f>
        <v>31</v>
      </c>
      <c r="E32" s="6" t="str">
        <f>E31</f>
        <v xml:space="preserve">  Sales</v>
      </c>
      <c r="G32" s="56" t="str">
        <f>"    Singapore Sales - Finished Goods"</f>
        <v xml:space="preserve">    Singapore Sales - Finished Goods</v>
      </c>
      <c r="H32" s="57">
        <v>0</v>
      </c>
      <c r="I32" s="57">
        <v>0</v>
      </c>
      <c r="J32" s="58">
        <f>IF(I32=0,0,(H32-I32)/I32)</f>
        <v>0</v>
      </c>
      <c r="K32" s="57">
        <v>0</v>
      </c>
      <c r="L32" s="57">
        <v>0</v>
      </c>
      <c r="M32" s="59">
        <f>IF(L32=0,0,(K32-L32)/L32)</f>
        <v>0</v>
      </c>
      <c r="P32" s="9">
        <f t="shared" si="0"/>
        <v>11</v>
      </c>
    </row>
    <row r="33" spans="1:22" hidden="1" x14ac:dyDescent="0.3">
      <c r="A33" s="43" t="s">
        <v>147</v>
      </c>
      <c r="B33" s="50" t="str">
        <f>IF(AND(MAX(H33:M33)=0,MIN(H33:M33)=0,HideEmptyRows="Yes"),"Hide","Show")</f>
        <v>Hide</v>
      </c>
      <c r="C33" s="20" t="str">
        <f>"000-4120-00"</f>
        <v>000-4120-00</v>
      </c>
      <c r="D33" s="6">
        <f>D32</f>
        <v>31</v>
      </c>
      <c r="E33" s="6" t="str">
        <f>E32</f>
        <v xml:space="preserve">  Sales</v>
      </c>
      <c r="G33" s="56" t="str">
        <f>"    US Sales - Service Plans"</f>
        <v xml:space="preserve">    US Sales - Service Plans</v>
      </c>
      <c r="H33" s="57">
        <v>0</v>
      </c>
      <c r="I33" s="57">
        <v>0</v>
      </c>
      <c r="J33" s="58">
        <f>IF(I33=0,0,(H33-I33)/I33)</f>
        <v>0</v>
      </c>
      <c r="K33" s="57">
        <v>0</v>
      </c>
      <c r="L33" s="57">
        <v>0</v>
      </c>
      <c r="M33" s="59">
        <f>IF(L33=0,0,(K33-L33)/L33)</f>
        <v>0</v>
      </c>
      <c r="P33" s="9">
        <f t="shared" si="0"/>
        <v>12</v>
      </c>
    </row>
    <row r="34" spans="1:22" hidden="1" x14ac:dyDescent="0.3">
      <c r="A34" s="43" t="s">
        <v>147</v>
      </c>
      <c r="B34" s="50" t="str">
        <f>IF(AND(MAX(H34:M34)=0,MIN(H34:M34)=0,HideEmptyRows="Yes"),"Hide","Show")</f>
        <v>Hide</v>
      </c>
      <c r="C34" s="20" t="str">
        <f>"000-4122-00"</f>
        <v>000-4122-00</v>
      </c>
      <c r="D34" s="6">
        <f>D33</f>
        <v>31</v>
      </c>
      <c r="E34" s="6" t="str">
        <f>E33</f>
        <v xml:space="preserve">  Sales</v>
      </c>
      <c r="G34" s="56" t="str">
        <f>"    AustralAsian Sales - Service Plans"</f>
        <v xml:space="preserve">    AustralAsian Sales - Service Plans</v>
      </c>
      <c r="H34" s="57">
        <v>0</v>
      </c>
      <c r="I34" s="57">
        <v>0</v>
      </c>
      <c r="J34" s="58">
        <f>IF(I34=0,0,(H34-I34)/I34)</f>
        <v>0</v>
      </c>
      <c r="K34" s="57">
        <v>0</v>
      </c>
      <c r="L34" s="57">
        <v>0</v>
      </c>
      <c r="M34" s="59">
        <f>IF(L34=0,0,(K34-L34)/L34)</f>
        <v>0</v>
      </c>
      <c r="P34" s="9">
        <f t="shared" si="0"/>
        <v>13</v>
      </c>
    </row>
    <row r="35" spans="1:22" hidden="1" x14ac:dyDescent="0.3">
      <c r="A35" s="43" t="s">
        <v>147</v>
      </c>
      <c r="B35" s="50" t="str">
        <f>IF(AND(MAX(H35:M35)=0,MIN(H35:M35)=0,HideEmptyRows="Yes"),"Hide","Show")</f>
        <v>Hide</v>
      </c>
      <c r="C35" s="20" t="str">
        <f>"000-4130-00"</f>
        <v>000-4130-00</v>
      </c>
      <c r="D35" s="6">
        <f>D34</f>
        <v>31</v>
      </c>
      <c r="E35" s="6" t="str">
        <f>E34</f>
        <v xml:space="preserve">  Sales</v>
      </c>
      <c r="G35" s="56" t="str">
        <f>"    US Sales - Installation Charges"</f>
        <v xml:space="preserve">    US Sales - Installation Charges</v>
      </c>
      <c r="H35" s="57">
        <v>0</v>
      </c>
      <c r="I35" s="57">
        <v>0</v>
      </c>
      <c r="J35" s="58">
        <f>IF(I35=0,0,(H35-I35)/I35)</f>
        <v>0</v>
      </c>
      <c r="K35" s="57">
        <v>0</v>
      </c>
      <c r="L35" s="57">
        <v>0</v>
      </c>
      <c r="M35" s="59">
        <f>IF(L35=0,0,(K35-L35)/L35)</f>
        <v>0</v>
      </c>
      <c r="P35" s="9">
        <f t="shared" si="0"/>
        <v>14</v>
      </c>
    </row>
    <row r="36" spans="1:22" hidden="1" x14ac:dyDescent="0.3">
      <c r="A36" s="43" t="s">
        <v>147</v>
      </c>
      <c r="B36" s="50" t="str">
        <f>IF(AND(MAX(H36:M36)=0,MIN(H36:M36)=0,HideEmptyRows="Yes"),"Hide","Show")</f>
        <v>Hide</v>
      </c>
      <c r="C36" s="20" t="str">
        <f>"000-4132-00"</f>
        <v>000-4132-00</v>
      </c>
      <c r="D36" s="6">
        <f>D35</f>
        <v>31</v>
      </c>
      <c r="E36" s="6" t="str">
        <f>E35</f>
        <v xml:space="preserve">  Sales</v>
      </c>
      <c r="G36" s="56" t="str">
        <f>"    AustralAsian Sales - Installation Charges"</f>
        <v xml:space="preserve">    AustralAsian Sales - Installation Charges</v>
      </c>
      <c r="H36" s="57">
        <v>0</v>
      </c>
      <c r="I36" s="57">
        <v>0</v>
      </c>
      <c r="J36" s="58">
        <f>IF(I36=0,0,(H36-I36)/I36)</f>
        <v>0</v>
      </c>
      <c r="K36" s="57">
        <v>0</v>
      </c>
      <c r="L36" s="57">
        <v>0</v>
      </c>
      <c r="M36" s="59">
        <f>IF(L36=0,0,(K36-L36)/L36)</f>
        <v>0</v>
      </c>
      <c r="P36" s="9">
        <f t="shared" si="0"/>
        <v>15</v>
      </c>
    </row>
    <row r="37" spans="1:22" x14ac:dyDescent="0.3">
      <c r="A37" s="43" t="s">
        <v>147</v>
      </c>
      <c r="B37" s="50" t="str">
        <f>IF(AND(MAX(H37:M37)=0,MIN(H37:M37)=0,HideEmptyRows="Yes"),"Hide","Show")</f>
        <v>Show</v>
      </c>
      <c r="C37" s="20" t="str">
        <f>"000-4140-00"</f>
        <v>000-4140-00</v>
      </c>
      <c r="D37" s="6">
        <f>D36</f>
        <v>31</v>
      </c>
      <c r="E37" s="6" t="str">
        <f>E36</f>
        <v xml:space="preserve">  Sales</v>
      </c>
      <c r="G37" s="56" t="str">
        <f>"    US Sales - Repair Charges"</f>
        <v xml:space="preserve">    US Sales - Repair Charges</v>
      </c>
      <c r="H37" s="57">
        <v>419.4</v>
      </c>
      <c r="I37" s="57">
        <v>419.4</v>
      </c>
      <c r="J37" s="58">
        <f>IF(I37=0,0,(H37-I37)/I37)</f>
        <v>0</v>
      </c>
      <c r="K37" s="57">
        <v>419.4</v>
      </c>
      <c r="L37" s="57">
        <v>803.86</v>
      </c>
      <c r="M37" s="59">
        <f>IF(L37=0,0,(K37-L37)/L37)</f>
        <v>-0.47826735998805764</v>
      </c>
      <c r="P37" s="9">
        <f t="shared" si="0"/>
        <v>16</v>
      </c>
    </row>
    <row r="38" spans="1:22" hidden="1" x14ac:dyDescent="0.3">
      <c r="A38" s="43" t="s">
        <v>147</v>
      </c>
      <c r="B38" s="50" t="str">
        <f>IF(AND(MAX(H38:M38)=0,MIN(H38:M38)=0,HideEmptyRows="Yes"),"Hide","Show")</f>
        <v>Hide</v>
      </c>
      <c r="C38" s="20" t="str">
        <f>"000-4141-00"</f>
        <v>000-4141-00</v>
      </c>
      <c r="D38" s="6">
        <f>D37</f>
        <v>31</v>
      </c>
      <c r="E38" s="6" t="str">
        <f>E37</f>
        <v xml:space="preserve">  Sales</v>
      </c>
      <c r="G38" s="56" t="str">
        <f>"    Canadian Sales - Repair Charges"</f>
        <v xml:space="preserve">    Canadian Sales - Repair Charges</v>
      </c>
      <c r="H38" s="57">
        <v>0</v>
      </c>
      <c r="I38" s="57">
        <v>0</v>
      </c>
      <c r="J38" s="58">
        <f>IF(I38=0,0,(H38-I38)/I38)</f>
        <v>0</v>
      </c>
      <c r="K38" s="57">
        <v>0</v>
      </c>
      <c r="L38" s="57">
        <v>0</v>
      </c>
      <c r="M38" s="59">
        <f>IF(L38=0,0,(K38-L38)/L38)</f>
        <v>0</v>
      </c>
      <c r="P38" s="9">
        <f t="shared" si="0"/>
        <v>17</v>
      </c>
    </row>
    <row r="39" spans="1:22" hidden="1" x14ac:dyDescent="0.3">
      <c r="A39" s="43" t="s">
        <v>147</v>
      </c>
      <c r="B39" s="50" t="str">
        <f>IF(AND(MAX(H39:M39)=0,MIN(H39:M39)=0,HideEmptyRows="Yes"),"Hide","Show")</f>
        <v>Hide</v>
      </c>
      <c r="C39" s="20" t="str">
        <f>"000-4142-00"</f>
        <v>000-4142-00</v>
      </c>
      <c r="D39" s="6">
        <f>D38</f>
        <v>31</v>
      </c>
      <c r="E39" s="6" t="str">
        <f>E38</f>
        <v xml:space="preserve">  Sales</v>
      </c>
      <c r="G39" s="56" t="str">
        <f>"    AustralAsian Sales - Repair Charges"</f>
        <v xml:space="preserve">    AustralAsian Sales - Repair Charges</v>
      </c>
      <c r="H39" s="57">
        <v>0</v>
      </c>
      <c r="I39" s="57">
        <v>0</v>
      </c>
      <c r="J39" s="58">
        <f>IF(I39=0,0,(H39-I39)/I39)</f>
        <v>0</v>
      </c>
      <c r="K39" s="57">
        <v>0</v>
      </c>
      <c r="L39" s="57">
        <v>0</v>
      </c>
      <c r="M39" s="59">
        <f>IF(L39=0,0,(K39-L39)/L39)</f>
        <v>0</v>
      </c>
      <c r="P39" s="9">
        <f t="shared" si="0"/>
        <v>18</v>
      </c>
    </row>
    <row r="40" spans="1:22" x14ac:dyDescent="0.3">
      <c r="A40" s="43"/>
      <c r="B40" s="43"/>
      <c r="E40" s="6" t="str">
        <f>E22</f>
        <v xml:space="preserve">  Sales</v>
      </c>
      <c r="G40" s="56"/>
      <c r="H40" s="57"/>
      <c r="I40" s="57"/>
      <c r="J40" s="60"/>
      <c r="K40" s="57"/>
      <c r="L40" s="61"/>
      <c r="M40" s="59"/>
      <c r="T40" s="49"/>
      <c r="U40" s="49"/>
      <c r="V40" s="49"/>
    </row>
    <row r="41" spans="1:22" x14ac:dyDescent="0.3">
      <c r="A41" s="43"/>
      <c r="B41" s="43"/>
      <c r="E41" s="6" t="str">
        <f>E40</f>
        <v xml:space="preserve">  Sales</v>
      </c>
      <c r="G41" s="51" t="str">
        <f>"Gross"&amp;E41</f>
        <v>Gross  Sales</v>
      </c>
      <c r="H41" s="34">
        <f>SUBTOTAL(9,H22:H40)</f>
        <v>406060.14</v>
      </c>
      <c r="I41" s="34">
        <f>SUBTOTAL(9,I22:I40)</f>
        <v>236879.4</v>
      </c>
      <c r="J41" s="37">
        <f>IF(I41=0,0,(H41-I41)/I41)</f>
        <v>0.71420621632780235</v>
      </c>
      <c r="K41" s="34">
        <f>SUBTOTAL(9,K22:K40)</f>
        <v>489665.09</v>
      </c>
      <c r="L41" s="34">
        <f>SUBTOTAL(9,L22:L40)</f>
        <v>361211.21</v>
      </c>
      <c r="M41" s="62">
        <f>IF(L41=0,0,(K41-L41)/L41)</f>
        <v>0.35561986019204661</v>
      </c>
    </row>
    <row r="42" spans="1:22" x14ac:dyDescent="0.3">
      <c r="A42" s="43"/>
      <c r="B42" s="43"/>
      <c r="G42" s="25"/>
      <c r="H42" s="26"/>
      <c r="I42" s="26"/>
      <c r="J42" s="38"/>
      <c r="K42" s="26"/>
      <c r="L42" s="23"/>
      <c r="M42" s="35"/>
    </row>
    <row r="43" spans="1:22" x14ac:dyDescent="0.3">
      <c r="A43" s="43"/>
      <c r="B43" s="43"/>
      <c r="D43" s="6">
        <f>E43</f>
        <v>32</v>
      </c>
      <c r="E43" s="6">
        <v>32</v>
      </c>
      <c r="G43" s="23"/>
      <c r="H43" s="24"/>
      <c r="I43" s="24"/>
      <c r="J43" s="36"/>
      <c r="K43" s="27"/>
      <c r="L43" s="23"/>
      <c r="M43" s="35"/>
    </row>
    <row r="44" spans="1:22" x14ac:dyDescent="0.3">
      <c r="A44" s="43"/>
      <c r="B44" s="43"/>
      <c r="D44" s="6">
        <f>D43</f>
        <v>32</v>
      </c>
      <c r="E44" s="6" t="str">
        <f>G44</f>
        <v xml:space="preserve">  Sales Returns and Discounts</v>
      </c>
      <c r="G44" s="51" t="str">
        <f>"  Sales Returns and Discounts"</f>
        <v xml:space="preserve">  Sales Returns and Discounts</v>
      </c>
      <c r="H44" s="52"/>
      <c r="I44" s="52"/>
      <c r="J44" s="53"/>
      <c r="K44" s="52"/>
      <c r="L44" s="54"/>
      <c r="M44" s="55"/>
    </row>
    <row r="45" spans="1:22" hidden="1" x14ac:dyDescent="0.3">
      <c r="A45" s="43"/>
      <c r="B45" s="50" t="str">
        <f>IF(AND(MAX(H45:M45)=0,MIN(H45:M45)=0,HideEmptyRows="Yes"),"Hide","Show")</f>
        <v>Hide</v>
      </c>
      <c r="C45" s="20" t="str">
        <f>"000-4180-00"</f>
        <v>000-4180-00</v>
      </c>
      <c r="D45" s="6">
        <f>D44</f>
        <v>32</v>
      </c>
      <c r="E45" s="6" t="str">
        <f>E44</f>
        <v xml:space="preserve">  Sales Returns and Discounts</v>
      </c>
      <c r="G45" s="56" t="str">
        <f>"    US Sales Discounts"</f>
        <v xml:space="preserve">    US Sales Discounts</v>
      </c>
      <c r="H45" s="57">
        <v>0</v>
      </c>
      <c r="I45" s="57">
        <v>0</v>
      </c>
      <c r="J45" s="58">
        <f>IF(I45=0,0,(H45-I45)/I45)</f>
        <v>0</v>
      </c>
      <c r="K45" s="57">
        <v>0</v>
      </c>
      <c r="L45" s="57">
        <v>0</v>
      </c>
      <c r="M45" s="59">
        <f>IF(L45=0,0,(K45-L45)/L45)</f>
        <v>0</v>
      </c>
      <c r="P45" s="9">
        <f>P44+1</f>
        <v>1</v>
      </c>
    </row>
    <row r="46" spans="1:22" hidden="1" x14ac:dyDescent="0.3">
      <c r="A46" s="43" t="s">
        <v>147</v>
      </c>
      <c r="B46" s="50" t="str">
        <f>IF(AND(MAX(H46:M46)=0,MIN(H46:M46)=0,HideEmptyRows="Yes"),"Hide","Show")</f>
        <v>Hide</v>
      </c>
      <c r="C46" s="20" t="str">
        <f>"000-4183-00"</f>
        <v>000-4183-00</v>
      </c>
      <c r="D46" s="6">
        <f>D45</f>
        <v>32</v>
      </c>
      <c r="E46" s="6" t="str">
        <f>E45</f>
        <v xml:space="preserve">  Sales Returns and Discounts</v>
      </c>
      <c r="G46" s="56" t="str">
        <f>"    US Sales Trade Discounts"</f>
        <v xml:space="preserve">    US Sales Trade Discounts</v>
      </c>
      <c r="H46" s="57">
        <v>0</v>
      </c>
      <c r="I46" s="57">
        <v>0</v>
      </c>
      <c r="J46" s="58">
        <f>IF(I46=0,0,(H46-I46)/I46)</f>
        <v>0</v>
      </c>
      <c r="K46" s="57">
        <v>0</v>
      </c>
      <c r="L46" s="57">
        <v>0</v>
      </c>
      <c r="M46" s="59">
        <f>IF(L46=0,0,(K46-L46)/L46)</f>
        <v>0</v>
      </c>
      <c r="P46" s="9">
        <f t="shared" ref="P46:P47" si="1">P45+1</f>
        <v>2</v>
      </c>
    </row>
    <row r="47" spans="1:22" hidden="1" x14ac:dyDescent="0.3">
      <c r="A47" s="43" t="s">
        <v>147</v>
      </c>
      <c r="B47" s="50" t="str">
        <f>IF(AND(MAX(H47:M47)=0,MIN(H47:M47)=0,HideEmptyRows="Yes"),"Hide","Show")</f>
        <v>Hide</v>
      </c>
      <c r="C47" s="20" t="str">
        <f>"000-4190-00"</f>
        <v>000-4190-00</v>
      </c>
      <c r="D47" s="6">
        <f>D46</f>
        <v>32</v>
      </c>
      <c r="E47" s="6" t="str">
        <f>E46</f>
        <v xml:space="preserve">  Sales Returns and Discounts</v>
      </c>
      <c r="G47" s="56" t="str">
        <f>"    US Sales Returns"</f>
        <v xml:space="preserve">    US Sales Returns</v>
      </c>
      <c r="H47" s="57">
        <v>0</v>
      </c>
      <c r="I47" s="57">
        <v>0</v>
      </c>
      <c r="J47" s="58">
        <f>IF(I47=0,0,(H47-I47)/I47)</f>
        <v>0</v>
      </c>
      <c r="K47" s="57">
        <v>0</v>
      </c>
      <c r="L47" s="57">
        <v>0</v>
      </c>
      <c r="M47" s="59">
        <f>IF(L47=0,0,(K47-L47)/L47)</f>
        <v>0</v>
      </c>
      <c r="P47" s="9">
        <f t="shared" si="1"/>
        <v>3</v>
      </c>
    </row>
    <row r="48" spans="1:22" x14ac:dyDescent="0.3">
      <c r="A48" s="43"/>
      <c r="B48" s="43"/>
      <c r="D48" s="6">
        <f>D45</f>
        <v>32</v>
      </c>
      <c r="E48" s="6" t="str">
        <f>E45</f>
        <v xml:space="preserve">  Sales Returns and Discounts</v>
      </c>
      <c r="G48" s="56"/>
      <c r="H48" s="57"/>
      <c r="I48" s="57"/>
      <c r="J48" s="58"/>
      <c r="K48" s="57"/>
      <c r="L48" s="61"/>
      <c r="M48" s="59"/>
    </row>
    <row r="49" spans="1:16" x14ac:dyDescent="0.3">
      <c r="A49" s="43"/>
      <c r="B49" s="43"/>
      <c r="E49" s="6" t="str">
        <f>E48</f>
        <v xml:space="preserve">  Sales Returns and Discounts</v>
      </c>
      <c r="G49" s="63" t="str">
        <f>"Total"&amp;E49</f>
        <v>Total  Sales Returns and Discounts</v>
      </c>
      <c r="H49" s="64">
        <f>SUBTOTAL(9,H45:H48)</f>
        <v>0</v>
      </c>
      <c r="I49" s="64">
        <f>SUBTOTAL(9,I45:I48)</f>
        <v>0</v>
      </c>
      <c r="J49" s="58">
        <f>IF(I49=0,0,(H49-I49)/I49)</f>
        <v>0</v>
      </c>
      <c r="K49" s="64">
        <f>SUBTOTAL(9,K45:K48)</f>
        <v>0</v>
      </c>
      <c r="L49" s="64">
        <f>SUBTOTAL(9,L45:L48)</f>
        <v>0</v>
      </c>
      <c r="M49" s="59">
        <f>IF(L49=0,0,(K49-L49)/L49)</f>
        <v>0</v>
      </c>
    </row>
    <row r="50" spans="1:16" x14ac:dyDescent="0.3">
      <c r="A50" s="43"/>
      <c r="B50" s="43"/>
      <c r="G50" s="63"/>
      <c r="H50" s="64"/>
      <c r="I50" s="64"/>
      <c r="J50" s="58"/>
      <c r="K50" s="64"/>
      <c r="L50" s="61"/>
      <c r="M50" s="59"/>
    </row>
    <row r="51" spans="1:16" x14ac:dyDescent="0.3">
      <c r="A51" s="43"/>
      <c r="B51" s="43"/>
      <c r="G51" s="51" t="s">
        <v>10</v>
      </c>
      <c r="H51" s="34">
        <f>CurrentGrossSales-CurrentDiscounts</f>
        <v>406060.14</v>
      </c>
      <c r="I51" s="34">
        <f>LYPGrossSales-LYPRtns</f>
        <v>236879.4</v>
      </c>
      <c r="J51" s="37">
        <f>IF(I51=0,0,(H51-I51)/I51)</f>
        <v>0.71420621632780235</v>
      </c>
      <c r="K51" s="34">
        <f>GrossSales-RtnsDiscounts</f>
        <v>489665.09</v>
      </c>
      <c r="L51" s="34">
        <f>LYTDGrossSales-LYTDRtns</f>
        <v>361211.21</v>
      </c>
      <c r="M51" s="62">
        <f>IF(L51=0,0,(K51-L51)/L51)</f>
        <v>0.35561986019204661</v>
      </c>
    </row>
    <row r="52" spans="1:16" x14ac:dyDescent="0.3">
      <c r="A52" s="43"/>
      <c r="B52" s="43"/>
      <c r="G52" s="25"/>
      <c r="H52" s="26"/>
      <c r="I52" s="26"/>
      <c r="J52" s="38"/>
      <c r="K52" s="26"/>
      <c r="L52" s="23"/>
      <c r="M52" s="35"/>
    </row>
    <row r="53" spans="1:16" x14ac:dyDescent="0.3">
      <c r="A53" s="43"/>
      <c r="B53" s="43"/>
      <c r="D53" s="6">
        <f>E53</f>
        <v>33</v>
      </c>
      <c r="E53" s="6">
        <v>33</v>
      </c>
      <c r="G53" s="25"/>
      <c r="H53" s="26"/>
      <c r="I53" s="26"/>
      <c r="J53" s="38"/>
      <c r="K53" s="26"/>
      <c r="L53" s="23"/>
      <c r="M53" s="35"/>
    </row>
    <row r="54" spans="1:16" x14ac:dyDescent="0.3">
      <c r="A54" s="43"/>
      <c r="B54" s="43"/>
      <c r="D54" s="6">
        <f>D53</f>
        <v>33</v>
      </c>
      <c r="E54" s="6" t="str">
        <f>G54</f>
        <v xml:space="preserve">  Cost of Goods Sold</v>
      </c>
      <c r="G54" s="51" t="str">
        <f>"  Cost of Goods Sold"</f>
        <v xml:space="preserve">  Cost of Goods Sold</v>
      </c>
      <c r="H54" s="52"/>
      <c r="I54" s="52"/>
      <c r="J54" s="53"/>
      <c r="K54" s="52"/>
      <c r="L54" s="54"/>
      <c r="M54" s="55"/>
    </row>
    <row r="55" spans="1:16" x14ac:dyDescent="0.3">
      <c r="A55" s="43"/>
      <c r="B55" s="50" t="str">
        <f>IF(AND(MAX(H55:M55)=0,MIN(H55:M55)=0,HideEmptyRows="Yes"),"Hide","Show")</f>
        <v>Show</v>
      </c>
      <c r="C55" s="20" t="str">
        <f>"000-4510-01"</f>
        <v>000-4510-01</v>
      </c>
      <c r="D55" s="6">
        <f>D54</f>
        <v>33</v>
      </c>
      <c r="E55" s="6" t="str">
        <f>E54</f>
        <v xml:space="preserve">  Cost of Goods Sold</v>
      </c>
      <c r="G55" s="56" t="str">
        <f>"    Cost of Goods Sold - Retail/Parts"</f>
        <v xml:space="preserve">    Cost of Goods Sold - Retail/Parts</v>
      </c>
      <c r="H55" s="57">
        <v>202858.75</v>
      </c>
      <c r="I55" s="57">
        <v>83179.94</v>
      </c>
      <c r="J55" s="58">
        <f>IF(I55=0,0,(H55-I55)/I55)</f>
        <v>1.438794137144124</v>
      </c>
      <c r="K55" s="57">
        <v>244224.43</v>
      </c>
      <c r="L55" s="57">
        <v>145665.15</v>
      </c>
      <c r="M55" s="59">
        <f>IF(L55=0,0,(K55-L55)/L55)</f>
        <v>0.67661537437060271</v>
      </c>
      <c r="P55" s="9">
        <f>P54+1</f>
        <v>1</v>
      </c>
    </row>
    <row r="56" spans="1:16" hidden="1" x14ac:dyDescent="0.3">
      <c r="A56" s="43" t="s">
        <v>147</v>
      </c>
      <c r="B56" s="50" t="str">
        <f>IF(AND(MAX(H56:M56)=0,MIN(H56:M56)=0,HideEmptyRows="Yes"),"Hide","Show")</f>
        <v>Hide</v>
      </c>
      <c r="C56" s="20" t="str">
        <f>"000-4510-02"</f>
        <v>000-4510-02</v>
      </c>
      <c r="D56" s="6">
        <f>D55</f>
        <v>33</v>
      </c>
      <c r="E56" s="6" t="str">
        <f>E55</f>
        <v xml:space="preserve">  Cost of Goods Sold</v>
      </c>
      <c r="G56" s="56" t="str">
        <f>"    Cost of Goods Sold - Finished Goods"</f>
        <v xml:space="preserve">    Cost of Goods Sold - Finished Goods</v>
      </c>
      <c r="H56" s="57">
        <v>0</v>
      </c>
      <c r="I56" s="57">
        <v>0</v>
      </c>
      <c r="J56" s="58">
        <f>IF(I56=0,0,(H56-I56)/I56)</f>
        <v>0</v>
      </c>
      <c r="K56" s="57">
        <v>0</v>
      </c>
      <c r="L56" s="57">
        <v>0</v>
      </c>
      <c r="M56" s="59">
        <f>IF(L56=0,0,(K56-L56)/L56)</f>
        <v>0</v>
      </c>
      <c r="P56" s="9">
        <f t="shared" ref="P56:P60" si="2">P55+1</f>
        <v>2</v>
      </c>
    </row>
    <row r="57" spans="1:16" x14ac:dyDescent="0.3">
      <c r="A57" s="43" t="s">
        <v>147</v>
      </c>
      <c r="B57" s="50" t="str">
        <f>IF(AND(MAX(H57:M57)=0,MIN(H57:M57)=0,HideEmptyRows="Yes"),"Hide","Show")</f>
        <v>Show</v>
      </c>
      <c r="C57" s="20" t="str">
        <f>"000-4600-00"</f>
        <v>000-4600-00</v>
      </c>
      <c r="D57" s="6">
        <f>D56</f>
        <v>33</v>
      </c>
      <c r="E57" s="6" t="str">
        <f>E56</f>
        <v xml:space="preserve">  Cost of Goods Sold</v>
      </c>
      <c r="G57" s="56" t="str">
        <f>"    Purchases Discounts Taken"</f>
        <v xml:space="preserve">    Purchases Discounts Taken</v>
      </c>
      <c r="H57" s="57">
        <v>-113.84</v>
      </c>
      <c r="I57" s="57">
        <v>-113.84</v>
      </c>
      <c r="J57" s="58">
        <f>IF(I57=0,0,(H57-I57)/I57)</f>
        <v>0</v>
      </c>
      <c r="K57" s="57">
        <v>-115.44</v>
      </c>
      <c r="L57" s="57">
        <v>-126.24</v>
      </c>
      <c r="M57" s="59">
        <f>IF(L57=0,0,(K57-L57)/L57)</f>
        <v>-8.5551330798479069E-2</v>
      </c>
      <c r="P57" s="9">
        <f t="shared" si="2"/>
        <v>3</v>
      </c>
    </row>
    <row r="58" spans="1:16" hidden="1" x14ac:dyDescent="0.3">
      <c r="A58" s="43" t="s">
        <v>147</v>
      </c>
      <c r="B58" s="50" t="str">
        <f>IF(AND(MAX(H58:M58)=0,MIN(H58:M58)=0,HideEmptyRows="Yes"),"Hide","Show")</f>
        <v>Hide</v>
      </c>
      <c r="C58" s="20" t="str">
        <f>"000-4700-00"</f>
        <v>000-4700-00</v>
      </c>
      <c r="D58" s="6">
        <f>D57</f>
        <v>33</v>
      </c>
      <c r="E58" s="6" t="str">
        <f>E57</f>
        <v xml:space="preserve">  Cost of Goods Sold</v>
      </c>
      <c r="G58" s="56" t="str">
        <f>"    Shrinkage and Waste"</f>
        <v xml:space="preserve">    Shrinkage and Waste</v>
      </c>
      <c r="H58" s="57">
        <v>0</v>
      </c>
      <c r="I58" s="57">
        <v>0</v>
      </c>
      <c r="J58" s="58">
        <f>IF(I58=0,0,(H58-I58)/I58)</f>
        <v>0</v>
      </c>
      <c r="K58" s="57">
        <v>0</v>
      </c>
      <c r="L58" s="57">
        <v>0</v>
      </c>
      <c r="M58" s="59">
        <f>IF(L58=0,0,(K58-L58)/L58)</f>
        <v>0</v>
      </c>
      <c r="P58" s="9">
        <f t="shared" si="2"/>
        <v>4</v>
      </c>
    </row>
    <row r="59" spans="1:16" hidden="1" x14ac:dyDescent="0.3">
      <c r="A59" s="43" t="s">
        <v>147</v>
      </c>
      <c r="B59" s="50" t="str">
        <f>IF(AND(MAX(H59:M59)=0,MIN(H59:M59)=0,HideEmptyRows="Yes"),"Hide","Show")</f>
        <v>Hide</v>
      </c>
      <c r="C59" s="20" t="str">
        <f>"000-4710-00"</f>
        <v>000-4710-00</v>
      </c>
      <c r="D59" s="6">
        <f>D58</f>
        <v>33</v>
      </c>
      <c r="E59" s="6" t="str">
        <f>E58</f>
        <v xml:space="preserve">  Cost of Goods Sold</v>
      </c>
      <c r="G59" s="56" t="str">
        <f>"    Freight and Handling"</f>
        <v xml:space="preserve">    Freight and Handling</v>
      </c>
      <c r="H59" s="57">
        <v>0</v>
      </c>
      <c r="I59" s="57">
        <v>0</v>
      </c>
      <c r="J59" s="58">
        <f>IF(I59=0,0,(H59-I59)/I59)</f>
        <v>0</v>
      </c>
      <c r="K59" s="57">
        <v>0</v>
      </c>
      <c r="L59" s="57">
        <v>0</v>
      </c>
      <c r="M59" s="59">
        <f>IF(L59=0,0,(K59-L59)/L59)</f>
        <v>0</v>
      </c>
      <c r="P59" s="9">
        <f t="shared" si="2"/>
        <v>5</v>
      </c>
    </row>
    <row r="60" spans="1:16" hidden="1" x14ac:dyDescent="0.3">
      <c r="A60" s="43" t="s">
        <v>147</v>
      </c>
      <c r="B60" s="50" t="str">
        <f>IF(AND(MAX(H60:M60)=0,MIN(H60:M60)=0,HideEmptyRows="Yes"),"Hide","Show")</f>
        <v>Hide</v>
      </c>
      <c r="C60" s="20" t="str">
        <f>"000-4720-00"</f>
        <v>000-4720-00</v>
      </c>
      <c r="D60" s="6">
        <f>D59</f>
        <v>33</v>
      </c>
      <c r="E60" s="6" t="str">
        <f>E59</f>
        <v xml:space="preserve">  Cost of Goods Sold</v>
      </c>
      <c r="G60" s="56" t="str">
        <f>"    International Freight and Handling"</f>
        <v xml:space="preserve">    International Freight and Handling</v>
      </c>
      <c r="H60" s="57">
        <v>0</v>
      </c>
      <c r="I60" s="57">
        <v>0</v>
      </c>
      <c r="J60" s="58">
        <f>IF(I60=0,0,(H60-I60)/I60)</f>
        <v>0</v>
      </c>
      <c r="K60" s="57">
        <v>0</v>
      </c>
      <c r="L60" s="57">
        <v>0</v>
      </c>
      <c r="M60" s="59">
        <f>IF(L60=0,0,(K60-L60)/L60)</f>
        <v>0</v>
      </c>
      <c r="P60" s="9">
        <f t="shared" si="2"/>
        <v>6</v>
      </c>
    </row>
    <row r="61" spans="1:16" x14ac:dyDescent="0.3">
      <c r="A61" s="43"/>
      <c r="B61" s="43"/>
      <c r="D61" s="6">
        <f>D55</f>
        <v>33</v>
      </c>
      <c r="E61" s="6" t="str">
        <f>E55</f>
        <v xml:space="preserve">  Cost of Goods Sold</v>
      </c>
      <c r="G61" s="56"/>
      <c r="H61" s="57"/>
      <c r="I61" s="57"/>
      <c r="J61" s="58"/>
      <c r="K61" s="57"/>
      <c r="L61" s="61"/>
      <c r="M61" s="59"/>
    </row>
    <row r="62" spans="1:16" x14ac:dyDescent="0.3">
      <c r="A62" s="43"/>
      <c r="B62" s="43"/>
      <c r="E62" s="6" t="str">
        <f>E61</f>
        <v xml:space="preserve">  Cost of Goods Sold</v>
      </c>
      <c r="G62" s="56" t="str">
        <f>"Total"&amp;E62</f>
        <v>Total  Cost of Goods Sold</v>
      </c>
      <c r="H62" s="57">
        <f>SUBTOTAL(9,H55:H61)</f>
        <v>202744.91</v>
      </c>
      <c r="I62" s="57">
        <f>SUBTOTAL(9,I55:I61)</f>
        <v>83066.100000000006</v>
      </c>
      <c r="J62" s="58">
        <f>IF(I62=0,0,(H62-I62)/I62)</f>
        <v>1.4407659683071672</v>
      </c>
      <c r="K62" s="57">
        <f>SUBTOTAL(9,K55:K61)</f>
        <v>244108.99</v>
      </c>
      <c r="L62" s="57">
        <f>SUBTOTAL(9,L55:L61)</f>
        <v>145538.91</v>
      </c>
      <c r="M62" s="59">
        <f>IF(L62=0,0,(K62-L62)/L62)</f>
        <v>0.67727647541128333</v>
      </c>
    </row>
    <row r="63" spans="1:16" x14ac:dyDescent="0.3">
      <c r="A63" s="43"/>
      <c r="B63" s="43"/>
      <c r="G63" s="56"/>
      <c r="H63" s="57"/>
      <c r="I63" s="57"/>
      <c r="J63" s="60"/>
      <c r="K63" s="57"/>
      <c r="L63" s="61"/>
      <c r="M63" s="59"/>
    </row>
    <row r="64" spans="1:16" x14ac:dyDescent="0.3">
      <c r="A64" s="43"/>
      <c r="B64" s="43"/>
      <c r="G64" s="51" t="s">
        <v>11</v>
      </c>
      <c r="H64" s="34">
        <f>CurrentNetSales-CurrentCOGS</f>
        <v>203315.23</v>
      </c>
      <c r="I64" s="34">
        <f>LYPNetSales-LYPCOGS</f>
        <v>153813.29999999999</v>
      </c>
      <c r="J64" s="37">
        <f>IF(I64=0,0,(H64-I64)/I64)</f>
        <v>0.32183127206815032</v>
      </c>
      <c r="K64" s="34">
        <f>NetSales-COGS</f>
        <v>245556.10000000003</v>
      </c>
      <c r="L64" s="34">
        <f>LYTDNetSales-LYTDCOGS</f>
        <v>215672.30000000002</v>
      </c>
      <c r="M64" s="62">
        <f>IF(L64=0,0,(K64-L64)/L64)</f>
        <v>0.13856114113866275</v>
      </c>
    </row>
    <row r="65" spans="1:16" x14ac:dyDescent="0.3">
      <c r="A65" s="43"/>
      <c r="B65" s="43"/>
      <c r="G65" s="23"/>
      <c r="H65" s="24"/>
      <c r="I65" s="24"/>
      <c r="J65" s="36"/>
      <c r="K65" s="24"/>
      <c r="L65" s="23"/>
      <c r="M65" s="35"/>
    </row>
    <row r="66" spans="1:16" x14ac:dyDescent="0.3">
      <c r="A66" s="43"/>
      <c r="B66" s="43"/>
      <c r="G66" s="23"/>
      <c r="H66" s="24"/>
      <c r="I66" s="24"/>
      <c r="J66" s="36"/>
      <c r="K66" s="24"/>
      <c r="L66" s="24"/>
      <c r="M66" s="35"/>
    </row>
    <row r="67" spans="1:16" x14ac:dyDescent="0.3">
      <c r="A67" s="43"/>
      <c r="B67" s="43"/>
      <c r="D67" s="6" t="s">
        <v>27</v>
      </c>
      <c r="E67" s="6" t="s">
        <v>13</v>
      </c>
      <c r="G67" s="51" t="s">
        <v>12</v>
      </c>
      <c r="H67" s="52"/>
      <c r="I67" s="52"/>
      <c r="J67" s="53"/>
      <c r="K67" s="52"/>
      <c r="L67" s="54"/>
      <c r="M67" s="55"/>
    </row>
    <row r="68" spans="1:16" x14ac:dyDescent="0.3">
      <c r="A68" s="43"/>
      <c r="B68" s="43"/>
      <c r="C68" s="9" t="s">
        <v>27</v>
      </c>
      <c r="D68" s="21">
        <v>35</v>
      </c>
      <c r="E68" s="6" t="str">
        <f>G68</f>
        <v xml:space="preserve">  Administrative Expense</v>
      </c>
      <c r="G68" s="56" t="str">
        <f>"  Administrative Expense"</f>
        <v xml:space="preserve">  Administrative Expense</v>
      </c>
      <c r="H68" s="57"/>
      <c r="I68" s="57"/>
      <c r="J68" s="60"/>
      <c r="K68" s="57"/>
      <c r="L68" s="57"/>
      <c r="M68" s="59"/>
    </row>
    <row r="69" spans="1:16" hidden="1" x14ac:dyDescent="0.3">
      <c r="A69" s="43"/>
      <c r="B69" s="50" t="str">
        <f>IF(AND(MAX(H69:M69)=0,MIN(H69:M69)=0,HideEmptyRows="Yes"),"Hide","Show")</f>
        <v>Hide</v>
      </c>
      <c r="C69" s="20" t="str">
        <f>"000-6400-00"</f>
        <v>000-6400-00</v>
      </c>
      <c r="D69" s="21">
        <f>IF(D68="",-1,D68)</f>
        <v>35</v>
      </c>
      <c r="E69" s="6" t="str">
        <f>E68</f>
        <v xml:space="preserve">  Administrative Expense</v>
      </c>
      <c r="G69" s="56" t="str">
        <f>"    Life Insurance - Administration"</f>
        <v xml:space="preserve">    Life Insurance - Administration</v>
      </c>
      <c r="H69" s="57">
        <v>0</v>
      </c>
      <c r="I69" s="57">
        <v>0</v>
      </c>
      <c r="J69" s="58">
        <f>IF(I69=0,0,(H69-I69)/I69)</f>
        <v>0</v>
      </c>
      <c r="K69" s="57">
        <v>0</v>
      </c>
      <c r="L69" s="57">
        <v>0</v>
      </c>
      <c r="M69" s="59">
        <f>IF(L69=0,0,(K69-L69)/L69)</f>
        <v>0</v>
      </c>
      <c r="P69" s="9">
        <f>P68+1</f>
        <v>1</v>
      </c>
    </row>
    <row r="70" spans="1:16" hidden="1" x14ac:dyDescent="0.3">
      <c r="A70" s="43" t="s">
        <v>147</v>
      </c>
      <c r="B70" s="50" t="str">
        <f>IF(AND(MAX(H70:M70)=0,MIN(H70:M70)=0,HideEmptyRows="Yes"),"Hide","Show")</f>
        <v>Hide</v>
      </c>
      <c r="C70" s="20" t="str">
        <f>"000-6410-00"</f>
        <v>000-6410-00</v>
      </c>
      <c r="D70" s="21">
        <f>IF(D69="",-1,D69)</f>
        <v>35</v>
      </c>
      <c r="E70" s="6" t="str">
        <f>E69</f>
        <v xml:space="preserve">  Administrative Expense</v>
      </c>
      <c r="G70" s="56" t="str">
        <f>"    Vehicle Insurance"</f>
        <v xml:space="preserve">    Vehicle Insurance</v>
      </c>
      <c r="H70" s="57">
        <v>0</v>
      </c>
      <c r="I70" s="57">
        <v>0</v>
      </c>
      <c r="J70" s="58">
        <f>IF(I70=0,0,(H70-I70)/I70)</f>
        <v>0</v>
      </c>
      <c r="K70" s="57">
        <v>0</v>
      </c>
      <c r="L70" s="57">
        <v>0</v>
      </c>
      <c r="M70" s="59">
        <f>IF(L70=0,0,(K70-L70)/L70)</f>
        <v>0</v>
      </c>
      <c r="P70" s="9">
        <f t="shared" ref="P70:P82" si="3">P69+1</f>
        <v>2</v>
      </c>
    </row>
    <row r="71" spans="1:16" hidden="1" x14ac:dyDescent="0.3">
      <c r="A71" s="43" t="s">
        <v>147</v>
      </c>
      <c r="B71" s="50" t="str">
        <f>IF(AND(MAX(H71:M71)=0,MIN(H71:M71)=0,HideEmptyRows="Yes"),"Hide","Show")</f>
        <v>Hide</v>
      </c>
      <c r="C71" s="20" t="str">
        <f>"000-6420-00"</f>
        <v>000-6420-00</v>
      </c>
      <c r="D71" s="21">
        <f>IF(D70="",-1,D70)</f>
        <v>35</v>
      </c>
      <c r="E71" s="6" t="str">
        <f>E70</f>
        <v xml:space="preserve">  Administrative Expense</v>
      </c>
      <c r="G71" s="56" t="str">
        <f>"    Liability Insurance"</f>
        <v xml:space="preserve">    Liability Insurance</v>
      </c>
      <c r="H71" s="57">
        <v>0</v>
      </c>
      <c r="I71" s="57">
        <v>0</v>
      </c>
      <c r="J71" s="58">
        <f>IF(I71=0,0,(H71-I71)/I71)</f>
        <v>0</v>
      </c>
      <c r="K71" s="57">
        <v>0</v>
      </c>
      <c r="L71" s="57">
        <v>0</v>
      </c>
      <c r="M71" s="59">
        <f>IF(L71=0,0,(K71-L71)/L71)</f>
        <v>0</v>
      </c>
      <c r="P71" s="9">
        <f t="shared" si="3"/>
        <v>3</v>
      </c>
    </row>
    <row r="72" spans="1:16" hidden="1" x14ac:dyDescent="0.3">
      <c r="A72" s="43" t="s">
        <v>147</v>
      </c>
      <c r="B72" s="50" t="str">
        <f>IF(AND(MAX(H72:M72)=0,MIN(H72:M72)=0,HideEmptyRows="Yes"),"Hide","Show")</f>
        <v>Hide</v>
      </c>
      <c r="C72" s="20" t="str">
        <f>"000-6430-00"</f>
        <v>000-6430-00</v>
      </c>
      <c r="D72" s="21">
        <f>IF(D71="",-1,D71)</f>
        <v>35</v>
      </c>
      <c r="E72" s="6" t="str">
        <f>E71</f>
        <v xml:space="preserve">  Administrative Expense</v>
      </c>
      <c r="G72" s="56" t="str">
        <f>"    Casualty Insurance"</f>
        <v xml:space="preserve">    Casualty Insurance</v>
      </c>
      <c r="H72" s="57">
        <v>0</v>
      </c>
      <c r="I72" s="57">
        <v>0</v>
      </c>
      <c r="J72" s="58">
        <f>IF(I72=0,0,(H72-I72)/I72)</f>
        <v>0</v>
      </c>
      <c r="K72" s="57">
        <v>0</v>
      </c>
      <c r="L72" s="57">
        <v>0</v>
      </c>
      <c r="M72" s="59">
        <f>IF(L72=0,0,(K72-L72)/L72)</f>
        <v>0</v>
      </c>
      <c r="P72" s="9">
        <f t="shared" si="3"/>
        <v>4</v>
      </c>
    </row>
    <row r="73" spans="1:16" hidden="1" x14ac:dyDescent="0.3">
      <c r="A73" s="43" t="s">
        <v>147</v>
      </c>
      <c r="B73" s="50" t="str">
        <f>IF(AND(MAX(H73:M73)=0,MIN(H73:M73)=0,HideEmptyRows="Yes"),"Hide","Show")</f>
        <v>Hide</v>
      </c>
      <c r="C73" s="20" t="str">
        <f>"000-6600-00"</f>
        <v>000-6600-00</v>
      </c>
      <c r="D73" s="21">
        <f>IF(D72="",-1,D72)</f>
        <v>35</v>
      </c>
      <c r="E73" s="6" t="str">
        <f>E72</f>
        <v xml:space="preserve">  Administrative Expense</v>
      </c>
      <c r="G73" s="56" t="str">
        <f>"    Bank Fees"</f>
        <v xml:space="preserve">    Bank Fees</v>
      </c>
      <c r="H73" s="57">
        <v>0</v>
      </c>
      <c r="I73" s="57">
        <v>0</v>
      </c>
      <c r="J73" s="58">
        <f>IF(I73=0,0,(H73-I73)/I73)</f>
        <v>0</v>
      </c>
      <c r="K73" s="57">
        <v>0</v>
      </c>
      <c r="L73" s="57">
        <v>0</v>
      </c>
      <c r="M73" s="59">
        <f>IF(L73=0,0,(K73-L73)/L73)</f>
        <v>0</v>
      </c>
      <c r="P73" s="9">
        <f t="shared" si="3"/>
        <v>5</v>
      </c>
    </row>
    <row r="74" spans="1:16" hidden="1" x14ac:dyDescent="0.3">
      <c r="A74" s="43" t="s">
        <v>147</v>
      </c>
      <c r="B74" s="50" t="str">
        <f>IF(AND(MAX(H74:M74)=0,MIN(H74:M74)=0,HideEmptyRows="Yes"),"Hide","Show")</f>
        <v>Hide</v>
      </c>
      <c r="C74" s="20" t="str">
        <f>"000-6610-00"</f>
        <v>000-6610-00</v>
      </c>
      <c r="D74" s="21">
        <f>IF(D73="",-1,D73)</f>
        <v>35</v>
      </c>
      <c r="E74" s="6" t="str">
        <f>E73</f>
        <v xml:space="preserve">  Administrative Expense</v>
      </c>
      <c r="G74" s="56" t="str">
        <f>"    Advertising Expense"</f>
        <v xml:space="preserve">    Advertising Expense</v>
      </c>
      <c r="H74" s="57">
        <v>0</v>
      </c>
      <c r="I74" s="57">
        <v>0</v>
      </c>
      <c r="J74" s="58">
        <f>IF(I74=0,0,(H74-I74)/I74)</f>
        <v>0</v>
      </c>
      <c r="K74" s="57">
        <v>0</v>
      </c>
      <c r="L74" s="57">
        <v>0</v>
      </c>
      <c r="M74" s="59">
        <f>IF(L74=0,0,(K74-L74)/L74)</f>
        <v>0</v>
      </c>
      <c r="P74" s="9">
        <f t="shared" si="3"/>
        <v>6</v>
      </c>
    </row>
    <row r="75" spans="1:16" hidden="1" x14ac:dyDescent="0.3">
      <c r="A75" s="43" t="s">
        <v>147</v>
      </c>
      <c r="B75" s="50" t="str">
        <f>IF(AND(MAX(H75:M75)=0,MIN(H75:M75)=0,HideEmptyRows="Yes"),"Hide","Show")</f>
        <v>Hide</v>
      </c>
      <c r="C75" s="20" t="str">
        <f>"000-6620-00"</f>
        <v>000-6620-00</v>
      </c>
      <c r="D75" s="21">
        <f>IF(D74="",-1,D74)</f>
        <v>35</v>
      </c>
      <c r="E75" s="6" t="str">
        <f>E74</f>
        <v xml:space="preserve">  Administrative Expense</v>
      </c>
      <c r="G75" s="56" t="str">
        <f>"    Direct Mail Advertising Expense"</f>
        <v xml:space="preserve">    Direct Mail Advertising Expense</v>
      </c>
      <c r="H75" s="57">
        <v>0</v>
      </c>
      <c r="I75" s="57">
        <v>0</v>
      </c>
      <c r="J75" s="58">
        <f>IF(I75=0,0,(H75-I75)/I75)</f>
        <v>0</v>
      </c>
      <c r="K75" s="57">
        <v>0</v>
      </c>
      <c r="L75" s="57">
        <v>0</v>
      </c>
      <c r="M75" s="59">
        <f>IF(L75=0,0,(K75-L75)/L75)</f>
        <v>0</v>
      </c>
      <c r="P75" s="9">
        <f t="shared" si="3"/>
        <v>7</v>
      </c>
    </row>
    <row r="76" spans="1:16" hidden="1" x14ac:dyDescent="0.3">
      <c r="A76" s="43" t="s">
        <v>147</v>
      </c>
      <c r="B76" s="50" t="str">
        <f>IF(AND(MAX(H76:M76)=0,MIN(H76:M76)=0,HideEmptyRows="Yes"),"Hide","Show")</f>
        <v>Hide</v>
      </c>
      <c r="C76" s="20" t="str">
        <f>"000-6700-00"</f>
        <v>000-6700-00</v>
      </c>
      <c r="D76" s="21">
        <f>IF(D75="",-1,D75)</f>
        <v>35</v>
      </c>
      <c r="E76" s="6" t="str">
        <f>E75</f>
        <v xml:space="preserve">  Administrative Expense</v>
      </c>
      <c r="G76" s="56" t="str">
        <f>"    Bad Debts Expense"</f>
        <v xml:space="preserve">    Bad Debts Expense</v>
      </c>
      <c r="H76" s="57">
        <v>0</v>
      </c>
      <c r="I76" s="57">
        <v>0</v>
      </c>
      <c r="J76" s="58">
        <f>IF(I76=0,0,(H76-I76)/I76)</f>
        <v>0</v>
      </c>
      <c r="K76" s="57">
        <v>0</v>
      </c>
      <c r="L76" s="57">
        <v>0</v>
      </c>
      <c r="M76" s="59">
        <f>IF(L76=0,0,(K76-L76)/L76)</f>
        <v>0</v>
      </c>
      <c r="P76" s="9">
        <f t="shared" si="3"/>
        <v>8</v>
      </c>
    </row>
    <row r="77" spans="1:16" hidden="1" x14ac:dyDescent="0.3">
      <c r="A77" s="43" t="s">
        <v>147</v>
      </c>
      <c r="B77" s="50" t="str">
        <f>IF(AND(MAX(H77:M77)=0,MIN(H77:M77)=0,HideEmptyRows="Yes"),"Hide","Show")</f>
        <v>Hide</v>
      </c>
      <c r="C77" s="20" t="str">
        <f>"000-6710-00"</f>
        <v>000-6710-00</v>
      </c>
      <c r="D77" s="21">
        <f>IF(D76="",-1,D76)</f>
        <v>35</v>
      </c>
      <c r="E77" s="6" t="str">
        <f>E76</f>
        <v xml:space="preserve">  Administrative Expense</v>
      </c>
      <c r="G77" s="56" t="str">
        <f>"    Collection Costs"</f>
        <v xml:space="preserve">    Collection Costs</v>
      </c>
      <c r="H77" s="57">
        <v>0</v>
      </c>
      <c r="I77" s="57">
        <v>0</v>
      </c>
      <c r="J77" s="58">
        <f>IF(I77=0,0,(H77-I77)/I77)</f>
        <v>0</v>
      </c>
      <c r="K77" s="57">
        <v>0</v>
      </c>
      <c r="L77" s="57">
        <v>0</v>
      </c>
      <c r="M77" s="59">
        <f>IF(L77=0,0,(K77-L77)/L77)</f>
        <v>0</v>
      </c>
      <c r="P77" s="9">
        <f t="shared" si="3"/>
        <v>9</v>
      </c>
    </row>
    <row r="78" spans="1:16" hidden="1" x14ac:dyDescent="0.3">
      <c r="A78" s="43" t="s">
        <v>147</v>
      </c>
      <c r="B78" s="50" t="str">
        <f>IF(AND(MAX(H78:M78)=0,MIN(H78:M78)=0,HideEmptyRows="Yes"),"Hide","Show")</f>
        <v>Hide</v>
      </c>
      <c r="C78" s="20" t="str">
        <f>"000-6730-00"</f>
        <v>000-6730-00</v>
      </c>
      <c r="D78" s="21">
        <f>IF(D77="",-1,D77)</f>
        <v>35</v>
      </c>
      <c r="E78" s="6" t="str">
        <f>E77</f>
        <v xml:space="preserve">  Administrative Expense</v>
      </c>
      <c r="G78" s="56" t="str">
        <f>"    Accounting Fees"</f>
        <v xml:space="preserve">    Accounting Fees</v>
      </c>
      <c r="H78" s="57">
        <v>0</v>
      </c>
      <c r="I78" s="57">
        <v>0</v>
      </c>
      <c r="J78" s="58">
        <f>IF(I78=0,0,(H78-I78)/I78)</f>
        <v>0</v>
      </c>
      <c r="K78" s="57">
        <v>0</v>
      </c>
      <c r="L78" s="57">
        <v>0</v>
      </c>
      <c r="M78" s="59">
        <f>IF(L78=0,0,(K78-L78)/L78)</f>
        <v>0</v>
      </c>
      <c r="P78" s="9">
        <f t="shared" si="3"/>
        <v>10</v>
      </c>
    </row>
    <row r="79" spans="1:16" hidden="1" x14ac:dyDescent="0.3">
      <c r="A79" s="43" t="s">
        <v>147</v>
      </c>
      <c r="B79" s="50" t="str">
        <f>IF(AND(MAX(H79:M79)=0,MIN(H79:M79)=0,HideEmptyRows="Yes"),"Hide","Show")</f>
        <v>Hide</v>
      </c>
      <c r="C79" s="20" t="str">
        <f>"000-6750-00"</f>
        <v>000-6750-00</v>
      </c>
      <c r="D79" s="21">
        <f>IF(D78="",-1,D78)</f>
        <v>35</v>
      </c>
      <c r="E79" s="6" t="str">
        <f>E78</f>
        <v xml:space="preserve">  Administrative Expense</v>
      </c>
      <c r="G79" s="56" t="str">
        <f>"    Licenses &amp; Fees"</f>
        <v xml:space="preserve">    Licenses &amp; Fees</v>
      </c>
      <c r="H79" s="57">
        <v>0</v>
      </c>
      <c r="I79" s="57">
        <v>0</v>
      </c>
      <c r="J79" s="58">
        <f>IF(I79=0,0,(H79-I79)/I79)</f>
        <v>0</v>
      </c>
      <c r="K79" s="57">
        <v>0</v>
      </c>
      <c r="L79" s="57">
        <v>0</v>
      </c>
      <c r="M79" s="59">
        <f>IF(L79=0,0,(K79-L79)/L79)</f>
        <v>0</v>
      </c>
      <c r="P79" s="9">
        <f t="shared" si="3"/>
        <v>11</v>
      </c>
    </row>
    <row r="80" spans="1:16" hidden="1" x14ac:dyDescent="0.3">
      <c r="A80" s="43" t="s">
        <v>147</v>
      </c>
      <c r="B80" s="50" t="str">
        <f>IF(AND(MAX(H80:M80)=0,MIN(H80:M80)=0,HideEmptyRows="Yes"),"Hide","Show")</f>
        <v>Hide</v>
      </c>
      <c r="C80" s="20" t="str">
        <f>"000-6760-00"</f>
        <v>000-6760-00</v>
      </c>
      <c r="D80" s="21">
        <f>IF(D79="",-1,D79)</f>
        <v>35</v>
      </c>
      <c r="E80" s="6" t="str">
        <f>E79</f>
        <v xml:space="preserve">  Administrative Expense</v>
      </c>
      <c r="G80" s="56" t="str">
        <f>"    Recruiting &amp; Moving Expense"</f>
        <v xml:space="preserve">    Recruiting &amp; Moving Expense</v>
      </c>
      <c r="H80" s="57">
        <v>0</v>
      </c>
      <c r="I80" s="57">
        <v>0</v>
      </c>
      <c r="J80" s="58">
        <f>IF(I80=0,0,(H80-I80)/I80)</f>
        <v>0</v>
      </c>
      <c r="K80" s="57">
        <v>0</v>
      </c>
      <c r="L80" s="57">
        <v>0</v>
      </c>
      <c r="M80" s="59">
        <f>IF(L80=0,0,(K80-L80)/L80)</f>
        <v>0</v>
      </c>
      <c r="P80" s="9">
        <f t="shared" si="3"/>
        <v>12</v>
      </c>
    </row>
    <row r="81" spans="1:16" hidden="1" x14ac:dyDescent="0.3">
      <c r="A81" s="43" t="s">
        <v>147</v>
      </c>
      <c r="B81" s="50" t="str">
        <f>IF(AND(MAX(H81:M81)=0,MIN(H81:M81)=0,HideEmptyRows="Yes"),"Hide","Show")</f>
        <v>Hide</v>
      </c>
      <c r="C81" s="20" t="str">
        <f>"000-6770-00"</f>
        <v>000-6770-00</v>
      </c>
      <c r="D81" s="21">
        <f>IF(D80="",-1,D80)</f>
        <v>35</v>
      </c>
      <c r="E81" s="6" t="str">
        <f>E80</f>
        <v xml:space="preserve">  Administrative Expense</v>
      </c>
      <c r="G81" s="56" t="str">
        <f>"    Company Meetings"</f>
        <v xml:space="preserve">    Company Meetings</v>
      </c>
      <c r="H81" s="57">
        <v>0</v>
      </c>
      <c r="I81" s="57">
        <v>0</v>
      </c>
      <c r="J81" s="58">
        <f>IF(I81=0,0,(H81-I81)/I81)</f>
        <v>0</v>
      </c>
      <c r="K81" s="57">
        <v>0</v>
      </c>
      <c r="L81" s="57">
        <v>0</v>
      </c>
      <c r="M81" s="59">
        <f>IF(L81=0,0,(K81-L81)/L81)</f>
        <v>0</v>
      </c>
      <c r="P81" s="9">
        <f t="shared" si="3"/>
        <v>13</v>
      </c>
    </row>
    <row r="82" spans="1:16" hidden="1" x14ac:dyDescent="0.3">
      <c r="A82" s="43" t="s">
        <v>147</v>
      </c>
      <c r="B82" s="50" t="str">
        <f>IF(AND(MAX(H82:M82)=0,MIN(H82:M82)=0,HideEmptyRows="Yes"),"Hide","Show")</f>
        <v>Hide</v>
      </c>
      <c r="C82" s="20" t="str">
        <f>"000-6790-00"</f>
        <v>000-6790-00</v>
      </c>
      <c r="D82" s="21">
        <f>IF(D81="",-1,D81)</f>
        <v>35</v>
      </c>
      <c r="E82" s="6" t="str">
        <f>E81</f>
        <v xml:space="preserve">  Administrative Expense</v>
      </c>
      <c r="G82" s="56" t="str">
        <f>"    Warranty Expense"</f>
        <v xml:space="preserve">    Warranty Expense</v>
      </c>
      <c r="H82" s="57">
        <v>0</v>
      </c>
      <c r="I82" s="57">
        <v>0</v>
      </c>
      <c r="J82" s="58">
        <f>IF(I82=0,0,(H82-I82)/I82)</f>
        <v>0</v>
      </c>
      <c r="K82" s="57">
        <v>0</v>
      </c>
      <c r="L82" s="57">
        <v>0</v>
      </c>
      <c r="M82" s="59">
        <f>IF(L82=0,0,(K82-L82)/L82)</f>
        <v>0</v>
      </c>
      <c r="P82" s="9">
        <f t="shared" si="3"/>
        <v>14</v>
      </c>
    </row>
    <row r="83" spans="1:16" hidden="1" x14ac:dyDescent="0.3">
      <c r="A83" s="43" t="s">
        <v>0</v>
      </c>
      <c r="B83" s="43"/>
      <c r="D83" s="21">
        <f>D69</f>
        <v>35</v>
      </c>
      <c r="E83" s="6" t="str">
        <f>E69</f>
        <v xml:space="preserve">  Administrative Expense</v>
      </c>
      <c r="G83" s="56"/>
      <c r="H83" s="57"/>
      <c r="I83" s="57"/>
      <c r="J83" s="58"/>
      <c r="K83" s="57"/>
      <c r="L83" s="57"/>
      <c r="M83" s="59"/>
    </row>
    <row r="84" spans="1:16" x14ac:dyDescent="0.3">
      <c r="A84" s="43"/>
      <c r="B84" s="50"/>
      <c r="D84" s="21"/>
      <c r="E84" s="6" t="str">
        <f>E83</f>
        <v xml:space="preserve">  Administrative Expense</v>
      </c>
      <c r="G84" s="56" t="str">
        <f>"  Total"&amp;E84</f>
        <v xml:space="preserve">  Total  Administrative Expense</v>
      </c>
      <c r="H84" s="57">
        <f>SUBTOTAL(9,H69:H83)</f>
        <v>0</v>
      </c>
      <c r="I84" s="57">
        <f>SUBTOTAL(9,I69:I83)</f>
        <v>0</v>
      </c>
      <c r="J84" s="58">
        <f>IF(I84=0,0,(H84-I84)/I84)</f>
        <v>0</v>
      </c>
      <c r="K84" s="57">
        <f>SUBTOTAL(9,K69:K83)</f>
        <v>0</v>
      </c>
      <c r="L84" s="57">
        <f>SUBTOTAL(9,L69:L83)</f>
        <v>0</v>
      </c>
      <c r="M84" s="59">
        <f>IF(L84=0,0,(K84-L84)/L84)</f>
        <v>0</v>
      </c>
    </row>
    <row r="85" spans="1:16" x14ac:dyDescent="0.3">
      <c r="A85" s="43"/>
      <c r="B85" s="43"/>
      <c r="D85" s="21"/>
      <c r="G85" s="65"/>
      <c r="H85" s="66"/>
      <c r="I85" s="66"/>
      <c r="J85" s="67"/>
      <c r="K85" s="66"/>
      <c r="L85" s="66"/>
      <c r="M85" s="68"/>
    </row>
    <row r="86" spans="1:16" x14ac:dyDescent="0.3">
      <c r="A86" s="43" t="s">
        <v>147</v>
      </c>
      <c r="B86" s="43"/>
      <c r="C86" s="9" t="s">
        <v>27</v>
      </c>
      <c r="D86" s="21">
        <v>36</v>
      </c>
      <c r="E86" s="6" t="str">
        <f>G86</f>
        <v xml:space="preserve">  Salaries Expense</v>
      </c>
      <c r="G86" s="56" t="str">
        <f>"  Salaries Expense"</f>
        <v xml:space="preserve">  Salaries Expense</v>
      </c>
      <c r="H86" s="57"/>
      <c r="I86" s="57"/>
      <c r="J86" s="60"/>
      <c r="K86" s="57"/>
      <c r="L86" s="57"/>
      <c r="M86" s="59"/>
    </row>
    <row r="87" spans="1:16" x14ac:dyDescent="0.3">
      <c r="A87" s="43" t="s">
        <v>147</v>
      </c>
      <c r="B87" s="50" t="str">
        <f>IF(AND(MAX(H87:M87)=0,MIN(H87:M87)=0,HideEmptyRows="Yes"),"Hide","Show")</f>
        <v>Show</v>
      </c>
      <c r="C87" s="20" t="str">
        <f>"000-5100-00"</f>
        <v>000-5100-00</v>
      </c>
      <c r="D87" s="21">
        <f>IF(D86="",-1,D86)</f>
        <v>36</v>
      </c>
      <c r="E87" s="6" t="str">
        <f>E86</f>
        <v xml:space="preserve">  Salaries Expense</v>
      </c>
      <c r="G87" s="56" t="str">
        <f>"    Salaries and Wages"</f>
        <v xml:space="preserve">    Salaries and Wages</v>
      </c>
      <c r="H87" s="57">
        <v>153640.60999999999</v>
      </c>
      <c r="I87" s="57">
        <v>148529.48000000001</v>
      </c>
      <c r="J87" s="58">
        <f>IF(I87=0,0,(H87-I87)/I87)</f>
        <v>3.4411552507959867E-2</v>
      </c>
      <c r="K87" s="57">
        <v>244834.1</v>
      </c>
      <c r="L87" s="57">
        <v>223799.77</v>
      </c>
      <c r="M87" s="59">
        <f>IF(L87=0,0,(K87-L87)/L87)</f>
        <v>9.398727264107562E-2</v>
      </c>
      <c r="P87" s="9">
        <f t="shared" ref="P87" si="4">P86+1</f>
        <v>1</v>
      </c>
    </row>
    <row r="88" spans="1:16" hidden="1" x14ac:dyDescent="0.3">
      <c r="A88" s="43" t="s">
        <v>148</v>
      </c>
      <c r="B88" s="43"/>
      <c r="D88" s="21">
        <f>D87</f>
        <v>36</v>
      </c>
      <c r="E88" s="6" t="str">
        <f>E87</f>
        <v xml:space="preserve">  Salaries Expense</v>
      </c>
      <c r="G88" s="56"/>
      <c r="H88" s="57"/>
      <c r="I88" s="57"/>
      <c r="J88" s="58"/>
      <c r="K88" s="57"/>
      <c r="L88" s="57"/>
      <c r="M88" s="59"/>
    </row>
    <row r="89" spans="1:16" x14ac:dyDescent="0.3">
      <c r="A89" s="43" t="s">
        <v>147</v>
      </c>
      <c r="B89" s="50"/>
      <c r="D89" s="21"/>
      <c r="E89" s="6" t="str">
        <f>E88</f>
        <v xml:space="preserve">  Salaries Expense</v>
      </c>
      <c r="G89" s="56" t="str">
        <f>"  Total"&amp;E89</f>
        <v xml:space="preserve">  Total  Salaries Expense</v>
      </c>
      <c r="H89" s="57">
        <f>SUBTOTAL(9,H87:H88)</f>
        <v>153640.60999999999</v>
      </c>
      <c r="I89" s="57">
        <f>SUBTOTAL(9,I87:I88)</f>
        <v>148529.48000000001</v>
      </c>
      <c r="J89" s="58">
        <f>IF(I89=0,0,(H89-I89)/I89)</f>
        <v>3.4411552507959867E-2</v>
      </c>
      <c r="K89" s="57">
        <f>SUBTOTAL(9,K87:K88)</f>
        <v>244834.1</v>
      </c>
      <c r="L89" s="57">
        <f>SUBTOTAL(9,L87:L88)</f>
        <v>223799.77</v>
      </c>
      <c r="M89" s="59">
        <f>IF(L89=0,0,(K89-L89)/L89)</f>
        <v>9.398727264107562E-2</v>
      </c>
    </row>
    <row r="90" spans="1:16" x14ac:dyDescent="0.3">
      <c r="A90" s="43" t="s">
        <v>147</v>
      </c>
      <c r="B90" s="43"/>
      <c r="D90" s="21"/>
      <c r="G90" s="65"/>
      <c r="H90" s="66"/>
      <c r="I90" s="66"/>
      <c r="J90" s="67"/>
      <c r="K90" s="66"/>
      <c r="L90" s="66"/>
      <c r="M90" s="68"/>
    </row>
    <row r="91" spans="1:16" x14ac:dyDescent="0.3">
      <c r="A91" s="43" t="s">
        <v>147</v>
      </c>
      <c r="B91" s="43"/>
      <c r="C91" s="9" t="s">
        <v>27</v>
      </c>
      <c r="D91" s="21">
        <v>39</v>
      </c>
      <c r="E91" s="6" t="str">
        <f>G91</f>
        <v xml:space="preserve">  Tax Expense</v>
      </c>
      <c r="G91" s="56" t="str">
        <f>"  Tax Expense"</f>
        <v xml:space="preserve">  Tax Expense</v>
      </c>
      <c r="H91" s="57"/>
      <c r="I91" s="57"/>
      <c r="J91" s="60"/>
      <c r="K91" s="57"/>
      <c r="L91" s="57"/>
      <c r="M91" s="59"/>
    </row>
    <row r="92" spans="1:16" hidden="1" x14ac:dyDescent="0.3">
      <c r="A92" s="43" t="s">
        <v>147</v>
      </c>
      <c r="B92" s="50" t="str">
        <f>IF(AND(MAX(H92:M92)=0,MIN(H92:M92)=0,HideEmptyRows="Yes"),"Hide","Show")</f>
        <v>Hide</v>
      </c>
      <c r="C92" s="20" t="str">
        <f>"000-6630-00"</f>
        <v>000-6630-00</v>
      </c>
      <c r="D92" s="21">
        <f>IF(D91="",-1,D91)</f>
        <v>39</v>
      </c>
      <c r="E92" s="6" t="str">
        <f>E91</f>
        <v xml:space="preserve">  Tax Expense</v>
      </c>
      <c r="G92" s="56" t="str">
        <f>"    IL State Sales Tax Expense"</f>
        <v xml:space="preserve">    IL State Sales Tax Expense</v>
      </c>
      <c r="H92" s="57">
        <v>0</v>
      </c>
      <c r="I92" s="57">
        <v>0</v>
      </c>
      <c r="J92" s="58">
        <f>IF(I92=0,0,(H92-I92)/I92)</f>
        <v>0</v>
      </c>
      <c r="K92" s="57">
        <v>0</v>
      </c>
      <c r="L92" s="57">
        <v>0</v>
      </c>
      <c r="M92" s="59">
        <f>IF(L92=0,0,(K92-L92)/L92)</f>
        <v>0</v>
      </c>
      <c r="P92" s="9">
        <f t="shared" ref="P92" si="5">P91+1</f>
        <v>1</v>
      </c>
    </row>
    <row r="93" spans="1:16" hidden="1" x14ac:dyDescent="0.3">
      <c r="A93" s="43" t="s">
        <v>147</v>
      </c>
      <c r="B93" s="50" t="str">
        <f>IF(AND(MAX(H93:M93)=0,MIN(H93:M93)=0,HideEmptyRows="Yes"),"Hide","Show")</f>
        <v>Hide</v>
      </c>
      <c r="C93" s="20" t="str">
        <f>"000-6640-00"</f>
        <v>000-6640-00</v>
      </c>
      <c r="D93" s="21">
        <f>IF(D92="",-1,D92)</f>
        <v>39</v>
      </c>
      <c r="E93" s="6" t="str">
        <f>E92</f>
        <v xml:space="preserve">  Tax Expense</v>
      </c>
      <c r="G93" s="56" t="str">
        <f>"    Chicago City Sales Tax Expense"</f>
        <v xml:space="preserve">    Chicago City Sales Tax Expense</v>
      </c>
      <c r="H93" s="57">
        <v>0</v>
      </c>
      <c r="I93" s="57">
        <v>0</v>
      </c>
      <c r="J93" s="58">
        <f>IF(I93=0,0,(H93-I93)/I93)</f>
        <v>0</v>
      </c>
      <c r="K93" s="57">
        <v>0</v>
      </c>
      <c r="L93" s="57">
        <v>0</v>
      </c>
      <c r="M93" s="59">
        <f>IF(L93=0,0,(K93-L93)/L93)</f>
        <v>0</v>
      </c>
      <c r="P93" s="9">
        <f t="shared" ref="P93:P94" si="6">P92+1</f>
        <v>2</v>
      </c>
    </row>
    <row r="94" spans="1:16" hidden="1" x14ac:dyDescent="0.3">
      <c r="A94" s="43" t="s">
        <v>147</v>
      </c>
      <c r="B94" s="50" t="str">
        <f>IF(AND(MAX(H94:M94)=0,MIN(H94:M94)=0,HideEmptyRows="Yes"),"Hide","Show")</f>
        <v>Hide</v>
      </c>
      <c r="C94" s="20" t="str">
        <f>"000-6650-00"</f>
        <v>000-6650-00</v>
      </c>
      <c r="D94" s="21">
        <f>IF(D93="",-1,D93)</f>
        <v>39</v>
      </c>
      <c r="E94" s="6" t="str">
        <f>E93</f>
        <v xml:space="preserve">  Tax Expense</v>
      </c>
      <c r="G94" s="56" t="str">
        <f>"    Australia Sales Tax Expense"</f>
        <v xml:space="preserve">    Australia Sales Tax Expense</v>
      </c>
      <c r="H94" s="57">
        <v>0</v>
      </c>
      <c r="I94" s="57">
        <v>0</v>
      </c>
      <c r="J94" s="58">
        <f>IF(I94=0,0,(H94-I94)/I94)</f>
        <v>0</v>
      </c>
      <c r="K94" s="57">
        <v>0</v>
      </c>
      <c r="L94" s="57">
        <v>0</v>
      </c>
      <c r="M94" s="59">
        <f>IF(L94=0,0,(K94-L94)/L94)</f>
        <v>0</v>
      </c>
      <c r="P94" s="9">
        <f t="shared" si="6"/>
        <v>3</v>
      </c>
    </row>
    <row r="95" spans="1:16" hidden="1" x14ac:dyDescent="0.3">
      <c r="A95" s="43" t="s">
        <v>148</v>
      </c>
      <c r="B95" s="43"/>
      <c r="D95" s="21">
        <f>D92</f>
        <v>39</v>
      </c>
      <c r="E95" s="6" t="str">
        <f>E92</f>
        <v xml:space="preserve">  Tax Expense</v>
      </c>
      <c r="G95" s="56"/>
      <c r="H95" s="57"/>
      <c r="I95" s="57"/>
      <c r="J95" s="58"/>
      <c r="K95" s="57"/>
      <c r="L95" s="57"/>
      <c r="M95" s="59"/>
    </row>
    <row r="96" spans="1:16" x14ac:dyDescent="0.3">
      <c r="A96" s="43" t="s">
        <v>147</v>
      </c>
      <c r="B96" s="50"/>
      <c r="D96" s="21"/>
      <c r="E96" s="6" t="str">
        <f>E95</f>
        <v xml:space="preserve">  Tax Expense</v>
      </c>
      <c r="G96" s="56" t="str">
        <f>"  Total"&amp;E96</f>
        <v xml:space="preserve">  Total  Tax Expense</v>
      </c>
      <c r="H96" s="57">
        <f>SUBTOTAL(9,H92:H95)</f>
        <v>0</v>
      </c>
      <c r="I96" s="57">
        <f>SUBTOTAL(9,I92:I95)</f>
        <v>0</v>
      </c>
      <c r="J96" s="58">
        <f>IF(I96=0,0,(H96-I96)/I96)</f>
        <v>0</v>
      </c>
      <c r="K96" s="57">
        <f>SUBTOTAL(9,K92:K95)</f>
        <v>0</v>
      </c>
      <c r="L96" s="57">
        <f>SUBTOTAL(9,L92:L95)</f>
        <v>0</v>
      </c>
      <c r="M96" s="59">
        <f>IF(L96=0,0,(K96-L96)/L96)</f>
        <v>0</v>
      </c>
    </row>
    <row r="97" spans="1:16" x14ac:dyDescent="0.3">
      <c r="A97" s="43" t="s">
        <v>147</v>
      </c>
      <c r="B97" s="43"/>
      <c r="D97" s="21"/>
      <c r="G97" s="65"/>
      <c r="H97" s="66"/>
      <c r="I97" s="66"/>
      <c r="J97" s="67"/>
      <c r="K97" s="66"/>
      <c r="L97" s="66"/>
      <c r="M97" s="68"/>
    </row>
    <row r="98" spans="1:16" x14ac:dyDescent="0.3">
      <c r="A98" s="43" t="s">
        <v>147</v>
      </c>
      <c r="B98" s="43"/>
      <c r="C98" s="9" t="s">
        <v>27</v>
      </c>
      <c r="D98" s="21">
        <v>40</v>
      </c>
      <c r="E98" s="6" t="str">
        <f>G98</f>
        <v xml:space="preserve">  Depreciation Expense</v>
      </c>
      <c r="G98" s="56" t="str">
        <f>"  Depreciation Expense"</f>
        <v xml:space="preserve">  Depreciation Expense</v>
      </c>
      <c r="H98" s="57"/>
      <c r="I98" s="57"/>
      <c r="J98" s="60"/>
      <c r="K98" s="57"/>
      <c r="L98" s="57"/>
      <c r="M98" s="59"/>
    </row>
    <row r="99" spans="1:16" hidden="1" x14ac:dyDescent="0.3">
      <c r="A99" s="43" t="s">
        <v>147</v>
      </c>
      <c r="B99" s="50" t="str">
        <f>IF(AND(MAX(H99:M99)=0,MIN(H99:M99)=0,HideEmptyRows="Yes"),"Hide","Show")</f>
        <v>Hide</v>
      </c>
      <c r="C99" s="20" t="str">
        <f>"000-6200-00"</f>
        <v>000-6200-00</v>
      </c>
      <c r="D99" s="21">
        <f>IF(D98="",-1,D98)</f>
        <v>40</v>
      </c>
      <c r="E99" s="6" t="str">
        <f>E98</f>
        <v xml:space="preserve">  Depreciation Expense</v>
      </c>
      <c r="G99" s="56" t="str">
        <f>"    Depreciation Expense - Furniture &amp; Fixtures"</f>
        <v xml:space="preserve">    Depreciation Expense - Furniture &amp; Fixtures</v>
      </c>
      <c r="H99" s="57">
        <v>0</v>
      </c>
      <c r="I99" s="57">
        <v>0</v>
      </c>
      <c r="J99" s="58">
        <f>IF(I99=0,0,(H99-I99)/I99)</f>
        <v>0</v>
      </c>
      <c r="K99" s="57">
        <v>0</v>
      </c>
      <c r="L99" s="57">
        <v>0</v>
      </c>
      <c r="M99" s="59">
        <f>IF(L99=0,0,(K99-L99)/L99)</f>
        <v>0</v>
      </c>
      <c r="P99" s="9">
        <f t="shared" ref="P99" si="7">P98+1</f>
        <v>1</v>
      </c>
    </row>
    <row r="100" spans="1:16" hidden="1" x14ac:dyDescent="0.3">
      <c r="A100" s="43" t="s">
        <v>147</v>
      </c>
      <c r="B100" s="50" t="str">
        <f>IF(AND(MAX(H100:M100)=0,MIN(H100:M100)=0,HideEmptyRows="Yes"),"Hide","Show")</f>
        <v>Hide</v>
      </c>
      <c r="C100" s="20" t="str">
        <f>"000-6210-00"</f>
        <v>000-6210-00</v>
      </c>
      <c r="D100" s="21">
        <f>IF(D99="",-1,D99)</f>
        <v>40</v>
      </c>
      <c r="E100" s="6" t="str">
        <f>E99</f>
        <v xml:space="preserve">  Depreciation Expense</v>
      </c>
      <c r="G100" s="56" t="str">
        <f>"    Depreciation Expense - Computer Equipment"</f>
        <v xml:space="preserve">    Depreciation Expense - Computer Equipment</v>
      </c>
      <c r="H100" s="57">
        <v>0</v>
      </c>
      <c r="I100" s="57">
        <v>0</v>
      </c>
      <c r="J100" s="58">
        <f>IF(I100=0,0,(H100-I100)/I100)</f>
        <v>0</v>
      </c>
      <c r="K100" s="57">
        <v>0</v>
      </c>
      <c r="L100" s="57">
        <v>0</v>
      </c>
      <c r="M100" s="59">
        <f>IF(L100=0,0,(K100-L100)/L100)</f>
        <v>0</v>
      </c>
      <c r="P100" s="9">
        <f t="shared" ref="P100:P102" si="8">P99+1</f>
        <v>2</v>
      </c>
    </row>
    <row r="101" spans="1:16" hidden="1" x14ac:dyDescent="0.3">
      <c r="A101" s="43" t="s">
        <v>147</v>
      </c>
      <c r="B101" s="50" t="str">
        <f>IF(AND(MAX(H101:M101)=0,MIN(H101:M101)=0,HideEmptyRows="Yes"),"Hide","Show")</f>
        <v>Hide</v>
      </c>
      <c r="C101" s="20" t="str">
        <f>"000-6220-00"</f>
        <v>000-6220-00</v>
      </c>
      <c r="D101" s="21">
        <f>IF(D100="",-1,D100)</f>
        <v>40</v>
      </c>
      <c r="E101" s="6" t="str">
        <f>E100</f>
        <v xml:space="preserve">  Depreciation Expense</v>
      </c>
      <c r="G101" s="56" t="str">
        <f>"    Depreciation Expense - Machinery &amp; Equipment"</f>
        <v xml:space="preserve">    Depreciation Expense - Machinery &amp; Equipment</v>
      </c>
      <c r="H101" s="57">
        <v>0</v>
      </c>
      <c r="I101" s="57">
        <v>0</v>
      </c>
      <c r="J101" s="58">
        <f>IF(I101=0,0,(H101-I101)/I101)</f>
        <v>0</v>
      </c>
      <c r="K101" s="57">
        <v>0</v>
      </c>
      <c r="L101" s="57">
        <v>0</v>
      </c>
      <c r="M101" s="59">
        <f>IF(L101=0,0,(K101-L101)/L101)</f>
        <v>0</v>
      </c>
      <c r="P101" s="9">
        <f t="shared" si="8"/>
        <v>3</v>
      </c>
    </row>
    <row r="102" spans="1:16" hidden="1" x14ac:dyDescent="0.3">
      <c r="A102" s="43" t="s">
        <v>147</v>
      </c>
      <c r="B102" s="50" t="str">
        <f>IF(AND(MAX(H102:M102)=0,MIN(H102:M102)=0,HideEmptyRows="Yes"),"Hide","Show")</f>
        <v>Hide</v>
      </c>
      <c r="C102" s="20" t="str">
        <f>"000-6230-00"</f>
        <v>000-6230-00</v>
      </c>
      <c r="D102" s="21">
        <f>IF(D101="",-1,D101)</f>
        <v>40</v>
      </c>
      <c r="E102" s="6" t="str">
        <f>E101</f>
        <v xml:space="preserve">  Depreciation Expense</v>
      </c>
      <c r="G102" s="56" t="str">
        <f>"    Depreciation Expense - Fleet Vehicles"</f>
        <v xml:space="preserve">    Depreciation Expense - Fleet Vehicles</v>
      </c>
      <c r="H102" s="57">
        <v>0</v>
      </c>
      <c r="I102" s="57">
        <v>0</v>
      </c>
      <c r="J102" s="58">
        <f>IF(I102=0,0,(H102-I102)/I102)</f>
        <v>0</v>
      </c>
      <c r="K102" s="57">
        <v>0</v>
      </c>
      <c r="L102" s="57">
        <v>0</v>
      </c>
      <c r="M102" s="59">
        <f>IF(L102=0,0,(K102-L102)/L102)</f>
        <v>0</v>
      </c>
      <c r="P102" s="9">
        <f t="shared" si="8"/>
        <v>4</v>
      </c>
    </row>
    <row r="103" spans="1:16" hidden="1" x14ac:dyDescent="0.3">
      <c r="A103" s="43" t="s">
        <v>148</v>
      </c>
      <c r="B103" s="43"/>
      <c r="D103" s="21">
        <f>D99</f>
        <v>40</v>
      </c>
      <c r="E103" s="6" t="str">
        <f>E99</f>
        <v xml:space="preserve">  Depreciation Expense</v>
      </c>
      <c r="G103" s="56"/>
      <c r="H103" s="57"/>
      <c r="I103" s="57"/>
      <c r="J103" s="58"/>
      <c r="K103" s="57"/>
      <c r="L103" s="57"/>
      <c r="M103" s="59"/>
    </row>
    <row r="104" spans="1:16" x14ac:dyDescent="0.3">
      <c r="A104" s="43" t="s">
        <v>147</v>
      </c>
      <c r="B104" s="50"/>
      <c r="D104" s="21"/>
      <c r="E104" s="6" t="str">
        <f>E103</f>
        <v xml:space="preserve">  Depreciation Expense</v>
      </c>
      <c r="G104" s="56" t="str">
        <f>"  Total"&amp;E104</f>
        <v xml:space="preserve">  Total  Depreciation Expense</v>
      </c>
      <c r="H104" s="57">
        <f>SUBTOTAL(9,H99:H103)</f>
        <v>0</v>
      </c>
      <c r="I104" s="57">
        <f>SUBTOTAL(9,I99:I103)</f>
        <v>0</v>
      </c>
      <c r="J104" s="58">
        <f>IF(I104=0,0,(H104-I104)/I104)</f>
        <v>0</v>
      </c>
      <c r="K104" s="57">
        <f>SUBTOTAL(9,K99:K103)</f>
        <v>0</v>
      </c>
      <c r="L104" s="57">
        <f>SUBTOTAL(9,L99:L103)</f>
        <v>0</v>
      </c>
      <c r="M104" s="59">
        <f>IF(L104=0,0,(K104-L104)/L104)</f>
        <v>0</v>
      </c>
    </row>
    <row r="105" spans="1:16" x14ac:dyDescent="0.3">
      <c r="A105" s="43" t="s">
        <v>147</v>
      </c>
      <c r="B105" s="43"/>
      <c r="D105" s="21"/>
      <c r="G105" s="65"/>
      <c r="H105" s="66"/>
      <c r="I105" s="66"/>
      <c r="J105" s="67"/>
      <c r="K105" s="66"/>
      <c r="L105" s="66"/>
      <c r="M105" s="68"/>
    </row>
    <row r="106" spans="1:16" x14ac:dyDescent="0.3">
      <c r="A106" s="43"/>
      <c r="B106" s="43"/>
      <c r="D106" s="6">
        <v>47</v>
      </c>
      <c r="E106" s="6">
        <v>47</v>
      </c>
      <c r="G106" s="23"/>
      <c r="H106" s="24"/>
      <c r="I106" s="24"/>
      <c r="J106" s="35"/>
      <c r="K106" s="24"/>
      <c r="L106" s="24"/>
      <c r="M106" s="35"/>
    </row>
    <row r="107" spans="1:16" x14ac:dyDescent="0.3">
      <c r="A107" s="43"/>
      <c r="B107" s="43"/>
      <c r="D107" s="6">
        <f>D106</f>
        <v>47</v>
      </c>
      <c r="E107" s="6" t="str">
        <f>G107</f>
        <v xml:space="preserve">  Amortization of Intangible Assets</v>
      </c>
      <c r="G107" s="51" t="str">
        <f>"  Amortization of Intangible Assets"</f>
        <v xml:space="preserve">  Amortization of Intangible Assets</v>
      </c>
      <c r="H107" s="52"/>
      <c r="I107" s="52"/>
      <c r="J107" s="53"/>
      <c r="K107" s="52"/>
      <c r="L107" s="54"/>
      <c r="M107" s="55"/>
    </row>
    <row r="108" spans="1:16" hidden="1" x14ac:dyDescent="0.3">
      <c r="A108" s="43" t="s">
        <v>27</v>
      </c>
      <c r="B108" s="50" t="str">
        <f>IF(AND(MAX(H108:M108)=0,MIN(H108:M108)=0,HideEmptyRows="Yes"),"Hide","Show")</f>
        <v>Hide</v>
      </c>
      <c r="C108" s="20" t="str">
        <f>"000-6300-00"</f>
        <v>000-6300-00</v>
      </c>
      <c r="D108" s="6">
        <f>D107</f>
        <v>47</v>
      </c>
      <c r="E108" s="6" t="str">
        <f>E107</f>
        <v xml:space="preserve">  Amortization of Intangible Assets</v>
      </c>
      <c r="G108" s="56" t="str">
        <f>"    Amortization - Software"</f>
        <v xml:space="preserve">    Amortization - Software</v>
      </c>
      <c r="H108" s="57">
        <v>0</v>
      </c>
      <c r="I108" s="57">
        <v>0</v>
      </c>
      <c r="J108" s="58">
        <f>IF(I108=0,0,(H108-I108)/I108)</f>
        <v>0</v>
      </c>
      <c r="K108" s="57">
        <v>0</v>
      </c>
      <c r="L108" s="57">
        <v>0</v>
      </c>
      <c r="M108" s="59">
        <f>IF(L108=0,0,(K108-L108)/L108)</f>
        <v>0</v>
      </c>
      <c r="P108" s="9">
        <f>P107+1</f>
        <v>1</v>
      </c>
    </row>
    <row r="109" spans="1:16" hidden="1" x14ac:dyDescent="0.3">
      <c r="A109" s="43" t="s">
        <v>0</v>
      </c>
      <c r="B109" s="43"/>
      <c r="D109" s="6">
        <f>D108</f>
        <v>47</v>
      </c>
      <c r="E109" s="6" t="str">
        <f>E108</f>
        <v xml:space="preserve">  Amortization of Intangible Assets</v>
      </c>
      <c r="G109" s="56"/>
      <c r="H109" s="57"/>
      <c r="I109" s="57"/>
      <c r="J109" s="58"/>
      <c r="K109" s="57"/>
      <c r="L109" s="57"/>
      <c r="M109" s="59"/>
    </row>
    <row r="110" spans="1:16" x14ac:dyDescent="0.3">
      <c r="A110" s="43"/>
      <c r="B110" s="50"/>
      <c r="E110" s="6" t="str">
        <f>E109</f>
        <v xml:space="preserve">  Amortization of Intangible Assets</v>
      </c>
      <c r="G110" s="65" t="str">
        <f>"Total"&amp;E110</f>
        <v>Total  Amortization of Intangible Assets</v>
      </c>
      <c r="H110" s="66">
        <f>SUBTOTAL(9,H108:H109)</f>
        <v>0</v>
      </c>
      <c r="I110" s="66">
        <f>SUBTOTAL(9,I108:I109)</f>
        <v>0</v>
      </c>
      <c r="J110" s="67">
        <f>IF(I110=0,0,(H110-I110)/I110)</f>
        <v>0</v>
      </c>
      <c r="K110" s="66">
        <f>SUBTOTAL(9,K108:K109)</f>
        <v>0</v>
      </c>
      <c r="L110" s="66">
        <f>SUBTOTAL(9,L108:L109)</f>
        <v>0</v>
      </c>
      <c r="M110" s="68">
        <f>IF(L110=0,0,(K110-L110)/L110)</f>
        <v>0</v>
      </c>
    </row>
    <row r="111" spans="1:16" x14ac:dyDescent="0.3">
      <c r="A111" s="43"/>
      <c r="B111" s="43"/>
      <c r="G111" s="23"/>
      <c r="H111" s="24"/>
      <c r="I111" s="24"/>
      <c r="J111" s="35"/>
      <c r="K111" s="24"/>
      <c r="L111" s="24"/>
      <c r="M111" s="35"/>
    </row>
    <row r="112" spans="1:16" x14ac:dyDescent="0.3">
      <c r="A112" s="43"/>
      <c r="B112" s="43"/>
      <c r="G112" s="51" t="s">
        <v>14</v>
      </c>
      <c r="H112" s="34">
        <f>SUBTOTAL(9,H68:H111)</f>
        <v>153640.60999999999</v>
      </c>
      <c r="I112" s="34">
        <f>SUBTOTAL(9,I68:I111)</f>
        <v>148529.48000000001</v>
      </c>
      <c r="J112" s="37">
        <f>IF(I112=0,0,(H112-I112)/I112)</f>
        <v>3.4411552507959867E-2</v>
      </c>
      <c r="K112" s="34">
        <f>SUBTOTAL(9,K68:K111)</f>
        <v>244834.1</v>
      </c>
      <c r="L112" s="34">
        <f>SUBTOTAL(9,L68:L111)</f>
        <v>223799.77</v>
      </c>
      <c r="M112" s="62">
        <f>IF(L112=0,0,(K112-L112)/L112)</f>
        <v>9.398727264107562E-2</v>
      </c>
    </row>
    <row r="113" spans="1:16" x14ac:dyDescent="0.3">
      <c r="A113" s="43"/>
      <c r="B113" s="43"/>
      <c r="G113" s="25"/>
      <c r="H113" s="24"/>
      <c r="I113" s="24"/>
      <c r="J113" s="35"/>
      <c r="K113" s="24"/>
      <c r="L113" s="24"/>
      <c r="M113" s="35"/>
    </row>
    <row r="114" spans="1:16" x14ac:dyDescent="0.3">
      <c r="A114" s="43"/>
      <c r="B114" s="43"/>
      <c r="G114" s="51" t="s">
        <v>15</v>
      </c>
      <c r="H114" s="34">
        <f>CurrentGrossProfit-CurrentOpExp</f>
        <v>49674.620000000024</v>
      </c>
      <c r="I114" s="34">
        <f>LYPGrossProfit-LYPOpExpenses</f>
        <v>5283.8199999999779</v>
      </c>
      <c r="J114" s="37">
        <f>IF(I114=0,0,(H114-I114)/I114)</f>
        <v>8.4012702930834564</v>
      </c>
      <c r="K114" s="34">
        <f>GrossProfit-OperatingExpenses</f>
        <v>722.0000000000291</v>
      </c>
      <c r="L114" s="34">
        <f>LYTDGrossProfit-LYTDOpExpenses</f>
        <v>-8127.4699999999721</v>
      </c>
      <c r="M114" s="62">
        <f>IF(L114=0,0,(K114-L114)/L114)</f>
        <v>-1.0888345327635822</v>
      </c>
    </row>
    <row r="115" spans="1:16" x14ac:dyDescent="0.3">
      <c r="A115" s="43"/>
      <c r="B115" s="43"/>
      <c r="G115" s="23"/>
      <c r="H115" s="24"/>
      <c r="I115" s="24"/>
      <c r="J115" s="36"/>
      <c r="K115" s="24"/>
      <c r="L115" s="23"/>
      <c r="M115" s="35"/>
    </row>
    <row r="116" spans="1:16" x14ac:dyDescent="0.3">
      <c r="A116" s="43"/>
      <c r="B116" s="43"/>
      <c r="D116" s="6">
        <f>E116</f>
        <v>46</v>
      </c>
      <c r="E116" s="6">
        <v>46</v>
      </c>
      <c r="G116" s="23"/>
      <c r="H116" s="24"/>
      <c r="I116" s="24"/>
      <c r="J116" s="36"/>
      <c r="K116" s="24"/>
      <c r="L116" s="24"/>
      <c r="M116" s="35"/>
    </row>
    <row r="117" spans="1:16" x14ac:dyDescent="0.3">
      <c r="A117" s="43"/>
      <c r="B117" s="43"/>
      <c r="D117" s="6">
        <f>D116</f>
        <v>46</v>
      </c>
      <c r="E117" s="6" t="str">
        <f>G117</f>
        <v xml:space="preserve">  Gain/Loss on Asset Disposal</v>
      </c>
      <c r="G117" s="51" t="str">
        <f>"  Gain/Loss on Asset Disposal"</f>
        <v xml:space="preserve">  Gain/Loss on Asset Disposal</v>
      </c>
      <c r="H117" s="52"/>
      <c r="I117" s="52"/>
      <c r="J117" s="53"/>
      <c r="K117" s="52"/>
      <c r="L117" s="54"/>
      <c r="M117" s="55"/>
    </row>
    <row r="118" spans="1:16" hidden="1" x14ac:dyDescent="0.3">
      <c r="A118" s="43"/>
      <c r="B118" s="50" t="str">
        <f>IF(AND(MAX(H118:M118)=0,MIN(H118:M118)=0,HideEmptyRows="Yes"),"Hide","Show")</f>
        <v>Hide</v>
      </c>
      <c r="C118" s="20"/>
      <c r="D118" s="6">
        <f>D117</f>
        <v>46</v>
      </c>
      <c r="E118" s="6" t="str">
        <f>E117</f>
        <v xml:space="preserve">  Gain/Loss on Asset Disposal</v>
      </c>
      <c r="G118" s="56" t="str">
        <f>IF(C118="","","    "&amp;_xll.GL(,"Name",C118))</f>
        <v/>
      </c>
      <c r="H118" s="57">
        <f>IF($C118="",0,-_xll.GL(,"Balance",$C118,$E$4&amp;"/"&amp;$E$6,$E$4&amp;"/"&amp;$E$5,$D118))</f>
        <v>0</v>
      </c>
      <c r="I118" s="57">
        <f>IF($C118="",0,-_xll.GL(,"Balance",$C118,$E$4-1&amp;"/"&amp;$E$6,$E$4-1&amp;"/"&amp;$E$5,$D118))</f>
        <v>0</v>
      </c>
      <c r="J118" s="58">
        <f>IF(I118=0,0,(H118-I118)/I118)</f>
        <v>0</v>
      </c>
      <c r="K118" s="57">
        <f>IF($C118="",0,-_xll.GL(,"Balance",$C118,,$E$4&amp;"/"&amp;$E$5,$D118))</f>
        <v>0</v>
      </c>
      <c r="L118" s="57">
        <f>IF($C118="",0,-_xll.GL(,"Balance",$C118,,$E$4-1&amp;"/"&amp;$E$5,$D118))</f>
        <v>0</v>
      </c>
      <c r="M118" s="59">
        <f>IF(L118=0,0,(K118-L118)/L118)</f>
        <v>0</v>
      </c>
      <c r="P118" s="9">
        <f>P117+1</f>
        <v>1</v>
      </c>
    </row>
    <row r="119" spans="1:16" x14ac:dyDescent="0.3">
      <c r="A119" s="43"/>
      <c r="B119" s="43"/>
      <c r="D119" s="6">
        <f>D118</f>
        <v>46</v>
      </c>
      <c r="E119" s="6" t="str">
        <f>E118</f>
        <v xml:space="preserve">  Gain/Loss on Asset Disposal</v>
      </c>
      <c r="G119" s="56"/>
      <c r="H119" s="57"/>
      <c r="I119" s="57"/>
      <c r="J119" s="58"/>
      <c r="K119" s="57"/>
      <c r="L119" s="57"/>
      <c r="M119" s="59"/>
    </row>
    <row r="120" spans="1:16" x14ac:dyDescent="0.3">
      <c r="A120" s="43"/>
      <c r="B120" s="50"/>
      <c r="E120" s="6" t="str">
        <f>E119</f>
        <v xml:space="preserve">  Gain/Loss on Asset Disposal</v>
      </c>
      <c r="G120" s="65" t="str">
        <f>"Total"&amp;E120</f>
        <v>Total  Gain/Loss on Asset Disposal</v>
      </c>
      <c r="H120" s="66">
        <f>SUBTOTAL(9,H118:H119)</f>
        <v>0</v>
      </c>
      <c r="I120" s="66">
        <f>SUBTOTAL(9,I118:I119)</f>
        <v>0</v>
      </c>
      <c r="J120" s="67">
        <f>IF(I120=0,0,(H120-I120)/I120)</f>
        <v>0</v>
      </c>
      <c r="K120" s="66">
        <f>SUBTOTAL(9,K118:K119)</f>
        <v>0</v>
      </c>
      <c r="L120" s="66">
        <f>SUBTOTAL(9,L118:L119)</f>
        <v>0</v>
      </c>
      <c r="M120" s="68">
        <f>IF(L120=0,0,(K120-L120)/L120)</f>
        <v>0</v>
      </c>
    </row>
    <row r="121" spans="1:16" x14ac:dyDescent="0.3">
      <c r="A121" s="43"/>
      <c r="B121" s="43"/>
      <c r="G121" s="25"/>
      <c r="H121" s="26"/>
      <c r="I121" s="26"/>
      <c r="J121" s="35"/>
      <c r="K121" s="26"/>
      <c r="L121" s="24"/>
      <c r="M121" s="35"/>
    </row>
    <row r="122" spans="1:16" x14ac:dyDescent="0.3">
      <c r="A122" s="43"/>
      <c r="B122" s="43"/>
      <c r="D122" s="6">
        <f>E122</f>
        <v>43</v>
      </c>
      <c r="E122" s="6">
        <v>43</v>
      </c>
      <c r="G122" s="23"/>
      <c r="H122" s="24"/>
      <c r="I122" s="24"/>
      <c r="J122" s="35"/>
      <c r="K122" s="24"/>
      <c r="L122" s="24"/>
      <c r="M122" s="35"/>
    </row>
    <row r="123" spans="1:16" x14ac:dyDescent="0.3">
      <c r="A123" s="43"/>
      <c r="B123" s="43"/>
      <c r="D123" s="6">
        <f>D122</f>
        <v>43</v>
      </c>
      <c r="E123" s="6" t="str">
        <f>G123</f>
        <v xml:space="preserve">  Other Income</v>
      </c>
      <c r="G123" s="51" t="str">
        <f>"  Other Income"</f>
        <v xml:space="preserve">  Other Income</v>
      </c>
      <c r="H123" s="52"/>
      <c r="I123" s="52"/>
      <c r="J123" s="53"/>
      <c r="K123" s="52"/>
      <c r="L123" s="54"/>
      <c r="M123" s="55"/>
    </row>
    <row r="124" spans="1:16" hidden="1" x14ac:dyDescent="0.3">
      <c r="A124" s="43"/>
      <c r="B124" s="50" t="str">
        <f>IF(AND(MAX(H124:M124)=0,MIN(H124:M124)=0,HideEmptyRows="Yes"),"Hide","Show")</f>
        <v>Hide</v>
      </c>
      <c r="C124" s="20" t="str">
        <f>"000-7010-00"</f>
        <v>000-7010-00</v>
      </c>
      <c r="D124" s="6">
        <f>D123</f>
        <v>43</v>
      </c>
      <c r="E124" s="6" t="str">
        <f>E123</f>
        <v xml:space="preserve">  Other Income</v>
      </c>
      <c r="G124" s="56" t="str">
        <f>"    Finance Charge Income"</f>
        <v xml:space="preserve">    Finance Charge Income</v>
      </c>
      <c r="H124" s="57">
        <v>0</v>
      </c>
      <c r="I124" s="57">
        <v>0</v>
      </c>
      <c r="J124" s="58">
        <f>IF(I124=0,0,(H124-I124)/I124)</f>
        <v>0</v>
      </c>
      <c r="K124" s="57">
        <v>0</v>
      </c>
      <c r="L124" s="57">
        <v>0</v>
      </c>
      <c r="M124" s="59">
        <f>IF(L124=0,0,(K124-L124)/L124)</f>
        <v>0</v>
      </c>
      <c r="P124" s="9">
        <f>P123+1</f>
        <v>1</v>
      </c>
    </row>
    <row r="125" spans="1:16" hidden="1" x14ac:dyDescent="0.3">
      <c r="A125" s="43" t="s">
        <v>147</v>
      </c>
      <c r="B125" s="50" t="str">
        <f>IF(AND(MAX(H125:M125)=0,MIN(H125:M125)=0,HideEmptyRows="Yes"),"Hide","Show")</f>
        <v>Hide</v>
      </c>
      <c r="C125" s="20" t="str">
        <f>"000-7020-00"</f>
        <v>000-7020-00</v>
      </c>
      <c r="D125" s="6">
        <f>D124</f>
        <v>43</v>
      </c>
      <c r="E125" s="6" t="str">
        <f>E124</f>
        <v xml:space="preserve">  Other Income</v>
      </c>
      <c r="G125" s="56" t="str">
        <f>"    Interest Income"</f>
        <v xml:space="preserve">    Interest Income</v>
      </c>
      <c r="H125" s="57">
        <v>0</v>
      </c>
      <c r="I125" s="57">
        <v>0</v>
      </c>
      <c r="J125" s="58">
        <f>IF(I125=0,0,(H125-I125)/I125)</f>
        <v>0</v>
      </c>
      <c r="K125" s="57">
        <v>0</v>
      </c>
      <c r="L125" s="57">
        <v>0</v>
      </c>
      <c r="M125" s="59">
        <f>IF(L125=0,0,(K125-L125)/L125)</f>
        <v>0</v>
      </c>
      <c r="P125" s="9">
        <f t="shared" ref="P125:P128" si="9">P124+1</f>
        <v>2</v>
      </c>
    </row>
    <row r="126" spans="1:16" hidden="1" x14ac:dyDescent="0.3">
      <c r="A126" s="43" t="s">
        <v>147</v>
      </c>
      <c r="B126" s="50" t="str">
        <f>IF(AND(MAX(H126:M126)=0,MIN(H126:M126)=0,HideEmptyRows="Yes"),"Hide","Show")</f>
        <v>Hide</v>
      </c>
      <c r="C126" s="20" t="str">
        <f>"000-7040-00"</f>
        <v>000-7040-00</v>
      </c>
      <c r="D126" s="6">
        <f>D125</f>
        <v>43</v>
      </c>
      <c r="E126" s="6" t="str">
        <f>E125</f>
        <v xml:space="preserve">  Other Income</v>
      </c>
      <c r="G126" s="56" t="str">
        <f>"    Miscellaneous Income"</f>
        <v xml:space="preserve">    Miscellaneous Income</v>
      </c>
      <c r="H126" s="57">
        <v>0</v>
      </c>
      <c r="I126" s="57">
        <v>0</v>
      </c>
      <c r="J126" s="58">
        <f>IF(I126=0,0,(H126-I126)/I126)</f>
        <v>0</v>
      </c>
      <c r="K126" s="57">
        <v>0</v>
      </c>
      <c r="L126" s="57">
        <v>0</v>
      </c>
      <c r="M126" s="59">
        <f>IF(L126=0,0,(K126-L126)/L126)</f>
        <v>0</v>
      </c>
      <c r="P126" s="9">
        <f t="shared" si="9"/>
        <v>3</v>
      </c>
    </row>
    <row r="127" spans="1:16" hidden="1" x14ac:dyDescent="0.3">
      <c r="A127" s="43" t="s">
        <v>147</v>
      </c>
      <c r="B127" s="50" t="str">
        <f>IF(AND(MAX(H127:M127)=0,MIN(H127:M127)=0,HideEmptyRows="Yes"),"Hide","Show")</f>
        <v>Hide</v>
      </c>
      <c r="C127" s="20" t="str">
        <f>"000-7401-00"</f>
        <v>000-7401-00</v>
      </c>
      <c r="D127" s="6">
        <f>D126</f>
        <v>43</v>
      </c>
      <c r="E127" s="6" t="str">
        <f>E126</f>
        <v xml:space="preserve">  Other Income</v>
      </c>
      <c r="G127" s="56" t="str">
        <f>"    Rounding Difference - Canada"</f>
        <v xml:space="preserve">    Rounding Difference - Canada</v>
      </c>
      <c r="H127" s="57">
        <v>0</v>
      </c>
      <c r="I127" s="57">
        <v>0</v>
      </c>
      <c r="J127" s="58">
        <f>IF(I127=0,0,(H127-I127)/I127)</f>
        <v>0</v>
      </c>
      <c r="K127" s="57">
        <v>0</v>
      </c>
      <c r="L127" s="57">
        <v>0</v>
      </c>
      <c r="M127" s="59">
        <f>IF(L127=0,0,(K127-L127)/L127)</f>
        <v>0</v>
      </c>
      <c r="P127" s="9">
        <f t="shared" si="9"/>
        <v>4</v>
      </c>
    </row>
    <row r="128" spans="1:16" hidden="1" x14ac:dyDescent="0.3">
      <c r="A128" s="43" t="s">
        <v>147</v>
      </c>
      <c r="B128" s="50" t="str">
        <f>IF(AND(MAX(H128:M128)=0,MIN(H128:M128)=0,HideEmptyRows="Yes"),"Hide","Show")</f>
        <v>Hide</v>
      </c>
      <c r="C128" s="20" t="str">
        <f>"000-7402-00"</f>
        <v>000-7402-00</v>
      </c>
      <c r="D128" s="6">
        <f>D127</f>
        <v>43</v>
      </c>
      <c r="E128" s="6" t="str">
        <f>E127</f>
        <v xml:space="preserve">  Other Income</v>
      </c>
      <c r="G128" s="56" t="str">
        <f>"    Rounding Difference - Australia"</f>
        <v xml:space="preserve">    Rounding Difference - Australia</v>
      </c>
      <c r="H128" s="57">
        <v>0</v>
      </c>
      <c r="I128" s="57">
        <v>0</v>
      </c>
      <c r="J128" s="58">
        <f>IF(I128=0,0,(H128-I128)/I128)</f>
        <v>0</v>
      </c>
      <c r="K128" s="57">
        <v>0</v>
      </c>
      <c r="L128" s="57">
        <v>0</v>
      </c>
      <c r="M128" s="59">
        <f>IF(L128=0,0,(K128-L128)/L128)</f>
        <v>0</v>
      </c>
      <c r="P128" s="9">
        <f t="shared" si="9"/>
        <v>5</v>
      </c>
    </row>
    <row r="129" spans="1:16" x14ac:dyDescent="0.3">
      <c r="A129" s="43"/>
      <c r="B129" s="43"/>
      <c r="D129" s="6">
        <f>D124</f>
        <v>43</v>
      </c>
      <c r="E129" s="6" t="str">
        <f>E124</f>
        <v xml:space="preserve">  Other Income</v>
      </c>
      <c r="G129" s="56"/>
      <c r="H129" s="57"/>
      <c r="I129" s="57"/>
      <c r="J129" s="58"/>
      <c r="K129" s="57"/>
      <c r="L129" s="57"/>
      <c r="M129" s="59"/>
    </row>
    <row r="130" spans="1:16" x14ac:dyDescent="0.3">
      <c r="A130" s="43"/>
      <c r="B130" s="50"/>
      <c r="E130" s="6" t="str">
        <f>E129</f>
        <v xml:space="preserve">  Other Income</v>
      </c>
      <c r="G130" s="65" t="str">
        <f>"Total"&amp;E130</f>
        <v>Total  Other Income</v>
      </c>
      <c r="H130" s="66">
        <f>SUBTOTAL(9,H124:H129)</f>
        <v>0</v>
      </c>
      <c r="I130" s="66">
        <f>SUBTOTAL(9,I124:I129)</f>
        <v>0</v>
      </c>
      <c r="J130" s="67">
        <f>IF(I130=0,0,(H130-I130)/I130)</f>
        <v>0</v>
      </c>
      <c r="K130" s="66">
        <f>SUBTOTAL(9,K124:K129)</f>
        <v>0</v>
      </c>
      <c r="L130" s="66">
        <f>SUBTOTAL(9,L124:L129)</f>
        <v>0</v>
      </c>
      <c r="M130" s="68">
        <f>IF(L130=0,0,(K130-L130)/L130)</f>
        <v>0</v>
      </c>
    </row>
    <row r="131" spans="1:16" x14ac:dyDescent="0.3">
      <c r="A131" s="43"/>
      <c r="B131" s="43"/>
      <c r="G131" s="23"/>
      <c r="H131" s="24"/>
      <c r="I131" s="24"/>
      <c r="J131" s="35"/>
      <c r="K131" s="24"/>
      <c r="L131" s="24"/>
      <c r="M131" s="35"/>
    </row>
    <row r="132" spans="1:16" x14ac:dyDescent="0.3">
      <c r="A132" s="43"/>
      <c r="B132" s="43"/>
      <c r="D132" s="6">
        <f>E132</f>
        <v>42</v>
      </c>
      <c r="E132" s="6">
        <v>42</v>
      </c>
      <c r="G132" s="23"/>
      <c r="H132" s="24"/>
      <c r="I132" s="24"/>
      <c r="J132" s="35"/>
      <c r="K132" s="24"/>
      <c r="L132" s="24"/>
      <c r="M132" s="35"/>
    </row>
    <row r="133" spans="1:16" x14ac:dyDescent="0.3">
      <c r="A133" s="43"/>
      <c r="B133" s="43"/>
      <c r="D133" s="6">
        <f>D132</f>
        <v>42</v>
      </c>
      <c r="E133" s="6" t="str">
        <f>G133</f>
        <v xml:space="preserve">  Other Expenses</v>
      </c>
      <c r="G133" s="51" t="str">
        <f>"  Other Expenses"</f>
        <v xml:space="preserve">  Other Expenses</v>
      </c>
      <c r="H133" s="52"/>
      <c r="I133" s="52"/>
      <c r="J133" s="53"/>
      <c r="K133" s="52"/>
      <c r="L133" s="54"/>
      <c r="M133" s="55"/>
    </row>
    <row r="134" spans="1:16" x14ac:dyDescent="0.3">
      <c r="A134" s="43"/>
      <c r="B134" s="50" t="str">
        <f>IF(AND(MAX(H134:M134)=0,MIN(H134:M134)=0,HideEmptyRows="Yes"),"Hide","Show")</f>
        <v>Show</v>
      </c>
      <c r="C134" s="20" t="str">
        <f>"000-4731-00"</f>
        <v>000-4731-00</v>
      </c>
      <c r="D134" s="6">
        <f>D133</f>
        <v>42</v>
      </c>
      <c r="E134" s="6" t="str">
        <f>E133</f>
        <v xml:space="preserve">  Other Expenses</v>
      </c>
      <c r="G134" s="56" t="str">
        <f>"    Withholding offset"</f>
        <v xml:space="preserve">    Withholding offset</v>
      </c>
      <c r="H134" s="57">
        <v>0</v>
      </c>
      <c r="I134" s="57">
        <v>-757.12</v>
      </c>
      <c r="J134" s="58">
        <f>IF(I134=0,0,(H134-I134)/I134)</f>
        <v>-1</v>
      </c>
      <c r="K134" s="57">
        <v>-757.12</v>
      </c>
      <c r="L134" s="57">
        <v>-757.12</v>
      </c>
      <c r="M134" s="59">
        <f>IF(L134=0,0,(K134-L134)/L134)</f>
        <v>0</v>
      </c>
      <c r="P134" s="9">
        <f>P133+1</f>
        <v>1</v>
      </c>
    </row>
    <row r="135" spans="1:16" hidden="1" x14ac:dyDescent="0.3">
      <c r="A135" s="43" t="s">
        <v>147</v>
      </c>
      <c r="B135" s="50" t="str">
        <f>IF(AND(MAX(H135:M135)=0,MIN(H135:M135)=0,HideEmptyRows="Yes"),"Hide","Show")</f>
        <v>Hide</v>
      </c>
      <c r="C135" s="20" t="str">
        <f>"000-6780-00"</f>
        <v>000-6780-00</v>
      </c>
      <c r="D135" s="6">
        <f>D134</f>
        <v>42</v>
      </c>
      <c r="E135" s="6" t="str">
        <f>E134</f>
        <v xml:space="preserve">  Other Expenses</v>
      </c>
      <c r="G135" s="56" t="str">
        <f>"    Miscellaneous Expense"</f>
        <v xml:space="preserve">    Miscellaneous Expense</v>
      </c>
      <c r="H135" s="57">
        <v>0</v>
      </c>
      <c r="I135" s="57">
        <v>0</v>
      </c>
      <c r="J135" s="58">
        <f>IF(I135=0,0,(H135-I135)/I135)</f>
        <v>0</v>
      </c>
      <c r="K135" s="57">
        <v>0</v>
      </c>
      <c r="L135" s="57">
        <v>0</v>
      </c>
      <c r="M135" s="59">
        <f>IF(L135=0,0,(K135-L135)/L135)</f>
        <v>0</v>
      </c>
      <c r="P135" s="9">
        <f t="shared" ref="P135:P136" si="10">P134+1</f>
        <v>2</v>
      </c>
    </row>
    <row r="136" spans="1:16" hidden="1" x14ac:dyDescent="0.3">
      <c r="A136" s="43" t="s">
        <v>147</v>
      </c>
      <c r="B136" s="50" t="str">
        <f>IF(AND(MAX(H136:M136)=0,MIN(H136:M136)=0,HideEmptyRows="Yes"),"Hide","Show")</f>
        <v>Hide</v>
      </c>
      <c r="C136" s="20" t="str">
        <f>"000-8020-00"</f>
        <v>000-8020-00</v>
      </c>
      <c r="D136" s="6">
        <f>D135</f>
        <v>42</v>
      </c>
      <c r="E136" s="6" t="str">
        <f>E135</f>
        <v xml:space="preserve">  Other Expenses</v>
      </c>
      <c r="G136" s="56" t="str">
        <f>"    Interest Expense"</f>
        <v xml:space="preserve">    Interest Expense</v>
      </c>
      <c r="H136" s="57">
        <v>0</v>
      </c>
      <c r="I136" s="57">
        <v>0</v>
      </c>
      <c r="J136" s="58">
        <f>IF(I136=0,0,(H136-I136)/I136)</f>
        <v>0</v>
      </c>
      <c r="K136" s="57">
        <v>0</v>
      </c>
      <c r="L136" s="57">
        <v>0</v>
      </c>
      <c r="M136" s="59">
        <f>IF(L136=0,0,(K136-L136)/L136)</f>
        <v>0</v>
      </c>
      <c r="P136" s="9">
        <f t="shared" si="10"/>
        <v>3</v>
      </c>
    </row>
    <row r="137" spans="1:16" x14ac:dyDescent="0.3">
      <c r="A137" s="43"/>
      <c r="B137" s="43"/>
      <c r="D137" s="6">
        <f>D134</f>
        <v>42</v>
      </c>
      <c r="E137" s="6" t="str">
        <f>E134</f>
        <v xml:space="preserve">  Other Expenses</v>
      </c>
      <c r="G137" s="56"/>
      <c r="H137" s="57"/>
      <c r="I137" s="57"/>
      <c r="J137" s="58"/>
      <c r="K137" s="57"/>
      <c r="L137" s="57"/>
      <c r="M137" s="59"/>
    </row>
    <row r="138" spans="1:16" x14ac:dyDescent="0.3">
      <c r="A138" s="43"/>
      <c r="B138" s="50"/>
      <c r="E138" s="6" t="str">
        <f>E137</f>
        <v xml:space="preserve">  Other Expenses</v>
      </c>
      <c r="G138" s="65" t="str">
        <f>"Total"&amp;E138</f>
        <v>Total  Other Expenses</v>
      </c>
      <c r="H138" s="66">
        <f>SUBTOTAL(9,H134:H137)</f>
        <v>0</v>
      </c>
      <c r="I138" s="66">
        <f>SUBTOTAL(9,I134:I137)</f>
        <v>-757.12</v>
      </c>
      <c r="J138" s="67">
        <f>IF(I138=0,0,(H138-I138)/I138)</f>
        <v>-1</v>
      </c>
      <c r="K138" s="66">
        <f>SUBTOTAL(9,K134:K137)</f>
        <v>-757.12</v>
      </c>
      <c r="L138" s="66">
        <f>SUBTOTAL(9,L134:L137)</f>
        <v>-757.12</v>
      </c>
      <c r="M138" s="68">
        <f>IF(L138=0,0,(K138-L138)/L138)</f>
        <v>0</v>
      </c>
    </row>
    <row r="139" spans="1:16" x14ac:dyDescent="0.3">
      <c r="A139" s="43"/>
      <c r="B139" s="43"/>
      <c r="G139" s="23"/>
      <c r="H139" s="24"/>
      <c r="I139" s="24"/>
      <c r="J139" s="35"/>
      <c r="K139" s="24"/>
      <c r="L139" s="24"/>
      <c r="M139" s="35"/>
    </row>
    <row r="140" spans="1:16" x14ac:dyDescent="0.3">
      <c r="A140" s="43"/>
      <c r="B140" s="43"/>
      <c r="G140" s="33" t="s">
        <v>16</v>
      </c>
      <c r="H140" s="34">
        <f>SUBTOTAL(9,H123:H139)</f>
        <v>0</v>
      </c>
      <c r="I140" s="34">
        <f>SUBTOTAL(9,I123:I139)</f>
        <v>-757.12</v>
      </c>
      <c r="J140" s="37">
        <f>IF(I140=0,0,(H140-I140)/I140)</f>
        <v>-1</v>
      </c>
      <c r="K140" s="34">
        <f>SUBTOTAL(9,K123:K139)</f>
        <v>-757.12</v>
      </c>
      <c r="L140" s="34">
        <f>SUBTOTAL(9,L123:L139)</f>
        <v>-757.12</v>
      </c>
      <c r="M140" s="37">
        <f>IF(L140=0,0,(K140-L140)/L140)</f>
        <v>0</v>
      </c>
    </row>
    <row r="141" spans="1:16" x14ac:dyDescent="0.3">
      <c r="A141" s="43"/>
      <c r="B141" s="43"/>
      <c r="G141" s="23"/>
      <c r="H141" s="24"/>
      <c r="I141" s="24"/>
      <c r="J141" s="35"/>
      <c r="K141" s="24"/>
      <c r="L141" s="24"/>
      <c r="M141" s="35"/>
    </row>
    <row r="142" spans="1:16" x14ac:dyDescent="0.3">
      <c r="A142" s="43"/>
      <c r="B142" s="43"/>
      <c r="G142" s="33" t="s">
        <v>17</v>
      </c>
      <c r="H142" s="34">
        <f>CurrentNetProfit+CurrentAssetDisposal+CurrentOtherIncomeAndExp</f>
        <v>49674.620000000024</v>
      </c>
      <c r="I142" s="34">
        <f>LYPNetProfit+LYPOtherIncomeAndExp+LYPAssetDisposal</f>
        <v>4526.699999999978</v>
      </c>
      <c r="J142" s="37">
        <f>IF(I142=0,0,(H142-I142)/I142)</f>
        <v>9.973693860870009</v>
      </c>
      <c r="K142" s="34">
        <f>NetProfit+OtherIncomeAndExp+AssetDisposal</f>
        <v>-35.119999999970901</v>
      </c>
      <c r="L142" s="34">
        <f>LYTDNetProfit+LYTDOtherIncomeAndExp+LYTDAssetDisposal</f>
        <v>-8884.5899999999729</v>
      </c>
      <c r="M142" s="37">
        <f>IF(L142=0,0,(K142-L142)/L142)</f>
        <v>-0.9960470882730692</v>
      </c>
    </row>
    <row r="143" spans="1:16" x14ac:dyDescent="0.3">
      <c r="A143" s="43"/>
      <c r="B143" s="43"/>
      <c r="G143" s="23"/>
      <c r="H143" s="24"/>
      <c r="I143" s="24"/>
      <c r="J143" s="35"/>
      <c r="K143" s="24"/>
      <c r="L143" s="24"/>
      <c r="M143" s="35"/>
    </row>
    <row r="144" spans="1:16" x14ac:dyDescent="0.3">
      <c r="A144" s="43"/>
      <c r="B144" s="43"/>
      <c r="D144" s="6">
        <f>E144</f>
        <v>41</v>
      </c>
      <c r="E144" s="6">
        <v>41</v>
      </c>
      <c r="G144" s="23"/>
      <c r="H144" s="24"/>
      <c r="I144" s="24"/>
      <c r="J144" s="35"/>
      <c r="K144" s="24"/>
      <c r="L144" s="24"/>
      <c r="M144" s="35"/>
    </row>
    <row r="145" spans="1:16" x14ac:dyDescent="0.3">
      <c r="A145" s="43"/>
      <c r="B145" s="43"/>
      <c r="D145" s="6">
        <f>D144</f>
        <v>41</v>
      </c>
      <c r="E145" s="6" t="str">
        <f>G145</f>
        <v xml:space="preserve">  Income Tax Expense</v>
      </c>
      <c r="G145" s="51" t="str">
        <f>"  Income Tax Expense"</f>
        <v xml:space="preserve">  Income Tax Expense</v>
      </c>
      <c r="H145" s="52"/>
      <c r="I145" s="52"/>
      <c r="J145" s="53"/>
      <c r="K145" s="52"/>
      <c r="L145" s="54"/>
      <c r="M145" s="55"/>
    </row>
    <row r="146" spans="1:16" x14ac:dyDescent="0.3">
      <c r="A146" s="43"/>
      <c r="B146" s="43"/>
      <c r="C146" s="20"/>
      <c r="D146" s="6">
        <f>D145</f>
        <v>41</v>
      </c>
      <c r="E146" s="6" t="str">
        <f>E145</f>
        <v xml:space="preserve">  Income Tax Expense</v>
      </c>
      <c r="G146" s="56" t="str">
        <f>IF(C146="","","    "&amp;_xll.GL(,"Name",C146))</f>
        <v/>
      </c>
      <c r="H146" s="57">
        <f>IF($C146="",0,-_xll.GL(,"Balance",$C146,$E$4&amp;"/"&amp;$E$6,$E$4&amp;"/"&amp;$E$5,$D146))</f>
        <v>0</v>
      </c>
      <c r="I146" s="57">
        <f>IF($C146="",0,-_xll.GL(,"Balance",$C146,$E$4-1&amp;"/"&amp;$E$6,$E$4-1&amp;"/"&amp;$E$5,$D146))</f>
        <v>0</v>
      </c>
      <c r="J146" s="58">
        <f>IF(I146=0,0,(H146-I146)/I146)</f>
        <v>0</v>
      </c>
      <c r="K146" s="57">
        <f>IF($C146="",0,-_xll.GL(,"Balance",$C146,,$E$4&amp;"/"&amp;$E$5,$D146))</f>
        <v>0</v>
      </c>
      <c r="L146" s="57">
        <f>IF($C146="",0,-_xll.GL(,"Balance",$C146,,$E$4-1&amp;"/"&amp;$E$5,$D146))</f>
        <v>0</v>
      </c>
      <c r="M146" s="59">
        <f>IF(L146=0,0,(K146-L146)/L146)</f>
        <v>0</v>
      </c>
      <c r="P146" s="9">
        <f>P145+1</f>
        <v>1</v>
      </c>
    </row>
    <row r="147" spans="1:16" x14ac:dyDescent="0.3">
      <c r="A147" s="43"/>
      <c r="B147" s="43"/>
      <c r="D147" s="6">
        <f>D146</f>
        <v>41</v>
      </c>
      <c r="E147" s="6" t="str">
        <f>E146</f>
        <v xml:space="preserve">  Income Tax Expense</v>
      </c>
      <c r="G147" s="56"/>
      <c r="H147" s="57"/>
      <c r="I147" s="57"/>
      <c r="J147" s="58"/>
      <c r="K147" s="57"/>
      <c r="L147" s="57"/>
      <c r="M147" s="59"/>
    </row>
    <row r="148" spans="1:16" x14ac:dyDescent="0.3">
      <c r="A148" s="43"/>
      <c r="B148" s="43"/>
      <c r="E148" s="6" t="str">
        <f>E147</f>
        <v xml:space="preserve">  Income Tax Expense</v>
      </c>
      <c r="G148" s="65" t="str">
        <f>"Total"&amp;E148</f>
        <v>Total  Income Tax Expense</v>
      </c>
      <c r="H148" s="66">
        <f>SUBTOTAL(9,H146:H147)</f>
        <v>0</v>
      </c>
      <c r="I148" s="66">
        <f>SUBTOTAL(9,I146:I147)</f>
        <v>0</v>
      </c>
      <c r="J148" s="67">
        <f>IF(I148=0,0,(H148-I148)/I148)</f>
        <v>0</v>
      </c>
      <c r="K148" s="66">
        <f>SUBTOTAL(9,K146:K147)</f>
        <v>0</v>
      </c>
      <c r="L148" s="66">
        <f>SUBTOTAL(9,L146:L147)</f>
        <v>0</v>
      </c>
      <c r="M148" s="68">
        <f>IF(L148=0,0,(K148-L148)/L148)</f>
        <v>0</v>
      </c>
    </row>
    <row r="149" spans="1:16" x14ac:dyDescent="0.3">
      <c r="A149" s="43"/>
      <c r="B149" s="43"/>
      <c r="G149" s="23"/>
      <c r="H149" s="24"/>
      <c r="I149" s="24"/>
      <c r="J149" s="35"/>
      <c r="K149" s="24"/>
      <c r="L149" s="23"/>
      <c r="M149" s="35"/>
    </row>
    <row r="150" spans="1:16" ht="18" thickBot="1" x14ac:dyDescent="0.35">
      <c r="A150" s="43"/>
      <c r="B150" s="43"/>
      <c r="G150" s="69" t="s">
        <v>18</v>
      </c>
      <c r="H150" s="70">
        <f>CurrentBeforeTax-CurrentTaxExp</f>
        <v>49674.620000000024</v>
      </c>
      <c r="I150" s="70">
        <f>LYPBeforeTaxes-LYPTaxExpense</f>
        <v>4526.699999999978</v>
      </c>
      <c r="J150" s="71">
        <f>IF(I150=0,0,(H150-I150)/I150)</f>
        <v>9.973693860870009</v>
      </c>
      <c r="K150" s="70">
        <f>BeforeTax-TaxExpense</f>
        <v>-35.119999999970901</v>
      </c>
      <c r="L150" s="70">
        <f>LYTDBeforeTax-LYTDTaxExpense</f>
        <v>-8884.5899999999729</v>
      </c>
      <c r="M150" s="72">
        <f>IF(L150=0,0,(K150-L150)/L150)</f>
        <v>-0.9960470882730692</v>
      </c>
    </row>
    <row r="151" spans="1:16" ht="17.25" thickTop="1" x14ac:dyDescent="0.3">
      <c r="J151" s="39"/>
      <c r="M151" s="41"/>
    </row>
    <row r="152" spans="1:16" x14ac:dyDescent="0.3">
      <c r="J152" s="39"/>
      <c r="M152" s="41"/>
    </row>
    <row r="153" spans="1:16" x14ac:dyDescent="0.3">
      <c r="J153" s="39"/>
      <c r="M153" s="41"/>
    </row>
    <row r="154" spans="1:16" x14ac:dyDescent="0.3">
      <c r="J154" s="39"/>
      <c r="M154" s="41"/>
    </row>
    <row r="155" spans="1:16" x14ac:dyDescent="0.3">
      <c r="J155" s="39"/>
      <c r="M155" s="41"/>
    </row>
    <row r="156" spans="1:16" x14ac:dyDescent="0.3">
      <c r="J156" s="39"/>
    </row>
    <row r="157" spans="1:16" x14ac:dyDescent="0.3">
      <c r="J157" s="39"/>
    </row>
    <row r="158" spans="1:16" x14ac:dyDescent="0.3">
      <c r="J158" s="39"/>
    </row>
    <row r="159" spans="1:16" x14ac:dyDescent="0.3">
      <c r="J159" s="39"/>
    </row>
    <row r="160" spans="1:16" x14ac:dyDescent="0.3">
      <c r="J160" s="39"/>
    </row>
    <row r="161" spans="10:10" x14ac:dyDescent="0.3">
      <c r="J161" s="39"/>
    </row>
    <row r="162" spans="10:10" x14ac:dyDescent="0.3">
      <c r="J162" s="39"/>
    </row>
  </sheetData>
  <phoneticPr fontId="3" type="noConversion"/>
  <pageMargins left="0.75" right="0.75" top="1" bottom="1" header="0.5" footer="0.5"/>
  <pageSetup scale="61"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heetViews>
  <sheetFormatPr defaultRowHeight="12.75" x14ac:dyDescent="0.2"/>
  <sheetData>
    <row r="1" spans="1:8" x14ac:dyDescent="0.2">
      <c r="A1" s="1" t="s">
        <v>1215</v>
      </c>
      <c r="D1" s="1" t="s">
        <v>6</v>
      </c>
      <c r="E1" s="1" t="s">
        <v>7</v>
      </c>
      <c r="F1" s="1" t="s">
        <v>8</v>
      </c>
      <c r="G1" s="1" t="s">
        <v>24</v>
      </c>
      <c r="H1" s="1" t="s">
        <v>25</v>
      </c>
    </row>
    <row r="3" spans="1:8" x14ac:dyDescent="0.2">
      <c r="D3" s="1" t="s">
        <v>156</v>
      </c>
    </row>
    <row r="4" spans="1:8" x14ac:dyDescent="0.2">
      <c r="A4" s="1" t="s">
        <v>5</v>
      </c>
      <c r="D4" s="1" t="s">
        <v>4</v>
      </c>
      <c r="E4" s="1" t="s">
        <v>254</v>
      </c>
      <c r="F4" s="1" t="s">
        <v>38</v>
      </c>
    </row>
    <row r="5" spans="1:8" x14ac:dyDescent="0.2">
      <c r="A5" s="1" t="s">
        <v>5</v>
      </c>
      <c r="D5" s="1" t="s">
        <v>20</v>
      </c>
      <c r="E5" s="1" t="s">
        <v>249</v>
      </c>
      <c r="F5" s="1" t="s">
        <v>39</v>
      </c>
    </row>
    <row r="6" spans="1:8" x14ac:dyDescent="0.2">
      <c r="A6" s="1" t="s">
        <v>5</v>
      </c>
      <c r="D6" s="1" t="s">
        <v>19</v>
      </c>
      <c r="E6" s="1" t="s">
        <v>250</v>
      </c>
      <c r="F6" s="1" t="s">
        <v>40</v>
      </c>
    </row>
    <row r="7" spans="1:8" x14ac:dyDescent="0.2">
      <c r="A7" s="1" t="s">
        <v>5</v>
      </c>
      <c r="C7" s="1" t="s">
        <v>157</v>
      </c>
      <c r="D7" s="1" t="s">
        <v>159</v>
      </c>
      <c r="E7" s="1" t="s">
        <v>255</v>
      </c>
      <c r="F7" s="1" t="s">
        <v>160</v>
      </c>
      <c r="G7" s="1" t="s">
        <v>161</v>
      </c>
      <c r="H7" s="1" t="s">
        <v>26</v>
      </c>
    </row>
    <row r="8" spans="1:8" x14ac:dyDescent="0.2">
      <c r="A8" s="1" t="s">
        <v>5</v>
      </c>
      <c r="C8" s="1" t="s">
        <v>162</v>
      </c>
      <c r="D8" s="1" t="s">
        <v>163</v>
      </c>
      <c r="E8" s="1" t="s">
        <v>23</v>
      </c>
      <c r="F8" s="1" t="s">
        <v>164</v>
      </c>
      <c r="G8" s="1" t="s">
        <v>165</v>
      </c>
      <c r="H8" s="1" t="s">
        <v>26</v>
      </c>
    </row>
    <row r="9" spans="1:8" x14ac:dyDescent="0.2">
      <c r="A9" s="1" t="s">
        <v>5</v>
      </c>
      <c r="C9" s="1" t="s">
        <v>158</v>
      </c>
      <c r="D9" s="1" t="s">
        <v>166</v>
      </c>
      <c r="E9" s="1" t="s">
        <v>23</v>
      </c>
      <c r="F9" s="1" t="s">
        <v>167</v>
      </c>
      <c r="G9" s="1" t="s">
        <v>168</v>
      </c>
      <c r="H9" s="1" t="s">
        <v>26</v>
      </c>
    </row>
    <row r="10" spans="1:8" x14ac:dyDescent="0.2">
      <c r="C10" s="1" t="s">
        <v>169</v>
      </c>
      <c r="D10" s="1" t="s">
        <v>41</v>
      </c>
      <c r="F10" s="1" t="s">
        <v>42</v>
      </c>
      <c r="G10" s="1" t="s">
        <v>43</v>
      </c>
      <c r="H10" s="1" t="s">
        <v>26</v>
      </c>
    </row>
    <row r="11" spans="1:8" x14ac:dyDescent="0.2">
      <c r="C11" s="1" t="s">
        <v>170</v>
      </c>
      <c r="D11" s="1" t="s">
        <v>44</v>
      </c>
      <c r="F11" s="1" t="s">
        <v>45</v>
      </c>
      <c r="G11" s="1" t="s">
        <v>46</v>
      </c>
      <c r="H11" s="1" t="s">
        <v>26</v>
      </c>
    </row>
    <row r="12" spans="1:8" x14ac:dyDescent="0.2">
      <c r="C12" s="1" t="s">
        <v>171</v>
      </c>
      <c r="D12" s="1" t="s">
        <v>47</v>
      </c>
      <c r="F12" s="1" t="s">
        <v>48</v>
      </c>
      <c r="G12" s="1" t="s">
        <v>49</v>
      </c>
      <c r="H12" s="1" t="s">
        <v>26</v>
      </c>
    </row>
    <row r="13" spans="1:8" x14ac:dyDescent="0.2">
      <c r="C13" s="1" t="s">
        <v>172</v>
      </c>
      <c r="D13" s="1" t="s">
        <v>50</v>
      </c>
      <c r="F13" s="1" t="s">
        <v>51</v>
      </c>
      <c r="G13" s="1" t="s">
        <v>52</v>
      </c>
      <c r="H13" s="1" t="s">
        <v>26</v>
      </c>
    </row>
    <row r="14" spans="1:8" x14ac:dyDescent="0.2">
      <c r="C14" s="1" t="s">
        <v>173</v>
      </c>
      <c r="D14" s="1" t="s">
        <v>53</v>
      </c>
      <c r="F14" s="1" t="s">
        <v>54</v>
      </c>
      <c r="G14" s="1" t="s">
        <v>55</v>
      </c>
      <c r="H14" s="1" t="s">
        <v>26</v>
      </c>
    </row>
    <row r="15" spans="1:8" x14ac:dyDescent="0.2">
      <c r="C15" s="1" t="s">
        <v>174</v>
      </c>
      <c r="D15" s="1" t="s">
        <v>56</v>
      </c>
      <c r="F15" s="1" t="s">
        <v>57</v>
      </c>
      <c r="G15" s="1" t="s">
        <v>58</v>
      </c>
      <c r="H15" s="1" t="s">
        <v>26</v>
      </c>
    </row>
    <row r="16" spans="1:8" x14ac:dyDescent="0.2">
      <c r="C16" s="1" t="s">
        <v>175</v>
      </c>
      <c r="D16" s="1" t="s">
        <v>59</v>
      </c>
      <c r="F16" s="1" t="s">
        <v>60</v>
      </c>
      <c r="G16" s="1" t="s">
        <v>61</v>
      </c>
      <c r="H16" s="1" t="s">
        <v>26</v>
      </c>
    </row>
    <row r="17" spans="1:6" x14ac:dyDescent="0.2">
      <c r="A17" s="1" t="s">
        <v>5</v>
      </c>
      <c r="D17" s="1" t="s">
        <v>264</v>
      </c>
      <c r="E17" s="1" t="s">
        <v>266</v>
      </c>
      <c r="F17" s="1" t="s">
        <v>267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heetViews>
  <sheetFormatPr defaultRowHeight="12.75" x14ac:dyDescent="0.2"/>
  <sheetData>
    <row r="1" spans="1:8" x14ac:dyDescent="0.2">
      <c r="A1" s="1" t="s">
        <v>1215</v>
      </c>
      <c r="D1" s="1" t="s">
        <v>6</v>
      </c>
      <c r="E1" s="1" t="s">
        <v>7</v>
      </c>
      <c r="F1" s="1" t="s">
        <v>8</v>
      </c>
      <c r="G1" s="1" t="s">
        <v>24</v>
      </c>
      <c r="H1" s="1" t="s">
        <v>25</v>
      </c>
    </row>
    <row r="3" spans="1:8" x14ac:dyDescent="0.2">
      <c r="D3" s="1" t="s">
        <v>156</v>
      </c>
    </row>
    <row r="4" spans="1:8" x14ac:dyDescent="0.2">
      <c r="A4" s="1" t="s">
        <v>5</v>
      </c>
      <c r="D4" s="1" t="s">
        <v>4</v>
      </c>
      <c r="E4" s="1" t="s">
        <v>254</v>
      </c>
      <c r="F4" s="1" t="s">
        <v>38</v>
      </c>
    </row>
    <row r="5" spans="1:8" x14ac:dyDescent="0.2">
      <c r="A5" s="1" t="s">
        <v>5</v>
      </c>
      <c r="D5" s="1" t="s">
        <v>20</v>
      </c>
      <c r="E5" s="1" t="s">
        <v>249</v>
      </c>
      <c r="F5" s="1" t="s">
        <v>39</v>
      </c>
    </row>
    <row r="6" spans="1:8" x14ac:dyDescent="0.2">
      <c r="A6" s="1" t="s">
        <v>5</v>
      </c>
      <c r="D6" s="1" t="s">
        <v>19</v>
      </c>
      <c r="E6" s="1" t="s">
        <v>250</v>
      </c>
      <c r="F6" s="1" t="s">
        <v>40</v>
      </c>
    </row>
    <row r="7" spans="1:8" x14ac:dyDescent="0.2">
      <c r="A7" s="1" t="s">
        <v>5</v>
      </c>
      <c r="C7" s="1" t="s">
        <v>157</v>
      </c>
      <c r="D7" s="1" t="s">
        <v>959</v>
      </c>
      <c r="E7" s="1" t="s">
        <v>255</v>
      </c>
      <c r="F7" s="1" t="s">
        <v>160</v>
      </c>
      <c r="G7" s="1" t="s">
        <v>959</v>
      </c>
      <c r="H7" s="1" t="s">
        <v>26</v>
      </c>
    </row>
    <row r="8" spans="1:8" x14ac:dyDescent="0.2">
      <c r="A8" s="1" t="s">
        <v>5</v>
      </c>
      <c r="C8" s="1" t="s">
        <v>162</v>
      </c>
      <c r="D8" s="1" t="s">
        <v>959</v>
      </c>
      <c r="E8" s="1" t="s">
        <v>23</v>
      </c>
      <c r="F8" s="1" t="s">
        <v>164</v>
      </c>
      <c r="G8" s="1" t="s">
        <v>959</v>
      </c>
      <c r="H8" s="1" t="s">
        <v>26</v>
      </c>
    </row>
    <row r="9" spans="1:8" x14ac:dyDescent="0.2">
      <c r="A9" s="1" t="s">
        <v>5</v>
      </c>
      <c r="C9" s="1" t="s">
        <v>158</v>
      </c>
      <c r="D9" s="1" t="s">
        <v>959</v>
      </c>
      <c r="E9" s="1" t="s">
        <v>23</v>
      </c>
      <c r="F9" s="1" t="s">
        <v>167</v>
      </c>
      <c r="G9" s="1" t="s">
        <v>959</v>
      </c>
      <c r="H9" s="1" t="s">
        <v>26</v>
      </c>
    </row>
    <row r="10" spans="1:8" x14ac:dyDescent="0.2">
      <c r="C10" s="1" t="s">
        <v>169</v>
      </c>
      <c r="D10" s="1" t="s">
        <v>959</v>
      </c>
      <c r="F10" s="1" t="s">
        <v>42</v>
      </c>
      <c r="G10" s="1" t="s">
        <v>959</v>
      </c>
      <c r="H10" s="1" t="s">
        <v>26</v>
      </c>
    </row>
    <row r="11" spans="1:8" x14ac:dyDescent="0.2">
      <c r="C11" s="1" t="s">
        <v>170</v>
      </c>
      <c r="D11" s="1" t="s">
        <v>959</v>
      </c>
      <c r="F11" s="1" t="s">
        <v>45</v>
      </c>
      <c r="G11" s="1" t="s">
        <v>959</v>
      </c>
      <c r="H11" s="1" t="s">
        <v>26</v>
      </c>
    </row>
    <row r="12" spans="1:8" x14ac:dyDescent="0.2">
      <c r="C12" s="1" t="s">
        <v>171</v>
      </c>
      <c r="D12" s="1" t="s">
        <v>959</v>
      </c>
      <c r="F12" s="1" t="s">
        <v>48</v>
      </c>
      <c r="G12" s="1" t="s">
        <v>959</v>
      </c>
      <c r="H12" s="1" t="s">
        <v>26</v>
      </c>
    </row>
    <row r="13" spans="1:8" x14ac:dyDescent="0.2">
      <c r="C13" s="1" t="s">
        <v>172</v>
      </c>
      <c r="D13" s="1" t="s">
        <v>959</v>
      </c>
      <c r="F13" s="1" t="s">
        <v>51</v>
      </c>
      <c r="G13" s="1" t="s">
        <v>959</v>
      </c>
      <c r="H13" s="1" t="s">
        <v>26</v>
      </c>
    </row>
    <row r="14" spans="1:8" x14ac:dyDescent="0.2">
      <c r="C14" s="1" t="s">
        <v>173</v>
      </c>
      <c r="D14" s="1" t="s">
        <v>959</v>
      </c>
      <c r="F14" s="1" t="s">
        <v>54</v>
      </c>
      <c r="G14" s="1" t="s">
        <v>959</v>
      </c>
      <c r="H14" s="1" t="s">
        <v>26</v>
      </c>
    </row>
    <row r="15" spans="1:8" x14ac:dyDescent="0.2">
      <c r="C15" s="1" t="s">
        <v>174</v>
      </c>
      <c r="D15" s="1" t="s">
        <v>959</v>
      </c>
      <c r="F15" s="1" t="s">
        <v>57</v>
      </c>
      <c r="G15" s="1" t="s">
        <v>959</v>
      </c>
      <c r="H15" s="1" t="s">
        <v>26</v>
      </c>
    </row>
    <row r="16" spans="1:8" x14ac:dyDescent="0.2">
      <c r="C16" s="1" t="s">
        <v>175</v>
      </c>
      <c r="D16" s="1" t="s">
        <v>959</v>
      </c>
      <c r="F16" s="1" t="s">
        <v>60</v>
      </c>
      <c r="G16" s="1" t="s">
        <v>959</v>
      </c>
      <c r="H16" s="1" t="s">
        <v>26</v>
      </c>
    </row>
    <row r="17" spans="1:6" x14ac:dyDescent="0.2">
      <c r="A17" s="1" t="s">
        <v>5</v>
      </c>
      <c r="D17" s="1" t="s">
        <v>264</v>
      </c>
      <c r="E17" s="1" t="s">
        <v>266</v>
      </c>
      <c r="F17" s="1" t="s">
        <v>267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7"/>
  <sheetViews>
    <sheetView workbookViewId="0"/>
  </sheetViews>
  <sheetFormatPr defaultRowHeight="12.75" x14ac:dyDescent="0.2"/>
  <sheetData>
    <row r="1" spans="1:16" x14ac:dyDescent="0.2">
      <c r="A1" s="1" t="s">
        <v>1216</v>
      </c>
      <c r="B1" s="1" t="s">
        <v>265</v>
      </c>
      <c r="C1" s="1" t="s">
        <v>0</v>
      </c>
      <c r="D1" s="1" t="s">
        <v>0</v>
      </c>
      <c r="E1" s="1" t="s">
        <v>0</v>
      </c>
      <c r="G1" s="1" t="s">
        <v>2</v>
      </c>
      <c r="H1" s="1" t="s">
        <v>251</v>
      </c>
      <c r="I1" s="1" t="s">
        <v>251</v>
      </c>
      <c r="K1" s="1" t="s">
        <v>251</v>
      </c>
      <c r="L1" s="1" t="s">
        <v>251</v>
      </c>
      <c r="P1" s="1" t="s">
        <v>0</v>
      </c>
    </row>
    <row r="3" spans="1:16" x14ac:dyDescent="0.2">
      <c r="G3" s="1" t="s">
        <v>9</v>
      </c>
    </row>
    <row r="4" spans="1:16" x14ac:dyDescent="0.2">
      <c r="E4" s="1" t="s">
        <v>62</v>
      </c>
      <c r="G4" s="1" t="s">
        <v>268</v>
      </c>
    </row>
    <row r="5" spans="1:16" x14ac:dyDescent="0.2">
      <c r="E5" s="1" t="s">
        <v>63</v>
      </c>
      <c r="G5" s="1" t="s">
        <v>269</v>
      </c>
    </row>
    <row r="6" spans="1:16" x14ac:dyDescent="0.2">
      <c r="E6" s="1" t="s">
        <v>64</v>
      </c>
    </row>
    <row r="7" spans="1:16" x14ac:dyDescent="0.2">
      <c r="E7" s="1" t="s">
        <v>65</v>
      </c>
      <c r="G7" s="1" t="s">
        <v>261</v>
      </c>
      <c r="H7" s="1" t="s">
        <v>270</v>
      </c>
    </row>
    <row r="8" spans="1:16" x14ac:dyDescent="0.2">
      <c r="E8" s="1" t="s">
        <v>66</v>
      </c>
      <c r="G8" s="1" t="s">
        <v>262</v>
      </c>
      <c r="H8" s="1" t="s">
        <v>271</v>
      </c>
    </row>
    <row r="9" spans="1:16" x14ac:dyDescent="0.2">
      <c r="E9" s="1" t="s">
        <v>67</v>
      </c>
      <c r="G9" s="1" t="s">
        <v>263</v>
      </c>
      <c r="H9" s="1" t="s">
        <v>272</v>
      </c>
    </row>
    <row r="10" spans="1:16" x14ac:dyDescent="0.2">
      <c r="A10" s="1" t="s">
        <v>0</v>
      </c>
      <c r="E10" s="1" t="s">
        <v>68</v>
      </c>
    </row>
    <row r="11" spans="1:16" x14ac:dyDescent="0.2">
      <c r="A11" s="1" t="s">
        <v>0</v>
      </c>
      <c r="E11" s="1" t="s">
        <v>69</v>
      </c>
    </row>
    <row r="12" spans="1:16" x14ac:dyDescent="0.2">
      <c r="A12" s="1" t="s">
        <v>0</v>
      </c>
      <c r="E12" s="1" t="s">
        <v>70</v>
      </c>
    </row>
    <row r="13" spans="1:16" x14ac:dyDescent="0.2">
      <c r="A13" s="1" t="s">
        <v>0</v>
      </c>
      <c r="E13" s="1" t="s">
        <v>71</v>
      </c>
    </row>
    <row r="14" spans="1:16" x14ac:dyDescent="0.2">
      <c r="A14" s="1" t="s">
        <v>0</v>
      </c>
      <c r="E14" s="1" t="s">
        <v>72</v>
      </c>
    </row>
    <row r="15" spans="1:16" x14ac:dyDescent="0.2">
      <c r="A15" s="1" t="s">
        <v>0</v>
      </c>
      <c r="E15" s="1" t="s">
        <v>73</v>
      </c>
    </row>
    <row r="16" spans="1:16" x14ac:dyDescent="0.2">
      <c r="A16" s="1" t="s">
        <v>0</v>
      </c>
      <c r="E16" s="1" t="s">
        <v>74</v>
      </c>
    </row>
    <row r="18" spans="2:16" x14ac:dyDescent="0.2">
      <c r="L18" s="1" t="s">
        <v>28</v>
      </c>
      <c r="M18" s="1" t="s">
        <v>75</v>
      </c>
    </row>
    <row r="19" spans="2:16" x14ac:dyDescent="0.2">
      <c r="E19" s="1" t="s">
        <v>1</v>
      </c>
      <c r="H19" s="1" t="s">
        <v>273</v>
      </c>
      <c r="I19" s="1" t="s">
        <v>274</v>
      </c>
      <c r="K19" s="1" t="s">
        <v>273</v>
      </c>
      <c r="L19" s="1" t="s">
        <v>275</v>
      </c>
    </row>
    <row r="20" spans="2:16" x14ac:dyDescent="0.2">
      <c r="D20" s="1" t="s">
        <v>276</v>
      </c>
      <c r="E20" s="1" t="s">
        <v>176</v>
      </c>
      <c r="G20" s="1" t="s">
        <v>21</v>
      </c>
      <c r="H20" s="1" t="s">
        <v>253</v>
      </c>
      <c r="I20" s="1" t="s">
        <v>277</v>
      </c>
      <c r="J20" s="1" t="s">
        <v>22</v>
      </c>
      <c r="K20" s="1" t="s">
        <v>3</v>
      </c>
      <c r="L20" s="1" t="s">
        <v>3</v>
      </c>
      <c r="M20" s="1" t="s">
        <v>22</v>
      </c>
    </row>
    <row r="21" spans="2:16" x14ac:dyDescent="0.2">
      <c r="D21" s="1" t="s">
        <v>76</v>
      </c>
      <c r="E21" s="1" t="s">
        <v>278</v>
      </c>
      <c r="G21" s="1" t="s">
        <v>279</v>
      </c>
      <c r="K21" s="1" t="s">
        <v>252</v>
      </c>
    </row>
    <row r="22" spans="2:16" x14ac:dyDescent="0.2">
      <c r="B22" s="1" t="s">
        <v>280</v>
      </c>
      <c r="C22" s="1" t="s">
        <v>281</v>
      </c>
      <c r="D22" s="1" t="s">
        <v>77</v>
      </c>
      <c r="E22" s="1" t="s">
        <v>282</v>
      </c>
      <c r="G22" s="1" t="s">
        <v>283</v>
      </c>
      <c r="H22" s="1" t="s">
        <v>284</v>
      </c>
      <c r="I22" s="1" t="s">
        <v>285</v>
      </c>
      <c r="J22" s="1" t="s">
        <v>286</v>
      </c>
      <c r="K22" s="1" t="s">
        <v>287</v>
      </c>
      <c r="L22" s="1" t="s">
        <v>288</v>
      </c>
      <c r="M22" s="1" t="s">
        <v>289</v>
      </c>
      <c r="P22" s="1" t="s">
        <v>290</v>
      </c>
    </row>
    <row r="23" spans="2:16" x14ac:dyDescent="0.2">
      <c r="E23" s="1" t="s">
        <v>291</v>
      </c>
    </row>
    <row r="24" spans="2:16" x14ac:dyDescent="0.2">
      <c r="E24" s="1" t="s">
        <v>292</v>
      </c>
      <c r="G24" s="1" t="s">
        <v>293</v>
      </c>
      <c r="H24" s="1" t="s">
        <v>80</v>
      </c>
      <c r="I24" s="1" t="s">
        <v>294</v>
      </c>
      <c r="J24" s="1" t="s">
        <v>295</v>
      </c>
      <c r="K24" s="1" t="s">
        <v>81</v>
      </c>
      <c r="L24" s="1" t="s">
        <v>296</v>
      </c>
      <c r="M24" s="1" t="s">
        <v>297</v>
      </c>
    </row>
    <row r="26" spans="2:16" x14ac:dyDescent="0.2">
      <c r="D26" s="1" t="s">
        <v>298</v>
      </c>
      <c r="E26" s="1" t="s">
        <v>177</v>
      </c>
    </row>
    <row r="27" spans="2:16" x14ac:dyDescent="0.2">
      <c r="D27" s="1" t="s">
        <v>82</v>
      </c>
      <c r="E27" s="1" t="s">
        <v>299</v>
      </c>
      <c r="G27" s="1" t="s">
        <v>300</v>
      </c>
    </row>
    <row r="28" spans="2:16" x14ac:dyDescent="0.2">
      <c r="B28" s="1" t="s">
        <v>301</v>
      </c>
      <c r="C28" s="1" t="s">
        <v>302</v>
      </c>
      <c r="D28" s="1" t="s">
        <v>83</v>
      </c>
      <c r="E28" s="1" t="s">
        <v>303</v>
      </c>
      <c r="G28" s="1" t="s">
        <v>304</v>
      </c>
      <c r="H28" s="1" t="s">
        <v>305</v>
      </c>
      <c r="I28" s="1" t="s">
        <v>306</v>
      </c>
      <c r="J28" s="1" t="s">
        <v>307</v>
      </c>
      <c r="K28" s="1" t="s">
        <v>308</v>
      </c>
      <c r="L28" s="1" t="s">
        <v>309</v>
      </c>
      <c r="M28" s="1" t="s">
        <v>310</v>
      </c>
      <c r="P28" s="1" t="s">
        <v>311</v>
      </c>
    </row>
    <row r="29" spans="2:16" x14ac:dyDescent="0.2">
      <c r="D29" s="1" t="s">
        <v>84</v>
      </c>
      <c r="E29" s="1" t="s">
        <v>312</v>
      </c>
    </row>
    <row r="30" spans="2:16" x14ac:dyDescent="0.2">
      <c r="E30" s="1" t="s">
        <v>313</v>
      </c>
      <c r="G30" s="1" t="s">
        <v>314</v>
      </c>
      <c r="H30" s="1" t="s">
        <v>86</v>
      </c>
      <c r="I30" s="1" t="s">
        <v>315</v>
      </c>
      <c r="J30" s="1" t="s">
        <v>316</v>
      </c>
      <c r="K30" s="1" t="s">
        <v>87</v>
      </c>
      <c r="L30" s="1" t="s">
        <v>317</v>
      </c>
      <c r="M30" s="1" t="s">
        <v>318</v>
      </c>
    </row>
    <row r="32" spans="2:16" x14ac:dyDescent="0.2">
      <c r="G32" s="1" t="s">
        <v>10</v>
      </c>
      <c r="H32" s="1" t="s">
        <v>88</v>
      </c>
      <c r="I32" s="1" t="s">
        <v>89</v>
      </c>
      <c r="J32" s="1" t="s">
        <v>319</v>
      </c>
      <c r="K32" s="1" t="s">
        <v>90</v>
      </c>
      <c r="L32" s="1" t="s">
        <v>91</v>
      </c>
      <c r="M32" s="1" t="s">
        <v>320</v>
      </c>
    </row>
    <row r="34" spans="1:16" x14ac:dyDescent="0.2">
      <c r="D34" s="1" t="s">
        <v>321</v>
      </c>
      <c r="E34" s="1" t="s">
        <v>178</v>
      </c>
    </row>
    <row r="35" spans="1:16" x14ac:dyDescent="0.2">
      <c r="D35" s="1" t="s">
        <v>92</v>
      </c>
      <c r="E35" s="1" t="s">
        <v>322</v>
      </c>
      <c r="G35" s="1" t="s">
        <v>323</v>
      </c>
    </row>
    <row r="36" spans="1:16" x14ac:dyDescent="0.2">
      <c r="B36" s="1" t="s">
        <v>324</v>
      </c>
      <c r="C36" s="1" t="s">
        <v>325</v>
      </c>
      <c r="D36" s="1" t="s">
        <v>93</v>
      </c>
      <c r="E36" s="1" t="s">
        <v>326</v>
      </c>
      <c r="G36" s="1" t="s">
        <v>327</v>
      </c>
      <c r="H36" s="1" t="s">
        <v>328</v>
      </c>
      <c r="I36" s="1" t="s">
        <v>329</v>
      </c>
      <c r="J36" s="1" t="s">
        <v>330</v>
      </c>
      <c r="K36" s="1" t="s">
        <v>331</v>
      </c>
      <c r="L36" s="1" t="s">
        <v>332</v>
      </c>
      <c r="M36" s="1" t="s">
        <v>333</v>
      </c>
      <c r="P36" s="1" t="s">
        <v>334</v>
      </c>
    </row>
    <row r="37" spans="1:16" x14ac:dyDescent="0.2">
      <c r="D37" s="1" t="s">
        <v>94</v>
      </c>
      <c r="E37" s="1" t="s">
        <v>335</v>
      </c>
    </row>
    <row r="38" spans="1:16" x14ac:dyDescent="0.2">
      <c r="E38" s="1" t="s">
        <v>336</v>
      </c>
      <c r="G38" s="1" t="s">
        <v>337</v>
      </c>
      <c r="H38" s="1" t="s">
        <v>96</v>
      </c>
      <c r="I38" s="1" t="s">
        <v>338</v>
      </c>
      <c r="J38" s="1" t="s">
        <v>339</v>
      </c>
      <c r="K38" s="1" t="s">
        <v>97</v>
      </c>
      <c r="L38" s="1" t="s">
        <v>340</v>
      </c>
      <c r="M38" s="1" t="s">
        <v>341</v>
      </c>
    </row>
    <row r="40" spans="1:16" x14ac:dyDescent="0.2">
      <c r="G40" s="1" t="s">
        <v>11</v>
      </c>
      <c r="H40" s="1" t="s">
        <v>98</v>
      </c>
      <c r="I40" s="1" t="s">
        <v>99</v>
      </c>
      <c r="J40" s="1" t="s">
        <v>342</v>
      </c>
      <c r="K40" s="1" t="s">
        <v>100</v>
      </c>
      <c r="L40" s="1" t="s">
        <v>101</v>
      </c>
      <c r="M40" s="1" t="s">
        <v>343</v>
      </c>
    </row>
    <row r="43" spans="1:16" x14ac:dyDescent="0.2">
      <c r="D43" s="1" t="s">
        <v>27</v>
      </c>
      <c r="E43" s="1" t="s">
        <v>13</v>
      </c>
      <c r="G43" s="1" t="s">
        <v>12</v>
      </c>
    </row>
    <row r="44" spans="1:16" x14ac:dyDescent="0.2">
      <c r="C44" s="1" t="s">
        <v>27</v>
      </c>
      <c r="D44" s="1" t="s">
        <v>344</v>
      </c>
      <c r="E44" s="1" t="s">
        <v>345</v>
      </c>
      <c r="G44" s="1" t="s">
        <v>346</v>
      </c>
    </row>
    <row r="45" spans="1:16" x14ac:dyDescent="0.2">
      <c r="B45" s="1" t="s">
        <v>347</v>
      </c>
      <c r="C45" s="1" t="s">
        <v>348</v>
      </c>
      <c r="D45" s="1" t="s">
        <v>349</v>
      </c>
      <c r="E45" s="1" t="s">
        <v>350</v>
      </c>
      <c r="G45" s="1" t="s">
        <v>351</v>
      </c>
      <c r="H45" s="1" t="s">
        <v>352</v>
      </c>
      <c r="I45" s="1" t="s">
        <v>353</v>
      </c>
      <c r="J45" s="1" t="s">
        <v>354</v>
      </c>
      <c r="K45" s="1" t="s">
        <v>355</v>
      </c>
      <c r="L45" s="1" t="s">
        <v>356</v>
      </c>
      <c r="M45" s="1" t="s">
        <v>357</v>
      </c>
      <c r="P45" s="1" t="s">
        <v>358</v>
      </c>
    </row>
    <row r="46" spans="1:16" x14ac:dyDescent="0.2">
      <c r="A46" s="1" t="s">
        <v>0</v>
      </c>
      <c r="D46" s="1" t="s">
        <v>103</v>
      </c>
      <c r="E46" s="1" t="s">
        <v>359</v>
      </c>
    </row>
    <row r="47" spans="1:16" x14ac:dyDescent="0.2">
      <c r="E47" s="1" t="s">
        <v>360</v>
      </c>
      <c r="G47" s="1" t="s">
        <v>361</v>
      </c>
      <c r="H47" s="1" t="s">
        <v>105</v>
      </c>
      <c r="I47" s="1" t="s">
        <v>362</v>
      </c>
      <c r="J47" s="1" t="s">
        <v>363</v>
      </c>
      <c r="K47" s="1" t="s">
        <v>106</v>
      </c>
      <c r="L47" s="1" t="s">
        <v>364</v>
      </c>
      <c r="M47" s="1" t="s">
        <v>365</v>
      </c>
    </row>
    <row r="49" spans="1:16" x14ac:dyDescent="0.2">
      <c r="D49" s="1" t="s">
        <v>179</v>
      </c>
      <c r="E49" s="1" t="s">
        <v>179</v>
      </c>
    </row>
    <row r="50" spans="1:16" x14ac:dyDescent="0.2">
      <c r="D50" s="1" t="s">
        <v>257</v>
      </c>
      <c r="E50" s="1" t="s">
        <v>366</v>
      </c>
      <c r="G50" s="1" t="s">
        <v>367</v>
      </c>
    </row>
    <row r="51" spans="1:16" x14ac:dyDescent="0.2">
      <c r="A51" s="1" t="s">
        <v>27</v>
      </c>
      <c r="B51" s="1" t="s">
        <v>368</v>
      </c>
      <c r="C51" s="1" t="s">
        <v>369</v>
      </c>
      <c r="D51" s="1" t="s">
        <v>107</v>
      </c>
      <c r="E51" s="1" t="s">
        <v>370</v>
      </c>
      <c r="G51" s="1" t="s">
        <v>371</v>
      </c>
      <c r="H51" s="1" t="s">
        <v>372</v>
      </c>
      <c r="I51" s="1" t="s">
        <v>373</v>
      </c>
      <c r="J51" s="1" t="s">
        <v>374</v>
      </c>
      <c r="K51" s="1" t="s">
        <v>375</v>
      </c>
      <c r="L51" s="1" t="s">
        <v>376</v>
      </c>
      <c r="M51" s="1" t="s">
        <v>377</v>
      </c>
      <c r="P51" s="1" t="s">
        <v>378</v>
      </c>
    </row>
    <row r="52" spans="1:16" x14ac:dyDescent="0.2">
      <c r="A52" s="1" t="s">
        <v>0</v>
      </c>
      <c r="D52" s="1" t="s">
        <v>108</v>
      </c>
      <c r="E52" s="1" t="s">
        <v>379</v>
      </c>
    </row>
    <row r="53" spans="1:16" x14ac:dyDescent="0.2">
      <c r="E53" s="1" t="s">
        <v>380</v>
      </c>
      <c r="G53" s="1" t="s">
        <v>381</v>
      </c>
      <c r="H53" s="1" t="s">
        <v>109</v>
      </c>
      <c r="I53" s="1" t="s">
        <v>382</v>
      </c>
      <c r="J53" s="1" t="s">
        <v>383</v>
      </c>
      <c r="K53" s="1" t="s">
        <v>110</v>
      </c>
      <c r="L53" s="1" t="s">
        <v>384</v>
      </c>
      <c r="M53" s="1" t="s">
        <v>385</v>
      </c>
    </row>
    <row r="55" spans="1:16" x14ac:dyDescent="0.2">
      <c r="G55" s="1" t="s">
        <v>14</v>
      </c>
      <c r="H55" s="1" t="s">
        <v>111</v>
      </c>
      <c r="I55" s="1" t="s">
        <v>386</v>
      </c>
      <c r="J55" s="1" t="s">
        <v>387</v>
      </c>
      <c r="K55" s="1" t="s">
        <v>112</v>
      </c>
      <c r="L55" s="1" t="s">
        <v>388</v>
      </c>
      <c r="M55" s="1" t="s">
        <v>389</v>
      </c>
    </row>
    <row r="57" spans="1:16" x14ac:dyDescent="0.2">
      <c r="G57" s="1" t="s">
        <v>15</v>
      </c>
      <c r="H57" s="1" t="s">
        <v>113</v>
      </c>
      <c r="I57" s="1" t="s">
        <v>114</v>
      </c>
      <c r="J57" s="1" t="s">
        <v>390</v>
      </c>
      <c r="K57" s="1" t="s">
        <v>115</v>
      </c>
      <c r="L57" s="1" t="s">
        <v>116</v>
      </c>
      <c r="M57" s="1" t="s">
        <v>391</v>
      </c>
    </row>
    <row r="59" spans="1:16" x14ac:dyDescent="0.2">
      <c r="D59" s="1" t="s">
        <v>392</v>
      </c>
      <c r="E59" s="1" t="s">
        <v>180</v>
      </c>
    </row>
    <row r="60" spans="1:16" x14ac:dyDescent="0.2">
      <c r="D60" s="1" t="s">
        <v>117</v>
      </c>
      <c r="E60" s="1" t="s">
        <v>393</v>
      </c>
      <c r="G60" s="1" t="s">
        <v>394</v>
      </c>
    </row>
    <row r="61" spans="1:16" x14ac:dyDescent="0.2">
      <c r="B61" s="1" t="s">
        <v>395</v>
      </c>
      <c r="C61" s="1" t="s">
        <v>396</v>
      </c>
      <c r="D61" s="1" t="s">
        <v>118</v>
      </c>
      <c r="E61" s="1" t="s">
        <v>397</v>
      </c>
      <c r="G61" s="1" t="s">
        <v>398</v>
      </c>
      <c r="H61" s="1" t="s">
        <v>399</v>
      </c>
      <c r="I61" s="1" t="s">
        <v>400</v>
      </c>
      <c r="J61" s="1" t="s">
        <v>401</v>
      </c>
      <c r="K61" s="1" t="s">
        <v>402</v>
      </c>
      <c r="L61" s="1" t="s">
        <v>403</v>
      </c>
      <c r="M61" s="1" t="s">
        <v>404</v>
      </c>
      <c r="P61" s="1" t="s">
        <v>405</v>
      </c>
    </row>
    <row r="62" spans="1:16" x14ac:dyDescent="0.2">
      <c r="D62" s="1" t="s">
        <v>119</v>
      </c>
      <c r="E62" s="1" t="s">
        <v>406</v>
      </c>
    </row>
    <row r="63" spans="1:16" x14ac:dyDescent="0.2">
      <c r="E63" s="1" t="s">
        <v>407</v>
      </c>
      <c r="G63" s="1" t="s">
        <v>408</v>
      </c>
      <c r="H63" s="1" t="s">
        <v>120</v>
      </c>
      <c r="I63" s="1" t="s">
        <v>409</v>
      </c>
      <c r="J63" s="1" t="s">
        <v>410</v>
      </c>
      <c r="K63" s="1" t="s">
        <v>121</v>
      </c>
      <c r="L63" s="1" t="s">
        <v>411</v>
      </c>
      <c r="M63" s="1" t="s">
        <v>412</v>
      </c>
    </row>
    <row r="65" spans="2:16" x14ac:dyDescent="0.2">
      <c r="D65" s="1" t="s">
        <v>413</v>
      </c>
      <c r="E65" s="1" t="s">
        <v>181</v>
      </c>
    </row>
    <row r="66" spans="2:16" x14ac:dyDescent="0.2">
      <c r="D66" s="1" t="s">
        <v>122</v>
      </c>
      <c r="E66" s="1" t="s">
        <v>414</v>
      </c>
      <c r="G66" s="1" t="s">
        <v>415</v>
      </c>
    </row>
    <row r="67" spans="2:16" x14ac:dyDescent="0.2">
      <c r="B67" s="1" t="s">
        <v>416</v>
      </c>
      <c r="C67" s="1" t="s">
        <v>417</v>
      </c>
      <c r="D67" s="1" t="s">
        <v>123</v>
      </c>
      <c r="E67" s="1" t="s">
        <v>418</v>
      </c>
      <c r="G67" s="1" t="s">
        <v>419</v>
      </c>
      <c r="H67" s="1" t="s">
        <v>420</v>
      </c>
      <c r="I67" s="1" t="s">
        <v>421</v>
      </c>
      <c r="J67" s="1" t="s">
        <v>422</v>
      </c>
      <c r="K67" s="1" t="s">
        <v>423</v>
      </c>
      <c r="L67" s="1" t="s">
        <v>424</v>
      </c>
      <c r="M67" s="1" t="s">
        <v>425</v>
      </c>
      <c r="P67" s="1" t="s">
        <v>426</v>
      </c>
    </row>
    <row r="68" spans="2:16" x14ac:dyDescent="0.2">
      <c r="D68" s="1" t="s">
        <v>124</v>
      </c>
      <c r="E68" s="1" t="s">
        <v>427</v>
      </c>
    </row>
    <row r="69" spans="2:16" x14ac:dyDescent="0.2">
      <c r="E69" s="1" t="s">
        <v>428</v>
      </c>
      <c r="G69" s="1" t="s">
        <v>429</v>
      </c>
      <c r="H69" s="1" t="s">
        <v>125</v>
      </c>
      <c r="I69" s="1" t="s">
        <v>430</v>
      </c>
      <c r="J69" s="1" t="s">
        <v>431</v>
      </c>
      <c r="K69" s="1" t="s">
        <v>126</v>
      </c>
      <c r="L69" s="1" t="s">
        <v>432</v>
      </c>
      <c r="M69" s="1" t="s">
        <v>433</v>
      </c>
    </row>
    <row r="71" spans="2:16" x14ac:dyDescent="0.2">
      <c r="D71" s="1" t="s">
        <v>434</v>
      </c>
      <c r="E71" s="1" t="s">
        <v>182</v>
      </c>
    </row>
    <row r="72" spans="2:16" x14ac:dyDescent="0.2">
      <c r="D72" s="1" t="s">
        <v>127</v>
      </c>
      <c r="E72" s="1" t="s">
        <v>435</v>
      </c>
      <c r="G72" s="1" t="s">
        <v>436</v>
      </c>
    </row>
    <row r="73" spans="2:16" x14ac:dyDescent="0.2">
      <c r="B73" s="1" t="s">
        <v>437</v>
      </c>
      <c r="C73" s="1" t="s">
        <v>438</v>
      </c>
      <c r="D73" s="1" t="s">
        <v>128</v>
      </c>
      <c r="E73" s="1" t="s">
        <v>439</v>
      </c>
      <c r="G73" s="1" t="s">
        <v>440</v>
      </c>
      <c r="H73" s="1" t="s">
        <v>441</v>
      </c>
      <c r="I73" s="1" t="s">
        <v>442</v>
      </c>
      <c r="J73" s="1" t="s">
        <v>443</v>
      </c>
      <c r="K73" s="1" t="s">
        <v>444</v>
      </c>
      <c r="L73" s="1" t="s">
        <v>445</v>
      </c>
      <c r="M73" s="1" t="s">
        <v>446</v>
      </c>
      <c r="P73" s="1" t="s">
        <v>447</v>
      </c>
    </row>
    <row r="74" spans="2:16" x14ac:dyDescent="0.2">
      <c r="D74" s="1" t="s">
        <v>129</v>
      </c>
      <c r="E74" s="1" t="s">
        <v>448</v>
      </c>
    </row>
    <row r="75" spans="2:16" x14ac:dyDescent="0.2">
      <c r="E75" s="1" t="s">
        <v>449</v>
      </c>
      <c r="G75" s="1" t="s">
        <v>450</v>
      </c>
      <c r="H75" s="1" t="s">
        <v>130</v>
      </c>
      <c r="I75" s="1" t="s">
        <v>451</v>
      </c>
      <c r="J75" s="1" t="s">
        <v>452</v>
      </c>
      <c r="K75" s="1" t="s">
        <v>131</v>
      </c>
      <c r="L75" s="1" t="s">
        <v>453</v>
      </c>
      <c r="M75" s="1" t="s">
        <v>454</v>
      </c>
    </row>
    <row r="77" spans="2:16" x14ac:dyDescent="0.2">
      <c r="G77" s="1" t="s">
        <v>16</v>
      </c>
      <c r="H77" s="1" t="s">
        <v>132</v>
      </c>
      <c r="I77" s="1" t="s">
        <v>455</v>
      </c>
      <c r="J77" s="1" t="s">
        <v>456</v>
      </c>
      <c r="K77" s="1" t="s">
        <v>133</v>
      </c>
      <c r="L77" s="1" t="s">
        <v>457</v>
      </c>
      <c r="M77" s="1" t="s">
        <v>458</v>
      </c>
    </row>
    <row r="79" spans="2:16" x14ac:dyDescent="0.2">
      <c r="G79" s="1" t="s">
        <v>17</v>
      </c>
      <c r="H79" s="1" t="s">
        <v>134</v>
      </c>
      <c r="I79" s="1" t="s">
        <v>135</v>
      </c>
      <c r="J79" s="1" t="s">
        <v>459</v>
      </c>
      <c r="K79" s="1" t="s">
        <v>136</v>
      </c>
      <c r="L79" s="1" t="s">
        <v>137</v>
      </c>
      <c r="M79" s="1" t="s">
        <v>460</v>
      </c>
    </row>
    <row r="81" spans="3:16" x14ac:dyDescent="0.2">
      <c r="D81" s="1" t="s">
        <v>461</v>
      </c>
      <c r="E81" s="1" t="s">
        <v>183</v>
      </c>
    </row>
    <row r="82" spans="3:16" x14ac:dyDescent="0.2">
      <c r="D82" s="1" t="s">
        <v>138</v>
      </c>
      <c r="E82" s="1" t="s">
        <v>462</v>
      </c>
      <c r="G82" s="1" t="s">
        <v>463</v>
      </c>
    </row>
    <row r="83" spans="3:16" x14ac:dyDescent="0.2">
      <c r="C83" s="1" t="s">
        <v>464</v>
      </c>
      <c r="D83" s="1" t="s">
        <v>139</v>
      </c>
      <c r="E83" s="1" t="s">
        <v>465</v>
      </c>
      <c r="G83" s="1" t="s">
        <v>466</v>
      </c>
      <c r="H83" s="1" t="s">
        <v>467</v>
      </c>
      <c r="I83" s="1" t="s">
        <v>468</v>
      </c>
      <c r="J83" s="1" t="s">
        <v>469</v>
      </c>
      <c r="K83" s="1" t="s">
        <v>470</v>
      </c>
      <c r="L83" s="1" t="s">
        <v>471</v>
      </c>
      <c r="M83" s="1" t="s">
        <v>472</v>
      </c>
      <c r="P83" s="1" t="s">
        <v>473</v>
      </c>
    </row>
    <row r="84" spans="3:16" x14ac:dyDescent="0.2">
      <c r="D84" s="1" t="s">
        <v>140</v>
      </c>
      <c r="E84" s="1" t="s">
        <v>474</v>
      </c>
    </row>
    <row r="85" spans="3:16" x14ac:dyDescent="0.2">
      <c r="E85" s="1" t="s">
        <v>475</v>
      </c>
      <c r="G85" s="1" t="s">
        <v>476</v>
      </c>
      <c r="H85" s="1" t="s">
        <v>141</v>
      </c>
      <c r="I85" s="1" t="s">
        <v>477</v>
      </c>
      <c r="J85" s="1" t="s">
        <v>478</v>
      </c>
      <c r="K85" s="1" t="s">
        <v>142</v>
      </c>
      <c r="L85" s="1" t="s">
        <v>479</v>
      </c>
      <c r="M85" s="1" t="s">
        <v>480</v>
      </c>
    </row>
    <row r="87" spans="3:16" x14ac:dyDescent="0.2">
      <c r="G87" s="1" t="s">
        <v>18</v>
      </c>
      <c r="H87" s="1" t="s">
        <v>143</v>
      </c>
      <c r="I87" s="1" t="s">
        <v>144</v>
      </c>
      <c r="J87" s="1" t="s">
        <v>481</v>
      </c>
      <c r="K87" s="1" t="s">
        <v>145</v>
      </c>
      <c r="L87" s="1" t="s">
        <v>146</v>
      </c>
      <c r="M87" s="1" t="s">
        <v>482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7"/>
  <sheetViews>
    <sheetView workbookViewId="0"/>
  </sheetViews>
  <sheetFormatPr defaultRowHeight="12.75" x14ac:dyDescent="0.2"/>
  <sheetData>
    <row r="1" spans="1:16" x14ac:dyDescent="0.2">
      <c r="A1" s="1" t="s">
        <v>1216</v>
      </c>
      <c r="B1" s="1" t="s">
        <v>265</v>
      </c>
      <c r="C1" s="1" t="s">
        <v>0</v>
      </c>
      <c r="D1" s="1" t="s">
        <v>0</v>
      </c>
      <c r="E1" s="1" t="s">
        <v>0</v>
      </c>
      <c r="G1" s="1" t="s">
        <v>2</v>
      </c>
      <c r="H1" s="1" t="s">
        <v>251</v>
      </c>
      <c r="I1" s="1" t="s">
        <v>251</v>
      </c>
      <c r="K1" s="1" t="s">
        <v>251</v>
      </c>
      <c r="L1" s="1" t="s">
        <v>251</v>
      </c>
      <c r="P1" s="1" t="s">
        <v>0</v>
      </c>
    </row>
    <row r="3" spans="1:16" x14ac:dyDescent="0.2">
      <c r="G3" s="1" t="s">
        <v>9</v>
      </c>
    </row>
    <row r="4" spans="1:16" x14ac:dyDescent="0.2">
      <c r="E4" s="1" t="s">
        <v>62</v>
      </c>
      <c r="G4" s="1" t="s">
        <v>268</v>
      </c>
    </row>
    <row r="5" spans="1:16" x14ac:dyDescent="0.2">
      <c r="E5" s="1" t="s">
        <v>63</v>
      </c>
      <c r="G5" s="1" t="s">
        <v>269</v>
      </c>
    </row>
    <row r="6" spans="1:16" x14ac:dyDescent="0.2">
      <c r="E6" s="1" t="s">
        <v>64</v>
      </c>
    </row>
    <row r="7" spans="1:16" x14ac:dyDescent="0.2">
      <c r="E7" s="1" t="s">
        <v>65</v>
      </c>
      <c r="G7" s="1" t="s">
        <v>261</v>
      </c>
      <c r="H7" s="1" t="s">
        <v>270</v>
      </c>
    </row>
    <row r="8" spans="1:16" x14ac:dyDescent="0.2">
      <c r="E8" s="1" t="s">
        <v>66</v>
      </c>
      <c r="G8" s="1" t="s">
        <v>262</v>
      </c>
      <c r="H8" s="1" t="s">
        <v>271</v>
      </c>
    </row>
    <row r="9" spans="1:16" x14ac:dyDescent="0.2">
      <c r="E9" s="1" t="s">
        <v>67</v>
      </c>
      <c r="G9" s="1" t="s">
        <v>263</v>
      </c>
      <c r="H9" s="1" t="s">
        <v>272</v>
      </c>
    </row>
    <row r="10" spans="1:16" x14ac:dyDescent="0.2">
      <c r="A10" s="1" t="s">
        <v>0</v>
      </c>
      <c r="E10" s="1" t="s">
        <v>68</v>
      </c>
    </row>
    <row r="11" spans="1:16" x14ac:dyDescent="0.2">
      <c r="A11" s="1" t="s">
        <v>0</v>
      </c>
      <c r="E11" s="1" t="s">
        <v>69</v>
      </c>
    </row>
    <row r="12" spans="1:16" x14ac:dyDescent="0.2">
      <c r="A12" s="1" t="s">
        <v>0</v>
      </c>
      <c r="E12" s="1" t="s">
        <v>70</v>
      </c>
    </row>
    <row r="13" spans="1:16" x14ac:dyDescent="0.2">
      <c r="A13" s="1" t="s">
        <v>0</v>
      </c>
      <c r="E13" s="1" t="s">
        <v>71</v>
      </c>
    </row>
    <row r="14" spans="1:16" x14ac:dyDescent="0.2">
      <c r="A14" s="1" t="s">
        <v>0</v>
      </c>
      <c r="E14" s="1" t="s">
        <v>72</v>
      </c>
    </row>
    <row r="15" spans="1:16" x14ac:dyDescent="0.2">
      <c r="A15" s="1" t="s">
        <v>0</v>
      </c>
      <c r="E15" s="1" t="s">
        <v>73</v>
      </c>
    </row>
    <row r="16" spans="1:16" x14ac:dyDescent="0.2">
      <c r="A16" s="1" t="s">
        <v>0</v>
      </c>
      <c r="E16" s="1" t="s">
        <v>74</v>
      </c>
    </row>
    <row r="18" spans="2:16" x14ac:dyDescent="0.2">
      <c r="L18" s="1" t="s">
        <v>28</v>
      </c>
      <c r="M18" s="1" t="s">
        <v>75</v>
      </c>
    </row>
    <row r="19" spans="2:16" x14ac:dyDescent="0.2">
      <c r="E19" s="1" t="s">
        <v>1</v>
      </c>
      <c r="H19" s="1" t="s">
        <v>273</v>
      </c>
      <c r="I19" s="1" t="s">
        <v>274</v>
      </c>
      <c r="K19" s="1" t="s">
        <v>273</v>
      </c>
      <c r="L19" s="1" t="s">
        <v>275</v>
      </c>
    </row>
    <row r="20" spans="2:16" x14ac:dyDescent="0.2">
      <c r="D20" s="1" t="s">
        <v>276</v>
      </c>
      <c r="E20" s="1" t="s">
        <v>176</v>
      </c>
      <c r="G20" s="1" t="s">
        <v>21</v>
      </c>
      <c r="H20" s="1" t="s">
        <v>253</v>
      </c>
      <c r="I20" s="1" t="s">
        <v>277</v>
      </c>
      <c r="J20" s="1" t="s">
        <v>22</v>
      </c>
      <c r="K20" s="1" t="s">
        <v>3</v>
      </c>
      <c r="L20" s="1" t="s">
        <v>3</v>
      </c>
      <c r="M20" s="1" t="s">
        <v>22</v>
      </c>
    </row>
    <row r="21" spans="2:16" x14ac:dyDescent="0.2">
      <c r="D21" s="1" t="s">
        <v>76</v>
      </c>
      <c r="E21" s="1" t="s">
        <v>278</v>
      </c>
      <c r="G21" s="1" t="s">
        <v>959</v>
      </c>
      <c r="K21" s="1" t="s">
        <v>252</v>
      </c>
    </row>
    <row r="22" spans="2:16" x14ac:dyDescent="0.2">
      <c r="B22" s="1" t="s">
        <v>280</v>
      </c>
      <c r="C22" s="1" t="s">
        <v>281</v>
      </c>
      <c r="D22" s="1" t="s">
        <v>77</v>
      </c>
      <c r="E22" s="1" t="s">
        <v>282</v>
      </c>
      <c r="G22" s="1" t="s">
        <v>283</v>
      </c>
      <c r="H22" s="1" t="s">
        <v>284</v>
      </c>
      <c r="I22" s="1" t="s">
        <v>285</v>
      </c>
      <c r="J22" s="1" t="s">
        <v>286</v>
      </c>
      <c r="K22" s="1" t="s">
        <v>287</v>
      </c>
      <c r="L22" s="1" t="s">
        <v>288</v>
      </c>
      <c r="M22" s="1" t="s">
        <v>289</v>
      </c>
      <c r="P22" s="1" t="s">
        <v>290</v>
      </c>
    </row>
    <row r="23" spans="2:16" x14ac:dyDescent="0.2">
      <c r="E23" s="1" t="s">
        <v>291</v>
      </c>
    </row>
    <row r="24" spans="2:16" x14ac:dyDescent="0.2">
      <c r="E24" s="1" t="s">
        <v>292</v>
      </c>
      <c r="G24" s="1" t="s">
        <v>293</v>
      </c>
      <c r="H24" s="1" t="s">
        <v>80</v>
      </c>
      <c r="I24" s="1" t="s">
        <v>294</v>
      </c>
      <c r="J24" s="1" t="s">
        <v>295</v>
      </c>
      <c r="K24" s="1" t="s">
        <v>81</v>
      </c>
      <c r="L24" s="1" t="s">
        <v>296</v>
      </c>
      <c r="M24" s="1" t="s">
        <v>297</v>
      </c>
    </row>
    <row r="26" spans="2:16" x14ac:dyDescent="0.2">
      <c r="D26" s="1" t="s">
        <v>298</v>
      </c>
      <c r="E26" s="1" t="s">
        <v>177</v>
      </c>
    </row>
    <row r="27" spans="2:16" x14ac:dyDescent="0.2">
      <c r="D27" s="1" t="s">
        <v>82</v>
      </c>
      <c r="E27" s="1" t="s">
        <v>299</v>
      </c>
      <c r="G27" s="1" t="s">
        <v>300</v>
      </c>
    </row>
    <row r="28" spans="2:16" x14ac:dyDescent="0.2">
      <c r="B28" s="1" t="s">
        <v>301</v>
      </c>
      <c r="C28" s="1" t="s">
        <v>302</v>
      </c>
      <c r="D28" s="1" t="s">
        <v>83</v>
      </c>
      <c r="E28" s="1" t="s">
        <v>303</v>
      </c>
      <c r="G28" s="1" t="s">
        <v>304</v>
      </c>
      <c r="H28" s="1" t="s">
        <v>305</v>
      </c>
      <c r="I28" s="1" t="s">
        <v>306</v>
      </c>
      <c r="J28" s="1" t="s">
        <v>307</v>
      </c>
      <c r="K28" s="1" t="s">
        <v>308</v>
      </c>
      <c r="L28" s="1" t="s">
        <v>309</v>
      </c>
      <c r="M28" s="1" t="s">
        <v>310</v>
      </c>
      <c r="P28" s="1" t="s">
        <v>311</v>
      </c>
    </row>
    <row r="29" spans="2:16" x14ac:dyDescent="0.2">
      <c r="D29" s="1" t="s">
        <v>84</v>
      </c>
      <c r="E29" s="1" t="s">
        <v>312</v>
      </c>
    </row>
    <row r="30" spans="2:16" x14ac:dyDescent="0.2">
      <c r="E30" s="1" t="s">
        <v>313</v>
      </c>
      <c r="G30" s="1" t="s">
        <v>314</v>
      </c>
      <c r="H30" s="1" t="s">
        <v>86</v>
      </c>
      <c r="I30" s="1" t="s">
        <v>315</v>
      </c>
      <c r="J30" s="1" t="s">
        <v>316</v>
      </c>
      <c r="K30" s="1" t="s">
        <v>87</v>
      </c>
      <c r="L30" s="1" t="s">
        <v>317</v>
      </c>
      <c r="M30" s="1" t="s">
        <v>318</v>
      </c>
    </row>
    <row r="32" spans="2:16" x14ac:dyDescent="0.2">
      <c r="G32" s="1" t="s">
        <v>10</v>
      </c>
      <c r="H32" s="1" t="s">
        <v>88</v>
      </c>
      <c r="I32" s="1" t="s">
        <v>89</v>
      </c>
      <c r="J32" s="1" t="s">
        <v>319</v>
      </c>
      <c r="K32" s="1" t="s">
        <v>90</v>
      </c>
      <c r="L32" s="1" t="s">
        <v>91</v>
      </c>
      <c r="M32" s="1" t="s">
        <v>320</v>
      </c>
    </row>
    <row r="34" spans="1:16" x14ac:dyDescent="0.2">
      <c r="D34" s="1" t="s">
        <v>321</v>
      </c>
      <c r="E34" s="1" t="s">
        <v>178</v>
      </c>
    </row>
    <row r="35" spans="1:16" x14ac:dyDescent="0.2">
      <c r="D35" s="1" t="s">
        <v>92</v>
      </c>
      <c r="E35" s="1" t="s">
        <v>322</v>
      </c>
      <c r="G35" s="1" t="s">
        <v>323</v>
      </c>
    </row>
    <row r="36" spans="1:16" x14ac:dyDescent="0.2">
      <c r="B36" s="1" t="s">
        <v>324</v>
      </c>
      <c r="C36" s="1" t="s">
        <v>325</v>
      </c>
      <c r="D36" s="1" t="s">
        <v>93</v>
      </c>
      <c r="E36" s="1" t="s">
        <v>326</v>
      </c>
      <c r="G36" s="1" t="s">
        <v>327</v>
      </c>
      <c r="H36" s="1" t="s">
        <v>328</v>
      </c>
      <c r="I36" s="1" t="s">
        <v>329</v>
      </c>
      <c r="J36" s="1" t="s">
        <v>330</v>
      </c>
      <c r="K36" s="1" t="s">
        <v>331</v>
      </c>
      <c r="L36" s="1" t="s">
        <v>332</v>
      </c>
      <c r="M36" s="1" t="s">
        <v>333</v>
      </c>
      <c r="P36" s="1" t="s">
        <v>334</v>
      </c>
    </row>
    <row r="37" spans="1:16" x14ac:dyDescent="0.2">
      <c r="D37" s="1" t="s">
        <v>94</v>
      </c>
      <c r="E37" s="1" t="s">
        <v>335</v>
      </c>
    </row>
    <row r="38" spans="1:16" x14ac:dyDescent="0.2">
      <c r="E38" s="1" t="s">
        <v>336</v>
      </c>
      <c r="G38" s="1" t="s">
        <v>337</v>
      </c>
      <c r="H38" s="1" t="s">
        <v>96</v>
      </c>
      <c r="I38" s="1" t="s">
        <v>338</v>
      </c>
      <c r="J38" s="1" t="s">
        <v>339</v>
      </c>
      <c r="K38" s="1" t="s">
        <v>97</v>
      </c>
      <c r="L38" s="1" t="s">
        <v>340</v>
      </c>
      <c r="M38" s="1" t="s">
        <v>341</v>
      </c>
    </row>
    <row r="40" spans="1:16" x14ac:dyDescent="0.2">
      <c r="G40" s="1" t="s">
        <v>11</v>
      </c>
      <c r="H40" s="1" t="s">
        <v>98</v>
      </c>
      <c r="I40" s="1" t="s">
        <v>99</v>
      </c>
      <c r="J40" s="1" t="s">
        <v>342</v>
      </c>
      <c r="K40" s="1" t="s">
        <v>100</v>
      </c>
      <c r="L40" s="1" t="s">
        <v>101</v>
      </c>
      <c r="M40" s="1" t="s">
        <v>343</v>
      </c>
    </row>
    <row r="43" spans="1:16" x14ac:dyDescent="0.2">
      <c r="D43" s="1" t="s">
        <v>27</v>
      </c>
      <c r="E43" s="1" t="s">
        <v>13</v>
      </c>
      <c r="G43" s="1" t="s">
        <v>12</v>
      </c>
    </row>
    <row r="44" spans="1:16" x14ac:dyDescent="0.2">
      <c r="C44" s="1" t="s">
        <v>27</v>
      </c>
      <c r="D44" s="1" t="s">
        <v>344</v>
      </c>
      <c r="E44" s="1" t="s">
        <v>345</v>
      </c>
      <c r="G44" s="1" t="s">
        <v>346</v>
      </c>
    </row>
    <row r="45" spans="1:16" x14ac:dyDescent="0.2">
      <c r="B45" s="1" t="s">
        <v>347</v>
      </c>
      <c r="C45" s="1" t="s">
        <v>348</v>
      </c>
      <c r="D45" s="1" t="s">
        <v>349</v>
      </c>
      <c r="E45" s="1" t="s">
        <v>350</v>
      </c>
      <c r="G45" s="1" t="s">
        <v>351</v>
      </c>
      <c r="H45" s="1" t="s">
        <v>352</v>
      </c>
      <c r="I45" s="1" t="s">
        <v>353</v>
      </c>
      <c r="J45" s="1" t="s">
        <v>354</v>
      </c>
      <c r="K45" s="1" t="s">
        <v>355</v>
      </c>
      <c r="L45" s="1" t="s">
        <v>356</v>
      </c>
      <c r="M45" s="1" t="s">
        <v>357</v>
      </c>
      <c r="P45" s="1" t="s">
        <v>358</v>
      </c>
    </row>
    <row r="46" spans="1:16" x14ac:dyDescent="0.2">
      <c r="A46" s="1" t="s">
        <v>0</v>
      </c>
      <c r="D46" s="1" t="s">
        <v>103</v>
      </c>
      <c r="E46" s="1" t="s">
        <v>359</v>
      </c>
    </row>
    <row r="47" spans="1:16" x14ac:dyDescent="0.2">
      <c r="E47" s="1" t="s">
        <v>360</v>
      </c>
      <c r="G47" s="1" t="s">
        <v>361</v>
      </c>
      <c r="H47" s="1" t="s">
        <v>105</v>
      </c>
      <c r="I47" s="1" t="s">
        <v>362</v>
      </c>
      <c r="J47" s="1" t="s">
        <v>363</v>
      </c>
      <c r="K47" s="1" t="s">
        <v>106</v>
      </c>
      <c r="L47" s="1" t="s">
        <v>364</v>
      </c>
      <c r="M47" s="1" t="s">
        <v>365</v>
      </c>
    </row>
    <row r="49" spans="1:16" x14ac:dyDescent="0.2">
      <c r="D49" s="1" t="s">
        <v>179</v>
      </c>
      <c r="E49" s="1" t="s">
        <v>179</v>
      </c>
    </row>
    <row r="50" spans="1:16" x14ac:dyDescent="0.2">
      <c r="D50" s="1" t="s">
        <v>257</v>
      </c>
      <c r="E50" s="1" t="s">
        <v>366</v>
      </c>
      <c r="G50" s="1" t="s">
        <v>367</v>
      </c>
    </row>
    <row r="51" spans="1:16" x14ac:dyDescent="0.2">
      <c r="A51" s="1" t="s">
        <v>27</v>
      </c>
      <c r="B51" s="1" t="s">
        <v>368</v>
      </c>
      <c r="C51" s="1" t="s">
        <v>369</v>
      </c>
      <c r="D51" s="1" t="s">
        <v>107</v>
      </c>
      <c r="E51" s="1" t="s">
        <v>370</v>
      </c>
      <c r="G51" s="1" t="s">
        <v>371</v>
      </c>
      <c r="H51" s="1" t="s">
        <v>372</v>
      </c>
      <c r="I51" s="1" t="s">
        <v>373</v>
      </c>
      <c r="J51" s="1" t="s">
        <v>374</v>
      </c>
      <c r="K51" s="1" t="s">
        <v>375</v>
      </c>
      <c r="L51" s="1" t="s">
        <v>376</v>
      </c>
      <c r="M51" s="1" t="s">
        <v>377</v>
      </c>
      <c r="P51" s="1" t="s">
        <v>378</v>
      </c>
    </row>
    <row r="52" spans="1:16" x14ac:dyDescent="0.2">
      <c r="A52" s="1" t="s">
        <v>0</v>
      </c>
      <c r="D52" s="1" t="s">
        <v>108</v>
      </c>
      <c r="E52" s="1" t="s">
        <v>379</v>
      </c>
    </row>
    <row r="53" spans="1:16" x14ac:dyDescent="0.2">
      <c r="E53" s="1" t="s">
        <v>380</v>
      </c>
      <c r="G53" s="1" t="s">
        <v>381</v>
      </c>
      <c r="H53" s="1" t="s">
        <v>109</v>
      </c>
      <c r="I53" s="1" t="s">
        <v>382</v>
      </c>
      <c r="J53" s="1" t="s">
        <v>383</v>
      </c>
      <c r="K53" s="1" t="s">
        <v>110</v>
      </c>
      <c r="L53" s="1" t="s">
        <v>384</v>
      </c>
      <c r="M53" s="1" t="s">
        <v>385</v>
      </c>
    </row>
    <row r="55" spans="1:16" x14ac:dyDescent="0.2">
      <c r="G55" s="1" t="s">
        <v>14</v>
      </c>
      <c r="H55" s="1" t="s">
        <v>111</v>
      </c>
      <c r="I55" s="1" t="s">
        <v>386</v>
      </c>
      <c r="J55" s="1" t="s">
        <v>387</v>
      </c>
      <c r="K55" s="1" t="s">
        <v>112</v>
      </c>
      <c r="L55" s="1" t="s">
        <v>388</v>
      </c>
      <c r="M55" s="1" t="s">
        <v>389</v>
      </c>
    </row>
    <row r="57" spans="1:16" x14ac:dyDescent="0.2">
      <c r="G57" s="1" t="s">
        <v>15</v>
      </c>
      <c r="H57" s="1" t="s">
        <v>113</v>
      </c>
      <c r="I57" s="1" t="s">
        <v>114</v>
      </c>
      <c r="J57" s="1" t="s">
        <v>390</v>
      </c>
      <c r="K57" s="1" t="s">
        <v>115</v>
      </c>
      <c r="L57" s="1" t="s">
        <v>116</v>
      </c>
      <c r="M57" s="1" t="s">
        <v>391</v>
      </c>
    </row>
    <row r="59" spans="1:16" x14ac:dyDescent="0.2">
      <c r="D59" s="1" t="s">
        <v>392</v>
      </c>
      <c r="E59" s="1" t="s">
        <v>180</v>
      </c>
    </row>
    <row r="60" spans="1:16" x14ac:dyDescent="0.2">
      <c r="D60" s="1" t="s">
        <v>117</v>
      </c>
      <c r="E60" s="1" t="s">
        <v>393</v>
      </c>
      <c r="G60" s="1" t="s">
        <v>394</v>
      </c>
    </row>
    <row r="61" spans="1:16" x14ac:dyDescent="0.2">
      <c r="B61" s="1" t="s">
        <v>395</v>
      </c>
      <c r="C61" s="1" t="s">
        <v>396</v>
      </c>
      <c r="D61" s="1" t="s">
        <v>118</v>
      </c>
      <c r="E61" s="1" t="s">
        <v>397</v>
      </c>
      <c r="G61" s="1" t="s">
        <v>398</v>
      </c>
      <c r="H61" s="1" t="s">
        <v>399</v>
      </c>
      <c r="I61" s="1" t="s">
        <v>400</v>
      </c>
      <c r="J61" s="1" t="s">
        <v>401</v>
      </c>
      <c r="K61" s="1" t="s">
        <v>402</v>
      </c>
      <c r="L61" s="1" t="s">
        <v>403</v>
      </c>
      <c r="M61" s="1" t="s">
        <v>404</v>
      </c>
      <c r="P61" s="1" t="s">
        <v>405</v>
      </c>
    </row>
    <row r="62" spans="1:16" x14ac:dyDescent="0.2">
      <c r="D62" s="1" t="s">
        <v>119</v>
      </c>
      <c r="E62" s="1" t="s">
        <v>406</v>
      </c>
    </row>
    <row r="63" spans="1:16" x14ac:dyDescent="0.2">
      <c r="E63" s="1" t="s">
        <v>407</v>
      </c>
      <c r="G63" s="1" t="s">
        <v>408</v>
      </c>
      <c r="H63" s="1" t="s">
        <v>120</v>
      </c>
      <c r="I63" s="1" t="s">
        <v>409</v>
      </c>
      <c r="J63" s="1" t="s">
        <v>410</v>
      </c>
      <c r="K63" s="1" t="s">
        <v>121</v>
      </c>
      <c r="L63" s="1" t="s">
        <v>411</v>
      </c>
      <c r="M63" s="1" t="s">
        <v>412</v>
      </c>
    </row>
    <row r="65" spans="2:16" x14ac:dyDescent="0.2">
      <c r="D65" s="1" t="s">
        <v>413</v>
      </c>
      <c r="E65" s="1" t="s">
        <v>181</v>
      </c>
    </row>
    <row r="66" spans="2:16" x14ac:dyDescent="0.2">
      <c r="D66" s="1" t="s">
        <v>122</v>
      </c>
      <c r="E66" s="1" t="s">
        <v>414</v>
      </c>
      <c r="G66" s="1" t="s">
        <v>415</v>
      </c>
    </row>
    <row r="67" spans="2:16" x14ac:dyDescent="0.2">
      <c r="B67" s="1" t="s">
        <v>416</v>
      </c>
      <c r="C67" s="1" t="s">
        <v>417</v>
      </c>
      <c r="D67" s="1" t="s">
        <v>123</v>
      </c>
      <c r="E67" s="1" t="s">
        <v>418</v>
      </c>
      <c r="G67" s="1" t="s">
        <v>419</v>
      </c>
      <c r="H67" s="1" t="s">
        <v>420</v>
      </c>
      <c r="I67" s="1" t="s">
        <v>421</v>
      </c>
      <c r="J67" s="1" t="s">
        <v>422</v>
      </c>
      <c r="K67" s="1" t="s">
        <v>423</v>
      </c>
      <c r="L67" s="1" t="s">
        <v>424</v>
      </c>
      <c r="M67" s="1" t="s">
        <v>425</v>
      </c>
      <c r="P67" s="1" t="s">
        <v>426</v>
      </c>
    </row>
    <row r="68" spans="2:16" x14ac:dyDescent="0.2">
      <c r="D68" s="1" t="s">
        <v>124</v>
      </c>
      <c r="E68" s="1" t="s">
        <v>427</v>
      </c>
    </row>
    <row r="69" spans="2:16" x14ac:dyDescent="0.2">
      <c r="E69" s="1" t="s">
        <v>428</v>
      </c>
      <c r="G69" s="1" t="s">
        <v>429</v>
      </c>
      <c r="H69" s="1" t="s">
        <v>125</v>
      </c>
      <c r="I69" s="1" t="s">
        <v>430</v>
      </c>
      <c r="J69" s="1" t="s">
        <v>431</v>
      </c>
      <c r="K69" s="1" t="s">
        <v>126</v>
      </c>
      <c r="L69" s="1" t="s">
        <v>432</v>
      </c>
      <c r="M69" s="1" t="s">
        <v>433</v>
      </c>
    </row>
    <row r="71" spans="2:16" x14ac:dyDescent="0.2">
      <c r="D71" s="1" t="s">
        <v>434</v>
      </c>
      <c r="E71" s="1" t="s">
        <v>182</v>
      </c>
    </row>
    <row r="72" spans="2:16" x14ac:dyDescent="0.2">
      <c r="D72" s="1" t="s">
        <v>127</v>
      </c>
      <c r="E72" s="1" t="s">
        <v>435</v>
      </c>
      <c r="G72" s="1" t="s">
        <v>436</v>
      </c>
    </row>
    <row r="73" spans="2:16" x14ac:dyDescent="0.2">
      <c r="B73" s="1" t="s">
        <v>437</v>
      </c>
      <c r="C73" s="1" t="s">
        <v>438</v>
      </c>
      <c r="D73" s="1" t="s">
        <v>128</v>
      </c>
      <c r="E73" s="1" t="s">
        <v>439</v>
      </c>
      <c r="G73" s="1" t="s">
        <v>440</v>
      </c>
      <c r="H73" s="1" t="s">
        <v>441</v>
      </c>
      <c r="I73" s="1" t="s">
        <v>442</v>
      </c>
      <c r="J73" s="1" t="s">
        <v>443</v>
      </c>
      <c r="K73" s="1" t="s">
        <v>444</v>
      </c>
      <c r="L73" s="1" t="s">
        <v>445</v>
      </c>
      <c r="M73" s="1" t="s">
        <v>446</v>
      </c>
      <c r="P73" s="1" t="s">
        <v>447</v>
      </c>
    </row>
    <row r="74" spans="2:16" x14ac:dyDescent="0.2">
      <c r="D74" s="1" t="s">
        <v>129</v>
      </c>
      <c r="E74" s="1" t="s">
        <v>448</v>
      </c>
    </row>
    <row r="75" spans="2:16" x14ac:dyDescent="0.2">
      <c r="E75" s="1" t="s">
        <v>449</v>
      </c>
      <c r="G75" s="1" t="s">
        <v>450</v>
      </c>
      <c r="H75" s="1" t="s">
        <v>130</v>
      </c>
      <c r="I75" s="1" t="s">
        <v>451</v>
      </c>
      <c r="J75" s="1" t="s">
        <v>452</v>
      </c>
      <c r="K75" s="1" t="s">
        <v>131</v>
      </c>
      <c r="L75" s="1" t="s">
        <v>453</v>
      </c>
      <c r="M75" s="1" t="s">
        <v>454</v>
      </c>
    </row>
    <row r="77" spans="2:16" x14ac:dyDescent="0.2">
      <c r="G77" s="1" t="s">
        <v>16</v>
      </c>
      <c r="H77" s="1" t="s">
        <v>132</v>
      </c>
      <c r="I77" s="1" t="s">
        <v>455</v>
      </c>
      <c r="J77" s="1" t="s">
        <v>456</v>
      </c>
      <c r="K77" s="1" t="s">
        <v>133</v>
      </c>
      <c r="L77" s="1" t="s">
        <v>457</v>
      </c>
      <c r="M77" s="1" t="s">
        <v>458</v>
      </c>
    </row>
    <row r="79" spans="2:16" x14ac:dyDescent="0.2">
      <c r="G79" s="1" t="s">
        <v>17</v>
      </c>
      <c r="H79" s="1" t="s">
        <v>134</v>
      </c>
      <c r="I79" s="1" t="s">
        <v>135</v>
      </c>
      <c r="J79" s="1" t="s">
        <v>459</v>
      </c>
      <c r="K79" s="1" t="s">
        <v>136</v>
      </c>
      <c r="L79" s="1" t="s">
        <v>137</v>
      </c>
      <c r="M79" s="1" t="s">
        <v>460</v>
      </c>
    </row>
    <row r="81" spans="3:16" x14ac:dyDescent="0.2">
      <c r="D81" s="1" t="s">
        <v>461</v>
      </c>
      <c r="E81" s="1" t="s">
        <v>183</v>
      </c>
    </row>
    <row r="82" spans="3:16" x14ac:dyDescent="0.2">
      <c r="D82" s="1" t="s">
        <v>138</v>
      </c>
      <c r="E82" s="1" t="s">
        <v>462</v>
      </c>
      <c r="G82" s="1" t="s">
        <v>463</v>
      </c>
    </row>
    <row r="83" spans="3:16" x14ac:dyDescent="0.2">
      <c r="C83" s="1" t="s">
        <v>464</v>
      </c>
      <c r="D83" s="1" t="s">
        <v>139</v>
      </c>
      <c r="E83" s="1" t="s">
        <v>465</v>
      </c>
      <c r="G83" s="1" t="s">
        <v>466</v>
      </c>
      <c r="H83" s="1" t="s">
        <v>467</v>
      </c>
      <c r="I83" s="1" t="s">
        <v>468</v>
      </c>
      <c r="J83" s="1" t="s">
        <v>469</v>
      </c>
      <c r="K83" s="1" t="s">
        <v>470</v>
      </c>
      <c r="L83" s="1" t="s">
        <v>471</v>
      </c>
      <c r="M83" s="1" t="s">
        <v>472</v>
      </c>
      <c r="P83" s="1" t="s">
        <v>473</v>
      </c>
    </row>
    <row r="84" spans="3:16" x14ac:dyDescent="0.2">
      <c r="D84" s="1" t="s">
        <v>140</v>
      </c>
      <c r="E84" s="1" t="s">
        <v>474</v>
      </c>
    </row>
    <row r="85" spans="3:16" x14ac:dyDescent="0.2">
      <c r="E85" s="1" t="s">
        <v>475</v>
      </c>
      <c r="G85" s="1" t="s">
        <v>476</v>
      </c>
      <c r="H85" s="1" t="s">
        <v>141</v>
      </c>
      <c r="I85" s="1" t="s">
        <v>477</v>
      </c>
      <c r="J85" s="1" t="s">
        <v>478</v>
      </c>
      <c r="K85" s="1" t="s">
        <v>142</v>
      </c>
      <c r="L85" s="1" t="s">
        <v>479</v>
      </c>
      <c r="M85" s="1" t="s">
        <v>480</v>
      </c>
    </row>
    <row r="87" spans="3:16" x14ac:dyDescent="0.2">
      <c r="G87" s="1" t="s">
        <v>18</v>
      </c>
      <c r="H87" s="1" t="s">
        <v>143</v>
      </c>
      <c r="I87" s="1" t="s">
        <v>144</v>
      </c>
      <c r="J87" s="1" t="s">
        <v>481</v>
      </c>
      <c r="K87" s="1" t="s">
        <v>145</v>
      </c>
      <c r="L87" s="1" t="s">
        <v>146</v>
      </c>
      <c r="M87" s="1" t="s">
        <v>482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heetViews>
  <sheetFormatPr defaultRowHeight="12.75" x14ac:dyDescent="0.2"/>
  <sheetData>
    <row r="1" spans="1:8" x14ac:dyDescent="0.2">
      <c r="A1" s="1" t="s">
        <v>1218</v>
      </c>
      <c r="D1" s="1" t="s">
        <v>6</v>
      </c>
      <c r="E1" s="1" t="s">
        <v>7</v>
      </c>
      <c r="F1" s="1" t="s">
        <v>8</v>
      </c>
      <c r="G1" s="1" t="s">
        <v>24</v>
      </c>
      <c r="H1" s="1" t="s">
        <v>25</v>
      </c>
    </row>
    <row r="3" spans="1:8" x14ac:dyDescent="0.2">
      <c r="D3" s="1" t="s">
        <v>156</v>
      </c>
    </row>
    <row r="4" spans="1:8" x14ac:dyDescent="0.2">
      <c r="A4" s="1" t="s">
        <v>5</v>
      </c>
      <c r="D4" s="1" t="s">
        <v>4</v>
      </c>
      <c r="E4" s="1" t="s">
        <v>254</v>
      </c>
      <c r="F4" s="1" t="s">
        <v>38</v>
      </c>
    </row>
    <row r="5" spans="1:8" x14ac:dyDescent="0.2">
      <c r="A5" s="1" t="s">
        <v>5</v>
      </c>
      <c r="D5" s="1" t="s">
        <v>20</v>
      </c>
      <c r="E5" s="1" t="s">
        <v>249</v>
      </c>
      <c r="F5" s="1" t="s">
        <v>39</v>
      </c>
    </row>
    <row r="6" spans="1:8" x14ac:dyDescent="0.2">
      <c r="A6" s="1" t="s">
        <v>5</v>
      </c>
      <c r="D6" s="1" t="s">
        <v>19</v>
      </c>
      <c r="E6" s="1" t="s">
        <v>250</v>
      </c>
      <c r="F6" s="1" t="s">
        <v>40</v>
      </c>
    </row>
    <row r="7" spans="1:8" x14ac:dyDescent="0.2">
      <c r="A7" s="1" t="s">
        <v>5</v>
      </c>
      <c r="C7" s="1" t="s">
        <v>157</v>
      </c>
      <c r="D7" s="1" t="s">
        <v>159</v>
      </c>
      <c r="E7" s="1" t="s">
        <v>255</v>
      </c>
      <c r="F7" s="1" t="s">
        <v>160</v>
      </c>
      <c r="G7" s="1" t="s">
        <v>161</v>
      </c>
      <c r="H7" s="1" t="s">
        <v>26</v>
      </c>
    </row>
    <row r="8" spans="1:8" x14ac:dyDescent="0.2">
      <c r="A8" s="1" t="s">
        <v>5</v>
      </c>
      <c r="C8" s="1" t="s">
        <v>162</v>
      </c>
      <c r="D8" s="1" t="s">
        <v>163</v>
      </c>
      <c r="E8" s="1" t="s">
        <v>23</v>
      </c>
      <c r="F8" s="1" t="s">
        <v>164</v>
      </c>
      <c r="G8" s="1" t="s">
        <v>165</v>
      </c>
      <c r="H8" s="1" t="s">
        <v>26</v>
      </c>
    </row>
    <row r="9" spans="1:8" x14ac:dyDescent="0.2">
      <c r="A9" s="1" t="s">
        <v>5</v>
      </c>
      <c r="C9" s="1" t="s">
        <v>158</v>
      </c>
      <c r="D9" s="1" t="s">
        <v>166</v>
      </c>
      <c r="E9" s="1" t="s">
        <v>23</v>
      </c>
      <c r="F9" s="1" t="s">
        <v>167</v>
      </c>
      <c r="G9" s="1" t="s">
        <v>168</v>
      </c>
      <c r="H9" s="1" t="s">
        <v>26</v>
      </c>
    </row>
    <row r="10" spans="1:8" x14ac:dyDescent="0.2">
      <c r="C10" s="1" t="s">
        <v>169</v>
      </c>
      <c r="D10" s="1" t="s">
        <v>41</v>
      </c>
      <c r="F10" s="1" t="s">
        <v>42</v>
      </c>
      <c r="G10" s="1" t="s">
        <v>43</v>
      </c>
      <c r="H10" s="1" t="s">
        <v>26</v>
      </c>
    </row>
    <row r="11" spans="1:8" x14ac:dyDescent="0.2">
      <c r="C11" s="1" t="s">
        <v>170</v>
      </c>
      <c r="D11" s="1" t="s">
        <v>44</v>
      </c>
      <c r="F11" s="1" t="s">
        <v>45</v>
      </c>
      <c r="G11" s="1" t="s">
        <v>46</v>
      </c>
      <c r="H11" s="1" t="s">
        <v>26</v>
      </c>
    </row>
    <row r="12" spans="1:8" x14ac:dyDescent="0.2">
      <c r="C12" s="1" t="s">
        <v>171</v>
      </c>
      <c r="D12" s="1" t="s">
        <v>47</v>
      </c>
      <c r="F12" s="1" t="s">
        <v>48</v>
      </c>
      <c r="G12" s="1" t="s">
        <v>49</v>
      </c>
      <c r="H12" s="1" t="s">
        <v>26</v>
      </c>
    </row>
    <row r="13" spans="1:8" x14ac:dyDescent="0.2">
      <c r="C13" s="1" t="s">
        <v>172</v>
      </c>
      <c r="D13" s="1" t="s">
        <v>50</v>
      </c>
      <c r="F13" s="1" t="s">
        <v>51</v>
      </c>
      <c r="G13" s="1" t="s">
        <v>52</v>
      </c>
      <c r="H13" s="1" t="s">
        <v>26</v>
      </c>
    </row>
    <row r="14" spans="1:8" x14ac:dyDescent="0.2">
      <c r="C14" s="1" t="s">
        <v>173</v>
      </c>
      <c r="D14" s="1" t="s">
        <v>53</v>
      </c>
      <c r="F14" s="1" t="s">
        <v>54</v>
      </c>
      <c r="G14" s="1" t="s">
        <v>55</v>
      </c>
      <c r="H14" s="1" t="s">
        <v>26</v>
      </c>
    </row>
    <row r="15" spans="1:8" x14ac:dyDescent="0.2">
      <c r="C15" s="1" t="s">
        <v>174</v>
      </c>
      <c r="D15" s="1" t="s">
        <v>56</v>
      </c>
      <c r="F15" s="1" t="s">
        <v>57</v>
      </c>
      <c r="G15" s="1" t="s">
        <v>58</v>
      </c>
      <c r="H15" s="1" t="s">
        <v>26</v>
      </c>
    </row>
    <row r="16" spans="1:8" x14ac:dyDescent="0.2">
      <c r="C16" s="1" t="s">
        <v>175</v>
      </c>
      <c r="D16" s="1" t="s">
        <v>59</v>
      </c>
      <c r="F16" s="1" t="s">
        <v>60</v>
      </c>
      <c r="G16" s="1" t="s">
        <v>61</v>
      </c>
      <c r="H16" s="1" t="s">
        <v>26</v>
      </c>
    </row>
    <row r="17" spans="1:6" x14ac:dyDescent="0.2">
      <c r="A17" s="1" t="s">
        <v>5</v>
      </c>
      <c r="D17" s="1" t="s">
        <v>264</v>
      </c>
      <c r="E17" s="1" t="s">
        <v>266</v>
      </c>
      <c r="F17" s="1" t="s">
        <v>267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0"/>
  <sheetViews>
    <sheetView workbookViewId="0"/>
  </sheetViews>
  <sheetFormatPr defaultRowHeight="12.75" x14ac:dyDescent="0.2"/>
  <sheetData>
    <row r="1" spans="1:16" x14ac:dyDescent="0.2">
      <c r="A1" s="1" t="s">
        <v>1220</v>
      </c>
      <c r="B1" s="1" t="s">
        <v>265</v>
      </c>
      <c r="C1" s="1" t="s">
        <v>0</v>
      </c>
      <c r="D1" s="1" t="s">
        <v>0</v>
      </c>
      <c r="E1" s="1" t="s">
        <v>0</v>
      </c>
      <c r="G1" s="1" t="s">
        <v>2</v>
      </c>
      <c r="H1" s="1" t="s">
        <v>251</v>
      </c>
      <c r="I1" s="1" t="s">
        <v>251</v>
      </c>
      <c r="K1" s="1" t="s">
        <v>251</v>
      </c>
      <c r="L1" s="1" t="s">
        <v>251</v>
      </c>
      <c r="P1" s="1" t="s">
        <v>0</v>
      </c>
    </row>
    <row r="3" spans="1:16" x14ac:dyDescent="0.2">
      <c r="G3" s="1" t="s">
        <v>9</v>
      </c>
    </row>
    <row r="4" spans="1:16" x14ac:dyDescent="0.2">
      <c r="E4" s="1" t="s">
        <v>62</v>
      </c>
      <c r="G4" s="1" t="s">
        <v>268</v>
      </c>
    </row>
    <row r="5" spans="1:16" x14ac:dyDescent="0.2">
      <c r="E5" s="1" t="s">
        <v>63</v>
      </c>
      <c r="G5" s="1" t="s">
        <v>269</v>
      </c>
    </row>
    <row r="6" spans="1:16" x14ac:dyDescent="0.2">
      <c r="E6" s="1" t="s">
        <v>64</v>
      </c>
    </row>
    <row r="7" spans="1:16" x14ac:dyDescent="0.2">
      <c r="E7" s="1" t="s">
        <v>65</v>
      </c>
      <c r="G7" s="1" t="s">
        <v>261</v>
      </c>
      <c r="H7" s="1" t="s">
        <v>270</v>
      </c>
    </row>
    <row r="8" spans="1:16" x14ac:dyDescent="0.2">
      <c r="E8" s="1" t="s">
        <v>66</v>
      </c>
      <c r="G8" s="1" t="s">
        <v>262</v>
      </c>
      <c r="H8" s="1" t="s">
        <v>271</v>
      </c>
    </row>
    <row r="9" spans="1:16" x14ac:dyDescent="0.2">
      <c r="E9" s="1" t="s">
        <v>67</v>
      </c>
      <c r="G9" s="1" t="s">
        <v>263</v>
      </c>
      <c r="H9" s="1" t="s">
        <v>272</v>
      </c>
    </row>
    <row r="10" spans="1:16" x14ac:dyDescent="0.2">
      <c r="A10" s="1" t="s">
        <v>0</v>
      </c>
      <c r="E10" s="1" t="s">
        <v>68</v>
      </c>
    </row>
    <row r="11" spans="1:16" x14ac:dyDescent="0.2">
      <c r="A11" s="1" t="s">
        <v>0</v>
      </c>
      <c r="E11" s="1" t="s">
        <v>69</v>
      </c>
    </row>
    <row r="12" spans="1:16" x14ac:dyDescent="0.2">
      <c r="A12" s="1" t="s">
        <v>0</v>
      </c>
      <c r="E12" s="1" t="s">
        <v>70</v>
      </c>
    </row>
    <row r="13" spans="1:16" x14ac:dyDescent="0.2">
      <c r="A13" s="1" t="s">
        <v>0</v>
      </c>
      <c r="E13" s="1" t="s">
        <v>71</v>
      </c>
    </row>
    <row r="14" spans="1:16" x14ac:dyDescent="0.2">
      <c r="A14" s="1" t="s">
        <v>0</v>
      </c>
      <c r="E14" s="1" t="s">
        <v>72</v>
      </c>
    </row>
    <row r="15" spans="1:16" x14ac:dyDescent="0.2">
      <c r="A15" s="1" t="s">
        <v>0</v>
      </c>
      <c r="E15" s="1" t="s">
        <v>73</v>
      </c>
    </row>
    <row r="16" spans="1:16" x14ac:dyDescent="0.2">
      <c r="A16" s="1" t="s">
        <v>0</v>
      </c>
      <c r="E16" s="1" t="s">
        <v>74</v>
      </c>
    </row>
    <row r="18" spans="1:16" x14ac:dyDescent="0.2">
      <c r="L18" s="1" t="s">
        <v>28</v>
      </c>
      <c r="M18" s="1" t="s">
        <v>75</v>
      </c>
    </row>
    <row r="19" spans="1:16" x14ac:dyDescent="0.2">
      <c r="E19" s="1" t="s">
        <v>1</v>
      </c>
      <c r="H19" s="1" t="s">
        <v>273</v>
      </c>
      <c r="I19" s="1" t="s">
        <v>274</v>
      </c>
      <c r="K19" s="1" t="s">
        <v>273</v>
      </c>
      <c r="L19" s="1" t="s">
        <v>275</v>
      </c>
    </row>
    <row r="20" spans="1:16" x14ac:dyDescent="0.2">
      <c r="D20" s="1" t="s">
        <v>276</v>
      </c>
      <c r="E20" s="1" t="s">
        <v>176</v>
      </c>
      <c r="G20" s="1" t="s">
        <v>21</v>
      </c>
      <c r="H20" s="1" t="s">
        <v>253</v>
      </c>
      <c r="I20" s="1" t="s">
        <v>277</v>
      </c>
      <c r="J20" s="1" t="s">
        <v>22</v>
      </c>
      <c r="K20" s="1" t="s">
        <v>3</v>
      </c>
      <c r="L20" s="1" t="s">
        <v>3</v>
      </c>
      <c r="M20" s="1" t="s">
        <v>22</v>
      </c>
    </row>
    <row r="21" spans="1:16" x14ac:dyDescent="0.2">
      <c r="D21" s="1" t="s">
        <v>76</v>
      </c>
      <c r="E21" s="1" t="s">
        <v>278</v>
      </c>
      <c r="G21" s="1" t="s">
        <v>279</v>
      </c>
      <c r="K21" s="1" t="s">
        <v>252</v>
      </c>
    </row>
    <row r="22" spans="1:16" x14ac:dyDescent="0.2">
      <c r="B22" s="1" t="s">
        <v>280</v>
      </c>
      <c r="C22" s="1" t="s">
        <v>281</v>
      </c>
      <c r="D22" s="1" t="s">
        <v>77</v>
      </c>
      <c r="E22" s="1" t="s">
        <v>282</v>
      </c>
      <c r="G22" s="1" t="s">
        <v>283</v>
      </c>
      <c r="H22" s="1" t="s">
        <v>284</v>
      </c>
      <c r="I22" s="1" t="s">
        <v>285</v>
      </c>
      <c r="J22" s="1" t="s">
        <v>286</v>
      </c>
      <c r="K22" s="1" t="s">
        <v>287</v>
      </c>
      <c r="L22" s="1" t="s">
        <v>288</v>
      </c>
      <c r="M22" s="1" t="s">
        <v>289</v>
      </c>
      <c r="P22" s="1" t="s">
        <v>290</v>
      </c>
    </row>
    <row r="23" spans="1:16" x14ac:dyDescent="0.2">
      <c r="A23" s="1" t="s">
        <v>147</v>
      </c>
      <c r="B23" s="1" t="s">
        <v>483</v>
      </c>
      <c r="C23" s="1" t="s">
        <v>256</v>
      </c>
      <c r="D23" s="1" t="s">
        <v>78</v>
      </c>
      <c r="E23" s="1" t="s">
        <v>291</v>
      </c>
      <c r="G23" s="1" t="s">
        <v>484</v>
      </c>
      <c r="H23" s="1" t="s">
        <v>485</v>
      </c>
      <c r="I23" s="1" t="s">
        <v>486</v>
      </c>
      <c r="J23" s="1" t="s">
        <v>487</v>
      </c>
      <c r="K23" s="1" t="s">
        <v>488</v>
      </c>
      <c r="L23" s="1" t="s">
        <v>489</v>
      </c>
      <c r="M23" s="1" t="s">
        <v>490</v>
      </c>
      <c r="P23" s="1" t="s">
        <v>491</v>
      </c>
    </row>
    <row r="24" spans="1:16" x14ac:dyDescent="0.2">
      <c r="A24" s="1" t="s">
        <v>147</v>
      </c>
      <c r="B24" s="1" t="s">
        <v>492</v>
      </c>
      <c r="C24" s="1" t="s">
        <v>184</v>
      </c>
      <c r="D24" s="1" t="s">
        <v>79</v>
      </c>
      <c r="E24" s="1" t="s">
        <v>292</v>
      </c>
      <c r="G24" s="1" t="s">
        <v>493</v>
      </c>
      <c r="H24" s="1" t="s">
        <v>494</v>
      </c>
      <c r="I24" s="1" t="s">
        <v>495</v>
      </c>
      <c r="J24" s="1" t="s">
        <v>295</v>
      </c>
      <c r="K24" s="1" t="s">
        <v>496</v>
      </c>
      <c r="L24" s="1" t="s">
        <v>497</v>
      </c>
      <c r="M24" s="1" t="s">
        <v>297</v>
      </c>
      <c r="P24" s="1" t="s">
        <v>498</v>
      </c>
    </row>
    <row r="25" spans="1:16" x14ac:dyDescent="0.2">
      <c r="A25" s="1" t="s">
        <v>147</v>
      </c>
      <c r="B25" s="1" t="s">
        <v>499</v>
      </c>
      <c r="C25" s="1" t="s">
        <v>185</v>
      </c>
      <c r="D25" s="1" t="s">
        <v>149</v>
      </c>
      <c r="E25" s="1" t="s">
        <v>500</v>
      </c>
      <c r="G25" s="1" t="s">
        <v>501</v>
      </c>
      <c r="H25" s="1" t="s">
        <v>502</v>
      </c>
      <c r="I25" s="1" t="s">
        <v>503</v>
      </c>
      <c r="J25" s="1" t="s">
        <v>504</v>
      </c>
      <c r="K25" s="1" t="s">
        <v>505</v>
      </c>
      <c r="L25" s="1" t="s">
        <v>506</v>
      </c>
      <c r="M25" s="1" t="s">
        <v>507</v>
      </c>
      <c r="P25" s="1" t="s">
        <v>508</v>
      </c>
    </row>
    <row r="26" spans="1:16" x14ac:dyDescent="0.2">
      <c r="A26" s="1" t="s">
        <v>147</v>
      </c>
      <c r="B26" s="1" t="s">
        <v>509</v>
      </c>
      <c r="C26" s="1" t="s">
        <v>186</v>
      </c>
      <c r="D26" s="1" t="s">
        <v>188</v>
      </c>
      <c r="E26" s="1" t="s">
        <v>510</v>
      </c>
      <c r="G26" s="1" t="s">
        <v>511</v>
      </c>
      <c r="H26" s="1" t="s">
        <v>512</v>
      </c>
      <c r="I26" s="1" t="s">
        <v>513</v>
      </c>
      <c r="J26" s="1" t="s">
        <v>514</v>
      </c>
      <c r="K26" s="1" t="s">
        <v>515</v>
      </c>
      <c r="L26" s="1" t="s">
        <v>516</v>
      </c>
      <c r="M26" s="1" t="s">
        <v>517</v>
      </c>
      <c r="P26" s="1" t="s">
        <v>518</v>
      </c>
    </row>
    <row r="27" spans="1:16" x14ac:dyDescent="0.2">
      <c r="A27" s="1" t="s">
        <v>147</v>
      </c>
      <c r="B27" s="1" t="s">
        <v>519</v>
      </c>
      <c r="C27" s="1" t="s">
        <v>187</v>
      </c>
      <c r="D27" s="1" t="s">
        <v>82</v>
      </c>
      <c r="E27" s="1" t="s">
        <v>298</v>
      </c>
      <c r="G27" s="1" t="s">
        <v>520</v>
      </c>
      <c r="H27" s="1" t="s">
        <v>521</v>
      </c>
      <c r="I27" s="1" t="s">
        <v>522</v>
      </c>
      <c r="J27" s="1" t="s">
        <v>523</v>
      </c>
      <c r="K27" s="1" t="s">
        <v>524</v>
      </c>
      <c r="L27" s="1" t="s">
        <v>525</v>
      </c>
      <c r="M27" s="1" t="s">
        <v>526</v>
      </c>
      <c r="P27" s="1" t="s">
        <v>527</v>
      </c>
    </row>
    <row r="28" spans="1:16" x14ac:dyDescent="0.2">
      <c r="A28" s="1" t="s">
        <v>147</v>
      </c>
      <c r="B28" s="1" t="s">
        <v>301</v>
      </c>
      <c r="C28" s="1" t="s">
        <v>189</v>
      </c>
      <c r="D28" s="1" t="s">
        <v>83</v>
      </c>
      <c r="E28" s="1" t="s">
        <v>303</v>
      </c>
      <c r="G28" s="1" t="s">
        <v>304</v>
      </c>
      <c r="H28" s="1" t="s">
        <v>305</v>
      </c>
      <c r="I28" s="1" t="s">
        <v>306</v>
      </c>
      <c r="J28" s="1" t="s">
        <v>307</v>
      </c>
      <c r="K28" s="1" t="s">
        <v>308</v>
      </c>
      <c r="L28" s="1" t="s">
        <v>309</v>
      </c>
      <c r="M28" s="1" t="s">
        <v>310</v>
      </c>
      <c r="P28" s="1" t="s">
        <v>311</v>
      </c>
    </row>
    <row r="29" spans="1:16" x14ac:dyDescent="0.2">
      <c r="A29" s="1" t="s">
        <v>147</v>
      </c>
      <c r="B29" s="1" t="s">
        <v>528</v>
      </c>
      <c r="C29" s="1" t="s">
        <v>190</v>
      </c>
      <c r="D29" s="1" t="s">
        <v>84</v>
      </c>
      <c r="E29" s="1" t="s">
        <v>312</v>
      </c>
      <c r="G29" s="1" t="s">
        <v>529</v>
      </c>
      <c r="H29" s="1" t="s">
        <v>530</v>
      </c>
      <c r="I29" s="1" t="s">
        <v>531</v>
      </c>
      <c r="J29" s="1" t="s">
        <v>532</v>
      </c>
      <c r="K29" s="1" t="s">
        <v>533</v>
      </c>
      <c r="L29" s="1" t="s">
        <v>534</v>
      </c>
      <c r="M29" s="1" t="s">
        <v>535</v>
      </c>
      <c r="P29" s="1" t="s">
        <v>536</v>
      </c>
    </row>
    <row r="30" spans="1:16" x14ac:dyDescent="0.2">
      <c r="A30" s="1" t="s">
        <v>147</v>
      </c>
      <c r="B30" s="1" t="s">
        <v>537</v>
      </c>
      <c r="C30" s="1" t="s">
        <v>191</v>
      </c>
      <c r="D30" s="1" t="s">
        <v>85</v>
      </c>
      <c r="E30" s="1" t="s">
        <v>313</v>
      </c>
      <c r="G30" s="1" t="s">
        <v>538</v>
      </c>
      <c r="H30" s="1" t="s">
        <v>539</v>
      </c>
      <c r="I30" s="1" t="s">
        <v>540</v>
      </c>
      <c r="J30" s="1" t="s">
        <v>316</v>
      </c>
      <c r="K30" s="1" t="s">
        <v>541</v>
      </c>
      <c r="L30" s="1" t="s">
        <v>542</v>
      </c>
      <c r="M30" s="1" t="s">
        <v>318</v>
      </c>
      <c r="P30" s="1" t="s">
        <v>543</v>
      </c>
    </row>
    <row r="31" spans="1:16" x14ac:dyDescent="0.2">
      <c r="A31" s="1" t="s">
        <v>147</v>
      </c>
      <c r="B31" s="1" t="s">
        <v>544</v>
      </c>
      <c r="C31" s="1" t="s">
        <v>192</v>
      </c>
      <c r="D31" s="1" t="s">
        <v>150</v>
      </c>
      <c r="E31" s="1" t="s">
        <v>545</v>
      </c>
      <c r="G31" s="1" t="s">
        <v>546</v>
      </c>
      <c r="H31" s="1" t="s">
        <v>547</v>
      </c>
      <c r="I31" s="1" t="s">
        <v>548</v>
      </c>
      <c r="J31" s="1" t="s">
        <v>549</v>
      </c>
      <c r="K31" s="1" t="s">
        <v>550</v>
      </c>
      <c r="L31" s="1" t="s">
        <v>551</v>
      </c>
      <c r="M31" s="1" t="s">
        <v>552</v>
      </c>
      <c r="P31" s="1" t="s">
        <v>553</v>
      </c>
    </row>
    <row r="32" spans="1:16" x14ac:dyDescent="0.2">
      <c r="A32" s="1" t="s">
        <v>147</v>
      </c>
      <c r="B32" s="1" t="s">
        <v>554</v>
      </c>
      <c r="C32" s="1" t="s">
        <v>193</v>
      </c>
      <c r="D32" s="1" t="s">
        <v>151</v>
      </c>
      <c r="E32" s="1" t="s">
        <v>555</v>
      </c>
      <c r="G32" s="1" t="s">
        <v>556</v>
      </c>
      <c r="H32" s="1" t="s">
        <v>557</v>
      </c>
      <c r="I32" s="1" t="s">
        <v>558</v>
      </c>
      <c r="J32" s="1" t="s">
        <v>319</v>
      </c>
      <c r="K32" s="1" t="s">
        <v>559</v>
      </c>
      <c r="L32" s="1" t="s">
        <v>560</v>
      </c>
      <c r="M32" s="1" t="s">
        <v>320</v>
      </c>
      <c r="P32" s="1" t="s">
        <v>561</v>
      </c>
    </row>
    <row r="33" spans="1:16" x14ac:dyDescent="0.2">
      <c r="A33" s="1" t="s">
        <v>147</v>
      </c>
      <c r="B33" s="1" t="s">
        <v>562</v>
      </c>
      <c r="C33" s="1" t="s">
        <v>194</v>
      </c>
      <c r="D33" s="1" t="s">
        <v>152</v>
      </c>
      <c r="E33" s="1" t="s">
        <v>563</v>
      </c>
      <c r="G33" s="1" t="s">
        <v>564</v>
      </c>
      <c r="H33" s="1" t="s">
        <v>565</v>
      </c>
      <c r="I33" s="1" t="s">
        <v>566</v>
      </c>
      <c r="J33" s="1" t="s">
        <v>567</v>
      </c>
      <c r="K33" s="1" t="s">
        <v>568</v>
      </c>
      <c r="L33" s="1" t="s">
        <v>569</v>
      </c>
      <c r="M33" s="1" t="s">
        <v>570</v>
      </c>
      <c r="P33" s="1" t="s">
        <v>571</v>
      </c>
    </row>
    <row r="34" spans="1:16" x14ac:dyDescent="0.2">
      <c r="A34" s="1" t="s">
        <v>147</v>
      </c>
      <c r="B34" s="1" t="s">
        <v>572</v>
      </c>
      <c r="C34" s="1" t="s">
        <v>195</v>
      </c>
      <c r="D34" s="1" t="s">
        <v>196</v>
      </c>
      <c r="E34" s="1" t="s">
        <v>573</v>
      </c>
      <c r="G34" s="1" t="s">
        <v>574</v>
      </c>
      <c r="H34" s="1" t="s">
        <v>575</v>
      </c>
      <c r="I34" s="1" t="s">
        <v>576</v>
      </c>
      <c r="J34" s="1" t="s">
        <v>577</v>
      </c>
      <c r="K34" s="1" t="s">
        <v>578</v>
      </c>
      <c r="L34" s="1" t="s">
        <v>579</v>
      </c>
      <c r="M34" s="1" t="s">
        <v>580</v>
      </c>
      <c r="P34" s="1" t="s">
        <v>581</v>
      </c>
    </row>
    <row r="35" spans="1:16" x14ac:dyDescent="0.2">
      <c r="A35" s="1" t="s">
        <v>147</v>
      </c>
      <c r="B35" s="1" t="s">
        <v>582</v>
      </c>
      <c r="C35" s="1" t="s">
        <v>197</v>
      </c>
      <c r="D35" s="1" t="s">
        <v>92</v>
      </c>
      <c r="E35" s="1" t="s">
        <v>321</v>
      </c>
      <c r="G35" s="1" t="s">
        <v>583</v>
      </c>
      <c r="H35" s="1" t="s">
        <v>584</v>
      </c>
      <c r="I35" s="1" t="s">
        <v>585</v>
      </c>
      <c r="J35" s="1" t="s">
        <v>586</v>
      </c>
      <c r="K35" s="1" t="s">
        <v>587</v>
      </c>
      <c r="L35" s="1" t="s">
        <v>588</v>
      </c>
      <c r="M35" s="1" t="s">
        <v>589</v>
      </c>
      <c r="P35" s="1" t="s">
        <v>590</v>
      </c>
    </row>
    <row r="36" spans="1:16" x14ac:dyDescent="0.2">
      <c r="A36" s="1" t="s">
        <v>147</v>
      </c>
      <c r="B36" s="1" t="s">
        <v>324</v>
      </c>
      <c r="C36" s="1" t="s">
        <v>198</v>
      </c>
      <c r="D36" s="1" t="s">
        <v>93</v>
      </c>
      <c r="E36" s="1" t="s">
        <v>326</v>
      </c>
      <c r="G36" s="1" t="s">
        <v>327</v>
      </c>
      <c r="H36" s="1" t="s">
        <v>591</v>
      </c>
      <c r="I36" s="1" t="s">
        <v>592</v>
      </c>
      <c r="J36" s="1" t="s">
        <v>330</v>
      </c>
      <c r="K36" s="1" t="s">
        <v>593</v>
      </c>
      <c r="L36" s="1" t="s">
        <v>594</v>
      </c>
      <c r="M36" s="1" t="s">
        <v>333</v>
      </c>
      <c r="P36" s="1" t="s">
        <v>334</v>
      </c>
    </row>
    <row r="37" spans="1:16" x14ac:dyDescent="0.2">
      <c r="A37" s="1" t="s">
        <v>147</v>
      </c>
      <c r="B37" s="1" t="s">
        <v>595</v>
      </c>
      <c r="C37" s="1" t="s">
        <v>199</v>
      </c>
      <c r="D37" s="1" t="s">
        <v>94</v>
      </c>
      <c r="E37" s="1" t="s">
        <v>335</v>
      </c>
      <c r="G37" s="1" t="s">
        <v>596</v>
      </c>
      <c r="H37" s="1" t="s">
        <v>597</v>
      </c>
      <c r="I37" s="1" t="s">
        <v>598</v>
      </c>
      <c r="J37" s="1" t="s">
        <v>599</v>
      </c>
      <c r="K37" s="1" t="s">
        <v>600</v>
      </c>
      <c r="L37" s="1" t="s">
        <v>601</v>
      </c>
      <c r="M37" s="1" t="s">
        <v>602</v>
      </c>
      <c r="P37" s="1" t="s">
        <v>603</v>
      </c>
    </row>
    <row r="38" spans="1:16" x14ac:dyDescent="0.2">
      <c r="A38" s="1" t="s">
        <v>147</v>
      </c>
      <c r="B38" s="1" t="s">
        <v>604</v>
      </c>
      <c r="C38" s="1" t="s">
        <v>200</v>
      </c>
      <c r="D38" s="1" t="s">
        <v>95</v>
      </c>
      <c r="E38" s="1" t="s">
        <v>336</v>
      </c>
      <c r="G38" s="1" t="s">
        <v>605</v>
      </c>
      <c r="H38" s="1" t="s">
        <v>606</v>
      </c>
      <c r="I38" s="1" t="s">
        <v>607</v>
      </c>
      <c r="J38" s="1" t="s">
        <v>339</v>
      </c>
      <c r="K38" s="1" t="s">
        <v>608</v>
      </c>
      <c r="L38" s="1" t="s">
        <v>609</v>
      </c>
      <c r="M38" s="1" t="s">
        <v>341</v>
      </c>
      <c r="P38" s="1" t="s">
        <v>610</v>
      </c>
    </row>
    <row r="39" spans="1:16" x14ac:dyDescent="0.2">
      <c r="A39" s="1" t="s">
        <v>147</v>
      </c>
      <c r="B39" s="1" t="s">
        <v>611</v>
      </c>
      <c r="C39" s="1" t="s">
        <v>201</v>
      </c>
      <c r="D39" s="1" t="s">
        <v>153</v>
      </c>
      <c r="E39" s="1" t="s">
        <v>612</v>
      </c>
      <c r="G39" s="1" t="s">
        <v>613</v>
      </c>
      <c r="H39" s="1" t="s">
        <v>614</v>
      </c>
      <c r="I39" s="1" t="s">
        <v>615</v>
      </c>
      <c r="J39" s="1" t="s">
        <v>616</v>
      </c>
      <c r="K39" s="1" t="s">
        <v>617</v>
      </c>
      <c r="L39" s="1" t="s">
        <v>618</v>
      </c>
      <c r="M39" s="1" t="s">
        <v>619</v>
      </c>
      <c r="P39" s="1" t="s">
        <v>620</v>
      </c>
    </row>
    <row r="40" spans="1:16" x14ac:dyDescent="0.2">
      <c r="E40" s="1" t="s">
        <v>291</v>
      </c>
    </row>
    <row r="41" spans="1:16" x14ac:dyDescent="0.2">
      <c r="E41" s="1" t="s">
        <v>960</v>
      </c>
      <c r="G41" s="1" t="s">
        <v>961</v>
      </c>
      <c r="H41" s="1" t="s">
        <v>962</v>
      </c>
      <c r="I41" s="1" t="s">
        <v>963</v>
      </c>
      <c r="J41" s="1" t="s">
        <v>964</v>
      </c>
      <c r="K41" s="1" t="s">
        <v>965</v>
      </c>
      <c r="L41" s="1" t="s">
        <v>966</v>
      </c>
      <c r="M41" s="1" t="s">
        <v>967</v>
      </c>
    </row>
    <row r="43" spans="1:16" x14ac:dyDescent="0.2">
      <c r="D43" s="1" t="s">
        <v>968</v>
      </c>
      <c r="E43" s="1" t="s">
        <v>177</v>
      </c>
    </row>
    <row r="44" spans="1:16" x14ac:dyDescent="0.2">
      <c r="D44" s="1" t="s">
        <v>969</v>
      </c>
      <c r="E44" s="1" t="s">
        <v>345</v>
      </c>
      <c r="G44" s="1" t="s">
        <v>970</v>
      </c>
    </row>
    <row r="45" spans="1:16" x14ac:dyDescent="0.2">
      <c r="B45" s="1" t="s">
        <v>347</v>
      </c>
      <c r="C45" s="1" t="s">
        <v>348</v>
      </c>
      <c r="D45" s="1" t="s">
        <v>102</v>
      </c>
      <c r="E45" s="1" t="s">
        <v>350</v>
      </c>
      <c r="G45" s="1" t="s">
        <v>351</v>
      </c>
      <c r="H45" s="1" t="s">
        <v>971</v>
      </c>
      <c r="I45" s="1" t="s">
        <v>972</v>
      </c>
      <c r="J45" s="1" t="s">
        <v>354</v>
      </c>
      <c r="K45" s="1" t="s">
        <v>973</v>
      </c>
      <c r="L45" s="1" t="s">
        <v>974</v>
      </c>
      <c r="M45" s="1" t="s">
        <v>357</v>
      </c>
      <c r="P45" s="1" t="s">
        <v>358</v>
      </c>
    </row>
    <row r="46" spans="1:16" x14ac:dyDescent="0.2">
      <c r="A46" s="1" t="s">
        <v>147</v>
      </c>
      <c r="B46" s="1" t="s">
        <v>621</v>
      </c>
      <c r="C46" s="1" t="s">
        <v>202</v>
      </c>
      <c r="D46" s="1" t="s">
        <v>103</v>
      </c>
      <c r="E46" s="1" t="s">
        <v>359</v>
      </c>
      <c r="G46" s="1" t="s">
        <v>622</v>
      </c>
      <c r="H46" s="1" t="s">
        <v>623</v>
      </c>
      <c r="I46" s="1" t="s">
        <v>624</v>
      </c>
      <c r="J46" s="1" t="s">
        <v>625</v>
      </c>
      <c r="K46" s="1" t="s">
        <v>626</v>
      </c>
      <c r="L46" s="1" t="s">
        <v>627</v>
      </c>
      <c r="M46" s="1" t="s">
        <v>628</v>
      </c>
      <c r="P46" s="1" t="s">
        <v>629</v>
      </c>
    </row>
    <row r="47" spans="1:16" x14ac:dyDescent="0.2">
      <c r="A47" s="1" t="s">
        <v>147</v>
      </c>
      <c r="B47" s="1" t="s">
        <v>630</v>
      </c>
      <c r="C47" s="1" t="s">
        <v>203</v>
      </c>
      <c r="D47" s="1" t="s">
        <v>104</v>
      </c>
      <c r="E47" s="1" t="s">
        <v>360</v>
      </c>
      <c r="G47" s="1" t="s">
        <v>631</v>
      </c>
      <c r="H47" s="1" t="s">
        <v>632</v>
      </c>
      <c r="I47" s="1" t="s">
        <v>633</v>
      </c>
      <c r="J47" s="1" t="s">
        <v>363</v>
      </c>
      <c r="K47" s="1" t="s">
        <v>634</v>
      </c>
      <c r="L47" s="1" t="s">
        <v>635</v>
      </c>
      <c r="M47" s="1" t="s">
        <v>365</v>
      </c>
      <c r="P47" s="1" t="s">
        <v>636</v>
      </c>
    </row>
    <row r="48" spans="1:16" x14ac:dyDescent="0.2">
      <c r="D48" s="1" t="s">
        <v>103</v>
      </c>
      <c r="E48" s="1" t="s">
        <v>359</v>
      </c>
    </row>
    <row r="49" spans="1:16" x14ac:dyDescent="0.2">
      <c r="E49" s="1" t="s">
        <v>975</v>
      </c>
      <c r="G49" s="1" t="s">
        <v>976</v>
      </c>
      <c r="H49" s="1" t="s">
        <v>977</v>
      </c>
      <c r="I49" s="1" t="s">
        <v>978</v>
      </c>
      <c r="J49" s="1" t="s">
        <v>979</v>
      </c>
      <c r="K49" s="1" t="s">
        <v>980</v>
      </c>
      <c r="L49" s="1" t="s">
        <v>981</v>
      </c>
      <c r="M49" s="1" t="s">
        <v>982</v>
      </c>
    </row>
    <row r="51" spans="1:16" x14ac:dyDescent="0.2">
      <c r="G51" s="1" t="s">
        <v>10</v>
      </c>
      <c r="H51" s="1" t="s">
        <v>88</v>
      </c>
      <c r="I51" s="1" t="s">
        <v>89</v>
      </c>
      <c r="J51" s="1" t="s">
        <v>374</v>
      </c>
      <c r="K51" s="1" t="s">
        <v>90</v>
      </c>
      <c r="L51" s="1" t="s">
        <v>91</v>
      </c>
      <c r="M51" s="1" t="s">
        <v>377</v>
      </c>
    </row>
    <row r="53" spans="1:16" x14ac:dyDescent="0.2">
      <c r="D53" s="1" t="s">
        <v>983</v>
      </c>
      <c r="E53" s="1" t="s">
        <v>178</v>
      </c>
    </row>
    <row r="54" spans="1:16" x14ac:dyDescent="0.2">
      <c r="D54" s="1" t="s">
        <v>984</v>
      </c>
      <c r="E54" s="1" t="s">
        <v>985</v>
      </c>
      <c r="G54" s="1" t="s">
        <v>986</v>
      </c>
    </row>
    <row r="55" spans="1:16" x14ac:dyDescent="0.2">
      <c r="B55" s="1" t="s">
        <v>987</v>
      </c>
      <c r="C55" s="1" t="s">
        <v>988</v>
      </c>
      <c r="D55" s="1" t="s">
        <v>154</v>
      </c>
      <c r="E55" s="1" t="s">
        <v>637</v>
      </c>
      <c r="G55" s="1" t="s">
        <v>989</v>
      </c>
      <c r="H55" s="1" t="s">
        <v>990</v>
      </c>
      <c r="I55" s="1" t="s">
        <v>991</v>
      </c>
      <c r="J55" s="1" t="s">
        <v>387</v>
      </c>
      <c r="K55" s="1" t="s">
        <v>992</v>
      </c>
      <c r="L55" s="1" t="s">
        <v>993</v>
      </c>
      <c r="M55" s="1" t="s">
        <v>389</v>
      </c>
      <c r="P55" s="1" t="s">
        <v>994</v>
      </c>
    </row>
    <row r="56" spans="1:16" x14ac:dyDescent="0.2">
      <c r="A56" s="1" t="s">
        <v>147</v>
      </c>
      <c r="B56" s="1" t="s">
        <v>638</v>
      </c>
      <c r="C56" s="1" t="s">
        <v>204</v>
      </c>
      <c r="D56" s="1" t="s">
        <v>205</v>
      </c>
      <c r="E56" s="1" t="s">
        <v>639</v>
      </c>
      <c r="G56" s="1" t="s">
        <v>640</v>
      </c>
      <c r="H56" s="1" t="s">
        <v>641</v>
      </c>
      <c r="I56" s="1" t="s">
        <v>642</v>
      </c>
      <c r="J56" s="1" t="s">
        <v>643</v>
      </c>
      <c r="K56" s="1" t="s">
        <v>644</v>
      </c>
      <c r="L56" s="1" t="s">
        <v>645</v>
      </c>
      <c r="M56" s="1" t="s">
        <v>646</v>
      </c>
      <c r="P56" s="1" t="s">
        <v>647</v>
      </c>
    </row>
    <row r="57" spans="1:16" x14ac:dyDescent="0.2">
      <c r="A57" s="1" t="s">
        <v>147</v>
      </c>
      <c r="B57" s="1" t="s">
        <v>648</v>
      </c>
      <c r="C57" s="1" t="s">
        <v>206</v>
      </c>
      <c r="D57" s="1" t="s">
        <v>155</v>
      </c>
      <c r="E57" s="1" t="s">
        <v>649</v>
      </c>
      <c r="G57" s="1" t="s">
        <v>650</v>
      </c>
      <c r="H57" s="1" t="s">
        <v>651</v>
      </c>
      <c r="I57" s="1" t="s">
        <v>652</v>
      </c>
      <c r="J57" s="1" t="s">
        <v>390</v>
      </c>
      <c r="K57" s="1" t="s">
        <v>653</v>
      </c>
      <c r="L57" s="1" t="s">
        <v>654</v>
      </c>
      <c r="M57" s="1" t="s">
        <v>391</v>
      </c>
      <c r="P57" s="1" t="s">
        <v>655</v>
      </c>
    </row>
    <row r="58" spans="1:16" x14ac:dyDescent="0.2">
      <c r="A58" s="1" t="s">
        <v>147</v>
      </c>
      <c r="B58" s="1" t="s">
        <v>656</v>
      </c>
      <c r="C58" s="1" t="s">
        <v>207</v>
      </c>
      <c r="D58" s="1" t="s">
        <v>208</v>
      </c>
      <c r="E58" s="1" t="s">
        <v>657</v>
      </c>
      <c r="G58" s="1" t="s">
        <v>658</v>
      </c>
      <c r="H58" s="1" t="s">
        <v>659</v>
      </c>
      <c r="I58" s="1" t="s">
        <v>660</v>
      </c>
      <c r="J58" s="1" t="s">
        <v>661</v>
      </c>
      <c r="K58" s="1" t="s">
        <v>662</v>
      </c>
      <c r="L58" s="1" t="s">
        <v>663</v>
      </c>
      <c r="M58" s="1" t="s">
        <v>664</v>
      </c>
      <c r="P58" s="1" t="s">
        <v>665</v>
      </c>
    </row>
    <row r="59" spans="1:16" x14ac:dyDescent="0.2">
      <c r="A59" s="1" t="s">
        <v>147</v>
      </c>
      <c r="B59" s="1" t="s">
        <v>666</v>
      </c>
      <c r="C59" s="1" t="s">
        <v>209</v>
      </c>
      <c r="D59" s="1" t="s">
        <v>210</v>
      </c>
      <c r="E59" s="1" t="s">
        <v>667</v>
      </c>
      <c r="G59" s="1" t="s">
        <v>668</v>
      </c>
      <c r="H59" s="1" t="s">
        <v>669</v>
      </c>
      <c r="I59" s="1" t="s">
        <v>670</v>
      </c>
      <c r="J59" s="1" t="s">
        <v>671</v>
      </c>
      <c r="K59" s="1" t="s">
        <v>672</v>
      </c>
      <c r="L59" s="1" t="s">
        <v>673</v>
      </c>
      <c r="M59" s="1" t="s">
        <v>674</v>
      </c>
      <c r="P59" s="1" t="s">
        <v>675</v>
      </c>
    </row>
    <row r="60" spans="1:16" x14ac:dyDescent="0.2">
      <c r="A60" s="1" t="s">
        <v>147</v>
      </c>
      <c r="B60" s="1" t="s">
        <v>676</v>
      </c>
      <c r="C60" s="1" t="s">
        <v>211</v>
      </c>
      <c r="D60" s="1" t="s">
        <v>117</v>
      </c>
      <c r="E60" s="1" t="s">
        <v>392</v>
      </c>
      <c r="G60" s="1" t="s">
        <v>677</v>
      </c>
      <c r="H60" s="1" t="s">
        <v>678</v>
      </c>
      <c r="I60" s="1" t="s">
        <v>679</v>
      </c>
      <c r="J60" s="1" t="s">
        <v>680</v>
      </c>
      <c r="K60" s="1" t="s">
        <v>681</v>
      </c>
      <c r="L60" s="1" t="s">
        <v>682</v>
      </c>
      <c r="M60" s="1" t="s">
        <v>683</v>
      </c>
      <c r="P60" s="1" t="s">
        <v>684</v>
      </c>
    </row>
    <row r="61" spans="1:16" x14ac:dyDescent="0.2">
      <c r="D61" s="1" t="s">
        <v>205</v>
      </c>
      <c r="E61" s="1" t="s">
        <v>639</v>
      </c>
    </row>
    <row r="62" spans="1:16" x14ac:dyDescent="0.2">
      <c r="E62" s="1" t="s">
        <v>406</v>
      </c>
      <c r="G62" s="1" t="s">
        <v>995</v>
      </c>
      <c r="H62" s="1" t="s">
        <v>996</v>
      </c>
      <c r="I62" s="1" t="s">
        <v>997</v>
      </c>
      <c r="J62" s="1" t="s">
        <v>998</v>
      </c>
      <c r="K62" s="1" t="s">
        <v>999</v>
      </c>
      <c r="L62" s="1" t="s">
        <v>1000</v>
      </c>
      <c r="M62" s="1" t="s">
        <v>1001</v>
      </c>
    </row>
    <row r="64" spans="1:16" x14ac:dyDescent="0.2">
      <c r="G64" s="1" t="s">
        <v>11</v>
      </c>
      <c r="H64" s="1" t="s">
        <v>98</v>
      </c>
      <c r="I64" s="1" t="s">
        <v>99</v>
      </c>
      <c r="J64" s="1" t="s">
        <v>1002</v>
      </c>
      <c r="K64" s="1" t="s">
        <v>100</v>
      </c>
      <c r="L64" s="1" t="s">
        <v>101</v>
      </c>
      <c r="M64" s="1" t="s">
        <v>1003</v>
      </c>
    </row>
    <row r="67" spans="1:16" x14ac:dyDescent="0.2">
      <c r="D67" s="1" t="s">
        <v>27</v>
      </c>
      <c r="E67" s="1" t="s">
        <v>13</v>
      </c>
      <c r="G67" s="1" t="s">
        <v>12</v>
      </c>
    </row>
    <row r="68" spans="1:16" x14ac:dyDescent="0.2">
      <c r="C68" s="1" t="s">
        <v>27</v>
      </c>
      <c r="D68" s="1" t="s">
        <v>1004</v>
      </c>
      <c r="E68" s="1" t="s">
        <v>1005</v>
      </c>
      <c r="G68" s="1" t="s">
        <v>1006</v>
      </c>
    </row>
    <row r="69" spans="1:16" x14ac:dyDescent="0.2">
      <c r="B69" s="1" t="s">
        <v>1007</v>
      </c>
      <c r="C69" s="1" t="s">
        <v>1008</v>
      </c>
      <c r="D69" s="1" t="s">
        <v>1009</v>
      </c>
      <c r="E69" s="1" t="s">
        <v>428</v>
      </c>
      <c r="G69" s="1" t="s">
        <v>1010</v>
      </c>
      <c r="H69" s="1" t="s">
        <v>1011</v>
      </c>
      <c r="I69" s="1" t="s">
        <v>1012</v>
      </c>
      <c r="J69" s="1" t="s">
        <v>431</v>
      </c>
      <c r="K69" s="1" t="s">
        <v>1013</v>
      </c>
      <c r="L69" s="1" t="s">
        <v>1014</v>
      </c>
      <c r="M69" s="1" t="s">
        <v>433</v>
      </c>
      <c r="P69" s="1" t="s">
        <v>1015</v>
      </c>
    </row>
    <row r="70" spans="1:16" x14ac:dyDescent="0.2">
      <c r="A70" s="1" t="s">
        <v>147</v>
      </c>
      <c r="B70" s="1" t="s">
        <v>685</v>
      </c>
      <c r="C70" s="1" t="s">
        <v>212</v>
      </c>
      <c r="D70" s="1" t="s">
        <v>686</v>
      </c>
      <c r="E70" s="1" t="s">
        <v>687</v>
      </c>
      <c r="G70" s="1" t="s">
        <v>688</v>
      </c>
      <c r="H70" s="1" t="s">
        <v>689</v>
      </c>
      <c r="I70" s="1" t="s">
        <v>690</v>
      </c>
      <c r="J70" s="1" t="s">
        <v>691</v>
      </c>
      <c r="K70" s="1" t="s">
        <v>692</v>
      </c>
      <c r="L70" s="1" t="s">
        <v>693</v>
      </c>
      <c r="M70" s="1" t="s">
        <v>694</v>
      </c>
      <c r="P70" s="1" t="s">
        <v>695</v>
      </c>
    </row>
    <row r="71" spans="1:16" x14ac:dyDescent="0.2">
      <c r="A71" s="1" t="s">
        <v>147</v>
      </c>
      <c r="B71" s="1" t="s">
        <v>696</v>
      </c>
      <c r="C71" s="1" t="s">
        <v>213</v>
      </c>
      <c r="D71" s="1" t="s">
        <v>697</v>
      </c>
      <c r="E71" s="1" t="s">
        <v>698</v>
      </c>
      <c r="G71" s="1" t="s">
        <v>699</v>
      </c>
      <c r="H71" s="1" t="s">
        <v>700</v>
      </c>
      <c r="I71" s="1" t="s">
        <v>701</v>
      </c>
      <c r="J71" s="1" t="s">
        <v>702</v>
      </c>
      <c r="K71" s="1" t="s">
        <v>703</v>
      </c>
      <c r="L71" s="1" t="s">
        <v>704</v>
      </c>
      <c r="M71" s="1" t="s">
        <v>705</v>
      </c>
      <c r="P71" s="1" t="s">
        <v>706</v>
      </c>
    </row>
    <row r="72" spans="1:16" x14ac:dyDescent="0.2">
      <c r="A72" s="1" t="s">
        <v>147</v>
      </c>
      <c r="B72" s="1" t="s">
        <v>707</v>
      </c>
      <c r="C72" s="1" t="s">
        <v>214</v>
      </c>
      <c r="D72" s="1" t="s">
        <v>708</v>
      </c>
      <c r="E72" s="1" t="s">
        <v>434</v>
      </c>
      <c r="G72" s="1" t="s">
        <v>709</v>
      </c>
      <c r="H72" s="1" t="s">
        <v>710</v>
      </c>
      <c r="I72" s="1" t="s">
        <v>711</v>
      </c>
      <c r="J72" s="1" t="s">
        <v>712</v>
      </c>
      <c r="K72" s="1" t="s">
        <v>713</v>
      </c>
      <c r="L72" s="1" t="s">
        <v>714</v>
      </c>
      <c r="M72" s="1" t="s">
        <v>715</v>
      </c>
      <c r="P72" s="1" t="s">
        <v>716</v>
      </c>
    </row>
    <row r="73" spans="1:16" x14ac:dyDescent="0.2">
      <c r="A73" s="1" t="s">
        <v>147</v>
      </c>
      <c r="B73" s="1" t="s">
        <v>437</v>
      </c>
      <c r="C73" s="1" t="s">
        <v>215</v>
      </c>
      <c r="D73" s="1" t="s">
        <v>717</v>
      </c>
      <c r="E73" s="1" t="s">
        <v>439</v>
      </c>
      <c r="G73" s="1" t="s">
        <v>440</v>
      </c>
      <c r="H73" s="1" t="s">
        <v>718</v>
      </c>
      <c r="I73" s="1" t="s">
        <v>719</v>
      </c>
      <c r="J73" s="1" t="s">
        <v>443</v>
      </c>
      <c r="K73" s="1" t="s">
        <v>720</v>
      </c>
      <c r="L73" s="1" t="s">
        <v>721</v>
      </c>
      <c r="M73" s="1" t="s">
        <v>446</v>
      </c>
      <c r="P73" s="1" t="s">
        <v>447</v>
      </c>
    </row>
    <row r="74" spans="1:16" x14ac:dyDescent="0.2">
      <c r="A74" s="1" t="s">
        <v>147</v>
      </c>
      <c r="B74" s="1" t="s">
        <v>722</v>
      </c>
      <c r="C74" s="1" t="s">
        <v>216</v>
      </c>
      <c r="D74" s="1" t="s">
        <v>723</v>
      </c>
      <c r="E74" s="1" t="s">
        <v>448</v>
      </c>
      <c r="G74" s="1" t="s">
        <v>724</v>
      </c>
      <c r="H74" s="1" t="s">
        <v>725</v>
      </c>
      <c r="I74" s="1" t="s">
        <v>726</v>
      </c>
      <c r="J74" s="1" t="s">
        <v>727</v>
      </c>
      <c r="K74" s="1" t="s">
        <v>728</v>
      </c>
      <c r="L74" s="1" t="s">
        <v>729</v>
      </c>
      <c r="M74" s="1" t="s">
        <v>730</v>
      </c>
      <c r="P74" s="1" t="s">
        <v>731</v>
      </c>
    </row>
    <row r="75" spans="1:16" x14ac:dyDescent="0.2">
      <c r="A75" s="1" t="s">
        <v>147</v>
      </c>
      <c r="B75" s="1" t="s">
        <v>732</v>
      </c>
      <c r="C75" s="1" t="s">
        <v>217</v>
      </c>
      <c r="D75" s="1" t="s">
        <v>733</v>
      </c>
      <c r="E75" s="1" t="s">
        <v>449</v>
      </c>
      <c r="G75" s="1" t="s">
        <v>734</v>
      </c>
      <c r="H75" s="1" t="s">
        <v>735</v>
      </c>
      <c r="I75" s="1" t="s">
        <v>736</v>
      </c>
      <c r="J75" s="1" t="s">
        <v>452</v>
      </c>
      <c r="K75" s="1" t="s">
        <v>737</v>
      </c>
      <c r="L75" s="1" t="s">
        <v>738</v>
      </c>
      <c r="M75" s="1" t="s">
        <v>454</v>
      </c>
      <c r="P75" s="1" t="s">
        <v>739</v>
      </c>
    </row>
    <row r="76" spans="1:16" x14ac:dyDescent="0.2">
      <c r="A76" s="1" t="s">
        <v>147</v>
      </c>
      <c r="B76" s="1" t="s">
        <v>740</v>
      </c>
      <c r="C76" s="1" t="s">
        <v>218</v>
      </c>
      <c r="D76" s="1" t="s">
        <v>741</v>
      </c>
      <c r="E76" s="1" t="s">
        <v>742</v>
      </c>
      <c r="G76" s="1" t="s">
        <v>743</v>
      </c>
      <c r="H76" s="1" t="s">
        <v>744</v>
      </c>
      <c r="I76" s="1" t="s">
        <v>745</v>
      </c>
      <c r="J76" s="1" t="s">
        <v>746</v>
      </c>
      <c r="K76" s="1" t="s">
        <v>747</v>
      </c>
      <c r="L76" s="1" t="s">
        <v>748</v>
      </c>
      <c r="M76" s="1" t="s">
        <v>749</v>
      </c>
      <c r="P76" s="1" t="s">
        <v>750</v>
      </c>
    </row>
    <row r="77" spans="1:16" x14ac:dyDescent="0.2">
      <c r="A77" s="1" t="s">
        <v>147</v>
      </c>
      <c r="B77" s="1" t="s">
        <v>751</v>
      </c>
      <c r="C77" s="1" t="s">
        <v>219</v>
      </c>
      <c r="D77" s="1" t="s">
        <v>752</v>
      </c>
      <c r="E77" s="1" t="s">
        <v>753</v>
      </c>
      <c r="G77" s="1" t="s">
        <v>754</v>
      </c>
      <c r="H77" s="1" t="s">
        <v>755</v>
      </c>
      <c r="I77" s="1" t="s">
        <v>756</v>
      </c>
      <c r="J77" s="1" t="s">
        <v>456</v>
      </c>
      <c r="K77" s="1" t="s">
        <v>757</v>
      </c>
      <c r="L77" s="1" t="s">
        <v>758</v>
      </c>
      <c r="M77" s="1" t="s">
        <v>458</v>
      </c>
      <c r="P77" s="1" t="s">
        <v>759</v>
      </c>
    </row>
    <row r="78" spans="1:16" x14ac:dyDescent="0.2">
      <c r="A78" s="1" t="s">
        <v>147</v>
      </c>
      <c r="B78" s="1" t="s">
        <v>760</v>
      </c>
      <c r="C78" s="1" t="s">
        <v>220</v>
      </c>
      <c r="D78" s="1" t="s">
        <v>761</v>
      </c>
      <c r="E78" s="1" t="s">
        <v>762</v>
      </c>
      <c r="G78" s="1" t="s">
        <v>763</v>
      </c>
      <c r="H78" s="1" t="s">
        <v>764</v>
      </c>
      <c r="I78" s="1" t="s">
        <v>765</v>
      </c>
      <c r="J78" s="1" t="s">
        <v>766</v>
      </c>
      <c r="K78" s="1" t="s">
        <v>767</v>
      </c>
      <c r="L78" s="1" t="s">
        <v>768</v>
      </c>
      <c r="M78" s="1" t="s">
        <v>769</v>
      </c>
      <c r="P78" s="1" t="s">
        <v>770</v>
      </c>
    </row>
    <row r="79" spans="1:16" x14ac:dyDescent="0.2">
      <c r="A79" s="1" t="s">
        <v>147</v>
      </c>
      <c r="B79" s="1" t="s">
        <v>771</v>
      </c>
      <c r="C79" s="1" t="s">
        <v>221</v>
      </c>
      <c r="D79" s="1" t="s">
        <v>772</v>
      </c>
      <c r="E79" s="1" t="s">
        <v>773</v>
      </c>
      <c r="G79" s="1" t="s">
        <v>774</v>
      </c>
      <c r="H79" s="1" t="s">
        <v>775</v>
      </c>
      <c r="I79" s="1" t="s">
        <v>776</v>
      </c>
      <c r="J79" s="1" t="s">
        <v>459</v>
      </c>
      <c r="K79" s="1" t="s">
        <v>777</v>
      </c>
      <c r="L79" s="1" t="s">
        <v>778</v>
      </c>
      <c r="M79" s="1" t="s">
        <v>460</v>
      </c>
      <c r="P79" s="1" t="s">
        <v>779</v>
      </c>
    </row>
    <row r="80" spans="1:16" x14ac:dyDescent="0.2">
      <c r="A80" s="1" t="s">
        <v>147</v>
      </c>
      <c r="B80" s="1" t="s">
        <v>780</v>
      </c>
      <c r="C80" s="1" t="s">
        <v>222</v>
      </c>
      <c r="D80" s="1" t="s">
        <v>781</v>
      </c>
      <c r="E80" s="1" t="s">
        <v>782</v>
      </c>
      <c r="G80" s="1" t="s">
        <v>783</v>
      </c>
      <c r="H80" s="1" t="s">
        <v>784</v>
      </c>
      <c r="I80" s="1" t="s">
        <v>785</v>
      </c>
      <c r="J80" s="1" t="s">
        <v>786</v>
      </c>
      <c r="K80" s="1" t="s">
        <v>787</v>
      </c>
      <c r="L80" s="1" t="s">
        <v>788</v>
      </c>
      <c r="M80" s="1" t="s">
        <v>789</v>
      </c>
      <c r="P80" s="1" t="s">
        <v>790</v>
      </c>
    </row>
    <row r="81" spans="1:16" x14ac:dyDescent="0.2">
      <c r="A81" s="1" t="s">
        <v>147</v>
      </c>
      <c r="B81" s="1" t="s">
        <v>791</v>
      </c>
      <c r="C81" s="1" t="s">
        <v>223</v>
      </c>
      <c r="D81" s="1" t="s">
        <v>792</v>
      </c>
      <c r="E81" s="1" t="s">
        <v>793</v>
      </c>
      <c r="G81" s="1" t="s">
        <v>794</v>
      </c>
      <c r="H81" s="1" t="s">
        <v>795</v>
      </c>
      <c r="I81" s="1" t="s">
        <v>796</v>
      </c>
      <c r="J81" s="1" t="s">
        <v>797</v>
      </c>
      <c r="K81" s="1" t="s">
        <v>798</v>
      </c>
      <c r="L81" s="1" t="s">
        <v>799</v>
      </c>
      <c r="M81" s="1" t="s">
        <v>800</v>
      </c>
      <c r="P81" s="1" t="s">
        <v>801</v>
      </c>
    </row>
    <row r="82" spans="1:16" x14ac:dyDescent="0.2">
      <c r="A82" s="1" t="s">
        <v>147</v>
      </c>
      <c r="B82" s="1" t="s">
        <v>802</v>
      </c>
      <c r="C82" s="1" t="s">
        <v>224</v>
      </c>
      <c r="D82" s="1" t="s">
        <v>803</v>
      </c>
      <c r="E82" s="1" t="s">
        <v>461</v>
      </c>
      <c r="G82" s="1" t="s">
        <v>804</v>
      </c>
      <c r="H82" s="1" t="s">
        <v>805</v>
      </c>
      <c r="I82" s="1" t="s">
        <v>806</v>
      </c>
      <c r="J82" s="1" t="s">
        <v>807</v>
      </c>
      <c r="K82" s="1" t="s">
        <v>808</v>
      </c>
      <c r="L82" s="1" t="s">
        <v>809</v>
      </c>
      <c r="M82" s="1" t="s">
        <v>810</v>
      </c>
      <c r="P82" s="1" t="s">
        <v>811</v>
      </c>
    </row>
    <row r="83" spans="1:16" x14ac:dyDescent="0.2">
      <c r="A83" s="1" t="s">
        <v>0</v>
      </c>
      <c r="D83" s="1" t="s">
        <v>1016</v>
      </c>
      <c r="E83" s="1" t="s">
        <v>687</v>
      </c>
    </row>
    <row r="84" spans="1:16" x14ac:dyDescent="0.2">
      <c r="E84" s="1" t="s">
        <v>474</v>
      </c>
      <c r="G84" s="1" t="s">
        <v>1017</v>
      </c>
      <c r="H84" s="1" t="s">
        <v>1018</v>
      </c>
      <c r="I84" s="1" t="s">
        <v>1019</v>
      </c>
      <c r="J84" s="1" t="s">
        <v>1020</v>
      </c>
      <c r="K84" s="1" t="s">
        <v>1021</v>
      </c>
      <c r="L84" s="1" t="s">
        <v>1022</v>
      </c>
      <c r="M84" s="1" t="s">
        <v>1023</v>
      </c>
    </row>
    <row r="86" spans="1:16" x14ac:dyDescent="0.2">
      <c r="A86" s="1" t="s">
        <v>147</v>
      </c>
      <c r="C86" s="1" t="s">
        <v>27</v>
      </c>
      <c r="D86" s="1" t="s">
        <v>236</v>
      </c>
      <c r="E86" s="1" t="s">
        <v>1024</v>
      </c>
      <c r="G86" s="1" t="s">
        <v>1025</v>
      </c>
    </row>
    <row r="87" spans="1:16" x14ac:dyDescent="0.2">
      <c r="A87" s="1" t="s">
        <v>147</v>
      </c>
      <c r="B87" s="1" t="s">
        <v>1026</v>
      </c>
      <c r="C87" s="1" t="s">
        <v>1027</v>
      </c>
      <c r="D87" s="1" t="s">
        <v>1028</v>
      </c>
      <c r="E87" s="1" t="s">
        <v>1029</v>
      </c>
      <c r="G87" s="1" t="s">
        <v>1030</v>
      </c>
      <c r="H87" s="1" t="s">
        <v>1031</v>
      </c>
      <c r="I87" s="1" t="s">
        <v>1032</v>
      </c>
      <c r="J87" s="1" t="s">
        <v>481</v>
      </c>
      <c r="K87" s="1" t="s">
        <v>1033</v>
      </c>
      <c r="L87" s="1" t="s">
        <v>1034</v>
      </c>
      <c r="M87" s="1" t="s">
        <v>482</v>
      </c>
      <c r="P87" s="1" t="s">
        <v>1035</v>
      </c>
    </row>
    <row r="88" spans="1:16" x14ac:dyDescent="0.2">
      <c r="A88" s="1" t="s">
        <v>148</v>
      </c>
      <c r="D88" s="1" t="s">
        <v>1036</v>
      </c>
      <c r="E88" s="1" t="s">
        <v>812</v>
      </c>
    </row>
    <row r="89" spans="1:16" x14ac:dyDescent="0.2">
      <c r="A89" s="1" t="s">
        <v>147</v>
      </c>
      <c r="E89" s="1" t="s">
        <v>813</v>
      </c>
      <c r="G89" s="1" t="s">
        <v>1037</v>
      </c>
      <c r="H89" s="1" t="s">
        <v>1038</v>
      </c>
      <c r="I89" s="1" t="s">
        <v>1039</v>
      </c>
      <c r="J89" s="1" t="s">
        <v>1040</v>
      </c>
      <c r="K89" s="1" t="s">
        <v>1041</v>
      </c>
      <c r="L89" s="1" t="s">
        <v>1042</v>
      </c>
      <c r="M89" s="1" t="s">
        <v>1043</v>
      </c>
    </row>
    <row r="90" spans="1:16" x14ac:dyDescent="0.2">
      <c r="A90" s="1" t="s">
        <v>147</v>
      </c>
    </row>
    <row r="91" spans="1:16" x14ac:dyDescent="0.2">
      <c r="A91" s="1" t="s">
        <v>147</v>
      </c>
      <c r="C91" s="1" t="s">
        <v>27</v>
      </c>
      <c r="D91" s="1" t="s">
        <v>237</v>
      </c>
      <c r="E91" s="1" t="s">
        <v>1044</v>
      </c>
      <c r="G91" s="1" t="s">
        <v>1045</v>
      </c>
    </row>
    <row r="92" spans="1:16" x14ac:dyDescent="0.2">
      <c r="A92" s="1" t="s">
        <v>147</v>
      </c>
      <c r="B92" s="1" t="s">
        <v>1046</v>
      </c>
      <c r="C92" s="1" t="s">
        <v>1047</v>
      </c>
      <c r="D92" s="1" t="s">
        <v>1048</v>
      </c>
      <c r="E92" s="1" t="s">
        <v>1049</v>
      </c>
      <c r="G92" s="1" t="s">
        <v>1050</v>
      </c>
      <c r="H92" s="1" t="s">
        <v>1051</v>
      </c>
      <c r="I92" s="1" t="s">
        <v>1052</v>
      </c>
      <c r="J92" s="1" t="s">
        <v>1053</v>
      </c>
      <c r="K92" s="1" t="s">
        <v>1054</v>
      </c>
      <c r="L92" s="1" t="s">
        <v>1055</v>
      </c>
      <c r="M92" s="1" t="s">
        <v>1056</v>
      </c>
      <c r="P92" s="1" t="s">
        <v>1057</v>
      </c>
    </row>
    <row r="93" spans="1:16" x14ac:dyDescent="0.2">
      <c r="A93" s="1" t="s">
        <v>147</v>
      </c>
      <c r="B93" s="1" t="s">
        <v>814</v>
      </c>
      <c r="C93" s="1" t="s">
        <v>238</v>
      </c>
      <c r="D93" s="1" t="s">
        <v>815</v>
      </c>
      <c r="E93" s="1" t="s">
        <v>816</v>
      </c>
      <c r="G93" s="1" t="s">
        <v>817</v>
      </c>
      <c r="H93" s="1" t="s">
        <v>818</v>
      </c>
      <c r="I93" s="1" t="s">
        <v>819</v>
      </c>
      <c r="J93" s="1" t="s">
        <v>820</v>
      </c>
      <c r="K93" s="1" t="s">
        <v>821</v>
      </c>
      <c r="L93" s="1" t="s">
        <v>822</v>
      </c>
      <c r="M93" s="1" t="s">
        <v>823</v>
      </c>
      <c r="P93" s="1" t="s">
        <v>824</v>
      </c>
    </row>
    <row r="94" spans="1:16" x14ac:dyDescent="0.2">
      <c r="A94" s="1" t="s">
        <v>147</v>
      </c>
      <c r="B94" s="1" t="s">
        <v>825</v>
      </c>
      <c r="C94" s="1" t="s">
        <v>239</v>
      </c>
      <c r="D94" s="1" t="s">
        <v>826</v>
      </c>
      <c r="E94" s="1" t="s">
        <v>827</v>
      </c>
      <c r="G94" s="1" t="s">
        <v>828</v>
      </c>
      <c r="H94" s="1" t="s">
        <v>829</v>
      </c>
      <c r="I94" s="1" t="s">
        <v>830</v>
      </c>
      <c r="J94" s="1" t="s">
        <v>831</v>
      </c>
      <c r="K94" s="1" t="s">
        <v>832</v>
      </c>
      <c r="L94" s="1" t="s">
        <v>833</v>
      </c>
      <c r="M94" s="1" t="s">
        <v>834</v>
      </c>
      <c r="P94" s="1" t="s">
        <v>835</v>
      </c>
    </row>
    <row r="95" spans="1:16" x14ac:dyDescent="0.2">
      <c r="A95" s="1" t="s">
        <v>148</v>
      </c>
      <c r="D95" s="1" t="s">
        <v>1058</v>
      </c>
      <c r="E95" s="1" t="s">
        <v>816</v>
      </c>
    </row>
    <row r="96" spans="1:16" x14ac:dyDescent="0.2">
      <c r="A96" s="1" t="s">
        <v>147</v>
      </c>
      <c r="E96" s="1" t="s">
        <v>1059</v>
      </c>
      <c r="G96" s="1" t="s">
        <v>1060</v>
      </c>
      <c r="H96" s="1" t="s">
        <v>1061</v>
      </c>
      <c r="I96" s="1" t="s">
        <v>1062</v>
      </c>
      <c r="J96" s="1" t="s">
        <v>1063</v>
      </c>
      <c r="K96" s="1" t="s">
        <v>1064</v>
      </c>
      <c r="L96" s="1" t="s">
        <v>1065</v>
      </c>
      <c r="M96" s="1" t="s">
        <v>1066</v>
      </c>
    </row>
    <row r="97" spans="1:16" x14ac:dyDescent="0.2">
      <c r="A97" s="1" t="s">
        <v>147</v>
      </c>
    </row>
    <row r="98" spans="1:16" x14ac:dyDescent="0.2">
      <c r="A98" s="1" t="s">
        <v>147</v>
      </c>
      <c r="C98" s="1" t="s">
        <v>27</v>
      </c>
      <c r="D98" s="1" t="s">
        <v>240</v>
      </c>
      <c r="E98" s="1" t="s">
        <v>1067</v>
      </c>
      <c r="G98" s="1" t="s">
        <v>1068</v>
      </c>
    </row>
    <row r="99" spans="1:16" x14ac:dyDescent="0.2">
      <c r="A99" s="1" t="s">
        <v>147</v>
      </c>
      <c r="B99" s="1" t="s">
        <v>1069</v>
      </c>
      <c r="C99" s="1" t="s">
        <v>1070</v>
      </c>
      <c r="D99" s="1" t="s">
        <v>1071</v>
      </c>
      <c r="E99" s="1" t="s">
        <v>1072</v>
      </c>
      <c r="G99" s="1" t="s">
        <v>1073</v>
      </c>
      <c r="H99" s="1" t="s">
        <v>1074</v>
      </c>
      <c r="I99" s="1" t="s">
        <v>1075</v>
      </c>
      <c r="J99" s="1" t="s">
        <v>1076</v>
      </c>
      <c r="K99" s="1" t="s">
        <v>1077</v>
      </c>
      <c r="L99" s="1" t="s">
        <v>1078</v>
      </c>
      <c r="M99" s="1" t="s">
        <v>1079</v>
      </c>
      <c r="P99" s="1" t="s">
        <v>1080</v>
      </c>
    </row>
    <row r="100" spans="1:16" x14ac:dyDescent="0.2">
      <c r="A100" s="1" t="s">
        <v>147</v>
      </c>
      <c r="B100" s="1" t="s">
        <v>836</v>
      </c>
      <c r="C100" s="1" t="s">
        <v>241</v>
      </c>
      <c r="D100" s="1" t="s">
        <v>837</v>
      </c>
      <c r="E100" s="1" t="s">
        <v>838</v>
      </c>
      <c r="G100" s="1" t="s">
        <v>839</v>
      </c>
      <c r="H100" s="1" t="s">
        <v>840</v>
      </c>
      <c r="I100" s="1" t="s">
        <v>841</v>
      </c>
      <c r="J100" s="1" t="s">
        <v>842</v>
      </c>
      <c r="K100" s="1" t="s">
        <v>843</v>
      </c>
      <c r="L100" s="1" t="s">
        <v>844</v>
      </c>
      <c r="M100" s="1" t="s">
        <v>845</v>
      </c>
      <c r="P100" s="1" t="s">
        <v>846</v>
      </c>
    </row>
    <row r="101" spans="1:16" x14ac:dyDescent="0.2">
      <c r="A101" s="1" t="s">
        <v>147</v>
      </c>
      <c r="B101" s="1" t="s">
        <v>847</v>
      </c>
      <c r="C101" s="1" t="s">
        <v>242</v>
      </c>
      <c r="D101" s="1" t="s">
        <v>848</v>
      </c>
      <c r="E101" s="1" t="s">
        <v>849</v>
      </c>
      <c r="G101" s="1" t="s">
        <v>850</v>
      </c>
      <c r="H101" s="1" t="s">
        <v>851</v>
      </c>
      <c r="I101" s="1" t="s">
        <v>852</v>
      </c>
      <c r="J101" s="1" t="s">
        <v>853</v>
      </c>
      <c r="K101" s="1" t="s">
        <v>854</v>
      </c>
      <c r="L101" s="1" t="s">
        <v>855</v>
      </c>
      <c r="M101" s="1" t="s">
        <v>856</v>
      </c>
      <c r="P101" s="1" t="s">
        <v>857</v>
      </c>
    </row>
    <row r="102" spans="1:16" x14ac:dyDescent="0.2">
      <c r="A102" s="1" t="s">
        <v>147</v>
      </c>
      <c r="B102" s="1" t="s">
        <v>858</v>
      </c>
      <c r="C102" s="1" t="s">
        <v>243</v>
      </c>
      <c r="D102" s="1" t="s">
        <v>859</v>
      </c>
      <c r="E102" s="1" t="s">
        <v>860</v>
      </c>
      <c r="G102" s="1" t="s">
        <v>861</v>
      </c>
      <c r="H102" s="1" t="s">
        <v>862</v>
      </c>
      <c r="I102" s="1" t="s">
        <v>863</v>
      </c>
      <c r="J102" s="1" t="s">
        <v>864</v>
      </c>
      <c r="K102" s="1" t="s">
        <v>865</v>
      </c>
      <c r="L102" s="1" t="s">
        <v>866</v>
      </c>
      <c r="M102" s="1" t="s">
        <v>867</v>
      </c>
      <c r="P102" s="1" t="s">
        <v>868</v>
      </c>
    </row>
    <row r="103" spans="1:16" x14ac:dyDescent="0.2">
      <c r="A103" s="1" t="s">
        <v>148</v>
      </c>
      <c r="D103" s="1" t="s">
        <v>1081</v>
      </c>
      <c r="E103" s="1" t="s">
        <v>838</v>
      </c>
    </row>
    <row r="104" spans="1:16" x14ac:dyDescent="0.2">
      <c r="A104" s="1" t="s">
        <v>147</v>
      </c>
      <c r="E104" s="1" t="s">
        <v>1082</v>
      </c>
      <c r="G104" s="1" t="s">
        <v>1083</v>
      </c>
      <c r="H104" s="1" t="s">
        <v>1084</v>
      </c>
      <c r="I104" s="1" t="s">
        <v>1085</v>
      </c>
      <c r="J104" s="1" t="s">
        <v>1086</v>
      </c>
      <c r="K104" s="1" t="s">
        <v>1087</v>
      </c>
      <c r="L104" s="1" t="s">
        <v>1088</v>
      </c>
      <c r="M104" s="1" t="s">
        <v>1089</v>
      </c>
    </row>
    <row r="105" spans="1:16" x14ac:dyDescent="0.2">
      <c r="A105" s="1" t="s">
        <v>147</v>
      </c>
    </row>
    <row r="106" spans="1:16" x14ac:dyDescent="0.2">
      <c r="D106" s="1" t="s">
        <v>179</v>
      </c>
      <c r="E106" s="1" t="s">
        <v>179</v>
      </c>
    </row>
    <row r="107" spans="1:16" x14ac:dyDescent="0.2">
      <c r="D107" s="1" t="s">
        <v>1090</v>
      </c>
      <c r="E107" s="1" t="s">
        <v>1091</v>
      </c>
      <c r="G107" s="1" t="s">
        <v>1092</v>
      </c>
    </row>
    <row r="108" spans="1:16" x14ac:dyDescent="0.2">
      <c r="A108" s="1" t="s">
        <v>27</v>
      </c>
      <c r="B108" s="1" t="s">
        <v>1093</v>
      </c>
      <c r="C108" s="1" t="s">
        <v>1094</v>
      </c>
      <c r="D108" s="1" t="s">
        <v>869</v>
      </c>
      <c r="E108" s="1" t="s">
        <v>1095</v>
      </c>
      <c r="G108" s="1" t="s">
        <v>1096</v>
      </c>
      <c r="H108" s="1" t="s">
        <v>1097</v>
      </c>
      <c r="I108" s="1" t="s">
        <v>1098</v>
      </c>
      <c r="J108" s="1" t="s">
        <v>1099</v>
      </c>
      <c r="K108" s="1" t="s">
        <v>1100</v>
      </c>
      <c r="L108" s="1" t="s">
        <v>1101</v>
      </c>
      <c r="M108" s="1" t="s">
        <v>1102</v>
      </c>
      <c r="P108" s="1" t="s">
        <v>1103</v>
      </c>
    </row>
    <row r="109" spans="1:16" x14ac:dyDescent="0.2">
      <c r="A109" s="1" t="s">
        <v>0</v>
      </c>
      <c r="D109" s="1" t="s">
        <v>225</v>
      </c>
      <c r="E109" s="1" t="s">
        <v>870</v>
      </c>
    </row>
    <row r="110" spans="1:16" x14ac:dyDescent="0.2">
      <c r="E110" s="1" t="s">
        <v>871</v>
      </c>
      <c r="G110" s="1" t="s">
        <v>1104</v>
      </c>
      <c r="H110" s="1" t="s">
        <v>1105</v>
      </c>
      <c r="I110" s="1" t="s">
        <v>1106</v>
      </c>
      <c r="J110" s="1" t="s">
        <v>1107</v>
      </c>
      <c r="K110" s="1" t="s">
        <v>1108</v>
      </c>
      <c r="L110" s="1" t="s">
        <v>1109</v>
      </c>
      <c r="M110" s="1" t="s">
        <v>1110</v>
      </c>
    </row>
    <row r="112" spans="1:16" x14ac:dyDescent="0.2">
      <c r="G112" s="1" t="s">
        <v>14</v>
      </c>
      <c r="H112" s="1" t="s">
        <v>1111</v>
      </c>
      <c r="I112" s="1" t="s">
        <v>1112</v>
      </c>
      <c r="J112" s="1" t="s">
        <v>1113</v>
      </c>
      <c r="K112" s="1" t="s">
        <v>1114</v>
      </c>
      <c r="L112" s="1" t="s">
        <v>1115</v>
      </c>
      <c r="M112" s="1" t="s">
        <v>1116</v>
      </c>
    </row>
    <row r="114" spans="1:16" x14ac:dyDescent="0.2">
      <c r="G114" s="1" t="s">
        <v>15</v>
      </c>
      <c r="H114" s="1" t="s">
        <v>113</v>
      </c>
      <c r="I114" s="1" t="s">
        <v>114</v>
      </c>
      <c r="J114" s="1" t="s">
        <v>1117</v>
      </c>
      <c r="K114" s="1" t="s">
        <v>115</v>
      </c>
      <c r="L114" s="1" t="s">
        <v>116</v>
      </c>
      <c r="M114" s="1" t="s">
        <v>1118</v>
      </c>
    </row>
    <row r="116" spans="1:16" x14ac:dyDescent="0.2">
      <c r="D116" s="1" t="s">
        <v>1119</v>
      </c>
      <c r="E116" s="1" t="s">
        <v>180</v>
      </c>
    </row>
    <row r="117" spans="1:16" x14ac:dyDescent="0.2">
      <c r="D117" s="1" t="s">
        <v>1120</v>
      </c>
      <c r="E117" s="1" t="s">
        <v>1121</v>
      </c>
      <c r="G117" s="1" t="s">
        <v>1122</v>
      </c>
    </row>
    <row r="118" spans="1:16" x14ac:dyDescent="0.2">
      <c r="B118" s="1" t="s">
        <v>1123</v>
      </c>
      <c r="C118" s="1" t="s">
        <v>1124</v>
      </c>
      <c r="D118" s="1" t="s">
        <v>226</v>
      </c>
      <c r="E118" s="1" t="s">
        <v>872</v>
      </c>
      <c r="G118" s="1" t="s">
        <v>1125</v>
      </c>
      <c r="H118" s="1" t="s">
        <v>1126</v>
      </c>
      <c r="I118" s="1" t="s">
        <v>1127</v>
      </c>
      <c r="J118" s="1" t="s">
        <v>1128</v>
      </c>
      <c r="K118" s="1" t="s">
        <v>1129</v>
      </c>
      <c r="L118" s="1" t="s">
        <v>1130</v>
      </c>
      <c r="M118" s="1" t="s">
        <v>1131</v>
      </c>
      <c r="P118" s="1" t="s">
        <v>1132</v>
      </c>
    </row>
    <row r="119" spans="1:16" x14ac:dyDescent="0.2">
      <c r="D119" s="1" t="s">
        <v>227</v>
      </c>
      <c r="E119" s="1" t="s">
        <v>873</v>
      </c>
    </row>
    <row r="120" spans="1:16" x14ac:dyDescent="0.2">
      <c r="E120" s="1" t="s">
        <v>874</v>
      </c>
      <c r="G120" s="1" t="s">
        <v>1133</v>
      </c>
      <c r="H120" s="1" t="s">
        <v>1134</v>
      </c>
      <c r="I120" s="1" t="s">
        <v>1135</v>
      </c>
      <c r="J120" s="1" t="s">
        <v>1136</v>
      </c>
      <c r="K120" s="1" t="s">
        <v>1137</v>
      </c>
      <c r="L120" s="1" t="s">
        <v>1138</v>
      </c>
      <c r="M120" s="1" t="s">
        <v>1139</v>
      </c>
    </row>
    <row r="122" spans="1:16" x14ac:dyDescent="0.2">
      <c r="D122" s="1" t="s">
        <v>1140</v>
      </c>
      <c r="E122" s="1" t="s">
        <v>181</v>
      </c>
    </row>
    <row r="123" spans="1:16" x14ac:dyDescent="0.2">
      <c r="D123" s="1" t="s">
        <v>1141</v>
      </c>
      <c r="E123" s="1" t="s">
        <v>1142</v>
      </c>
      <c r="G123" s="1" t="s">
        <v>1143</v>
      </c>
    </row>
    <row r="124" spans="1:16" x14ac:dyDescent="0.2">
      <c r="B124" s="1" t="s">
        <v>1144</v>
      </c>
      <c r="C124" s="1" t="s">
        <v>1145</v>
      </c>
      <c r="D124" s="1" t="s">
        <v>228</v>
      </c>
      <c r="E124" s="1" t="s">
        <v>875</v>
      </c>
      <c r="G124" s="1" t="s">
        <v>1146</v>
      </c>
      <c r="H124" s="1" t="s">
        <v>1147</v>
      </c>
      <c r="I124" s="1" t="s">
        <v>1148</v>
      </c>
      <c r="J124" s="1" t="s">
        <v>1149</v>
      </c>
      <c r="K124" s="1" t="s">
        <v>1150</v>
      </c>
      <c r="L124" s="1" t="s">
        <v>1151</v>
      </c>
      <c r="M124" s="1" t="s">
        <v>1152</v>
      </c>
      <c r="P124" s="1" t="s">
        <v>1153</v>
      </c>
    </row>
    <row r="125" spans="1:16" x14ac:dyDescent="0.2">
      <c r="A125" s="1" t="s">
        <v>147</v>
      </c>
      <c r="B125" s="1" t="s">
        <v>876</v>
      </c>
      <c r="C125" s="1" t="s">
        <v>244</v>
      </c>
      <c r="D125" s="1" t="s">
        <v>229</v>
      </c>
      <c r="E125" s="1" t="s">
        <v>877</v>
      </c>
      <c r="G125" s="1" t="s">
        <v>878</v>
      </c>
      <c r="H125" s="1" t="s">
        <v>879</v>
      </c>
      <c r="I125" s="1" t="s">
        <v>880</v>
      </c>
      <c r="J125" s="1" t="s">
        <v>881</v>
      </c>
      <c r="K125" s="1" t="s">
        <v>882</v>
      </c>
      <c r="L125" s="1" t="s">
        <v>883</v>
      </c>
      <c r="M125" s="1" t="s">
        <v>884</v>
      </c>
      <c r="P125" s="1" t="s">
        <v>885</v>
      </c>
    </row>
    <row r="126" spans="1:16" x14ac:dyDescent="0.2">
      <c r="A126" s="1" t="s">
        <v>147</v>
      </c>
      <c r="B126" s="1" t="s">
        <v>886</v>
      </c>
      <c r="C126" s="1" t="s">
        <v>245</v>
      </c>
      <c r="D126" s="1" t="s">
        <v>230</v>
      </c>
      <c r="E126" s="1" t="s">
        <v>887</v>
      </c>
      <c r="G126" s="1" t="s">
        <v>888</v>
      </c>
      <c r="H126" s="1" t="s">
        <v>889</v>
      </c>
      <c r="I126" s="1" t="s">
        <v>890</v>
      </c>
      <c r="J126" s="1" t="s">
        <v>891</v>
      </c>
      <c r="K126" s="1" t="s">
        <v>892</v>
      </c>
      <c r="L126" s="1" t="s">
        <v>893</v>
      </c>
      <c r="M126" s="1" t="s">
        <v>894</v>
      </c>
      <c r="P126" s="1" t="s">
        <v>895</v>
      </c>
    </row>
    <row r="127" spans="1:16" x14ac:dyDescent="0.2">
      <c r="A127" s="1" t="s">
        <v>147</v>
      </c>
      <c r="B127" s="1" t="s">
        <v>896</v>
      </c>
      <c r="C127" s="1" t="s">
        <v>246</v>
      </c>
      <c r="D127" s="1" t="s">
        <v>231</v>
      </c>
      <c r="E127" s="1" t="s">
        <v>897</v>
      </c>
      <c r="G127" s="1" t="s">
        <v>898</v>
      </c>
      <c r="H127" s="1" t="s">
        <v>899</v>
      </c>
      <c r="I127" s="1" t="s">
        <v>900</v>
      </c>
      <c r="J127" s="1" t="s">
        <v>901</v>
      </c>
      <c r="K127" s="1" t="s">
        <v>902</v>
      </c>
      <c r="L127" s="1" t="s">
        <v>903</v>
      </c>
      <c r="M127" s="1" t="s">
        <v>904</v>
      </c>
      <c r="P127" s="1" t="s">
        <v>905</v>
      </c>
    </row>
    <row r="128" spans="1:16" x14ac:dyDescent="0.2">
      <c r="A128" s="1" t="s">
        <v>147</v>
      </c>
      <c r="B128" s="1" t="s">
        <v>906</v>
      </c>
      <c r="C128" s="1" t="s">
        <v>247</v>
      </c>
      <c r="D128" s="1" t="s">
        <v>232</v>
      </c>
      <c r="E128" s="1" t="s">
        <v>907</v>
      </c>
      <c r="G128" s="1" t="s">
        <v>908</v>
      </c>
      <c r="H128" s="1" t="s">
        <v>909</v>
      </c>
      <c r="I128" s="1" t="s">
        <v>910</v>
      </c>
      <c r="J128" s="1" t="s">
        <v>911</v>
      </c>
      <c r="K128" s="1" t="s">
        <v>912</v>
      </c>
      <c r="L128" s="1" t="s">
        <v>913</v>
      </c>
      <c r="M128" s="1" t="s">
        <v>914</v>
      </c>
      <c r="P128" s="1" t="s">
        <v>915</v>
      </c>
    </row>
    <row r="129" spans="1:16" x14ac:dyDescent="0.2">
      <c r="D129" s="1" t="s">
        <v>229</v>
      </c>
      <c r="E129" s="1" t="s">
        <v>877</v>
      </c>
    </row>
    <row r="130" spans="1:16" x14ac:dyDescent="0.2">
      <c r="E130" s="1" t="s">
        <v>1154</v>
      </c>
      <c r="G130" s="1" t="s">
        <v>1155</v>
      </c>
      <c r="H130" s="1" t="s">
        <v>1156</v>
      </c>
      <c r="I130" s="1" t="s">
        <v>1157</v>
      </c>
      <c r="J130" s="1" t="s">
        <v>1158</v>
      </c>
      <c r="K130" s="1" t="s">
        <v>1159</v>
      </c>
      <c r="L130" s="1" t="s">
        <v>1160</v>
      </c>
      <c r="M130" s="1" t="s">
        <v>1161</v>
      </c>
    </row>
    <row r="132" spans="1:16" x14ac:dyDescent="0.2">
      <c r="D132" s="1" t="s">
        <v>1162</v>
      </c>
      <c r="E132" s="1" t="s">
        <v>182</v>
      </c>
    </row>
    <row r="133" spans="1:16" x14ac:dyDescent="0.2">
      <c r="D133" s="1" t="s">
        <v>1163</v>
      </c>
      <c r="E133" s="1" t="s">
        <v>1164</v>
      </c>
      <c r="G133" s="1" t="s">
        <v>1165</v>
      </c>
    </row>
    <row r="134" spans="1:16" x14ac:dyDescent="0.2">
      <c r="B134" s="1" t="s">
        <v>1166</v>
      </c>
      <c r="C134" s="1" t="s">
        <v>1167</v>
      </c>
      <c r="D134" s="1" t="s">
        <v>233</v>
      </c>
      <c r="E134" s="1" t="s">
        <v>916</v>
      </c>
      <c r="G134" s="1" t="s">
        <v>1168</v>
      </c>
      <c r="H134" s="1" t="s">
        <v>1169</v>
      </c>
      <c r="I134" s="1" t="s">
        <v>1170</v>
      </c>
      <c r="J134" s="1" t="s">
        <v>1171</v>
      </c>
      <c r="K134" s="1" t="s">
        <v>1172</v>
      </c>
      <c r="L134" s="1" t="s">
        <v>1173</v>
      </c>
      <c r="M134" s="1" t="s">
        <v>1174</v>
      </c>
      <c r="P134" s="1" t="s">
        <v>1175</v>
      </c>
    </row>
    <row r="135" spans="1:16" x14ac:dyDescent="0.2">
      <c r="A135" s="1" t="s">
        <v>147</v>
      </c>
      <c r="B135" s="1" t="s">
        <v>917</v>
      </c>
      <c r="C135" s="1" t="s">
        <v>258</v>
      </c>
      <c r="D135" s="1" t="s">
        <v>234</v>
      </c>
      <c r="E135" s="1" t="s">
        <v>918</v>
      </c>
      <c r="G135" s="1" t="s">
        <v>919</v>
      </c>
      <c r="H135" s="1" t="s">
        <v>920</v>
      </c>
      <c r="I135" s="1" t="s">
        <v>921</v>
      </c>
      <c r="J135" s="1" t="s">
        <v>922</v>
      </c>
      <c r="K135" s="1" t="s">
        <v>923</v>
      </c>
      <c r="L135" s="1" t="s">
        <v>924</v>
      </c>
      <c r="M135" s="1" t="s">
        <v>925</v>
      </c>
      <c r="P135" s="1" t="s">
        <v>926</v>
      </c>
    </row>
    <row r="136" spans="1:16" x14ac:dyDescent="0.2">
      <c r="A136" s="1" t="s">
        <v>147</v>
      </c>
      <c r="B136" s="1" t="s">
        <v>927</v>
      </c>
      <c r="C136" s="1" t="s">
        <v>248</v>
      </c>
      <c r="D136" s="1" t="s">
        <v>235</v>
      </c>
      <c r="E136" s="1" t="s">
        <v>928</v>
      </c>
      <c r="G136" s="1" t="s">
        <v>929</v>
      </c>
      <c r="H136" s="1" t="s">
        <v>930</v>
      </c>
      <c r="I136" s="1" t="s">
        <v>931</v>
      </c>
      <c r="J136" s="1" t="s">
        <v>932</v>
      </c>
      <c r="K136" s="1" t="s">
        <v>933</v>
      </c>
      <c r="L136" s="1" t="s">
        <v>934</v>
      </c>
      <c r="M136" s="1" t="s">
        <v>935</v>
      </c>
      <c r="P136" s="1" t="s">
        <v>936</v>
      </c>
    </row>
    <row r="137" spans="1:16" x14ac:dyDescent="0.2">
      <c r="D137" s="1" t="s">
        <v>234</v>
      </c>
      <c r="E137" s="1" t="s">
        <v>918</v>
      </c>
    </row>
    <row r="138" spans="1:16" x14ac:dyDescent="0.2">
      <c r="E138" s="1" t="s">
        <v>1176</v>
      </c>
      <c r="G138" s="1" t="s">
        <v>1177</v>
      </c>
      <c r="H138" s="1" t="s">
        <v>1178</v>
      </c>
      <c r="I138" s="1" t="s">
        <v>1179</v>
      </c>
      <c r="J138" s="1" t="s">
        <v>1180</v>
      </c>
      <c r="K138" s="1" t="s">
        <v>1181</v>
      </c>
      <c r="L138" s="1" t="s">
        <v>1182</v>
      </c>
      <c r="M138" s="1" t="s">
        <v>1183</v>
      </c>
    </row>
    <row r="140" spans="1:16" x14ac:dyDescent="0.2">
      <c r="G140" s="1" t="s">
        <v>16</v>
      </c>
      <c r="H140" s="1" t="s">
        <v>1184</v>
      </c>
      <c r="I140" s="1" t="s">
        <v>1185</v>
      </c>
      <c r="J140" s="1" t="s">
        <v>1186</v>
      </c>
      <c r="K140" s="1" t="s">
        <v>1187</v>
      </c>
      <c r="L140" s="1" t="s">
        <v>1188</v>
      </c>
      <c r="M140" s="1" t="s">
        <v>1189</v>
      </c>
    </row>
    <row r="142" spans="1:16" x14ac:dyDescent="0.2">
      <c r="G142" s="1" t="s">
        <v>17</v>
      </c>
      <c r="H142" s="1" t="s">
        <v>134</v>
      </c>
      <c r="I142" s="1" t="s">
        <v>135</v>
      </c>
      <c r="J142" s="1" t="s">
        <v>1190</v>
      </c>
      <c r="K142" s="1" t="s">
        <v>136</v>
      </c>
      <c r="L142" s="1" t="s">
        <v>137</v>
      </c>
      <c r="M142" s="1" t="s">
        <v>1191</v>
      </c>
    </row>
    <row r="144" spans="1:16" x14ac:dyDescent="0.2">
      <c r="D144" s="1" t="s">
        <v>1192</v>
      </c>
      <c r="E144" s="1" t="s">
        <v>183</v>
      </c>
    </row>
    <row r="145" spans="3:16" x14ac:dyDescent="0.2">
      <c r="D145" s="1" t="s">
        <v>1193</v>
      </c>
      <c r="E145" s="1" t="s">
        <v>1194</v>
      </c>
      <c r="G145" s="1" t="s">
        <v>1195</v>
      </c>
    </row>
    <row r="146" spans="3:16" x14ac:dyDescent="0.2">
      <c r="C146" s="1" t="s">
        <v>1196</v>
      </c>
      <c r="D146" s="1" t="s">
        <v>259</v>
      </c>
      <c r="E146" s="1" t="s">
        <v>937</v>
      </c>
      <c r="G146" s="1" t="s">
        <v>1197</v>
      </c>
      <c r="H146" s="1" t="s">
        <v>1198</v>
      </c>
      <c r="I146" s="1" t="s">
        <v>1199</v>
      </c>
      <c r="J146" s="1" t="s">
        <v>1200</v>
      </c>
      <c r="K146" s="1" t="s">
        <v>1201</v>
      </c>
      <c r="L146" s="1" t="s">
        <v>1202</v>
      </c>
      <c r="M146" s="1" t="s">
        <v>1203</v>
      </c>
      <c r="P146" s="1" t="s">
        <v>1204</v>
      </c>
    </row>
    <row r="147" spans="3:16" x14ac:dyDescent="0.2">
      <c r="D147" s="1" t="s">
        <v>260</v>
      </c>
      <c r="E147" s="1" t="s">
        <v>938</v>
      </c>
    </row>
    <row r="148" spans="3:16" x14ac:dyDescent="0.2">
      <c r="E148" s="1" t="s">
        <v>939</v>
      </c>
      <c r="G148" s="1" t="s">
        <v>1205</v>
      </c>
      <c r="H148" s="1" t="s">
        <v>1206</v>
      </c>
      <c r="I148" s="1" t="s">
        <v>1207</v>
      </c>
      <c r="J148" s="1" t="s">
        <v>1208</v>
      </c>
      <c r="K148" s="1" t="s">
        <v>1209</v>
      </c>
      <c r="L148" s="1" t="s">
        <v>1210</v>
      </c>
      <c r="M148" s="1" t="s">
        <v>1211</v>
      </c>
    </row>
    <row r="150" spans="3:16" x14ac:dyDescent="0.2">
      <c r="G150" s="1" t="s">
        <v>18</v>
      </c>
      <c r="H150" s="1" t="s">
        <v>143</v>
      </c>
      <c r="I150" s="1" t="s">
        <v>144</v>
      </c>
      <c r="J150" s="1" t="s">
        <v>1212</v>
      </c>
      <c r="K150" s="1" t="s">
        <v>145</v>
      </c>
      <c r="L150" s="1" t="s">
        <v>146</v>
      </c>
      <c r="M150" s="1" t="s">
        <v>1213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76</vt:i4>
      </vt:variant>
    </vt:vector>
  </HeadingPairs>
  <TitlesOfParts>
    <vt:vector size="79" baseType="lpstr">
      <vt:lpstr>Read Me</vt:lpstr>
      <vt:lpstr>Options</vt:lpstr>
      <vt:lpstr>Income Statement</vt:lpstr>
      <vt:lpstr>_____Seg1</vt:lpstr>
      <vt:lpstr>_____Seg10</vt:lpstr>
      <vt:lpstr>_____Seg2</vt:lpstr>
      <vt:lpstr>_____Seg3</vt:lpstr>
      <vt:lpstr>_____Seg4</vt:lpstr>
      <vt:lpstr>_____Seg5</vt:lpstr>
      <vt:lpstr>_____Seg6</vt:lpstr>
      <vt:lpstr>_____Seg7</vt:lpstr>
      <vt:lpstr>_____Seg8</vt:lpstr>
      <vt:lpstr>_____Seg9</vt:lpstr>
      <vt:lpstr>AssetDisposal</vt:lpstr>
      <vt:lpstr>BeforeTax</vt:lpstr>
      <vt:lpstr>COGS</vt:lpstr>
      <vt:lpstr>CurrentAssetDisposal</vt:lpstr>
      <vt:lpstr>CurrentBeforeTax</vt:lpstr>
      <vt:lpstr>CurrentCOGS</vt:lpstr>
      <vt:lpstr>CurrentDiscounts</vt:lpstr>
      <vt:lpstr>CurrentGrossProfit</vt:lpstr>
      <vt:lpstr>CurrentGrossSales</vt:lpstr>
      <vt:lpstr>CurrentNetProfit</vt:lpstr>
      <vt:lpstr>CurrentNetSales</vt:lpstr>
      <vt:lpstr>CurrentOpExp</vt:lpstr>
      <vt:lpstr>CurrentOtherExpenses</vt:lpstr>
      <vt:lpstr>CurrentOtherIncome</vt:lpstr>
      <vt:lpstr>CurrentOtherIncomeAndExp</vt:lpstr>
      <vt:lpstr>CurrentTaxExp</vt:lpstr>
      <vt:lpstr>EndPeriod</vt:lpstr>
      <vt:lpstr>FiscalYear</vt:lpstr>
      <vt:lpstr>GrossProfit</vt:lpstr>
      <vt:lpstr>GrossSales</vt:lpstr>
      <vt:lpstr>HideEmptyRows</vt:lpstr>
      <vt:lpstr>LYPAssetDisposal</vt:lpstr>
      <vt:lpstr>LYPBeforeTaxes</vt:lpstr>
      <vt:lpstr>LYPCOGS</vt:lpstr>
      <vt:lpstr>LYPGrossProfit</vt:lpstr>
      <vt:lpstr>LYPGrossSales</vt:lpstr>
      <vt:lpstr>LYPNetProfit</vt:lpstr>
      <vt:lpstr>LYPNetSales</vt:lpstr>
      <vt:lpstr>LYPOpExpenses</vt:lpstr>
      <vt:lpstr>LYPOtherExpenses</vt:lpstr>
      <vt:lpstr>LYPOtherIncome</vt:lpstr>
      <vt:lpstr>LYPOtherIncomeAndExp</vt:lpstr>
      <vt:lpstr>LYPRtns</vt:lpstr>
      <vt:lpstr>LYPTaxExpense</vt:lpstr>
      <vt:lpstr>LYTDAssetDisposal</vt:lpstr>
      <vt:lpstr>LYTDBeforeTax</vt:lpstr>
      <vt:lpstr>LYTDCOGS</vt:lpstr>
      <vt:lpstr>LYTDGrossProfit</vt:lpstr>
      <vt:lpstr>LYTDGrossSales</vt:lpstr>
      <vt:lpstr>LYTDNetProfit</vt:lpstr>
      <vt:lpstr>LYTDNetSales</vt:lpstr>
      <vt:lpstr>LYTDOpExpenses</vt:lpstr>
      <vt:lpstr>LYTDOtherExpenses</vt:lpstr>
      <vt:lpstr>LYTDOtherIncome</vt:lpstr>
      <vt:lpstr>LYTDOtherIncomeAndExp</vt:lpstr>
      <vt:lpstr>LYTDRtns</vt:lpstr>
      <vt:lpstr>LYTDTaxExpense</vt:lpstr>
      <vt:lpstr>NetProfit</vt:lpstr>
      <vt:lpstr>NetSales</vt:lpstr>
      <vt:lpstr>OperatingExpenses</vt:lpstr>
      <vt:lpstr>OtherExpenses</vt:lpstr>
      <vt:lpstr>OtherIncome</vt:lpstr>
      <vt:lpstr>OtherIncomeAndExp</vt:lpstr>
      <vt:lpstr>RtnsDiscounts</vt:lpstr>
      <vt:lpstr>Seg10Filter</vt:lpstr>
      <vt:lpstr>Seg1Filter</vt:lpstr>
      <vt:lpstr>Seg2Filter</vt:lpstr>
      <vt:lpstr>Seg3Filter</vt:lpstr>
      <vt:lpstr>Seg4Filter</vt:lpstr>
      <vt:lpstr>Seg5Filter</vt:lpstr>
      <vt:lpstr>Seg6Filter</vt:lpstr>
      <vt:lpstr>Seg7Filter</vt:lpstr>
      <vt:lpstr>Seg8Filter</vt:lpstr>
      <vt:lpstr>Seg9Filter</vt:lpstr>
      <vt:lpstr>StartPeriod</vt:lpstr>
      <vt:lpstr>TaxExpense</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GL Income Statement</dc:title>
  <dc:subject>Jet Reports</dc:subject>
  <dc:creator>Scott Oshiro</dc:creator>
  <dc:description>Intended to match the Income Statement in Dynamics GP 2010.</dc:description>
  <cp:lastModifiedBy>Kim R. Duey</cp:lastModifiedBy>
  <cp:lastPrinted>2012-12-07T23:17:13Z</cp:lastPrinted>
  <dcterms:created xsi:type="dcterms:W3CDTF">2006-03-09T22:04:51Z</dcterms:created>
  <dcterms:modified xsi:type="dcterms:W3CDTF">2018-09-25T16:57:03Z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eedsREVERT">
    <vt:lpwstr>FALSE</vt:lpwstr>
  </property>
  <property fmtid="{D5CDD505-2E9C-101B-9397-08002B2CF9AE}" pid="3" name="Jet Reports Drill Button Active">
    <vt:bool>true</vt:bool>
  </property>
  <property fmtid="{D5CDD505-2E9C-101B-9397-08002B2CF9AE}" pid="4" name="OriginalName">
    <vt:lpwstr>GP Income Statement.xls</vt:lpwstr>
  </property>
  <property fmtid="{D5CDD505-2E9C-101B-9397-08002B2CF9AE}" pid="5" name="Jet Reports Last Version Refresh">
    <vt:lpwstr>Version 7.0.1  Released 3/12/2007 3:30:53 PM</vt:lpwstr>
  </property>
  <property fmtid="{D5CDD505-2E9C-101B-9397-08002B2CF9AE}" pid="6" name="Jet Reports Design Mode Active">
    <vt:bool>false</vt:bool>
  </property>
  <property fmtid="{D5CDD505-2E9C-101B-9397-08002B2CF9AE}" pid="7" name="Jet Reports Function Literals">
    <vt:lpwstr>,	;	,	{	}	[@[{0}]]	1033</vt:lpwstr>
  </property>
</Properties>
</file>