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120" windowWidth="19035" windowHeight="11760" activeTab="2"/>
  </bookViews>
  <sheets>
    <sheet name="Read Me" sheetId="272" r:id="rId1"/>
    <sheet name="Options" sheetId="1" state="hidden" r:id="rId2"/>
    <sheet name="Report" sheetId="2" r:id="rId3"/>
    <sheet name="Sheet2" sheetId="273" state="veryHidden" r:id="rId4"/>
    <sheet name="Sheet3" sheetId="274" state="veryHidden" r:id="rId5"/>
    <sheet name="Sheet4" sheetId="275" state="veryHidden" r:id="rId6"/>
    <sheet name="Sheet5" sheetId="276" state="veryHidden" r:id="rId7"/>
    <sheet name="Sheet6" sheetId="277" state="veryHidden" r:id="rId8"/>
    <sheet name="Sheet7" sheetId="278" state="veryHidden" r:id="rId9"/>
  </sheets>
  <definedNames>
    <definedName name="_xlnm.Print_Titles" localSheetId="2">Report!$4:$14</definedName>
  </definedNames>
  <calcPr calcId="162913"/>
</workbook>
</file>

<file path=xl/calcChain.xml><?xml version="1.0" encoding="utf-8"?>
<calcChain xmlns="http://schemas.openxmlformats.org/spreadsheetml/2006/main">
  <c r="C4" i="2" l="1"/>
  <c r="C5" i="2"/>
  <c r="J9" i="2" s="1"/>
  <c r="C6" i="2"/>
  <c r="C7" i="2"/>
  <c r="C9" i="2"/>
  <c r="I9" i="2"/>
  <c r="I10" i="2"/>
  <c r="J10" i="2"/>
  <c r="I11" i="2"/>
  <c r="J11" i="2"/>
  <c r="D16" i="2"/>
  <c r="E16" i="2"/>
  <c r="G16" i="2"/>
  <c r="I16" i="2"/>
  <c r="I47" i="2" s="1"/>
  <c r="J16" i="2"/>
  <c r="F17" i="2"/>
  <c r="F18" i="2" s="1"/>
  <c r="G17" i="2"/>
  <c r="S17" i="2"/>
  <c r="G18" i="2"/>
  <c r="G19" i="2" s="1"/>
  <c r="G20" i="2" s="1"/>
  <c r="G21" i="2" s="1"/>
  <c r="G22" i="2" s="1"/>
  <c r="G23" i="2" s="1"/>
  <c r="G24" i="2" s="1"/>
  <c r="G25" i="2" s="1"/>
  <c r="G26" i="2" s="1"/>
  <c r="G27" i="2" s="1"/>
  <c r="G28" i="2" s="1"/>
  <c r="G29" i="2" s="1"/>
  <c r="G30" i="2" s="1"/>
  <c r="G31" i="2" s="1"/>
  <c r="G32" i="2" s="1"/>
  <c r="G33" i="2" s="1"/>
  <c r="G34" i="2" s="1"/>
  <c r="G35" i="2" s="1"/>
  <c r="G36" i="2" s="1"/>
  <c r="G37" i="2" s="1"/>
  <c r="G38" i="2" s="1"/>
  <c r="G39" i="2" s="1"/>
  <c r="G40" i="2" s="1"/>
  <c r="G41" i="2" s="1"/>
  <c r="G42" i="2" s="1"/>
  <c r="G43" i="2" s="1"/>
  <c r="G44" i="2" s="1"/>
  <c r="G45" i="2" s="1"/>
  <c r="K18" i="2"/>
  <c r="N18" i="2"/>
  <c r="O18" i="2"/>
  <c r="P18" i="2"/>
  <c r="K19" i="2"/>
  <c r="N19" i="2"/>
  <c r="O19" i="2"/>
  <c r="P19" i="2"/>
  <c r="K20" i="2"/>
  <c r="N20" i="2"/>
  <c r="O20" i="2"/>
  <c r="P20" i="2"/>
  <c r="K21" i="2"/>
  <c r="N21" i="2"/>
  <c r="O21" i="2"/>
  <c r="P21" i="2"/>
  <c r="K22" i="2"/>
  <c r="N22" i="2"/>
  <c r="O22" i="2"/>
  <c r="P22" i="2"/>
  <c r="K23" i="2"/>
  <c r="N23" i="2"/>
  <c r="O23" i="2"/>
  <c r="P23" i="2"/>
  <c r="K24" i="2"/>
  <c r="N24" i="2"/>
  <c r="O24" i="2"/>
  <c r="P24" i="2"/>
  <c r="K25" i="2"/>
  <c r="N25" i="2"/>
  <c r="O25" i="2"/>
  <c r="P25" i="2"/>
  <c r="K26" i="2"/>
  <c r="N26" i="2"/>
  <c r="O26" i="2"/>
  <c r="P26" i="2"/>
  <c r="K27" i="2"/>
  <c r="N27" i="2"/>
  <c r="O27" i="2"/>
  <c r="P27" i="2"/>
  <c r="K28" i="2"/>
  <c r="N28" i="2"/>
  <c r="O28" i="2"/>
  <c r="P28" i="2"/>
  <c r="K29" i="2"/>
  <c r="N29" i="2"/>
  <c r="O29" i="2"/>
  <c r="P29" i="2"/>
  <c r="K30" i="2"/>
  <c r="N30" i="2"/>
  <c r="O30" i="2"/>
  <c r="P30" i="2"/>
  <c r="K31" i="2"/>
  <c r="N31" i="2"/>
  <c r="O31" i="2"/>
  <c r="P31" i="2"/>
  <c r="K32" i="2"/>
  <c r="N32" i="2"/>
  <c r="O32" i="2"/>
  <c r="P32" i="2"/>
  <c r="K33" i="2"/>
  <c r="N33" i="2"/>
  <c r="O33" i="2"/>
  <c r="P33" i="2"/>
  <c r="K34" i="2"/>
  <c r="N34" i="2"/>
  <c r="O34" i="2"/>
  <c r="P34" i="2"/>
  <c r="K35" i="2"/>
  <c r="N35" i="2"/>
  <c r="O35" i="2"/>
  <c r="P35" i="2"/>
  <c r="K36" i="2"/>
  <c r="N36" i="2"/>
  <c r="O36" i="2"/>
  <c r="P36" i="2"/>
  <c r="K37" i="2"/>
  <c r="N37" i="2"/>
  <c r="O37" i="2"/>
  <c r="P37" i="2"/>
  <c r="K38" i="2"/>
  <c r="N38" i="2"/>
  <c r="O38" i="2"/>
  <c r="P38" i="2"/>
  <c r="K39" i="2"/>
  <c r="N39" i="2"/>
  <c r="O39" i="2"/>
  <c r="P39" i="2"/>
  <c r="K40" i="2"/>
  <c r="N40" i="2"/>
  <c r="O40" i="2"/>
  <c r="P40" i="2"/>
  <c r="K41" i="2"/>
  <c r="N41" i="2"/>
  <c r="O41" i="2"/>
  <c r="P41" i="2"/>
  <c r="K42" i="2"/>
  <c r="N42" i="2"/>
  <c r="O42" i="2"/>
  <c r="P42" i="2"/>
  <c r="K43" i="2"/>
  <c r="N43" i="2"/>
  <c r="O43" i="2"/>
  <c r="P43" i="2"/>
  <c r="K44" i="2"/>
  <c r="N44" i="2"/>
  <c r="O44" i="2"/>
  <c r="P44" i="2"/>
  <c r="K45" i="2"/>
  <c r="N45" i="2"/>
  <c r="O45" i="2"/>
  <c r="P45" i="2"/>
  <c r="G46" i="2"/>
  <c r="D49" i="2"/>
  <c r="E49" i="2"/>
  <c r="G49" i="2"/>
  <c r="I49" i="2" s="1"/>
  <c r="I89" i="2" s="1"/>
  <c r="J49" i="2"/>
  <c r="F50" i="2"/>
  <c r="F51" i="2" s="1"/>
  <c r="S50" i="2"/>
  <c r="K51" i="2"/>
  <c r="N51" i="2"/>
  <c r="O51" i="2"/>
  <c r="P51" i="2"/>
  <c r="Q51" i="2"/>
  <c r="K52" i="2"/>
  <c r="N52" i="2"/>
  <c r="O52" i="2"/>
  <c r="P52" i="2"/>
  <c r="Q52" i="2"/>
  <c r="K53" i="2"/>
  <c r="N53" i="2"/>
  <c r="O53" i="2"/>
  <c r="P53" i="2"/>
  <c r="Q53" i="2"/>
  <c r="K54" i="2"/>
  <c r="N54" i="2"/>
  <c r="O54" i="2"/>
  <c r="P54" i="2"/>
  <c r="Q54" i="2"/>
  <c r="K55" i="2"/>
  <c r="N55" i="2"/>
  <c r="O55" i="2"/>
  <c r="P55" i="2"/>
  <c r="Q55" i="2"/>
  <c r="K56" i="2"/>
  <c r="N56" i="2"/>
  <c r="O56" i="2"/>
  <c r="P56" i="2"/>
  <c r="Q56" i="2"/>
  <c r="K57" i="2"/>
  <c r="N57" i="2"/>
  <c r="O57" i="2"/>
  <c r="P57" i="2"/>
  <c r="Q57" i="2"/>
  <c r="K58" i="2"/>
  <c r="N58" i="2"/>
  <c r="O58" i="2"/>
  <c r="P58" i="2"/>
  <c r="Q58" i="2"/>
  <c r="K59" i="2"/>
  <c r="N59" i="2"/>
  <c r="O59" i="2"/>
  <c r="P59" i="2"/>
  <c r="Q59" i="2"/>
  <c r="K60" i="2"/>
  <c r="N60" i="2"/>
  <c r="O60" i="2"/>
  <c r="P60" i="2"/>
  <c r="Q60" i="2"/>
  <c r="K61" i="2"/>
  <c r="N61" i="2"/>
  <c r="O61" i="2"/>
  <c r="P61" i="2"/>
  <c r="Q61" i="2"/>
  <c r="K62" i="2"/>
  <c r="N62" i="2"/>
  <c r="O62" i="2"/>
  <c r="P62" i="2"/>
  <c r="Q62" i="2"/>
  <c r="K63" i="2"/>
  <c r="N63" i="2"/>
  <c r="O63" i="2"/>
  <c r="P63" i="2"/>
  <c r="Q63" i="2"/>
  <c r="K64" i="2"/>
  <c r="N64" i="2"/>
  <c r="O64" i="2"/>
  <c r="P64" i="2"/>
  <c r="Q64" i="2"/>
  <c r="K65" i="2"/>
  <c r="N65" i="2"/>
  <c r="O65" i="2"/>
  <c r="P65" i="2"/>
  <c r="Q65" i="2"/>
  <c r="K66" i="2"/>
  <c r="N66" i="2"/>
  <c r="O66" i="2"/>
  <c r="P66" i="2"/>
  <c r="Q66" i="2"/>
  <c r="K67" i="2"/>
  <c r="N67" i="2"/>
  <c r="O67" i="2"/>
  <c r="P67" i="2"/>
  <c r="Q67" i="2"/>
  <c r="K68" i="2"/>
  <c r="N68" i="2"/>
  <c r="O68" i="2"/>
  <c r="P68" i="2"/>
  <c r="Q68" i="2"/>
  <c r="K69" i="2"/>
  <c r="N69" i="2"/>
  <c r="O69" i="2"/>
  <c r="P69" i="2"/>
  <c r="Q69" i="2"/>
  <c r="K70" i="2"/>
  <c r="N70" i="2"/>
  <c r="O70" i="2"/>
  <c r="P70" i="2"/>
  <c r="Q70" i="2"/>
  <c r="K71" i="2"/>
  <c r="N71" i="2"/>
  <c r="O71" i="2"/>
  <c r="P71" i="2"/>
  <c r="Q71" i="2"/>
  <c r="K72" i="2"/>
  <c r="N72" i="2"/>
  <c r="O72" i="2"/>
  <c r="P72" i="2"/>
  <c r="Q72" i="2"/>
  <c r="K73" i="2"/>
  <c r="N73" i="2"/>
  <c r="O73" i="2"/>
  <c r="P73" i="2"/>
  <c r="Q73" i="2"/>
  <c r="K74" i="2"/>
  <c r="N74" i="2"/>
  <c r="O74" i="2"/>
  <c r="P74" i="2"/>
  <c r="Q74" i="2"/>
  <c r="K75" i="2"/>
  <c r="N75" i="2"/>
  <c r="O75" i="2"/>
  <c r="P75" i="2"/>
  <c r="Q75" i="2"/>
  <c r="K76" i="2"/>
  <c r="N76" i="2"/>
  <c r="O76" i="2"/>
  <c r="P76" i="2"/>
  <c r="Q76" i="2"/>
  <c r="K77" i="2"/>
  <c r="N77" i="2"/>
  <c r="O77" i="2"/>
  <c r="P77" i="2"/>
  <c r="Q77" i="2"/>
  <c r="K78" i="2"/>
  <c r="N78" i="2"/>
  <c r="O78" i="2"/>
  <c r="P78" i="2"/>
  <c r="Q78" i="2"/>
  <c r="K79" i="2"/>
  <c r="N79" i="2"/>
  <c r="O79" i="2"/>
  <c r="P79" i="2"/>
  <c r="Q79" i="2"/>
  <c r="K80" i="2"/>
  <c r="N80" i="2"/>
  <c r="O80" i="2"/>
  <c r="P80" i="2"/>
  <c r="Q80" i="2"/>
  <c r="K81" i="2"/>
  <c r="N81" i="2"/>
  <c r="O81" i="2"/>
  <c r="P81" i="2"/>
  <c r="Q81" i="2"/>
  <c r="K82" i="2"/>
  <c r="N82" i="2"/>
  <c r="O82" i="2"/>
  <c r="P82" i="2"/>
  <c r="Q82" i="2"/>
  <c r="K83" i="2"/>
  <c r="N83" i="2"/>
  <c r="O83" i="2"/>
  <c r="P83" i="2"/>
  <c r="Q83" i="2"/>
  <c r="K84" i="2"/>
  <c r="N84" i="2"/>
  <c r="O84" i="2"/>
  <c r="P84" i="2"/>
  <c r="Q84" i="2"/>
  <c r="K85" i="2"/>
  <c r="N85" i="2"/>
  <c r="O85" i="2"/>
  <c r="P85" i="2"/>
  <c r="Q85" i="2"/>
  <c r="K86" i="2"/>
  <c r="N86" i="2"/>
  <c r="O86" i="2"/>
  <c r="P86" i="2"/>
  <c r="Q86" i="2"/>
  <c r="K87" i="2"/>
  <c r="N87" i="2"/>
  <c r="O87" i="2"/>
  <c r="P87" i="2"/>
  <c r="Q87" i="2"/>
  <c r="D91" i="2"/>
  <c r="E91" i="2"/>
  <c r="G91" i="2"/>
  <c r="G92" i="2" s="1"/>
  <c r="G93" i="2" s="1"/>
  <c r="I91" i="2"/>
  <c r="J91" i="2"/>
  <c r="F92" i="2"/>
  <c r="S92" i="2"/>
  <c r="F93" i="2"/>
  <c r="K93" i="2"/>
  <c r="N93" i="2"/>
  <c r="O93" i="2"/>
  <c r="P93" i="2"/>
  <c r="Q93" i="2"/>
  <c r="F94" i="2"/>
  <c r="K94" i="2"/>
  <c r="O94" i="2"/>
  <c r="P94" i="2"/>
  <c r="F95" i="2"/>
  <c r="F96" i="2" s="1"/>
  <c r="F97" i="2" s="1"/>
  <c r="F98" i="2" s="1"/>
  <c r="F99" i="2" s="1"/>
  <c r="F100" i="2" s="1"/>
  <c r="F101" i="2" s="1"/>
  <c r="F102" i="2" s="1"/>
  <c r="F103" i="2" s="1"/>
  <c r="F104" i="2" s="1"/>
  <c r="F105" i="2" s="1"/>
  <c r="F106" i="2" s="1"/>
  <c r="F107" i="2" s="1"/>
  <c r="F108" i="2" s="1"/>
  <c r="F109" i="2" s="1"/>
  <c r="F110" i="2" s="1"/>
  <c r="F111" i="2" s="1"/>
  <c r="F112" i="2" s="1"/>
  <c r="F113" i="2" s="1"/>
  <c r="F114" i="2" s="1"/>
  <c r="F115" i="2" s="1"/>
  <c r="F116" i="2" s="1"/>
  <c r="F117" i="2" s="1"/>
  <c r="F118" i="2" s="1"/>
  <c r="F119" i="2" s="1"/>
  <c r="F120" i="2" s="1"/>
  <c r="F121" i="2" s="1"/>
  <c r="F122" i="2" s="1"/>
  <c r="F123" i="2" s="1"/>
  <c r="F124" i="2" s="1"/>
  <c r="F125" i="2" s="1"/>
  <c r="F126" i="2" s="1"/>
  <c r="F127" i="2" s="1"/>
  <c r="F128" i="2" s="1"/>
  <c r="F129" i="2" s="1"/>
  <c r="F130" i="2" s="1"/>
  <c r="F131" i="2" s="1"/>
  <c r="F132" i="2" s="1"/>
  <c r="F133" i="2" s="1"/>
  <c r="F134" i="2" s="1"/>
  <c r="K95" i="2"/>
  <c r="N95" i="2"/>
  <c r="O95" i="2"/>
  <c r="P95" i="2"/>
  <c r="Q95" i="2"/>
  <c r="K96" i="2"/>
  <c r="N96" i="2"/>
  <c r="O96" i="2"/>
  <c r="P96" i="2"/>
  <c r="Q96" i="2"/>
  <c r="K97" i="2"/>
  <c r="N97" i="2"/>
  <c r="O97" i="2"/>
  <c r="P97" i="2"/>
  <c r="Q97" i="2"/>
  <c r="K98" i="2"/>
  <c r="N98" i="2"/>
  <c r="O98" i="2"/>
  <c r="P98" i="2"/>
  <c r="Q98" i="2"/>
  <c r="K99" i="2"/>
  <c r="N99" i="2"/>
  <c r="O99" i="2"/>
  <c r="P99" i="2"/>
  <c r="Q99" i="2"/>
  <c r="K100" i="2"/>
  <c r="N100" i="2"/>
  <c r="O100" i="2"/>
  <c r="P100" i="2"/>
  <c r="Q100" i="2"/>
  <c r="K101" i="2"/>
  <c r="N101" i="2"/>
  <c r="O101" i="2"/>
  <c r="P101" i="2"/>
  <c r="Q101" i="2"/>
  <c r="K102" i="2"/>
  <c r="N102" i="2"/>
  <c r="O102" i="2"/>
  <c r="P102" i="2"/>
  <c r="Q102" i="2"/>
  <c r="K103" i="2"/>
  <c r="N103" i="2"/>
  <c r="O103" i="2"/>
  <c r="P103" i="2"/>
  <c r="Q103" i="2"/>
  <c r="K104" i="2"/>
  <c r="N104" i="2"/>
  <c r="O104" i="2"/>
  <c r="P104" i="2"/>
  <c r="Q104" i="2"/>
  <c r="K105" i="2"/>
  <c r="N105" i="2"/>
  <c r="O105" i="2"/>
  <c r="P105" i="2"/>
  <c r="Q105" i="2"/>
  <c r="K106" i="2"/>
  <c r="N106" i="2"/>
  <c r="O106" i="2"/>
  <c r="P106" i="2"/>
  <c r="Q106" i="2"/>
  <c r="K107" i="2"/>
  <c r="N107" i="2"/>
  <c r="O107" i="2"/>
  <c r="P107" i="2"/>
  <c r="Q107" i="2"/>
  <c r="K108" i="2"/>
  <c r="N108" i="2"/>
  <c r="O108" i="2"/>
  <c r="P108" i="2"/>
  <c r="Q108" i="2"/>
  <c r="K109" i="2"/>
  <c r="N109" i="2"/>
  <c r="O109" i="2"/>
  <c r="P109" i="2"/>
  <c r="Q109" i="2"/>
  <c r="K110" i="2"/>
  <c r="N110" i="2"/>
  <c r="O110" i="2"/>
  <c r="P110" i="2"/>
  <c r="Q110" i="2"/>
  <c r="K111" i="2"/>
  <c r="N111" i="2"/>
  <c r="O111" i="2"/>
  <c r="P111" i="2"/>
  <c r="Q111" i="2"/>
  <c r="K112" i="2"/>
  <c r="N112" i="2"/>
  <c r="O112" i="2"/>
  <c r="P112" i="2"/>
  <c r="Q112" i="2"/>
  <c r="K113" i="2"/>
  <c r="N113" i="2"/>
  <c r="O113" i="2"/>
  <c r="P113" i="2"/>
  <c r="Q113" i="2"/>
  <c r="K114" i="2"/>
  <c r="N114" i="2"/>
  <c r="O114" i="2"/>
  <c r="P114" i="2"/>
  <c r="Q114" i="2"/>
  <c r="K115" i="2"/>
  <c r="N115" i="2"/>
  <c r="O115" i="2"/>
  <c r="P115" i="2"/>
  <c r="Q115" i="2"/>
  <c r="K116" i="2"/>
  <c r="N116" i="2"/>
  <c r="O116" i="2"/>
  <c r="P116" i="2"/>
  <c r="Q116" i="2"/>
  <c r="K117" i="2"/>
  <c r="N117" i="2"/>
  <c r="O117" i="2"/>
  <c r="P117" i="2"/>
  <c r="Q117" i="2"/>
  <c r="K118" i="2"/>
  <c r="N118" i="2"/>
  <c r="O118" i="2"/>
  <c r="P118" i="2"/>
  <c r="Q118" i="2"/>
  <c r="K119" i="2"/>
  <c r="N119" i="2"/>
  <c r="O119" i="2"/>
  <c r="P119" i="2"/>
  <c r="Q119" i="2"/>
  <c r="K120" i="2"/>
  <c r="N120" i="2"/>
  <c r="O120" i="2"/>
  <c r="P120" i="2"/>
  <c r="Q120" i="2"/>
  <c r="K121" i="2"/>
  <c r="N121" i="2"/>
  <c r="O121" i="2"/>
  <c r="P121" i="2"/>
  <c r="Q121" i="2"/>
  <c r="K122" i="2"/>
  <c r="N122" i="2"/>
  <c r="O122" i="2"/>
  <c r="P122" i="2"/>
  <c r="Q122" i="2"/>
  <c r="K123" i="2"/>
  <c r="N123" i="2"/>
  <c r="O123" i="2"/>
  <c r="P123" i="2"/>
  <c r="Q123" i="2"/>
  <c r="K124" i="2"/>
  <c r="N124" i="2"/>
  <c r="O124" i="2"/>
  <c r="P124" i="2"/>
  <c r="Q124" i="2"/>
  <c r="K125" i="2"/>
  <c r="N125" i="2"/>
  <c r="O125" i="2"/>
  <c r="P125" i="2"/>
  <c r="Q125" i="2"/>
  <c r="K126" i="2"/>
  <c r="N126" i="2"/>
  <c r="O126" i="2"/>
  <c r="P126" i="2"/>
  <c r="Q126" i="2"/>
  <c r="K127" i="2"/>
  <c r="N127" i="2"/>
  <c r="O127" i="2"/>
  <c r="P127" i="2"/>
  <c r="Q127" i="2"/>
  <c r="K128" i="2"/>
  <c r="N128" i="2"/>
  <c r="O128" i="2"/>
  <c r="P128" i="2"/>
  <c r="Q128" i="2"/>
  <c r="K129" i="2"/>
  <c r="N129" i="2"/>
  <c r="O129" i="2"/>
  <c r="P129" i="2"/>
  <c r="Q129" i="2"/>
  <c r="K130" i="2"/>
  <c r="N130" i="2"/>
  <c r="O130" i="2"/>
  <c r="P130" i="2"/>
  <c r="Q130" i="2"/>
  <c r="K131" i="2"/>
  <c r="N131" i="2"/>
  <c r="O131" i="2"/>
  <c r="P131" i="2"/>
  <c r="Q131" i="2"/>
  <c r="K132" i="2"/>
  <c r="N132" i="2"/>
  <c r="O132" i="2"/>
  <c r="P132" i="2"/>
  <c r="Q132" i="2"/>
  <c r="K133" i="2"/>
  <c r="N133" i="2"/>
  <c r="O133" i="2"/>
  <c r="P133" i="2"/>
  <c r="Q133" i="2"/>
  <c r="K134" i="2"/>
  <c r="N134" i="2"/>
  <c r="O134" i="2"/>
  <c r="P134" i="2"/>
  <c r="Q134" i="2"/>
  <c r="F135" i="2"/>
  <c r="I136" i="2"/>
  <c r="D138" i="2"/>
  <c r="E138" i="2"/>
  <c r="G138" i="2"/>
  <c r="G139" i="2" s="1"/>
  <c r="G140" i="2" s="1"/>
  <c r="I138" i="2"/>
  <c r="J138" i="2"/>
  <c r="F139" i="2"/>
  <c r="S139" i="2"/>
  <c r="F140" i="2"/>
  <c r="F141" i="2" s="1"/>
  <c r="F142" i="2" s="1"/>
  <c r="F143" i="2" s="1"/>
  <c r="F144" i="2" s="1"/>
  <c r="F145" i="2" s="1"/>
  <c r="K140" i="2"/>
  <c r="N140" i="2"/>
  <c r="O140" i="2"/>
  <c r="P140" i="2"/>
  <c r="Q140" i="2"/>
  <c r="K141" i="2"/>
  <c r="N141" i="2"/>
  <c r="O141" i="2"/>
  <c r="P141" i="2"/>
  <c r="Q141" i="2"/>
  <c r="K142" i="2"/>
  <c r="N142" i="2"/>
  <c r="O142" i="2"/>
  <c r="P142" i="2"/>
  <c r="Q142" i="2"/>
  <c r="K143" i="2"/>
  <c r="N143" i="2"/>
  <c r="O143" i="2"/>
  <c r="P143" i="2"/>
  <c r="Q143" i="2"/>
  <c r="K144" i="2"/>
  <c r="N144" i="2"/>
  <c r="O144" i="2"/>
  <c r="P144" i="2"/>
  <c r="Q144" i="2"/>
  <c r="K145" i="2"/>
  <c r="N145" i="2"/>
  <c r="O145" i="2"/>
  <c r="P145" i="2"/>
  <c r="Q145" i="2"/>
  <c r="I147" i="2"/>
  <c r="D149" i="2"/>
  <c r="E149" i="2"/>
  <c r="G149" i="2"/>
  <c r="G150" i="2" s="1"/>
  <c r="G151" i="2" s="1"/>
  <c r="I149" i="2"/>
  <c r="J149" i="2"/>
  <c r="F150" i="2"/>
  <c r="S150" i="2"/>
  <c r="F151" i="2"/>
  <c r="F161" i="2" s="1"/>
  <c r="K151" i="2"/>
  <c r="N151" i="2"/>
  <c r="O151" i="2"/>
  <c r="P151" i="2"/>
  <c r="Q151" i="2"/>
  <c r="K152" i="2"/>
  <c r="N152" i="2"/>
  <c r="O152" i="2"/>
  <c r="P152" i="2"/>
  <c r="Q152" i="2"/>
  <c r="K153" i="2"/>
  <c r="N153" i="2"/>
  <c r="O153" i="2"/>
  <c r="P153" i="2"/>
  <c r="Q153" i="2"/>
  <c r="K154" i="2"/>
  <c r="N154" i="2"/>
  <c r="O154" i="2"/>
  <c r="P154" i="2"/>
  <c r="Q154" i="2"/>
  <c r="K155" i="2"/>
  <c r="N155" i="2"/>
  <c r="O155" i="2"/>
  <c r="P155" i="2"/>
  <c r="Q155" i="2"/>
  <c r="K156" i="2"/>
  <c r="N156" i="2"/>
  <c r="O156" i="2"/>
  <c r="P156" i="2"/>
  <c r="Q156" i="2"/>
  <c r="K157" i="2"/>
  <c r="N157" i="2"/>
  <c r="O157" i="2"/>
  <c r="P157" i="2"/>
  <c r="Q157" i="2"/>
  <c r="K158" i="2"/>
  <c r="N158" i="2"/>
  <c r="O158" i="2"/>
  <c r="P158" i="2"/>
  <c r="Q158" i="2"/>
  <c r="K159" i="2"/>
  <c r="N159" i="2"/>
  <c r="O159" i="2"/>
  <c r="P159" i="2"/>
  <c r="Q159" i="2"/>
  <c r="K160" i="2"/>
  <c r="N160" i="2"/>
  <c r="O160" i="2"/>
  <c r="P160" i="2"/>
  <c r="Q160" i="2"/>
  <c r="I162" i="2"/>
  <c r="D164" i="2"/>
  <c r="E164" i="2"/>
  <c r="G164" i="2"/>
  <c r="G165" i="2" s="1"/>
  <c r="G166" i="2" s="1"/>
  <c r="G167" i="2" s="1"/>
  <c r="J164" i="2"/>
  <c r="F165" i="2"/>
  <c r="F166" i="2" s="1"/>
  <c r="F167" i="2" s="1"/>
  <c r="S165" i="2"/>
  <c r="K166" i="2"/>
  <c r="N166" i="2"/>
  <c r="O166" i="2"/>
  <c r="P166" i="2"/>
  <c r="Q166" i="2"/>
  <c r="D170" i="2"/>
  <c r="E170" i="2"/>
  <c r="G170" i="2"/>
  <c r="G171" i="2" s="1"/>
  <c r="G172" i="2" s="1"/>
  <c r="I170" i="2"/>
  <c r="J170" i="2"/>
  <c r="F171" i="2"/>
  <c r="F172" i="2" s="1"/>
  <c r="S171" i="2"/>
  <c r="K172" i="2"/>
  <c r="N172" i="2"/>
  <c r="O172" i="2"/>
  <c r="P172" i="2"/>
  <c r="Q172" i="2"/>
  <c r="K173" i="2"/>
  <c r="N173" i="2"/>
  <c r="O173" i="2"/>
  <c r="P173" i="2"/>
  <c r="Q173" i="2"/>
  <c r="K174" i="2"/>
  <c r="N174" i="2"/>
  <c r="O174" i="2"/>
  <c r="P174" i="2"/>
  <c r="Q174" i="2"/>
  <c r="K175" i="2"/>
  <c r="N175" i="2"/>
  <c r="O175" i="2"/>
  <c r="P175" i="2"/>
  <c r="Q175" i="2"/>
  <c r="K176" i="2"/>
  <c r="N176" i="2"/>
  <c r="O176" i="2"/>
  <c r="P176" i="2"/>
  <c r="Q176" i="2"/>
  <c r="K177" i="2"/>
  <c r="N177" i="2"/>
  <c r="O177" i="2"/>
  <c r="P177" i="2"/>
  <c r="Q177" i="2"/>
  <c r="K178" i="2"/>
  <c r="N178" i="2"/>
  <c r="O178" i="2"/>
  <c r="P178" i="2"/>
  <c r="Q178" i="2"/>
  <c r="K179" i="2"/>
  <c r="N179" i="2"/>
  <c r="O179" i="2"/>
  <c r="P179" i="2"/>
  <c r="Q179" i="2"/>
  <c r="K180" i="2"/>
  <c r="N180" i="2"/>
  <c r="O180" i="2"/>
  <c r="P180" i="2"/>
  <c r="Q180" i="2"/>
  <c r="K181" i="2"/>
  <c r="N181" i="2"/>
  <c r="O181" i="2"/>
  <c r="P181" i="2"/>
  <c r="Q181" i="2"/>
  <c r="K182" i="2"/>
  <c r="N182" i="2"/>
  <c r="O182" i="2"/>
  <c r="P182" i="2"/>
  <c r="Q182" i="2"/>
  <c r="K183" i="2"/>
  <c r="N183" i="2"/>
  <c r="O183" i="2"/>
  <c r="P183" i="2"/>
  <c r="Q183" i="2"/>
  <c r="K184" i="2"/>
  <c r="N184" i="2"/>
  <c r="O184" i="2"/>
  <c r="P184" i="2"/>
  <c r="Q184" i="2"/>
  <c r="K185" i="2"/>
  <c r="N185" i="2"/>
  <c r="O185" i="2"/>
  <c r="P185" i="2"/>
  <c r="Q185" i="2"/>
  <c r="K186" i="2"/>
  <c r="N186" i="2"/>
  <c r="O186" i="2"/>
  <c r="P186" i="2"/>
  <c r="Q186" i="2"/>
  <c r="K187" i="2"/>
  <c r="N187" i="2"/>
  <c r="O187" i="2"/>
  <c r="P187" i="2"/>
  <c r="Q187" i="2"/>
  <c r="K188" i="2"/>
  <c r="N188" i="2"/>
  <c r="O188" i="2"/>
  <c r="P188" i="2"/>
  <c r="Q188" i="2"/>
  <c r="K189" i="2"/>
  <c r="N189" i="2"/>
  <c r="O189" i="2"/>
  <c r="P189" i="2"/>
  <c r="Q189" i="2"/>
  <c r="K190" i="2"/>
  <c r="N190" i="2"/>
  <c r="O190" i="2"/>
  <c r="P190" i="2"/>
  <c r="Q190" i="2"/>
  <c r="K191" i="2"/>
  <c r="N191" i="2"/>
  <c r="O191" i="2"/>
  <c r="P191" i="2"/>
  <c r="Q191" i="2"/>
  <c r="K192" i="2"/>
  <c r="N192" i="2"/>
  <c r="O192" i="2"/>
  <c r="P192" i="2"/>
  <c r="Q192" i="2"/>
  <c r="K193" i="2"/>
  <c r="N193" i="2"/>
  <c r="O193" i="2"/>
  <c r="P193" i="2"/>
  <c r="Q193" i="2"/>
  <c r="K194" i="2"/>
  <c r="N194" i="2"/>
  <c r="O194" i="2"/>
  <c r="P194" i="2"/>
  <c r="Q194" i="2"/>
  <c r="K195" i="2"/>
  <c r="N195" i="2"/>
  <c r="O195" i="2"/>
  <c r="P195" i="2"/>
  <c r="Q195" i="2"/>
  <c r="K196" i="2"/>
  <c r="N196" i="2"/>
  <c r="O196" i="2"/>
  <c r="P196" i="2"/>
  <c r="Q196" i="2"/>
  <c r="K197" i="2"/>
  <c r="N197" i="2"/>
  <c r="O197" i="2"/>
  <c r="P197" i="2"/>
  <c r="Q197" i="2"/>
  <c r="K198" i="2"/>
  <c r="N198" i="2"/>
  <c r="O198" i="2"/>
  <c r="P198" i="2"/>
  <c r="Q198" i="2"/>
  <c r="K199" i="2"/>
  <c r="N199" i="2"/>
  <c r="O199" i="2"/>
  <c r="P199" i="2"/>
  <c r="Q199" i="2"/>
  <c r="K200" i="2"/>
  <c r="N200" i="2"/>
  <c r="O200" i="2"/>
  <c r="P200" i="2"/>
  <c r="Q200" i="2"/>
  <c r="K201" i="2"/>
  <c r="N201" i="2"/>
  <c r="O201" i="2"/>
  <c r="P201" i="2"/>
  <c r="Q201" i="2"/>
  <c r="K202" i="2"/>
  <c r="N202" i="2"/>
  <c r="O202" i="2"/>
  <c r="P202" i="2"/>
  <c r="Q202" i="2"/>
  <c r="K203" i="2"/>
  <c r="N203" i="2"/>
  <c r="O203" i="2"/>
  <c r="P203" i="2"/>
  <c r="Q203" i="2"/>
  <c r="K204" i="2"/>
  <c r="N204" i="2"/>
  <c r="O204" i="2"/>
  <c r="P204" i="2"/>
  <c r="Q204" i="2"/>
  <c r="K205" i="2"/>
  <c r="N205" i="2"/>
  <c r="O205" i="2"/>
  <c r="P205" i="2"/>
  <c r="Q205" i="2"/>
  <c r="K206" i="2"/>
  <c r="N206" i="2"/>
  <c r="O206" i="2"/>
  <c r="P206" i="2"/>
  <c r="Q206" i="2"/>
  <c r="K207" i="2"/>
  <c r="N207" i="2"/>
  <c r="O207" i="2"/>
  <c r="P207" i="2"/>
  <c r="Q207" i="2"/>
  <c r="K208" i="2"/>
  <c r="N208" i="2"/>
  <c r="O208" i="2"/>
  <c r="P208" i="2"/>
  <c r="Q208" i="2"/>
  <c r="I210" i="2"/>
  <c r="D212" i="2"/>
  <c r="E212" i="2"/>
  <c r="G212" i="2"/>
  <c r="G213" i="2" s="1"/>
  <c r="G214" i="2" s="1"/>
  <c r="J212" i="2"/>
  <c r="F213" i="2"/>
  <c r="F214" i="2" s="1"/>
  <c r="S213" i="2"/>
  <c r="K214" i="2"/>
  <c r="N214" i="2"/>
  <c r="O214" i="2"/>
  <c r="P214" i="2"/>
  <c r="K215" i="2"/>
  <c r="N215" i="2"/>
  <c r="O215" i="2"/>
  <c r="P215" i="2"/>
  <c r="K216" i="2"/>
  <c r="N216" i="2"/>
  <c r="O216" i="2"/>
  <c r="P216" i="2"/>
  <c r="K217" i="2"/>
  <c r="N217" i="2"/>
  <c r="O217" i="2"/>
  <c r="P217" i="2"/>
  <c r="K218" i="2"/>
  <c r="N218" i="2"/>
  <c r="O218" i="2"/>
  <c r="P218" i="2"/>
  <c r="K219" i="2"/>
  <c r="N219" i="2"/>
  <c r="O219" i="2"/>
  <c r="P219" i="2"/>
  <c r="K220" i="2"/>
  <c r="N220" i="2"/>
  <c r="O220" i="2"/>
  <c r="P220" i="2"/>
  <c r="K221" i="2"/>
  <c r="N221" i="2"/>
  <c r="O221" i="2"/>
  <c r="P221" i="2"/>
  <c r="K222" i="2"/>
  <c r="N222" i="2"/>
  <c r="O222" i="2"/>
  <c r="P222" i="2"/>
  <c r="K223" i="2"/>
  <c r="N223" i="2"/>
  <c r="O223" i="2"/>
  <c r="P223" i="2"/>
  <c r="K224" i="2"/>
  <c r="N224" i="2"/>
  <c r="O224" i="2"/>
  <c r="P224" i="2"/>
  <c r="K225" i="2"/>
  <c r="N225" i="2"/>
  <c r="O225" i="2"/>
  <c r="P225" i="2"/>
  <c r="K226" i="2"/>
  <c r="N226" i="2"/>
  <c r="O226" i="2"/>
  <c r="P226" i="2"/>
  <c r="K227" i="2"/>
  <c r="N227" i="2"/>
  <c r="O227" i="2"/>
  <c r="P227" i="2"/>
  <c r="K228" i="2"/>
  <c r="N228" i="2"/>
  <c r="O228" i="2"/>
  <c r="P228" i="2"/>
  <c r="K229" i="2"/>
  <c r="N229" i="2"/>
  <c r="O229" i="2"/>
  <c r="P229" i="2"/>
  <c r="K230" i="2"/>
  <c r="N230" i="2"/>
  <c r="O230" i="2"/>
  <c r="P230" i="2"/>
  <c r="K231" i="2"/>
  <c r="N231" i="2"/>
  <c r="O231" i="2"/>
  <c r="P231" i="2"/>
  <c r="K232" i="2"/>
  <c r="N232" i="2"/>
  <c r="O232" i="2"/>
  <c r="P232" i="2"/>
  <c r="K233" i="2"/>
  <c r="N233" i="2"/>
  <c r="O233" i="2"/>
  <c r="P233" i="2"/>
  <c r="K234" i="2"/>
  <c r="N234" i="2"/>
  <c r="O234" i="2"/>
  <c r="P234" i="2"/>
  <c r="K235" i="2"/>
  <c r="N235" i="2"/>
  <c r="O235" i="2"/>
  <c r="P235" i="2"/>
  <c r="K236" i="2"/>
  <c r="N236" i="2"/>
  <c r="O236" i="2"/>
  <c r="P236" i="2"/>
  <c r="K237" i="2"/>
  <c r="N237" i="2"/>
  <c r="O237" i="2"/>
  <c r="P237" i="2"/>
  <c r="K238" i="2"/>
  <c r="N238" i="2"/>
  <c r="O238" i="2"/>
  <c r="P238" i="2"/>
  <c r="K239" i="2"/>
  <c r="N239" i="2"/>
  <c r="O239" i="2"/>
  <c r="P239" i="2"/>
  <c r="K240" i="2"/>
  <c r="N240" i="2"/>
  <c r="O240" i="2"/>
  <c r="P240" i="2"/>
  <c r="K241" i="2"/>
  <c r="N241" i="2"/>
  <c r="O241" i="2"/>
  <c r="P241" i="2"/>
  <c r="D245" i="2"/>
  <c r="E245" i="2"/>
  <c r="G245" i="2"/>
  <c r="I245" i="2"/>
  <c r="J245" i="2"/>
  <c r="F246" i="2"/>
  <c r="G246" i="2"/>
  <c r="G247" i="2" s="1"/>
  <c r="S246" i="2"/>
  <c r="F247" i="2"/>
  <c r="F274" i="2" s="1"/>
  <c r="K247" i="2"/>
  <c r="N247" i="2"/>
  <c r="O247" i="2"/>
  <c r="P247" i="2"/>
  <c r="K248" i="2"/>
  <c r="N248" i="2"/>
  <c r="O248" i="2"/>
  <c r="P248" i="2"/>
  <c r="K249" i="2"/>
  <c r="N249" i="2"/>
  <c r="O249" i="2"/>
  <c r="P249" i="2"/>
  <c r="K250" i="2"/>
  <c r="N250" i="2"/>
  <c r="O250" i="2"/>
  <c r="P250" i="2"/>
  <c r="K251" i="2"/>
  <c r="N251" i="2"/>
  <c r="O251" i="2"/>
  <c r="P251" i="2"/>
  <c r="K252" i="2"/>
  <c r="N252" i="2"/>
  <c r="O252" i="2"/>
  <c r="P252" i="2"/>
  <c r="K253" i="2"/>
  <c r="N253" i="2"/>
  <c r="O253" i="2"/>
  <c r="P253" i="2"/>
  <c r="K254" i="2"/>
  <c r="N254" i="2"/>
  <c r="O254" i="2"/>
  <c r="P254" i="2"/>
  <c r="K255" i="2"/>
  <c r="N255" i="2"/>
  <c r="O255" i="2"/>
  <c r="P255" i="2"/>
  <c r="K256" i="2"/>
  <c r="N256" i="2"/>
  <c r="O256" i="2"/>
  <c r="P256" i="2"/>
  <c r="K257" i="2"/>
  <c r="N257" i="2"/>
  <c r="O257" i="2"/>
  <c r="P257" i="2"/>
  <c r="K258" i="2"/>
  <c r="N258" i="2"/>
  <c r="O258" i="2"/>
  <c r="P258" i="2"/>
  <c r="K259" i="2"/>
  <c r="N259" i="2"/>
  <c r="O259" i="2"/>
  <c r="P259" i="2"/>
  <c r="K260" i="2"/>
  <c r="N260" i="2"/>
  <c r="O260" i="2"/>
  <c r="P260" i="2"/>
  <c r="K261" i="2"/>
  <c r="N261" i="2"/>
  <c r="O261" i="2"/>
  <c r="P261" i="2"/>
  <c r="K262" i="2"/>
  <c r="N262" i="2"/>
  <c r="O262" i="2"/>
  <c r="P262" i="2"/>
  <c r="K263" i="2"/>
  <c r="N263" i="2"/>
  <c r="O263" i="2"/>
  <c r="P263" i="2"/>
  <c r="K264" i="2"/>
  <c r="N264" i="2"/>
  <c r="O264" i="2"/>
  <c r="P264" i="2"/>
  <c r="K265" i="2"/>
  <c r="N265" i="2"/>
  <c r="O265" i="2"/>
  <c r="P265" i="2"/>
  <c r="K266" i="2"/>
  <c r="N266" i="2"/>
  <c r="O266" i="2"/>
  <c r="P266" i="2"/>
  <c r="K267" i="2"/>
  <c r="N267" i="2"/>
  <c r="O267" i="2"/>
  <c r="P267" i="2"/>
  <c r="K268" i="2"/>
  <c r="N268" i="2"/>
  <c r="O268" i="2"/>
  <c r="P268" i="2"/>
  <c r="K269" i="2"/>
  <c r="N269" i="2"/>
  <c r="O269" i="2"/>
  <c r="P269" i="2"/>
  <c r="K270" i="2"/>
  <c r="N270" i="2"/>
  <c r="O270" i="2"/>
  <c r="P270" i="2"/>
  <c r="K271" i="2"/>
  <c r="N271" i="2"/>
  <c r="O271" i="2"/>
  <c r="P271" i="2"/>
  <c r="K272" i="2"/>
  <c r="N272" i="2"/>
  <c r="O272" i="2"/>
  <c r="P272" i="2"/>
  <c r="K273" i="2"/>
  <c r="N273" i="2"/>
  <c r="O273" i="2"/>
  <c r="P273" i="2"/>
  <c r="I275" i="2"/>
  <c r="D277" i="2"/>
  <c r="E277" i="2"/>
  <c r="G277" i="2"/>
  <c r="G278" i="2" s="1"/>
  <c r="G279" i="2" s="1"/>
  <c r="I277" i="2"/>
  <c r="J277" i="2"/>
  <c r="F278" i="2"/>
  <c r="F279" i="2" s="1"/>
  <c r="S278" i="2"/>
  <c r="K279" i="2"/>
  <c r="N279" i="2"/>
  <c r="O279" i="2"/>
  <c r="P279" i="2"/>
  <c r="K280" i="2"/>
  <c r="N280" i="2"/>
  <c r="O280" i="2"/>
  <c r="P280" i="2"/>
  <c r="K281" i="2"/>
  <c r="N281" i="2"/>
  <c r="O281" i="2"/>
  <c r="P281" i="2"/>
  <c r="K282" i="2"/>
  <c r="N282" i="2"/>
  <c r="O282" i="2"/>
  <c r="P282" i="2"/>
  <c r="K283" i="2"/>
  <c r="N283" i="2"/>
  <c r="O283" i="2"/>
  <c r="P283" i="2"/>
  <c r="K284" i="2"/>
  <c r="N284" i="2"/>
  <c r="O284" i="2"/>
  <c r="P284" i="2"/>
  <c r="K285" i="2"/>
  <c r="N285" i="2"/>
  <c r="O285" i="2"/>
  <c r="P285" i="2"/>
  <c r="K286" i="2"/>
  <c r="N286" i="2"/>
  <c r="O286" i="2"/>
  <c r="P286" i="2"/>
  <c r="K287" i="2"/>
  <c r="N287" i="2"/>
  <c r="O287" i="2"/>
  <c r="P287" i="2"/>
  <c r="K288" i="2"/>
  <c r="N288" i="2"/>
  <c r="O288" i="2"/>
  <c r="P288" i="2"/>
  <c r="K289" i="2"/>
  <c r="N289" i="2"/>
  <c r="O289" i="2"/>
  <c r="P289" i="2"/>
  <c r="K290" i="2"/>
  <c r="N290" i="2"/>
  <c r="O290" i="2"/>
  <c r="P290" i="2"/>
  <c r="K291" i="2"/>
  <c r="N291" i="2"/>
  <c r="O291" i="2"/>
  <c r="P291" i="2"/>
  <c r="K292" i="2"/>
  <c r="N292" i="2"/>
  <c r="O292" i="2"/>
  <c r="P292" i="2"/>
  <c r="K293" i="2"/>
  <c r="N293" i="2"/>
  <c r="O293" i="2"/>
  <c r="P293" i="2"/>
  <c r="K294" i="2"/>
  <c r="N294" i="2"/>
  <c r="O294" i="2"/>
  <c r="P294" i="2"/>
  <c r="K295" i="2"/>
  <c r="N295" i="2"/>
  <c r="O295" i="2"/>
  <c r="P295" i="2"/>
  <c r="K296" i="2"/>
  <c r="N296" i="2"/>
  <c r="O296" i="2"/>
  <c r="P296" i="2"/>
  <c r="K297" i="2"/>
  <c r="N297" i="2"/>
  <c r="O297" i="2"/>
  <c r="P297" i="2"/>
  <c r="K298" i="2"/>
  <c r="N298" i="2"/>
  <c r="O298" i="2"/>
  <c r="P298" i="2"/>
  <c r="K299" i="2"/>
  <c r="N299" i="2"/>
  <c r="O299" i="2"/>
  <c r="P299" i="2"/>
  <c r="K300" i="2"/>
  <c r="N300" i="2"/>
  <c r="O300" i="2"/>
  <c r="P300" i="2"/>
  <c r="K301" i="2"/>
  <c r="N301" i="2"/>
  <c r="O301" i="2"/>
  <c r="P301" i="2"/>
  <c r="K302" i="2"/>
  <c r="N302" i="2"/>
  <c r="O302" i="2"/>
  <c r="P302" i="2"/>
  <c r="K303" i="2"/>
  <c r="N303" i="2"/>
  <c r="O303" i="2"/>
  <c r="P303" i="2"/>
  <c r="K304" i="2"/>
  <c r="N304" i="2"/>
  <c r="O304" i="2"/>
  <c r="P304" i="2"/>
  <c r="K305" i="2"/>
  <c r="N305" i="2"/>
  <c r="O305" i="2"/>
  <c r="P305" i="2"/>
  <c r="K306" i="2"/>
  <c r="N306" i="2"/>
  <c r="O306" i="2"/>
  <c r="P306" i="2"/>
  <c r="I308" i="2"/>
  <c r="D310" i="2"/>
  <c r="E310" i="2"/>
  <c r="G310" i="2"/>
  <c r="I310" i="2"/>
  <c r="J310" i="2"/>
  <c r="I341" i="2" s="1"/>
  <c r="F311" i="2"/>
  <c r="G311" i="2"/>
  <c r="G312" i="2" s="1"/>
  <c r="S311" i="2"/>
  <c r="F312" i="2"/>
  <c r="F313" i="2" s="1"/>
  <c r="F314" i="2" s="1"/>
  <c r="F315" i="2" s="1"/>
  <c r="F316" i="2" s="1"/>
  <c r="F317" i="2" s="1"/>
  <c r="F318" i="2" s="1"/>
  <c r="F319" i="2" s="1"/>
  <c r="F320" i="2" s="1"/>
  <c r="F321" i="2" s="1"/>
  <c r="F322" i="2" s="1"/>
  <c r="F323" i="2" s="1"/>
  <c r="F324" i="2" s="1"/>
  <c r="F325" i="2" s="1"/>
  <c r="F326" i="2" s="1"/>
  <c r="F327" i="2" s="1"/>
  <c r="F328" i="2" s="1"/>
  <c r="F329" i="2" s="1"/>
  <c r="F330" i="2" s="1"/>
  <c r="F331" i="2" s="1"/>
  <c r="F332" i="2" s="1"/>
  <c r="F333" i="2" s="1"/>
  <c r="F334" i="2" s="1"/>
  <c r="F335" i="2" s="1"/>
  <c r="F336" i="2" s="1"/>
  <c r="F337" i="2" s="1"/>
  <c r="F338" i="2" s="1"/>
  <c r="F339" i="2" s="1"/>
  <c r="K312" i="2"/>
  <c r="N312" i="2"/>
  <c r="O312" i="2"/>
  <c r="P312" i="2"/>
  <c r="K313" i="2"/>
  <c r="N313" i="2"/>
  <c r="O313" i="2"/>
  <c r="P313" i="2"/>
  <c r="K314" i="2"/>
  <c r="N314" i="2"/>
  <c r="O314" i="2"/>
  <c r="P314" i="2"/>
  <c r="K315" i="2"/>
  <c r="N315" i="2"/>
  <c r="O315" i="2"/>
  <c r="P315" i="2"/>
  <c r="K316" i="2"/>
  <c r="N316" i="2"/>
  <c r="O316" i="2"/>
  <c r="P316" i="2"/>
  <c r="K317" i="2"/>
  <c r="N317" i="2"/>
  <c r="O317" i="2"/>
  <c r="P317" i="2"/>
  <c r="K318" i="2"/>
  <c r="N318" i="2"/>
  <c r="O318" i="2"/>
  <c r="P318" i="2"/>
  <c r="K319" i="2"/>
  <c r="N319" i="2"/>
  <c r="O319" i="2"/>
  <c r="P319" i="2"/>
  <c r="K320" i="2"/>
  <c r="N320" i="2"/>
  <c r="O320" i="2"/>
  <c r="P320" i="2"/>
  <c r="K321" i="2"/>
  <c r="N321" i="2"/>
  <c r="O321" i="2"/>
  <c r="P321" i="2"/>
  <c r="K322" i="2"/>
  <c r="N322" i="2"/>
  <c r="O322" i="2"/>
  <c r="P322" i="2"/>
  <c r="K323" i="2"/>
  <c r="N323" i="2"/>
  <c r="O323" i="2"/>
  <c r="P323" i="2"/>
  <c r="K324" i="2"/>
  <c r="N324" i="2"/>
  <c r="O324" i="2"/>
  <c r="P324" i="2"/>
  <c r="K325" i="2"/>
  <c r="N325" i="2"/>
  <c r="O325" i="2"/>
  <c r="P325" i="2"/>
  <c r="K326" i="2"/>
  <c r="N326" i="2"/>
  <c r="O326" i="2"/>
  <c r="P326" i="2"/>
  <c r="K327" i="2"/>
  <c r="N327" i="2"/>
  <c r="O327" i="2"/>
  <c r="P327" i="2"/>
  <c r="K328" i="2"/>
  <c r="N328" i="2"/>
  <c r="O328" i="2"/>
  <c r="P328" i="2"/>
  <c r="K329" i="2"/>
  <c r="N329" i="2"/>
  <c r="O329" i="2"/>
  <c r="P329" i="2"/>
  <c r="K330" i="2"/>
  <c r="N330" i="2"/>
  <c r="O330" i="2"/>
  <c r="P330" i="2"/>
  <c r="K331" i="2"/>
  <c r="N331" i="2"/>
  <c r="O331" i="2"/>
  <c r="P331" i="2"/>
  <c r="K332" i="2"/>
  <c r="N332" i="2"/>
  <c r="O332" i="2"/>
  <c r="P332" i="2"/>
  <c r="K333" i="2"/>
  <c r="N333" i="2"/>
  <c r="O333" i="2"/>
  <c r="P333" i="2"/>
  <c r="K334" i="2"/>
  <c r="N334" i="2"/>
  <c r="O334" i="2"/>
  <c r="P334" i="2"/>
  <c r="K335" i="2"/>
  <c r="N335" i="2"/>
  <c r="O335" i="2"/>
  <c r="P335" i="2"/>
  <c r="K336" i="2"/>
  <c r="N336" i="2"/>
  <c r="O336" i="2"/>
  <c r="P336" i="2"/>
  <c r="K337" i="2"/>
  <c r="N337" i="2"/>
  <c r="O337" i="2"/>
  <c r="P337" i="2"/>
  <c r="K338" i="2"/>
  <c r="N338" i="2"/>
  <c r="O338" i="2"/>
  <c r="P338" i="2"/>
  <c r="K339" i="2"/>
  <c r="N339" i="2"/>
  <c r="O339" i="2"/>
  <c r="P339" i="2"/>
  <c r="F340" i="2"/>
  <c r="D343" i="2"/>
  <c r="E343" i="2"/>
  <c r="G343" i="2"/>
  <c r="G344" i="2" s="1"/>
  <c r="I343" i="2"/>
  <c r="J343" i="2"/>
  <c r="F344" i="2"/>
  <c r="S344" i="2"/>
  <c r="F345" i="2"/>
  <c r="F346" i="2" s="1"/>
  <c r="F347" i="2" s="1"/>
  <c r="G345" i="2"/>
  <c r="G346" i="2" s="1"/>
  <c r="G347" i="2" s="1"/>
  <c r="G348" i="2" s="1"/>
  <c r="G349" i="2" s="1"/>
  <c r="G350" i="2" s="1"/>
  <c r="G351" i="2" s="1"/>
  <c r="G352" i="2" s="1"/>
  <c r="G353" i="2" s="1"/>
  <c r="G354" i="2" s="1"/>
  <c r="G355" i="2" s="1"/>
  <c r="G356" i="2" s="1"/>
  <c r="G357" i="2" s="1"/>
  <c r="G358" i="2" s="1"/>
  <c r="G359" i="2" s="1"/>
  <c r="G360" i="2" s="1"/>
  <c r="G361" i="2" s="1"/>
  <c r="G362" i="2" s="1"/>
  <c r="G363" i="2" s="1"/>
  <c r="G364" i="2" s="1"/>
  <c r="K345" i="2"/>
  <c r="N345" i="2"/>
  <c r="O345" i="2"/>
  <c r="P345" i="2"/>
  <c r="Q345" i="2"/>
  <c r="K346" i="2"/>
  <c r="N346" i="2"/>
  <c r="O346" i="2"/>
  <c r="P346" i="2"/>
  <c r="Q346" i="2"/>
  <c r="K347" i="2"/>
  <c r="N347" i="2"/>
  <c r="O347" i="2"/>
  <c r="P347" i="2"/>
  <c r="Q347" i="2"/>
  <c r="F348" i="2"/>
  <c r="F349" i="2" s="1"/>
  <c r="F350" i="2" s="1"/>
  <c r="F351" i="2" s="1"/>
  <c r="F352" i="2" s="1"/>
  <c r="F353" i="2" s="1"/>
  <c r="F354" i="2" s="1"/>
  <c r="F355" i="2" s="1"/>
  <c r="F356" i="2" s="1"/>
  <c r="F357" i="2" s="1"/>
  <c r="F358" i="2" s="1"/>
  <c r="F359" i="2" s="1"/>
  <c r="F360" i="2" s="1"/>
  <c r="F361" i="2" s="1"/>
  <c r="F362" i="2" s="1"/>
  <c r="F363" i="2" s="1"/>
  <c r="F364" i="2" s="1"/>
  <c r="K348" i="2"/>
  <c r="N348" i="2"/>
  <c r="O348" i="2"/>
  <c r="P348" i="2"/>
  <c r="Q348" i="2"/>
  <c r="K349" i="2"/>
  <c r="N349" i="2"/>
  <c r="O349" i="2"/>
  <c r="P349" i="2"/>
  <c r="Q349" i="2"/>
  <c r="K350" i="2"/>
  <c r="N350" i="2"/>
  <c r="O350" i="2"/>
  <c r="P350" i="2"/>
  <c r="Q350" i="2"/>
  <c r="K351" i="2"/>
  <c r="N351" i="2"/>
  <c r="O351" i="2"/>
  <c r="P351" i="2"/>
  <c r="Q351" i="2"/>
  <c r="K352" i="2"/>
  <c r="N352" i="2"/>
  <c r="O352" i="2"/>
  <c r="P352" i="2"/>
  <c r="Q352" i="2"/>
  <c r="K353" i="2"/>
  <c r="N353" i="2"/>
  <c r="O353" i="2"/>
  <c r="P353" i="2"/>
  <c r="Q353" i="2"/>
  <c r="K354" i="2"/>
  <c r="N354" i="2"/>
  <c r="O354" i="2"/>
  <c r="P354" i="2"/>
  <c r="Q354" i="2"/>
  <c r="K355" i="2"/>
  <c r="N355" i="2"/>
  <c r="O355" i="2"/>
  <c r="P355" i="2"/>
  <c r="Q355" i="2"/>
  <c r="K356" i="2"/>
  <c r="N356" i="2"/>
  <c r="O356" i="2"/>
  <c r="P356" i="2"/>
  <c r="Q356" i="2"/>
  <c r="K357" i="2"/>
  <c r="N357" i="2"/>
  <c r="O357" i="2"/>
  <c r="P357" i="2"/>
  <c r="Q357" i="2"/>
  <c r="K358" i="2"/>
  <c r="N358" i="2"/>
  <c r="O358" i="2"/>
  <c r="P358" i="2"/>
  <c r="Q358" i="2"/>
  <c r="K359" i="2"/>
  <c r="N359" i="2"/>
  <c r="O359" i="2"/>
  <c r="P359" i="2"/>
  <c r="Q359" i="2"/>
  <c r="K360" i="2"/>
  <c r="N360" i="2"/>
  <c r="O360" i="2"/>
  <c r="P360" i="2"/>
  <c r="Q360" i="2"/>
  <c r="K361" i="2"/>
  <c r="N361" i="2"/>
  <c r="O361" i="2"/>
  <c r="P361" i="2"/>
  <c r="Q361" i="2"/>
  <c r="K362" i="2"/>
  <c r="N362" i="2"/>
  <c r="O362" i="2"/>
  <c r="P362" i="2"/>
  <c r="Q362" i="2"/>
  <c r="K363" i="2"/>
  <c r="N363" i="2"/>
  <c r="O363" i="2"/>
  <c r="P363" i="2"/>
  <c r="Q363" i="2"/>
  <c r="K364" i="2"/>
  <c r="N364" i="2"/>
  <c r="O364" i="2"/>
  <c r="P364" i="2"/>
  <c r="Q364" i="2"/>
  <c r="F365" i="2"/>
  <c r="D368" i="2"/>
  <c r="E368" i="2"/>
  <c r="G368" i="2"/>
  <c r="I368" i="2" s="1"/>
  <c r="J368" i="2"/>
  <c r="F369" i="2"/>
  <c r="F370" i="2" s="1"/>
  <c r="G369" i="2"/>
  <c r="G370" i="2" s="1"/>
  <c r="S369" i="2"/>
  <c r="K370" i="2"/>
  <c r="N370" i="2"/>
  <c r="O370" i="2"/>
  <c r="P370" i="2"/>
  <c r="Q370" i="2"/>
  <c r="K371" i="2"/>
  <c r="N371" i="2"/>
  <c r="O371" i="2"/>
  <c r="P371" i="2"/>
  <c r="Q371" i="2"/>
  <c r="K372" i="2"/>
  <c r="N372" i="2"/>
  <c r="O372" i="2"/>
  <c r="P372" i="2"/>
  <c r="Q372" i="2"/>
  <c r="K373" i="2"/>
  <c r="N373" i="2"/>
  <c r="O373" i="2"/>
  <c r="P373" i="2"/>
  <c r="Q373" i="2"/>
  <c r="K374" i="2"/>
  <c r="N374" i="2"/>
  <c r="O374" i="2"/>
  <c r="P374" i="2"/>
  <c r="Q374" i="2"/>
  <c r="K375" i="2"/>
  <c r="N375" i="2"/>
  <c r="O375" i="2"/>
  <c r="P375" i="2"/>
  <c r="Q375" i="2"/>
  <c r="K376" i="2"/>
  <c r="N376" i="2"/>
  <c r="O376" i="2"/>
  <c r="P376" i="2"/>
  <c r="Q376" i="2"/>
  <c r="K377" i="2"/>
  <c r="N377" i="2"/>
  <c r="O377" i="2"/>
  <c r="P377" i="2"/>
  <c r="Q377" i="2"/>
  <c r="K378" i="2"/>
  <c r="N378" i="2"/>
  <c r="O378" i="2"/>
  <c r="P378" i="2"/>
  <c r="Q378" i="2"/>
  <c r="K379" i="2"/>
  <c r="N379" i="2"/>
  <c r="O379" i="2"/>
  <c r="P379" i="2"/>
  <c r="Q379" i="2"/>
  <c r="K380" i="2"/>
  <c r="N380" i="2"/>
  <c r="O380" i="2"/>
  <c r="P380" i="2"/>
  <c r="Q380" i="2"/>
  <c r="K381" i="2"/>
  <c r="N381" i="2"/>
  <c r="O381" i="2"/>
  <c r="P381" i="2"/>
  <c r="Q381" i="2"/>
  <c r="K382" i="2"/>
  <c r="N382" i="2"/>
  <c r="O382" i="2"/>
  <c r="P382" i="2"/>
  <c r="Q382" i="2"/>
  <c r="K383" i="2"/>
  <c r="N383" i="2"/>
  <c r="O383" i="2"/>
  <c r="P383" i="2"/>
  <c r="Q383" i="2"/>
  <c r="K384" i="2"/>
  <c r="N384" i="2"/>
  <c r="O384" i="2"/>
  <c r="P384" i="2"/>
  <c r="Q384" i="2"/>
  <c r="K385" i="2"/>
  <c r="N385" i="2"/>
  <c r="O385" i="2"/>
  <c r="P385" i="2"/>
  <c r="Q385" i="2"/>
  <c r="K386" i="2"/>
  <c r="N386" i="2"/>
  <c r="O386" i="2"/>
  <c r="P386" i="2"/>
  <c r="Q386" i="2"/>
  <c r="K387" i="2"/>
  <c r="N387" i="2"/>
  <c r="O387" i="2"/>
  <c r="P387" i="2"/>
  <c r="Q387" i="2"/>
  <c r="K388" i="2"/>
  <c r="N388" i="2"/>
  <c r="O388" i="2"/>
  <c r="P388" i="2"/>
  <c r="Q388" i="2"/>
  <c r="K389" i="2"/>
  <c r="N389" i="2"/>
  <c r="O389" i="2"/>
  <c r="P389" i="2"/>
  <c r="Q389" i="2"/>
  <c r="I391" i="2"/>
  <c r="D393" i="2"/>
  <c r="E393" i="2"/>
  <c r="G393" i="2"/>
  <c r="I393" i="2" s="1"/>
  <c r="I400" i="2" s="1"/>
  <c r="J393" i="2"/>
  <c r="F394" i="2"/>
  <c r="F395" i="2" s="1"/>
  <c r="S394" i="2"/>
  <c r="K395" i="2"/>
  <c r="N395" i="2"/>
  <c r="O395" i="2"/>
  <c r="P395" i="2"/>
  <c r="Q395" i="2"/>
  <c r="K396" i="2"/>
  <c r="N396" i="2"/>
  <c r="O396" i="2"/>
  <c r="P396" i="2"/>
  <c r="Q396" i="2"/>
  <c r="K397" i="2"/>
  <c r="N397" i="2"/>
  <c r="O397" i="2"/>
  <c r="P397" i="2"/>
  <c r="Q397" i="2"/>
  <c r="K398" i="2"/>
  <c r="N398" i="2"/>
  <c r="O398" i="2"/>
  <c r="P398" i="2"/>
  <c r="Q398" i="2"/>
  <c r="D402" i="2"/>
  <c r="E402" i="2"/>
  <c r="G402" i="2"/>
  <c r="G403" i="2" s="1"/>
  <c r="G404" i="2" s="1"/>
  <c r="G410" i="2" s="1"/>
  <c r="I402" i="2"/>
  <c r="I411" i="2" s="1"/>
  <c r="J402" i="2"/>
  <c r="F403" i="2"/>
  <c r="S403" i="2"/>
  <c r="F404" i="2"/>
  <c r="K404" i="2"/>
  <c r="N404" i="2"/>
  <c r="O404" i="2"/>
  <c r="P404" i="2"/>
  <c r="Q404" i="2"/>
  <c r="G405" i="2"/>
  <c r="G406" i="2" s="1"/>
  <c r="G407" i="2" s="1"/>
  <c r="G408" i="2" s="1"/>
  <c r="G409" i="2" s="1"/>
  <c r="K405" i="2"/>
  <c r="N405" i="2"/>
  <c r="O405" i="2"/>
  <c r="P405" i="2"/>
  <c r="Q405" i="2"/>
  <c r="K406" i="2"/>
  <c r="N406" i="2"/>
  <c r="O406" i="2"/>
  <c r="P406" i="2"/>
  <c r="Q406" i="2"/>
  <c r="K407" i="2"/>
  <c r="N407" i="2"/>
  <c r="O407" i="2"/>
  <c r="P407" i="2"/>
  <c r="Q407" i="2"/>
  <c r="K408" i="2"/>
  <c r="N408" i="2"/>
  <c r="O408" i="2"/>
  <c r="P408" i="2"/>
  <c r="Q408" i="2"/>
  <c r="K409" i="2"/>
  <c r="N409" i="2"/>
  <c r="O409" i="2"/>
  <c r="P409" i="2"/>
  <c r="Q409" i="2"/>
  <c r="D413" i="2"/>
  <c r="E413" i="2"/>
  <c r="G413" i="2"/>
  <c r="I413" i="2"/>
  <c r="I424" i="2" s="1"/>
  <c r="J413" i="2"/>
  <c r="F414" i="2"/>
  <c r="F415" i="2" s="1"/>
  <c r="G414" i="2"/>
  <c r="G415" i="2" s="1"/>
  <c r="S414" i="2"/>
  <c r="K415" i="2"/>
  <c r="N415" i="2"/>
  <c r="O415" i="2"/>
  <c r="P415" i="2"/>
  <c r="Q415" i="2"/>
  <c r="K416" i="2"/>
  <c r="N416" i="2"/>
  <c r="O416" i="2"/>
  <c r="P416" i="2"/>
  <c r="Q416" i="2"/>
  <c r="K417" i="2"/>
  <c r="N417" i="2"/>
  <c r="O417" i="2"/>
  <c r="P417" i="2"/>
  <c r="Q417" i="2"/>
  <c r="K418" i="2"/>
  <c r="N418" i="2"/>
  <c r="O418" i="2"/>
  <c r="P418" i="2"/>
  <c r="Q418" i="2"/>
  <c r="K419" i="2"/>
  <c r="N419" i="2"/>
  <c r="O419" i="2"/>
  <c r="P419" i="2"/>
  <c r="Q419" i="2"/>
  <c r="K420" i="2"/>
  <c r="N420" i="2"/>
  <c r="O420" i="2"/>
  <c r="P420" i="2"/>
  <c r="Q420" i="2"/>
  <c r="K421" i="2"/>
  <c r="N421" i="2"/>
  <c r="O421" i="2"/>
  <c r="P421" i="2"/>
  <c r="Q421" i="2"/>
  <c r="K422" i="2"/>
  <c r="N422" i="2"/>
  <c r="O422" i="2"/>
  <c r="P422" i="2"/>
  <c r="Q422" i="2"/>
  <c r="D426" i="2"/>
  <c r="E426" i="2"/>
  <c r="G426" i="2"/>
  <c r="G427" i="2" s="1"/>
  <c r="G428" i="2" s="1"/>
  <c r="G451" i="2" s="1"/>
  <c r="I426" i="2"/>
  <c r="J426" i="2"/>
  <c r="F427" i="2"/>
  <c r="S427" i="2"/>
  <c r="F428" i="2"/>
  <c r="K428" i="2"/>
  <c r="N428" i="2"/>
  <c r="O428" i="2"/>
  <c r="P428" i="2"/>
  <c r="Q428" i="2"/>
  <c r="K429" i="2"/>
  <c r="N429" i="2"/>
  <c r="O429" i="2"/>
  <c r="P429" i="2"/>
  <c r="Q429" i="2"/>
  <c r="K430" i="2"/>
  <c r="N430" i="2"/>
  <c r="O430" i="2"/>
  <c r="P430" i="2"/>
  <c r="Q430" i="2"/>
  <c r="K431" i="2"/>
  <c r="N431" i="2"/>
  <c r="O431" i="2"/>
  <c r="P431" i="2"/>
  <c r="Q431" i="2"/>
  <c r="K432" i="2"/>
  <c r="N432" i="2"/>
  <c r="O432" i="2"/>
  <c r="P432" i="2"/>
  <c r="Q432" i="2"/>
  <c r="K433" i="2"/>
  <c r="N433" i="2"/>
  <c r="O433" i="2"/>
  <c r="P433" i="2"/>
  <c r="Q433" i="2"/>
  <c r="K434" i="2"/>
  <c r="N434" i="2"/>
  <c r="O434" i="2"/>
  <c r="P434" i="2"/>
  <c r="Q434" i="2"/>
  <c r="K435" i="2"/>
  <c r="N435" i="2"/>
  <c r="O435" i="2"/>
  <c r="P435" i="2"/>
  <c r="Q435" i="2"/>
  <c r="K436" i="2"/>
  <c r="N436" i="2"/>
  <c r="O436" i="2"/>
  <c r="P436" i="2"/>
  <c r="Q436" i="2"/>
  <c r="K437" i="2"/>
  <c r="N437" i="2"/>
  <c r="O437" i="2"/>
  <c r="P437" i="2"/>
  <c r="Q437" i="2"/>
  <c r="K438" i="2"/>
  <c r="N438" i="2"/>
  <c r="O438" i="2"/>
  <c r="P438" i="2"/>
  <c r="Q438" i="2"/>
  <c r="K439" i="2"/>
  <c r="N439" i="2"/>
  <c r="O439" i="2"/>
  <c r="P439" i="2"/>
  <c r="Q439" i="2"/>
  <c r="K440" i="2"/>
  <c r="N440" i="2"/>
  <c r="O440" i="2"/>
  <c r="P440" i="2"/>
  <c r="Q440" i="2"/>
  <c r="K441" i="2"/>
  <c r="N441" i="2"/>
  <c r="O441" i="2"/>
  <c r="P441" i="2"/>
  <c r="Q441" i="2"/>
  <c r="K442" i="2"/>
  <c r="N442" i="2"/>
  <c r="O442" i="2"/>
  <c r="P442" i="2"/>
  <c r="Q442" i="2"/>
  <c r="K443" i="2"/>
  <c r="N443" i="2"/>
  <c r="O443" i="2"/>
  <c r="P443" i="2"/>
  <c r="Q443" i="2"/>
  <c r="K444" i="2"/>
  <c r="N444" i="2"/>
  <c r="O444" i="2"/>
  <c r="P444" i="2"/>
  <c r="Q444" i="2"/>
  <c r="K445" i="2"/>
  <c r="N445" i="2"/>
  <c r="O445" i="2"/>
  <c r="P445" i="2"/>
  <c r="Q445" i="2"/>
  <c r="K446" i="2"/>
  <c r="N446" i="2"/>
  <c r="O446" i="2"/>
  <c r="P446" i="2"/>
  <c r="Q446" i="2"/>
  <c r="K447" i="2"/>
  <c r="N447" i="2"/>
  <c r="O447" i="2"/>
  <c r="P447" i="2"/>
  <c r="Q447" i="2"/>
  <c r="K448" i="2"/>
  <c r="N448" i="2"/>
  <c r="O448" i="2"/>
  <c r="P448" i="2"/>
  <c r="Q448" i="2"/>
  <c r="K449" i="2"/>
  <c r="N449" i="2"/>
  <c r="O449" i="2"/>
  <c r="P449" i="2"/>
  <c r="Q449" i="2"/>
  <c r="K450" i="2"/>
  <c r="N450" i="2"/>
  <c r="O450" i="2"/>
  <c r="P450" i="2"/>
  <c r="Q450" i="2"/>
  <c r="I452" i="2"/>
  <c r="D454" i="2"/>
  <c r="E454" i="2"/>
  <c r="G454" i="2"/>
  <c r="I454" i="2"/>
  <c r="J454" i="2"/>
  <c r="I495" i="2" s="1"/>
  <c r="F455" i="2"/>
  <c r="G455" i="2"/>
  <c r="S455" i="2"/>
  <c r="F456" i="2"/>
  <c r="F457" i="2" s="1"/>
  <c r="F458" i="2" s="1"/>
  <c r="F459" i="2" s="1"/>
  <c r="F460" i="2" s="1"/>
  <c r="F461" i="2" s="1"/>
  <c r="F462" i="2" s="1"/>
  <c r="F463" i="2" s="1"/>
  <c r="F464" i="2" s="1"/>
  <c r="F465" i="2" s="1"/>
  <c r="F466" i="2" s="1"/>
  <c r="F467" i="2" s="1"/>
  <c r="F468" i="2" s="1"/>
  <c r="F469" i="2" s="1"/>
  <c r="F470" i="2" s="1"/>
  <c r="F471" i="2" s="1"/>
  <c r="F472" i="2" s="1"/>
  <c r="F473" i="2" s="1"/>
  <c r="F474" i="2" s="1"/>
  <c r="F475" i="2" s="1"/>
  <c r="F476" i="2" s="1"/>
  <c r="F477" i="2" s="1"/>
  <c r="F478" i="2" s="1"/>
  <c r="F479" i="2" s="1"/>
  <c r="F480" i="2" s="1"/>
  <c r="F481" i="2" s="1"/>
  <c r="F482" i="2" s="1"/>
  <c r="F483" i="2" s="1"/>
  <c r="F484" i="2" s="1"/>
  <c r="F485" i="2" s="1"/>
  <c r="F486" i="2" s="1"/>
  <c r="F487" i="2" s="1"/>
  <c r="F488" i="2" s="1"/>
  <c r="F489" i="2" s="1"/>
  <c r="F490" i="2" s="1"/>
  <c r="F491" i="2" s="1"/>
  <c r="F492" i="2" s="1"/>
  <c r="F493" i="2" s="1"/>
  <c r="G456" i="2"/>
  <c r="G457" i="2" s="1"/>
  <c r="G458" i="2" s="1"/>
  <c r="K456" i="2"/>
  <c r="O456" i="2"/>
  <c r="P456" i="2"/>
  <c r="K457" i="2"/>
  <c r="N457" i="2"/>
  <c r="O457" i="2"/>
  <c r="P457" i="2"/>
  <c r="Q457" i="2"/>
  <c r="K458" i="2"/>
  <c r="N458" i="2"/>
  <c r="O458" i="2"/>
  <c r="P458" i="2"/>
  <c r="Q458" i="2"/>
  <c r="G459" i="2"/>
  <c r="G460" i="2" s="1"/>
  <c r="G461" i="2" s="1"/>
  <c r="G462" i="2" s="1"/>
  <c r="G463" i="2" s="1"/>
  <c r="G464" i="2" s="1"/>
  <c r="G465" i="2" s="1"/>
  <c r="G466" i="2" s="1"/>
  <c r="G467" i="2" s="1"/>
  <c r="G468" i="2" s="1"/>
  <c r="G469" i="2" s="1"/>
  <c r="G470" i="2" s="1"/>
  <c r="G471" i="2" s="1"/>
  <c r="G472" i="2" s="1"/>
  <c r="G473" i="2" s="1"/>
  <c r="G474" i="2" s="1"/>
  <c r="G475" i="2" s="1"/>
  <c r="G476" i="2" s="1"/>
  <c r="G477" i="2" s="1"/>
  <c r="G478" i="2" s="1"/>
  <c r="G479" i="2" s="1"/>
  <c r="G480" i="2" s="1"/>
  <c r="G481" i="2" s="1"/>
  <c r="G482" i="2" s="1"/>
  <c r="G483" i="2" s="1"/>
  <c r="G484" i="2" s="1"/>
  <c r="G485" i="2" s="1"/>
  <c r="G486" i="2" s="1"/>
  <c r="G487" i="2" s="1"/>
  <c r="G488" i="2" s="1"/>
  <c r="G489" i="2" s="1"/>
  <c r="G490" i="2" s="1"/>
  <c r="G491" i="2" s="1"/>
  <c r="G492" i="2" s="1"/>
  <c r="G493" i="2" s="1"/>
  <c r="K459" i="2"/>
  <c r="N459" i="2"/>
  <c r="O459" i="2"/>
  <c r="P459" i="2"/>
  <c r="Q459" i="2"/>
  <c r="K460" i="2"/>
  <c r="N460" i="2"/>
  <c r="O460" i="2"/>
  <c r="P460" i="2"/>
  <c r="Q460" i="2"/>
  <c r="K461" i="2"/>
  <c r="N461" i="2"/>
  <c r="O461" i="2"/>
  <c r="P461" i="2"/>
  <c r="Q461" i="2"/>
  <c r="K462" i="2"/>
  <c r="N462" i="2"/>
  <c r="O462" i="2"/>
  <c r="P462" i="2"/>
  <c r="Q462" i="2"/>
  <c r="K463" i="2"/>
  <c r="N463" i="2"/>
  <c r="O463" i="2"/>
  <c r="P463" i="2"/>
  <c r="Q463" i="2"/>
  <c r="K464" i="2"/>
  <c r="N464" i="2"/>
  <c r="O464" i="2"/>
  <c r="P464" i="2"/>
  <c r="Q464" i="2"/>
  <c r="K465" i="2"/>
  <c r="N465" i="2"/>
  <c r="O465" i="2"/>
  <c r="P465" i="2"/>
  <c r="Q465" i="2"/>
  <c r="K466" i="2"/>
  <c r="N466" i="2"/>
  <c r="O466" i="2"/>
  <c r="P466" i="2"/>
  <c r="Q466" i="2"/>
  <c r="K467" i="2"/>
  <c r="N467" i="2"/>
  <c r="O467" i="2"/>
  <c r="P467" i="2"/>
  <c r="Q467" i="2"/>
  <c r="K468" i="2"/>
  <c r="N468" i="2"/>
  <c r="O468" i="2"/>
  <c r="P468" i="2"/>
  <c r="Q468" i="2"/>
  <c r="K469" i="2"/>
  <c r="N469" i="2"/>
  <c r="O469" i="2"/>
  <c r="P469" i="2"/>
  <c r="Q469" i="2"/>
  <c r="K470" i="2"/>
  <c r="N470" i="2"/>
  <c r="O470" i="2"/>
  <c r="P470" i="2"/>
  <c r="Q470" i="2"/>
  <c r="K471" i="2"/>
  <c r="N471" i="2"/>
  <c r="O471" i="2"/>
  <c r="P471" i="2"/>
  <c r="Q471" i="2"/>
  <c r="K472" i="2"/>
  <c r="N472" i="2"/>
  <c r="O472" i="2"/>
  <c r="P472" i="2"/>
  <c r="Q472" i="2"/>
  <c r="K473" i="2"/>
  <c r="N473" i="2"/>
  <c r="O473" i="2"/>
  <c r="P473" i="2"/>
  <c r="Q473" i="2"/>
  <c r="K474" i="2"/>
  <c r="N474" i="2"/>
  <c r="O474" i="2"/>
  <c r="P474" i="2"/>
  <c r="Q474" i="2"/>
  <c r="K475" i="2"/>
  <c r="N475" i="2"/>
  <c r="O475" i="2"/>
  <c r="P475" i="2"/>
  <c r="Q475" i="2"/>
  <c r="K476" i="2"/>
  <c r="N476" i="2"/>
  <c r="O476" i="2"/>
  <c r="P476" i="2"/>
  <c r="Q476" i="2"/>
  <c r="K477" i="2"/>
  <c r="N477" i="2"/>
  <c r="O477" i="2"/>
  <c r="P477" i="2"/>
  <c r="Q477" i="2"/>
  <c r="K478" i="2"/>
  <c r="N478" i="2"/>
  <c r="O478" i="2"/>
  <c r="P478" i="2"/>
  <c r="Q478" i="2"/>
  <c r="K479" i="2"/>
  <c r="N479" i="2"/>
  <c r="O479" i="2"/>
  <c r="P479" i="2"/>
  <c r="Q479" i="2"/>
  <c r="K480" i="2"/>
  <c r="N480" i="2"/>
  <c r="O480" i="2"/>
  <c r="P480" i="2"/>
  <c r="Q480" i="2"/>
  <c r="K481" i="2"/>
  <c r="N481" i="2"/>
  <c r="O481" i="2"/>
  <c r="P481" i="2"/>
  <c r="Q481" i="2"/>
  <c r="K482" i="2"/>
  <c r="N482" i="2"/>
  <c r="O482" i="2"/>
  <c r="P482" i="2"/>
  <c r="Q482" i="2"/>
  <c r="K483" i="2"/>
  <c r="N483" i="2"/>
  <c r="O483" i="2"/>
  <c r="P483" i="2"/>
  <c r="Q483" i="2"/>
  <c r="K484" i="2"/>
  <c r="N484" i="2"/>
  <c r="O484" i="2"/>
  <c r="P484" i="2"/>
  <c r="Q484" i="2"/>
  <c r="K485" i="2"/>
  <c r="N485" i="2"/>
  <c r="O485" i="2"/>
  <c r="P485" i="2"/>
  <c r="Q485" i="2"/>
  <c r="K486" i="2"/>
  <c r="N486" i="2"/>
  <c r="O486" i="2"/>
  <c r="P486" i="2"/>
  <c r="Q486" i="2"/>
  <c r="K487" i="2"/>
  <c r="N487" i="2"/>
  <c r="O487" i="2"/>
  <c r="P487" i="2"/>
  <c r="Q487" i="2"/>
  <c r="K488" i="2"/>
  <c r="N488" i="2"/>
  <c r="O488" i="2"/>
  <c r="P488" i="2"/>
  <c r="Q488" i="2"/>
  <c r="K489" i="2"/>
  <c r="N489" i="2"/>
  <c r="O489" i="2"/>
  <c r="P489" i="2"/>
  <c r="Q489" i="2"/>
  <c r="K490" i="2"/>
  <c r="N490" i="2"/>
  <c r="O490" i="2"/>
  <c r="P490" i="2"/>
  <c r="Q490" i="2"/>
  <c r="K491" i="2"/>
  <c r="N491" i="2"/>
  <c r="O491" i="2"/>
  <c r="P491" i="2"/>
  <c r="Q491" i="2"/>
  <c r="K492" i="2"/>
  <c r="N492" i="2"/>
  <c r="O492" i="2"/>
  <c r="P492" i="2"/>
  <c r="Q492" i="2"/>
  <c r="K493" i="2"/>
  <c r="N493" i="2"/>
  <c r="O493" i="2"/>
  <c r="P493" i="2"/>
  <c r="Q493" i="2"/>
  <c r="F494" i="2"/>
  <c r="G494" i="2"/>
  <c r="D497" i="2"/>
  <c r="E497" i="2"/>
  <c r="G497" i="2"/>
  <c r="I497" i="2"/>
  <c r="J497" i="2"/>
  <c r="I528" i="2" s="1"/>
  <c r="F498" i="2"/>
  <c r="G498" i="2"/>
  <c r="S498" i="2"/>
  <c r="F499" i="2"/>
  <c r="F500" i="2" s="1"/>
  <c r="F501" i="2" s="1"/>
  <c r="F502" i="2" s="1"/>
  <c r="F503" i="2" s="1"/>
  <c r="F504" i="2" s="1"/>
  <c r="F505" i="2" s="1"/>
  <c r="F506" i="2" s="1"/>
  <c r="F507" i="2" s="1"/>
  <c r="F508" i="2" s="1"/>
  <c r="F509" i="2" s="1"/>
  <c r="F510" i="2" s="1"/>
  <c r="F511" i="2" s="1"/>
  <c r="F512" i="2" s="1"/>
  <c r="F513" i="2" s="1"/>
  <c r="F514" i="2" s="1"/>
  <c r="F515" i="2" s="1"/>
  <c r="F516" i="2" s="1"/>
  <c r="F517" i="2" s="1"/>
  <c r="F518" i="2" s="1"/>
  <c r="F519" i="2" s="1"/>
  <c r="F520" i="2" s="1"/>
  <c r="F521" i="2" s="1"/>
  <c r="F522" i="2" s="1"/>
  <c r="F523" i="2" s="1"/>
  <c r="F524" i="2" s="1"/>
  <c r="F525" i="2" s="1"/>
  <c r="F526" i="2" s="1"/>
  <c r="G499" i="2"/>
  <c r="G500" i="2" s="1"/>
  <c r="G501" i="2" s="1"/>
  <c r="G502" i="2" s="1"/>
  <c r="G503" i="2" s="1"/>
  <c r="G504" i="2" s="1"/>
  <c r="G505" i="2" s="1"/>
  <c r="G506" i="2" s="1"/>
  <c r="G507" i="2" s="1"/>
  <c r="G508" i="2" s="1"/>
  <c r="G509" i="2" s="1"/>
  <c r="G510" i="2" s="1"/>
  <c r="G511" i="2" s="1"/>
  <c r="G512" i="2" s="1"/>
  <c r="G513" i="2" s="1"/>
  <c r="G514" i="2" s="1"/>
  <c r="G515" i="2" s="1"/>
  <c r="G516" i="2" s="1"/>
  <c r="G517" i="2" s="1"/>
  <c r="G518" i="2" s="1"/>
  <c r="G519" i="2" s="1"/>
  <c r="G520" i="2" s="1"/>
  <c r="G521" i="2" s="1"/>
  <c r="G522" i="2" s="1"/>
  <c r="G523" i="2" s="1"/>
  <c r="G524" i="2" s="1"/>
  <c r="G525" i="2" s="1"/>
  <c r="G526" i="2" s="1"/>
  <c r="K499" i="2"/>
  <c r="N499" i="2"/>
  <c r="O499" i="2"/>
  <c r="P499" i="2"/>
  <c r="K500" i="2"/>
  <c r="N500" i="2"/>
  <c r="O500" i="2"/>
  <c r="P500" i="2"/>
  <c r="K501" i="2"/>
  <c r="N501" i="2"/>
  <c r="O501" i="2"/>
  <c r="P501" i="2"/>
  <c r="K502" i="2"/>
  <c r="N502" i="2"/>
  <c r="O502" i="2"/>
  <c r="P502" i="2"/>
  <c r="K503" i="2"/>
  <c r="N503" i="2"/>
  <c r="O503" i="2"/>
  <c r="P503" i="2"/>
  <c r="K504" i="2"/>
  <c r="N504" i="2"/>
  <c r="O504" i="2"/>
  <c r="P504" i="2"/>
  <c r="K505" i="2"/>
  <c r="N505" i="2"/>
  <c r="O505" i="2"/>
  <c r="P505" i="2"/>
  <c r="K506" i="2"/>
  <c r="N506" i="2"/>
  <c r="O506" i="2"/>
  <c r="P506" i="2"/>
  <c r="K507" i="2"/>
  <c r="N507" i="2"/>
  <c r="O507" i="2"/>
  <c r="P507" i="2"/>
  <c r="K508" i="2"/>
  <c r="N508" i="2"/>
  <c r="O508" i="2"/>
  <c r="P508" i="2"/>
  <c r="K509" i="2"/>
  <c r="N509" i="2"/>
  <c r="O509" i="2"/>
  <c r="P509" i="2"/>
  <c r="K510" i="2"/>
  <c r="N510" i="2"/>
  <c r="O510" i="2"/>
  <c r="P510" i="2"/>
  <c r="K511" i="2"/>
  <c r="N511" i="2"/>
  <c r="O511" i="2"/>
  <c r="P511" i="2"/>
  <c r="K512" i="2"/>
  <c r="N512" i="2"/>
  <c r="O512" i="2"/>
  <c r="P512" i="2"/>
  <c r="K513" i="2"/>
  <c r="N513" i="2"/>
  <c r="O513" i="2"/>
  <c r="P513" i="2"/>
  <c r="K514" i="2"/>
  <c r="N514" i="2"/>
  <c r="O514" i="2"/>
  <c r="P514" i="2"/>
  <c r="K515" i="2"/>
  <c r="N515" i="2"/>
  <c r="O515" i="2"/>
  <c r="P515" i="2"/>
  <c r="K516" i="2"/>
  <c r="N516" i="2"/>
  <c r="O516" i="2"/>
  <c r="P516" i="2"/>
  <c r="K517" i="2"/>
  <c r="N517" i="2"/>
  <c r="O517" i="2"/>
  <c r="P517" i="2"/>
  <c r="K518" i="2"/>
  <c r="N518" i="2"/>
  <c r="O518" i="2"/>
  <c r="P518" i="2"/>
  <c r="K519" i="2"/>
  <c r="N519" i="2"/>
  <c r="O519" i="2"/>
  <c r="P519" i="2"/>
  <c r="K520" i="2"/>
  <c r="N520" i="2"/>
  <c r="O520" i="2"/>
  <c r="P520" i="2"/>
  <c r="K521" i="2"/>
  <c r="N521" i="2"/>
  <c r="O521" i="2"/>
  <c r="P521" i="2"/>
  <c r="K522" i="2"/>
  <c r="N522" i="2"/>
  <c r="O522" i="2"/>
  <c r="P522" i="2"/>
  <c r="K523" i="2"/>
  <c r="N523" i="2"/>
  <c r="O523" i="2"/>
  <c r="P523" i="2"/>
  <c r="K524" i="2"/>
  <c r="N524" i="2"/>
  <c r="O524" i="2"/>
  <c r="P524" i="2"/>
  <c r="K525" i="2"/>
  <c r="N525" i="2"/>
  <c r="O525" i="2"/>
  <c r="P525" i="2"/>
  <c r="K526" i="2"/>
  <c r="N526" i="2"/>
  <c r="O526" i="2"/>
  <c r="P526" i="2"/>
  <c r="F527" i="2"/>
  <c r="G527" i="2"/>
  <c r="D530" i="2"/>
  <c r="E530" i="2"/>
  <c r="G530" i="2"/>
  <c r="I530" i="2"/>
  <c r="J530" i="2"/>
  <c r="F531" i="2"/>
  <c r="F532" i="2" s="1"/>
  <c r="F560" i="2" s="1"/>
  <c r="G531" i="2"/>
  <c r="G532" i="2" s="1"/>
  <c r="S531" i="2"/>
  <c r="K532" i="2"/>
  <c r="N532" i="2"/>
  <c r="O532" i="2"/>
  <c r="P532" i="2"/>
  <c r="F533" i="2"/>
  <c r="F534" i="2" s="1"/>
  <c r="F535" i="2" s="1"/>
  <c r="F536" i="2" s="1"/>
  <c r="F537" i="2" s="1"/>
  <c r="F538" i="2" s="1"/>
  <c r="F539" i="2" s="1"/>
  <c r="F540" i="2" s="1"/>
  <c r="F541" i="2" s="1"/>
  <c r="F542" i="2" s="1"/>
  <c r="F543" i="2" s="1"/>
  <c r="F544" i="2" s="1"/>
  <c r="F545" i="2" s="1"/>
  <c r="F546" i="2" s="1"/>
  <c r="F547" i="2" s="1"/>
  <c r="F548" i="2" s="1"/>
  <c r="F549" i="2" s="1"/>
  <c r="F550" i="2" s="1"/>
  <c r="F551" i="2" s="1"/>
  <c r="F552" i="2" s="1"/>
  <c r="F553" i="2" s="1"/>
  <c r="F554" i="2" s="1"/>
  <c r="F555" i="2" s="1"/>
  <c r="F556" i="2" s="1"/>
  <c r="F557" i="2" s="1"/>
  <c r="F558" i="2" s="1"/>
  <c r="F559" i="2" s="1"/>
  <c r="K533" i="2"/>
  <c r="N533" i="2"/>
  <c r="O533" i="2"/>
  <c r="P533" i="2"/>
  <c r="K534" i="2"/>
  <c r="N534" i="2"/>
  <c r="O534" i="2"/>
  <c r="P534" i="2"/>
  <c r="K535" i="2"/>
  <c r="N535" i="2"/>
  <c r="O535" i="2"/>
  <c r="P535" i="2"/>
  <c r="K536" i="2"/>
  <c r="N536" i="2"/>
  <c r="O536" i="2"/>
  <c r="P536" i="2"/>
  <c r="K537" i="2"/>
  <c r="N537" i="2"/>
  <c r="O537" i="2"/>
  <c r="P537" i="2"/>
  <c r="K538" i="2"/>
  <c r="N538" i="2"/>
  <c r="O538" i="2"/>
  <c r="P538" i="2"/>
  <c r="K539" i="2"/>
  <c r="N539" i="2"/>
  <c r="O539" i="2"/>
  <c r="P539" i="2"/>
  <c r="K540" i="2"/>
  <c r="N540" i="2"/>
  <c r="O540" i="2"/>
  <c r="P540" i="2"/>
  <c r="K541" i="2"/>
  <c r="N541" i="2"/>
  <c r="O541" i="2"/>
  <c r="P541" i="2"/>
  <c r="K542" i="2"/>
  <c r="N542" i="2"/>
  <c r="O542" i="2"/>
  <c r="P542" i="2"/>
  <c r="K543" i="2"/>
  <c r="N543" i="2"/>
  <c r="O543" i="2"/>
  <c r="P543" i="2"/>
  <c r="K544" i="2"/>
  <c r="N544" i="2"/>
  <c r="O544" i="2"/>
  <c r="P544" i="2"/>
  <c r="K545" i="2"/>
  <c r="N545" i="2"/>
  <c r="O545" i="2"/>
  <c r="P545" i="2"/>
  <c r="K546" i="2"/>
  <c r="N546" i="2"/>
  <c r="O546" i="2"/>
  <c r="P546" i="2"/>
  <c r="K547" i="2"/>
  <c r="N547" i="2"/>
  <c r="O547" i="2"/>
  <c r="P547" i="2"/>
  <c r="K548" i="2"/>
  <c r="N548" i="2"/>
  <c r="O548" i="2"/>
  <c r="P548" i="2"/>
  <c r="K549" i="2"/>
  <c r="N549" i="2"/>
  <c r="O549" i="2"/>
  <c r="P549" i="2"/>
  <c r="K550" i="2"/>
  <c r="N550" i="2"/>
  <c r="O550" i="2"/>
  <c r="P550" i="2"/>
  <c r="K551" i="2"/>
  <c r="N551" i="2"/>
  <c r="O551" i="2"/>
  <c r="P551" i="2"/>
  <c r="K552" i="2"/>
  <c r="N552" i="2"/>
  <c r="O552" i="2"/>
  <c r="P552" i="2"/>
  <c r="K553" i="2"/>
  <c r="N553" i="2"/>
  <c r="O553" i="2"/>
  <c r="P553" i="2"/>
  <c r="K554" i="2"/>
  <c r="N554" i="2"/>
  <c r="O554" i="2"/>
  <c r="P554" i="2"/>
  <c r="K555" i="2"/>
  <c r="N555" i="2"/>
  <c r="O555" i="2"/>
  <c r="P555" i="2"/>
  <c r="K556" i="2"/>
  <c r="N556" i="2"/>
  <c r="O556" i="2"/>
  <c r="P556" i="2"/>
  <c r="K557" i="2"/>
  <c r="N557" i="2"/>
  <c r="O557" i="2"/>
  <c r="P557" i="2"/>
  <c r="K558" i="2"/>
  <c r="N558" i="2"/>
  <c r="O558" i="2"/>
  <c r="P558" i="2"/>
  <c r="K559" i="2"/>
  <c r="N559" i="2"/>
  <c r="O559" i="2"/>
  <c r="P559" i="2"/>
  <c r="I561" i="2"/>
  <c r="D563" i="2"/>
  <c r="E563" i="2"/>
  <c r="G563" i="2"/>
  <c r="G564" i="2" s="1"/>
  <c r="G565" i="2" s="1"/>
  <c r="I563" i="2"/>
  <c r="I594" i="2" s="1"/>
  <c r="J563" i="2"/>
  <c r="F564" i="2"/>
  <c r="S564" i="2"/>
  <c r="F565" i="2"/>
  <c r="K565" i="2"/>
  <c r="N565" i="2"/>
  <c r="O565" i="2"/>
  <c r="P565" i="2"/>
  <c r="F566" i="2"/>
  <c r="F567" i="2" s="1"/>
  <c r="F568" i="2" s="1"/>
  <c r="F569" i="2" s="1"/>
  <c r="F570" i="2" s="1"/>
  <c r="F571" i="2" s="1"/>
  <c r="F572" i="2" s="1"/>
  <c r="F573" i="2" s="1"/>
  <c r="F574" i="2" s="1"/>
  <c r="F575" i="2" s="1"/>
  <c r="F576" i="2" s="1"/>
  <c r="F577" i="2" s="1"/>
  <c r="F578" i="2" s="1"/>
  <c r="F579" i="2" s="1"/>
  <c r="F580" i="2" s="1"/>
  <c r="F581" i="2" s="1"/>
  <c r="F582" i="2" s="1"/>
  <c r="F583" i="2" s="1"/>
  <c r="F584" i="2" s="1"/>
  <c r="F585" i="2" s="1"/>
  <c r="F586" i="2" s="1"/>
  <c r="F587" i="2" s="1"/>
  <c r="F588" i="2" s="1"/>
  <c r="F589" i="2" s="1"/>
  <c r="F590" i="2" s="1"/>
  <c r="F591" i="2" s="1"/>
  <c r="F592" i="2" s="1"/>
  <c r="K566" i="2"/>
  <c r="N566" i="2"/>
  <c r="O566" i="2"/>
  <c r="P566" i="2"/>
  <c r="K567" i="2"/>
  <c r="N567" i="2"/>
  <c r="O567" i="2"/>
  <c r="P567" i="2"/>
  <c r="K568" i="2"/>
  <c r="N568" i="2"/>
  <c r="O568" i="2"/>
  <c r="P568" i="2"/>
  <c r="K569" i="2"/>
  <c r="N569" i="2"/>
  <c r="O569" i="2"/>
  <c r="P569" i="2"/>
  <c r="K570" i="2"/>
  <c r="N570" i="2"/>
  <c r="O570" i="2"/>
  <c r="P570" i="2"/>
  <c r="K571" i="2"/>
  <c r="N571" i="2"/>
  <c r="O571" i="2"/>
  <c r="P571" i="2"/>
  <c r="K572" i="2"/>
  <c r="N572" i="2"/>
  <c r="O572" i="2"/>
  <c r="P572" i="2"/>
  <c r="K573" i="2"/>
  <c r="N573" i="2"/>
  <c r="O573" i="2"/>
  <c r="P573" i="2"/>
  <c r="K574" i="2"/>
  <c r="N574" i="2"/>
  <c r="O574" i="2"/>
  <c r="P574" i="2"/>
  <c r="K575" i="2"/>
  <c r="N575" i="2"/>
  <c r="O575" i="2"/>
  <c r="P575" i="2"/>
  <c r="K576" i="2"/>
  <c r="N576" i="2"/>
  <c r="O576" i="2"/>
  <c r="P576" i="2"/>
  <c r="K577" i="2"/>
  <c r="N577" i="2"/>
  <c r="O577" i="2"/>
  <c r="P577" i="2"/>
  <c r="K578" i="2"/>
  <c r="N578" i="2"/>
  <c r="O578" i="2"/>
  <c r="P578" i="2"/>
  <c r="K579" i="2"/>
  <c r="N579" i="2"/>
  <c r="O579" i="2"/>
  <c r="P579" i="2"/>
  <c r="K580" i="2"/>
  <c r="N580" i="2"/>
  <c r="O580" i="2"/>
  <c r="P580" i="2"/>
  <c r="K581" i="2"/>
  <c r="N581" i="2"/>
  <c r="O581" i="2"/>
  <c r="P581" i="2"/>
  <c r="K582" i="2"/>
  <c r="N582" i="2"/>
  <c r="O582" i="2"/>
  <c r="P582" i="2"/>
  <c r="K583" i="2"/>
  <c r="N583" i="2"/>
  <c r="O583" i="2"/>
  <c r="P583" i="2"/>
  <c r="K584" i="2"/>
  <c r="N584" i="2"/>
  <c r="O584" i="2"/>
  <c r="P584" i="2"/>
  <c r="K585" i="2"/>
  <c r="N585" i="2"/>
  <c r="O585" i="2"/>
  <c r="P585" i="2"/>
  <c r="K586" i="2"/>
  <c r="N586" i="2"/>
  <c r="O586" i="2"/>
  <c r="P586" i="2"/>
  <c r="K587" i="2"/>
  <c r="N587" i="2"/>
  <c r="O587" i="2"/>
  <c r="P587" i="2"/>
  <c r="K588" i="2"/>
  <c r="N588" i="2"/>
  <c r="O588" i="2"/>
  <c r="P588" i="2"/>
  <c r="K589" i="2"/>
  <c r="N589" i="2"/>
  <c r="O589" i="2"/>
  <c r="P589" i="2"/>
  <c r="K590" i="2"/>
  <c r="N590" i="2"/>
  <c r="O590" i="2"/>
  <c r="P590" i="2"/>
  <c r="K591" i="2"/>
  <c r="N591" i="2"/>
  <c r="O591" i="2"/>
  <c r="P591" i="2"/>
  <c r="K592" i="2"/>
  <c r="N592" i="2"/>
  <c r="O592" i="2"/>
  <c r="P592" i="2"/>
  <c r="F593" i="2"/>
  <c r="D596" i="2"/>
  <c r="E596" i="2"/>
  <c r="G596" i="2"/>
  <c r="I596" i="2"/>
  <c r="J596" i="2"/>
  <c r="F597" i="2"/>
  <c r="G597" i="2"/>
  <c r="G598" i="2" s="1"/>
  <c r="S597" i="2"/>
  <c r="F598" i="2"/>
  <c r="F599" i="2" s="1"/>
  <c r="F600" i="2" s="1"/>
  <c r="F601" i="2" s="1"/>
  <c r="F602" i="2" s="1"/>
  <c r="F603" i="2" s="1"/>
  <c r="F604" i="2" s="1"/>
  <c r="F605" i="2" s="1"/>
  <c r="F606" i="2" s="1"/>
  <c r="F607" i="2" s="1"/>
  <c r="F608" i="2" s="1"/>
  <c r="F609" i="2" s="1"/>
  <c r="F610" i="2" s="1"/>
  <c r="F611" i="2" s="1"/>
  <c r="F612" i="2" s="1"/>
  <c r="F613" i="2" s="1"/>
  <c r="F614" i="2" s="1"/>
  <c r="F615" i="2" s="1"/>
  <c r="F616" i="2" s="1"/>
  <c r="F617" i="2" s="1"/>
  <c r="F618" i="2" s="1"/>
  <c r="F619" i="2" s="1"/>
  <c r="F620" i="2" s="1"/>
  <c r="F621" i="2" s="1"/>
  <c r="F622" i="2" s="1"/>
  <c r="F623" i="2" s="1"/>
  <c r="F624" i="2" s="1"/>
  <c r="F625" i="2" s="1"/>
  <c r="K598" i="2"/>
  <c r="N598" i="2"/>
  <c r="O598" i="2"/>
  <c r="P598" i="2"/>
  <c r="K599" i="2"/>
  <c r="N599" i="2"/>
  <c r="O599" i="2"/>
  <c r="P599" i="2"/>
  <c r="K600" i="2"/>
  <c r="N600" i="2"/>
  <c r="O600" i="2"/>
  <c r="P600" i="2"/>
  <c r="K601" i="2"/>
  <c r="N601" i="2"/>
  <c r="O601" i="2"/>
  <c r="P601" i="2"/>
  <c r="K602" i="2"/>
  <c r="N602" i="2"/>
  <c r="O602" i="2"/>
  <c r="P602" i="2"/>
  <c r="K603" i="2"/>
  <c r="N603" i="2"/>
  <c r="O603" i="2"/>
  <c r="P603" i="2"/>
  <c r="K604" i="2"/>
  <c r="N604" i="2"/>
  <c r="O604" i="2"/>
  <c r="P604" i="2"/>
  <c r="K605" i="2"/>
  <c r="N605" i="2"/>
  <c r="O605" i="2"/>
  <c r="P605" i="2"/>
  <c r="K606" i="2"/>
  <c r="N606" i="2"/>
  <c r="O606" i="2"/>
  <c r="P606" i="2"/>
  <c r="K607" i="2"/>
  <c r="N607" i="2"/>
  <c r="O607" i="2"/>
  <c r="P607" i="2"/>
  <c r="K608" i="2"/>
  <c r="N608" i="2"/>
  <c r="O608" i="2"/>
  <c r="P608" i="2"/>
  <c r="K609" i="2"/>
  <c r="N609" i="2"/>
  <c r="O609" i="2"/>
  <c r="P609" i="2"/>
  <c r="K610" i="2"/>
  <c r="N610" i="2"/>
  <c r="O610" i="2"/>
  <c r="P610" i="2"/>
  <c r="K611" i="2"/>
  <c r="N611" i="2"/>
  <c r="O611" i="2"/>
  <c r="P611" i="2"/>
  <c r="K612" i="2"/>
  <c r="N612" i="2"/>
  <c r="O612" i="2"/>
  <c r="P612" i="2"/>
  <c r="K613" i="2"/>
  <c r="N613" i="2"/>
  <c r="O613" i="2"/>
  <c r="P613" i="2"/>
  <c r="K614" i="2"/>
  <c r="N614" i="2"/>
  <c r="O614" i="2"/>
  <c r="P614" i="2"/>
  <c r="K615" i="2"/>
  <c r="N615" i="2"/>
  <c r="O615" i="2"/>
  <c r="P615" i="2"/>
  <c r="K616" i="2"/>
  <c r="N616" i="2"/>
  <c r="O616" i="2"/>
  <c r="P616" i="2"/>
  <c r="K617" i="2"/>
  <c r="N617" i="2"/>
  <c r="O617" i="2"/>
  <c r="P617" i="2"/>
  <c r="K618" i="2"/>
  <c r="N618" i="2"/>
  <c r="O618" i="2"/>
  <c r="P618" i="2"/>
  <c r="K619" i="2"/>
  <c r="N619" i="2"/>
  <c r="O619" i="2"/>
  <c r="P619" i="2"/>
  <c r="K620" i="2"/>
  <c r="N620" i="2"/>
  <c r="O620" i="2"/>
  <c r="P620" i="2"/>
  <c r="K621" i="2"/>
  <c r="N621" i="2"/>
  <c r="O621" i="2"/>
  <c r="P621" i="2"/>
  <c r="K622" i="2"/>
  <c r="N622" i="2"/>
  <c r="O622" i="2"/>
  <c r="P622" i="2"/>
  <c r="K623" i="2"/>
  <c r="N623" i="2"/>
  <c r="O623" i="2"/>
  <c r="P623" i="2"/>
  <c r="K624" i="2"/>
  <c r="N624" i="2"/>
  <c r="O624" i="2"/>
  <c r="P624" i="2"/>
  <c r="K625" i="2"/>
  <c r="N625" i="2"/>
  <c r="O625" i="2"/>
  <c r="P625" i="2"/>
  <c r="I627" i="2"/>
  <c r="D629" i="2"/>
  <c r="E629" i="2"/>
  <c r="G629" i="2"/>
  <c r="I629" i="2" s="1"/>
  <c r="I669" i="2" s="1"/>
  <c r="J629" i="2"/>
  <c r="F630" i="2"/>
  <c r="F631" i="2" s="1"/>
  <c r="S630" i="2"/>
  <c r="K631" i="2"/>
  <c r="N631" i="2"/>
  <c r="O631" i="2"/>
  <c r="P631" i="2"/>
  <c r="Q631" i="2"/>
  <c r="K632" i="2"/>
  <c r="N632" i="2"/>
  <c r="O632" i="2"/>
  <c r="P632" i="2"/>
  <c r="Q632" i="2"/>
  <c r="K633" i="2"/>
  <c r="N633" i="2"/>
  <c r="O633" i="2"/>
  <c r="P633" i="2"/>
  <c r="Q633" i="2"/>
  <c r="K634" i="2"/>
  <c r="N634" i="2"/>
  <c r="O634" i="2"/>
  <c r="P634" i="2"/>
  <c r="Q634" i="2"/>
  <c r="K635" i="2"/>
  <c r="N635" i="2"/>
  <c r="O635" i="2"/>
  <c r="P635" i="2"/>
  <c r="Q635" i="2"/>
  <c r="K636" i="2"/>
  <c r="N636" i="2"/>
  <c r="O636" i="2"/>
  <c r="P636" i="2"/>
  <c r="Q636" i="2"/>
  <c r="K637" i="2"/>
  <c r="N637" i="2"/>
  <c r="O637" i="2"/>
  <c r="P637" i="2"/>
  <c r="Q637" i="2"/>
  <c r="K638" i="2"/>
  <c r="N638" i="2"/>
  <c r="O638" i="2"/>
  <c r="P638" i="2"/>
  <c r="Q638" i="2"/>
  <c r="K639" i="2"/>
  <c r="N639" i="2"/>
  <c r="O639" i="2"/>
  <c r="P639" i="2"/>
  <c r="Q639" i="2"/>
  <c r="K640" i="2"/>
  <c r="N640" i="2"/>
  <c r="O640" i="2"/>
  <c r="P640" i="2"/>
  <c r="Q640" i="2"/>
  <c r="K641" i="2"/>
  <c r="N641" i="2"/>
  <c r="O641" i="2"/>
  <c r="P641" i="2"/>
  <c r="Q641" i="2"/>
  <c r="K642" i="2"/>
  <c r="N642" i="2"/>
  <c r="O642" i="2"/>
  <c r="P642" i="2"/>
  <c r="Q642" i="2"/>
  <c r="K643" i="2"/>
  <c r="N643" i="2"/>
  <c r="O643" i="2"/>
  <c r="P643" i="2"/>
  <c r="Q643" i="2"/>
  <c r="K644" i="2"/>
  <c r="N644" i="2"/>
  <c r="O644" i="2"/>
  <c r="P644" i="2"/>
  <c r="Q644" i="2"/>
  <c r="K645" i="2"/>
  <c r="N645" i="2"/>
  <c r="O645" i="2"/>
  <c r="P645" i="2"/>
  <c r="Q645" i="2"/>
  <c r="K646" i="2"/>
  <c r="N646" i="2"/>
  <c r="O646" i="2"/>
  <c r="P646" i="2"/>
  <c r="Q646" i="2"/>
  <c r="K647" i="2"/>
  <c r="N647" i="2"/>
  <c r="O647" i="2"/>
  <c r="P647" i="2"/>
  <c r="Q647" i="2"/>
  <c r="K648" i="2"/>
  <c r="N648" i="2"/>
  <c r="O648" i="2"/>
  <c r="P648" i="2"/>
  <c r="Q648" i="2"/>
  <c r="K649" i="2"/>
  <c r="N649" i="2"/>
  <c r="O649" i="2"/>
  <c r="P649" i="2"/>
  <c r="Q649" i="2"/>
  <c r="K650" i="2"/>
  <c r="N650" i="2"/>
  <c r="O650" i="2"/>
  <c r="P650" i="2"/>
  <c r="Q650" i="2"/>
  <c r="K651" i="2"/>
  <c r="N651" i="2"/>
  <c r="O651" i="2"/>
  <c r="P651" i="2"/>
  <c r="Q651" i="2"/>
  <c r="K652" i="2"/>
  <c r="N652" i="2"/>
  <c r="O652" i="2"/>
  <c r="P652" i="2"/>
  <c r="Q652" i="2"/>
  <c r="K653" i="2"/>
  <c r="N653" i="2"/>
  <c r="O653" i="2"/>
  <c r="P653" i="2"/>
  <c r="Q653" i="2"/>
  <c r="K654" i="2"/>
  <c r="N654" i="2"/>
  <c r="O654" i="2"/>
  <c r="P654" i="2"/>
  <c r="Q654" i="2"/>
  <c r="K655" i="2"/>
  <c r="N655" i="2"/>
  <c r="O655" i="2"/>
  <c r="P655" i="2"/>
  <c r="Q655" i="2"/>
  <c r="K656" i="2"/>
  <c r="N656" i="2"/>
  <c r="O656" i="2"/>
  <c r="P656" i="2"/>
  <c r="Q656" i="2"/>
  <c r="K657" i="2"/>
  <c r="N657" i="2"/>
  <c r="O657" i="2"/>
  <c r="P657" i="2"/>
  <c r="Q657" i="2"/>
  <c r="K658" i="2"/>
  <c r="N658" i="2"/>
  <c r="O658" i="2"/>
  <c r="P658" i="2"/>
  <c r="Q658" i="2"/>
  <c r="K659" i="2"/>
  <c r="N659" i="2"/>
  <c r="O659" i="2"/>
  <c r="P659" i="2"/>
  <c r="Q659" i="2"/>
  <c r="K660" i="2"/>
  <c r="N660" i="2"/>
  <c r="O660" i="2"/>
  <c r="P660" i="2"/>
  <c r="Q660" i="2"/>
  <c r="K661" i="2"/>
  <c r="N661" i="2"/>
  <c r="O661" i="2"/>
  <c r="P661" i="2"/>
  <c r="Q661" i="2"/>
  <c r="K662" i="2"/>
  <c r="N662" i="2"/>
  <c r="O662" i="2"/>
  <c r="P662" i="2"/>
  <c r="Q662" i="2"/>
  <c r="K663" i="2"/>
  <c r="N663" i="2"/>
  <c r="O663" i="2"/>
  <c r="P663" i="2"/>
  <c r="Q663" i="2"/>
  <c r="K664" i="2"/>
  <c r="N664" i="2"/>
  <c r="O664" i="2"/>
  <c r="P664" i="2"/>
  <c r="Q664" i="2"/>
  <c r="K665" i="2"/>
  <c r="N665" i="2"/>
  <c r="O665" i="2"/>
  <c r="P665" i="2"/>
  <c r="Q665" i="2"/>
  <c r="K666" i="2"/>
  <c r="N666" i="2"/>
  <c r="O666" i="2"/>
  <c r="P666" i="2"/>
  <c r="Q666" i="2"/>
  <c r="K667" i="2"/>
  <c r="N667" i="2"/>
  <c r="O667" i="2"/>
  <c r="P667" i="2"/>
  <c r="Q667" i="2"/>
  <c r="D671" i="2"/>
  <c r="E671" i="2"/>
  <c r="G671" i="2"/>
  <c r="I671" i="2" s="1"/>
  <c r="J671" i="2"/>
  <c r="F672" i="2"/>
  <c r="G672" i="2"/>
  <c r="G673" i="2" s="1"/>
  <c r="S672" i="2"/>
  <c r="F673" i="2"/>
  <c r="K673" i="2"/>
  <c r="N673" i="2"/>
  <c r="O673" i="2"/>
  <c r="P673" i="2"/>
  <c r="Q673" i="2"/>
  <c r="F674" i="2"/>
  <c r="F675" i="2" s="1"/>
  <c r="F676" i="2" s="1"/>
  <c r="F677" i="2" s="1"/>
  <c r="F678" i="2" s="1"/>
  <c r="F679" i="2" s="1"/>
  <c r="F680" i="2" s="1"/>
  <c r="F681" i="2" s="1"/>
  <c r="F682" i="2" s="1"/>
  <c r="F683" i="2" s="1"/>
  <c r="F684" i="2" s="1"/>
  <c r="F685" i="2" s="1"/>
  <c r="F686" i="2" s="1"/>
  <c r="F687" i="2" s="1"/>
  <c r="F688" i="2" s="1"/>
  <c r="F689" i="2" s="1"/>
  <c r="F690" i="2" s="1"/>
  <c r="F691" i="2" s="1"/>
  <c r="F692" i="2" s="1"/>
  <c r="K674" i="2"/>
  <c r="N674" i="2"/>
  <c r="O674" i="2"/>
  <c r="P674" i="2"/>
  <c r="Q674" i="2"/>
  <c r="K675" i="2"/>
  <c r="N675" i="2"/>
  <c r="O675" i="2"/>
  <c r="P675" i="2"/>
  <c r="Q675" i="2"/>
  <c r="K676" i="2"/>
  <c r="N676" i="2"/>
  <c r="O676" i="2"/>
  <c r="P676" i="2"/>
  <c r="Q676" i="2"/>
  <c r="K677" i="2"/>
  <c r="N677" i="2"/>
  <c r="O677" i="2"/>
  <c r="P677" i="2"/>
  <c r="Q677" i="2"/>
  <c r="K678" i="2"/>
  <c r="N678" i="2"/>
  <c r="O678" i="2"/>
  <c r="P678" i="2"/>
  <c r="Q678" i="2"/>
  <c r="K679" i="2"/>
  <c r="N679" i="2"/>
  <c r="O679" i="2"/>
  <c r="P679" i="2"/>
  <c r="Q679" i="2"/>
  <c r="K680" i="2"/>
  <c r="N680" i="2"/>
  <c r="O680" i="2"/>
  <c r="P680" i="2"/>
  <c r="Q680" i="2"/>
  <c r="K681" i="2"/>
  <c r="N681" i="2"/>
  <c r="O681" i="2"/>
  <c r="P681" i="2"/>
  <c r="Q681" i="2"/>
  <c r="K682" i="2"/>
  <c r="N682" i="2"/>
  <c r="O682" i="2"/>
  <c r="P682" i="2"/>
  <c r="Q682" i="2"/>
  <c r="K683" i="2"/>
  <c r="N683" i="2"/>
  <c r="O683" i="2"/>
  <c r="P683" i="2"/>
  <c r="Q683" i="2"/>
  <c r="K684" i="2"/>
  <c r="N684" i="2"/>
  <c r="O684" i="2"/>
  <c r="P684" i="2"/>
  <c r="Q684" i="2"/>
  <c r="K685" i="2"/>
  <c r="N685" i="2"/>
  <c r="O685" i="2"/>
  <c r="P685" i="2"/>
  <c r="Q685" i="2"/>
  <c r="K686" i="2"/>
  <c r="N686" i="2"/>
  <c r="O686" i="2"/>
  <c r="P686" i="2"/>
  <c r="Q686" i="2"/>
  <c r="K687" i="2"/>
  <c r="N687" i="2"/>
  <c r="O687" i="2"/>
  <c r="P687" i="2"/>
  <c r="Q687" i="2"/>
  <c r="K688" i="2"/>
  <c r="N688" i="2"/>
  <c r="O688" i="2"/>
  <c r="P688" i="2"/>
  <c r="Q688" i="2"/>
  <c r="K689" i="2"/>
  <c r="N689" i="2"/>
  <c r="O689" i="2"/>
  <c r="P689" i="2"/>
  <c r="Q689" i="2"/>
  <c r="K690" i="2"/>
  <c r="N690" i="2"/>
  <c r="O690" i="2"/>
  <c r="P690" i="2"/>
  <c r="Q690" i="2"/>
  <c r="K691" i="2"/>
  <c r="N691" i="2"/>
  <c r="O691" i="2"/>
  <c r="P691" i="2"/>
  <c r="Q691" i="2"/>
  <c r="K692" i="2"/>
  <c r="N692" i="2"/>
  <c r="O692" i="2"/>
  <c r="P692" i="2"/>
  <c r="Q692" i="2"/>
  <c r="M15" i="1"/>
  <c r="M17" i="1"/>
  <c r="M19" i="1"/>
  <c r="T87" i="2"/>
  <c r="T86" i="2"/>
  <c r="T85" i="2"/>
  <c r="T84" i="2"/>
  <c r="T83" i="2"/>
  <c r="T82" i="2"/>
  <c r="T81" i="2"/>
  <c r="T80" i="2"/>
  <c r="T79" i="2"/>
  <c r="T78" i="2"/>
  <c r="T77" i="2"/>
  <c r="T76" i="2"/>
  <c r="T75" i="2"/>
  <c r="T74" i="2"/>
  <c r="T73" i="2"/>
  <c r="T72" i="2"/>
  <c r="T71" i="2"/>
  <c r="T70" i="2"/>
  <c r="T69" i="2"/>
  <c r="T68" i="2"/>
  <c r="T67" i="2"/>
  <c r="T66" i="2"/>
  <c r="T65" i="2"/>
  <c r="T64" i="2"/>
  <c r="T63" i="2"/>
  <c r="T62" i="2"/>
  <c r="T61" i="2"/>
  <c r="T60" i="2"/>
  <c r="T59" i="2"/>
  <c r="T58" i="2"/>
  <c r="T57" i="2"/>
  <c r="T56" i="2"/>
  <c r="T55" i="2"/>
  <c r="T54" i="2"/>
  <c r="T53" i="2"/>
  <c r="T52" i="2"/>
  <c r="T100" i="2"/>
  <c r="T108" i="2"/>
  <c r="T116" i="2"/>
  <c r="T124" i="2"/>
  <c r="T132" i="2"/>
  <c r="T134" i="2"/>
  <c r="T133" i="2"/>
  <c r="T131" i="2"/>
  <c r="T130" i="2"/>
  <c r="T129" i="2"/>
  <c r="T128" i="2"/>
  <c r="T127" i="2"/>
  <c r="T126" i="2"/>
  <c r="T125" i="2"/>
  <c r="T123" i="2"/>
  <c r="T122" i="2"/>
  <c r="T121" i="2"/>
  <c r="T120" i="2"/>
  <c r="T119" i="2"/>
  <c r="T118" i="2"/>
  <c r="T117" i="2"/>
  <c r="T115" i="2"/>
  <c r="T114" i="2"/>
  <c r="T113" i="2"/>
  <c r="T112" i="2"/>
  <c r="T111" i="2"/>
  <c r="T110" i="2"/>
  <c r="T109" i="2"/>
  <c r="T107" i="2"/>
  <c r="T106" i="2"/>
  <c r="T105" i="2"/>
  <c r="T104" i="2"/>
  <c r="T103" i="2"/>
  <c r="T102" i="2"/>
  <c r="T101" i="2"/>
  <c r="T99" i="2"/>
  <c r="T98" i="2"/>
  <c r="T97" i="2"/>
  <c r="T96" i="2"/>
  <c r="T95" i="2"/>
  <c r="T94" i="2"/>
  <c r="T141" i="2"/>
  <c r="T143" i="2"/>
  <c r="T145" i="2"/>
  <c r="T144" i="2"/>
  <c r="T142" i="2"/>
  <c r="T160" i="2"/>
  <c r="T159" i="2"/>
  <c r="T158" i="2"/>
  <c r="T157" i="2"/>
  <c r="T156" i="2"/>
  <c r="T155" i="2"/>
  <c r="T154" i="2"/>
  <c r="T153" i="2"/>
  <c r="T152" i="2"/>
  <c r="T184" i="2"/>
  <c r="T192" i="2"/>
  <c r="T202" i="2"/>
  <c r="T208" i="2"/>
  <c r="T207" i="2"/>
  <c r="T206" i="2"/>
  <c r="T205" i="2"/>
  <c r="T204" i="2"/>
  <c r="T203" i="2"/>
  <c r="T201" i="2"/>
  <c r="T200" i="2"/>
  <c r="T199" i="2"/>
  <c r="T198" i="2"/>
  <c r="T197" i="2"/>
  <c r="T196" i="2"/>
  <c r="T195" i="2"/>
  <c r="T194" i="2"/>
  <c r="T193" i="2"/>
  <c r="T191" i="2"/>
  <c r="T190" i="2"/>
  <c r="T189" i="2"/>
  <c r="T188" i="2"/>
  <c r="T187" i="2"/>
  <c r="T186" i="2"/>
  <c r="T185" i="2"/>
  <c r="T183" i="2"/>
  <c r="T182" i="2"/>
  <c r="T181" i="2"/>
  <c r="T180" i="2"/>
  <c r="T179" i="2"/>
  <c r="T178" i="2"/>
  <c r="T177" i="2"/>
  <c r="T176" i="2"/>
  <c r="T175" i="2"/>
  <c r="T174" i="2"/>
  <c r="T173" i="2"/>
  <c r="T215" i="2"/>
  <c r="T219" i="2"/>
  <c r="T223" i="2"/>
  <c r="T225" i="2"/>
  <c r="T227" i="2"/>
  <c r="T231" i="2"/>
  <c r="T233" i="2"/>
  <c r="T235" i="2"/>
  <c r="T239" i="2"/>
  <c r="T241" i="2"/>
  <c r="T240" i="2"/>
  <c r="T238" i="2"/>
  <c r="T237" i="2"/>
  <c r="T236" i="2"/>
  <c r="T234" i="2"/>
  <c r="T232" i="2"/>
  <c r="T230" i="2"/>
  <c r="T229" i="2"/>
  <c r="T228" i="2"/>
  <c r="T226" i="2"/>
  <c r="T224" i="2"/>
  <c r="T222" i="2"/>
  <c r="T221" i="2"/>
  <c r="T220" i="2"/>
  <c r="T218" i="2"/>
  <c r="T217" i="2"/>
  <c r="T216" i="2"/>
  <c r="T255" i="2"/>
  <c r="T263" i="2"/>
  <c r="T269" i="2"/>
  <c r="T270" i="2"/>
  <c r="T271" i="2"/>
  <c r="T273" i="2"/>
  <c r="T272" i="2"/>
  <c r="T268" i="2"/>
  <c r="T267" i="2"/>
  <c r="T266" i="2"/>
  <c r="T265" i="2"/>
  <c r="T264" i="2"/>
  <c r="T262" i="2"/>
  <c r="T261" i="2"/>
  <c r="T260" i="2"/>
  <c r="T259" i="2"/>
  <c r="T258" i="2"/>
  <c r="T257" i="2"/>
  <c r="T256" i="2"/>
  <c r="T254" i="2"/>
  <c r="T253" i="2"/>
  <c r="T252" i="2"/>
  <c r="T251" i="2"/>
  <c r="T250" i="2"/>
  <c r="T249" i="2"/>
  <c r="T248" i="2"/>
  <c r="T303" i="2"/>
  <c r="T305" i="2"/>
  <c r="T306" i="2"/>
  <c r="T304" i="2"/>
  <c r="T302" i="2"/>
  <c r="T301" i="2"/>
  <c r="T300" i="2"/>
  <c r="T299" i="2"/>
  <c r="T298" i="2"/>
  <c r="T297" i="2"/>
  <c r="T296" i="2"/>
  <c r="T295" i="2"/>
  <c r="T294" i="2"/>
  <c r="T293" i="2"/>
  <c r="T292" i="2"/>
  <c r="T291" i="2"/>
  <c r="T290" i="2"/>
  <c r="T289" i="2"/>
  <c r="T288" i="2"/>
  <c r="T287" i="2"/>
  <c r="T286" i="2"/>
  <c r="T285" i="2"/>
  <c r="T284" i="2"/>
  <c r="T283" i="2"/>
  <c r="T282" i="2"/>
  <c r="T281" i="2"/>
  <c r="T280" i="2"/>
  <c r="T317" i="2"/>
  <c r="T325" i="2"/>
  <c r="T326" i="2"/>
  <c r="T328" i="2"/>
  <c r="T333" i="2"/>
  <c r="T334" i="2"/>
  <c r="T336" i="2"/>
  <c r="T339" i="2"/>
  <c r="T338" i="2"/>
  <c r="T337" i="2"/>
  <c r="T335" i="2"/>
  <c r="T332" i="2"/>
  <c r="T331" i="2"/>
  <c r="T330" i="2"/>
  <c r="T329" i="2"/>
  <c r="T327" i="2"/>
  <c r="T324" i="2"/>
  <c r="T323" i="2"/>
  <c r="T322" i="2"/>
  <c r="T321" i="2"/>
  <c r="T320" i="2"/>
  <c r="T319" i="2"/>
  <c r="T318" i="2"/>
  <c r="T316" i="2"/>
  <c r="T315" i="2"/>
  <c r="T314" i="2"/>
  <c r="T313" i="2"/>
  <c r="T353" i="2"/>
  <c r="T357" i="2"/>
  <c r="T358" i="2"/>
  <c r="T359" i="2"/>
  <c r="T363" i="2"/>
  <c r="T364" i="2"/>
  <c r="T362" i="2"/>
  <c r="T361" i="2"/>
  <c r="T360" i="2"/>
  <c r="T356" i="2"/>
  <c r="T355" i="2"/>
  <c r="T354" i="2"/>
  <c r="T352" i="2"/>
  <c r="T351" i="2"/>
  <c r="T350" i="2"/>
  <c r="T349" i="2"/>
  <c r="T348" i="2"/>
  <c r="T347" i="2"/>
  <c r="T346" i="2"/>
  <c r="T375" i="2"/>
  <c r="T377" i="2"/>
  <c r="T383" i="2"/>
  <c r="T385" i="2"/>
  <c r="T388" i="2"/>
  <c r="T389" i="2"/>
  <c r="T387" i="2"/>
  <c r="T386" i="2"/>
  <c r="T384" i="2"/>
  <c r="T382" i="2"/>
  <c r="T381" i="2"/>
  <c r="T380" i="2"/>
  <c r="T379" i="2"/>
  <c r="T378" i="2"/>
  <c r="T376" i="2"/>
  <c r="T374" i="2"/>
  <c r="T373" i="2"/>
  <c r="T372" i="2"/>
  <c r="T371" i="2"/>
  <c r="T397" i="2"/>
  <c r="T398" i="2"/>
  <c r="T396" i="2"/>
  <c r="T405" i="2"/>
  <c r="T408" i="2"/>
  <c r="T409" i="2"/>
  <c r="T407" i="2"/>
  <c r="T406" i="2"/>
  <c r="T418" i="2"/>
  <c r="T422" i="2"/>
  <c r="T421" i="2"/>
  <c r="T420" i="2"/>
  <c r="T419" i="2"/>
  <c r="T417" i="2"/>
  <c r="T416" i="2"/>
  <c r="T435" i="2"/>
  <c r="T436" i="2"/>
  <c r="T444" i="2"/>
  <c r="T450" i="2"/>
  <c r="T449" i="2"/>
  <c r="T448" i="2"/>
  <c r="T447" i="2"/>
  <c r="T446" i="2"/>
  <c r="T445" i="2"/>
  <c r="T443" i="2"/>
  <c r="T442" i="2"/>
  <c r="T441" i="2"/>
  <c r="T440" i="2"/>
  <c r="T439" i="2"/>
  <c r="T438" i="2"/>
  <c r="T437" i="2"/>
  <c r="T434" i="2"/>
  <c r="T433" i="2"/>
  <c r="T432" i="2"/>
  <c r="T431" i="2"/>
  <c r="T430" i="2"/>
  <c r="T429" i="2"/>
  <c r="T463" i="2"/>
  <c r="T467" i="2"/>
  <c r="T474" i="2"/>
  <c r="T475" i="2"/>
  <c r="T479" i="2"/>
  <c r="T485" i="2"/>
  <c r="T487" i="2"/>
  <c r="T490" i="2"/>
  <c r="T493" i="2"/>
  <c r="T492" i="2"/>
  <c r="T491" i="2"/>
  <c r="T489" i="2"/>
  <c r="T488" i="2"/>
  <c r="T486" i="2"/>
  <c r="T484" i="2"/>
  <c r="T483" i="2"/>
  <c r="T482" i="2"/>
  <c r="T481" i="2"/>
  <c r="T480" i="2"/>
  <c r="T478" i="2"/>
  <c r="T477" i="2"/>
  <c r="T476" i="2"/>
  <c r="T473" i="2"/>
  <c r="T472" i="2"/>
  <c r="T471" i="2"/>
  <c r="T470" i="2"/>
  <c r="T469" i="2"/>
  <c r="T468" i="2"/>
  <c r="T466" i="2"/>
  <c r="T465" i="2"/>
  <c r="T464" i="2"/>
  <c r="T462" i="2"/>
  <c r="T461" i="2"/>
  <c r="T460" i="2"/>
  <c r="T459" i="2"/>
  <c r="T458" i="2"/>
  <c r="T457" i="2"/>
  <c r="T500" i="2"/>
  <c r="T506" i="2"/>
  <c r="T507" i="2"/>
  <c r="T510" i="2"/>
  <c r="T514" i="2"/>
  <c r="T515" i="2"/>
  <c r="T518" i="2"/>
  <c r="T519" i="2"/>
  <c r="T523" i="2"/>
  <c r="T524" i="2"/>
  <c r="T526" i="2"/>
  <c r="T525" i="2"/>
  <c r="T522" i="2"/>
  <c r="T521" i="2"/>
  <c r="T520" i="2"/>
  <c r="T517" i="2"/>
  <c r="T516" i="2"/>
  <c r="T513" i="2"/>
  <c r="T512" i="2"/>
  <c r="T511" i="2"/>
  <c r="T509" i="2"/>
  <c r="T508" i="2"/>
  <c r="T505" i="2"/>
  <c r="T504" i="2"/>
  <c r="T503" i="2"/>
  <c r="T502" i="2"/>
  <c r="T501" i="2"/>
  <c r="T537" i="2"/>
  <c r="T538" i="2"/>
  <c r="T540" i="2"/>
  <c r="T543" i="2"/>
  <c r="T545" i="2"/>
  <c r="T552" i="2"/>
  <c r="T553" i="2"/>
  <c r="T555" i="2"/>
  <c r="T556" i="2"/>
  <c r="T559" i="2"/>
  <c r="T558" i="2"/>
  <c r="T557" i="2"/>
  <c r="T554" i="2"/>
  <c r="T551" i="2"/>
  <c r="T550" i="2"/>
  <c r="T549" i="2"/>
  <c r="T548" i="2"/>
  <c r="T547" i="2"/>
  <c r="T546" i="2"/>
  <c r="T544" i="2"/>
  <c r="T542" i="2"/>
  <c r="T541" i="2"/>
  <c r="T539" i="2"/>
  <c r="T536" i="2"/>
  <c r="T535" i="2"/>
  <c r="T534" i="2"/>
  <c r="T533" i="2"/>
  <c r="T572" i="2"/>
  <c r="T573" i="2"/>
  <c r="T580" i="2"/>
  <c r="T581" i="2"/>
  <c r="T588" i="2"/>
  <c r="T589" i="2"/>
  <c r="T592" i="2"/>
  <c r="T591" i="2"/>
  <c r="T590" i="2"/>
  <c r="T587" i="2"/>
  <c r="T586" i="2"/>
  <c r="T585" i="2"/>
  <c r="T584" i="2"/>
  <c r="T583" i="2"/>
  <c r="T582" i="2"/>
  <c r="T579" i="2"/>
  <c r="T578" i="2"/>
  <c r="T577" i="2"/>
  <c r="T576" i="2"/>
  <c r="T575" i="2"/>
  <c r="T574" i="2"/>
  <c r="T571" i="2"/>
  <c r="T570" i="2"/>
  <c r="T569" i="2"/>
  <c r="T568" i="2"/>
  <c r="T567" i="2"/>
  <c r="T566" i="2"/>
  <c r="T599" i="2"/>
  <c r="T601" i="2"/>
  <c r="T602" i="2"/>
  <c r="T604" i="2"/>
  <c r="T615" i="2"/>
  <c r="T617" i="2"/>
  <c r="T618" i="2"/>
  <c r="T620" i="2"/>
  <c r="T625" i="2"/>
  <c r="T624" i="2"/>
  <c r="T623" i="2"/>
  <c r="T622" i="2"/>
  <c r="T621" i="2"/>
  <c r="T619" i="2"/>
  <c r="T616" i="2"/>
  <c r="T614" i="2"/>
  <c r="T613" i="2"/>
  <c r="T612" i="2"/>
  <c r="T611" i="2"/>
  <c r="T610" i="2"/>
  <c r="T609" i="2"/>
  <c r="T608" i="2"/>
  <c r="T607" i="2"/>
  <c r="T606" i="2"/>
  <c r="T605" i="2"/>
  <c r="T603" i="2"/>
  <c r="T600" i="2"/>
  <c r="T635" i="2"/>
  <c r="T646" i="2"/>
  <c r="T649" i="2"/>
  <c r="T657" i="2"/>
  <c r="T667" i="2"/>
  <c r="T666" i="2"/>
  <c r="T665" i="2"/>
  <c r="T664" i="2"/>
  <c r="T663" i="2"/>
  <c r="T662" i="2"/>
  <c r="T661" i="2"/>
  <c r="T660" i="2"/>
  <c r="T659" i="2"/>
  <c r="T658" i="2"/>
  <c r="T656" i="2"/>
  <c r="T655" i="2"/>
  <c r="T654" i="2"/>
  <c r="T653" i="2"/>
  <c r="T652" i="2"/>
  <c r="T651" i="2"/>
  <c r="T650" i="2"/>
  <c r="T648" i="2"/>
  <c r="T647" i="2"/>
  <c r="T645" i="2"/>
  <c r="T644" i="2"/>
  <c r="T643" i="2"/>
  <c r="T642" i="2"/>
  <c r="T641" i="2"/>
  <c r="T640" i="2"/>
  <c r="T639" i="2"/>
  <c r="T638" i="2"/>
  <c r="T637" i="2"/>
  <c r="T636" i="2"/>
  <c r="T634" i="2"/>
  <c r="T633" i="2"/>
  <c r="T632" i="2"/>
  <c r="T678" i="2"/>
  <c r="T679" i="2"/>
  <c r="T681" i="2"/>
  <c r="T684" i="2"/>
  <c r="T686" i="2"/>
  <c r="T687" i="2"/>
  <c r="T689" i="2"/>
  <c r="T692" i="2"/>
  <c r="T691" i="2"/>
  <c r="T690" i="2"/>
  <c r="T688" i="2"/>
  <c r="T685" i="2"/>
  <c r="T683" i="2"/>
  <c r="T682" i="2"/>
  <c r="T680" i="2"/>
  <c r="T677" i="2"/>
  <c r="T676" i="2"/>
  <c r="T675" i="2"/>
  <c r="T674" i="2"/>
  <c r="T20" i="2"/>
  <c r="T27" i="2"/>
  <c r="T28" i="2"/>
  <c r="T32" i="2"/>
  <c r="T35" i="2"/>
  <c r="T43" i="2"/>
  <c r="T44" i="2"/>
  <c r="T45" i="2"/>
  <c r="T42" i="2"/>
  <c r="T41" i="2"/>
  <c r="T40" i="2"/>
  <c r="T39" i="2"/>
  <c r="T38" i="2"/>
  <c r="T37" i="2"/>
  <c r="T36" i="2"/>
  <c r="T34" i="2"/>
  <c r="T33" i="2"/>
  <c r="T31" i="2"/>
  <c r="T30" i="2"/>
  <c r="T29" i="2"/>
  <c r="T26" i="2"/>
  <c r="T25" i="2"/>
  <c r="T24" i="2"/>
  <c r="T23" i="2"/>
  <c r="T22" i="2"/>
  <c r="T21" i="2"/>
  <c r="T19" i="2"/>
  <c r="F693" i="2"/>
  <c r="F626" i="2" l="1"/>
  <c r="G429" i="2"/>
  <c r="G430" i="2" s="1"/>
  <c r="G431" i="2" s="1"/>
  <c r="G432" i="2" s="1"/>
  <c r="G433" i="2" s="1"/>
  <c r="G434" i="2" s="1"/>
  <c r="G435" i="2" s="1"/>
  <c r="G436" i="2" s="1"/>
  <c r="G437" i="2" s="1"/>
  <c r="G438" i="2" s="1"/>
  <c r="G439" i="2" s="1"/>
  <c r="G440" i="2" s="1"/>
  <c r="G441" i="2" s="1"/>
  <c r="G442" i="2" s="1"/>
  <c r="G443" i="2" s="1"/>
  <c r="G444" i="2" s="1"/>
  <c r="G445" i="2" s="1"/>
  <c r="G446" i="2" s="1"/>
  <c r="G447" i="2" s="1"/>
  <c r="G448" i="2" s="1"/>
  <c r="G449" i="2" s="1"/>
  <c r="G450" i="2" s="1"/>
  <c r="G390" i="2"/>
  <c r="G371" i="2"/>
  <c r="G372" i="2" s="1"/>
  <c r="G373" i="2" s="1"/>
  <c r="G374" i="2" s="1"/>
  <c r="G375" i="2" s="1"/>
  <c r="G376" i="2" s="1"/>
  <c r="G377" i="2" s="1"/>
  <c r="G378" i="2" s="1"/>
  <c r="G379" i="2" s="1"/>
  <c r="G380" i="2" s="1"/>
  <c r="G381" i="2" s="1"/>
  <c r="G382" i="2" s="1"/>
  <c r="G383" i="2" s="1"/>
  <c r="G384" i="2" s="1"/>
  <c r="G385" i="2" s="1"/>
  <c r="G386" i="2" s="1"/>
  <c r="G387" i="2" s="1"/>
  <c r="G388" i="2" s="1"/>
  <c r="G389" i="2" s="1"/>
  <c r="G599" i="2"/>
  <c r="G600" i="2" s="1"/>
  <c r="G601" i="2" s="1"/>
  <c r="G602" i="2" s="1"/>
  <c r="G603" i="2" s="1"/>
  <c r="G604" i="2" s="1"/>
  <c r="G605" i="2" s="1"/>
  <c r="G606" i="2" s="1"/>
  <c r="G607" i="2" s="1"/>
  <c r="G608" i="2" s="1"/>
  <c r="G609" i="2" s="1"/>
  <c r="G610" i="2" s="1"/>
  <c r="G611" i="2" s="1"/>
  <c r="G612" i="2" s="1"/>
  <c r="G613" i="2" s="1"/>
  <c r="G614" i="2" s="1"/>
  <c r="G615" i="2" s="1"/>
  <c r="G616" i="2" s="1"/>
  <c r="G617" i="2" s="1"/>
  <c r="G618" i="2" s="1"/>
  <c r="G619" i="2" s="1"/>
  <c r="G620" i="2" s="1"/>
  <c r="G621" i="2" s="1"/>
  <c r="G622" i="2" s="1"/>
  <c r="G623" i="2" s="1"/>
  <c r="G624" i="2" s="1"/>
  <c r="G625" i="2" s="1"/>
  <c r="G626" i="2"/>
  <c r="F632" i="2"/>
  <c r="F633" i="2" s="1"/>
  <c r="F634" i="2" s="1"/>
  <c r="F635" i="2" s="1"/>
  <c r="F636" i="2" s="1"/>
  <c r="F637" i="2" s="1"/>
  <c r="F638" i="2" s="1"/>
  <c r="F639" i="2" s="1"/>
  <c r="F640" i="2" s="1"/>
  <c r="F641" i="2" s="1"/>
  <c r="F642" i="2" s="1"/>
  <c r="F643" i="2" s="1"/>
  <c r="F644" i="2" s="1"/>
  <c r="F645" i="2" s="1"/>
  <c r="F646" i="2" s="1"/>
  <c r="F647" i="2" s="1"/>
  <c r="F648" i="2" s="1"/>
  <c r="F649" i="2" s="1"/>
  <c r="F650" i="2" s="1"/>
  <c r="F651" i="2" s="1"/>
  <c r="F652" i="2" s="1"/>
  <c r="F653" i="2" s="1"/>
  <c r="F654" i="2" s="1"/>
  <c r="F655" i="2" s="1"/>
  <c r="F656" i="2" s="1"/>
  <c r="F657" i="2" s="1"/>
  <c r="F658" i="2" s="1"/>
  <c r="F659" i="2" s="1"/>
  <c r="F660" i="2" s="1"/>
  <c r="F661" i="2" s="1"/>
  <c r="F662" i="2" s="1"/>
  <c r="F663" i="2" s="1"/>
  <c r="F664" i="2" s="1"/>
  <c r="F665" i="2" s="1"/>
  <c r="F666" i="2" s="1"/>
  <c r="F667" i="2" s="1"/>
  <c r="F668" i="2"/>
  <c r="G560" i="2"/>
  <c r="G533" i="2"/>
  <c r="G534" i="2" s="1"/>
  <c r="G535" i="2" s="1"/>
  <c r="G536" i="2" s="1"/>
  <c r="G537" i="2" s="1"/>
  <c r="G538" i="2" s="1"/>
  <c r="G539" i="2" s="1"/>
  <c r="G540" i="2" s="1"/>
  <c r="G541" i="2" s="1"/>
  <c r="G542" i="2" s="1"/>
  <c r="G543" i="2" s="1"/>
  <c r="G544" i="2" s="1"/>
  <c r="G545" i="2" s="1"/>
  <c r="G546" i="2" s="1"/>
  <c r="G547" i="2" s="1"/>
  <c r="G548" i="2" s="1"/>
  <c r="G549" i="2" s="1"/>
  <c r="G550" i="2" s="1"/>
  <c r="G551" i="2" s="1"/>
  <c r="G552" i="2" s="1"/>
  <c r="G553" i="2" s="1"/>
  <c r="G554" i="2" s="1"/>
  <c r="G555" i="2" s="1"/>
  <c r="G556" i="2" s="1"/>
  <c r="G557" i="2" s="1"/>
  <c r="G558" i="2" s="1"/>
  <c r="G559" i="2" s="1"/>
  <c r="F416" i="2"/>
  <c r="F417" i="2" s="1"/>
  <c r="F418" i="2" s="1"/>
  <c r="F419" i="2" s="1"/>
  <c r="F420" i="2" s="1"/>
  <c r="F421" i="2" s="1"/>
  <c r="F422" i="2" s="1"/>
  <c r="F423" i="2"/>
  <c r="G416" i="2"/>
  <c r="G417" i="2" s="1"/>
  <c r="G418" i="2" s="1"/>
  <c r="G419" i="2" s="1"/>
  <c r="G420" i="2" s="1"/>
  <c r="G421" i="2" s="1"/>
  <c r="G422" i="2" s="1"/>
  <c r="G423" i="2"/>
  <c r="F371" i="2"/>
  <c r="F372" i="2" s="1"/>
  <c r="F373" i="2" s="1"/>
  <c r="F374" i="2" s="1"/>
  <c r="F375" i="2" s="1"/>
  <c r="F376" i="2" s="1"/>
  <c r="F377" i="2" s="1"/>
  <c r="F378" i="2" s="1"/>
  <c r="F379" i="2" s="1"/>
  <c r="F380" i="2" s="1"/>
  <c r="F381" i="2" s="1"/>
  <c r="F382" i="2" s="1"/>
  <c r="F383" i="2" s="1"/>
  <c r="F384" i="2" s="1"/>
  <c r="F385" i="2" s="1"/>
  <c r="F386" i="2" s="1"/>
  <c r="F387" i="2" s="1"/>
  <c r="F388" i="2" s="1"/>
  <c r="F389" i="2" s="1"/>
  <c r="F390" i="2"/>
  <c r="F399" i="2"/>
  <c r="F396" i="2"/>
  <c r="F397" i="2" s="1"/>
  <c r="F398" i="2" s="1"/>
  <c r="G566" i="2"/>
  <c r="G567" i="2" s="1"/>
  <c r="G568" i="2" s="1"/>
  <c r="G569" i="2" s="1"/>
  <c r="G570" i="2" s="1"/>
  <c r="G571" i="2" s="1"/>
  <c r="G572" i="2" s="1"/>
  <c r="G573" i="2" s="1"/>
  <c r="G574" i="2" s="1"/>
  <c r="G575" i="2" s="1"/>
  <c r="G576" i="2" s="1"/>
  <c r="G577" i="2" s="1"/>
  <c r="G578" i="2" s="1"/>
  <c r="G579" i="2" s="1"/>
  <c r="G580" i="2" s="1"/>
  <c r="G581" i="2" s="1"/>
  <c r="G582" i="2" s="1"/>
  <c r="G583" i="2" s="1"/>
  <c r="G584" i="2" s="1"/>
  <c r="G585" i="2" s="1"/>
  <c r="G586" i="2" s="1"/>
  <c r="G587" i="2" s="1"/>
  <c r="G588" i="2" s="1"/>
  <c r="G589" i="2" s="1"/>
  <c r="G590" i="2" s="1"/>
  <c r="G591" i="2" s="1"/>
  <c r="G592" i="2" s="1"/>
  <c r="G593" i="2"/>
  <c r="F429" i="2"/>
  <c r="F430" i="2" s="1"/>
  <c r="F431" i="2" s="1"/>
  <c r="F432" i="2" s="1"/>
  <c r="F433" i="2" s="1"/>
  <c r="F434" i="2" s="1"/>
  <c r="F435" i="2" s="1"/>
  <c r="F436" i="2" s="1"/>
  <c r="F437" i="2" s="1"/>
  <c r="F438" i="2" s="1"/>
  <c r="F439" i="2" s="1"/>
  <c r="F440" i="2" s="1"/>
  <c r="F441" i="2" s="1"/>
  <c r="F442" i="2" s="1"/>
  <c r="F443" i="2" s="1"/>
  <c r="F444" i="2" s="1"/>
  <c r="F445" i="2" s="1"/>
  <c r="F446" i="2" s="1"/>
  <c r="F447" i="2" s="1"/>
  <c r="F448" i="2" s="1"/>
  <c r="F449" i="2" s="1"/>
  <c r="F450" i="2" s="1"/>
  <c r="F451" i="2"/>
  <c r="G674" i="2"/>
  <c r="G675" i="2" s="1"/>
  <c r="G676" i="2" s="1"/>
  <c r="G677" i="2" s="1"/>
  <c r="G678" i="2" s="1"/>
  <c r="G679" i="2" s="1"/>
  <c r="G680" i="2" s="1"/>
  <c r="G681" i="2" s="1"/>
  <c r="G682" i="2" s="1"/>
  <c r="G683" i="2" s="1"/>
  <c r="G684" i="2" s="1"/>
  <c r="G685" i="2" s="1"/>
  <c r="G686" i="2" s="1"/>
  <c r="G687" i="2" s="1"/>
  <c r="G688" i="2" s="1"/>
  <c r="G689" i="2" s="1"/>
  <c r="G690" i="2" s="1"/>
  <c r="G691" i="2" s="1"/>
  <c r="G692" i="2" s="1"/>
  <c r="G693" i="2"/>
  <c r="F410" i="2"/>
  <c r="F405" i="2"/>
  <c r="F406" i="2" s="1"/>
  <c r="F407" i="2" s="1"/>
  <c r="F408" i="2" s="1"/>
  <c r="F409" i="2" s="1"/>
  <c r="G630" i="2"/>
  <c r="G631" i="2" s="1"/>
  <c r="G365" i="2"/>
  <c r="G313" i="2"/>
  <c r="G314" i="2" s="1"/>
  <c r="G315" i="2" s="1"/>
  <c r="G316" i="2" s="1"/>
  <c r="G317" i="2" s="1"/>
  <c r="G318" i="2" s="1"/>
  <c r="G319" i="2" s="1"/>
  <c r="G320" i="2" s="1"/>
  <c r="G321" i="2" s="1"/>
  <c r="G322" i="2" s="1"/>
  <c r="G323" i="2" s="1"/>
  <c r="G324" i="2" s="1"/>
  <c r="G325" i="2" s="1"/>
  <c r="G326" i="2" s="1"/>
  <c r="G327" i="2" s="1"/>
  <c r="G328" i="2" s="1"/>
  <c r="G329" i="2" s="1"/>
  <c r="G330" i="2" s="1"/>
  <c r="G331" i="2" s="1"/>
  <c r="G332" i="2" s="1"/>
  <c r="G333" i="2" s="1"/>
  <c r="G334" i="2" s="1"/>
  <c r="G335" i="2" s="1"/>
  <c r="G336" i="2" s="1"/>
  <c r="G337" i="2" s="1"/>
  <c r="G338" i="2" s="1"/>
  <c r="G339" i="2" s="1"/>
  <c r="G340" i="2"/>
  <c r="G215" i="2"/>
  <c r="G216" i="2" s="1"/>
  <c r="G217" i="2" s="1"/>
  <c r="G218" i="2" s="1"/>
  <c r="G219" i="2" s="1"/>
  <c r="G220" i="2" s="1"/>
  <c r="G221" i="2" s="1"/>
  <c r="G222" i="2" s="1"/>
  <c r="G223" i="2" s="1"/>
  <c r="G224" i="2" s="1"/>
  <c r="G225" i="2" s="1"/>
  <c r="G226" i="2" s="1"/>
  <c r="G227" i="2" s="1"/>
  <c r="G228" i="2" s="1"/>
  <c r="G229" i="2" s="1"/>
  <c r="G230" i="2" s="1"/>
  <c r="G231" i="2" s="1"/>
  <c r="G232" i="2" s="1"/>
  <c r="G233" i="2" s="1"/>
  <c r="G234" i="2" s="1"/>
  <c r="G235" i="2" s="1"/>
  <c r="G236" i="2" s="1"/>
  <c r="G237" i="2" s="1"/>
  <c r="G238" i="2" s="1"/>
  <c r="G239" i="2" s="1"/>
  <c r="G240" i="2" s="1"/>
  <c r="G241" i="2" s="1"/>
  <c r="G242" i="2"/>
  <c r="F19" i="2"/>
  <c r="F20" i="2" s="1"/>
  <c r="F21" i="2" s="1"/>
  <c r="F22" i="2" s="1"/>
  <c r="F23" i="2" s="1"/>
  <c r="F24" i="2" s="1"/>
  <c r="F25" i="2" s="1"/>
  <c r="F26" i="2" s="1"/>
  <c r="F27" i="2" s="1"/>
  <c r="F28" i="2" s="1"/>
  <c r="F29" i="2" s="1"/>
  <c r="F30" i="2" s="1"/>
  <c r="F31" i="2" s="1"/>
  <c r="F32" i="2" s="1"/>
  <c r="F33" i="2" s="1"/>
  <c r="F34" i="2" s="1"/>
  <c r="F35" i="2" s="1"/>
  <c r="F36" i="2" s="1"/>
  <c r="F37" i="2" s="1"/>
  <c r="F38" i="2" s="1"/>
  <c r="F39" i="2" s="1"/>
  <c r="F40" i="2" s="1"/>
  <c r="F41" i="2" s="1"/>
  <c r="F42" i="2" s="1"/>
  <c r="F43" i="2" s="1"/>
  <c r="F44" i="2" s="1"/>
  <c r="F45" i="2" s="1"/>
  <c r="F46" i="2"/>
  <c r="F280" i="2"/>
  <c r="F281" i="2" s="1"/>
  <c r="F282" i="2" s="1"/>
  <c r="F283" i="2" s="1"/>
  <c r="F284" i="2" s="1"/>
  <c r="F285" i="2" s="1"/>
  <c r="F286" i="2" s="1"/>
  <c r="F287" i="2" s="1"/>
  <c r="F288" i="2" s="1"/>
  <c r="F289" i="2" s="1"/>
  <c r="F290" i="2" s="1"/>
  <c r="F291" i="2" s="1"/>
  <c r="F292" i="2" s="1"/>
  <c r="F293" i="2" s="1"/>
  <c r="F294" i="2" s="1"/>
  <c r="F295" i="2" s="1"/>
  <c r="F296" i="2" s="1"/>
  <c r="F297" i="2" s="1"/>
  <c r="F298" i="2" s="1"/>
  <c r="F299" i="2" s="1"/>
  <c r="F300" i="2" s="1"/>
  <c r="F301" i="2" s="1"/>
  <c r="F302" i="2" s="1"/>
  <c r="F303" i="2" s="1"/>
  <c r="F304" i="2" s="1"/>
  <c r="F305" i="2" s="1"/>
  <c r="F306" i="2" s="1"/>
  <c r="F307" i="2"/>
  <c r="G394" i="2"/>
  <c r="G395" i="2" s="1"/>
  <c r="G135" i="2"/>
  <c r="G94" i="2"/>
  <c r="G95" i="2" s="1"/>
  <c r="G96" i="2" s="1"/>
  <c r="G97" i="2" s="1"/>
  <c r="G98" i="2" s="1"/>
  <c r="G99" i="2" s="1"/>
  <c r="G100" i="2" s="1"/>
  <c r="G101" i="2" s="1"/>
  <c r="G102" i="2" s="1"/>
  <c r="G103" i="2" s="1"/>
  <c r="G104" i="2" s="1"/>
  <c r="G105" i="2" s="1"/>
  <c r="G106" i="2" s="1"/>
  <c r="G107" i="2" s="1"/>
  <c r="G108" i="2" s="1"/>
  <c r="G109" i="2" s="1"/>
  <c r="G110" i="2" s="1"/>
  <c r="G111" i="2" s="1"/>
  <c r="G112" i="2" s="1"/>
  <c r="G113" i="2" s="1"/>
  <c r="G114" i="2" s="1"/>
  <c r="G115" i="2" s="1"/>
  <c r="G116" i="2" s="1"/>
  <c r="G117" i="2" s="1"/>
  <c r="G118" i="2" s="1"/>
  <c r="G119" i="2" s="1"/>
  <c r="G120" i="2" s="1"/>
  <c r="G121" i="2" s="1"/>
  <c r="G122" i="2" s="1"/>
  <c r="G123" i="2" s="1"/>
  <c r="G124" i="2" s="1"/>
  <c r="G125" i="2" s="1"/>
  <c r="G126" i="2" s="1"/>
  <c r="G127" i="2" s="1"/>
  <c r="G128" i="2" s="1"/>
  <c r="G129" i="2" s="1"/>
  <c r="G130" i="2" s="1"/>
  <c r="G131" i="2" s="1"/>
  <c r="G132" i="2" s="1"/>
  <c r="G133" i="2" s="1"/>
  <c r="G134" i="2" s="1"/>
  <c r="G280" i="2"/>
  <c r="G281" i="2" s="1"/>
  <c r="G282" i="2" s="1"/>
  <c r="G283" i="2" s="1"/>
  <c r="G284" i="2" s="1"/>
  <c r="G285" i="2" s="1"/>
  <c r="G286" i="2" s="1"/>
  <c r="G287" i="2" s="1"/>
  <c r="G288" i="2" s="1"/>
  <c r="G289" i="2" s="1"/>
  <c r="G290" i="2" s="1"/>
  <c r="G291" i="2" s="1"/>
  <c r="G292" i="2" s="1"/>
  <c r="G293" i="2" s="1"/>
  <c r="G294" i="2" s="1"/>
  <c r="G295" i="2" s="1"/>
  <c r="G296" i="2" s="1"/>
  <c r="G297" i="2" s="1"/>
  <c r="G298" i="2" s="1"/>
  <c r="G299" i="2" s="1"/>
  <c r="G300" i="2" s="1"/>
  <c r="G301" i="2" s="1"/>
  <c r="G302" i="2" s="1"/>
  <c r="G303" i="2" s="1"/>
  <c r="G304" i="2" s="1"/>
  <c r="G305" i="2" s="1"/>
  <c r="G306" i="2" s="1"/>
  <c r="G307" i="2"/>
  <c r="G209" i="2"/>
  <c r="G173" i="2"/>
  <c r="G174" i="2" s="1"/>
  <c r="G175" i="2" s="1"/>
  <c r="G176" i="2" s="1"/>
  <c r="G177" i="2" s="1"/>
  <c r="G178" i="2" s="1"/>
  <c r="G179" i="2" s="1"/>
  <c r="G180" i="2" s="1"/>
  <c r="G181" i="2" s="1"/>
  <c r="G182" i="2" s="1"/>
  <c r="G183" i="2" s="1"/>
  <c r="G184" i="2" s="1"/>
  <c r="G185" i="2" s="1"/>
  <c r="G186" i="2" s="1"/>
  <c r="G187" i="2" s="1"/>
  <c r="G188" i="2" s="1"/>
  <c r="G189" i="2" s="1"/>
  <c r="G190" i="2" s="1"/>
  <c r="G191" i="2" s="1"/>
  <c r="G192" i="2" s="1"/>
  <c r="G193" i="2" s="1"/>
  <c r="G194" i="2" s="1"/>
  <c r="G195" i="2" s="1"/>
  <c r="G196" i="2" s="1"/>
  <c r="G197" i="2" s="1"/>
  <c r="G198" i="2" s="1"/>
  <c r="G199" i="2" s="1"/>
  <c r="G200" i="2" s="1"/>
  <c r="G201" i="2" s="1"/>
  <c r="G202" i="2" s="1"/>
  <c r="G203" i="2" s="1"/>
  <c r="G204" i="2" s="1"/>
  <c r="G205" i="2" s="1"/>
  <c r="G206" i="2" s="1"/>
  <c r="G207" i="2" s="1"/>
  <c r="G208" i="2" s="1"/>
  <c r="G274" i="2"/>
  <c r="G248" i="2"/>
  <c r="G249" i="2" s="1"/>
  <c r="G250" i="2" s="1"/>
  <c r="G251" i="2" s="1"/>
  <c r="G252" i="2" s="1"/>
  <c r="G253" i="2" s="1"/>
  <c r="G254" i="2" s="1"/>
  <c r="G255" i="2" s="1"/>
  <c r="G256" i="2" s="1"/>
  <c r="G257" i="2" s="1"/>
  <c r="G258" i="2" s="1"/>
  <c r="G259" i="2" s="1"/>
  <c r="G260" i="2" s="1"/>
  <c r="G261" i="2" s="1"/>
  <c r="G262" i="2" s="1"/>
  <c r="G263" i="2" s="1"/>
  <c r="G264" i="2" s="1"/>
  <c r="G265" i="2" s="1"/>
  <c r="G266" i="2" s="1"/>
  <c r="G267" i="2" s="1"/>
  <c r="G268" i="2" s="1"/>
  <c r="G269" i="2" s="1"/>
  <c r="G270" i="2" s="1"/>
  <c r="G271" i="2" s="1"/>
  <c r="G272" i="2" s="1"/>
  <c r="G273" i="2" s="1"/>
  <c r="F215" i="2"/>
  <c r="F216" i="2" s="1"/>
  <c r="F217" i="2" s="1"/>
  <c r="F218" i="2" s="1"/>
  <c r="F219" i="2" s="1"/>
  <c r="F220" i="2" s="1"/>
  <c r="F221" i="2" s="1"/>
  <c r="F222" i="2" s="1"/>
  <c r="F223" i="2" s="1"/>
  <c r="F224" i="2" s="1"/>
  <c r="F225" i="2" s="1"/>
  <c r="F226" i="2" s="1"/>
  <c r="F227" i="2" s="1"/>
  <c r="F228" i="2" s="1"/>
  <c r="F229" i="2" s="1"/>
  <c r="F230" i="2" s="1"/>
  <c r="F231" i="2" s="1"/>
  <c r="F232" i="2" s="1"/>
  <c r="F233" i="2" s="1"/>
  <c r="F234" i="2" s="1"/>
  <c r="F235" i="2" s="1"/>
  <c r="F236" i="2" s="1"/>
  <c r="F237" i="2" s="1"/>
  <c r="F238" i="2" s="1"/>
  <c r="F239" i="2" s="1"/>
  <c r="F240" i="2" s="1"/>
  <c r="F241" i="2" s="1"/>
  <c r="F242" i="2"/>
  <c r="F209" i="2"/>
  <c r="F173" i="2"/>
  <c r="F174" i="2" s="1"/>
  <c r="F175" i="2" s="1"/>
  <c r="F176" i="2" s="1"/>
  <c r="F177" i="2" s="1"/>
  <c r="F178" i="2" s="1"/>
  <c r="F179" i="2" s="1"/>
  <c r="F180" i="2" s="1"/>
  <c r="F181" i="2" s="1"/>
  <c r="F182" i="2" s="1"/>
  <c r="F183" i="2" s="1"/>
  <c r="F184" i="2" s="1"/>
  <c r="F185" i="2" s="1"/>
  <c r="F186" i="2" s="1"/>
  <c r="F187" i="2" s="1"/>
  <c r="F188" i="2" s="1"/>
  <c r="F189" i="2" s="1"/>
  <c r="F190" i="2" s="1"/>
  <c r="F191" i="2" s="1"/>
  <c r="F192" i="2" s="1"/>
  <c r="F193" i="2" s="1"/>
  <c r="F194" i="2" s="1"/>
  <c r="F195" i="2" s="1"/>
  <c r="F196" i="2" s="1"/>
  <c r="F197" i="2" s="1"/>
  <c r="F198" i="2" s="1"/>
  <c r="F199" i="2" s="1"/>
  <c r="F200" i="2" s="1"/>
  <c r="F201" i="2" s="1"/>
  <c r="F202" i="2" s="1"/>
  <c r="F203" i="2" s="1"/>
  <c r="F204" i="2" s="1"/>
  <c r="F205" i="2" s="1"/>
  <c r="F206" i="2" s="1"/>
  <c r="F207" i="2" s="1"/>
  <c r="F208" i="2" s="1"/>
  <c r="G146" i="2"/>
  <c r="G141" i="2"/>
  <c r="G142" i="2" s="1"/>
  <c r="G143" i="2" s="1"/>
  <c r="G144" i="2" s="1"/>
  <c r="G145" i="2" s="1"/>
  <c r="I366" i="2"/>
  <c r="G161" i="2"/>
  <c r="G152" i="2"/>
  <c r="G153" i="2" s="1"/>
  <c r="G154" i="2" s="1"/>
  <c r="G155" i="2" s="1"/>
  <c r="G156" i="2" s="1"/>
  <c r="G157" i="2" s="1"/>
  <c r="G158" i="2" s="1"/>
  <c r="G159" i="2" s="1"/>
  <c r="G160" i="2" s="1"/>
  <c r="F88" i="2"/>
  <c r="F52" i="2"/>
  <c r="F53" i="2" s="1"/>
  <c r="F54" i="2" s="1"/>
  <c r="F55" i="2" s="1"/>
  <c r="F56" i="2" s="1"/>
  <c r="F57" i="2" s="1"/>
  <c r="F58" i="2" s="1"/>
  <c r="F59" i="2" s="1"/>
  <c r="F60" i="2" s="1"/>
  <c r="F61" i="2" s="1"/>
  <c r="F62" i="2" s="1"/>
  <c r="F63" i="2" s="1"/>
  <c r="F64" i="2" s="1"/>
  <c r="F65" i="2" s="1"/>
  <c r="F66" i="2" s="1"/>
  <c r="F67" i="2" s="1"/>
  <c r="F68" i="2" s="1"/>
  <c r="F69" i="2" s="1"/>
  <c r="F70" i="2" s="1"/>
  <c r="F71" i="2" s="1"/>
  <c r="F72" i="2" s="1"/>
  <c r="F73" i="2" s="1"/>
  <c r="F74" i="2" s="1"/>
  <c r="F75" i="2" s="1"/>
  <c r="F76" i="2" s="1"/>
  <c r="F77" i="2" s="1"/>
  <c r="F78" i="2" s="1"/>
  <c r="F79" i="2" s="1"/>
  <c r="F80" i="2" s="1"/>
  <c r="F81" i="2" s="1"/>
  <c r="F82" i="2" s="1"/>
  <c r="F83" i="2" s="1"/>
  <c r="F84" i="2" s="1"/>
  <c r="F85" i="2" s="1"/>
  <c r="F86" i="2" s="1"/>
  <c r="F87" i="2" s="1"/>
  <c r="F146" i="2"/>
  <c r="I212" i="2"/>
  <c r="I243" i="2" s="1"/>
  <c r="I164" i="2"/>
  <c r="I168" i="2" s="1"/>
  <c r="G50" i="2"/>
  <c r="G51" i="2" s="1"/>
  <c r="F248" i="2"/>
  <c r="F249" i="2" s="1"/>
  <c r="F250" i="2" s="1"/>
  <c r="F251" i="2" s="1"/>
  <c r="F252" i="2" s="1"/>
  <c r="F253" i="2" s="1"/>
  <c r="F254" i="2" s="1"/>
  <c r="F255" i="2" s="1"/>
  <c r="F256" i="2" s="1"/>
  <c r="F257" i="2" s="1"/>
  <c r="F258" i="2" s="1"/>
  <c r="F259" i="2" s="1"/>
  <c r="F260" i="2" s="1"/>
  <c r="F261" i="2" s="1"/>
  <c r="F262" i="2" s="1"/>
  <c r="F263" i="2" s="1"/>
  <c r="F264" i="2" s="1"/>
  <c r="F265" i="2" s="1"/>
  <c r="F266" i="2" s="1"/>
  <c r="F267" i="2" s="1"/>
  <c r="F268" i="2" s="1"/>
  <c r="F269" i="2" s="1"/>
  <c r="F270" i="2" s="1"/>
  <c r="F271" i="2" s="1"/>
  <c r="F272" i="2" s="1"/>
  <c r="F273" i="2" s="1"/>
  <c r="F152" i="2"/>
  <c r="F153" i="2" s="1"/>
  <c r="F154" i="2" s="1"/>
  <c r="F155" i="2" s="1"/>
  <c r="F156" i="2" s="1"/>
  <c r="F157" i="2" s="1"/>
  <c r="F158" i="2" s="1"/>
  <c r="F159" i="2" s="1"/>
  <c r="F160" i="2" s="1"/>
  <c r="I694" i="2"/>
  <c r="G52" i="2" l="1"/>
  <c r="G53" i="2" s="1"/>
  <c r="G54" i="2" s="1"/>
  <c r="G55" i="2" s="1"/>
  <c r="G56" i="2" s="1"/>
  <c r="G57" i="2" s="1"/>
  <c r="G58" i="2" s="1"/>
  <c r="G59" i="2" s="1"/>
  <c r="G60" i="2" s="1"/>
  <c r="G61" i="2" s="1"/>
  <c r="G62" i="2" s="1"/>
  <c r="G63" i="2" s="1"/>
  <c r="G64" i="2" s="1"/>
  <c r="G65" i="2" s="1"/>
  <c r="G66" i="2" s="1"/>
  <c r="G67" i="2" s="1"/>
  <c r="G68" i="2" s="1"/>
  <c r="G69" i="2" s="1"/>
  <c r="G70" i="2" s="1"/>
  <c r="G71" i="2" s="1"/>
  <c r="G72" i="2" s="1"/>
  <c r="G73" i="2" s="1"/>
  <c r="G74" i="2" s="1"/>
  <c r="G75" i="2" s="1"/>
  <c r="G76" i="2" s="1"/>
  <c r="G77" i="2" s="1"/>
  <c r="G78" i="2" s="1"/>
  <c r="G79" i="2" s="1"/>
  <c r="G80" i="2" s="1"/>
  <c r="G81" i="2" s="1"/>
  <c r="G82" i="2" s="1"/>
  <c r="G83" i="2" s="1"/>
  <c r="G84" i="2" s="1"/>
  <c r="G85" i="2" s="1"/>
  <c r="G86" i="2" s="1"/>
  <c r="G87" i="2" s="1"/>
  <c r="G88" i="2"/>
  <c r="G632" i="2"/>
  <c r="G633" i="2" s="1"/>
  <c r="G634" i="2" s="1"/>
  <c r="G635" i="2" s="1"/>
  <c r="G636" i="2" s="1"/>
  <c r="G637" i="2" s="1"/>
  <c r="G638" i="2" s="1"/>
  <c r="G639" i="2" s="1"/>
  <c r="G640" i="2" s="1"/>
  <c r="G641" i="2" s="1"/>
  <c r="G642" i="2" s="1"/>
  <c r="G643" i="2" s="1"/>
  <c r="G644" i="2" s="1"/>
  <c r="G645" i="2" s="1"/>
  <c r="G646" i="2" s="1"/>
  <c r="G647" i="2" s="1"/>
  <c r="G648" i="2" s="1"/>
  <c r="G649" i="2" s="1"/>
  <c r="G650" i="2" s="1"/>
  <c r="G651" i="2" s="1"/>
  <c r="G652" i="2" s="1"/>
  <c r="G653" i="2" s="1"/>
  <c r="G654" i="2" s="1"/>
  <c r="G655" i="2" s="1"/>
  <c r="G656" i="2" s="1"/>
  <c r="G657" i="2" s="1"/>
  <c r="G658" i="2" s="1"/>
  <c r="G659" i="2" s="1"/>
  <c r="G660" i="2" s="1"/>
  <c r="G661" i="2" s="1"/>
  <c r="G662" i="2" s="1"/>
  <c r="G663" i="2" s="1"/>
  <c r="G664" i="2" s="1"/>
  <c r="G665" i="2" s="1"/>
  <c r="G666" i="2" s="1"/>
  <c r="G667" i="2" s="1"/>
  <c r="G668" i="2"/>
  <c r="G399" i="2"/>
  <c r="G396" i="2"/>
  <c r="G397" i="2" s="1"/>
  <c r="G398" i="2" s="1"/>
  <c r="K19" i="1"/>
  <c r="K17" i="1"/>
  <c r="K15" i="1"/>
  <c r="K13" i="1"/>
  <c r="C3" i="2" s="1"/>
  <c r="K11" i="1"/>
  <c r="C2" i="2" s="1"/>
  <c r="I7" i="2" l="1"/>
  <c r="C8" i="2"/>
  <c r="T455" i="2"/>
  <c r="T139" i="2"/>
  <c r="T598" i="2"/>
  <c r="T428" i="2"/>
  <c r="T51" i="2"/>
  <c r="T279" i="2"/>
  <c r="T151" i="2"/>
  <c r="T565" i="2"/>
  <c r="T395" i="2"/>
  <c r="T630" i="2"/>
  <c r="T172" i="2"/>
  <c r="T213" i="2"/>
  <c r="T247" i="2"/>
  <c r="T50" i="2"/>
  <c r="T456" i="2"/>
  <c r="T93" i="2"/>
  <c r="T370" i="2"/>
  <c r="T214" i="2"/>
  <c r="T673" i="2"/>
  <c r="T171" i="2" l="1"/>
  <c r="T210" i="2" s="1"/>
  <c r="T89" i="2"/>
  <c r="T369" i="2"/>
  <c r="T394" i="2"/>
  <c r="T400" i="2" s="1"/>
  <c r="T165" i="2"/>
  <c r="T168" i="2" s="1"/>
  <c r="T246" i="2"/>
  <c r="T275" i="2" s="1"/>
  <c r="T672" i="2"/>
  <c r="T694" i="2" s="1"/>
  <c r="T532" i="2"/>
  <c r="T427" i="2"/>
  <c r="T452" i="2" s="1"/>
  <c r="T312" i="2"/>
  <c r="T344" i="2"/>
  <c r="T366" i="2" s="1"/>
  <c r="T166" i="2"/>
  <c r="T404" i="2"/>
  <c r="T669" i="2"/>
  <c r="T311" i="2"/>
  <c r="T341" i="2" s="1"/>
  <c r="T631" i="2"/>
  <c r="T415" i="2"/>
  <c r="T92" i="2"/>
  <c r="T136" i="2" s="1"/>
  <c r="T564" i="2"/>
  <c r="T594" i="2" s="1"/>
  <c r="T414" i="2"/>
  <c r="T424" i="2" s="1"/>
  <c r="T499" i="2"/>
  <c r="T498" i="2"/>
  <c r="T345" i="2"/>
  <c r="T140" i="2"/>
  <c r="T147" i="2" s="1"/>
  <c r="T150" i="2"/>
  <c r="T162" i="2" s="1"/>
  <c r="T403" i="2"/>
  <c r="T597" i="2"/>
  <c r="T627" i="2" s="1"/>
  <c r="T531" i="2"/>
  <c r="T561" i="2" s="1"/>
  <c r="T278" i="2"/>
  <c r="T308" i="2" s="1"/>
  <c r="T391" i="2"/>
  <c r="T243" i="2"/>
  <c r="T495" i="2"/>
  <c r="T411" i="2" l="1"/>
  <c r="T528" i="2"/>
  <c r="T17" i="2" l="1"/>
  <c r="T18" i="2" l="1"/>
  <c r="T47" i="2" l="1"/>
  <c r="T697" i="2" s="1"/>
</calcChain>
</file>

<file path=xl/sharedStrings.xml><?xml version="1.0" encoding="utf-8"?>
<sst xmlns="http://schemas.openxmlformats.org/spreadsheetml/2006/main" count="9003" uniqueCount="7222">
  <si>
    <t>Title</t>
  </si>
  <si>
    <t>Value</t>
  </si>
  <si>
    <t>Lookup</t>
  </si>
  <si>
    <t>Filters</t>
  </si>
  <si>
    <t>Option</t>
  </si>
  <si>
    <t>Start Date</t>
  </si>
  <si>
    <t>End Date</t>
  </si>
  <si>
    <t>Company</t>
  </si>
  <si>
    <t>Location</t>
  </si>
  <si>
    <t>Department</t>
  </si>
  <si>
    <t>Current Filter</t>
  </si>
  <si>
    <t>Print Date:</t>
  </si>
  <si>
    <t>G/L Account No.</t>
  </si>
  <si>
    <t>Transaction Date</t>
  </si>
  <si>
    <t>Journal No.</t>
  </si>
  <si>
    <t>Vendor</t>
  </si>
  <si>
    <t>Reference</t>
  </si>
  <si>
    <t>Transaction Description</t>
  </si>
  <si>
    <t>Fit</t>
  </si>
  <si>
    <t>G/L Account Name</t>
  </si>
  <si>
    <t>Hide</t>
  </si>
  <si>
    <t>Beginning Period</t>
  </si>
  <si>
    <t>Document Number</t>
  </si>
  <si>
    <t>Debit Amount</t>
  </si>
  <si>
    <t>Credit Amount</t>
  </si>
  <si>
    <t>Total</t>
  </si>
  <si>
    <t>Account Filter</t>
  </si>
  <si>
    <t>GL Activity Detail Report</t>
  </si>
  <si>
    <t>Report Total:</t>
  </si>
  <si>
    <t>=YEAR($C$2)&amp;"/0"</t>
  </si>
  <si>
    <t>="For the Period of "&amp;TEXT($C$2,"MMMM D, YYYY")&amp;" through "&amp;TEXT($C$3,"MMMM D, YYYY")</t>
  </si>
  <si>
    <t>Auto</t>
  </si>
  <si>
    <t>=G531</t>
  </si>
  <si>
    <t>=G536</t>
  </si>
  <si>
    <t>=G541</t>
  </si>
  <si>
    <t>=G546</t>
  </si>
  <si>
    <t>=G551</t>
  </si>
  <si>
    <t>=G556</t>
  </si>
  <si>
    <t>=G571</t>
  </si>
  <si>
    <t>=G576</t>
  </si>
  <si>
    <t>=G581</t>
  </si>
  <si>
    <t>=G586</t>
  </si>
  <si>
    <t>=G596</t>
  </si>
  <si>
    <t>=G601</t>
  </si>
  <si>
    <t>=G606</t>
  </si>
  <si>
    <t>=G611</t>
  </si>
  <si>
    <t>=G616</t>
  </si>
  <si>
    <t>=G621</t>
  </si>
  <si>
    <t>=G636</t>
  </si>
  <si>
    <t>=G641</t>
  </si>
  <si>
    <t>=G646</t>
  </si>
  <si>
    <t>=G651</t>
  </si>
  <si>
    <t>=G666</t>
  </si>
  <si>
    <t>=G671</t>
  </si>
  <si>
    <t>=G676</t>
  </si>
  <si>
    <t>42</t>
  </si>
  <si>
    <t>43</t>
  </si>
  <si>
    <t>=G686</t>
  </si>
  <si>
    <t>=G691</t>
  </si>
  <si>
    <t>49</t>
  </si>
  <si>
    <t>57</t>
  </si>
  <si>
    <t>144</t>
  </si>
  <si>
    <t>199</t>
  </si>
  <si>
    <t>201</t>
  </si>
  <si>
    <t>222</t>
  </si>
  <si>
    <t>=G127</t>
  </si>
  <si>
    <t>=F127</t>
  </si>
  <si>
    <t>=G489</t>
  </si>
  <si>
    <t>=F489</t>
  </si>
  <si>
    <t>=G673</t>
  </si>
  <si>
    <t>=F673</t>
  </si>
  <si>
    <t>=G16</t>
  </si>
  <si>
    <t>=F16</t>
  </si>
  <si>
    <t>=F17</t>
  </si>
  <si>
    <t>=G17</t>
  </si>
  <si>
    <t>=F18</t>
  </si>
  <si>
    <t>=G18</t>
  </si>
  <si>
    <t>=F19</t>
  </si>
  <si>
    <t>=G19</t>
  </si>
  <si>
    <t>=F20</t>
  </si>
  <si>
    <t>=G20</t>
  </si>
  <si>
    <t>=F21</t>
  </si>
  <si>
    <t>=G21</t>
  </si>
  <si>
    <t>=F22</t>
  </si>
  <si>
    <t>=G22</t>
  </si>
  <si>
    <t>=F23</t>
  </si>
  <si>
    <t>=G23</t>
  </si>
  <si>
    <t>=F24</t>
  </si>
  <si>
    <t>=G24</t>
  </si>
  <si>
    <t>=F25</t>
  </si>
  <si>
    <t>=G25</t>
  </si>
  <si>
    <t>=F26</t>
  </si>
  <si>
    <t>=G26</t>
  </si>
  <si>
    <t>=F27</t>
  </si>
  <si>
    <t>=G27</t>
  </si>
  <si>
    <t>=F28</t>
  </si>
  <si>
    <t>=G28</t>
  </si>
  <si>
    <t>=F29</t>
  </si>
  <si>
    <t>=G29</t>
  </si>
  <si>
    <t>=F30</t>
  </si>
  <si>
    <t>=G30</t>
  </si>
  <si>
    <t>=F31</t>
  </si>
  <si>
    <t>=G31</t>
  </si>
  <si>
    <t>=F32</t>
  </si>
  <si>
    <t>=G32</t>
  </si>
  <si>
    <t>=F33</t>
  </si>
  <si>
    <t>=G33</t>
  </si>
  <si>
    <t>=F34</t>
  </si>
  <si>
    <t>=G34</t>
  </si>
  <si>
    <t>=F35</t>
  </si>
  <si>
    <t>=G35</t>
  </si>
  <si>
    <t>=F36</t>
  </si>
  <si>
    <t>=G36</t>
  </si>
  <si>
    <t>=F37</t>
  </si>
  <si>
    <t>=G37</t>
  </si>
  <si>
    <t>=F38</t>
  </si>
  <si>
    <t>=G38</t>
  </si>
  <si>
    <t>=F39</t>
  </si>
  <si>
    <t>=G39</t>
  </si>
  <si>
    <t>=F40</t>
  </si>
  <si>
    <t>=G40</t>
  </si>
  <si>
    <t>=F41</t>
  </si>
  <si>
    <t>=G41</t>
  </si>
  <si>
    <t>=F42</t>
  </si>
  <si>
    <t>=G42</t>
  </si>
  <si>
    <t>=F43</t>
  </si>
  <si>
    <t>=G43</t>
  </si>
  <si>
    <t>=F44</t>
  </si>
  <si>
    <t>=G44</t>
  </si>
  <si>
    <t>=F49</t>
  </si>
  <si>
    <t>=G49</t>
  </si>
  <si>
    <t>=F50</t>
  </si>
  <si>
    <t>=G50</t>
  </si>
  <si>
    <t>=F51</t>
  </si>
  <si>
    <t>=G51</t>
  </si>
  <si>
    <t>=F52</t>
  </si>
  <si>
    <t>=G52</t>
  </si>
  <si>
    <t>=F53</t>
  </si>
  <si>
    <t>=G53</t>
  </si>
  <si>
    <t>=F54</t>
  </si>
  <si>
    <t>=G54</t>
  </si>
  <si>
    <t>=F55</t>
  </si>
  <si>
    <t>=G55</t>
  </si>
  <si>
    <t>=F56</t>
  </si>
  <si>
    <t>=G56</t>
  </si>
  <si>
    <t>=F57</t>
  </si>
  <si>
    <t>=G57</t>
  </si>
  <si>
    <t>=F58</t>
  </si>
  <si>
    <t>=G58</t>
  </si>
  <si>
    <t>=F59</t>
  </si>
  <si>
    <t>=G59</t>
  </si>
  <si>
    <t>=F60</t>
  </si>
  <si>
    <t>=G60</t>
  </si>
  <si>
    <t>=F61</t>
  </si>
  <si>
    <t>=G61</t>
  </si>
  <si>
    <t>=F62</t>
  </si>
  <si>
    <t>=G62</t>
  </si>
  <si>
    <t>=F63</t>
  </si>
  <si>
    <t>=G63</t>
  </si>
  <si>
    <t>=F64</t>
  </si>
  <si>
    <t>=G64</t>
  </si>
  <si>
    <t>=F65</t>
  </si>
  <si>
    <t>=G65</t>
  </si>
  <si>
    <t>=F66</t>
  </si>
  <si>
    <t>=G66</t>
  </si>
  <si>
    <t>=F67</t>
  </si>
  <si>
    <t>=G67</t>
  </si>
  <si>
    <t>=F68</t>
  </si>
  <si>
    <t>=G68</t>
  </si>
  <si>
    <t>=F69</t>
  </si>
  <si>
    <t>=G69</t>
  </si>
  <si>
    <t>=F70</t>
  </si>
  <si>
    <t>=G70</t>
  </si>
  <si>
    <t>=F71</t>
  </si>
  <si>
    <t>=G71</t>
  </si>
  <si>
    <t>=F72</t>
  </si>
  <si>
    <t>=G72</t>
  </si>
  <si>
    <t>=F73</t>
  </si>
  <si>
    <t>=G73</t>
  </si>
  <si>
    <t>=F74</t>
  </si>
  <si>
    <t>=G74</t>
  </si>
  <si>
    <t>=F79</t>
  </si>
  <si>
    <t>=G79</t>
  </si>
  <si>
    <t>=F80</t>
  </si>
  <si>
    <t>=G80</t>
  </si>
  <si>
    <t>=F81</t>
  </si>
  <si>
    <t>=G81</t>
  </si>
  <si>
    <t>=F82</t>
  </si>
  <si>
    <t>=G82</t>
  </si>
  <si>
    <t>=F83</t>
  </si>
  <si>
    <t>=G83</t>
  </si>
  <si>
    <t>=F84</t>
  </si>
  <si>
    <t>=G84</t>
  </si>
  <si>
    <t>=F85</t>
  </si>
  <si>
    <t>=G85</t>
  </si>
  <si>
    <t>=F86</t>
  </si>
  <si>
    <t>=G86</t>
  </si>
  <si>
    <t>=F91</t>
  </si>
  <si>
    <t>=G91</t>
  </si>
  <si>
    <t>=F92</t>
  </si>
  <si>
    <t>=G92</t>
  </si>
  <si>
    <t>=F93</t>
  </si>
  <si>
    <t>=G93</t>
  </si>
  <si>
    <t>=F94</t>
  </si>
  <si>
    <t>=G94</t>
  </si>
  <si>
    <t>=F95</t>
  </si>
  <si>
    <t>=G95</t>
  </si>
  <si>
    <t>=F96</t>
  </si>
  <si>
    <t>=G96</t>
  </si>
  <si>
    <t>=F97</t>
  </si>
  <si>
    <t>=G97</t>
  </si>
  <si>
    <t>=F98</t>
  </si>
  <si>
    <t>=G98</t>
  </si>
  <si>
    <t>=F99</t>
  </si>
  <si>
    <t>=G99</t>
  </si>
  <si>
    <t>=F100</t>
  </si>
  <si>
    <t>=G100</t>
  </si>
  <si>
    <t>=F101</t>
  </si>
  <si>
    <t>=G101</t>
  </si>
  <si>
    <t>=F102</t>
  </si>
  <si>
    <t>=G102</t>
  </si>
  <si>
    <t>=F103</t>
  </si>
  <si>
    <t>=G103</t>
  </si>
  <si>
    <t>=F104</t>
  </si>
  <si>
    <t>=G104</t>
  </si>
  <si>
    <t>=F105</t>
  </si>
  <si>
    <t>=G105</t>
  </si>
  <si>
    <t>=F106</t>
  </si>
  <si>
    <t>=G106</t>
  </si>
  <si>
    <t>=F107</t>
  </si>
  <si>
    <t>=G107</t>
  </si>
  <si>
    <t>=F108</t>
  </si>
  <si>
    <t>=G108</t>
  </si>
  <si>
    <t>=F109</t>
  </si>
  <si>
    <t>=G109</t>
  </si>
  <si>
    <t>=F110</t>
  </si>
  <si>
    <t>=G110</t>
  </si>
  <si>
    <t>=F111</t>
  </si>
  <si>
    <t>=G111</t>
  </si>
  <si>
    <t>=F116</t>
  </si>
  <si>
    <t>=G116</t>
  </si>
  <si>
    <t>=F117</t>
  </si>
  <si>
    <t>=G117</t>
  </si>
  <si>
    <t>=F122</t>
  </si>
  <si>
    <t>=G122</t>
  </si>
  <si>
    <t>=F123</t>
  </si>
  <si>
    <t>=G123</t>
  </si>
  <si>
    <t>=G128</t>
  </si>
  <si>
    <t>=F128</t>
  </si>
  <si>
    <t>=F129</t>
  </si>
  <si>
    <t>=G129</t>
  </si>
  <si>
    <t>=F130</t>
  </si>
  <si>
    <t>=G130</t>
  </si>
  <si>
    <t>=F131</t>
  </si>
  <si>
    <t>=G131</t>
  </si>
  <si>
    <t>=F132</t>
  </si>
  <si>
    <t>=G132</t>
  </si>
  <si>
    <t>=F133</t>
  </si>
  <si>
    <t>=G133</t>
  </si>
  <si>
    <t>=F138</t>
  </si>
  <si>
    <t>=G138</t>
  </si>
  <si>
    <t>=F139</t>
  </si>
  <si>
    <t>=G139</t>
  </si>
  <si>
    <t>=F140</t>
  </si>
  <si>
    <t>=G140</t>
  </si>
  <si>
    <t>=F141</t>
  </si>
  <si>
    <t>=G141</t>
  </si>
  <si>
    <t>=F142</t>
  </si>
  <si>
    <t>=G142</t>
  </si>
  <si>
    <t>=F143</t>
  </si>
  <si>
    <t>=G143</t>
  </si>
  <si>
    <t>=F144</t>
  </si>
  <si>
    <t>=G144</t>
  </si>
  <si>
    <t>=F149</t>
  </si>
  <si>
    <t>=G149</t>
  </si>
  <si>
    <t>=F150</t>
  </si>
  <si>
    <t>=G150</t>
  </si>
  <si>
    <t>=F151</t>
  </si>
  <si>
    <t>=G151</t>
  </si>
  <si>
    <t>=F152</t>
  </si>
  <si>
    <t>=G152</t>
  </si>
  <si>
    <t>=F153</t>
  </si>
  <si>
    <t>=G153</t>
  </si>
  <si>
    <t>=F154</t>
  </si>
  <si>
    <t>=G154</t>
  </si>
  <si>
    <t>=F155</t>
  </si>
  <si>
    <t>=G155</t>
  </si>
  <si>
    <t>=F156</t>
  </si>
  <si>
    <t>=G156</t>
  </si>
  <si>
    <t>=F157</t>
  </si>
  <si>
    <t>=G157</t>
  </si>
  <si>
    <t>=F158</t>
  </si>
  <si>
    <t>=G158</t>
  </si>
  <si>
    <t>=F159</t>
  </si>
  <si>
    <t>=G159</t>
  </si>
  <si>
    <t>=F164</t>
  </si>
  <si>
    <t>=G164</t>
  </si>
  <si>
    <t>=F165</t>
  </si>
  <si>
    <t>=G165</t>
  </si>
  <si>
    <t>=F166</t>
  </si>
  <si>
    <t>=G166</t>
  </si>
  <si>
    <t>=F170</t>
  </si>
  <si>
    <t>=G170</t>
  </si>
  <si>
    <t>=F171</t>
  </si>
  <si>
    <t>=G171</t>
  </si>
  <si>
    <t>=F172</t>
  </si>
  <si>
    <t>=G172</t>
  </si>
  <si>
    <t>=F173</t>
  </si>
  <si>
    <t>=G173</t>
  </si>
  <si>
    <t>=F174</t>
  </si>
  <si>
    <t>=G174</t>
  </si>
  <si>
    <t>=F179</t>
  </si>
  <si>
    <t>=G179</t>
  </si>
  <si>
    <t>=F180</t>
  </si>
  <si>
    <t>=G180</t>
  </si>
  <si>
    <t>=F181</t>
  </si>
  <si>
    <t>=G181</t>
  </si>
  <si>
    <t>=F182</t>
  </si>
  <si>
    <t>=G182</t>
  </si>
  <si>
    <t>=F183</t>
  </si>
  <si>
    <t>=G183</t>
  </si>
  <si>
    <t>=F184</t>
  </si>
  <si>
    <t>=G184</t>
  </si>
  <si>
    <t>=F185</t>
  </si>
  <si>
    <t>=G185</t>
  </si>
  <si>
    <t>=F186</t>
  </si>
  <si>
    <t>=G186</t>
  </si>
  <si>
    <t>=F187</t>
  </si>
  <si>
    <t>=G187</t>
  </si>
  <si>
    <t>=F188</t>
  </si>
  <si>
    <t>=G188</t>
  </si>
  <si>
    <t>=F189</t>
  </si>
  <si>
    <t>=G189</t>
  </si>
  <si>
    <t>=F190</t>
  </si>
  <si>
    <t>=G190</t>
  </si>
  <si>
    <t>=F191</t>
  </si>
  <si>
    <t>=G191</t>
  </si>
  <si>
    <t>=F192</t>
  </si>
  <si>
    <t>=G192</t>
  </si>
  <si>
    <t>=F193</t>
  </si>
  <si>
    <t>=G193</t>
  </si>
  <si>
    <t>=F194</t>
  </si>
  <si>
    <t>=G194</t>
  </si>
  <si>
    <t>=F195</t>
  </si>
  <si>
    <t>=G195</t>
  </si>
  <si>
    <t>=F196</t>
  </si>
  <si>
    <t>=G196</t>
  </si>
  <si>
    <t>=F197</t>
  </si>
  <si>
    <t>=G197</t>
  </si>
  <si>
    <t>=F198</t>
  </si>
  <si>
    <t>=G198</t>
  </si>
  <si>
    <t>=F199</t>
  </si>
  <si>
    <t>=G199</t>
  </si>
  <si>
    <t>=F200</t>
  </si>
  <si>
    <t>=G200</t>
  </si>
  <si>
    <t>=F205</t>
  </si>
  <si>
    <t>=G205</t>
  </si>
  <si>
    <t>=F206</t>
  </si>
  <si>
    <t>=G206</t>
  </si>
  <si>
    <t>=F212</t>
  </si>
  <si>
    <t>=G212</t>
  </si>
  <si>
    <t>=F213</t>
  </si>
  <si>
    <t>=G213</t>
  </si>
  <si>
    <t>=F214</t>
  </si>
  <si>
    <t>=G214</t>
  </si>
  <si>
    <t>=F215</t>
  </si>
  <si>
    <t>=G215</t>
  </si>
  <si>
    <t>=F216</t>
  </si>
  <si>
    <t>=G216</t>
  </si>
  <si>
    <t>=F217</t>
  </si>
  <si>
    <t>=G217</t>
  </si>
  <si>
    <t>=F218</t>
  </si>
  <si>
    <t>=G218</t>
  </si>
  <si>
    <t>=F219</t>
  </si>
  <si>
    <t>=G219</t>
  </si>
  <si>
    <t>=F220</t>
  </si>
  <si>
    <t>=G220</t>
  </si>
  <si>
    <t>=F221</t>
  </si>
  <si>
    <t>=G221</t>
  </si>
  <si>
    <t>=F222</t>
  </si>
  <si>
    <t>=G222</t>
  </si>
  <si>
    <t>=F223</t>
  </si>
  <si>
    <t>=G223</t>
  </si>
  <si>
    <t>=F224</t>
  </si>
  <si>
    <t>=G224</t>
  </si>
  <si>
    <t>=F225</t>
  </si>
  <si>
    <t>=G225</t>
  </si>
  <si>
    <t>=F226</t>
  </si>
  <si>
    <t>=G226</t>
  </si>
  <si>
    <t>=F227</t>
  </si>
  <si>
    <t>=G227</t>
  </si>
  <si>
    <t>=F228</t>
  </si>
  <si>
    <t>=G228</t>
  </si>
  <si>
    <t>=F229</t>
  </si>
  <si>
    <t>=G229</t>
  </si>
  <si>
    <t>=F234</t>
  </si>
  <si>
    <t>=G234</t>
  </si>
  <si>
    <t>=F235</t>
  </si>
  <si>
    <t>=G235</t>
  </si>
  <si>
    <t>=F236</t>
  </si>
  <si>
    <t>=G236</t>
  </si>
  <si>
    <t>=F237</t>
  </si>
  <si>
    <t>=G237</t>
  </si>
  <si>
    <t>=F238</t>
  </si>
  <si>
    <t>=G238</t>
  </si>
  <si>
    <t>=F239</t>
  </si>
  <si>
    <t>=G239</t>
  </si>
  <si>
    <t>=F240</t>
  </si>
  <si>
    <t>=G240</t>
  </si>
  <si>
    <t>=F245</t>
  </si>
  <si>
    <t>=G245</t>
  </si>
  <si>
    <t>=F246</t>
  </si>
  <si>
    <t>=G246</t>
  </si>
  <si>
    <t>=F247</t>
  </si>
  <si>
    <t>=G247</t>
  </si>
  <si>
    <t>=F248</t>
  </si>
  <si>
    <t>=G248</t>
  </si>
  <si>
    <t>=F249</t>
  </si>
  <si>
    <t>=G249</t>
  </si>
  <si>
    <t>=F250</t>
  </si>
  <si>
    <t>=G250</t>
  </si>
  <si>
    <t>=F251</t>
  </si>
  <si>
    <t>=G251</t>
  </si>
  <si>
    <t>=F252</t>
  </si>
  <si>
    <t>=G252</t>
  </si>
  <si>
    <t>=F253</t>
  </si>
  <si>
    <t>=G253</t>
  </si>
  <si>
    <t>=F254</t>
  </si>
  <si>
    <t>=G254</t>
  </si>
  <si>
    <t>=F255</t>
  </si>
  <si>
    <t>=G255</t>
  </si>
  <si>
    <t>=F256</t>
  </si>
  <si>
    <t>=G256</t>
  </si>
  <si>
    <t>=F257</t>
  </si>
  <si>
    <t>=G257</t>
  </si>
  <si>
    <t>=F258</t>
  </si>
  <si>
    <t>=G258</t>
  </si>
  <si>
    <t>=F263</t>
  </si>
  <si>
    <t>=G263</t>
  </si>
  <si>
    <t>=F264</t>
  </si>
  <si>
    <t>=G264</t>
  </si>
  <si>
    <t>=F265</t>
  </si>
  <si>
    <t>=G265</t>
  </si>
  <si>
    <t>=F266</t>
  </si>
  <si>
    <t>=G266</t>
  </si>
  <si>
    <t>=F267</t>
  </si>
  <si>
    <t>=G267</t>
  </si>
  <si>
    <t>=F268</t>
  </si>
  <si>
    <t>=G268</t>
  </si>
  <si>
    <t>=F269</t>
  </si>
  <si>
    <t>=G269</t>
  </si>
  <si>
    <t>=F270</t>
  </si>
  <si>
    <t>=G270</t>
  </si>
  <si>
    <t>=F271</t>
  </si>
  <si>
    <t>=G271</t>
  </si>
  <si>
    <t>=F272</t>
  </si>
  <si>
    <t>=G272</t>
  </si>
  <si>
    <t>=F277</t>
  </si>
  <si>
    <t>=G277</t>
  </si>
  <si>
    <t>=F278</t>
  </si>
  <si>
    <t>=G278</t>
  </si>
  <si>
    <t>=F279</t>
  </si>
  <si>
    <t>=G279</t>
  </si>
  <si>
    <t>=F280</t>
  </si>
  <si>
    <t>=G280</t>
  </si>
  <si>
    <t>=F281</t>
  </si>
  <si>
    <t>=G281</t>
  </si>
  <si>
    <t>=F282</t>
  </si>
  <si>
    <t>=G282</t>
  </si>
  <si>
    <t>=F283</t>
  </si>
  <si>
    <t>=G283</t>
  </si>
  <si>
    <t>=F284</t>
  </si>
  <si>
    <t>=G284</t>
  </si>
  <si>
    <t>=F285</t>
  </si>
  <si>
    <t>=G285</t>
  </si>
  <si>
    <t>=F286</t>
  </si>
  <si>
    <t>=G286</t>
  </si>
  <si>
    <t>=F287</t>
  </si>
  <si>
    <t>=G287</t>
  </si>
  <si>
    <t>=F288</t>
  </si>
  <si>
    <t>=G288</t>
  </si>
  <si>
    <t>=F289</t>
  </si>
  <si>
    <t>=G289</t>
  </si>
  <si>
    <t>=F290</t>
  </si>
  <si>
    <t>=G290</t>
  </si>
  <si>
    <t>=F291</t>
  </si>
  <si>
    <t>=G291</t>
  </si>
  <si>
    <t>=F292</t>
  </si>
  <si>
    <t>=G292</t>
  </si>
  <si>
    <t>=F293</t>
  </si>
  <si>
    <t>=G293</t>
  </si>
  <si>
    <t>=F294</t>
  </si>
  <si>
    <t>=G294</t>
  </si>
  <si>
    <t>=F295</t>
  </si>
  <si>
    <t>=G295</t>
  </si>
  <si>
    <t>=F296</t>
  </si>
  <si>
    <t>=G296</t>
  </si>
  <si>
    <t>=F297</t>
  </si>
  <si>
    <t>=G297</t>
  </si>
  <si>
    <t>=F298</t>
  </si>
  <si>
    <t>=G298</t>
  </si>
  <si>
    <t>=F299</t>
  </si>
  <si>
    <t>=G299</t>
  </si>
  <si>
    <t>=F300</t>
  </si>
  <si>
    <t>=G300</t>
  </si>
  <si>
    <t>=F310</t>
  </si>
  <si>
    <t>=G310</t>
  </si>
  <si>
    <t>=F311</t>
  </si>
  <si>
    <t>=G311</t>
  </si>
  <si>
    <t>=F312</t>
  </si>
  <si>
    <t>=G312</t>
  </si>
  <si>
    <t>=F313</t>
  </si>
  <si>
    <t>=G313</t>
  </si>
  <si>
    <t>=F314</t>
  </si>
  <si>
    <t>=G314</t>
  </si>
  <si>
    <t>=F315</t>
  </si>
  <si>
    <t>=G315</t>
  </si>
  <si>
    <t>=F316</t>
  </si>
  <si>
    <t>=G316</t>
  </si>
  <si>
    <t>=F317</t>
  </si>
  <si>
    <t>=G317</t>
  </si>
  <si>
    <t>=F318</t>
  </si>
  <si>
    <t>=G318</t>
  </si>
  <si>
    <t>=F319</t>
  </si>
  <si>
    <t>=G319</t>
  </si>
  <si>
    <t>=F320</t>
  </si>
  <si>
    <t>=G320</t>
  </si>
  <si>
    <t>=F321</t>
  </si>
  <si>
    <t>=G321</t>
  </si>
  <si>
    <t>=F322</t>
  </si>
  <si>
    <t>=G322</t>
  </si>
  <si>
    <t>=F323</t>
  </si>
  <si>
    <t>=G323</t>
  </si>
  <si>
    <t>=F324</t>
  </si>
  <si>
    <t>=G324</t>
  </si>
  <si>
    <t>=F325</t>
  </si>
  <si>
    <t>=G325</t>
  </si>
  <si>
    <t>=F326</t>
  </si>
  <si>
    <t>=G326</t>
  </si>
  <si>
    <t>=F327</t>
  </si>
  <si>
    <t>=G327</t>
  </si>
  <si>
    <t>=F328</t>
  </si>
  <si>
    <t>=G328</t>
  </si>
  <si>
    <t>=F329</t>
  </si>
  <si>
    <t>=G329</t>
  </si>
  <si>
    <t>=F330</t>
  </si>
  <si>
    <t>=G330</t>
  </si>
  <si>
    <t>=F331</t>
  </si>
  <si>
    <t>=G331</t>
  </si>
  <si>
    <t>=F332</t>
  </si>
  <si>
    <t>=G332</t>
  </si>
  <si>
    <t>=F333</t>
  </si>
  <si>
    <t>=G333</t>
  </si>
  <si>
    <t>=F334</t>
  </si>
  <si>
    <t>=G334</t>
  </si>
  <si>
    <t>=F335</t>
  </si>
  <si>
    <t>=G335</t>
  </si>
  <si>
    <t>=F336</t>
  </si>
  <si>
    <t>=G336</t>
  </si>
  <si>
    <t>=F337</t>
  </si>
  <si>
    <t>=G337</t>
  </si>
  <si>
    <t>=F338</t>
  </si>
  <si>
    <t>=G338</t>
  </si>
  <si>
    <t>=F343</t>
  </si>
  <si>
    <t>=G343</t>
  </si>
  <si>
    <t>=F344</t>
  </si>
  <si>
    <t>=G344</t>
  </si>
  <si>
    <t>=F345</t>
  </si>
  <si>
    <t>=G345</t>
  </si>
  <si>
    <t>=F346</t>
  </si>
  <si>
    <t>=G346</t>
  </si>
  <si>
    <t>=F347</t>
  </si>
  <si>
    <t>=G347</t>
  </si>
  <si>
    <t>=F348</t>
  </si>
  <si>
    <t>=G348</t>
  </si>
  <si>
    <t>=F349</t>
  </si>
  <si>
    <t>=G349</t>
  </si>
  <si>
    <t>=F350</t>
  </si>
  <si>
    <t>=G350</t>
  </si>
  <si>
    <t>=F351</t>
  </si>
  <si>
    <t>=G351</t>
  </si>
  <si>
    <t>=F352</t>
  </si>
  <si>
    <t>=G352</t>
  </si>
  <si>
    <t>=F353</t>
  </si>
  <si>
    <t>=G353</t>
  </si>
  <si>
    <t>=F354</t>
  </si>
  <si>
    <t>=G354</t>
  </si>
  <si>
    <t>=F355</t>
  </si>
  <si>
    <t>=G355</t>
  </si>
  <si>
    <t>=F356</t>
  </si>
  <si>
    <t>=G356</t>
  </si>
  <si>
    <t>=F357</t>
  </si>
  <si>
    <t>=G357</t>
  </si>
  <si>
    <t>=F358</t>
  </si>
  <si>
    <t>=G358</t>
  </si>
  <si>
    <t>=F359</t>
  </si>
  <si>
    <t>=G359</t>
  </si>
  <si>
    <t>=F360</t>
  </si>
  <si>
    <t>=G360</t>
  </si>
  <si>
    <t>=F361</t>
  </si>
  <si>
    <t>=G361</t>
  </si>
  <si>
    <t>=F362</t>
  </si>
  <si>
    <t>=G362</t>
  </si>
  <si>
    <t>=F363</t>
  </si>
  <si>
    <t>=G363</t>
  </si>
  <si>
    <t>=F368</t>
  </si>
  <si>
    <t>=G368</t>
  </si>
  <si>
    <t>=F369</t>
  </si>
  <si>
    <t>=G369</t>
  </si>
  <si>
    <t>=F370</t>
  </si>
  <si>
    <t>=G370</t>
  </si>
  <si>
    <t>=F371</t>
  </si>
  <si>
    <t>=G371</t>
  </si>
  <si>
    <t>=F372</t>
  </si>
  <si>
    <t>=G372</t>
  </si>
  <si>
    <t>=F373</t>
  </si>
  <si>
    <t>=G373</t>
  </si>
  <si>
    <t>=F374</t>
  </si>
  <si>
    <t>=G374</t>
  </si>
  <si>
    <t>=F375</t>
  </si>
  <si>
    <t>=G375</t>
  </si>
  <si>
    <t>=F376</t>
  </si>
  <si>
    <t>=G376</t>
  </si>
  <si>
    <t>=F377</t>
  </si>
  <si>
    <t>=G377</t>
  </si>
  <si>
    <t>=F378</t>
  </si>
  <si>
    <t>=G378</t>
  </si>
  <si>
    <t>=F379</t>
  </si>
  <si>
    <t>=G379</t>
  </si>
  <si>
    <t>=F380</t>
  </si>
  <si>
    <t>=G380</t>
  </si>
  <si>
    <t>=F381</t>
  </si>
  <si>
    <t>=G381</t>
  </si>
  <si>
    <t>=F382</t>
  </si>
  <si>
    <t>=G382</t>
  </si>
  <si>
    <t>=F383</t>
  </si>
  <si>
    <t>=G383</t>
  </si>
  <si>
    <t>=F384</t>
  </si>
  <si>
    <t>=G384</t>
  </si>
  <si>
    <t>=F385</t>
  </si>
  <si>
    <t>=G385</t>
  </si>
  <si>
    <t>=F386</t>
  </si>
  <si>
    <t>=G386</t>
  </si>
  <si>
    <t>=F387</t>
  </si>
  <si>
    <t>=G387</t>
  </si>
  <si>
    <t>=F388</t>
  </si>
  <si>
    <t>=G388</t>
  </si>
  <si>
    <t>=F393</t>
  </si>
  <si>
    <t>=G393</t>
  </si>
  <si>
    <t>=F394</t>
  </si>
  <si>
    <t>=G394</t>
  </si>
  <si>
    <t>=F395</t>
  </si>
  <si>
    <t>=G395</t>
  </si>
  <si>
    <t>=F396</t>
  </si>
  <si>
    <t>=G396</t>
  </si>
  <si>
    <t>=F408</t>
  </si>
  <si>
    <t>=G408</t>
  </si>
  <si>
    <t>=F414</t>
  </si>
  <si>
    <t>=G414</t>
  </si>
  <si>
    <t>=F415</t>
  </si>
  <si>
    <t>=G415</t>
  </si>
  <si>
    <t>=F416</t>
  </si>
  <si>
    <t>=G416</t>
  </si>
  <si>
    <t>=F417</t>
  </si>
  <si>
    <t>=G417</t>
  </si>
  <si>
    <t>=F418</t>
  </si>
  <si>
    <t>=G418</t>
  </si>
  <si>
    <t>=F419</t>
  </si>
  <si>
    <t>=G419</t>
  </si>
  <si>
    <t>=F420</t>
  </si>
  <si>
    <t>=G420</t>
  </si>
  <si>
    <t>=F421</t>
  </si>
  <si>
    <t>=G421</t>
  </si>
  <si>
    <t>=F426</t>
  </si>
  <si>
    <t>=G426</t>
  </si>
  <si>
    <t>=F427</t>
  </si>
  <si>
    <t>=G427</t>
  </si>
  <si>
    <t>=F428</t>
  </si>
  <si>
    <t>=G428</t>
  </si>
  <si>
    <t>=F429</t>
  </si>
  <si>
    <t>=G429</t>
  </si>
  <si>
    <t>=F430</t>
  </si>
  <si>
    <t>=G430</t>
  </si>
  <si>
    <t>=F431</t>
  </si>
  <si>
    <t>=G431</t>
  </si>
  <si>
    <t>=F432</t>
  </si>
  <si>
    <t>=G432</t>
  </si>
  <si>
    <t>=F433</t>
  </si>
  <si>
    <t>=G433</t>
  </si>
  <si>
    <t>=F434</t>
  </si>
  <si>
    <t>=G434</t>
  </si>
  <si>
    <t>=F435</t>
  </si>
  <si>
    <t>=G435</t>
  </si>
  <si>
    <t>=F436</t>
  </si>
  <si>
    <t>=G436</t>
  </si>
  <si>
    <t>=F437</t>
  </si>
  <si>
    <t>=G437</t>
  </si>
  <si>
    <t>=F438</t>
  </si>
  <si>
    <t>=G438</t>
  </si>
  <si>
    <t>=F439</t>
  </si>
  <si>
    <t>=G439</t>
  </si>
  <si>
    <t>=F440</t>
  </si>
  <si>
    <t>=G440</t>
  </si>
  <si>
    <t>=F441</t>
  </si>
  <si>
    <t>=G441</t>
  </si>
  <si>
    <t>=F442</t>
  </si>
  <si>
    <t>=G442</t>
  </si>
  <si>
    <t>=F443</t>
  </si>
  <si>
    <t>=G443</t>
  </si>
  <si>
    <t>=F444</t>
  </si>
  <si>
    <t>=G444</t>
  </si>
  <si>
    <t>=F445</t>
  </si>
  <si>
    <t>=G445</t>
  </si>
  <si>
    <t>=F446</t>
  </si>
  <si>
    <t>=G446</t>
  </si>
  <si>
    <t>=F447</t>
  </si>
  <si>
    <t>=G447</t>
  </si>
  <si>
    <t>=F448</t>
  </si>
  <si>
    <t>=G448</t>
  </si>
  <si>
    <t>=F449</t>
  </si>
  <si>
    <t>=G449</t>
  </si>
  <si>
    <t>=F454</t>
  </si>
  <si>
    <t>=G454</t>
  </si>
  <si>
    <t>=F455</t>
  </si>
  <si>
    <t>=G455</t>
  </si>
  <si>
    <t>=F456</t>
  </si>
  <si>
    <t>=G456</t>
  </si>
  <si>
    <t>=F457</t>
  </si>
  <si>
    <t>=G457</t>
  </si>
  <si>
    <t>=F458</t>
  </si>
  <si>
    <t>=G458</t>
  </si>
  <si>
    <t>=F459</t>
  </si>
  <si>
    <t>=G459</t>
  </si>
  <si>
    <t>=F460</t>
  </si>
  <si>
    <t>=G460</t>
  </si>
  <si>
    <t>=F461</t>
  </si>
  <si>
    <t>=G461</t>
  </si>
  <si>
    <t>=F462</t>
  </si>
  <si>
    <t>=G462</t>
  </si>
  <si>
    <t>=F463</t>
  </si>
  <si>
    <t>=G463</t>
  </si>
  <si>
    <t>=F464</t>
  </si>
  <si>
    <t>=G464</t>
  </si>
  <si>
    <t>=F465</t>
  </si>
  <si>
    <t>=G465</t>
  </si>
  <si>
    <t>=F466</t>
  </si>
  <si>
    <t>=G466</t>
  </si>
  <si>
    <t>=F467</t>
  </si>
  <si>
    <t>=G467</t>
  </si>
  <si>
    <t>=F468</t>
  </si>
  <si>
    <t>=G468</t>
  </si>
  <si>
    <t>=F469</t>
  </si>
  <si>
    <t>=G469</t>
  </si>
  <si>
    <t>=F476</t>
  </si>
  <si>
    <t>=G476</t>
  </si>
  <si>
    <t>=F477</t>
  </si>
  <si>
    <t>=G477</t>
  </si>
  <si>
    <t>=F478</t>
  </si>
  <si>
    <t>=G478</t>
  </si>
  <si>
    <t>=F479</t>
  </si>
  <si>
    <t>=G479</t>
  </si>
  <si>
    <t>=F480</t>
  </si>
  <si>
    <t>=G480</t>
  </si>
  <si>
    <t>=F485</t>
  </si>
  <si>
    <t>=G485</t>
  </si>
  <si>
    <t>=F497</t>
  </si>
  <si>
    <t>=G497</t>
  </si>
  <si>
    <t>=F498</t>
  </si>
  <si>
    <t>=G498</t>
  </si>
  <si>
    <t>=F499</t>
  </si>
  <si>
    <t>=G499</t>
  </si>
  <si>
    <t>=F500</t>
  </si>
  <si>
    <t>=G500</t>
  </si>
  <si>
    <t>=F501</t>
  </si>
  <si>
    <t>=G501</t>
  </si>
  <si>
    <t>=F502</t>
  </si>
  <si>
    <t>=G502</t>
  </si>
  <si>
    <t>=F503</t>
  </si>
  <si>
    <t>=G503</t>
  </si>
  <si>
    <t>=F504</t>
  </si>
  <si>
    <t>=G504</t>
  </si>
  <si>
    <t>=F505</t>
  </si>
  <si>
    <t>=G505</t>
  </si>
  <si>
    <t>=F506</t>
  </si>
  <si>
    <t>=G506</t>
  </si>
  <si>
    <t>=F507</t>
  </si>
  <si>
    <t>=G507</t>
  </si>
  <si>
    <t>=F508</t>
  </si>
  <si>
    <t>=G508</t>
  </si>
  <si>
    <t>=F509</t>
  </si>
  <si>
    <t>=G509</t>
  </si>
  <si>
    <t>=F510</t>
  </si>
  <si>
    <t>=G510</t>
  </si>
  <si>
    <t>=F511</t>
  </si>
  <si>
    <t>=G511</t>
  </si>
  <si>
    <t>=F512</t>
  </si>
  <si>
    <t>=G512</t>
  </si>
  <si>
    <t>=F513</t>
  </si>
  <si>
    <t>=G513</t>
  </si>
  <si>
    <t>=F514</t>
  </si>
  <si>
    <t>=G514</t>
  </si>
  <si>
    <t>=F515</t>
  </si>
  <si>
    <t>=G515</t>
  </si>
  <si>
    <t>=F516</t>
  </si>
  <si>
    <t>=G516</t>
  </si>
  <si>
    <t>=F517</t>
  </si>
  <si>
    <t>=G517</t>
  </si>
  <si>
    <t>=F518</t>
  </si>
  <si>
    <t>=G518</t>
  </si>
  <si>
    <t>=F519</t>
  </si>
  <si>
    <t>=G519</t>
  </si>
  <si>
    <t>=F520</t>
  </si>
  <si>
    <t>=G520</t>
  </si>
  <si>
    <t>=F521</t>
  </si>
  <si>
    <t>=G521</t>
  </si>
  <si>
    <t>=F522</t>
  </si>
  <si>
    <t>=G522</t>
  </si>
  <si>
    <t>=F523</t>
  </si>
  <si>
    <t>=G523</t>
  </si>
  <si>
    <t>=F524</t>
  </si>
  <si>
    <t>=G524</t>
  </si>
  <si>
    <t>=F525</t>
  </si>
  <si>
    <t>=G525</t>
  </si>
  <si>
    <t>=F530</t>
  </si>
  <si>
    <t>=G530</t>
  </si>
  <si>
    <t>=F531</t>
  </si>
  <si>
    <t>=F532</t>
  </si>
  <si>
    <t>=G532</t>
  </si>
  <si>
    <t>=F533</t>
  </si>
  <si>
    <t>=G533</t>
  </si>
  <si>
    <t>=F534</t>
  </si>
  <si>
    <t>=G534</t>
  </si>
  <si>
    <t>=F535</t>
  </si>
  <si>
    <t>=G535</t>
  </si>
  <si>
    <t>=F536</t>
  </si>
  <si>
    <t>=F537</t>
  </si>
  <si>
    <t>=G537</t>
  </si>
  <si>
    <t>=F538</t>
  </si>
  <si>
    <t>=G538</t>
  </si>
  <si>
    <t>=F539</t>
  </si>
  <si>
    <t>=G539</t>
  </si>
  <si>
    <t>=F540</t>
  </si>
  <si>
    <t>=G540</t>
  </si>
  <si>
    <t>=F541</t>
  </si>
  <si>
    <t>=F542</t>
  </si>
  <si>
    <t>=G542</t>
  </si>
  <si>
    <t>=F543</t>
  </si>
  <si>
    <t>=G543</t>
  </si>
  <si>
    <t>=F544</t>
  </si>
  <si>
    <t>=G544</t>
  </si>
  <si>
    <t>=F545</t>
  </si>
  <si>
    <t>=G545</t>
  </si>
  <si>
    <t>=F546</t>
  </si>
  <si>
    <t>=F547</t>
  </si>
  <si>
    <t>=G547</t>
  </si>
  <si>
    <t>=F548</t>
  </si>
  <si>
    <t>=G548</t>
  </si>
  <si>
    <t>=F549</t>
  </si>
  <si>
    <t>=G549</t>
  </si>
  <si>
    <t>=F550</t>
  </si>
  <si>
    <t>=G550</t>
  </si>
  <si>
    <t>=F551</t>
  </si>
  <si>
    <t>=F552</t>
  </si>
  <si>
    <t>=G552</t>
  </si>
  <si>
    <t>=F553</t>
  </si>
  <si>
    <t>=G553</t>
  </si>
  <si>
    <t>=F554</t>
  </si>
  <si>
    <t>=G554</t>
  </si>
  <si>
    <t>=F555</t>
  </si>
  <si>
    <t>=G555</t>
  </si>
  <si>
    <t>=F556</t>
  </si>
  <si>
    <t>=F557</t>
  </si>
  <si>
    <t>=G557</t>
  </si>
  <si>
    <t>=F558</t>
  </si>
  <si>
    <t>=G558</t>
  </si>
  <si>
    <t>=F563</t>
  </si>
  <si>
    <t>=G563</t>
  </si>
  <si>
    <t>=F564</t>
  </si>
  <si>
    <t>=G564</t>
  </si>
  <si>
    <t>=F565</t>
  </si>
  <si>
    <t>=G565</t>
  </si>
  <si>
    <t>=F570</t>
  </si>
  <si>
    <t>=G570</t>
  </si>
  <si>
    <t>=F571</t>
  </si>
  <si>
    <t>=F572</t>
  </si>
  <si>
    <t>=G572</t>
  </si>
  <si>
    <t>=F573</t>
  </si>
  <si>
    <t>=G573</t>
  </si>
  <si>
    <t>=F574</t>
  </si>
  <si>
    <t>=G574</t>
  </si>
  <si>
    <t>=F575</t>
  </si>
  <si>
    <t>=G575</t>
  </si>
  <si>
    <t>=F576</t>
  </si>
  <si>
    <t>=F577</t>
  </si>
  <si>
    <t>=G577</t>
  </si>
  <si>
    <t>=F578</t>
  </si>
  <si>
    <t>=G578</t>
  </si>
  <si>
    <t>=F579</t>
  </si>
  <si>
    <t>=G579</t>
  </si>
  <si>
    <t>=F580</t>
  </si>
  <si>
    <t>=G580</t>
  </si>
  <si>
    <t>=F581</t>
  </si>
  <si>
    <t>=F582</t>
  </si>
  <si>
    <t>=G582</t>
  </si>
  <si>
    <t>=F583</t>
  </si>
  <si>
    <t>=G583</t>
  </si>
  <si>
    <t>=F584</t>
  </si>
  <si>
    <t>=G584</t>
  </si>
  <si>
    <t>=F585</t>
  </si>
  <si>
    <t>=G585</t>
  </si>
  <si>
    <t>=F586</t>
  </si>
  <si>
    <t>=F587</t>
  </si>
  <si>
    <t>=G587</t>
  </si>
  <si>
    <t>=F588</t>
  </si>
  <si>
    <t>=G588</t>
  </si>
  <si>
    <t>=F589</t>
  </si>
  <si>
    <t>=G589</t>
  </si>
  <si>
    <t>=F596</t>
  </si>
  <si>
    <t>=F597</t>
  </si>
  <si>
    <t>=G597</t>
  </si>
  <si>
    <t>=F598</t>
  </si>
  <si>
    <t>=G598</t>
  </si>
  <si>
    <t>=F599</t>
  </si>
  <si>
    <t>=G599</t>
  </si>
  <si>
    <t>=F600</t>
  </si>
  <si>
    <t>=G600</t>
  </si>
  <si>
    <t>=F601</t>
  </si>
  <si>
    <t>=F602</t>
  </si>
  <si>
    <t>=G602</t>
  </si>
  <si>
    <t>=F603</t>
  </si>
  <si>
    <t>=G603</t>
  </si>
  <si>
    <t>=F604</t>
  </si>
  <si>
    <t>=G604</t>
  </si>
  <si>
    <t>=F605</t>
  </si>
  <si>
    <t>=G605</t>
  </si>
  <si>
    <t>=F606</t>
  </si>
  <si>
    <t>=F607</t>
  </si>
  <si>
    <t>=G607</t>
  </si>
  <si>
    <t>=F608</t>
  </si>
  <si>
    <t>=G608</t>
  </si>
  <si>
    <t>=F609</t>
  </si>
  <si>
    <t>=G609</t>
  </si>
  <si>
    <t>=F610</t>
  </si>
  <si>
    <t>=G610</t>
  </si>
  <si>
    <t>=F611</t>
  </si>
  <si>
    <t>=F612</t>
  </si>
  <si>
    <t>=G612</t>
  </si>
  <si>
    <t>=F613</t>
  </si>
  <si>
    <t>=G613</t>
  </si>
  <si>
    <t>=F614</t>
  </si>
  <si>
    <t>=G614</t>
  </si>
  <si>
    <t>=F615</t>
  </si>
  <si>
    <t>=G615</t>
  </si>
  <si>
    <t>=F616</t>
  </si>
  <si>
    <t>=F617</t>
  </si>
  <si>
    <t>=G617</t>
  </si>
  <si>
    <t>=F618</t>
  </si>
  <si>
    <t>=G618</t>
  </si>
  <si>
    <t>=F619</t>
  </si>
  <si>
    <t>=G619</t>
  </si>
  <si>
    <t>=F620</t>
  </si>
  <si>
    <t>=G620</t>
  </si>
  <si>
    <t>=F621</t>
  </si>
  <si>
    <t>=F622</t>
  </si>
  <si>
    <t>=G622</t>
  </si>
  <si>
    <t>=F623</t>
  </si>
  <si>
    <t>=G623</t>
  </si>
  <si>
    <t>=F624</t>
  </si>
  <si>
    <t>=G624</t>
  </si>
  <si>
    <t>=F633</t>
  </si>
  <si>
    <t>=G633</t>
  </si>
  <si>
    <t>=F634</t>
  </si>
  <si>
    <t>=G634</t>
  </si>
  <si>
    <t>=F635</t>
  </si>
  <si>
    <t>=G635</t>
  </si>
  <si>
    <t>=F636</t>
  </si>
  <si>
    <t>=F637</t>
  </si>
  <si>
    <t>=G637</t>
  </si>
  <si>
    <t>=F638</t>
  </si>
  <si>
    <t>=G638</t>
  </si>
  <si>
    <t>=F639</t>
  </si>
  <si>
    <t>=G639</t>
  </si>
  <si>
    <t>=F640</t>
  </si>
  <si>
    <t>=G640</t>
  </si>
  <si>
    <t>=F641</t>
  </si>
  <si>
    <t>=F642</t>
  </si>
  <si>
    <t>=G642</t>
  </si>
  <si>
    <t>=F643</t>
  </si>
  <si>
    <t>=G643</t>
  </si>
  <si>
    <t>=F644</t>
  </si>
  <si>
    <t>=G644</t>
  </si>
  <si>
    <t>=F645</t>
  </si>
  <si>
    <t>=G645</t>
  </si>
  <si>
    <t>=F646</t>
  </si>
  <si>
    <t>=F647</t>
  </si>
  <si>
    <t>=G647</t>
  </si>
  <si>
    <t>=F648</t>
  </si>
  <si>
    <t>=G648</t>
  </si>
  <si>
    <t>=F649</t>
  </si>
  <si>
    <t>=G649</t>
  </si>
  <si>
    <t>=F650</t>
  </si>
  <si>
    <t>=G650</t>
  </si>
  <si>
    <t>=F651</t>
  </si>
  <si>
    <t>=F652</t>
  </si>
  <si>
    <t>=G652</t>
  </si>
  <si>
    <t>=F653</t>
  </si>
  <si>
    <t>=G653</t>
  </si>
  <si>
    <t>=F654</t>
  </si>
  <si>
    <t>=G654</t>
  </si>
  <si>
    <t>=F659</t>
  </si>
  <si>
    <t>=G659</t>
  </si>
  <si>
    <t>=F664</t>
  </si>
  <si>
    <t>=G664</t>
  </si>
  <si>
    <t>=F665</t>
  </si>
  <si>
    <t>=G665</t>
  </si>
  <si>
    <t>=F666</t>
  </si>
  <si>
    <t>=G674</t>
  </si>
  <si>
    <t>=F674</t>
  </si>
  <si>
    <t>=F675</t>
  </si>
  <si>
    <t>=G675</t>
  </si>
  <si>
    <t>=F676</t>
  </si>
  <si>
    <t>=F677</t>
  </si>
  <si>
    <t>=G677</t>
  </si>
  <si>
    <t>=F678</t>
  </si>
  <si>
    <t>=G678</t>
  </si>
  <si>
    <t>=F683</t>
  </si>
  <si>
    <t>=G683</t>
  </si>
  <si>
    <t>=F684</t>
  </si>
  <si>
    <t>=G684</t>
  </si>
  <si>
    <t>=F685</t>
  </si>
  <si>
    <t>=G685</t>
  </si>
  <si>
    <t>=F686</t>
  </si>
  <si>
    <t>=F687</t>
  </si>
  <si>
    <t>=G687</t>
  </si>
  <si>
    <t>=F688</t>
  </si>
  <si>
    <t>=G688</t>
  </si>
  <si>
    <t>=F689</t>
  </si>
  <si>
    <t>=G689</t>
  </si>
  <si>
    <t>=F690</t>
  </si>
  <si>
    <t>=G690</t>
  </si>
  <si>
    <t>=F691</t>
  </si>
  <si>
    <t>=NP("Eval","=TODAY()")</t>
  </si>
  <si>
    <t>=F124</t>
  </si>
  <si>
    <t>=G124</t>
  </si>
  <si>
    <t>=F125</t>
  </si>
  <si>
    <t>=G125</t>
  </si>
  <si>
    <t>=F126</t>
  </si>
  <si>
    <t>=G126</t>
  </si>
  <si>
    <t>=F486</t>
  </si>
  <si>
    <t>=G486</t>
  </si>
  <si>
    <t>=F487</t>
  </si>
  <si>
    <t>=G487</t>
  </si>
  <si>
    <t>=F488</t>
  </si>
  <si>
    <t>=G488</t>
  </si>
  <si>
    <t>=F671</t>
  </si>
  <si>
    <t>=F672</t>
  </si>
  <si>
    <t>=G672</t>
  </si>
  <si>
    <t>=B5</t>
  </si>
  <si>
    <t>=B6</t>
  </si>
  <si>
    <t>=B7</t>
  </si>
  <si>
    <t>=F259</t>
  </si>
  <si>
    <t>=G259</t>
  </si>
  <si>
    <t>=F260</t>
  </si>
  <si>
    <t>=G260</t>
  </si>
  <si>
    <t>=F261</t>
  </si>
  <si>
    <t>=G261</t>
  </si>
  <si>
    <t>=F262</t>
  </si>
  <si>
    <t>=G262</t>
  </si>
  <si>
    <t>=F397</t>
  </si>
  <si>
    <t>=G397</t>
  </si>
  <si>
    <t>=F405</t>
  </si>
  <si>
    <t>=G405</t>
  </si>
  <si>
    <t>=F406</t>
  </si>
  <si>
    <t>=G406</t>
  </si>
  <si>
    <t>=F407</t>
  </si>
  <si>
    <t>=G407</t>
  </si>
  <si>
    <t>Sales</t>
  </si>
  <si>
    <t>=GL("Cell","Name","@@"&amp;$I16)</t>
  </si>
  <si>
    <t>=NF($K17,"TRXDATE")</t>
  </si>
  <si>
    <t>=NF($K17,"JRNENTRY")</t>
  </si>
  <si>
    <t>=NF($K17,"ORMSTRNM")</t>
  </si>
  <si>
    <t>=NF($K17,"ORDOCNUM")</t>
  </si>
  <si>
    <t>=NF($K17,"REFRENCE")</t>
  </si>
  <si>
    <t>=NF($K17,"DSCRIPTN")</t>
  </si>
  <si>
    <t>=NF($K17,"DEBITAMT")</t>
  </si>
  <si>
    <t>=IF($K17="",0,-NF($K17,"CRDTAMNT"))</t>
  </si>
  <si>
    <t>=SUM(R17:S17)</t>
  </si>
  <si>
    <t>=NF($K18,"TRXDATE")</t>
  </si>
  <si>
    <t>=NF($K18,"JRNENTRY")</t>
  </si>
  <si>
    <t>=NF($K18,"ORMSTRNM")</t>
  </si>
  <si>
    <t>=NF($K18,"ORDOCNUM")</t>
  </si>
  <si>
    <t>=NF($K18,"REFRENCE")</t>
  </si>
  <si>
    <t>=NF($K18,"DSCRIPTN")</t>
  </si>
  <si>
    <t>=NF($K18,"DEBITAMT")</t>
  </si>
  <si>
    <t>=SUM(R18:S18)</t>
  </si>
  <si>
    <t>=I16&amp;"   "&amp;J16&amp;"         Total:"</t>
  </si>
  <si>
    <t>=SUBTOTAL(9,T17:T19)</t>
  </si>
  <si>
    <t>=SUBTOTAL(9,T16:T22)</t>
  </si>
  <si>
    <t>=NF($K19,"TRXDATE")</t>
  </si>
  <si>
    <t>=NF($K19,"JRNENTRY")</t>
  </si>
  <si>
    <t>=NF($K19,"ORMSTRNM")</t>
  </si>
  <si>
    <t>=NF($K19,"ORDOCNUM")</t>
  </si>
  <si>
    <t>=NF($K19,"REFRENCE")</t>
  </si>
  <si>
    <t>=NF($K19,"DSCRIPTN")</t>
  </si>
  <si>
    <t>=NF($K19,"DEBITAMT")</t>
  </si>
  <si>
    <t>=IF($K18="",0,-NF($K18,"CRDTAMNT"))</t>
  </si>
  <si>
    <t>=SUM(R19:S19)</t>
  </si>
  <si>
    <t>=NF($K20,"TRXDATE")</t>
  </si>
  <si>
    <t>=NF($K20,"JRNENTRY")</t>
  </si>
  <si>
    <t>=NF($K20,"ORMSTRNM")</t>
  </si>
  <si>
    <t>=NF($K20,"ORDOCNUM")</t>
  </si>
  <si>
    <t>=NF($K20,"REFRENCE")</t>
  </si>
  <si>
    <t>=NF($K20,"DSCRIPTN")</t>
  </si>
  <si>
    <t>=NF($K20,"DEBITAMT")</t>
  </si>
  <si>
    <t>=IF($K19="",0,-NF($K19,"CRDTAMNT"))</t>
  </si>
  <si>
    <t>=SUM(R20:S20)</t>
  </si>
  <si>
    <t>=NF($K21,"TRXDATE")</t>
  </si>
  <si>
    <t>=NF($K21,"JRNENTRY")</t>
  </si>
  <si>
    <t>=NF($K21,"ORMSTRNM")</t>
  </si>
  <si>
    <t>=NF($K21,"ORDOCNUM")</t>
  </si>
  <si>
    <t>=NF($K21,"REFRENCE")</t>
  </si>
  <si>
    <t>=NF($K21,"DSCRIPTN")</t>
  </si>
  <si>
    <t>=NF($K21,"DEBITAMT")</t>
  </si>
  <si>
    <t>=IF($K20="",0,-NF($K20,"CRDTAMNT"))</t>
  </si>
  <si>
    <t>=SUM(R21:S21)</t>
  </si>
  <si>
    <t>=NF($K22,"TRXDATE")</t>
  </si>
  <si>
    <t>=NF($K22,"JRNENTRY")</t>
  </si>
  <si>
    <t>=NF($K22,"ORMSTRNM")</t>
  </si>
  <si>
    <t>=NF($K22,"ORDOCNUM")</t>
  </si>
  <si>
    <t>=NF($K22,"REFRENCE")</t>
  </si>
  <si>
    <t>=NF($K22,"DSCRIPTN")</t>
  </si>
  <si>
    <t>=NF($K22,"DEBITAMT")</t>
  </si>
  <si>
    <t>=IF($K21="",0,-NF($K21,"CRDTAMNT"))</t>
  </si>
  <si>
    <t>=SUM(R22:S22)</t>
  </si>
  <si>
    <t>=NF($K23,"TRXDATE")</t>
  </si>
  <si>
    <t>=NF($K23,"JRNENTRY")</t>
  </si>
  <si>
    <t>=NF($K23,"ORMSTRNM")</t>
  </si>
  <si>
    <t>=NF($K23,"ORDOCNUM")</t>
  </si>
  <si>
    <t>=NF($K23,"REFRENCE")</t>
  </si>
  <si>
    <t>=NF($K23,"DSCRIPTN")</t>
  </si>
  <si>
    <t>=NF($K23,"DEBITAMT")</t>
  </si>
  <si>
    <t>=IF($K22="",0,-NF($K22,"CRDTAMNT"))</t>
  </si>
  <si>
    <t>=SUM(R23:S23)</t>
  </si>
  <si>
    <t>=NF($K24,"TRXDATE")</t>
  </si>
  <si>
    <t>=NF($K24,"JRNENTRY")</t>
  </si>
  <si>
    <t>=NF($K24,"ORMSTRNM")</t>
  </si>
  <si>
    <t>=NF($K24,"ORDOCNUM")</t>
  </si>
  <si>
    <t>=NF($K24,"REFRENCE")</t>
  </si>
  <si>
    <t>=NF($K24,"DSCRIPTN")</t>
  </si>
  <si>
    <t>=NF($K24,"DEBITAMT")</t>
  </si>
  <si>
    <t>=IF($K23="",0,-NF($K23,"CRDTAMNT"))</t>
  </si>
  <si>
    <t>=SUM(R24:S24)</t>
  </si>
  <si>
    <t>=NF($K25,"TRXDATE")</t>
  </si>
  <si>
    <t>=NF($K25,"JRNENTRY")</t>
  </si>
  <si>
    <t>=NF($K25,"ORMSTRNM")</t>
  </si>
  <si>
    <t>=NF($K25,"ORDOCNUM")</t>
  </si>
  <si>
    <t>=NF($K25,"REFRENCE")</t>
  </si>
  <si>
    <t>=NF($K25,"DSCRIPTN")</t>
  </si>
  <si>
    <t>=NF($K25,"DEBITAMT")</t>
  </si>
  <si>
    <t>=IF($K24="",0,-NF($K24,"CRDTAMNT"))</t>
  </si>
  <si>
    <t>=SUM(R25:S25)</t>
  </si>
  <si>
    <t>=NF($K26,"TRXDATE")</t>
  </si>
  <si>
    <t>=NF($K26,"JRNENTRY")</t>
  </si>
  <si>
    <t>=NF($K26,"ORMSTRNM")</t>
  </si>
  <si>
    <t>=NF($K26,"ORDOCNUM")</t>
  </si>
  <si>
    <t>=NF($K26,"REFRENCE")</t>
  </si>
  <si>
    <t>=NF($K26,"DSCRIPTN")</t>
  </si>
  <si>
    <t>=NF($K26,"DEBITAMT")</t>
  </si>
  <si>
    <t>=IF($K25="",0,-NF($K25,"CRDTAMNT"))</t>
  </si>
  <si>
    <t>=SUM(R26:S26)</t>
  </si>
  <si>
    <t>=NF($K27,"TRXDATE")</t>
  </si>
  <si>
    <t>=NF($K27,"JRNENTRY")</t>
  </si>
  <si>
    <t>=NF($K27,"ORMSTRNM")</t>
  </si>
  <si>
    <t>=NF($K27,"ORDOCNUM")</t>
  </si>
  <si>
    <t>=NF($K27,"REFRENCE")</t>
  </si>
  <si>
    <t>=NF($K27,"DSCRIPTN")</t>
  </si>
  <si>
    <t>=NF($K27,"DEBITAMT")</t>
  </si>
  <si>
    <t>=IF($K26="",0,-NF($K26,"CRDTAMNT"))</t>
  </si>
  <si>
    <t>=SUM(R27:S27)</t>
  </si>
  <si>
    <t>=NF($K28,"TRXDATE")</t>
  </si>
  <si>
    <t>=NF($K28,"JRNENTRY")</t>
  </si>
  <si>
    <t>=NF($K28,"ORMSTRNM")</t>
  </si>
  <si>
    <t>=NF($K28,"ORDOCNUM")</t>
  </si>
  <si>
    <t>=NF($K28,"REFRENCE")</t>
  </si>
  <si>
    <t>=NF($K28,"DSCRIPTN")</t>
  </si>
  <si>
    <t>=NF($K28,"DEBITAMT")</t>
  </si>
  <si>
    <t>=IF($K27="",0,-NF($K27,"CRDTAMNT"))</t>
  </si>
  <si>
    <t>=SUM(R28:S28)</t>
  </si>
  <si>
    <t>=NF($K29,"TRXDATE")</t>
  </si>
  <si>
    <t>=NF($K29,"JRNENTRY")</t>
  </si>
  <si>
    <t>=NF($K29,"ORMSTRNM")</t>
  </si>
  <si>
    <t>=NF($K29,"ORDOCNUM")</t>
  </si>
  <si>
    <t>=NF($K29,"REFRENCE")</t>
  </si>
  <si>
    <t>=NF($K29,"DSCRIPTN")</t>
  </si>
  <si>
    <t>=NF($K29,"DEBITAMT")</t>
  </si>
  <si>
    <t>=IF($K28="",0,-NF($K28,"CRDTAMNT"))</t>
  </si>
  <si>
    <t>=SUM(R29:S29)</t>
  </si>
  <si>
    <t>=NF($K30,"TRXDATE")</t>
  </si>
  <si>
    <t>=NF($K30,"JRNENTRY")</t>
  </si>
  <si>
    <t>=NF($K30,"ORMSTRNM")</t>
  </si>
  <si>
    <t>=NF($K30,"ORDOCNUM")</t>
  </si>
  <si>
    <t>=NF($K30,"REFRENCE")</t>
  </si>
  <si>
    <t>=NF($K30,"DSCRIPTN")</t>
  </si>
  <si>
    <t>=NF($K30,"DEBITAMT")</t>
  </si>
  <si>
    <t>=IF($K29="",0,-NF($K29,"CRDTAMNT"))</t>
  </si>
  <si>
    <t>=SUM(R30:S30)</t>
  </si>
  <si>
    <t>=NF($K31,"TRXDATE")</t>
  </si>
  <si>
    <t>=NF($K31,"JRNENTRY")</t>
  </si>
  <si>
    <t>=NF($K31,"ORMSTRNM")</t>
  </si>
  <si>
    <t>=NF($K31,"ORDOCNUM")</t>
  </si>
  <si>
    <t>=NF($K31,"REFRENCE")</t>
  </si>
  <si>
    <t>=NF($K31,"DSCRIPTN")</t>
  </si>
  <si>
    <t>=NF($K31,"DEBITAMT")</t>
  </si>
  <si>
    <t>=IF($K30="",0,-NF($K30,"CRDTAMNT"))</t>
  </si>
  <si>
    <t>=SUM(R31:S31)</t>
  </si>
  <si>
    <t>=NF($K32,"TRXDATE")</t>
  </si>
  <si>
    <t>=NF($K32,"JRNENTRY")</t>
  </si>
  <si>
    <t>=NF($K32,"ORMSTRNM")</t>
  </si>
  <si>
    <t>=NF($K32,"ORDOCNUM")</t>
  </si>
  <si>
    <t>=NF($K32,"REFRENCE")</t>
  </si>
  <si>
    <t>=NF($K32,"DSCRIPTN")</t>
  </si>
  <si>
    <t>=NF($K32,"DEBITAMT")</t>
  </si>
  <si>
    <t>=IF($K31="",0,-NF($K31,"CRDTAMNT"))</t>
  </si>
  <si>
    <t>=SUM(R32:S32)</t>
  </si>
  <si>
    <t>=NF($K33,"TRXDATE")</t>
  </si>
  <si>
    <t>=NF($K33,"JRNENTRY")</t>
  </si>
  <si>
    <t>=NF($K33,"ORMSTRNM")</t>
  </si>
  <si>
    <t>=NF($K33,"ORDOCNUM")</t>
  </si>
  <si>
    <t>=NF($K33,"REFRENCE")</t>
  </si>
  <si>
    <t>=NF($K33,"DSCRIPTN")</t>
  </si>
  <si>
    <t>=NF($K33,"DEBITAMT")</t>
  </si>
  <si>
    <t>=IF($K32="",0,-NF($K32,"CRDTAMNT"))</t>
  </si>
  <si>
    <t>=SUM(R33:S33)</t>
  </si>
  <si>
    <t>=NF($K34,"TRXDATE")</t>
  </si>
  <si>
    <t>=NF($K34,"JRNENTRY")</t>
  </si>
  <si>
    <t>=NF($K34,"ORMSTRNM")</t>
  </si>
  <si>
    <t>=NF($K34,"ORDOCNUM")</t>
  </si>
  <si>
    <t>=NF($K34,"REFRENCE")</t>
  </si>
  <si>
    <t>=NF($K34,"DSCRIPTN")</t>
  </si>
  <si>
    <t>=NF($K34,"DEBITAMT")</t>
  </si>
  <si>
    <t>=IF($K33="",0,-NF($K33,"CRDTAMNT"))</t>
  </si>
  <si>
    <t>=SUM(R34:S34)</t>
  </si>
  <si>
    <t>=NF($K35,"TRXDATE")</t>
  </si>
  <si>
    <t>=NF($K35,"JRNENTRY")</t>
  </si>
  <si>
    <t>=NF($K35,"ORMSTRNM")</t>
  </si>
  <si>
    <t>=NF($K35,"ORDOCNUM")</t>
  </si>
  <si>
    <t>=NF($K35,"REFRENCE")</t>
  </si>
  <si>
    <t>=NF($K35,"DSCRIPTN")</t>
  </si>
  <si>
    <t>=NF($K35,"DEBITAMT")</t>
  </si>
  <si>
    <t>=IF($K34="",0,-NF($K34,"CRDTAMNT"))</t>
  </si>
  <si>
    <t>=SUM(R35:S35)</t>
  </si>
  <si>
    <t>=NF($K36,"TRXDATE")</t>
  </si>
  <si>
    <t>=NF($K36,"JRNENTRY")</t>
  </si>
  <si>
    <t>=NF($K36,"ORMSTRNM")</t>
  </si>
  <si>
    <t>=NF($K36,"ORDOCNUM")</t>
  </si>
  <si>
    <t>=NF($K36,"REFRENCE")</t>
  </si>
  <si>
    <t>=NF($K36,"DSCRIPTN")</t>
  </si>
  <si>
    <t>=NF($K36,"DEBITAMT")</t>
  </si>
  <si>
    <t>=IF($K35="",0,-NF($K35,"CRDTAMNT"))</t>
  </si>
  <si>
    <t>=SUM(R36:S36)</t>
  </si>
  <si>
    <t>=NF($K37,"TRXDATE")</t>
  </si>
  <si>
    <t>=NF($K37,"JRNENTRY")</t>
  </si>
  <si>
    <t>=NF($K37,"ORMSTRNM")</t>
  </si>
  <si>
    <t>=NF($K37,"ORDOCNUM")</t>
  </si>
  <si>
    <t>=NF($K37,"REFRENCE")</t>
  </si>
  <si>
    <t>=NF($K37,"DSCRIPTN")</t>
  </si>
  <si>
    <t>=NF($K37,"DEBITAMT")</t>
  </si>
  <si>
    <t>=IF($K36="",0,-NF($K36,"CRDTAMNT"))</t>
  </si>
  <si>
    <t>=SUM(R37:S37)</t>
  </si>
  <si>
    <t>=NF($K38,"TRXDATE")</t>
  </si>
  <si>
    <t>=NF($K38,"JRNENTRY")</t>
  </si>
  <si>
    <t>=NF($K38,"ORMSTRNM")</t>
  </si>
  <si>
    <t>=NF($K38,"ORDOCNUM")</t>
  </si>
  <si>
    <t>=NF($K38,"REFRENCE")</t>
  </si>
  <si>
    <t>=NF($K38,"DSCRIPTN")</t>
  </si>
  <si>
    <t>=NF($K38,"DEBITAMT")</t>
  </si>
  <si>
    <t>=IF($K37="",0,-NF($K37,"CRDTAMNT"))</t>
  </si>
  <si>
    <t>=SUM(R38:S38)</t>
  </si>
  <si>
    <t>=NF($K39,"TRXDATE")</t>
  </si>
  <si>
    <t>=NF($K39,"JRNENTRY")</t>
  </si>
  <si>
    <t>=NF($K39,"ORMSTRNM")</t>
  </si>
  <si>
    <t>=NF($K39,"ORDOCNUM")</t>
  </si>
  <si>
    <t>=NF($K39,"REFRENCE")</t>
  </si>
  <si>
    <t>=NF($K39,"DSCRIPTN")</t>
  </si>
  <si>
    <t>=NF($K39,"DEBITAMT")</t>
  </si>
  <si>
    <t>=IF($K38="",0,-NF($K38,"CRDTAMNT"))</t>
  </si>
  <si>
    <t>=SUM(R39:S39)</t>
  </si>
  <si>
    <t>=NF($K40,"TRXDATE")</t>
  </si>
  <si>
    <t>=NF($K40,"JRNENTRY")</t>
  </si>
  <si>
    <t>=NF($K40,"ORMSTRNM")</t>
  </si>
  <si>
    <t>=NF($K40,"ORDOCNUM")</t>
  </si>
  <si>
    <t>=NF($K40,"REFRENCE")</t>
  </si>
  <si>
    <t>=NF($K40,"DSCRIPTN")</t>
  </si>
  <si>
    <t>=NF($K40,"DEBITAMT")</t>
  </si>
  <si>
    <t>=IF($K39="",0,-NF($K39,"CRDTAMNT"))</t>
  </si>
  <si>
    <t>=SUM(R40:S40)</t>
  </si>
  <si>
    <t>=NF($K41,"TRXDATE")</t>
  </si>
  <si>
    <t>=NF($K41,"JRNENTRY")</t>
  </si>
  <si>
    <t>=NF($K41,"ORMSTRNM")</t>
  </si>
  <si>
    <t>=NF($K41,"ORDOCNUM")</t>
  </si>
  <si>
    <t>=NF($K41,"REFRENCE")</t>
  </si>
  <si>
    <t>=NF($K41,"DSCRIPTN")</t>
  </si>
  <si>
    <t>=NF($K41,"DEBITAMT")</t>
  </si>
  <si>
    <t>=IF($K40="",0,-NF($K40,"CRDTAMNT"))</t>
  </si>
  <si>
    <t>=SUM(R41:S41)</t>
  </si>
  <si>
    <t>=NF($K42,"TRXDATE")</t>
  </si>
  <si>
    <t>=NF($K42,"JRNENTRY")</t>
  </si>
  <si>
    <t>=NF($K42,"ORMSTRNM")</t>
  </si>
  <si>
    <t>=NF($K42,"ORDOCNUM")</t>
  </si>
  <si>
    <t>=NF($K42,"REFRENCE")</t>
  </si>
  <si>
    <t>=NF($K42,"DSCRIPTN")</t>
  </si>
  <si>
    <t>=NF($K42,"DEBITAMT")</t>
  </si>
  <si>
    <t>=IF($K41="",0,-NF($K41,"CRDTAMNT"))</t>
  </si>
  <si>
    <t>=SUM(R42:S42)</t>
  </si>
  <si>
    <t>=NF($K43,"TRXDATE")</t>
  </si>
  <si>
    <t>=NF($K43,"JRNENTRY")</t>
  </si>
  <si>
    <t>=NF($K43,"ORMSTRNM")</t>
  </si>
  <si>
    <t>=NF($K43,"ORDOCNUM")</t>
  </si>
  <si>
    <t>=NF($K43,"REFRENCE")</t>
  </si>
  <si>
    <t>=NF($K43,"DSCRIPTN")</t>
  </si>
  <si>
    <t>=NF($K43,"DEBITAMT")</t>
  </si>
  <si>
    <t>=IF($K42="",0,-NF($K42,"CRDTAMNT"))</t>
  </si>
  <si>
    <t>=SUM(R43:S43)</t>
  </si>
  <si>
    <t>=NF($K44,"TRXDATE")</t>
  </si>
  <si>
    <t>=NF($K44,"JRNENTRY")</t>
  </si>
  <si>
    <t>=NF($K44,"ORMSTRNM")</t>
  </si>
  <si>
    <t>=NF($K44,"ORDOCNUM")</t>
  </si>
  <si>
    <t>=NF($K44,"REFRENCE")</t>
  </si>
  <si>
    <t>=NF($K44,"DSCRIPTN")</t>
  </si>
  <si>
    <t>=NF($K44,"DEBITAMT")</t>
  </si>
  <si>
    <t>=IF($K43="",0,-NF($K43,"CRDTAMNT"))</t>
  </si>
  <si>
    <t>=SUM(R44:S44)</t>
  </si>
  <si>
    <t>=NF($K45,"TRXDATE")</t>
  </si>
  <si>
    <t>=NF($K45,"JRNENTRY")</t>
  </si>
  <si>
    <t>=NF($K45,"ORMSTRNM")</t>
  </si>
  <si>
    <t>=NF($K45,"ORDOCNUM")</t>
  </si>
  <si>
    <t>=NF($K45,"REFRENCE")</t>
  </si>
  <si>
    <t>=NF($K45,"DSCRIPTN")</t>
  </si>
  <si>
    <t>=NF($K45,"DEBITAMT")</t>
  </si>
  <si>
    <t>=IF($K44="",0,-NF($K44,"CRDTAMNT"))</t>
  </si>
  <si>
    <t>=SUM(R45:S45)</t>
  </si>
  <si>
    <t>=NF($K50,"TRXDATE")</t>
  </si>
  <si>
    <t>=NF($K50,"JRNENTRY")</t>
  </si>
  <si>
    <t>=NF($K50,"ORMSTRNM")</t>
  </si>
  <si>
    <t>=NF($K50,"ORDOCNUM")</t>
  </si>
  <si>
    <t>=NF($K50,"REFRENCE")</t>
  </si>
  <si>
    <t>=NF($K50,"DSCRIPTN")</t>
  </si>
  <si>
    <t>=NF($K50,"DEBITAMT")</t>
  </si>
  <si>
    <t>=SUM(R50:S50)</t>
  </si>
  <si>
    <t>=NF($K51,"TRXDATE")</t>
  </si>
  <si>
    <t>=NF($K51,"JRNENTRY")</t>
  </si>
  <si>
    <t>=NF($K51,"ORMSTRNM")</t>
  </si>
  <si>
    <t>=NF($K51,"ORDOCNUM")</t>
  </si>
  <si>
    <t>=NF($K51,"REFRENCE")</t>
  </si>
  <si>
    <t>=NF($K51,"DSCRIPTN")</t>
  </si>
  <si>
    <t>=NF($K51,"DEBITAMT")</t>
  </si>
  <si>
    <t>=IF($K50="",0,-NF($K50,"CRDTAMNT"))</t>
  </si>
  <si>
    <t>=SUM(R51:S51)</t>
  </si>
  <si>
    <t>=NF($K52,"TRXDATE")</t>
  </si>
  <si>
    <t>=NF($K52,"JRNENTRY")</t>
  </si>
  <si>
    <t>=NF($K52,"ORMSTRNM")</t>
  </si>
  <si>
    <t>=NF($K52,"ORDOCNUM")</t>
  </si>
  <si>
    <t>=NF($K52,"REFRENCE")</t>
  </si>
  <si>
    <t>=NF($K52,"DSCRIPTN")</t>
  </si>
  <si>
    <t>=NF($K52,"DEBITAMT")</t>
  </si>
  <si>
    <t>=IF($K51="",0,-NF($K51,"CRDTAMNT"))</t>
  </si>
  <si>
    <t>=SUM(R52:S52)</t>
  </si>
  <si>
    <t>=NF($K53,"TRXDATE")</t>
  </si>
  <si>
    <t>=NF($K53,"JRNENTRY")</t>
  </si>
  <si>
    <t>=NF($K53,"ORMSTRNM")</t>
  </si>
  <si>
    <t>=NF($K53,"ORDOCNUM")</t>
  </si>
  <si>
    <t>=NF($K53,"REFRENCE")</t>
  </si>
  <si>
    <t>=NF($K53,"DSCRIPTN")</t>
  </si>
  <si>
    <t>=NF($K53,"DEBITAMT")</t>
  </si>
  <si>
    <t>=IF($K52="",0,-NF($K52,"CRDTAMNT"))</t>
  </si>
  <si>
    <t>=SUM(R53:S53)</t>
  </si>
  <si>
    <t>=NF($K54,"TRXDATE")</t>
  </si>
  <si>
    <t>=NF($K54,"JRNENTRY")</t>
  </si>
  <si>
    <t>=NF($K54,"ORMSTRNM")</t>
  </si>
  <si>
    <t>=NF($K54,"ORDOCNUM")</t>
  </si>
  <si>
    <t>=NF($K54,"REFRENCE")</t>
  </si>
  <si>
    <t>=NF($K54,"DSCRIPTN")</t>
  </si>
  <si>
    <t>=NF($K54,"DEBITAMT")</t>
  </si>
  <si>
    <t>=IF($K53="",0,-NF($K53,"CRDTAMNT"))</t>
  </si>
  <si>
    <t>=SUM(R54:S54)</t>
  </si>
  <si>
    <t>=NF($K55,"TRXDATE")</t>
  </si>
  <si>
    <t>=NF($K55,"JRNENTRY")</t>
  </si>
  <si>
    <t>=NF($K55,"ORMSTRNM")</t>
  </si>
  <si>
    <t>=NF($K55,"ORDOCNUM")</t>
  </si>
  <si>
    <t>=NF($K55,"REFRENCE")</t>
  </si>
  <si>
    <t>=NF($K55,"DSCRIPTN")</t>
  </si>
  <si>
    <t>=NF($K55,"DEBITAMT")</t>
  </si>
  <si>
    <t>=IF($K54="",0,-NF($K54,"CRDTAMNT"))</t>
  </si>
  <si>
    <t>=SUM(R55:S55)</t>
  </si>
  <si>
    <t>=NF($K56,"TRXDATE")</t>
  </si>
  <si>
    <t>=NF($K56,"JRNENTRY")</t>
  </si>
  <si>
    <t>=NF($K56,"ORMSTRNM")</t>
  </si>
  <si>
    <t>=NF($K56,"ORDOCNUM")</t>
  </si>
  <si>
    <t>=NF($K56,"REFRENCE")</t>
  </si>
  <si>
    <t>=NF($K56,"DSCRIPTN")</t>
  </si>
  <si>
    <t>=NF($K56,"DEBITAMT")</t>
  </si>
  <si>
    <t>=IF($K55="",0,-NF($K55,"CRDTAMNT"))</t>
  </si>
  <si>
    <t>=SUM(R56:S56)</t>
  </si>
  <si>
    <t>=NF($K57,"TRXDATE")</t>
  </si>
  <si>
    <t>=NF($K57,"JRNENTRY")</t>
  </si>
  <si>
    <t>=NF($K57,"ORMSTRNM")</t>
  </si>
  <si>
    <t>=NF($K57,"ORDOCNUM")</t>
  </si>
  <si>
    <t>=NF($K57,"REFRENCE")</t>
  </si>
  <si>
    <t>=NF($K57,"DSCRIPTN")</t>
  </si>
  <si>
    <t>=NF($K57,"DEBITAMT")</t>
  </si>
  <si>
    <t>=IF($K56="",0,-NF($K56,"CRDTAMNT"))</t>
  </si>
  <si>
    <t>=SUM(R57:S57)</t>
  </si>
  <si>
    <t>=NF($K58,"TRXDATE")</t>
  </si>
  <si>
    <t>=NF($K58,"JRNENTRY")</t>
  </si>
  <si>
    <t>=NF($K58,"ORMSTRNM")</t>
  </si>
  <si>
    <t>=NF($K58,"ORDOCNUM")</t>
  </si>
  <si>
    <t>=NF($K58,"REFRENCE")</t>
  </si>
  <si>
    <t>=NF($K58,"DSCRIPTN")</t>
  </si>
  <si>
    <t>=NF($K58,"DEBITAMT")</t>
  </si>
  <si>
    <t>=IF($K57="",0,-NF($K57,"CRDTAMNT"))</t>
  </si>
  <si>
    <t>=SUM(R58:S58)</t>
  </si>
  <si>
    <t>=NF($K59,"TRXDATE")</t>
  </si>
  <si>
    <t>=NF($K59,"JRNENTRY")</t>
  </si>
  <si>
    <t>=NF($K59,"ORMSTRNM")</t>
  </si>
  <si>
    <t>=NF($K59,"ORDOCNUM")</t>
  </si>
  <si>
    <t>=NF($K59,"REFRENCE")</t>
  </si>
  <si>
    <t>=NF($K59,"DSCRIPTN")</t>
  </si>
  <si>
    <t>=NF($K59,"DEBITAMT")</t>
  </si>
  <si>
    <t>=IF($K58="",0,-NF($K58,"CRDTAMNT"))</t>
  </si>
  <si>
    <t>=SUM(R59:S59)</t>
  </si>
  <si>
    <t>=NF($K60,"TRXDATE")</t>
  </si>
  <si>
    <t>=NF($K60,"JRNENTRY")</t>
  </si>
  <si>
    <t>=NF($K60,"ORMSTRNM")</t>
  </si>
  <si>
    <t>=NF($K60,"ORDOCNUM")</t>
  </si>
  <si>
    <t>=NF($K60,"REFRENCE")</t>
  </si>
  <si>
    <t>=NF($K60,"DSCRIPTN")</t>
  </si>
  <si>
    <t>=NF($K60,"DEBITAMT")</t>
  </si>
  <si>
    <t>=IF($K59="",0,-NF($K59,"CRDTAMNT"))</t>
  </si>
  <si>
    <t>=SUM(R60:S60)</t>
  </si>
  <si>
    <t>=NF($K61,"TRXDATE")</t>
  </si>
  <si>
    <t>=NF($K61,"JRNENTRY")</t>
  </si>
  <si>
    <t>=NF($K61,"ORMSTRNM")</t>
  </si>
  <si>
    <t>=NF($K61,"ORDOCNUM")</t>
  </si>
  <si>
    <t>=NF($K61,"REFRENCE")</t>
  </si>
  <si>
    <t>=NF($K61,"DSCRIPTN")</t>
  </si>
  <si>
    <t>=NF($K61,"DEBITAMT")</t>
  </si>
  <si>
    <t>=IF($K60="",0,-NF($K60,"CRDTAMNT"))</t>
  </si>
  <si>
    <t>=SUM(R61:S61)</t>
  </si>
  <si>
    <t>=NF($K62,"TRXDATE")</t>
  </si>
  <si>
    <t>=NF($K62,"JRNENTRY")</t>
  </si>
  <si>
    <t>=NF($K62,"ORMSTRNM")</t>
  </si>
  <si>
    <t>=NF($K62,"ORDOCNUM")</t>
  </si>
  <si>
    <t>=NF($K62,"REFRENCE")</t>
  </si>
  <si>
    <t>=NF($K62,"DSCRIPTN")</t>
  </si>
  <si>
    <t>=NF($K62,"DEBITAMT")</t>
  </si>
  <si>
    <t>=IF($K61="",0,-NF($K61,"CRDTAMNT"))</t>
  </si>
  <si>
    <t>=SUM(R62:S62)</t>
  </si>
  <si>
    <t>=NF($K63,"TRXDATE")</t>
  </si>
  <si>
    <t>=NF($K63,"JRNENTRY")</t>
  </si>
  <si>
    <t>=NF($K63,"ORMSTRNM")</t>
  </si>
  <si>
    <t>=NF($K63,"ORDOCNUM")</t>
  </si>
  <si>
    <t>=NF($K63,"REFRENCE")</t>
  </si>
  <si>
    <t>=NF($K63,"DSCRIPTN")</t>
  </si>
  <si>
    <t>=NF($K63,"DEBITAMT")</t>
  </si>
  <si>
    <t>=IF($K62="",0,-NF($K62,"CRDTAMNT"))</t>
  </si>
  <si>
    <t>=SUM(R63:S63)</t>
  </si>
  <si>
    <t>=NF($K64,"TRXDATE")</t>
  </si>
  <si>
    <t>=NF($K64,"JRNENTRY")</t>
  </si>
  <si>
    <t>=NF($K64,"ORMSTRNM")</t>
  </si>
  <si>
    <t>=NF($K64,"ORDOCNUM")</t>
  </si>
  <si>
    <t>=NF($K64,"REFRENCE")</t>
  </si>
  <si>
    <t>=NF($K64,"DSCRIPTN")</t>
  </si>
  <si>
    <t>=NF($K64,"DEBITAMT")</t>
  </si>
  <si>
    <t>=IF($K63="",0,-NF($K63,"CRDTAMNT"))</t>
  </si>
  <si>
    <t>=SUM(R64:S64)</t>
  </si>
  <si>
    <t>=NF($K65,"TRXDATE")</t>
  </si>
  <si>
    <t>=NF($K65,"JRNENTRY")</t>
  </si>
  <si>
    <t>=NF($K65,"ORMSTRNM")</t>
  </si>
  <si>
    <t>=NF($K65,"ORDOCNUM")</t>
  </si>
  <si>
    <t>=NF($K65,"REFRENCE")</t>
  </si>
  <si>
    <t>=NF($K65,"DSCRIPTN")</t>
  </si>
  <si>
    <t>=NF($K65,"DEBITAMT")</t>
  </si>
  <si>
    <t>=IF($K64="",0,-NF($K64,"CRDTAMNT"))</t>
  </si>
  <si>
    <t>=SUM(R65:S65)</t>
  </si>
  <si>
    <t>=NF($K66,"TRXDATE")</t>
  </si>
  <si>
    <t>=NF($K66,"JRNENTRY")</t>
  </si>
  <si>
    <t>=NF($K66,"ORMSTRNM")</t>
  </si>
  <si>
    <t>=NF($K66,"ORDOCNUM")</t>
  </si>
  <si>
    <t>=NF($K66,"REFRENCE")</t>
  </si>
  <si>
    <t>=NF($K66,"DSCRIPTN")</t>
  </si>
  <si>
    <t>=NF($K66,"DEBITAMT")</t>
  </si>
  <si>
    <t>=IF($K65="",0,-NF($K65,"CRDTAMNT"))</t>
  </si>
  <si>
    <t>=SUM(R66:S66)</t>
  </si>
  <si>
    <t>=NF($K67,"TRXDATE")</t>
  </si>
  <si>
    <t>=NF($K67,"JRNENTRY")</t>
  </si>
  <si>
    <t>=NF($K67,"ORMSTRNM")</t>
  </si>
  <si>
    <t>=NF($K67,"ORDOCNUM")</t>
  </si>
  <si>
    <t>=NF($K67,"REFRENCE")</t>
  </si>
  <si>
    <t>=NF($K67,"DSCRIPTN")</t>
  </si>
  <si>
    <t>=NF($K67,"DEBITAMT")</t>
  </si>
  <si>
    <t>=IF($K66="",0,-NF($K66,"CRDTAMNT"))</t>
  </si>
  <si>
    <t>=SUM(R67:S67)</t>
  </si>
  <si>
    <t>=NF($K68,"TRXDATE")</t>
  </si>
  <si>
    <t>=NF($K68,"JRNENTRY")</t>
  </si>
  <si>
    <t>=NF($K68,"ORMSTRNM")</t>
  </si>
  <si>
    <t>=NF($K68,"ORDOCNUM")</t>
  </si>
  <si>
    <t>=NF($K68,"REFRENCE")</t>
  </si>
  <si>
    <t>=NF($K68,"DSCRIPTN")</t>
  </si>
  <si>
    <t>=NF($K68,"DEBITAMT")</t>
  </si>
  <si>
    <t>=IF($K67="",0,-NF($K67,"CRDTAMNT"))</t>
  </si>
  <si>
    <t>=SUM(R68:S68)</t>
  </si>
  <si>
    <t>=NF($K69,"TRXDATE")</t>
  </si>
  <si>
    <t>=NF($K69,"JRNENTRY")</t>
  </si>
  <si>
    <t>=NF($K69,"ORMSTRNM")</t>
  </si>
  <si>
    <t>=NF($K69,"ORDOCNUM")</t>
  </si>
  <si>
    <t>=NF($K69,"REFRENCE")</t>
  </si>
  <si>
    <t>=NF($K69,"DSCRIPTN")</t>
  </si>
  <si>
    <t>=NF($K69,"DEBITAMT")</t>
  </si>
  <si>
    <t>=IF($K68="",0,-NF($K68,"CRDTAMNT"))</t>
  </si>
  <si>
    <t>=SUM(R69:S69)</t>
  </si>
  <si>
    <t>=NF($K70,"TRXDATE")</t>
  </si>
  <si>
    <t>=NF($K70,"JRNENTRY")</t>
  </si>
  <si>
    <t>=NF($K70,"ORMSTRNM")</t>
  </si>
  <si>
    <t>=NF($K70,"ORDOCNUM")</t>
  </si>
  <si>
    <t>=NF($K70,"REFRENCE")</t>
  </si>
  <si>
    <t>=NF($K70,"DSCRIPTN")</t>
  </si>
  <si>
    <t>=NF($K70,"DEBITAMT")</t>
  </si>
  <si>
    <t>=IF($K69="",0,-NF($K69,"CRDTAMNT"))</t>
  </si>
  <si>
    <t>=SUM(R70:S70)</t>
  </si>
  <si>
    <t>=NF($K71,"TRXDATE")</t>
  </si>
  <si>
    <t>=NF($K71,"JRNENTRY")</t>
  </si>
  <si>
    <t>=NF($K71,"ORMSTRNM")</t>
  </si>
  <si>
    <t>=NF($K71,"ORDOCNUM")</t>
  </si>
  <si>
    <t>=NF($K71,"REFRENCE")</t>
  </si>
  <si>
    <t>=NF($K71,"DSCRIPTN")</t>
  </si>
  <si>
    <t>=NF($K71,"DEBITAMT")</t>
  </si>
  <si>
    <t>=IF($K70="",0,-NF($K70,"CRDTAMNT"))</t>
  </si>
  <si>
    <t>=SUM(R71:S71)</t>
  </si>
  <si>
    <t>=NF($K72,"TRXDATE")</t>
  </si>
  <si>
    <t>=NF($K72,"JRNENTRY")</t>
  </si>
  <si>
    <t>=NF($K72,"ORMSTRNM")</t>
  </si>
  <si>
    <t>=NF($K72,"ORDOCNUM")</t>
  </si>
  <si>
    <t>=NF($K72,"REFRENCE")</t>
  </si>
  <si>
    <t>=NF($K72,"DSCRIPTN")</t>
  </si>
  <si>
    <t>=NF($K72,"DEBITAMT")</t>
  </si>
  <si>
    <t>=IF($K71="",0,-NF($K71,"CRDTAMNT"))</t>
  </si>
  <si>
    <t>=SUM(R72:S72)</t>
  </si>
  <si>
    <t>=NF($K73,"TRXDATE")</t>
  </si>
  <si>
    <t>=NF($K73,"JRNENTRY")</t>
  </si>
  <si>
    <t>=NF($K73,"ORMSTRNM")</t>
  </si>
  <si>
    <t>=NF($K73,"ORDOCNUM")</t>
  </si>
  <si>
    <t>=NF($K73,"REFRENCE")</t>
  </si>
  <si>
    <t>=NF($K73,"DSCRIPTN")</t>
  </si>
  <si>
    <t>=NF($K73,"DEBITAMT")</t>
  </si>
  <si>
    <t>=IF($K72="",0,-NF($K72,"CRDTAMNT"))</t>
  </si>
  <si>
    <t>=SUM(R73:S73)</t>
  </si>
  <si>
    <t>=NF($K74,"TRXDATE")</t>
  </si>
  <si>
    <t>=NF($K74,"JRNENTRY")</t>
  </si>
  <si>
    <t>=NF($K74,"ORMSTRNM")</t>
  </si>
  <si>
    <t>=NF($K74,"ORDOCNUM")</t>
  </si>
  <si>
    <t>=NF($K74,"REFRENCE")</t>
  </si>
  <si>
    <t>=NF($K74,"DSCRIPTN")</t>
  </si>
  <si>
    <t>=NF($K74,"DEBITAMT")</t>
  </si>
  <si>
    <t>=IF($K73="",0,-NF($K73,"CRDTAMNT"))</t>
  </si>
  <si>
    <t>=SUM(R74:S74)</t>
  </si>
  <si>
    <t>=NF($K75,"TRXDATE")</t>
  </si>
  <si>
    <t>=NF($K75,"JRNENTRY")</t>
  </si>
  <si>
    <t>=NF($K75,"ORMSTRNM")</t>
  </si>
  <si>
    <t>=NF($K75,"ORDOCNUM")</t>
  </si>
  <si>
    <t>=NF($K75,"REFRENCE")</t>
  </si>
  <si>
    <t>=NF($K75,"DSCRIPTN")</t>
  </si>
  <si>
    <t>=NF($K75,"DEBITAMT")</t>
  </si>
  <si>
    <t>=IF($K74="",0,-NF($K74,"CRDTAMNT"))</t>
  </si>
  <si>
    <t>=SUM(R75:S75)</t>
  </si>
  <si>
    <t>=NF($K80,"TRXDATE")</t>
  </si>
  <si>
    <t>=NF($K80,"JRNENTRY")</t>
  </si>
  <si>
    <t>=NF($K80,"ORMSTRNM")</t>
  </si>
  <si>
    <t>=NF($K80,"ORDOCNUM")</t>
  </si>
  <si>
    <t>=NF($K80,"REFRENCE")</t>
  </si>
  <si>
    <t>=NF($K80,"DSCRIPTN")</t>
  </si>
  <si>
    <t>=NF($K80,"DEBITAMT")</t>
  </si>
  <si>
    <t>=IF($K80="",0,-NF($K80,"CRDTAMNT"))</t>
  </si>
  <si>
    <t>=SUM(R80:S80)</t>
  </si>
  <si>
    <t>=NF($K81,"TRXDATE")</t>
  </si>
  <si>
    <t>=NF($K81,"JRNENTRY")</t>
  </si>
  <si>
    <t>=NF($K81,"ORMSTRNM")</t>
  </si>
  <si>
    <t>=NF($K81,"ORDOCNUM")</t>
  </si>
  <si>
    <t>=NF($K81,"REFRENCE")</t>
  </si>
  <si>
    <t>=NF($K81,"DSCRIPTN")</t>
  </si>
  <si>
    <t>=NF($K81,"DEBITAMT")</t>
  </si>
  <si>
    <t>=SUM(R81:S81)</t>
  </si>
  <si>
    <t>=NF($K82,"TRXDATE")</t>
  </si>
  <si>
    <t>=NF($K82,"JRNENTRY")</t>
  </si>
  <si>
    <t>=NF($K82,"ORMSTRNM")</t>
  </si>
  <si>
    <t>=NF($K82,"ORDOCNUM")</t>
  </si>
  <si>
    <t>=NF($K82,"REFRENCE")</t>
  </si>
  <si>
    <t>=NF($K82,"DSCRIPTN")</t>
  </si>
  <si>
    <t>=NF($K82,"DEBITAMT")</t>
  </si>
  <si>
    <t>=IF($K81="",0,-NF($K81,"CRDTAMNT"))</t>
  </si>
  <si>
    <t>=SUM(R82:S82)</t>
  </si>
  <si>
    <t>=NF($K83,"TRXDATE")</t>
  </si>
  <si>
    <t>=NF($K83,"JRNENTRY")</t>
  </si>
  <si>
    <t>=NF($K83,"ORMSTRNM")</t>
  </si>
  <si>
    <t>=NF($K83,"ORDOCNUM")</t>
  </si>
  <si>
    <t>=NF($K83,"REFRENCE")</t>
  </si>
  <si>
    <t>=NF($K83,"DSCRIPTN")</t>
  </si>
  <si>
    <t>=NF($K83,"DEBITAMT")</t>
  </si>
  <si>
    <t>=IF($K82="",0,-NF($K82,"CRDTAMNT"))</t>
  </si>
  <si>
    <t>=SUM(R83:S83)</t>
  </si>
  <si>
    <t>=NF($K84,"TRXDATE")</t>
  </si>
  <si>
    <t>=NF($K84,"JRNENTRY")</t>
  </si>
  <si>
    <t>=NF($K84,"ORMSTRNM")</t>
  </si>
  <si>
    <t>=NF($K84,"ORDOCNUM")</t>
  </si>
  <si>
    <t>=NF($K84,"REFRENCE")</t>
  </si>
  <si>
    <t>=NF($K84,"DSCRIPTN")</t>
  </si>
  <si>
    <t>=NF($K84,"DEBITAMT")</t>
  </si>
  <si>
    <t>=IF($K83="",0,-NF($K83,"CRDTAMNT"))</t>
  </si>
  <si>
    <t>=SUM(R84:S84)</t>
  </si>
  <si>
    <t>=NF($K85,"TRXDATE")</t>
  </si>
  <si>
    <t>=NF($K85,"JRNENTRY")</t>
  </si>
  <si>
    <t>=NF($K85,"ORMSTRNM")</t>
  </si>
  <si>
    <t>=NF($K85,"ORDOCNUM")</t>
  </si>
  <si>
    <t>=NF($K85,"REFRENCE")</t>
  </si>
  <si>
    <t>=NF($K85,"DSCRIPTN")</t>
  </si>
  <si>
    <t>=NF($K85,"DEBITAMT")</t>
  </si>
  <si>
    <t>=IF($K84="",0,-NF($K84,"CRDTAMNT"))</t>
  </si>
  <si>
    <t>=SUM(R85:S85)</t>
  </si>
  <si>
    <t>=NF($K86,"TRXDATE")</t>
  </si>
  <si>
    <t>=NF($K86,"JRNENTRY")</t>
  </si>
  <si>
    <t>=NF($K86,"ORMSTRNM")</t>
  </si>
  <si>
    <t>=NF($K86,"ORDOCNUM")</t>
  </si>
  <si>
    <t>=NF($K86,"REFRENCE")</t>
  </si>
  <si>
    <t>=NF($K86,"DSCRIPTN")</t>
  </si>
  <si>
    <t>=NF($K86,"DEBITAMT")</t>
  </si>
  <si>
    <t>=IF($K85="",0,-NF($K85,"CRDTAMNT"))</t>
  </si>
  <si>
    <t>=SUM(R86:S86)</t>
  </si>
  <si>
    <t>=NF($K87,"TRXDATE")</t>
  </si>
  <si>
    <t>=NF($K87,"JRNENTRY")</t>
  </si>
  <si>
    <t>=NF($K87,"ORMSTRNM")</t>
  </si>
  <si>
    <t>=NF($K87,"ORDOCNUM")</t>
  </si>
  <si>
    <t>=NF($K87,"REFRENCE")</t>
  </si>
  <si>
    <t>=NF($K87,"DSCRIPTN")</t>
  </si>
  <si>
    <t>=NF($K87,"DEBITAMT")</t>
  </si>
  <si>
    <t>=IF($K86="",0,-NF($K86,"CRDTAMNT"))</t>
  </si>
  <si>
    <t>=SUM(R87:S87)</t>
  </si>
  <si>
    <t>=NF($K92,"TRXDATE")</t>
  </si>
  <si>
    <t>=NF($K92,"JRNENTRY")</t>
  </si>
  <si>
    <t>=NF($K92,"ORMSTRNM")</t>
  </si>
  <si>
    <t>=NF($K92,"ORDOCNUM")</t>
  </si>
  <si>
    <t>=NF($K92,"REFRENCE")</t>
  </si>
  <si>
    <t>=NF($K92,"DSCRIPTN")</t>
  </si>
  <si>
    <t>=NF($K92,"DEBITAMT")</t>
  </si>
  <si>
    <t>=SUM(R92:S92)</t>
  </si>
  <si>
    <t>=NF($K93,"TRXDATE")</t>
  </si>
  <si>
    <t>=NF($K93,"JRNENTRY")</t>
  </si>
  <si>
    <t>=NF($K93,"ORMSTRNM")</t>
  </si>
  <si>
    <t>=NF($K93,"ORDOCNUM")</t>
  </si>
  <si>
    <t>=NF($K93,"REFRENCE")</t>
  </si>
  <si>
    <t>=NF($K93,"DSCRIPTN")</t>
  </si>
  <si>
    <t>=NF($K93,"DEBITAMT")</t>
  </si>
  <si>
    <t>=IF($K92="",0,-NF($K92,"CRDTAMNT"))</t>
  </si>
  <si>
    <t>=SUM(R93:S93)</t>
  </si>
  <si>
    <t>=NF($K94,"TRXDATE")</t>
  </si>
  <si>
    <t>=NF($K94,"JRNENTRY")</t>
  </si>
  <si>
    <t>=NF($K94,"ORMSTRNM")</t>
  </si>
  <si>
    <t>=NF($K94,"ORDOCNUM")</t>
  </si>
  <si>
    <t>=NF($K94,"REFRENCE")</t>
  </si>
  <si>
    <t>=NF($K94,"DSCRIPTN")</t>
  </si>
  <si>
    <t>=NF($K94,"DEBITAMT")</t>
  </si>
  <si>
    <t>=IF($K93="",0,-NF($K93,"CRDTAMNT"))</t>
  </si>
  <si>
    <t>=SUM(R94:S94)</t>
  </si>
  <si>
    <t>=NF($K95,"TRXDATE")</t>
  </si>
  <si>
    <t>=NF($K95,"JRNENTRY")</t>
  </si>
  <si>
    <t>=NF($K95,"ORMSTRNM")</t>
  </si>
  <si>
    <t>=NF($K95,"ORDOCNUM")</t>
  </si>
  <si>
    <t>=NF($K95,"REFRENCE")</t>
  </si>
  <si>
    <t>=NF($K95,"DSCRIPTN")</t>
  </si>
  <si>
    <t>=NF($K95,"DEBITAMT")</t>
  </si>
  <si>
    <t>=IF($K94="",0,-NF($K94,"CRDTAMNT"))</t>
  </si>
  <si>
    <t>=SUM(R95:S95)</t>
  </si>
  <si>
    <t>=NF($K96,"TRXDATE")</t>
  </si>
  <si>
    <t>=NF($K96,"JRNENTRY")</t>
  </si>
  <si>
    <t>=NF($K96,"ORMSTRNM")</t>
  </si>
  <si>
    <t>=NF($K96,"ORDOCNUM")</t>
  </si>
  <si>
    <t>=NF($K96,"REFRENCE")</t>
  </si>
  <si>
    <t>=NF($K96,"DSCRIPTN")</t>
  </si>
  <si>
    <t>=NF($K96,"DEBITAMT")</t>
  </si>
  <si>
    <t>=IF($K95="",0,-NF($K95,"CRDTAMNT"))</t>
  </si>
  <si>
    <t>=SUM(R96:S96)</t>
  </si>
  <si>
    <t>=NF($K97,"TRXDATE")</t>
  </si>
  <si>
    <t>=NF($K97,"JRNENTRY")</t>
  </si>
  <si>
    <t>=NF($K97,"ORMSTRNM")</t>
  </si>
  <si>
    <t>=NF($K97,"ORDOCNUM")</t>
  </si>
  <si>
    <t>=NF($K97,"REFRENCE")</t>
  </si>
  <si>
    <t>=NF($K97,"DSCRIPTN")</t>
  </si>
  <si>
    <t>=NF($K97,"DEBITAMT")</t>
  </si>
  <si>
    <t>=IF($K96="",0,-NF($K96,"CRDTAMNT"))</t>
  </si>
  <si>
    <t>=SUM(R97:S97)</t>
  </si>
  <si>
    <t>=NF($K98,"TRXDATE")</t>
  </si>
  <si>
    <t>=NF($K98,"JRNENTRY")</t>
  </si>
  <si>
    <t>=NF($K98,"ORMSTRNM")</t>
  </si>
  <si>
    <t>=NF($K98,"ORDOCNUM")</t>
  </si>
  <si>
    <t>=NF($K98,"REFRENCE")</t>
  </si>
  <si>
    <t>=NF($K98,"DSCRIPTN")</t>
  </si>
  <si>
    <t>=NF($K98,"DEBITAMT")</t>
  </si>
  <si>
    <t>=IF($K97="",0,-NF($K97,"CRDTAMNT"))</t>
  </si>
  <si>
    <t>=SUM(R98:S98)</t>
  </si>
  <si>
    <t>=NF($K99,"TRXDATE")</t>
  </si>
  <si>
    <t>=NF($K99,"JRNENTRY")</t>
  </si>
  <si>
    <t>=NF($K99,"ORMSTRNM")</t>
  </si>
  <si>
    <t>=NF($K99,"ORDOCNUM")</t>
  </si>
  <si>
    <t>=NF($K99,"REFRENCE")</t>
  </si>
  <si>
    <t>=NF($K99,"DSCRIPTN")</t>
  </si>
  <si>
    <t>=NF($K99,"DEBITAMT")</t>
  </si>
  <si>
    <t>=IF($K98="",0,-NF($K98,"CRDTAMNT"))</t>
  </si>
  <si>
    <t>=SUM(R99:S99)</t>
  </si>
  <si>
    <t>=NF($K100,"TRXDATE")</t>
  </si>
  <si>
    <t>=NF($K100,"JRNENTRY")</t>
  </si>
  <si>
    <t>=NF($K100,"ORMSTRNM")</t>
  </si>
  <si>
    <t>=NF($K100,"ORDOCNUM")</t>
  </si>
  <si>
    <t>=NF($K100,"REFRENCE")</t>
  </si>
  <si>
    <t>=NF($K100,"DSCRIPTN")</t>
  </si>
  <si>
    <t>=NF($K100,"DEBITAMT")</t>
  </si>
  <si>
    <t>=IF($K99="",0,-NF($K99,"CRDTAMNT"))</t>
  </si>
  <si>
    <t>=SUM(R100:S100)</t>
  </si>
  <si>
    <t>=NF($K101,"TRXDATE")</t>
  </si>
  <si>
    <t>=NF($K101,"JRNENTRY")</t>
  </si>
  <si>
    <t>=NF($K101,"ORMSTRNM")</t>
  </si>
  <si>
    <t>=NF($K101,"ORDOCNUM")</t>
  </si>
  <si>
    <t>=NF($K101,"REFRENCE")</t>
  </si>
  <si>
    <t>=NF($K101,"DSCRIPTN")</t>
  </si>
  <si>
    <t>=NF($K101,"DEBITAMT")</t>
  </si>
  <si>
    <t>=IF($K100="",0,-NF($K100,"CRDTAMNT"))</t>
  </si>
  <si>
    <t>=SUM(R101:S101)</t>
  </si>
  <si>
    <t>=NF($K102,"TRXDATE")</t>
  </si>
  <si>
    <t>=NF($K102,"JRNENTRY")</t>
  </si>
  <si>
    <t>=NF($K102,"ORMSTRNM")</t>
  </si>
  <si>
    <t>=NF($K102,"ORDOCNUM")</t>
  </si>
  <si>
    <t>=NF($K102,"REFRENCE")</t>
  </si>
  <si>
    <t>=NF($K102,"DSCRIPTN")</t>
  </si>
  <si>
    <t>=NF($K102,"DEBITAMT")</t>
  </si>
  <si>
    <t>=IF($K101="",0,-NF($K101,"CRDTAMNT"))</t>
  </si>
  <si>
    <t>=SUM(R102:S102)</t>
  </si>
  <si>
    <t>=NF($K103,"TRXDATE")</t>
  </si>
  <si>
    <t>=NF($K103,"JRNENTRY")</t>
  </si>
  <si>
    <t>=NF($K103,"ORMSTRNM")</t>
  </si>
  <si>
    <t>=NF($K103,"ORDOCNUM")</t>
  </si>
  <si>
    <t>=NF($K103,"REFRENCE")</t>
  </si>
  <si>
    <t>=NF($K103,"DSCRIPTN")</t>
  </si>
  <si>
    <t>=NF($K103,"DEBITAMT")</t>
  </si>
  <si>
    <t>=IF($K102="",0,-NF($K102,"CRDTAMNT"))</t>
  </si>
  <si>
    <t>=SUM(R103:S103)</t>
  </si>
  <si>
    <t>=NF($K104,"TRXDATE")</t>
  </si>
  <si>
    <t>=NF($K104,"JRNENTRY")</t>
  </si>
  <si>
    <t>=NF($K104,"ORMSTRNM")</t>
  </si>
  <si>
    <t>=NF($K104,"ORDOCNUM")</t>
  </si>
  <si>
    <t>=NF($K104,"REFRENCE")</t>
  </si>
  <si>
    <t>=NF($K104,"DSCRIPTN")</t>
  </si>
  <si>
    <t>=NF($K104,"DEBITAMT")</t>
  </si>
  <si>
    <t>=IF($K103="",0,-NF($K103,"CRDTAMNT"))</t>
  </si>
  <si>
    <t>=SUM(R104:S104)</t>
  </si>
  <si>
    <t>=NF($K105,"TRXDATE")</t>
  </si>
  <si>
    <t>=NF($K105,"JRNENTRY")</t>
  </si>
  <si>
    <t>=NF($K105,"ORMSTRNM")</t>
  </si>
  <si>
    <t>=NF($K105,"ORDOCNUM")</t>
  </si>
  <si>
    <t>=NF($K105,"REFRENCE")</t>
  </si>
  <si>
    <t>=NF($K105,"DSCRIPTN")</t>
  </si>
  <si>
    <t>=NF($K105,"DEBITAMT")</t>
  </si>
  <si>
    <t>=IF($K104="",0,-NF($K104,"CRDTAMNT"))</t>
  </si>
  <si>
    <t>=SUM(R105:S105)</t>
  </si>
  <si>
    <t>=NF($K106,"TRXDATE")</t>
  </si>
  <si>
    <t>=NF($K106,"JRNENTRY")</t>
  </si>
  <si>
    <t>=NF($K106,"ORMSTRNM")</t>
  </si>
  <si>
    <t>=NF($K106,"ORDOCNUM")</t>
  </si>
  <si>
    <t>=NF($K106,"REFRENCE")</t>
  </si>
  <si>
    <t>=NF($K106,"DSCRIPTN")</t>
  </si>
  <si>
    <t>=NF($K106,"DEBITAMT")</t>
  </si>
  <si>
    <t>=IF($K105="",0,-NF($K105,"CRDTAMNT"))</t>
  </si>
  <si>
    <t>=SUM(R106:S106)</t>
  </si>
  <si>
    <t>=NF($K107,"TRXDATE")</t>
  </si>
  <si>
    <t>=NF($K107,"JRNENTRY")</t>
  </si>
  <si>
    <t>=NF($K107,"ORMSTRNM")</t>
  </si>
  <si>
    <t>=NF($K107,"ORDOCNUM")</t>
  </si>
  <si>
    <t>=NF($K107,"REFRENCE")</t>
  </si>
  <si>
    <t>=NF($K107,"DSCRIPTN")</t>
  </si>
  <si>
    <t>=NF($K107,"DEBITAMT")</t>
  </si>
  <si>
    <t>=IF($K106="",0,-NF($K106,"CRDTAMNT"))</t>
  </si>
  <si>
    <t>=SUM(R107:S107)</t>
  </si>
  <si>
    <t>=NF($K108,"TRXDATE")</t>
  </si>
  <si>
    <t>=NF($K108,"JRNENTRY")</t>
  </si>
  <si>
    <t>=NF($K108,"ORMSTRNM")</t>
  </si>
  <si>
    <t>=NF($K108,"ORDOCNUM")</t>
  </si>
  <si>
    <t>=NF($K108,"REFRENCE")</t>
  </si>
  <si>
    <t>=NF($K108,"DSCRIPTN")</t>
  </si>
  <si>
    <t>=NF($K108,"DEBITAMT")</t>
  </si>
  <si>
    <t>=IF($K107="",0,-NF($K107,"CRDTAMNT"))</t>
  </si>
  <si>
    <t>=SUM(R108:S108)</t>
  </si>
  <si>
    <t>=NF($K109,"TRXDATE")</t>
  </si>
  <si>
    <t>=NF($K109,"JRNENTRY")</t>
  </si>
  <si>
    <t>=NF($K109,"ORMSTRNM")</t>
  </si>
  <si>
    <t>=NF($K109,"ORDOCNUM")</t>
  </si>
  <si>
    <t>=NF($K109,"REFRENCE")</t>
  </si>
  <si>
    <t>=NF($K109,"DSCRIPTN")</t>
  </si>
  <si>
    <t>=NF($K109,"DEBITAMT")</t>
  </si>
  <si>
    <t>=IF($K108="",0,-NF($K108,"CRDTAMNT"))</t>
  </si>
  <si>
    <t>=SUM(R109:S109)</t>
  </si>
  <si>
    <t>=NF($K110,"TRXDATE")</t>
  </si>
  <si>
    <t>=NF($K110,"JRNENTRY")</t>
  </si>
  <si>
    <t>=NF($K110,"ORMSTRNM")</t>
  </si>
  <si>
    <t>=NF($K110,"ORDOCNUM")</t>
  </si>
  <si>
    <t>=NF($K110,"REFRENCE")</t>
  </si>
  <si>
    <t>=NF($K110,"DSCRIPTN")</t>
  </si>
  <si>
    <t>=NF($K110,"DEBITAMT")</t>
  </si>
  <si>
    <t>=IF($K109="",0,-NF($K109,"CRDTAMNT"))</t>
  </si>
  <si>
    <t>=SUM(R110:S110)</t>
  </si>
  <si>
    <t>=NF($K111,"TRXDATE")</t>
  </si>
  <si>
    <t>=NF($K111,"JRNENTRY")</t>
  </si>
  <si>
    <t>=NF($K111,"ORMSTRNM")</t>
  </si>
  <si>
    <t>=NF($K111,"ORDOCNUM")</t>
  </si>
  <si>
    <t>=NF($K111,"REFRENCE")</t>
  </si>
  <si>
    <t>=NF($K111,"DSCRIPTN")</t>
  </si>
  <si>
    <t>=NF($K111,"DEBITAMT")</t>
  </si>
  <si>
    <t>=IF($K110="",0,-NF($K110,"CRDTAMNT"))</t>
  </si>
  <si>
    <t>=SUM(R111:S111)</t>
  </si>
  <si>
    <t>=NF($K112,"TRXDATE")</t>
  </si>
  <si>
    <t>=NF($K112,"JRNENTRY")</t>
  </si>
  <si>
    <t>=NF($K112,"ORMSTRNM")</t>
  </si>
  <si>
    <t>=NF($K112,"ORDOCNUM")</t>
  </si>
  <si>
    <t>=NF($K112,"REFRENCE")</t>
  </si>
  <si>
    <t>=NF($K112,"DSCRIPTN")</t>
  </si>
  <si>
    <t>=NF($K112,"DEBITAMT")</t>
  </si>
  <si>
    <t>=IF($K111="",0,-NF($K111,"CRDTAMNT"))</t>
  </si>
  <si>
    <t>=SUM(R112:S112)</t>
  </si>
  <si>
    <t>=NF($K117,"TRXDATE")</t>
  </si>
  <si>
    <t>=NF($K117,"JRNENTRY")</t>
  </si>
  <si>
    <t>=NF($K117,"ORMSTRNM")</t>
  </si>
  <si>
    <t>=NF($K117,"ORDOCNUM")</t>
  </si>
  <si>
    <t>=NF($K117,"REFRENCE")</t>
  </si>
  <si>
    <t>=NF($K117,"DSCRIPTN")</t>
  </si>
  <si>
    <t>=NF($K117,"DEBITAMT")</t>
  </si>
  <si>
    <t>=SUM(R117:S117)</t>
  </si>
  <si>
    <t>=NF($K118,"TRXDATE")</t>
  </si>
  <si>
    <t>=NF($K118,"JRNENTRY")</t>
  </si>
  <si>
    <t>=NF($K118,"ORMSTRNM")</t>
  </si>
  <si>
    <t>=NF($K118,"ORDOCNUM")</t>
  </si>
  <si>
    <t>=NF($K118,"REFRENCE")</t>
  </si>
  <si>
    <t>=NF($K118,"DSCRIPTN")</t>
  </si>
  <si>
    <t>=NF($K118,"DEBITAMT")</t>
  </si>
  <si>
    <t>=IF($K117="",0,-NF($K117,"CRDTAMNT"))</t>
  </si>
  <si>
    <t>=SUM(R118:S118)</t>
  </si>
  <si>
    <t>=NF($K123,"TRXDATE")</t>
  </si>
  <si>
    <t>=NF($K123,"JRNENTRY")</t>
  </si>
  <si>
    <t>=NF($K123,"ORMSTRNM")</t>
  </si>
  <si>
    <t>=NF($K123,"ORDOCNUM")</t>
  </si>
  <si>
    <t>=NF($K123,"REFRENCE")</t>
  </si>
  <si>
    <t>=NF($K123,"DSCRIPTN")</t>
  </si>
  <si>
    <t>=NF($K123,"DEBITAMT")</t>
  </si>
  <si>
    <t>=SUM(R123:S123)</t>
  </si>
  <si>
    <t>=NF($K124,"TRXDATE")</t>
  </si>
  <si>
    <t>=NF($K124,"JRNENTRY")</t>
  </si>
  <si>
    <t>=NF($K124,"ORMSTRNM")</t>
  </si>
  <si>
    <t>=NF($K124,"ORDOCNUM")</t>
  </si>
  <si>
    <t>=NF($K124,"REFRENCE")</t>
  </si>
  <si>
    <t>=NF($K124,"DSCRIPTN")</t>
  </si>
  <si>
    <t>=NF($K124,"DEBITAMT")</t>
  </si>
  <si>
    <t>=IF($K123="",0,-NF($K123,"CRDTAMNT"))</t>
  </si>
  <si>
    <t>=SUM(R124:S124)</t>
  </si>
  <si>
    <t>=NF($K125,"TRXDATE")</t>
  </si>
  <si>
    <t>=NF($K125,"JRNENTRY")</t>
  </si>
  <si>
    <t>=NF($K125,"ORMSTRNM")</t>
  </si>
  <si>
    <t>=NF($K125,"ORDOCNUM")</t>
  </si>
  <si>
    <t>=NF($K125,"REFRENCE")</t>
  </si>
  <si>
    <t>=NF($K125,"DSCRIPTN")</t>
  </si>
  <si>
    <t>=NF($K125,"DEBITAMT")</t>
  </si>
  <si>
    <t>=IF($K124="",0,-NF($K124,"CRDTAMNT"))</t>
  </si>
  <si>
    <t>=SUM(R125:S125)</t>
  </si>
  <si>
    <t>=NF($K126,"TRXDATE")</t>
  </si>
  <si>
    <t>=NF($K126,"JRNENTRY")</t>
  </si>
  <si>
    <t>=NF($K126,"ORMSTRNM")</t>
  </si>
  <si>
    <t>=NF($K126,"ORDOCNUM")</t>
  </si>
  <si>
    <t>=NF($K126,"REFRENCE")</t>
  </si>
  <si>
    <t>=NF($K126,"DSCRIPTN")</t>
  </si>
  <si>
    <t>=NF($K126,"DEBITAMT")</t>
  </si>
  <si>
    <t>=IF($K125="",0,-NF($K125,"CRDTAMNT"))</t>
  </si>
  <si>
    <t>=SUM(R126:S126)</t>
  </si>
  <si>
    <t>=NF($K127,"TRXDATE")</t>
  </si>
  <si>
    <t>=NF($K127,"JRNENTRY")</t>
  </si>
  <si>
    <t>=NF($K127,"ORMSTRNM")</t>
  </si>
  <si>
    <t>=NF($K127,"ORDOCNUM")</t>
  </si>
  <si>
    <t>=NF($K127,"REFRENCE")</t>
  </si>
  <si>
    <t>=NF($K127,"DSCRIPTN")</t>
  </si>
  <si>
    <t>=NF($K127,"DEBITAMT")</t>
  </si>
  <si>
    <t>=IF($K126="",0,-NF($K126,"CRDTAMNT"))</t>
  </si>
  <si>
    <t>=SUM(R127:S127)</t>
  </si>
  <si>
    <t>=NF($K128,"TRXDATE")</t>
  </si>
  <si>
    <t>=NF($K128,"JRNENTRY")</t>
  </si>
  <si>
    <t>=NF($K128,"ORMSTRNM")</t>
  </si>
  <si>
    <t>=NF($K128,"ORDOCNUM")</t>
  </si>
  <si>
    <t>=NF($K128,"REFRENCE")</t>
  </si>
  <si>
    <t>=NF($K128,"DSCRIPTN")</t>
  </si>
  <si>
    <t>=NF($K128,"DEBITAMT")</t>
  </si>
  <si>
    <t>=IF($K127="",0,-NF($K127,"CRDTAMNT"))</t>
  </si>
  <si>
    <t>=SUM(R128:S128)</t>
  </si>
  <si>
    <t>=NF($K129,"TRXDATE")</t>
  </si>
  <si>
    <t>=NF($K129,"JRNENTRY")</t>
  </si>
  <si>
    <t>=NF($K129,"ORMSTRNM")</t>
  </si>
  <si>
    <t>=NF($K129,"ORDOCNUM")</t>
  </si>
  <si>
    <t>=NF($K129,"REFRENCE")</t>
  </si>
  <si>
    <t>=NF($K129,"DSCRIPTN")</t>
  </si>
  <si>
    <t>=NF($K129,"DEBITAMT")</t>
  </si>
  <si>
    <t>=IF($K128="",0,-NF($K128,"CRDTAMNT"))</t>
  </si>
  <si>
    <t>=SUM(R129:S129)</t>
  </si>
  <si>
    <t>=NF($K130,"TRXDATE")</t>
  </si>
  <si>
    <t>=NF($K130,"JRNENTRY")</t>
  </si>
  <si>
    <t>=NF($K130,"ORMSTRNM")</t>
  </si>
  <si>
    <t>=NF($K130,"ORDOCNUM")</t>
  </si>
  <si>
    <t>=NF($K130,"REFRENCE")</t>
  </si>
  <si>
    <t>=NF($K130,"DSCRIPTN")</t>
  </si>
  <si>
    <t>=NF($K130,"DEBITAMT")</t>
  </si>
  <si>
    <t>=IF($K129="",0,-NF($K129,"CRDTAMNT"))</t>
  </si>
  <si>
    <t>=SUM(R130:S130)</t>
  </si>
  <si>
    <t>=NF($K131,"TRXDATE")</t>
  </si>
  <si>
    <t>=NF($K131,"JRNENTRY")</t>
  </si>
  <si>
    <t>=NF($K131,"ORMSTRNM")</t>
  </si>
  <si>
    <t>=NF($K131,"ORDOCNUM")</t>
  </si>
  <si>
    <t>=NF($K131,"REFRENCE")</t>
  </si>
  <si>
    <t>=NF($K131,"DSCRIPTN")</t>
  </si>
  <si>
    <t>=NF($K131,"DEBITAMT")</t>
  </si>
  <si>
    <t>=IF($K130="",0,-NF($K130,"CRDTAMNT"))</t>
  </si>
  <si>
    <t>=SUM(R131:S131)</t>
  </si>
  <si>
    <t>=NF($K132,"TRXDATE")</t>
  </si>
  <si>
    <t>=NF($K132,"JRNENTRY")</t>
  </si>
  <si>
    <t>=NF($K132,"ORMSTRNM")</t>
  </si>
  <si>
    <t>=NF($K132,"ORDOCNUM")</t>
  </si>
  <si>
    <t>=NF($K132,"REFRENCE")</t>
  </si>
  <si>
    <t>=NF($K132,"DSCRIPTN")</t>
  </si>
  <si>
    <t>=NF($K132,"DEBITAMT")</t>
  </si>
  <si>
    <t>=IF($K131="",0,-NF($K131,"CRDTAMNT"))</t>
  </si>
  <si>
    <t>=SUM(R132:S132)</t>
  </si>
  <si>
    <t>=NF($K133,"TRXDATE")</t>
  </si>
  <si>
    <t>=NF($K133,"JRNENTRY")</t>
  </si>
  <si>
    <t>=NF($K133,"ORMSTRNM")</t>
  </si>
  <si>
    <t>=NF($K133,"ORDOCNUM")</t>
  </si>
  <si>
    <t>=NF($K133,"REFRENCE")</t>
  </si>
  <si>
    <t>=NF($K133,"DSCRIPTN")</t>
  </si>
  <si>
    <t>=NF($K133,"DEBITAMT")</t>
  </si>
  <si>
    <t>=IF($K132="",0,-NF($K132,"CRDTAMNT"))</t>
  </si>
  <si>
    <t>=SUM(R133:S133)</t>
  </si>
  <si>
    <t>=NF($K134,"TRXDATE")</t>
  </si>
  <si>
    <t>=NF($K134,"JRNENTRY")</t>
  </si>
  <si>
    <t>=NF($K134,"ORMSTRNM")</t>
  </si>
  <si>
    <t>=NF($K134,"ORDOCNUM")</t>
  </si>
  <si>
    <t>=NF($K134,"REFRENCE")</t>
  </si>
  <si>
    <t>=NF($K134,"DSCRIPTN")</t>
  </si>
  <si>
    <t>=NF($K134,"DEBITAMT")</t>
  </si>
  <si>
    <t>=IF($K133="",0,-NF($K133,"CRDTAMNT"))</t>
  </si>
  <si>
    <t>=SUM(R134:S134)</t>
  </si>
  <si>
    <t>=NF($K139,"TRXDATE")</t>
  </si>
  <si>
    <t>=NF($K139,"JRNENTRY")</t>
  </si>
  <si>
    <t>=NF($K139,"ORMSTRNM")</t>
  </si>
  <si>
    <t>=NF($K139,"ORDOCNUM")</t>
  </si>
  <si>
    <t>=NF($K139,"REFRENCE")</t>
  </si>
  <si>
    <t>=NF($K139,"DSCRIPTN")</t>
  </si>
  <si>
    <t>=NF($K139,"DEBITAMT")</t>
  </si>
  <si>
    <t>=SUM(R139:S139)</t>
  </si>
  <si>
    <t>=NF($K140,"TRXDATE")</t>
  </si>
  <si>
    <t>=NF($K140,"JRNENTRY")</t>
  </si>
  <si>
    <t>=NF($K140,"ORMSTRNM")</t>
  </si>
  <si>
    <t>=NF($K140,"ORDOCNUM")</t>
  </si>
  <si>
    <t>=NF($K140,"REFRENCE")</t>
  </si>
  <si>
    <t>=NF($K140,"DSCRIPTN")</t>
  </si>
  <si>
    <t>=NF($K140,"DEBITAMT")</t>
  </si>
  <si>
    <t>=IF($K139="",0,-NF($K139,"CRDTAMNT"))</t>
  </si>
  <si>
    <t>=SUM(R140:S140)</t>
  </si>
  <si>
    <t>=NF($K141,"TRXDATE")</t>
  </si>
  <si>
    <t>=NF($K141,"JRNENTRY")</t>
  </si>
  <si>
    <t>=NF($K141,"ORMSTRNM")</t>
  </si>
  <si>
    <t>=NF($K141,"ORDOCNUM")</t>
  </si>
  <si>
    <t>=NF($K141,"REFRENCE")</t>
  </si>
  <si>
    <t>=NF($K141,"DSCRIPTN")</t>
  </si>
  <si>
    <t>=NF($K141,"DEBITAMT")</t>
  </si>
  <si>
    <t>=IF($K140="",0,-NF($K140,"CRDTAMNT"))</t>
  </si>
  <si>
    <t>=SUM(R141:S141)</t>
  </si>
  <si>
    <t>=NF($K142,"TRXDATE")</t>
  </si>
  <si>
    <t>=NF($K142,"JRNENTRY")</t>
  </si>
  <si>
    <t>=NF($K142,"ORMSTRNM")</t>
  </si>
  <si>
    <t>=NF($K142,"ORDOCNUM")</t>
  </si>
  <si>
    <t>=NF($K142,"REFRENCE")</t>
  </si>
  <si>
    <t>=NF($K142,"DSCRIPTN")</t>
  </si>
  <si>
    <t>=NF($K142,"DEBITAMT")</t>
  </si>
  <si>
    <t>=IF($K141="",0,-NF($K141,"CRDTAMNT"))</t>
  </si>
  <si>
    <t>=SUM(R142:S142)</t>
  </si>
  <si>
    <t>=NF($K143,"TRXDATE")</t>
  </si>
  <si>
    <t>=NF($K143,"JRNENTRY")</t>
  </si>
  <si>
    <t>=NF($K143,"ORMSTRNM")</t>
  </si>
  <si>
    <t>=NF($K143,"ORDOCNUM")</t>
  </si>
  <si>
    <t>=NF($K143,"REFRENCE")</t>
  </si>
  <si>
    <t>=NF($K143,"DSCRIPTN")</t>
  </si>
  <si>
    <t>=NF($K143,"DEBITAMT")</t>
  </si>
  <si>
    <t>=IF($K142="",0,-NF($K142,"CRDTAMNT"))</t>
  </si>
  <si>
    <t>=SUM(R143:S143)</t>
  </si>
  <si>
    <t>=NF($K144,"TRXDATE")</t>
  </si>
  <si>
    <t>=NF($K144,"JRNENTRY")</t>
  </si>
  <si>
    <t>=NF($K144,"ORMSTRNM")</t>
  </si>
  <si>
    <t>=NF($K144,"ORDOCNUM")</t>
  </si>
  <si>
    <t>=NF($K144,"REFRENCE")</t>
  </si>
  <si>
    <t>=NF($K144,"DSCRIPTN")</t>
  </si>
  <si>
    <t>=NF($K144,"DEBITAMT")</t>
  </si>
  <si>
    <t>=IF($K143="",0,-NF($K143,"CRDTAMNT"))</t>
  </si>
  <si>
    <t>=SUM(R144:S144)</t>
  </si>
  <si>
    <t>=NF($K145,"TRXDATE")</t>
  </si>
  <si>
    <t>=NF($K145,"JRNENTRY")</t>
  </si>
  <si>
    <t>=NF($K145,"ORMSTRNM")</t>
  </si>
  <si>
    <t>=NF($K145,"ORDOCNUM")</t>
  </si>
  <si>
    <t>=NF($K145,"REFRENCE")</t>
  </si>
  <si>
    <t>=NF($K145,"DSCRIPTN")</t>
  </si>
  <si>
    <t>=NF($K145,"DEBITAMT")</t>
  </si>
  <si>
    <t>=IF($K144="",0,-NF($K144,"CRDTAMNT"))</t>
  </si>
  <si>
    <t>=SUM(R145:S145)</t>
  </si>
  <si>
    <t>=NF($K150,"TRXDATE")</t>
  </si>
  <si>
    <t>=NF($K150,"JRNENTRY")</t>
  </si>
  <si>
    <t>=NF($K150,"ORMSTRNM")</t>
  </si>
  <si>
    <t>=NF($K150,"ORDOCNUM")</t>
  </si>
  <si>
    <t>=NF($K150,"REFRENCE")</t>
  </si>
  <si>
    <t>=NF($K150,"DSCRIPTN")</t>
  </si>
  <si>
    <t>=NF($K150,"DEBITAMT")</t>
  </si>
  <si>
    <t>=SUM(R150:S150)</t>
  </si>
  <si>
    <t>=NF($K151,"TRXDATE")</t>
  </si>
  <si>
    <t>=NF($K151,"JRNENTRY")</t>
  </si>
  <si>
    <t>=NF($K151,"ORMSTRNM")</t>
  </si>
  <si>
    <t>=NF($K151,"ORDOCNUM")</t>
  </si>
  <si>
    <t>=NF($K151,"REFRENCE")</t>
  </si>
  <si>
    <t>=NF($K151,"DSCRIPTN")</t>
  </si>
  <si>
    <t>=NF($K151,"DEBITAMT")</t>
  </si>
  <si>
    <t>=IF($K150="",0,-NF($K150,"CRDTAMNT"))</t>
  </si>
  <si>
    <t>=SUM(R151:S151)</t>
  </si>
  <si>
    <t>=NF($K152,"TRXDATE")</t>
  </si>
  <si>
    <t>=NF($K152,"JRNENTRY")</t>
  </si>
  <si>
    <t>=NF($K152,"ORMSTRNM")</t>
  </si>
  <si>
    <t>=NF($K152,"ORDOCNUM")</t>
  </si>
  <si>
    <t>=NF($K152,"REFRENCE")</t>
  </si>
  <si>
    <t>=NF($K152,"DSCRIPTN")</t>
  </si>
  <si>
    <t>=NF($K152,"DEBITAMT")</t>
  </si>
  <si>
    <t>=IF($K151="",0,-NF($K151,"CRDTAMNT"))</t>
  </si>
  <si>
    <t>=SUM(R152:S152)</t>
  </si>
  <si>
    <t>=NF($K153,"TRXDATE")</t>
  </si>
  <si>
    <t>=NF($K153,"JRNENTRY")</t>
  </si>
  <si>
    <t>=NF($K153,"ORMSTRNM")</t>
  </si>
  <si>
    <t>=NF($K153,"ORDOCNUM")</t>
  </si>
  <si>
    <t>=NF($K153,"REFRENCE")</t>
  </si>
  <si>
    <t>=NF($K153,"DSCRIPTN")</t>
  </si>
  <si>
    <t>=NF($K153,"DEBITAMT")</t>
  </si>
  <si>
    <t>=IF($K152="",0,-NF($K152,"CRDTAMNT"))</t>
  </si>
  <si>
    <t>=SUM(R153:S153)</t>
  </si>
  <si>
    <t>=NF($K154,"TRXDATE")</t>
  </si>
  <si>
    <t>=NF($K154,"JRNENTRY")</t>
  </si>
  <si>
    <t>=NF($K154,"ORMSTRNM")</t>
  </si>
  <si>
    <t>=NF($K154,"ORDOCNUM")</t>
  </si>
  <si>
    <t>=NF($K154,"REFRENCE")</t>
  </si>
  <si>
    <t>=NF($K154,"DSCRIPTN")</t>
  </si>
  <si>
    <t>=NF($K154,"DEBITAMT")</t>
  </si>
  <si>
    <t>=IF($K153="",0,-NF($K153,"CRDTAMNT"))</t>
  </si>
  <si>
    <t>=SUM(R154:S154)</t>
  </si>
  <si>
    <t>=NF($K155,"TRXDATE")</t>
  </si>
  <si>
    <t>=NF($K155,"JRNENTRY")</t>
  </si>
  <si>
    <t>=NF($K155,"ORMSTRNM")</t>
  </si>
  <si>
    <t>=NF($K155,"ORDOCNUM")</t>
  </si>
  <si>
    <t>=NF($K155,"REFRENCE")</t>
  </si>
  <si>
    <t>=NF($K155,"DSCRIPTN")</t>
  </si>
  <si>
    <t>=NF($K155,"DEBITAMT")</t>
  </si>
  <si>
    <t>=IF($K154="",0,-NF($K154,"CRDTAMNT"))</t>
  </si>
  <si>
    <t>=SUM(R155:S155)</t>
  </si>
  <si>
    <t>=NF($K156,"TRXDATE")</t>
  </si>
  <si>
    <t>=NF($K156,"JRNENTRY")</t>
  </si>
  <si>
    <t>=NF($K156,"ORMSTRNM")</t>
  </si>
  <si>
    <t>=NF($K156,"ORDOCNUM")</t>
  </si>
  <si>
    <t>=NF($K156,"REFRENCE")</t>
  </si>
  <si>
    <t>=NF($K156,"DSCRIPTN")</t>
  </si>
  <si>
    <t>=NF($K156,"DEBITAMT")</t>
  </si>
  <si>
    <t>=IF($K155="",0,-NF($K155,"CRDTAMNT"))</t>
  </si>
  <si>
    <t>=SUM(R156:S156)</t>
  </si>
  <si>
    <t>=NF($K157,"TRXDATE")</t>
  </si>
  <si>
    <t>=NF($K157,"JRNENTRY")</t>
  </si>
  <si>
    <t>=NF($K157,"ORMSTRNM")</t>
  </si>
  <si>
    <t>=NF($K157,"ORDOCNUM")</t>
  </si>
  <si>
    <t>=NF($K157,"REFRENCE")</t>
  </si>
  <si>
    <t>=NF($K157,"DSCRIPTN")</t>
  </si>
  <si>
    <t>=NF($K157,"DEBITAMT")</t>
  </si>
  <si>
    <t>=IF($K156="",0,-NF($K156,"CRDTAMNT"))</t>
  </si>
  <si>
    <t>=SUM(R157:S157)</t>
  </si>
  <si>
    <t>=NF($K158,"TRXDATE")</t>
  </si>
  <si>
    <t>=NF($K158,"JRNENTRY")</t>
  </si>
  <si>
    <t>=NF($K158,"ORMSTRNM")</t>
  </si>
  <si>
    <t>=NF($K158,"ORDOCNUM")</t>
  </si>
  <si>
    <t>=NF($K158,"REFRENCE")</t>
  </si>
  <si>
    <t>=NF($K158,"DSCRIPTN")</t>
  </si>
  <si>
    <t>=NF($K158,"DEBITAMT")</t>
  </si>
  <si>
    <t>=IF($K157="",0,-NF($K157,"CRDTAMNT"))</t>
  </si>
  <si>
    <t>=SUM(R158:S158)</t>
  </si>
  <si>
    <t>=NF($K159,"TRXDATE")</t>
  </si>
  <si>
    <t>=NF($K159,"JRNENTRY")</t>
  </si>
  <si>
    <t>=NF($K159,"ORMSTRNM")</t>
  </si>
  <si>
    <t>=NF($K159,"ORDOCNUM")</t>
  </si>
  <si>
    <t>=NF($K159,"REFRENCE")</t>
  </si>
  <si>
    <t>=NF($K159,"DSCRIPTN")</t>
  </si>
  <si>
    <t>=NF($K159,"DEBITAMT")</t>
  </si>
  <si>
    <t>=IF($K158="",0,-NF($K158,"CRDTAMNT"))</t>
  </si>
  <si>
    <t>=SUM(R159:S159)</t>
  </si>
  <si>
    <t>=NF($K160,"TRXDATE")</t>
  </si>
  <si>
    <t>=NF($K160,"JRNENTRY")</t>
  </si>
  <si>
    <t>=NF($K160,"ORMSTRNM")</t>
  </si>
  <si>
    <t>=NF($K160,"ORDOCNUM")</t>
  </si>
  <si>
    <t>=NF($K160,"REFRENCE")</t>
  </si>
  <si>
    <t>=NF($K160,"DSCRIPTN")</t>
  </si>
  <si>
    <t>=NF($K160,"DEBITAMT")</t>
  </si>
  <si>
    <t>=IF($K159="",0,-NF($K159,"CRDTAMNT"))</t>
  </si>
  <si>
    <t>=SUM(R160:S160)</t>
  </si>
  <si>
    <t>=NF($K165,"TRXDATE")</t>
  </si>
  <si>
    <t>=NF($K165,"JRNENTRY")</t>
  </si>
  <si>
    <t>=NF($K165,"ORMSTRNM")</t>
  </si>
  <si>
    <t>=NF($K165,"ORDOCNUM")</t>
  </si>
  <si>
    <t>=NF($K165,"REFRENCE")</t>
  </si>
  <si>
    <t>=NF($K165,"DSCRIPTN")</t>
  </si>
  <si>
    <t>=NF($K165,"DEBITAMT")</t>
  </si>
  <si>
    <t>=SUM(R165:S165)</t>
  </si>
  <si>
    <t>=NF($K166,"TRXDATE")</t>
  </si>
  <si>
    <t>=NF($K166,"JRNENTRY")</t>
  </si>
  <si>
    <t>=NF($K166,"ORMSTRNM")</t>
  </si>
  <si>
    <t>=NF($K166,"ORDOCNUM")</t>
  </si>
  <si>
    <t>=NF($K166,"REFRENCE")</t>
  </si>
  <si>
    <t>=NF($K166,"DSCRIPTN")</t>
  </si>
  <si>
    <t>=NF($K166,"DEBITAMT")</t>
  </si>
  <si>
    <t>=IF($K165="",0,-NF($K165,"CRDTAMNT"))</t>
  </si>
  <si>
    <t>=SUM(R166:S166)</t>
  </si>
  <si>
    <t>=NF($K171,"TRXDATE")</t>
  </si>
  <si>
    <t>=NF($K171,"JRNENTRY")</t>
  </si>
  <si>
    <t>=NF($K171,"ORMSTRNM")</t>
  </si>
  <si>
    <t>=NF($K171,"ORDOCNUM")</t>
  </si>
  <si>
    <t>=NF($K171,"REFRENCE")</t>
  </si>
  <si>
    <t>=NF($K171,"DSCRIPTN")</t>
  </si>
  <si>
    <t>=NF($K171,"DEBITAMT")</t>
  </si>
  <si>
    <t>=SUM(R171:S171)</t>
  </si>
  <si>
    <t>=NF($K172,"TRXDATE")</t>
  </si>
  <si>
    <t>=NF($K172,"JRNENTRY")</t>
  </si>
  <si>
    <t>=NF($K172,"ORMSTRNM")</t>
  </si>
  <si>
    <t>=NF($K172,"ORDOCNUM")</t>
  </si>
  <si>
    <t>=NF($K172,"REFRENCE")</t>
  </si>
  <si>
    <t>=NF($K172,"DSCRIPTN")</t>
  </si>
  <si>
    <t>=NF($K172,"DEBITAMT")</t>
  </si>
  <si>
    <t>=IF($K171="",0,-NF($K171,"CRDTAMNT"))</t>
  </si>
  <si>
    <t>=SUM(R172:S172)</t>
  </si>
  <si>
    <t>=NF($K173,"TRXDATE")</t>
  </si>
  <si>
    <t>=NF($K173,"JRNENTRY")</t>
  </si>
  <si>
    <t>=NF($K173,"ORMSTRNM")</t>
  </si>
  <si>
    <t>=NF($K173,"ORDOCNUM")</t>
  </si>
  <si>
    <t>=NF($K173,"REFRENCE")</t>
  </si>
  <si>
    <t>=NF($K173,"DSCRIPTN")</t>
  </si>
  <si>
    <t>=NF($K173,"DEBITAMT")</t>
  </si>
  <si>
    <t>=IF($K172="",0,-NF($K172,"CRDTAMNT"))</t>
  </si>
  <si>
    <t>=SUM(R173:S173)</t>
  </si>
  <si>
    <t>=NF($K174,"TRXDATE")</t>
  </si>
  <si>
    <t>=NF($K174,"JRNENTRY")</t>
  </si>
  <si>
    <t>=NF($K174,"ORMSTRNM")</t>
  </si>
  <si>
    <t>=NF($K174,"ORDOCNUM")</t>
  </si>
  <si>
    <t>=NF($K174,"REFRENCE")</t>
  </si>
  <si>
    <t>=NF($K174,"DSCRIPTN")</t>
  </si>
  <si>
    <t>=NF($K174,"DEBITAMT")</t>
  </si>
  <si>
    <t>=IF($K173="",0,-NF($K173,"CRDTAMNT"))</t>
  </si>
  <si>
    <t>=SUM(R174:S174)</t>
  </si>
  <si>
    <t>=NF($K175,"TRXDATE")</t>
  </si>
  <si>
    <t>=NF($K175,"JRNENTRY")</t>
  </si>
  <si>
    <t>=NF($K175,"ORMSTRNM")</t>
  </si>
  <si>
    <t>=NF($K175,"ORDOCNUM")</t>
  </si>
  <si>
    <t>=NF($K175,"REFRENCE")</t>
  </si>
  <si>
    <t>=NF($K175,"DSCRIPTN")</t>
  </si>
  <si>
    <t>=NF($K175,"DEBITAMT")</t>
  </si>
  <si>
    <t>=IF($K174="",0,-NF($K174,"CRDTAMNT"))</t>
  </si>
  <si>
    <t>=SUM(R175:S175)</t>
  </si>
  <si>
    <t>=NF($K180,"TRXDATE")</t>
  </si>
  <si>
    <t>=NF($K180,"JRNENTRY")</t>
  </si>
  <si>
    <t>=NF($K180,"ORMSTRNM")</t>
  </si>
  <si>
    <t>=NF($K180,"ORDOCNUM")</t>
  </si>
  <si>
    <t>=NF($K180,"REFRENCE")</t>
  </si>
  <si>
    <t>=NF($K180,"DSCRIPTN")</t>
  </si>
  <si>
    <t>=NF($K180,"DEBITAMT")</t>
  </si>
  <si>
    <t>=IF($K180="",0,-NF($K180,"CRDTAMNT"))</t>
  </si>
  <si>
    <t>=SUM(R180:S180)</t>
  </si>
  <si>
    <t>=NF($K181,"TRXDATE")</t>
  </si>
  <si>
    <t>=NF($K181,"JRNENTRY")</t>
  </si>
  <si>
    <t>=NF($K181,"ORMSTRNM")</t>
  </si>
  <si>
    <t>=NF($K181,"ORDOCNUM")</t>
  </si>
  <si>
    <t>=NF($K181,"REFRENCE")</t>
  </si>
  <si>
    <t>=NF($K181,"DSCRIPTN")</t>
  </si>
  <si>
    <t>=NF($K181,"DEBITAMT")</t>
  </si>
  <si>
    <t>=SUM(R181:S181)</t>
  </si>
  <si>
    <t>=NF($K182,"TRXDATE")</t>
  </si>
  <si>
    <t>=NF($K182,"JRNENTRY")</t>
  </si>
  <si>
    <t>=NF($K182,"ORMSTRNM")</t>
  </si>
  <si>
    <t>=NF($K182,"ORDOCNUM")</t>
  </si>
  <si>
    <t>=NF($K182,"REFRENCE")</t>
  </si>
  <si>
    <t>=NF($K182,"DSCRIPTN")</t>
  </si>
  <si>
    <t>=NF($K182,"DEBITAMT")</t>
  </si>
  <si>
    <t>=IF($K181="",0,-NF($K181,"CRDTAMNT"))</t>
  </si>
  <si>
    <t>=SUM(R182:S182)</t>
  </si>
  <si>
    <t>=NF($K183,"TRXDATE")</t>
  </si>
  <si>
    <t>=NF($K183,"JRNENTRY")</t>
  </si>
  <si>
    <t>=NF($K183,"ORMSTRNM")</t>
  </si>
  <si>
    <t>=NF($K183,"ORDOCNUM")</t>
  </si>
  <si>
    <t>=NF($K183,"REFRENCE")</t>
  </si>
  <si>
    <t>=NF($K183,"DSCRIPTN")</t>
  </si>
  <si>
    <t>=NF($K183,"DEBITAMT")</t>
  </si>
  <si>
    <t>=IF($K182="",0,-NF($K182,"CRDTAMNT"))</t>
  </si>
  <si>
    <t>=SUM(R183:S183)</t>
  </si>
  <si>
    <t>=NF($K184,"TRXDATE")</t>
  </si>
  <si>
    <t>=NF($K184,"JRNENTRY")</t>
  </si>
  <si>
    <t>=NF($K184,"ORMSTRNM")</t>
  </si>
  <si>
    <t>=NF($K184,"ORDOCNUM")</t>
  </si>
  <si>
    <t>=NF($K184,"REFRENCE")</t>
  </si>
  <si>
    <t>=NF($K184,"DSCRIPTN")</t>
  </si>
  <si>
    <t>=NF($K184,"DEBITAMT")</t>
  </si>
  <si>
    <t>=IF($K183="",0,-NF($K183,"CRDTAMNT"))</t>
  </si>
  <si>
    <t>=SUM(R184:S184)</t>
  </si>
  <si>
    <t>=NF($K185,"TRXDATE")</t>
  </si>
  <si>
    <t>=NF($K185,"JRNENTRY")</t>
  </si>
  <si>
    <t>=NF($K185,"ORMSTRNM")</t>
  </si>
  <si>
    <t>=NF($K185,"ORDOCNUM")</t>
  </si>
  <si>
    <t>=NF($K185,"REFRENCE")</t>
  </si>
  <si>
    <t>=NF($K185,"DSCRIPTN")</t>
  </si>
  <si>
    <t>=NF($K185,"DEBITAMT")</t>
  </si>
  <si>
    <t>=IF($K184="",0,-NF($K184,"CRDTAMNT"))</t>
  </si>
  <si>
    <t>=SUM(R185:S185)</t>
  </si>
  <si>
    <t>=NF($K186,"TRXDATE")</t>
  </si>
  <si>
    <t>=NF($K186,"JRNENTRY")</t>
  </si>
  <si>
    <t>=NF($K186,"ORMSTRNM")</t>
  </si>
  <si>
    <t>=NF($K186,"ORDOCNUM")</t>
  </si>
  <si>
    <t>=NF($K186,"REFRENCE")</t>
  </si>
  <si>
    <t>=NF($K186,"DSCRIPTN")</t>
  </si>
  <si>
    <t>=NF($K186,"DEBITAMT")</t>
  </si>
  <si>
    <t>=IF($K185="",0,-NF($K185,"CRDTAMNT"))</t>
  </si>
  <si>
    <t>=SUM(R186:S186)</t>
  </si>
  <si>
    <t>=NF($K187,"TRXDATE")</t>
  </si>
  <si>
    <t>=NF($K187,"JRNENTRY")</t>
  </si>
  <si>
    <t>=NF($K187,"ORMSTRNM")</t>
  </si>
  <si>
    <t>=NF($K187,"ORDOCNUM")</t>
  </si>
  <si>
    <t>=NF($K187,"REFRENCE")</t>
  </si>
  <si>
    <t>=NF($K187,"DSCRIPTN")</t>
  </si>
  <si>
    <t>=NF($K187,"DEBITAMT")</t>
  </si>
  <si>
    <t>=IF($K186="",0,-NF($K186,"CRDTAMNT"))</t>
  </si>
  <si>
    <t>=SUM(R187:S187)</t>
  </si>
  <si>
    <t>=NF($K188,"TRXDATE")</t>
  </si>
  <si>
    <t>=NF($K188,"JRNENTRY")</t>
  </si>
  <si>
    <t>=NF($K188,"ORMSTRNM")</t>
  </si>
  <si>
    <t>=NF($K188,"ORDOCNUM")</t>
  </si>
  <si>
    <t>=NF($K188,"REFRENCE")</t>
  </si>
  <si>
    <t>=NF($K188,"DSCRIPTN")</t>
  </si>
  <si>
    <t>=NF($K188,"DEBITAMT")</t>
  </si>
  <si>
    <t>=IF($K187="",0,-NF($K187,"CRDTAMNT"))</t>
  </si>
  <si>
    <t>=SUM(R188:S188)</t>
  </si>
  <si>
    <t>=NF($K189,"TRXDATE")</t>
  </si>
  <si>
    <t>=NF($K189,"JRNENTRY")</t>
  </si>
  <si>
    <t>=NF($K189,"ORMSTRNM")</t>
  </si>
  <si>
    <t>=NF($K189,"ORDOCNUM")</t>
  </si>
  <si>
    <t>=NF($K189,"REFRENCE")</t>
  </si>
  <si>
    <t>=NF($K189,"DSCRIPTN")</t>
  </si>
  <si>
    <t>=NF($K189,"DEBITAMT")</t>
  </si>
  <si>
    <t>=IF($K188="",0,-NF($K188,"CRDTAMNT"))</t>
  </si>
  <si>
    <t>=SUM(R189:S189)</t>
  </si>
  <si>
    <t>=NF($K190,"TRXDATE")</t>
  </si>
  <si>
    <t>=NF($K190,"JRNENTRY")</t>
  </si>
  <si>
    <t>=NF($K190,"ORMSTRNM")</t>
  </si>
  <si>
    <t>=NF($K190,"ORDOCNUM")</t>
  </si>
  <si>
    <t>=NF($K190,"REFRENCE")</t>
  </si>
  <si>
    <t>=NF($K190,"DSCRIPTN")</t>
  </si>
  <si>
    <t>=NF($K190,"DEBITAMT")</t>
  </si>
  <si>
    <t>=IF($K189="",0,-NF($K189,"CRDTAMNT"))</t>
  </si>
  <si>
    <t>=SUM(R190:S190)</t>
  </si>
  <si>
    <t>=NF($K191,"TRXDATE")</t>
  </si>
  <si>
    <t>=NF($K191,"JRNENTRY")</t>
  </si>
  <si>
    <t>=NF($K191,"ORMSTRNM")</t>
  </si>
  <si>
    <t>=NF($K191,"ORDOCNUM")</t>
  </si>
  <si>
    <t>=NF($K191,"REFRENCE")</t>
  </si>
  <si>
    <t>=NF($K191,"DSCRIPTN")</t>
  </si>
  <si>
    <t>=NF($K191,"DEBITAMT")</t>
  </si>
  <si>
    <t>=IF($K190="",0,-NF($K190,"CRDTAMNT"))</t>
  </si>
  <si>
    <t>=SUM(R191:S191)</t>
  </si>
  <si>
    <t>=NF($K192,"TRXDATE")</t>
  </si>
  <si>
    <t>=NF($K192,"JRNENTRY")</t>
  </si>
  <si>
    <t>=NF($K192,"ORMSTRNM")</t>
  </si>
  <si>
    <t>=NF($K192,"ORDOCNUM")</t>
  </si>
  <si>
    <t>=NF($K192,"REFRENCE")</t>
  </si>
  <si>
    <t>=NF($K192,"DSCRIPTN")</t>
  </si>
  <si>
    <t>=NF($K192,"DEBITAMT")</t>
  </si>
  <si>
    <t>=IF($K191="",0,-NF($K191,"CRDTAMNT"))</t>
  </si>
  <si>
    <t>=SUM(R192:S192)</t>
  </si>
  <si>
    <t>=NF($K193,"TRXDATE")</t>
  </si>
  <si>
    <t>=NF($K193,"JRNENTRY")</t>
  </si>
  <si>
    <t>=NF($K193,"ORMSTRNM")</t>
  </si>
  <si>
    <t>=NF($K193,"ORDOCNUM")</t>
  </si>
  <si>
    <t>=NF($K193,"REFRENCE")</t>
  </si>
  <si>
    <t>=NF($K193,"DSCRIPTN")</t>
  </si>
  <si>
    <t>=NF($K193,"DEBITAMT")</t>
  </si>
  <si>
    <t>=IF($K192="",0,-NF($K192,"CRDTAMNT"))</t>
  </si>
  <si>
    <t>=SUM(R193:S193)</t>
  </si>
  <si>
    <t>=NF($K194,"TRXDATE")</t>
  </si>
  <si>
    <t>=NF($K194,"JRNENTRY")</t>
  </si>
  <si>
    <t>=NF($K194,"ORMSTRNM")</t>
  </si>
  <si>
    <t>=NF($K194,"ORDOCNUM")</t>
  </si>
  <si>
    <t>=NF($K194,"REFRENCE")</t>
  </si>
  <si>
    <t>=NF($K194,"DSCRIPTN")</t>
  </si>
  <si>
    <t>=NF($K194,"DEBITAMT")</t>
  </si>
  <si>
    <t>=IF($K193="",0,-NF($K193,"CRDTAMNT"))</t>
  </si>
  <si>
    <t>=SUM(R194:S194)</t>
  </si>
  <si>
    <t>=NF($K195,"TRXDATE")</t>
  </si>
  <si>
    <t>=NF($K195,"JRNENTRY")</t>
  </si>
  <si>
    <t>=NF($K195,"ORMSTRNM")</t>
  </si>
  <si>
    <t>=NF($K195,"ORDOCNUM")</t>
  </si>
  <si>
    <t>=NF($K195,"REFRENCE")</t>
  </si>
  <si>
    <t>=NF($K195,"DSCRIPTN")</t>
  </si>
  <si>
    <t>=NF($K195,"DEBITAMT")</t>
  </si>
  <si>
    <t>=IF($K194="",0,-NF($K194,"CRDTAMNT"))</t>
  </si>
  <si>
    <t>=SUM(R195:S195)</t>
  </si>
  <si>
    <t>=NF($K196,"TRXDATE")</t>
  </si>
  <si>
    <t>=NF($K196,"JRNENTRY")</t>
  </si>
  <si>
    <t>=NF($K196,"ORMSTRNM")</t>
  </si>
  <si>
    <t>=NF($K196,"ORDOCNUM")</t>
  </si>
  <si>
    <t>=NF($K196,"REFRENCE")</t>
  </si>
  <si>
    <t>=NF($K196,"DSCRIPTN")</t>
  </si>
  <si>
    <t>=NF($K196,"DEBITAMT")</t>
  </si>
  <si>
    <t>=IF($K195="",0,-NF($K195,"CRDTAMNT"))</t>
  </si>
  <si>
    <t>=SUM(R196:S196)</t>
  </si>
  <si>
    <t>=NF($K197,"TRXDATE")</t>
  </si>
  <si>
    <t>=NF($K197,"JRNENTRY")</t>
  </si>
  <si>
    <t>=NF($K197,"ORMSTRNM")</t>
  </si>
  <si>
    <t>=NF($K197,"ORDOCNUM")</t>
  </si>
  <si>
    <t>=NF($K197,"REFRENCE")</t>
  </si>
  <si>
    <t>=NF($K197,"DSCRIPTN")</t>
  </si>
  <si>
    <t>=NF($K197,"DEBITAMT")</t>
  </si>
  <si>
    <t>=IF($K196="",0,-NF($K196,"CRDTAMNT"))</t>
  </si>
  <si>
    <t>=SUM(R197:S197)</t>
  </si>
  <si>
    <t>=NF($K198,"TRXDATE")</t>
  </si>
  <si>
    <t>=NF($K198,"JRNENTRY")</t>
  </si>
  <si>
    <t>=NF($K198,"ORMSTRNM")</t>
  </si>
  <si>
    <t>=NF($K198,"ORDOCNUM")</t>
  </si>
  <si>
    <t>=NF($K198,"REFRENCE")</t>
  </si>
  <si>
    <t>=NF($K198,"DSCRIPTN")</t>
  </si>
  <si>
    <t>=NF($K198,"DEBITAMT")</t>
  </si>
  <si>
    <t>=IF($K197="",0,-NF($K197,"CRDTAMNT"))</t>
  </si>
  <si>
    <t>=SUM(R198:S198)</t>
  </si>
  <si>
    <t>=NF($K199,"TRXDATE")</t>
  </si>
  <si>
    <t>=NF($K199,"JRNENTRY")</t>
  </si>
  <si>
    <t>=NF($K199,"ORMSTRNM")</t>
  </si>
  <si>
    <t>=NF($K199,"ORDOCNUM")</t>
  </si>
  <si>
    <t>=NF($K199,"REFRENCE")</t>
  </si>
  <si>
    <t>=NF($K199,"DSCRIPTN")</t>
  </si>
  <si>
    <t>=NF($K199,"DEBITAMT")</t>
  </si>
  <si>
    <t>=IF($K198="",0,-NF($K198,"CRDTAMNT"))</t>
  </si>
  <si>
    <t>=SUM(R199:S199)</t>
  </si>
  <si>
    <t>=NF($K200,"TRXDATE")</t>
  </si>
  <si>
    <t>=NF($K200,"JRNENTRY")</t>
  </si>
  <si>
    <t>=NF($K200,"ORMSTRNM")</t>
  </si>
  <si>
    <t>=NF($K200,"ORDOCNUM")</t>
  </si>
  <si>
    <t>=NF($K200,"REFRENCE")</t>
  </si>
  <si>
    <t>=NF($K200,"DSCRIPTN")</t>
  </si>
  <si>
    <t>=NF($K200,"DEBITAMT")</t>
  </si>
  <si>
    <t>=IF($K199="",0,-NF($K199,"CRDTAMNT"))</t>
  </si>
  <si>
    <t>=SUM(R200:S200)</t>
  </si>
  <si>
    <t>=NF($K201,"TRXDATE")</t>
  </si>
  <si>
    <t>=NF($K201,"JRNENTRY")</t>
  </si>
  <si>
    <t>=NF($K201,"ORMSTRNM")</t>
  </si>
  <si>
    <t>=NF($K201,"ORDOCNUM")</t>
  </si>
  <si>
    <t>=NF($K201,"REFRENCE")</t>
  </si>
  <si>
    <t>=NF($K201,"DSCRIPTN")</t>
  </si>
  <si>
    <t>=NF($K201,"DEBITAMT")</t>
  </si>
  <si>
    <t>=IF($K200="",0,-NF($K200,"CRDTAMNT"))</t>
  </si>
  <si>
    <t>=SUM(R201:S201)</t>
  </si>
  <si>
    <t>=NF($K206,"TRXDATE")</t>
  </si>
  <si>
    <t>=NF($K206,"JRNENTRY")</t>
  </si>
  <si>
    <t>=NF($K206,"ORMSTRNM")</t>
  </si>
  <si>
    <t>=NF($K206,"ORDOCNUM")</t>
  </si>
  <si>
    <t>=NF($K206,"REFRENCE")</t>
  </si>
  <si>
    <t>=NF($K206,"DSCRIPTN")</t>
  </si>
  <si>
    <t>=NF($K206,"DEBITAMT")</t>
  </si>
  <si>
    <t>=SUM(R206:S206)</t>
  </si>
  <si>
    <t>=NF($K207,"TRXDATE")</t>
  </si>
  <si>
    <t>=NF($K207,"JRNENTRY")</t>
  </si>
  <si>
    <t>=NF($K207,"ORMSTRNM")</t>
  </si>
  <si>
    <t>=NF($K207,"ORDOCNUM")</t>
  </si>
  <si>
    <t>=NF($K207,"REFRENCE")</t>
  </si>
  <si>
    <t>=NF($K207,"DSCRIPTN")</t>
  </si>
  <si>
    <t>=NF($K207,"DEBITAMT")</t>
  </si>
  <si>
    <t>=IF($K206="",0,-NF($K206,"CRDTAMNT"))</t>
  </si>
  <si>
    <t>=SUM(R207:S207)</t>
  </si>
  <si>
    <t>=NF($K213,"TRXDATE")</t>
  </si>
  <si>
    <t>=NF($K213,"JRNENTRY")</t>
  </si>
  <si>
    <t>=NF($K213,"ORMSTRNM")</t>
  </si>
  <si>
    <t>=NF($K213,"ORDOCNUM")</t>
  </si>
  <si>
    <t>=NF($K213,"REFRENCE")</t>
  </si>
  <si>
    <t>=NF($K213,"DSCRIPTN")</t>
  </si>
  <si>
    <t>=NF($K213,"DEBITAMT")</t>
  </si>
  <si>
    <t>=SUM(R213:S213)</t>
  </si>
  <si>
    <t>=NF($K214,"TRXDATE")</t>
  </si>
  <si>
    <t>=NF($K214,"JRNENTRY")</t>
  </si>
  <si>
    <t>=NF($K214,"ORMSTRNM")</t>
  </si>
  <si>
    <t>=NF($K214,"ORDOCNUM")</t>
  </si>
  <si>
    <t>=NF($K214,"REFRENCE")</t>
  </si>
  <si>
    <t>=NF($K214,"DSCRIPTN")</t>
  </si>
  <si>
    <t>=NF($K214,"DEBITAMT")</t>
  </si>
  <si>
    <t>=IF($K213="",0,-NF($K213,"CRDTAMNT"))</t>
  </si>
  <si>
    <t>=SUM(R214:S214)</t>
  </si>
  <si>
    <t>=NF($K215,"TRXDATE")</t>
  </si>
  <si>
    <t>=NF($K215,"JRNENTRY")</t>
  </si>
  <si>
    <t>=NF($K215,"ORMSTRNM")</t>
  </si>
  <si>
    <t>=NF($K215,"ORDOCNUM")</t>
  </si>
  <si>
    <t>=NF($K215,"REFRENCE")</t>
  </si>
  <si>
    <t>=NF($K215,"DSCRIPTN")</t>
  </si>
  <si>
    <t>=NF($K215,"DEBITAMT")</t>
  </si>
  <si>
    <t>=IF($K214="",0,-NF($K214,"CRDTAMNT"))</t>
  </si>
  <si>
    <t>=SUM(R215:S215)</t>
  </si>
  <si>
    <t>=NF($K216,"TRXDATE")</t>
  </si>
  <si>
    <t>=NF($K216,"JRNENTRY")</t>
  </si>
  <si>
    <t>=NF($K216,"ORMSTRNM")</t>
  </si>
  <si>
    <t>=NF($K216,"ORDOCNUM")</t>
  </si>
  <si>
    <t>=NF($K216,"REFRENCE")</t>
  </si>
  <si>
    <t>=NF($K216,"DSCRIPTN")</t>
  </si>
  <si>
    <t>=NF($K216,"DEBITAMT")</t>
  </si>
  <si>
    <t>=IF($K215="",0,-NF($K215,"CRDTAMNT"))</t>
  </si>
  <si>
    <t>=SUM(R216:S216)</t>
  </si>
  <si>
    <t>=NF($K217,"TRXDATE")</t>
  </si>
  <si>
    <t>=NF($K217,"JRNENTRY")</t>
  </si>
  <si>
    <t>=NF($K217,"ORMSTRNM")</t>
  </si>
  <si>
    <t>=NF($K217,"ORDOCNUM")</t>
  </si>
  <si>
    <t>=NF($K217,"REFRENCE")</t>
  </si>
  <si>
    <t>=NF($K217,"DSCRIPTN")</t>
  </si>
  <si>
    <t>=NF($K217,"DEBITAMT")</t>
  </si>
  <si>
    <t>=IF($K216="",0,-NF($K216,"CRDTAMNT"))</t>
  </si>
  <si>
    <t>=SUM(R217:S217)</t>
  </si>
  <si>
    <t>=NF($K218,"TRXDATE")</t>
  </si>
  <si>
    <t>=NF($K218,"JRNENTRY")</t>
  </si>
  <si>
    <t>=NF($K218,"ORMSTRNM")</t>
  </si>
  <si>
    <t>=NF($K218,"ORDOCNUM")</t>
  </si>
  <si>
    <t>=NF($K218,"REFRENCE")</t>
  </si>
  <si>
    <t>=NF($K218,"DSCRIPTN")</t>
  </si>
  <si>
    <t>=NF($K218,"DEBITAMT")</t>
  </si>
  <si>
    <t>=IF($K217="",0,-NF($K217,"CRDTAMNT"))</t>
  </si>
  <si>
    <t>=SUM(R218:S218)</t>
  </si>
  <si>
    <t>=NF($K219,"TRXDATE")</t>
  </si>
  <si>
    <t>=NF($K219,"JRNENTRY")</t>
  </si>
  <si>
    <t>=NF($K219,"ORMSTRNM")</t>
  </si>
  <si>
    <t>=NF($K219,"ORDOCNUM")</t>
  </si>
  <si>
    <t>=NF($K219,"REFRENCE")</t>
  </si>
  <si>
    <t>=NF($K219,"DSCRIPTN")</t>
  </si>
  <si>
    <t>=NF($K219,"DEBITAMT")</t>
  </si>
  <si>
    <t>=IF($K218="",0,-NF($K218,"CRDTAMNT"))</t>
  </si>
  <si>
    <t>=SUM(R219:S219)</t>
  </si>
  <si>
    <t>=NF($K220,"TRXDATE")</t>
  </si>
  <si>
    <t>=NF($K220,"JRNENTRY")</t>
  </si>
  <si>
    <t>=NF($K220,"ORMSTRNM")</t>
  </si>
  <si>
    <t>=NF($K220,"ORDOCNUM")</t>
  </si>
  <si>
    <t>=NF($K220,"REFRENCE")</t>
  </si>
  <si>
    <t>=NF($K220,"DSCRIPTN")</t>
  </si>
  <si>
    <t>=NF($K220,"DEBITAMT")</t>
  </si>
  <si>
    <t>=IF($K219="",0,-NF($K219,"CRDTAMNT"))</t>
  </si>
  <si>
    <t>=SUM(R220:S220)</t>
  </si>
  <si>
    <t>=NF($K221,"TRXDATE")</t>
  </si>
  <si>
    <t>=NF($K221,"JRNENTRY")</t>
  </si>
  <si>
    <t>=NF($K221,"ORMSTRNM")</t>
  </si>
  <si>
    <t>=NF($K221,"ORDOCNUM")</t>
  </si>
  <si>
    <t>=NF($K221,"REFRENCE")</t>
  </si>
  <si>
    <t>=NF($K221,"DSCRIPTN")</t>
  </si>
  <si>
    <t>=NF($K221,"DEBITAMT")</t>
  </si>
  <si>
    <t>=IF($K220="",0,-NF($K220,"CRDTAMNT"))</t>
  </si>
  <si>
    <t>=SUM(R221:S221)</t>
  </si>
  <si>
    <t>=NF($K222,"TRXDATE")</t>
  </si>
  <si>
    <t>=NF($K222,"JRNENTRY")</t>
  </si>
  <si>
    <t>=NF($K222,"ORMSTRNM")</t>
  </si>
  <si>
    <t>=NF($K222,"ORDOCNUM")</t>
  </si>
  <si>
    <t>=NF($K222,"REFRENCE")</t>
  </si>
  <si>
    <t>=NF($K222,"DSCRIPTN")</t>
  </si>
  <si>
    <t>=NF($K222,"DEBITAMT")</t>
  </si>
  <si>
    <t>=IF($K221="",0,-NF($K221,"CRDTAMNT"))</t>
  </si>
  <si>
    <t>=SUM(R222:S222)</t>
  </si>
  <si>
    <t>=NF($K223,"TRXDATE")</t>
  </si>
  <si>
    <t>=NF($K223,"JRNENTRY")</t>
  </si>
  <si>
    <t>=NF($K223,"ORMSTRNM")</t>
  </si>
  <si>
    <t>=NF($K223,"ORDOCNUM")</t>
  </si>
  <si>
    <t>=NF($K223,"REFRENCE")</t>
  </si>
  <si>
    <t>=NF($K223,"DSCRIPTN")</t>
  </si>
  <si>
    <t>=NF($K223,"DEBITAMT")</t>
  </si>
  <si>
    <t>=IF($K222="",0,-NF($K222,"CRDTAMNT"))</t>
  </si>
  <si>
    <t>=SUM(R223:S223)</t>
  </si>
  <si>
    <t>=NF($K224,"TRXDATE")</t>
  </si>
  <si>
    <t>=NF($K224,"JRNENTRY")</t>
  </si>
  <si>
    <t>=NF($K224,"ORMSTRNM")</t>
  </si>
  <si>
    <t>=NF($K224,"ORDOCNUM")</t>
  </si>
  <si>
    <t>=NF($K224,"REFRENCE")</t>
  </si>
  <si>
    <t>=NF($K224,"DSCRIPTN")</t>
  </si>
  <si>
    <t>=NF($K224,"DEBITAMT")</t>
  </si>
  <si>
    <t>=IF($K223="",0,-NF($K223,"CRDTAMNT"))</t>
  </si>
  <si>
    <t>=SUM(R224:S224)</t>
  </si>
  <si>
    <t>=NF($K225,"TRXDATE")</t>
  </si>
  <si>
    <t>=NF($K225,"JRNENTRY")</t>
  </si>
  <si>
    <t>=NF($K225,"ORMSTRNM")</t>
  </si>
  <si>
    <t>=NF($K225,"ORDOCNUM")</t>
  </si>
  <si>
    <t>=NF($K225,"REFRENCE")</t>
  </si>
  <si>
    <t>=NF($K225,"DSCRIPTN")</t>
  </si>
  <si>
    <t>=NF($K225,"DEBITAMT")</t>
  </si>
  <si>
    <t>=IF($K224="",0,-NF($K224,"CRDTAMNT"))</t>
  </si>
  <si>
    <t>=SUM(R225:S225)</t>
  </si>
  <si>
    <t>=NF($K226,"TRXDATE")</t>
  </si>
  <si>
    <t>=NF($K226,"JRNENTRY")</t>
  </si>
  <si>
    <t>=NF($K226,"ORMSTRNM")</t>
  </si>
  <si>
    <t>=NF($K226,"ORDOCNUM")</t>
  </si>
  <si>
    <t>=NF($K226,"REFRENCE")</t>
  </si>
  <si>
    <t>=NF($K226,"DSCRIPTN")</t>
  </si>
  <si>
    <t>=NF($K226,"DEBITAMT")</t>
  </si>
  <si>
    <t>=IF($K225="",0,-NF($K225,"CRDTAMNT"))</t>
  </si>
  <si>
    <t>=SUM(R226:S226)</t>
  </si>
  <si>
    <t>=NF($K227,"TRXDATE")</t>
  </si>
  <si>
    <t>=NF($K227,"JRNENTRY")</t>
  </si>
  <si>
    <t>=NF($K227,"ORMSTRNM")</t>
  </si>
  <si>
    <t>=NF($K227,"ORDOCNUM")</t>
  </si>
  <si>
    <t>=NF($K227,"REFRENCE")</t>
  </si>
  <si>
    <t>=NF($K227,"DSCRIPTN")</t>
  </si>
  <si>
    <t>=NF($K227,"DEBITAMT")</t>
  </si>
  <si>
    <t>=IF($K226="",0,-NF($K226,"CRDTAMNT"))</t>
  </si>
  <si>
    <t>=SUM(R227:S227)</t>
  </si>
  <si>
    <t>=NF($K228,"TRXDATE")</t>
  </si>
  <si>
    <t>=NF($K228,"JRNENTRY")</t>
  </si>
  <si>
    <t>=NF($K228,"ORMSTRNM")</t>
  </si>
  <si>
    <t>=NF($K228,"ORDOCNUM")</t>
  </si>
  <si>
    <t>=NF($K228,"REFRENCE")</t>
  </si>
  <si>
    <t>=NF($K228,"DSCRIPTN")</t>
  </si>
  <si>
    <t>=NF($K228,"DEBITAMT")</t>
  </si>
  <si>
    <t>=IF($K227="",0,-NF($K227,"CRDTAMNT"))</t>
  </si>
  <si>
    <t>=SUM(R228:S228)</t>
  </si>
  <si>
    <t>=NF($K229,"TRXDATE")</t>
  </si>
  <si>
    <t>=NF($K229,"JRNENTRY")</t>
  </si>
  <si>
    <t>=NF($K229,"ORMSTRNM")</t>
  </si>
  <si>
    <t>=NF($K229,"ORDOCNUM")</t>
  </si>
  <si>
    <t>=NF($K229,"REFRENCE")</t>
  </si>
  <si>
    <t>=NF($K229,"DSCRIPTN")</t>
  </si>
  <si>
    <t>=NF($K229,"DEBITAMT")</t>
  </si>
  <si>
    <t>=IF($K228="",0,-NF($K228,"CRDTAMNT"))</t>
  </si>
  <si>
    <t>=SUM(R229:S229)</t>
  </si>
  <si>
    <t>=NF($K230,"TRXDATE")</t>
  </si>
  <si>
    <t>=NF($K230,"JRNENTRY")</t>
  </si>
  <si>
    <t>=NF($K230,"ORMSTRNM")</t>
  </si>
  <si>
    <t>=NF($K230,"ORDOCNUM")</t>
  </si>
  <si>
    <t>=NF($K230,"REFRENCE")</t>
  </si>
  <si>
    <t>=NF($K230,"DSCRIPTN")</t>
  </si>
  <si>
    <t>=NF($K230,"DEBITAMT")</t>
  </si>
  <si>
    <t>=IF($K229="",0,-NF($K229,"CRDTAMNT"))</t>
  </si>
  <si>
    <t>=SUM(R230:S230)</t>
  </si>
  <si>
    <t>=NF($K235,"TRXDATE")</t>
  </si>
  <si>
    <t>=NF($K235,"JRNENTRY")</t>
  </si>
  <si>
    <t>=NF($K235,"ORMSTRNM")</t>
  </si>
  <si>
    <t>=NF($K235,"ORDOCNUM")</t>
  </si>
  <si>
    <t>=NF($K235,"REFRENCE")</t>
  </si>
  <si>
    <t>=NF($K235,"DSCRIPTN")</t>
  </si>
  <si>
    <t>=NF($K235,"DEBITAMT")</t>
  </si>
  <si>
    <t>=SUM(R235:S235)</t>
  </si>
  <si>
    <t>=NF($K236,"TRXDATE")</t>
  </si>
  <si>
    <t>=NF($K236,"JRNENTRY")</t>
  </si>
  <si>
    <t>=NF($K236,"ORMSTRNM")</t>
  </si>
  <si>
    <t>=NF($K236,"ORDOCNUM")</t>
  </si>
  <si>
    <t>=NF($K236,"REFRENCE")</t>
  </si>
  <si>
    <t>=NF($K236,"DSCRIPTN")</t>
  </si>
  <si>
    <t>=NF($K236,"DEBITAMT")</t>
  </si>
  <si>
    <t>=IF($K235="",0,-NF($K235,"CRDTAMNT"))</t>
  </si>
  <si>
    <t>=SUM(R236:S236)</t>
  </si>
  <si>
    <t>=NF($K237,"TRXDATE")</t>
  </si>
  <si>
    <t>=NF($K237,"JRNENTRY")</t>
  </si>
  <si>
    <t>=NF($K237,"ORMSTRNM")</t>
  </si>
  <si>
    <t>=NF($K237,"ORDOCNUM")</t>
  </si>
  <si>
    <t>=NF($K237,"REFRENCE")</t>
  </si>
  <si>
    <t>=NF($K237,"DSCRIPTN")</t>
  </si>
  <si>
    <t>=NF($K237,"DEBITAMT")</t>
  </si>
  <si>
    <t>=IF($K236="",0,-NF($K236,"CRDTAMNT"))</t>
  </si>
  <si>
    <t>=SUM(R237:S237)</t>
  </si>
  <si>
    <t>=NF($K238,"TRXDATE")</t>
  </si>
  <si>
    <t>=NF($K238,"JRNENTRY")</t>
  </si>
  <si>
    <t>=NF($K238,"ORMSTRNM")</t>
  </si>
  <si>
    <t>=NF($K238,"ORDOCNUM")</t>
  </si>
  <si>
    <t>=NF($K238,"REFRENCE")</t>
  </si>
  <si>
    <t>=NF($K238,"DSCRIPTN")</t>
  </si>
  <si>
    <t>=NF($K238,"DEBITAMT")</t>
  </si>
  <si>
    <t>=IF($K237="",0,-NF($K237,"CRDTAMNT"))</t>
  </si>
  <si>
    <t>=SUM(R238:S238)</t>
  </si>
  <si>
    <t>=NF($K239,"TRXDATE")</t>
  </si>
  <si>
    <t>=NF($K239,"JRNENTRY")</t>
  </si>
  <si>
    <t>=NF($K239,"ORMSTRNM")</t>
  </si>
  <si>
    <t>=NF($K239,"ORDOCNUM")</t>
  </si>
  <si>
    <t>=NF($K239,"REFRENCE")</t>
  </si>
  <si>
    <t>=NF($K239,"DSCRIPTN")</t>
  </si>
  <si>
    <t>=NF($K239,"DEBITAMT")</t>
  </si>
  <si>
    <t>=IF($K238="",0,-NF($K238,"CRDTAMNT"))</t>
  </si>
  <si>
    <t>=SUM(R239:S239)</t>
  </si>
  <si>
    <t>=NF($K240,"TRXDATE")</t>
  </si>
  <si>
    <t>=NF($K240,"JRNENTRY")</t>
  </si>
  <si>
    <t>=NF($K240,"ORMSTRNM")</t>
  </si>
  <si>
    <t>=NF($K240,"ORDOCNUM")</t>
  </si>
  <si>
    <t>=NF($K240,"REFRENCE")</t>
  </si>
  <si>
    <t>=NF($K240,"DSCRIPTN")</t>
  </si>
  <si>
    <t>=NF($K240,"DEBITAMT")</t>
  </si>
  <si>
    <t>=IF($K239="",0,-NF($K239,"CRDTAMNT"))</t>
  </si>
  <si>
    <t>=SUM(R240:S240)</t>
  </si>
  <si>
    <t>=NF($K241,"TRXDATE")</t>
  </si>
  <si>
    <t>=NF($K241,"JRNENTRY")</t>
  </si>
  <si>
    <t>=NF($K241,"ORMSTRNM")</t>
  </si>
  <si>
    <t>=NF($K241,"ORDOCNUM")</t>
  </si>
  <si>
    <t>=NF($K241,"REFRENCE")</t>
  </si>
  <si>
    <t>=NF($K241,"DSCRIPTN")</t>
  </si>
  <si>
    <t>=NF($K241,"DEBITAMT")</t>
  </si>
  <si>
    <t>=IF($K240="",0,-NF($K240,"CRDTAMNT"))</t>
  </si>
  <si>
    <t>=SUM(R241:S241)</t>
  </si>
  <si>
    <t>=NF($K246,"TRXDATE")</t>
  </si>
  <si>
    <t>=NF($K246,"JRNENTRY")</t>
  </si>
  <si>
    <t>=NF($K246,"ORMSTRNM")</t>
  </si>
  <si>
    <t>=NF($K246,"ORDOCNUM")</t>
  </si>
  <si>
    <t>=NF($K246,"REFRENCE")</t>
  </si>
  <si>
    <t>=NF($K246,"DSCRIPTN")</t>
  </si>
  <si>
    <t>=NF($K246,"DEBITAMT")</t>
  </si>
  <si>
    <t>=SUM(R246:S246)</t>
  </si>
  <si>
    <t>=NF($K247,"TRXDATE")</t>
  </si>
  <si>
    <t>=NF($K247,"JRNENTRY")</t>
  </si>
  <si>
    <t>=NF($K247,"ORMSTRNM")</t>
  </si>
  <si>
    <t>=NF($K247,"ORDOCNUM")</t>
  </si>
  <si>
    <t>=NF($K247,"REFRENCE")</t>
  </si>
  <si>
    <t>=NF($K247,"DSCRIPTN")</t>
  </si>
  <si>
    <t>=NF($K247,"DEBITAMT")</t>
  </si>
  <si>
    <t>=IF($K246="",0,-NF($K246,"CRDTAMNT"))</t>
  </si>
  <si>
    <t>=SUM(R247:S247)</t>
  </si>
  <si>
    <t>=NF($K248,"TRXDATE")</t>
  </si>
  <si>
    <t>=NF($K248,"JRNENTRY")</t>
  </si>
  <si>
    <t>=NF($K248,"ORMSTRNM")</t>
  </si>
  <si>
    <t>=NF($K248,"ORDOCNUM")</t>
  </si>
  <si>
    <t>=NF($K248,"REFRENCE")</t>
  </si>
  <si>
    <t>=NF($K248,"DSCRIPTN")</t>
  </si>
  <si>
    <t>=NF($K248,"DEBITAMT")</t>
  </si>
  <si>
    <t>=IF($K247="",0,-NF($K247,"CRDTAMNT"))</t>
  </si>
  <si>
    <t>=SUM(R248:S248)</t>
  </si>
  <si>
    <t>=NF($K249,"TRXDATE")</t>
  </si>
  <si>
    <t>=NF($K249,"JRNENTRY")</t>
  </si>
  <si>
    <t>=NF($K249,"ORMSTRNM")</t>
  </si>
  <si>
    <t>=NF($K249,"ORDOCNUM")</t>
  </si>
  <si>
    <t>=NF($K249,"REFRENCE")</t>
  </si>
  <si>
    <t>=NF($K249,"DSCRIPTN")</t>
  </si>
  <si>
    <t>=NF($K249,"DEBITAMT")</t>
  </si>
  <si>
    <t>=IF($K248="",0,-NF($K248,"CRDTAMNT"))</t>
  </si>
  <si>
    <t>=SUM(R249:S249)</t>
  </si>
  <si>
    <t>=NF($K250,"TRXDATE")</t>
  </si>
  <si>
    <t>=NF($K250,"JRNENTRY")</t>
  </si>
  <si>
    <t>=NF($K250,"ORMSTRNM")</t>
  </si>
  <si>
    <t>=NF($K250,"ORDOCNUM")</t>
  </si>
  <si>
    <t>=NF($K250,"REFRENCE")</t>
  </si>
  <si>
    <t>=NF($K250,"DSCRIPTN")</t>
  </si>
  <si>
    <t>=NF($K250,"DEBITAMT")</t>
  </si>
  <si>
    <t>=IF($K249="",0,-NF($K249,"CRDTAMNT"))</t>
  </si>
  <si>
    <t>=SUM(R250:S250)</t>
  </si>
  <si>
    <t>=NF($K251,"TRXDATE")</t>
  </si>
  <si>
    <t>=NF($K251,"JRNENTRY")</t>
  </si>
  <si>
    <t>=NF($K251,"ORMSTRNM")</t>
  </si>
  <si>
    <t>=NF($K251,"ORDOCNUM")</t>
  </si>
  <si>
    <t>=NF($K251,"REFRENCE")</t>
  </si>
  <si>
    <t>=NF($K251,"DSCRIPTN")</t>
  </si>
  <si>
    <t>=NF($K251,"DEBITAMT")</t>
  </si>
  <si>
    <t>=IF($K250="",0,-NF($K250,"CRDTAMNT"))</t>
  </si>
  <si>
    <t>=SUM(R251:S251)</t>
  </si>
  <si>
    <t>=NF($K252,"TRXDATE")</t>
  </si>
  <si>
    <t>=NF($K252,"JRNENTRY")</t>
  </si>
  <si>
    <t>=NF($K252,"ORMSTRNM")</t>
  </si>
  <si>
    <t>=NF($K252,"ORDOCNUM")</t>
  </si>
  <si>
    <t>=NF($K252,"REFRENCE")</t>
  </si>
  <si>
    <t>=NF($K252,"DSCRIPTN")</t>
  </si>
  <si>
    <t>=NF($K252,"DEBITAMT")</t>
  </si>
  <si>
    <t>=IF($K251="",0,-NF($K251,"CRDTAMNT"))</t>
  </si>
  <si>
    <t>=SUM(R252:S252)</t>
  </si>
  <si>
    <t>=NF($K253,"TRXDATE")</t>
  </si>
  <si>
    <t>=NF($K253,"JRNENTRY")</t>
  </si>
  <si>
    <t>=NF($K253,"ORMSTRNM")</t>
  </si>
  <si>
    <t>=NF($K253,"ORDOCNUM")</t>
  </si>
  <si>
    <t>=NF($K253,"REFRENCE")</t>
  </si>
  <si>
    <t>=NF($K253,"DSCRIPTN")</t>
  </si>
  <si>
    <t>=NF($K253,"DEBITAMT")</t>
  </si>
  <si>
    <t>=IF($K252="",0,-NF($K252,"CRDTAMNT"))</t>
  </si>
  <si>
    <t>=SUM(R253:S253)</t>
  </si>
  <si>
    <t>=NF($K254,"TRXDATE")</t>
  </si>
  <si>
    <t>=NF($K254,"JRNENTRY")</t>
  </si>
  <si>
    <t>=NF($K254,"ORMSTRNM")</t>
  </si>
  <si>
    <t>=NF($K254,"ORDOCNUM")</t>
  </si>
  <si>
    <t>=NF($K254,"REFRENCE")</t>
  </si>
  <si>
    <t>=NF($K254,"DSCRIPTN")</t>
  </si>
  <si>
    <t>=NF($K254,"DEBITAMT")</t>
  </si>
  <si>
    <t>=IF($K253="",0,-NF($K253,"CRDTAMNT"))</t>
  </si>
  <si>
    <t>=SUM(R254:S254)</t>
  </si>
  <si>
    <t>=NF($K255,"TRXDATE")</t>
  </si>
  <si>
    <t>=NF($K255,"JRNENTRY")</t>
  </si>
  <si>
    <t>=NF($K255,"ORMSTRNM")</t>
  </si>
  <si>
    <t>=NF($K255,"ORDOCNUM")</t>
  </si>
  <si>
    <t>=NF($K255,"REFRENCE")</t>
  </si>
  <si>
    <t>=NF($K255,"DSCRIPTN")</t>
  </si>
  <si>
    <t>=NF($K255,"DEBITAMT")</t>
  </si>
  <si>
    <t>=IF($K254="",0,-NF($K254,"CRDTAMNT"))</t>
  </si>
  <si>
    <t>=SUM(R255:S255)</t>
  </si>
  <si>
    <t>=NF($K256,"TRXDATE")</t>
  </si>
  <si>
    <t>=NF($K256,"JRNENTRY")</t>
  </si>
  <si>
    <t>=NF($K256,"ORMSTRNM")</t>
  </si>
  <si>
    <t>=NF($K256,"ORDOCNUM")</t>
  </si>
  <si>
    <t>=NF($K256,"REFRENCE")</t>
  </si>
  <si>
    <t>=NF($K256,"DSCRIPTN")</t>
  </si>
  <si>
    <t>=NF($K256,"DEBITAMT")</t>
  </si>
  <si>
    <t>=IF($K255="",0,-NF($K255,"CRDTAMNT"))</t>
  </si>
  <si>
    <t>=SUM(R256:S256)</t>
  </si>
  <si>
    <t>=NF($K257,"TRXDATE")</t>
  </si>
  <si>
    <t>=NF($K257,"JRNENTRY")</t>
  </si>
  <si>
    <t>=NF($K257,"ORMSTRNM")</t>
  </si>
  <si>
    <t>=NF($K257,"ORDOCNUM")</t>
  </si>
  <si>
    <t>=NF($K257,"REFRENCE")</t>
  </si>
  <si>
    <t>=NF($K257,"DSCRIPTN")</t>
  </si>
  <si>
    <t>=NF($K257,"DEBITAMT")</t>
  </si>
  <si>
    <t>=IF($K256="",0,-NF($K256,"CRDTAMNT"))</t>
  </si>
  <si>
    <t>=SUM(R257:S257)</t>
  </si>
  <si>
    <t>=NF($K258,"TRXDATE")</t>
  </si>
  <si>
    <t>=NF($K258,"JRNENTRY")</t>
  </si>
  <si>
    <t>=NF($K258,"ORMSTRNM")</t>
  </si>
  <si>
    <t>=NF($K258,"ORDOCNUM")</t>
  </si>
  <si>
    <t>=NF($K258,"REFRENCE")</t>
  </si>
  <si>
    <t>=NF($K258,"DSCRIPTN")</t>
  </si>
  <si>
    <t>=NF($K258,"DEBITAMT")</t>
  </si>
  <si>
    <t>=IF($K257="",0,-NF($K257,"CRDTAMNT"))</t>
  </si>
  <si>
    <t>=SUM(R258:S258)</t>
  </si>
  <si>
    <t>=NF($K259,"TRXDATE")</t>
  </si>
  <si>
    <t>=NF($K259,"JRNENTRY")</t>
  </si>
  <si>
    <t>=NF($K259,"ORMSTRNM")</t>
  </si>
  <si>
    <t>=NF($K259,"ORDOCNUM")</t>
  </si>
  <si>
    <t>=NF($K259,"REFRENCE")</t>
  </si>
  <si>
    <t>=NF($K259,"DSCRIPTN")</t>
  </si>
  <si>
    <t>=NF($K259,"DEBITAMT")</t>
  </si>
  <si>
    <t>=IF($K258="",0,-NF($K258,"CRDTAMNT"))</t>
  </si>
  <si>
    <t>=SUM(R259:S259)</t>
  </si>
  <si>
    <t>=NF($K260,"TRXDATE")</t>
  </si>
  <si>
    <t>=NF($K260,"JRNENTRY")</t>
  </si>
  <si>
    <t>=NF($K260,"ORMSTRNM")</t>
  </si>
  <si>
    <t>=NF($K260,"ORDOCNUM")</t>
  </si>
  <si>
    <t>=NF($K260,"REFRENCE")</t>
  </si>
  <si>
    <t>=NF($K260,"DSCRIPTN")</t>
  </si>
  <si>
    <t>=NF($K260,"DEBITAMT")</t>
  </si>
  <si>
    <t>=IF($K259="",0,-NF($K259,"CRDTAMNT"))</t>
  </si>
  <si>
    <t>=SUM(R260:S260)</t>
  </si>
  <si>
    <t>=NF($K261,"TRXDATE")</t>
  </si>
  <si>
    <t>=NF($K261,"JRNENTRY")</t>
  </si>
  <si>
    <t>=NF($K261,"ORMSTRNM")</t>
  </si>
  <si>
    <t>=NF($K261,"ORDOCNUM")</t>
  </si>
  <si>
    <t>=NF($K261,"REFRENCE")</t>
  </si>
  <si>
    <t>=NF($K261,"DSCRIPTN")</t>
  </si>
  <si>
    <t>=NF($K261,"DEBITAMT")</t>
  </si>
  <si>
    <t>=IF($K260="",0,-NF($K260,"CRDTAMNT"))</t>
  </si>
  <si>
    <t>=SUM(R261:S261)</t>
  </si>
  <si>
    <t>=NF($K262,"TRXDATE")</t>
  </si>
  <si>
    <t>=NF($K262,"JRNENTRY")</t>
  </si>
  <si>
    <t>=NF($K262,"ORMSTRNM")</t>
  </si>
  <si>
    <t>=NF($K262,"ORDOCNUM")</t>
  </si>
  <si>
    <t>=NF($K262,"REFRENCE")</t>
  </si>
  <si>
    <t>=NF($K262,"DSCRIPTN")</t>
  </si>
  <si>
    <t>=NF($K262,"DEBITAMT")</t>
  </si>
  <si>
    <t>=IF($K261="",0,-NF($K261,"CRDTAMNT"))</t>
  </si>
  <si>
    <t>=SUM(R262:S262)</t>
  </si>
  <si>
    <t>=NF($K263,"TRXDATE")</t>
  </si>
  <si>
    <t>=NF($K263,"JRNENTRY")</t>
  </si>
  <si>
    <t>=NF($K263,"ORMSTRNM")</t>
  </si>
  <si>
    <t>=NF($K263,"ORDOCNUM")</t>
  </si>
  <si>
    <t>=NF($K263,"REFRENCE")</t>
  </si>
  <si>
    <t>=NF($K263,"DSCRIPTN")</t>
  </si>
  <si>
    <t>=NF($K263,"DEBITAMT")</t>
  </si>
  <si>
    <t>=IF($K262="",0,-NF($K262,"CRDTAMNT"))</t>
  </si>
  <si>
    <t>=SUM(R263:S263)</t>
  </si>
  <si>
    <t>=NF($K264,"TRXDATE")</t>
  </si>
  <si>
    <t>=NF($K264,"JRNENTRY")</t>
  </si>
  <si>
    <t>=NF($K264,"ORMSTRNM")</t>
  </si>
  <si>
    <t>=NF($K264,"ORDOCNUM")</t>
  </si>
  <si>
    <t>=NF($K264,"REFRENCE")</t>
  </si>
  <si>
    <t>=NF($K264,"DSCRIPTN")</t>
  </si>
  <si>
    <t>=NF($K264,"DEBITAMT")</t>
  </si>
  <si>
    <t>=IF($K263="",0,-NF($K263,"CRDTAMNT"))</t>
  </si>
  <si>
    <t>=SUM(R264:S264)</t>
  </si>
  <si>
    <t>=NF($K265,"TRXDATE")</t>
  </si>
  <si>
    <t>=NF($K265,"JRNENTRY")</t>
  </si>
  <si>
    <t>=NF($K265,"ORMSTRNM")</t>
  </si>
  <si>
    <t>=NF($K265,"ORDOCNUM")</t>
  </si>
  <si>
    <t>=NF($K265,"REFRENCE")</t>
  </si>
  <si>
    <t>=NF($K265,"DSCRIPTN")</t>
  </si>
  <si>
    <t>=NF($K265,"DEBITAMT")</t>
  </si>
  <si>
    <t>=IF($K264="",0,-NF($K264,"CRDTAMNT"))</t>
  </si>
  <si>
    <t>=SUM(R265:S265)</t>
  </si>
  <si>
    <t>=NF($K266,"TRXDATE")</t>
  </si>
  <si>
    <t>=NF($K266,"JRNENTRY")</t>
  </si>
  <si>
    <t>=NF($K266,"ORMSTRNM")</t>
  </si>
  <si>
    <t>=NF($K266,"ORDOCNUM")</t>
  </si>
  <si>
    <t>=NF($K266,"REFRENCE")</t>
  </si>
  <si>
    <t>=NF($K266,"DSCRIPTN")</t>
  </si>
  <si>
    <t>=NF($K266,"DEBITAMT")</t>
  </si>
  <si>
    <t>=IF($K265="",0,-NF($K265,"CRDTAMNT"))</t>
  </si>
  <si>
    <t>=SUM(R266:S266)</t>
  </si>
  <si>
    <t>=NF($K267,"TRXDATE")</t>
  </si>
  <si>
    <t>=NF($K267,"JRNENTRY")</t>
  </si>
  <si>
    <t>=NF($K267,"ORMSTRNM")</t>
  </si>
  <si>
    <t>=NF($K267,"ORDOCNUM")</t>
  </si>
  <si>
    <t>=NF($K267,"REFRENCE")</t>
  </si>
  <si>
    <t>=NF($K267,"DSCRIPTN")</t>
  </si>
  <si>
    <t>=NF($K267,"DEBITAMT")</t>
  </si>
  <si>
    <t>=IF($K266="",0,-NF($K266,"CRDTAMNT"))</t>
  </si>
  <si>
    <t>=SUM(R267:S267)</t>
  </si>
  <si>
    <t>=NF($K268,"TRXDATE")</t>
  </si>
  <si>
    <t>=NF($K268,"JRNENTRY")</t>
  </si>
  <si>
    <t>=NF($K268,"ORMSTRNM")</t>
  </si>
  <si>
    <t>=NF($K268,"ORDOCNUM")</t>
  </si>
  <si>
    <t>=NF($K268,"REFRENCE")</t>
  </si>
  <si>
    <t>=NF($K268,"DSCRIPTN")</t>
  </si>
  <si>
    <t>=NF($K268,"DEBITAMT")</t>
  </si>
  <si>
    <t>=IF($K267="",0,-NF($K267,"CRDTAMNT"))</t>
  </si>
  <si>
    <t>=SUM(R268:S268)</t>
  </si>
  <si>
    <t>=NF($K269,"TRXDATE")</t>
  </si>
  <si>
    <t>=NF($K269,"JRNENTRY")</t>
  </si>
  <si>
    <t>=NF($K269,"ORMSTRNM")</t>
  </si>
  <si>
    <t>=NF($K269,"ORDOCNUM")</t>
  </si>
  <si>
    <t>=NF($K269,"REFRENCE")</t>
  </si>
  <si>
    <t>=NF($K269,"DSCRIPTN")</t>
  </si>
  <si>
    <t>=NF($K269,"DEBITAMT")</t>
  </si>
  <si>
    <t>=IF($K268="",0,-NF($K268,"CRDTAMNT"))</t>
  </si>
  <si>
    <t>=SUM(R269:S269)</t>
  </si>
  <si>
    <t>=NF($K270,"TRXDATE")</t>
  </si>
  <si>
    <t>=NF($K270,"JRNENTRY")</t>
  </si>
  <si>
    <t>=NF($K270,"ORMSTRNM")</t>
  </si>
  <si>
    <t>=NF($K270,"ORDOCNUM")</t>
  </si>
  <si>
    <t>=NF($K270,"REFRENCE")</t>
  </si>
  <si>
    <t>=NF($K270,"DSCRIPTN")</t>
  </si>
  <si>
    <t>=NF($K270,"DEBITAMT")</t>
  </si>
  <si>
    <t>=IF($K269="",0,-NF($K269,"CRDTAMNT"))</t>
  </si>
  <si>
    <t>=SUM(R270:S270)</t>
  </si>
  <si>
    <t>=NF($K271,"TRXDATE")</t>
  </si>
  <si>
    <t>=NF($K271,"JRNENTRY")</t>
  </si>
  <si>
    <t>=NF($K271,"ORMSTRNM")</t>
  </si>
  <si>
    <t>=NF($K271,"ORDOCNUM")</t>
  </si>
  <si>
    <t>=NF($K271,"REFRENCE")</t>
  </si>
  <si>
    <t>=NF($K271,"DSCRIPTN")</t>
  </si>
  <si>
    <t>=NF($K271,"DEBITAMT")</t>
  </si>
  <si>
    <t>=IF($K270="",0,-NF($K270,"CRDTAMNT"))</t>
  </si>
  <si>
    <t>=SUM(R271:S271)</t>
  </si>
  <si>
    <t>=NF($K272,"TRXDATE")</t>
  </si>
  <si>
    <t>=NF($K272,"JRNENTRY")</t>
  </si>
  <si>
    <t>=NF($K272,"ORMSTRNM")</t>
  </si>
  <si>
    <t>=NF($K272,"ORDOCNUM")</t>
  </si>
  <si>
    <t>=NF($K272,"REFRENCE")</t>
  </si>
  <si>
    <t>=NF($K272,"DSCRIPTN")</t>
  </si>
  <si>
    <t>=NF($K272,"DEBITAMT")</t>
  </si>
  <si>
    <t>=IF($K271="",0,-NF($K271,"CRDTAMNT"))</t>
  </si>
  <si>
    <t>=SUM(R272:S272)</t>
  </si>
  <si>
    <t>=NF($K273,"TRXDATE")</t>
  </si>
  <si>
    <t>=NF($K273,"JRNENTRY")</t>
  </si>
  <si>
    <t>=NF($K273,"ORMSTRNM")</t>
  </si>
  <si>
    <t>=NF($K273,"ORDOCNUM")</t>
  </si>
  <si>
    <t>=NF($K273,"REFRENCE")</t>
  </si>
  <si>
    <t>=NF($K273,"DSCRIPTN")</t>
  </si>
  <si>
    <t>=NF($K273,"DEBITAMT")</t>
  </si>
  <si>
    <t>=IF($K272="",0,-NF($K272,"CRDTAMNT"))</t>
  </si>
  <si>
    <t>=SUM(R273:S273)</t>
  </si>
  <si>
    <t>=NF($K278,"TRXDATE")</t>
  </si>
  <si>
    <t>=NF($K278,"JRNENTRY")</t>
  </si>
  <si>
    <t>=NF($K278,"ORMSTRNM")</t>
  </si>
  <si>
    <t>=NF($K278,"ORDOCNUM")</t>
  </si>
  <si>
    <t>=NF($K278,"REFRENCE")</t>
  </si>
  <si>
    <t>=NF($K278,"DSCRIPTN")</t>
  </si>
  <si>
    <t>=NF($K278,"DEBITAMT")</t>
  </si>
  <si>
    <t>=SUM(R278:S278)</t>
  </si>
  <si>
    <t>=NF($K279,"TRXDATE")</t>
  </si>
  <si>
    <t>=NF($K279,"JRNENTRY")</t>
  </si>
  <si>
    <t>=NF($K279,"ORMSTRNM")</t>
  </si>
  <si>
    <t>=NF($K279,"ORDOCNUM")</t>
  </si>
  <si>
    <t>=NF($K279,"REFRENCE")</t>
  </si>
  <si>
    <t>=NF($K279,"DSCRIPTN")</t>
  </si>
  <si>
    <t>=NF($K279,"DEBITAMT")</t>
  </si>
  <si>
    <t>=IF($K278="",0,-NF($K278,"CRDTAMNT"))</t>
  </si>
  <si>
    <t>=SUM(R279:S279)</t>
  </si>
  <si>
    <t>=NF($K280,"TRXDATE")</t>
  </si>
  <si>
    <t>=NF($K280,"JRNENTRY")</t>
  </si>
  <si>
    <t>=NF($K280,"ORMSTRNM")</t>
  </si>
  <si>
    <t>=NF($K280,"ORDOCNUM")</t>
  </si>
  <si>
    <t>=NF($K280,"REFRENCE")</t>
  </si>
  <si>
    <t>=NF($K280,"DSCRIPTN")</t>
  </si>
  <si>
    <t>=NF($K280,"DEBITAMT")</t>
  </si>
  <si>
    <t>=IF($K279="",0,-NF($K279,"CRDTAMNT"))</t>
  </si>
  <si>
    <t>=SUM(R280:S280)</t>
  </si>
  <si>
    <t>=NF($K281,"TRXDATE")</t>
  </si>
  <si>
    <t>=NF($K281,"JRNENTRY")</t>
  </si>
  <si>
    <t>=NF($K281,"ORMSTRNM")</t>
  </si>
  <si>
    <t>=NF($K281,"ORDOCNUM")</t>
  </si>
  <si>
    <t>=NF($K281,"REFRENCE")</t>
  </si>
  <si>
    <t>=NF($K281,"DSCRIPTN")</t>
  </si>
  <si>
    <t>=NF($K281,"DEBITAMT")</t>
  </si>
  <si>
    <t>=IF($K280="",0,-NF($K280,"CRDTAMNT"))</t>
  </si>
  <si>
    <t>=SUM(R281:S281)</t>
  </si>
  <si>
    <t>=NF($K282,"TRXDATE")</t>
  </si>
  <si>
    <t>=NF($K282,"JRNENTRY")</t>
  </si>
  <si>
    <t>=NF($K282,"ORMSTRNM")</t>
  </si>
  <si>
    <t>=NF($K282,"ORDOCNUM")</t>
  </si>
  <si>
    <t>=NF($K282,"REFRENCE")</t>
  </si>
  <si>
    <t>=NF($K282,"DSCRIPTN")</t>
  </si>
  <si>
    <t>=NF($K282,"DEBITAMT")</t>
  </si>
  <si>
    <t>=IF($K281="",0,-NF($K281,"CRDTAMNT"))</t>
  </si>
  <si>
    <t>=SUM(R282:S282)</t>
  </si>
  <si>
    <t>=NF($K283,"TRXDATE")</t>
  </si>
  <si>
    <t>=NF($K283,"JRNENTRY")</t>
  </si>
  <si>
    <t>=NF($K283,"ORMSTRNM")</t>
  </si>
  <si>
    <t>=NF($K283,"ORDOCNUM")</t>
  </si>
  <si>
    <t>=NF($K283,"REFRENCE")</t>
  </si>
  <si>
    <t>=NF($K283,"DSCRIPTN")</t>
  </si>
  <si>
    <t>=NF($K283,"DEBITAMT")</t>
  </si>
  <si>
    <t>=IF($K282="",0,-NF($K282,"CRDTAMNT"))</t>
  </si>
  <si>
    <t>=SUM(R283:S283)</t>
  </si>
  <si>
    <t>=NF($K284,"TRXDATE")</t>
  </si>
  <si>
    <t>=NF($K284,"JRNENTRY")</t>
  </si>
  <si>
    <t>=NF($K284,"ORMSTRNM")</t>
  </si>
  <si>
    <t>=NF($K284,"ORDOCNUM")</t>
  </si>
  <si>
    <t>=NF($K284,"REFRENCE")</t>
  </si>
  <si>
    <t>=NF($K284,"DSCRIPTN")</t>
  </si>
  <si>
    <t>=NF($K284,"DEBITAMT")</t>
  </si>
  <si>
    <t>=IF($K283="",0,-NF($K283,"CRDTAMNT"))</t>
  </si>
  <si>
    <t>=SUM(R284:S284)</t>
  </si>
  <si>
    <t>=NF($K285,"TRXDATE")</t>
  </si>
  <si>
    <t>=NF($K285,"JRNENTRY")</t>
  </si>
  <si>
    <t>=NF($K285,"ORMSTRNM")</t>
  </si>
  <si>
    <t>=NF($K285,"ORDOCNUM")</t>
  </si>
  <si>
    <t>=NF($K285,"REFRENCE")</t>
  </si>
  <si>
    <t>=NF($K285,"DSCRIPTN")</t>
  </si>
  <si>
    <t>=NF($K285,"DEBITAMT")</t>
  </si>
  <si>
    <t>=IF($K284="",0,-NF($K284,"CRDTAMNT"))</t>
  </si>
  <si>
    <t>=SUM(R285:S285)</t>
  </si>
  <si>
    <t>=NF($K286,"TRXDATE")</t>
  </si>
  <si>
    <t>=NF($K286,"JRNENTRY")</t>
  </si>
  <si>
    <t>=NF($K286,"ORMSTRNM")</t>
  </si>
  <si>
    <t>=NF($K286,"ORDOCNUM")</t>
  </si>
  <si>
    <t>=NF($K286,"REFRENCE")</t>
  </si>
  <si>
    <t>=NF($K286,"DSCRIPTN")</t>
  </si>
  <si>
    <t>=NF($K286,"DEBITAMT")</t>
  </si>
  <si>
    <t>=IF($K285="",0,-NF($K285,"CRDTAMNT"))</t>
  </si>
  <si>
    <t>=SUM(R286:S286)</t>
  </si>
  <si>
    <t>=NF($K287,"TRXDATE")</t>
  </si>
  <si>
    <t>=NF($K287,"JRNENTRY")</t>
  </si>
  <si>
    <t>=NF($K287,"ORMSTRNM")</t>
  </si>
  <si>
    <t>=NF($K287,"ORDOCNUM")</t>
  </si>
  <si>
    <t>=NF($K287,"REFRENCE")</t>
  </si>
  <si>
    <t>=NF($K287,"DSCRIPTN")</t>
  </si>
  <si>
    <t>=NF($K287,"DEBITAMT")</t>
  </si>
  <si>
    <t>=IF($K286="",0,-NF($K286,"CRDTAMNT"))</t>
  </si>
  <si>
    <t>=SUM(R287:S287)</t>
  </si>
  <si>
    <t>=NF($K288,"TRXDATE")</t>
  </si>
  <si>
    <t>=NF($K288,"JRNENTRY")</t>
  </si>
  <si>
    <t>=NF($K288,"ORMSTRNM")</t>
  </si>
  <si>
    <t>=NF($K288,"ORDOCNUM")</t>
  </si>
  <si>
    <t>=NF($K288,"REFRENCE")</t>
  </si>
  <si>
    <t>=NF($K288,"DSCRIPTN")</t>
  </si>
  <si>
    <t>=NF($K288,"DEBITAMT")</t>
  </si>
  <si>
    <t>=IF($K287="",0,-NF($K287,"CRDTAMNT"))</t>
  </si>
  <si>
    <t>=SUM(R288:S288)</t>
  </si>
  <si>
    <t>=NF($K289,"TRXDATE")</t>
  </si>
  <si>
    <t>=NF($K289,"JRNENTRY")</t>
  </si>
  <si>
    <t>=NF($K289,"ORMSTRNM")</t>
  </si>
  <si>
    <t>=NF($K289,"ORDOCNUM")</t>
  </si>
  <si>
    <t>=NF($K289,"REFRENCE")</t>
  </si>
  <si>
    <t>=NF($K289,"DSCRIPTN")</t>
  </si>
  <si>
    <t>=NF($K289,"DEBITAMT")</t>
  </si>
  <si>
    <t>=IF($K288="",0,-NF($K288,"CRDTAMNT"))</t>
  </si>
  <si>
    <t>=SUM(R289:S289)</t>
  </si>
  <si>
    <t>=NF($K290,"TRXDATE")</t>
  </si>
  <si>
    <t>=NF($K290,"JRNENTRY")</t>
  </si>
  <si>
    <t>=NF($K290,"ORMSTRNM")</t>
  </si>
  <si>
    <t>=NF($K290,"ORDOCNUM")</t>
  </si>
  <si>
    <t>=NF($K290,"REFRENCE")</t>
  </si>
  <si>
    <t>=NF($K290,"DSCRIPTN")</t>
  </si>
  <si>
    <t>=NF($K290,"DEBITAMT")</t>
  </si>
  <si>
    <t>=IF($K289="",0,-NF($K289,"CRDTAMNT"))</t>
  </si>
  <si>
    <t>=SUM(R290:S290)</t>
  </si>
  <si>
    <t>=NF($K291,"TRXDATE")</t>
  </si>
  <si>
    <t>=NF($K291,"JRNENTRY")</t>
  </si>
  <si>
    <t>=NF($K291,"ORMSTRNM")</t>
  </si>
  <si>
    <t>=NF($K291,"ORDOCNUM")</t>
  </si>
  <si>
    <t>=NF($K291,"REFRENCE")</t>
  </si>
  <si>
    <t>=NF($K291,"DSCRIPTN")</t>
  </si>
  <si>
    <t>=NF($K291,"DEBITAMT")</t>
  </si>
  <si>
    <t>=IF($K290="",0,-NF($K290,"CRDTAMNT"))</t>
  </si>
  <si>
    <t>=SUM(R291:S291)</t>
  </si>
  <si>
    <t>=NF($K292,"TRXDATE")</t>
  </si>
  <si>
    <t>=NF($K292,"JRNENTRY")</t>
  </si>
  <si>
    <t>=NF($K292,"ORMSTRNM")</t>
  </si>
  <si>
    <t>=NF($K292,"ORDOCNUM")</t>
  </si>
  <si>
    <t>=NF($K292,"REFRENCE")</t>
  </si>
  <si>
    <t>=NF($K292,"DSCRIPTN")</t>
  </si>
  <si>
    <t>=NF($K292,"DEBITAMT")</t>
  </si>
  <si>
    <t>=IF($K291="",0,-NF($K291,"CRDTAMNT"))</t>
  </si>
  <si>
    <t>=SUM(R292:S292)</t>
  </si>
  <si>
    <t>=NF($K293,"TRXDATE")</t>
  </si>
  <si>
    <t>=NF($K293,"JRNENTRY")</t>
  </si>
  <si>
    <t>=NF($K293,"ORMSTRNM")</t>
  </si>
  <si>
    <t>=NF($K293,"ORDOCNUM")</t>
  </si>
  <si>
    <t>=NF($K293,"REFRENCE")</t>
  </si>
  <si>
    <t>=NF($K293,"DSCRIPTN")</t>
  </si>
  <si>
    <t>=NF($K293,"DEBITAMT")</t>
  </si>
  <si>
    <t>=IF($K292="",0,-NF($K292,"CRDTAMNT"))</t>
  </si>
  <si>
    <t>=SUM(R293:S293)</t>
  </si>
  <si>
    <t>=NF($K294,"TRXDATE")</t>
  </si>
  <si>
    <t>=NF($K294,"JRNENTRY")</t>
  </si>
  <si>
    <t>=NF($K294,"ORMSTRNM")</t>
  </si>
  <si>
    <t>=NF($K294,"ORDOCNUM")</t>
  </si>
  <si>
    <t>=NF($K294,"REFRENCE")</t>
  </si>
  <si>
    <t>=NF($K294,"DSCRIPTN")</t>
  </si>
  <si>
    <t>=NF($K294,"DEBITAMT")</t>
  </si>
  <si>
    <t>=IF($K293="",0,-NF($K293,"CRDTAMNT"))</t>
  </si>
  <si>
    <t>=SUM(R294:S294)</t>
  </si>
  <si>
    <t>=NF($K295,"TRXDATE")</t>
  </si>
  <si>
    <t>=NF($K295,"JRNENTRY")</t>
  </si>
  <si>
    <t>=NF($K295,"ORMSTRNM")</t>
  </si>
  <si>
    <t>=NF($K295,"ORDOCNUM")</t>
  </si>
  <si>
    <t>=NF($K295,"REFRENCE")</t>
  </si>
  <si>
    <t>=NF($K295,"DSCRIPTN")</t>
  </si>
  <si>
    <t>=NF($K295,"DEBITAMT")</t>
  </si>
  <si>
    <t>=IF($K294="",0,-NF($K294,"CRDTAMNT"))</t>
  </si>
  <si>
    <t>=SUM(R295:S295)</t>
  </si>
  <si>
    <t>=NF($K296,"TRXDATE")</t>
  </si>
  <si>
    <t>=NF($K296,"JRNENTRY")</t>
  </si>
  <si>
    <t>=NF($K296,"ORMSTRNM")</t>
  </si>
  <si>
    <t>=NF($K296,"ORDOCNUM")</t>
  </si>
  <si>
    <t>=NF($K296,"REFRENCE")</t>
  </si>
  <si>
    <t>=NF($K296,"DSCRIPTN")</t>
  </si>
  <si>
    <t>=NF($K296,"DEBITAMT")</t>
  </si>
  <si>
    <t>=IF($K295="",0,-NF($K295,"CRDTAMNT"))</t>
  </si>
  <si>
    <t>=SUM(R296:S296)</t>
  </si>
  <si>
    <t>=NF($K297,"TRXDATE")</t>
  </si>
  <si>
    <t>=NF($K297,"JRNENTRY")</t>
  </si>
  <si>
    <t>=NF($K297,"ORMSTRNM")</t>
  </si>
  <si>
    <t>=NF($K297,"ORDOCNUM")</t>
  </si>
  <si>
    <t>=NF($K297,"REFRENCE")</t>
  </si>
  <si>
    <t>=NF($K297,"DSCRIPTN")</t>
  </si>
  <si>
    <t>=NF($K297,"DEBITAMT")</t>
  </si>
  <si>
    <t>=IF($K296="",0,-NF($K296,"CRDTAMNT"))</t>
  </si>
  <si>
    <t>=SUM(R297:S297)</t>
  </si>
  <si>
    <t>=NF($K298,"TRXDATE")</t>
  </si>
  <si>
    <t>=NF($K298,"JRNENTRY")</t>
  </si>
  <si>
    <t>=NF($K298,"ORMSTRNM")</t>
  </si>
  <si>
    <t>=NF($K298,"ORDOCNUM")</t>
  </si>
  <si>
    <t>=NF($K298,"REFRENCE")</t>
  </si>
  <si>
    <t>=NF($K298,"DSCRIPTN")</t>
  </si>
  <si>
    <t>=NF($K298,"DEBITAMT")</t>
  </si>
  <si>
    <t>=IF($K297="",0,-NF($K297,"CRDTAMNT"))</t>
  </si>
  <si>
    <t>=SUM(R298:S298)</t>
  </si>
  <si>
    <t>=NF($K299,"TRXDATE")</t>
  </si>
  <si>
    <t>=NF($K299,"JRNENTRY")</t>
  </si>
  <si>
    <t>=NF($K299,"ORMSTRNM")</t>
  </si>
  <si>
    <t>=NF($K299,"ORDOCNUM")</t>
  </si>
  <si>
    <t>=NF($K299,"REFRENCE")</t>
  </si>
  <si>
    <t>=NF($K299,"DSCRIPTN")</t>
  </si>
  <si>
    <t>=NF($K299,"DEBITAMT")</t>
  </si>
  <si>
    <t>=IF($K298="",0,-NF($K298,"CRDTAMNT"))</t>
  </si>
  <si>
    <t>=SUM(R299:S299)</t>
  </si>
  <si>
    <t>=NF($K300,"TRXDATE")</t>
  </si>
  <si>
    <t>=NF($K300,"JRNENTRY")</t>
  </si>
  <si>
    <t>=NF($K300,"ORMSTRNM")</t>
  </si>
  <si>
    <t>=NF($K300,"ORDOCNUM")</t>
  </si>
  <si>
    <t>=NF($K300,"REFRENCE")</t>
  </si>
  <si>
    <t>=NF($K300,"DSCRIPTN")</t>
  </si>
  <si>
    <t>=NF($K300,"DEBITAMT")</t>
  </si>
  <si>
    <t>=IF($K299="",0,-NF($K299,"CRDTAMNT"))</t>
  </si>
  <si>
    <t>=SUM(R300:S300)</t>
  </si>
  <si>
    <t>=NF($K301,"TRXDATE")</t>
  </si>
  <si>
    <t>=NF($K301,"JRNENTRY")</t>
  </si>
  <si>
    <t>=NF($K301,"ORMSTRNM")</t>
  </si>
  <si>
    <t>=NF($K301,"ORDOCNUM")</t>
  </si>
  <si>
    <t>=NF($K301,"REFRENCE")</t>
  </si>
  <si>
    <t>=NF($K301,"DSCRIPTN")</t>
  </si>
  <si>
    <t>=NF($K301,"DEBITAMT")</t>
  </si>
  <si>
    <t>=IF($K300="",0,-NF($K300,"CRDTAMNT"))</t>
  </si>
  <si>
    <t>=SUM(R301:S301)</t>
  </si>
  <si>
    <t>=NF($K311,"TRXDATE")</t>
  </si>
  <si>
    <t>=NF($K311,"JRNENTRY")</t>
  </si>
  <si>
    <t>=NF($K311,"ORMSTRNM")</t>
  </si>
  <si>
    <t>=NF($K311,"ORDOCNUM")</t>
  </si>
  <si>
    <t>=NF($K311,"REFRENCE")</t>
  </si>
  <si>
    <t>=NF($K311,"DSCRIPTN")</t>
  </si>
  <si>
    <t>=NF($K311,"DEBITAMT")</t>
  </si>
  <si>
    <t>=SUM(R311:S311)</t>
  </si>
  <si>
    <t>=NF($K312,"TRXDATE")</t>
  </si>
  <si>
    <t>=NF($K312,"JRNENTRY")</t>
  </si>
  <si>
    <t>=NF($K312,"ORMSTRNM")</t>
  </si>
  <si>
    <t>=NF($K312,"ORDOCNUM")</t>
  </si>
  <si>
    <t>=NF($K312,"REFRENCE")</t>
  </si>
  <si>
    <t>=NF($K312,"DSCRIPTN")</t>
  </si>
  <si>
    <t>=NF($K312,"DEBITAMT")</t>
  </si>
  <si>
    <t>=IF($K311="",0,-NF($K311,"CRDTAMNT"))</t>
  </si>
  <si>
    <t>=SUM(R312:S312)</t>
  </si>
  <si>
    <t>=NF($K313,"TRXDATE")</t>
  </si>
  <si>
    <t>=NF($K313,"JRNENTRY")</t>
  </si>
  <si>
    <t>=NF($K313,"ORMSTRNM")</t>
  </si>
  <si>
    <t>=NF($K313,"ORDOCNUM")</t>
  </si>
  <si>
    <t>=NF($K313,"REFRENCE")</t>
  </si>
  <si>
    <t>=NF($K313,"DSCRIPTN")</t>
  </si>
  <si>
    <t>=NF($K313,"DEBITAMT")</t>
  </si>
  <si>
    <t>=IF($K312="",0,-NF($K312,"CRDTAMNT"))</t>
  </si>
  <si>
    <t>=SUM(R313:S313)</t>
  </si>
  <si>
    <t>=NF($K314,"TRXDATE")</t>
  </si>
  <si>
    <t>=NF($K314,"JRNENTRY")</t>
  </si>
  <si>
    <t>=NF($K314,"ORMSTRNM")</t>
  </si>
  <si>
    <t>=NF($K314,"ORDOCNUM")</t>
  </si>
  <si>
    <t>=NF($K314,"REFRENCE")</t>
  </si>
  <si>
    <t>=NF($K314,"DSCRIPTN")</t>
  </si>
  <si>
    <t>=NF($K314,"DEBITAMT")</t>
  </si>
  <si>
    <t>=IF($K313="",0,-NF($K313,"CRDTAMNT"))</t>
  </si>
  <si>
    <t>=SUM(R314:S314)</t>
  </si>
  <si>
    <t>=NF($K315,"TRXDATE")</t>
  </si>
  <si>
    <t>=NF($K315,"JRNENTRY")</t>
  </si>
  <si>
    <t>=NF($K315,"ORMSTRNM")</t>
  </si>
  <si>
    <t>=NF($K315,"ORDOCNUM")</t>
  </si>
  <si>
    <t>=NF($K315,"REFRENCE")</t>
  </si>
  <si>
    <t>=NF($K315,"DSCRIPTN")</t>
  </si>
  <si>
    <t>=NF($K315,"DEBITAMT")</t>
  </si>
  <si>
    <t>=IF($K314="",0,-NF($K314,"CRDTAMNT"))</t>
  </si>
  <si>
    <t>=SUM(R315:S315)</t>
  </si>
  <si>
    <t>=NF($K316,"TRXDATE")</t>
  </si>
  <si>
    <t>=NF($K316,"JRNENTRY")</t>
  </si>
  <si>
    <t>=NF($K316,"ORMSTRNM")</t>
  </si>
  <si>
    <t>=NF($K316,"ORDOCNUM")</t>
  </si>
  <si>
    <t>=NF($K316,"REFRENCE")</t>
  </si>
  <si>
    <t>=NF($K316,"DSCRIPTN")</t>
  </si>
  <si>
    <t>=NF($K316,"DEBITAMT")</t>
  </si>
  <si>
    <t>=IF($K315="",0,-NF($K315,"CRDTAMNT"))</t>
  </si>
  <si>
    <t>=SUM(R316:S316)</t>
  </si>
  <si>
    <t>=NF($K317,"TRXDATE")</t>
  </si>
  <si>
    <t>=NF($K317,"JRNENTRY")</t>
  </si>
  <si>
    <t>=NF($K317,"ORMSTRNM")</t>
  </si>
  <si>
    <t>=NF($K317,"ORDOCNUM")</t>
  </si>
  <si>
    <t>=NF($K317,"REFRENCE")</t>
  </si>
  <si>
    <t>=NF($K317,"DSCRIPTN")</t>
  </si>
  <si>
    <t>=NF($K317,"DEBITAMT")</t>
  </si>
  <si>
    <t>=IF($K316="",0,-NF($K316,"CRDTAMNT"))</t>
  </si>
  <si>
    <t>=SUM(R317:S317)</t>
  </si>
  <si>
    <t>=NF($K318,"TRXDATE")</t>
  </si>
  <si>
    <t>=NF($K318,"JRNENTRY")</t>
  </si>
  <si>
    <t>=NF($K318,"ORMSTRNM")</t>
  </si>
  <si>
    <t>=NF($K318,"ORDOCNUM")</t>
  </si>
  <si>
    <t>=NF($K318,"REFRENCE")</t>
  </si>
  <si>
    <t>=NF($K318,"DSCRIPTN")</t>
  </si>
  <si>
    <t>=NF($K318,"DEBITAMT")</t>
  </si>
  <si>
    <t>=IF($K317="",0,-NF($K317,"CRDTAMNT"))</t>
  </si>
  <si>
    <t>=SUM(R318:S318)</t>
  </si>
  <si>
    <t>=NF($K319,"TRXDATE")</t>
  </si>
  <si>
    <t>=NF($K319,"JRNENTRY")</t>
  </si>
  <si>
    <t>=NF($K319,"ORMSTRNM")</t>
  </si>
  <si>
    <t>=NF($K319,"ORDOCNUM")</t>
  </si>
  <si>
    <t>=NF($K319,"REFRENCE")</t>
  </si>
  <si>
    <t>=NF($K319,"DSCRIPTN")</t>
  </si>
  <si>
    <t>=NF($K319,"DEBITAMT")</t>
  </si>
  <si>
    <t>=IF($K318="",0,-NF($K318,"CRDTAMNT"))</t>
  </si>
  <si>
    <t>=SUM(R319:S319)</t>
  </si>
  <si>
    <t>=NF($K320,"TRXDATE")</t>
  </si>
  <si>
    <t>=NF($K320,"JRNENTRY")</t>
  </si>
  <si>
    <t>=NF($K320,"ORMSTRNM")</t>
  </si>
  <si>
    <t>=NF($K320,"ORDOCNUM")</t>
  </si>
  <si>
    <t>=NF($K320,"REFRENCE")</t>
  </si>
  <si>
    <t>=NF($K320,"DSCRIPTN")</t>
  </si>
  <si>
    <t>=NF($K320,"DEBITAMT")</t>
  </si>
  <si>
    <t>=IF($K319="",0,-NF($K319,"CRDTAMNT"))</t>
  </si>
  <si>
    <t>=SUM(R320:S320)</t>
  </si>
  <si>
    <t>=NF($K321,"TRXDATE")</t>
  </si>
  <si>
    <t>=NF($K321,"JRNENTRY")</t>
  </si>
  <si>
    <t>=NF($K321,"ORMSTRNM")</t>
  </si>
  <si>
    <t>=NF($K321,"ORDOCNUM")</t>
  </si>
  <si>
    <t>=NF($K321,"REFRENCE")</t>
  </si>
  <si>
    <t>=NF($K321,"DSCRIPTN")</t>
  </si>
  <si>
    <t>=NF($K321,"DEBITAMT")</t>
  </si>
  <si>
    <t>=IF($K320="",0,-NF($K320,"CRDTAMNT"))</t>
  </si>
  <si>
    <t>=SUM(R321:S321)</t>
  </si>
  <si>
    <t>=NF($K322,"TRXDATE")</t>
  </si>
  <si>
    <t>=NF($K322,"JRNENTRY")</t>
  </si>
  <si>
    <t>=NF($K322,"ORMSTRNM")</t>
  </si>
  <si>
    <t>=NF($K322,"ORDOCNUM")</t>
  </si>
  <si>
    <t>=NF($K322,"REFRENCE")</t>
  </si>
  <si>
    <t>=NF($K322,"DSCRIPTN")</t>
  </si>
  <si>
    <t>=NF($K322,"DEBITAMT")</t>
  </si>
  <si>
    <t>=IF($K321="",0,-NF($K321,"CRDTAMNT"))</t>
  </si>
  <si>
    <t>=SUM(R322:S322)</t>
  </si>
  <si>
    <t>=NF($K323,"TRXDATE")</t>
  </si>
  <si>
    <t>=NF($K323,"JRNENTRY")</t>
  </si>
  <si>
    <t>=NF($K323,"ORMSTRNM")</t>
  </si>
  <si>
    <t>=NF($K323,"ORDOCNUM")</t>
  </si>
  <si>
    <t>=NF($K323,"REFRENCE")</t>
  </si>
  <si>
    <t>=NF($K323,"DSCRIPTN")</t>
  </si>
  <si>
    <t>=NF($K323,"DEBITAMT")</t>
  </si>
  <si>
    <t>=IF($K322="",0,-NF($K322,"CRDTAMNT"))</t>
  </si>
  <si>
    <t>=SUM(R323:S323)</t>
  </si>
  <si>
    <t>=NF($K324,"TRXDATE")</t>
  </si>
  <si>
    <t>=NF($K324,"JRNENTRY")</t>
  </si>
  <si>
    <t>=NF($K324,"ORMSTRNM")</t>
  </si>
  <si>
    <t>=NF($K324,"ORDOCNUM")</t>
  </si>
  <si>
    <t>=NF($K324,"REFRENCE")</t>
  </si>
  <si>
    <t>=NF($K324,"DSCRIPTN")</t>
  </si>
  <si>
    <t>=NF($K324,"DEBITAMT")</t>
  </si>
  <si>
    <t>=IF($K323="",0,-NF($K323,"CRDTAMNT"))</t>
  </si>
  <si>
    <t>=SUM(R324:S324)</t>
  </si>
  <si>
    <t>=NF($K325,"TRXDATE")</t>
  </si>
  <si>
    <t>=NF($K325,"JRNENTRY")</t>
  </si>
  <si>
    <t>=NF($K325,"ORMSTRNM")</t>
  </si>
  <si>
    <t>=NF($K325,"ORDOCNUM")</t>
  </si>
  <si>
    <t>=NF($K325,"REFRENCE")</t>
  </si>
  <si>
    <t>=NF($K325,"DSCRIPTN")</t>
  </si>
  <si>
    <t>=NF($K325,"DEBITAMT")</t>
  </si>
  <si>
    <t>=IF($K324="",0,-NF($K324,"CRDTAMNT"))</t>
  </si>
  <si>
    <t>=SUM(R325:S325)</t>
  </si>
  <si>
    <t>=NF($K326,"TRXDATE")</t>
  </si>
  <si>
    <t>=NF($K326,"JRNENTRY")</t>
  </si>
  <si>
    <t>=NF($K326,"ORMSTRNM")</t>
  </si>
  <si>
    <t>=NF($K326,"ORDOCNUM")</t>
  </si>
  <si>
    <t>=NF($K326,"REFRENCE")</t>
  </si>
  <si>
    <t>=NF($K326,"DSCRIPTN")</t>
  </si>
  <si>
    <t>=NF($K326,"DEBITAMT")</t>
  </si>
  <si>
    <t>=IF($K325="",0,-NF($K325,"CRDTAMNT"))</t>
  </si>
  <si>
    <t>=SUM(R326:S326)</t>
  </si>
  <si>
    <t>=NF($K327,"TRXDATE")</t>
  </si>
  <si>
    <t>=NF($K327,"JRNENTRY")</t>
  </si>
  <si>
    <t>=NF($K327,"ORMSTRNM")</t>
  </si>
  <si>
    <t>=NF($K327,"ORDOCNUM")</t>
  </si>
  <si>
    <t>=NF($K327,"REFRENCE")</t>
  </si>
  <si>
    <t>=NF($K327,"DSCRIPTN")</t>
  </si>
  <si>
    <t>=NF($K327,"DEBITAMT")</t>
  </si>
  <si>
    <t>=IF($K326="",0,-NF($K326,"CRDTAMNT"))</t>
  </si>
  <si>
    <t>=SUM(R327:S327)</t>
  </si>
  <si>
    <t>=NF($K328,"TRXDATE")</t>
  </si>
  <si>
    <t>=NF($K328,"JRNENTRY")</t>
  </si>
  <si>
    <t>=NF($K328,"ORMSTRNM")</t>
  </si>
  <si>
    <t>=NF($K328,"ORDOCNUM")</t>
  </si>
  <si>
    <t>=NF($K328,"REFRENCE")</t>
  </si>
  <si>
    <t>=NF($K328,"DSCRIPTN")</t>
  </si>
  <si>
    <t>=NF($K328,"DEBITAMT")</t>
  </si>
  <si>
    <t>=IF($K327="",0,-NF($K327,"CRDTAMNT"))</t>
  </si>
  <si>
    <t>=SUM(R328:S328)</t>
  </si>
  <si>
    <t>=NF($K329,"TRXDATE")</t>
  </si>
  <si>
    <t>=NF($K329,"JRNENTRY")</t>
  </si>
  <si>
    <t>=NF($K329,"ORMSTRNM")</t>
  </si>
  <si>
    <t>=NF($K329,"ORDOCNUM")</t>
  </si>
  <si>
    <t>=NF($K329,"REFRENCE")</t>
  </si>
  <si>
    <t>=NF($K329,"DSCRIPTN")</t>
  </si>
  <si>
    <t>=NF($K329,"DEBITAMT")</t>
  </si>
  <si>
    <t>=IF($K328="",0,-NF($K328,"CRDTAMNT"))</t>
  </si>
  <si>
    <t>=SUM(R329:S329)</t>
  </si>
  <si>
    <t>=NF($K330,"TRXDATE")</t>
  </si>
  <si>
    <t>=NF($K330,"JRNENTRY")</t>
  </si>
  <si>
    <t>=NF($K330,"ORMSTRNM")</t>
  </si>
  <si>
    <t>=NF($K330,"ORDOCNUM")</t>
  </si>
  <si>
    <t>=NF($K330,"REFRENCE")</t>
  </si>
  <si>
    <t>=NF($K330,"DSCRIPTN")</t>
  </si>
  <si>
    <t>=NF($K330,"DEBITAMT")</t>
  </si>
  <si>
    <t>=IF($K329="",0,-NF($K329,"CRDTAMNT"))</t>
  </si>
  <si>
    <t>=SUM(R330:S330)</t>
  </si>
  <si>
    <t>=NF($K331,"TRXDATE")</t>
  </si>
  <si>
    <t>=NF($K331,"JRNENTRY")</t>
  </si>
  <si>
    <t>=NF($K331,"ORMSTRNM")</t>
  </si>
  <si>
    <t>=NF($K331,"ORDOCNUM")</t>
  </si>
  <si>
    <t>=NF($K331,"REFRENCE")</t>
  </si>
  <si>
    <t>=NF($K331,"DSCRIPTN")</t>
  </si>
  <si>
    <t>=NF($K331,"DEBITAMT")</t>
  </si>
  <si>
    <t>=IF($K330="",0,-NF($K330,"CRDTAMNT"))</t>
  </si>
  <si>
    <t>=SUM(R331:S331)</t>
  </si>
  <si>
    <t>=NF($K332,"TRXDATE")</t>
  </si>
  <si>
    <t>=NF($K332,"JRNENTRY")</t>
  </si>
  <si>
    <t>=NF($K332,"ORMSTRNM")</t>
  </si>
  <si>
    <t>=NF($K332,"ORDOCNUM")</t>
  </si>
  <si>
    <t>=NF($K332,"REFRENCE")</t>
  </si>
  <si>
    <t>=NF($K332,"DSCRIPTN")</t>
  </si>
  <si>
    <t>=NF($K332,"DEBITAMT")</t>
  </si>
  <si>
    <t>=IF($K331="",0,-NF($K331,"CRDTAMNT"))</t>
  </si>
  <si>
    <t>=SUM(R332:S332)</t>
  </si>
  <si>
    <t>=NF($K333,"TRXDATE")</t>
  </si>
  <si>
    <t>=NF($K333,"JRNENTRY")</t>
  </si>
  <si>
    <t>=NF($K333,"ORMSTRNM")</t>
  </si>
  <si>
    <t>=NF($K333,"ORDOCNUM")</t>
  </si>
  <si>
    <t>=NF($K333,"REFRENCE")</t>
  </si>
  <si>
    <t>=NF($K333,"DSCRIPTN")</t>
  </si>
  <si>
    <t>=NF($K333,"DEBITAMT")</t>
  </si>
  <si>
    <t>=IF($K332="",0,-NF($K332,"CRDTAMNT"))</t>
  </si>
  <si>
    <t>=SUM(R333:S333)</t>
  </si>
  <si>
    <t>=NF($K334,"TRXDATE")</t>
  </si>
  <si>
    <t>=NF($K334,"JRNENTRY")</t>
  </si>
  <si>
    <t>=NF($K334,"ORMSTRNM")</t>
  </si>
  <si>
    <t>=NF($K334,"ORDOCNUM")</t>
  </si>
  <si>
    <t>=NF($K334,"REFRENCE")</t>
  </si>
  <si>
    <t>=NF($K334,"DSCRIPTN")</t>
  </si>
  <si>
    <t>=NF($K334,"DEBITAMT")</t>
  </si>
  <si>
    <t>=IF($K333="",0,-NF($K333,"CRDTAMNT"))</t>
  </si>
  <si>
    <t>=SUM(R334:S334)</t>
  </si>
  <si>
    <t>=NF($K335,"TRXDATE")</t>
  </si>
  <si>
    <t>=NF($K335,"JRNENTRY")</t>
  </si>
  <si>
    <t>=NF($K335,"ORMSTRNM")</t>
  </si>
  <si>
    <t>=NF($K335,"ORDOCNUM")</t>
  </si>
  <si>
    <t>=NF($K335,"REFRENCE")</t>
  </si>
  <si>
    <t>=NF($K335,"DSCRIPTN")</t>
  </si>
  <si>
    <t>=NF($K335,"DEBITAMT")</t>
  </si>
  <si>
    <t>=IF($K334="",0,-NF($K334,"CRDTAMNT"))</t>
  </si>
  <si>
    <t>=SUM(R335:S335)</t>
  </si>
  <si>
    <t>=NF($K336,"TRXDATE")</t>
  </si>
  <si>
    <t>=NF($K336,"JRNENTRY")</t>
  </si>
  <si>
    <t>=NF($K336,"ORMSTRNM")</t>
  </si>
  <si>
    <t>=NF($K336,"ORDOCNUM")</t>
  </si>
  <si>
    <t>=NF($K336,"REFRENCE")</t>
  </si>
  <si>
    <t>=NF($K336,"DSCRIPTN")</t>
  </si>
  <si>
    <t>=NF($K336,"DEBITAMT")</t>
  </si>
  <si>
    <t>=IF($K335="",0,-NF($K335,"CRDTAMNT"))</t>
  </si>
  <si>
    <t>=SUM(R336:S336)</t>
  </si>
  <si>
    <t>=NF($K337,"TRXDATE")</t>
  </si>
  <si>
    <t>=NF($K337,"JRNENTRY")</t>
  </si>
  <si>
    <t>=NF($K337,"ORMSTRNM")</t>
  </si>
  <si>
    <t>=NF($K337,"ORDOCNUM")</t>
  </si>
  <si>
    <t>=NF($K337,"REFRENCE")</t>
  </si>
  <si>
    <t>=NF($K337,"DSCRIPTN")</t>
  </si>
  <si>
    <t>=NF($K337,"DEBITAMT")</t>
  </si>
  <si>
    <t>=IF($K336="",0,-NF($K336,"CRDTAMNT"))</t>
  </si>
  <si>
    <t>=SUM(R337:S337)</t>
  </si>
  <si>
    <t>=NF($K338,"TRXDATE")</t>
  </si>
  <si>
    <t>=NF($K338,"JRNENTRY")</t>
  </si>
  <si>
    <t>=NF($K338,"ORMSTRNM")</t>
  </si>
  <si>
    <t>=NF($K338,"ORDOCNUM")</t>
  </si>
  <si>
    <t>=NF($K338,"REFRENCE")</t>
  </si>
  <si>
    <t>=NF($K338,"DSCRIPTN")</t>
  </si>
  <si>
    <t>=NF($K338,"DEBITAMT")</t>
  </si>
  <si>
    <t>=IF($K337="",0,-NF($K337,"CRDTAMNT"))</t>
  </si>
  <si>
    <t>=SUM(R338:S338)</t>
  </si>
  <si>
    <t>=NF($K339,"TRXDATE")</t>
  </si>
  <si>
    <t>=NF($K339,"JRNENTRY")</t>
  </si>
  <si>
    <t>=NF($K339,"ORMSTRNM")</t>
  </si>
  <si>
    <t>=NF($K339,"ORDOCNUM")</t>
  </si>
  <si>
    <t>=NF($K339,"REFRENCE")</t>
  </si>
  <si>
    <t>=NF($K339,"DSCRIPTN")</t>
  </si>
  <si>
    <t>=NF($K339,"DEBITAMT")</t>
  </si>
  <si>
    <t>=IF($K338="",0,-NF($K338,"CRDTAMNT"))</t>
  </si>
  <si>
    <t>=SUM(R339:S339)</t>
  </si>
  <si>
    <t>=NF($K344,"TRXDATE")</t>
  </si>
  <si>
    <t>=NF($K344,"JRNENTRY")</t>
  </si>
  <si>
    <t>=NF($K344,"ORMSTRNM")</t>
  </si>
  <si>
    <t>=NF($K344,"ORDOCNUM")</t>
  </si>
  <si>
    <t>=NF($K344,"REFRENCE")</t>
  </si>
  <si>
    <t>=NF($K344,"DSCRIPTN")</t>
  </si>
  <si>
    <t>=NF($K344,"DEBITAMT")</t>
  </si>
  <si>
    <t>=SUM(R344:S344)</t>
  </si>
  <si>
    <t>=NF($K345,"TRXDATE")</t>
  </si>
  <si>
    <t>=NF($K345,"JRNENTRY")</t>
  </si>
  <si>
    <t>=NF($K345,"ORMSTRNM")</t>
  </si>
  <si>
    <t>=NF($K345,"ORDOCNUM")</t>
  </si>
  <si>
    <t>=NF($K345,"REFRENCE")</t>
  </si>
  <si>
    <t>=NF($K345,"DSCRIPTN")</t>
  </si>
  <si>
    <t>=NF($K345,"DEBITAMT")</t>
  </si>
  <si>
    <t>=IF($K344="",0,-NF($K344,"CRDTAMNT"))</t>
  </si>
  <si>
    <t>=SUM(R345:S345)</t>
  </si>
  <si>
    <t>=NF($K346,"TRXDATE")</t>
  </si>
  <si>
    <t>=NF($K346,"JRNENTRY")</t>
  </si>
  <si>
    <t>=NF($K346,"ORMSTRNM")</t>
  </si>
  <si>
    <t>=NF($K346,"ORDOCNUM")</t>
  </si>
  <si>
    <t>=NF($K346,"REFRENCE")</t>
  </si>
  <si>
    <t>=NF($K346,"DSCRIPTN")</t>
  </si>
  <si>
    <t>=NF($K346,"DEBITAMT")</t>
  </si>
  <si>
    <t>=IF($K345="",0,-NF($K345,"CRDTAMNT"))</t>
  </si>
  <si>
    <t>=SUM(R346:S346)</t>
  </si>
  <si>
    <t>=NF($K347,"TRXDATE")</t>
  </si>
  <si>
    <t>=NF($K347,"JRNENTRY")</t>
  </si>
  <si>
    <t>=NF($K347,"ORMSTRNM")</t>
  </si>
  <si>
    <t>=NF($K347,"ORDOCNUM")</t>
  </si>
  <si>
    <t>=NF($K347,"REFRENCE")</t>
  </si>
  <si>
    <t>=NF($K347,"DSCRIPTN")</t>
  </si>
  <si>
    <t>=NF($K347,"DEBITAMT")</t>
  </si>
  <si>
    <t>=IF($K346="",0,-NF($K346,"CRDTAMNT"))</t>
  </si>
  <si>
    <t>=SUM(R347:S347)</t>
  </si>
  <si>
    <t>=NF($K348,"TRXDATE")</t>
  </si>
  <si>
    <t>=NF($K348,"JRNENTRY")</t>
  </si>
  <si>
    <t>=NF($K348,"ORMSTRNM")</t>
  </si>
  <si>
    <t>=NF($K348,"ORDOCNUM")</t>
  </si>
  <si>
    <t>=NF($K348,"REFRENCE")</t>
  </si>
  <si>
    <t>=NF($K348,"DSCRIPTN")</t>
  </si>
  <si>
    <t>=NF($K348,"DEBITAMT")</t>
  </si>
  <si>
    <t>=IF($K347="",0,-NF($K347,"CRDTAMNT"))</t>
  </si>
  <si>
    <t>=SUM(R348:S348)</t>
  </si>
  <si>
    <t>=NF($K349,"TRXDATE")</t>
  </si>
  <si>
    <t>=NF($K349,"JRNENTRY")</t>
  </si>
  <si>
    <t>=NF($K349,"ORMSTRNM")</t>
  </si>
  <si>
    <t>=NF($K349,"ORDOCNUM")</t>
  </si>
  <si>
    <t>=NF($K349,"REFRENCE")</t>
  </si>
  <si>
    <t>=NF($K349,"DSCRIPTN")</t>
  </si>
  <si>
    <t>=NF($K349,"DEBITAMT")</t>
  </si>
  <si>
    <t>=IF($K348="",0,-NF($K348,"CRDTAMNT"))</t>
  </si>
  <si>
    <t>=SUM(R349:S349)</t>
  </si>
  <si>
    <t>=NF($K350,"TRXDATE")</t>
  </si>
  <si>
    <t>=NF($K350,"JRNENTRY")</t>
  </si>
  <si>
    <t>=NF($K350,"ORMSTRNM")</t>
  </si>
  <si>
    <t>=NF($K350,"ORDOCNUM")</t>
  </si>
  <si>
    <t>=NF($K350,"REFRENCE")</t>
  </si>
  <si>
    <t>=NF($K350,"DSCRIPTN")</t>
  </si>
  <si>
    <t>=NF($K350,"DEBITAMT")</t>
  </si>
  <si>
    <t>=IF($K349="",0,-NF($K349,"CRDTAMNT"))</t>
  </si>
  <si>
    <t>=SUM(R350:S350)</t>
  </si>
  <si>
    <t>=NF($K351,"TRXDATE")</t>
  </si>
  <si>
    <t>=NF($K351,"JRNENTRY")</t>
  </si>
  <si>
    <t>=NF($K351,"ORMSTRNM")</t>
  </si>
  <si>
    <t>=NF($K351,"ORDOCNUM")</t>
  </si>
  <si>
    <t>=NF($K351,"REFRENCE")</t>
  </si>
  <si>
    <t>=NF($K351,"DSCRIPTN")</t>
  </si>
  <si>
    <t>=NF($K351,"DEBITAMT")</t>
  </si>
  <si>
    <t>=IF($K350="",0,-NF($K350,"CRDTAMNT"))</t>
  </si>
  <si>
    <t>=SUM(R351:S351)</t>
  </si>
  <si>
    <t>=NF($K352,"TRXDATE")</t>
  </si>
  <si>
    <t>=NF($K352,"JRNENTRY")</t>
  </si>
  <si>
    <t>=NF($K352,"ORMSTRNM")</t>
  </si>
  <si>
    <t>=NF($K352,"ORDOCNUM")</t>
  </si>
  <si>
    <t>=NF($K352,"REFRENCE")</t>
  </si>
  <si>
    <t>=NF($K352,"DSCRIPTN")</t>
  </si>
  <si>
    <t>=NF($K352,"DEBITAMT")</t>
  </si>
  <si>
    <t>=IF($K351="",0,-NF($K351,"CRDTAMNT"))</t>
  </si>
  <si>
    <t>=SUM(R352:S352)</t>
  </si>
  <si>
    <t>=NF($K353,"TRXDATE")</t>
  </si>
  <si>
    <t>=NF($K353,"JRNENTRY")</t>
  </si>
  <si>
    <t>=NF($K353,"ORMSTRNM")</t>
  </si>
  <si>
    <t>=NF($K353,"ORDOCNUM")</t>
  </si>
  <si>
    <t>=NF($K353,"REFRENCE")</t>
  </si>
  <si>
    <t>=NF($K353,"DSCRIPTN")</t>
  </si>
  <si>
    <t>=NF($K353,"DEBITAMT")</t>
  </si>
  <si>
    <t>=IF($K352="",0,-NF($K352,"CRDTAMNT"))</t>
  </si>
  <si>
    <t>=SUM(R353:S353)</t>
  </si>
  <si>
    <t>=NF($K354,"TRXDATE")</t>
  </si>
  <si>
    <t>=NF($K354,"JRNENTRY")</t>
  </si>
  <si>
    <t>=NF($K354,"ORMSTRNM")</t>
  </si>
  <si>
    <t>=NF($K354,"ORDOCNUM")</t>
  </si>
  <si>
    <t>=NF($K354,"REFRENCE")</t>
  </si>
  <si>
    <t>=NF($K354,"DSCRIPTN")</t>
  </si>
  <si>
    <t>=NF($K354,"DEBITAMT")</t>
  </si>
  <si>
    <t>=IF($K353="",0,-NF($K353,"CRDTAMNT"))</t>
  </si>
  <si>
    <t>=SUM(R354:S354)</t>
  </si>
  <si>
    <t>=NF($K355,"TRXDATE")</t>
  </si>
  <si>
    <t>=NF($K355,"JRNENTRY")</t>
  </si>
  <si>
    <t>=NF($K355,"ORMSTRNM")</t>
  </si>
  <si>
    <t>=NF($K355,"ORDOCNUM")</t>
  </si>
  <si>
    <t>=NF($K355,"REFRENCE")</t>
  </si>
  <si>
    <t>=NF($K355,"DSCRIPTN")</t>
  </si>
  <si>
    <t>=NF($K355,"DEBITAMT")</t>
  </si>
  <si>
    <t>=IF($K354="",0,-NF($K354,"CRDTAMNT"))</t>
  </si>
  <si>
    <t>=SUM(R355:S355)</t>
  </si>
  <si>
    <t>=NF($K356,"TRXDATE")</t>
  </si>
  <si>
    <t>=NF($K356,"JRNENTRY")</t>
  </si>
  <si>
    <t>=NF($K356,"ORMSTRNM")</t>
  </si>
  <si>
    <t>=NF($K356,"ORDOCNUM")</t>
  </si>
  <si>
    <t>=NF($K356,"REFRENCE")</t>
  </si>
  <si>
    <t>=NF($K356,"DSCRIPTN")</t>
  </si>
  <si>
    <t>=NF($K356,"DEBITAMT")</t>
  </si>
  <si>
    <t>=IF($K355="",0,-NF($K355,"CRDTAMNT"))</t>
  </si>
  <si>
    <t>=SUM(R356:S356)</t>
  </si>
  <si>
    <t>=NF($K357,"TRXDATE")</t>
  </si>
  <si>
    <t>=NF($K357,"JRNENTRY")</t>
  </si>
  <si>
    <t>=NF($K357,"ORMSTRNM")</t>
  </si>
  <si>
    <t>=NF($K357,"ORDOCNUM")</t>
  </si>
  <si>
    <t>=NF($K357,"REFRENCE")</t>
  </si>
  <si>
    <t>=NF($K357,"DSCRIPTN")</t>
  </si>
  <si>
    <t>=NF($K357,"DEBITAMT")</t>
  </si>
  <si>
    <t>=IF($K356="",0,-NF($K356,"CRDTAMNT"))</t>
  </si>
  <si>
    <t>=SUM(R357:S357)</t>
  </si>
  <si>
    <t>=NF($K358,"TRXDATE")</t>
  </si>
  <si>
    <t>=NF($K358,"JRNENTRY")</t>
  </si>
  <si>
    <t>=NF($K358,"ORMSTRNM")</t>
  </si>
  <si>
    <t>=NF($K358,"ORDOCNUM")</t>
  </si>
  <si>
    <t>=NF($K358,"REFRENCE")</t>
  </si>
  <si>
    <t>=NF($K358,"DSCRIPTN")</t>
  </si>
  <si>
    <t>=NF($K358,"DEBITAMT")</t>
  </si>
  <si>
    <t>=IF($K357="",0,-NF($K357,"CRDTAMNT"))</t>
  </si>
  <si>
    <t>=SUM(R358:S358)</t>
  </si>
  <si>
    <t>=NF($K359,"TRXDATE")</t>
  </si>
  <si>
    <t>=NF($K359,"JRNENTRY")</t>
  </si>
  <si>
    <t>=NF($K359,"ORMSTRNM")</t>
  </si>
  <si>
    <t>=NF($K359,"ORDOCNUM")</t>
  </si>
  <si>
    <t>=NF($K359,"REFRENCE")</t>
  </si>
  <si>
    <t>=NF($K359,"DSCRIPTN")</t>
  </si>
  <si>
    <t>=NF($K359,"DEBITAMT")</t>
  </si>
  <si>
    <t>=IF($K358="",0,-NF($K358,"CRDTAMNT"))</t>
  </si>
  <si>
    <t>=SUM(R359:S359)</t>
  </si>
  <si>
    <t>=NF($K360,"TRXDATE")</t>
  </si>
  <si>
    <t>=NF($K360,"JRNENTRY")</t>
  </si>
  <si>
    <t>=NF($K360,"ORMSTRNM")</t>
  </si>
  <si>
    <t>=NF($K360,"ORDOCNUM")</t>
  </si>
  <si>
    <t>=NF($K360,"REFRENCE")</t>
  </si>
  <si>
    <t>=NF($K360,"DSCRIPTN")</t>
  </si>
  <si>
    <t>=NF($K360,"DEBITAMT")</t>
  </si>
  <si>
    <t>=IF($K359="",0,-NF($K359,"CRDTAMNT"))</t>
  </si>
  <si>
    <t>=SUM(R360:S360)</t>
  </si>
  <si>
    <t>=NF($K361,"TRXDATE")</t>
  </si>
  <si>
    <t>=NF($K361,"JRNENTRY")</t>
  </si>
  <si>
    <t>=NF($K361,"ORMSTRNM")</t>
  </si>
  <si>
    <t>=NF($K361,"ORDOCNUM")</t>
  </si>
  <si>
    <t>=NF($K361,"REFRENCE")</t>
  </si>
  <si>
    <t>=NF($K361,"DSCRIPTN")</t>
  </si>
  <si>
    <t>=NF($K361,"DEBITAMT")</t>
  </si>
  <si>
    <t>=IF($K360="",0,-NF($K360,"CRDTAMNT"))</t>
  </si>
  <si>
    <t>=SUM(R361:S361)</t>
  </si>
  <si>
    <t>=NF($K362,"TRXDATE")</t>
  </si>
  <si>
    <t>=NF($K362,"JRNENTRY")</t>
  </si>
  <si>
    <t>=NF($K362,"ORMSTRNM")</t>
  </si>
  <si>
    <t>=NF($K362,"ORDOCNUM")</t>
  </si>
  <si>
    <t>=NF($K362,"REFRENCE")</t>
  </si>
  <si>
    <t>=NF($K362,"DSCRIPTN")</t>
  </si>
  <si>
    <t>=NF($K362,"DEBITAMT")</t>
  </si>
  <si>
    <t>=IF($K361="",0,-NF($K361,"CRDTAMNT"))</t>
  </si>
  <si>
    <t>=SUM(R362:S362)</t>
  </si>
  <si>
    <t>=NF($K363,"TRXDATE")</t>
  </si>
  <si>
    <t>=NF($K363,"JRNENTRY")</t>
  </si>
  <si>
    <t>=NF($K363,"ORMSTRNM")</t>
  </si>
  <si>
    <t>=NF($K363,"ORDOCNUM")</t>
  </si>
  <si>
    <t>=NF($K363,"REFRENCE")</t>
  </si>
  <si>
    <t>=NF($K363,"DSCRIPTN")</t>
  </si>
  <si>
    <t>=NF($K363,"DEBITAMT")</t>
  </si>
  <si>
    <t>=IF($K362="",0,-NF($K362,"CRDTAMNT"))</t>
  </si>
  <si>
    <t>=SUM(R363:S363)</t>
  </si>
  <si>
    <t>=NF($K364,"TRXDATE")</t>
  </si>
  <si>
    <t>=NF($K364,"JRNENTRY")</t>
  </si>
  <si>
    <t>=NF($K364,"ORMSTRNM")</t>
  </si>
  <si>
    <t>=NF($K364,"ORDOCNUM")</t>
  </si>
  <si>
    <t>=NF($K364,"REFRENCE")</t>
  </si>
  <si>
    <t>=NF($K364,"DSCRIPTN")</t>
  </si>
  <si>
    <t>=NF($K364,"DEBITAMT")</t>
  </si>
  <si>
    <t>=IF($K363="",0,-NF($K363,"CRDTAMNT"))</t>
  </si>
  <si>
    <t>=SUM(R364:S364)</t>
  </si>
  <si>
    <t>=NF($K369,"TRXDATE")</t>
  </si>
  <si>
    <t>=NF($K369,"JRNENTRY")</t>
  </si>
  <si>
    <t>=NF($K369,"ORMSTRNM")</t>
  </si>
  <si>
    <t>=NF($K369,"ORDOCNUM")</t>
  </si>
  <si>
    <t>=NF($K369,"REFRENCE")</t>
  </si>
  <si>
    <t>=NF($K369,"DSCRIPTN")</t>
  </si>
  <si>
    <t>=NF($K369,"DEBITAMT")</t>
  </si>
  <si>
    <t>=SUM(R369:S369)</t>
  </si>
  <si>
    <t>=NF($K370,"TRXDATE")</t>
  </si>
  <si>
    <t>=NF($K370,"JRNENTRY")</t>
  </si>
  <si>
    <t>=NF($K370,"ORMSTRNM")</t>
  </si>
  <si>
    <t>=NF($K370,"ORDOCNUM")</t>
  </si>
  <si>
    <t>=NF($K370,"REFRENCE")</t>
  </si>
  <si>
    <t>=NF($K370,"DSCRIPTN")</t>
  </si>
  <si>
    <t>=NF($K370,"DEBITAMT")</t>
  </si>
  <si>
    <t>=IF($K369="",0,-NF($K369,"CRDTAMNT"))</t>
  </si>
  <si>
    <t>=SUM(R370:S370)</t>
  </si>
  <si>
    <t>=NF($K371,"TRXDATE")</t>
  </si>
  <si>
    <t>=NF($K371,"JRNENTRY")</t>
  </si>
  <si>
    <t>=NF($K371,"ORMSTRNM")</t>
  </si>
  <si>
    <t>=NF($K371,"ORDOCNUM")</t>
  </si>
  <si>
    <t>=NF($K371,"REFRENCE")</t>
  </si>
  <si>
    <t>=NF($K371,"DSCRIPTN")</t>
  </si>
  <si>
    <t>=NF($K371,"DEBITAMT")</t>
  </si>
  <si>
    <t>=IF($K370="",0,-NF($K370,"CRDTAMNT"))</t>
  </si>
  <si>
    <t>=SUM(R371:S371)</t>
  </si>
  <si>
    <t>=NF($K372,"TRXDATE")</t>
  </si>
  <si>
    <t>=NF($K372,"JRNENTRY")</t>
  </si>
  <si>
    <t>=NF($K372,"ORMSTRNM")</t>
  </si>
  <si>
    <t>=NF($K372,"ORDOCNUM")</t>
  </si>
  <si>
    <t>=NF($K372,"REFRENCE")</t>
  </si>
  <si>
    <t>=NF($K372,"DSCRIPTN")</t>
  </si>
  <si>
    <t>=NF($K372,"DEBITAMT")</t>
  </si>
  <si>
    <t>=IF($K371="",0,-NF($K371,"CRDTAMNT"))</t>
  </si>
  <si>
    <t>=SUM(R372:S372)</t>
  </si>
  <si>
    <t>=NF($K373,"TRXDATE")</t>
  </si>
  <si>
    <t>=NF($K373,"JRNENTRY")</t>
  </si>
  <si>
    <t>=NF($K373,"ORMSTRNM")</t>
  </si>
  <si>
    <t>=NF($K373,"ORDOCNUM")</t>
  </si>
  <si>
    <t>=NF($K373,"REFRENCE")</t>
  </si>
  <si>
    <t>=NF($K373,"DSCRIPTN")</t>
  </si>
  <si>
    <t>=NF($K373,"DEBITAMT")</t>
  </si>
  <si>
    <t>=IF($K372="",0,-NF($K372,"CRDTAMNT"))</t>
  </si>
  <si>
    <t>=SUM(R373:S373)</t>
  </si>
  <si>
    <t>=NF($K374,"TRXDATE")</t>
  </si>
  <si>
    <t>=NF($K374,"JRNENTRY")</t>
  </si>
  <si>
    <t>=NF($K374,"ORMSTRNM")</t>
  </si>
  <si>
    <t>=NF($K374,"ORDOCNUM")</t>
  </si>
  <si>
    <t>=NF($K374,"REFRENCE")</t>
  </si>
  <si>
    <t>=NF($K374,"DSCRIPTN")</t>
  </si>
  <si>
    <t>=NF($K374,"DEBITAMT")</t>
  </si>
  <si>
    <t>=IF($K373="",0,-NF($K373,"CRDTAMNT"))</t>
  </si>
  <si>
    <t>=SUM(R374:S374)</t>
  </si>
  <si>
    <t>=NF($K375,"TRXDATE")</t>
  </si>
  <si>
    <t>=NF($K375,"JRNENTRY")</t>
  </si>
  <si>
    <t>=NF($K375,"ORMSTRNM")</t>
  </si>
  <si>
    <t>=NF($K375,"ORDOCNUM")</t>
  </si>
  <si>
    <t>=NF($K375,"REFRENCE")</t>
  </si>
  <si>
    <t>=NF($K375,"DSCRIPTN")</t>
  </si>
  <si>
    <t>=NF($K375,"DEBITAMT")</t>
  </si>
  <si>
    <t>=IF($K374="",0,-NF($K374,"CRDTAMNT"))</t>
  </si>
  <si>
    <t>=SUM(R375:S375)</t>
  </si>
  <si>
    <t>=NF($K376,"TRXDATE")</t>
  </si>
  <si>
    <t>=NF($K376,"JRNENTRY")</t>
  </si>
  <si>
    <t>=NF($K376,"ORMSTRNM")</t>
  </si>
  <si>
    <t>=NF($K376,"ORDOCNUM")</t>
  </si>
  <si>
    <t>=NF($K376,"REFRENCE")</t>
  </si>
  <si>
    <t>=NF($K376,"DSCRIPTN")</t>
  </si>
  <si>
    <t>=NF($K376,"DEBITAMT")</t>
  </si>
  <si>
    <t>=IF($K375="",0,-NF($K375,"CRDTAMNT"))</t>
  </si>
  <si>
    <t>=SUM(R376:S376)</t>
  </si>
  <si>
    <t>=NF($K377,"TRXDATE")</t>
  </si>
  <si>
    <t>=NF($K377,"JRNENTRY")</t>
  </si>
  <si>
    <t>=NF($K377,"ORMSTRNM")</t>
  </si>
  <si>
    <t>=NF($K377,"ORDOCNUM")</t>
  </si>
  <si>
    <t>=NF($K377,"REFRENCE")</t>
  </si>
  <si>
    <t>=NF($K377,"DSCRIPTN")</t>
  </si>
  <si>
    <t>=NF($K377,"DEBITAMT")</t>
  </si>
  <si>
    <t>=IF($K376="",0,-NF($K376,"CRDTAMNT"))</t>
  </si>
  <si>
    <t>=SUM(R377:S377)</t>
  </si>
  <si>
    <t>=NF($K378,"TRXDATE")</t>
  </si>
  <si>
    <t>=NF($K378,"JRNENTRY")</t>
  </si>
  <si>
    <t>=NF($K378,"ORMSTRNM")</t>
  </si>
  <si>
    <t>=NF($K378,"ORDOCNUM")</t>
  </si>
  <si>
    <t>=NF($K378,"REFRENCE")</t>
  </si>
  <si>
    <t>=NF($K378,"DSCRIPTN")</t>
  </si>
  <si>
    <t>=NF($K378,"DEBITAMT")</t>
  </si>
  <si>
    <t>=IF($K377="",0,-NF($K377,"CRDTAMNT"))</t>
  </si>
  <si>
    <t>=SUM(R378:S378)</t>
  </si>
  <si>
    <t>=NF($K379,"TRXDATE")</t>
  </si>
  <si>
    <t>=NF($K379,"JRNENTRY")</t>
  </si>
  <si>
    <t>=NF($K379,"ORMSTRNM")</t>
  </si>
  <si>
    <t>=NF($K379,"ORDOCNUM")</t>
  </si>
  <si>
    <t>=NF($K379,"REFRENCE")</t>
  </si>
  <si>
    <t>=NF($K379,"DSCRIPTN")</t>
  </si>
  <si>
    <t>=NF($K379,"DEBITAMT")</t>
  </si>
  <si>
    <t>=IF($K378="",0,-NF($K378,"CRDTAMNT"))</t>
  </si>
  <si>
    <t>=SUM(R379:S379)</t>
  </si>
  <si>
    <t>=NF($K380,"TRXDATE")</t>
  </si>
  <si>
    <t>=NF($K380,"JRNENTRY")</t>
  </si>
  <si>
    <t>=NF($K380,"ORMSTRNM")</t>
  </si>
  <si>
    <t>=NF($K380,"ORDOCNUM")</t>
  </si>
  <si>
    <t>=NF($K380,"REFRENCE")</t>
  </si>
  <si>
    <t>=NF($K380,"DSCRIPTN")</t>
  </si>
  <si>
    <t>=NF($K380,"DEBITAMT")</t>
  </si>
  <si>
    <t>=IF($K379="",0,-NF($K379,"CRDTAMNT"))</t>
  </si>
  <si>
    <t>=SUM(R380:S380)</t>
  </si>
  <si>
    <t>=NF($K381,"TRXDATE")</t>
  </si>
  <si>
    <t>=NF($K381,"JRNENTRY")</t>
  </si>
  <si>
    <t>=NF($K381,"ORMSTRNM")</t>
  </si>
  <si>
    <t>=NF($K381,"ORDOCNUM")</t>
  </si>
  <si>
    <t>=NF($K381,"REFRENCE")</t>
  </si>
  <si>
    <t>=NF($K381,"DSCRIPTN")</t>
  </si>
  <si>
    <t>=NF($K381,"DEBITAMT")</t>
  </si>
  <si>
    <t>=IF($K380="",0,-NF($K380,"CRDTAMNT"))</t>
  </si>
  <si>
    <t>=SUM(R381:S381)</t>
  </si>
  <si>
    <t>=NF($K382,"TRXDATE")</t>
  </si>
  <si>
    <t>=NF($K382,"JRNENTRY")</t>
  </si>
  <si>
    <t>=NF($K382,"ORMSTRNM")</t>
  </si>
  <si>
    <t>=NF($K382,"ORDOCNUM")</t>
  </si>
  <si>
    <t>=NF($K382,"REFRENCE")</t>
  </si>
  <si>
    <t>=NF($K382,"DSCRIPTN")</t>
  </si>
  <si>
    <t>=NF($K382,"DEBITAMT")</t>
  </si>
  <si>
    <t>=IF($K381="",0,-NF($K381,"CRDTAMNT"))</t>
  </si>
  <si>
    <t>=SUM(R382:S382)</t>
  </si>
  <si>
    <t>=NF($K383,"TRXDATE")</t>
  </si>
  <si>
    <t>=NF($K383,"JRNENTRY")</t>
  </si>
  <si>
    <t>=NF($K383,"ORMSTRNM")</t>
  </si>
  <si>
    <t>=NF($K383,"ORDOCNUM")</t>
  </si>
  <si>
    <t>=NF($K383,"REFRENCE")</t>
  </si>
  <si>
    <t>=NF($K383,"DSCRIPTN")</t>
  </si>
  <si>
    <t>=NF($K383,"DEBITAMT")</t>
  </si>
  <si>
    <t>=IF($K382="",0,-NF($K382,"CRDTAMNT"))</t>
  </si>
  <si>
    <t>=SUM(R383:S383)</t>
  </si>
  <si>
    <t>=NF($K384,"TRXDATE")</t>
  </si>
  <si>
    <t>=NF($K384,"JRNENTRY")</t>
  </si>
  <si>
    <t>=NF($K384,"ORMSTRNM")</t>
  </si>
  <si>
    <t>=NF($K384,"ORDOCNUM")</t>
  </si>
  <si>
    <t>=NF($K384,"REFRENCE")</t>
  </si>
  <si>
    <t>=NF($K384,"DSCRIPTN")</t>
  </si>
  <si>
    <t>=NF($K384,"DEBITAMT")</t>
  </si>
  <si>
    <t>=IF($K383="",0,-NF($K383,"CRDTAMNT"))</t>
  </si>
  <si>
    <t>=SUM(R384:S384)</t>
  </si>
  <si>
    <t>=NF($K385,"TRXDATE")</t>
  </si>
  <si>
    <t>=NF($K385,"JRNENTRY")</t>
  </si>
  <si>
    <t>=NF($K385,"ORMSTRNM")</t>
  </si>
  <si>
    <t>=NF($K385,"ORDOCNUM")</t>
  </si>
  <si>
    <t>=NF($K385,"REFRENCE")</t>
  </si>
  <si>
    <t>=NF($K385,"DSCRIPTN")</t>
  </si>
  <si>
    <t>=NF($K385,"DEBITAMT")</t>
  </si>
  <si>
    <t>=IF($K384="",0,-NF($K384,"CRDTAMNT"))</t>
  </si>
  <si>
    <t>=SUM(R385:S385)</t>
  </si>
  <si>
    <t>=NF($K386,"TRXDATE")</t>
  </si>
  <si>
    <t>=NF($K386,"JRNENTRY")</t>
  </si>
  <si>
    <t>=NF($K386,"ORMSTRNM")</t>
  </si>
  <si>
    <t>=NF($K386,"ORDOCNUM")</t>
  </si>
  <si>
    <t>=NF($K386,"REFRENCE")</t>
  </si>
  <si>
    <t>=NF($K386,"DSCRIPTN")</t>
  </si>
  <si>
    <t>=NF($K386,"DEBITAMT")</t>
  </si>
  <si>
    <t>=IF($K385="",0,-NF($K385,"CRDTAMNT"))</t>
  </si>
  <si>
    <t>=SUM(R386:S386)</t>
  </si>
  <si>
    <t>=NF($K387,"TRXDATE")</t>
  </si>
  <si>
    <t>=NF($K387,"JRNENTRY")</t>
  </si>
  <si>
    <t>=NF($K387,"ORMSTRNM")</t>
  </si>
  <si>
    <t>=NF($K387,"ORDOCNUM")</t>
  </si>
  <si>
    <t>=NF($K387,"REFRENCE")</t>
  </si>
  <si>
    <t>=NF($K387,"DSCRIPTN")</t>
  </si>
  <si>
    <t>=NF($K387,"DEBITAMT")</t>
  </si>
  <si>
    <t>=IF($K386="",0,-NF($K386,"CRDTAMNT"))</t>
  </si>
  <si>
    <t>=SUM(R387:S387)</t>
  </si>
  <si>
    <t>=NF($K388,"TRXDATE")</t>
  </si>
  <si>
    <t>=NF($K388,"JRNENTRY")</t>
  </si>
  <si>
    <t>=NF($K388,"ORMSTRNM")</t>
  </si>
  <si>
    <t>=NF($K388,"ORDOCNUM")</t>
  </si>
  <si>
    <t>=NF($K388,"REFRENCE")</t>
  </si>
  <si>
    <t>=NF($K388,"DSCRIPTN")</t>
  </si>
  <si>
    <t>=NF($K388,"DEBITAMT")</t>
  </si>
  <si>
    <t>=IF($K387="",0,-NF($K387,"CRDTAMNT"))</t>
  </si>
  <si>
    <t>=SUM(R388:S388)</t>
  </si>
  <si>
    <t>=NF($K389,"TRXDATE")</t>
  </si>
  <si>
    <t>=NF($K389,"JRNENTRY")</t>
  </si>
  <si>
    <t>=NF($K389,"ORMSTRNM")</t>
  </si>
  <si>
    <t>=NF($K389,"ORDOCNUM")</t>
  </si>
  <si>
    <t>=NF($K389,"REFRENCE")</t>
  </si>
  <si>
    <t>=NF($K389,"DSCRIPTN")</t>
  </si>
  <si>
    <t>=NF($K389,"DEBITAMT")</t>
  </si>
  <si>
    <t>=IF($K388="",0,-NF($K388,"CRDTAMNT"))</t>
  </si>
  <si>
    <t>=SUM(R389:S389)</t>
  </si>
  <si>
    <t>=NF($K394,"TRXDATE")</t>
  </si>
  <si>
    <t>=NF($K394,"JRNENTRY")</t>
  </si>
  <si>
    <t>=NF($K394,"ORMSTRNM")</t>
  </si>
  <si>
    <t>=NF($K394,"ORDOCNUM")</t>
  </si>
  <si>
    <t>=NF($K394,"REFRENCE")</t>
  </si>
  <si>
    <t>=NF($K394,"DSCRIPTN")</t>
  </si>
  <si>
    <t>=NF($K394,"DEBITAMT")</t>
  </si>
  <si>
    <t>=SUM(R394:S394)</t>
  </si>
  <si>
    <t>=NF($K395,"TRXDATE")</t>
  </si>
  <si>
    <t>=NF($K395,"JRNENTRY")</t>
  </si>
  <si>
    <t>=NF($K395,"ORMSTRNM")</t>
  </si>
  <si>
    <t>=NF($K395,"ORDOCNUM")</t>
  </si>
  <si>
    <t>=NF($K395,"REFRENCE")</t>
  </si>
  <si>
    <t>=NF($K395,"DSCRIPTN")</t>
  </si>
  <si>
    <t>=NF($K395,"DEBITAMT")</t>
  </si>
  <si>
    <t>=IF($K394="",0,-NF($K394,"CRDTAMNT"))</t>
  </si>
  <si>
    <t>=SUM(R395:S395)</t>
  </si>
  <si>
    <t>=NF($K396,"TRXDATE")</t>
  </si>
  <si>
    <t>=NF($K396,"JRNENTRY")</t>
  </si>
  <si>
    <t>=NF($K396,"ORMSTRNM")</t>
  </si>
  <si>
    <t>=NF($K396,"ORDOCNUM")</t>
  </si>
  <si>
    <t>=NF($K396,"REFRENCE")</t>
  </si>
  <si>
    <t>=NF($K396,"DSCRIPTN")</t>
  </si>
  <si>
    <t>=NF($K396,"DEBITAMT")</t>
  </si>
  <si>
    <t>=IF($K395="",0,-NF($K395,"CRDTAMNT"))</t>
  </si>
  <si>
    <t>=SUM(R396:S396)</t>
  </si>
  <si>
    <t>=NF($K397,"TRXDATE")</t>
  </si>
  <si>
    <t>=NF($K397,"JRNENTRY")</t>
  </si>
  <si>
    <t>=NF($K397,"ORMSTRNM")</t>
  </si>
  <si>
    <t>=NF($K397,"ORDOCNUM")</t>
  </si>
  <si>
    <t>=NF($K397,"REFRENCE")</t>
  </si>
  <si>
    <t>=NF($K397,"DSCRIPTN")</t>
  </si>
  <si>
    <t>=NF($K397,"DEBITAMT")</t>
  </si>
  <si>
    <t>=IF($K396="",0,-NF($K396,"CRDTAMNT"))</t>
  </si>
  <si>
    <t>=SUM(R397:S397)</t>
  </si>
  <si>
    <t>=NF($K398,"TRXDATE")</t>
  </si>
  <si>
    <t>=NF($K398,"JRNENTRY")</t>
  </si>
  <si>
    <t>=NF($K398,"ORMSTRNM")</t>
  </si>
  <si>
    <t>=NF($K398,"ORDOCNUM")</t>
  </si>
  <si>
    <t>=NF($K398,"REFRENCE")</t>
  </si>
  <si>
    <t>=NF($K398,"DSCRIPTN")</t>
  </si>
  <si>
    <t>=NF($K398,"DEBITAMT")</t>
  </si>
  <si>
    <t>=IF($K397="",0,-NF($K397,"CRDTAMNT"))</t>
  </si>
  <si>
    <t>=SUM(R398:S398)</t>
  </si>
  <si>
    <t>=NF($K406,"TRXDATE")</t>
  </si>
  <si>
    <t>=NF($K406,"JRNENTRY")</t>
  </si>
  <si>
    <t>=NF($K406,"ORMSTRNM")</t>
  </si>
  <si>
    <t>=NF($K406,"ORDOCNUM")</t>
  </si>
  <si>
    <t>=NF($K406,"REFRENCE")</t>
  </si>
  <si>
    <t>=NF($K406,"DSCRIPTN")</t>
  </si>
  <si>
    <t>=NF($K406,"DEBITAMT")</t>
  </si>
  <si>
    <t>=SUM(R406:S406)</t>
  </si>
  <si>
    <t>=NF($K407,"TRXDATE")</t>
  </si>
  <si>
    <t>=NF($K407,"JRNENTRY")</t>
  </si>
  <si>
    <t>=NF($K407,"ORMSTRNM")</t>
  </si>
  <si>
    <t>=NF($K407,"ORDOCNUM")</t>
  </si>
  <si>
    <t>=NF($K407,"REFRENCE")</t>
  </si>
  <si>
    <t>=NF($K407,"DSCRIPTN")</t>
  </si>
  <si>
    <t>=NF($K407,"DEBITAMT")</t>
  </si>
  <si>
    <t>=IF($K406="",0,-NF($K406,"CRDTAMNT"))</t>
  </si>
  <si>
    <t>=SUM(R407:S407)</t>
  </si>
  <si>
    <t>=NF($K408,"TRXDATE")</t>
  </si>
  <si>
    <t>=NF($K408,"JRNENTRY")</t>
  </si>
  <si>
    <t>=NF($K408,"ORMSTRNM")</t>
  </si>
  <si>
    <t>=NF($K408,"ORDOCNUM")</t>
  </si>
  <si>
    <t>=NF($K408,"REFRENCE")</t>
  </si>
  <si>
    <t>=NF($K408,"DSCRIPTN")</t>
  </si>
  <si>
    <t>=NF($K408,"DEBITAMT")</t>
  </si>
  <si>
    <t>=IF($K407="",0,-NF($K407,"CRDTAMNT"))</t>
  </si>
  <si>
    <t>=SUM(R408:S408)</t>
  </si>
  <si>
    <t>=NF($K409,"TRXDATE")</t>
  </si>
  <si>
    <t>=NF($K409,"JRNENTRY")</t>
  </si>
  <si>
    <t>=NF($K409,"ORMSTRNM")</t>
  </si>
  <si>
    <t>=NF($K409,"ORDOCNUM")</t>
  </si>
  <si>
    <t>=NF($K409,"REFRENCE")</t>
  </si>
  <si>
    <t>=NF($K409,"DSCRIPTN")</t>
  </si>
  <si>
    <t>=NF($K409,"DEBITAMT")</t>
  </si>
  <si>
    <t>=IF($K408="",0,-NF($K408,"CRDTAMNT"))</t>
  </si>
  <si>
    <t>=SUM(R409:S409)</t>
  </si>
  <si>
    <t>=NF($K415,"TRXDATE")</t>
  </si>
  <si>
    <t>=NF($K415,"JRNENTRY")</t>
  </si>
  <si>
    <t>=NF($K415,"ORMSTRNM")</t>
  </si>
  <si>
    <t>=NF($K415,"ORDOCNUM")</t>
  </si>
  <si>
    <t>=NF($K415,"REFRENCE")</t>
  </si>
  <si>
    <t>=NF($K415,"DSCRIPTN")</t>
  </si>
  <si>
    <t>=NF($K415,"DEBITAMT")</t>
  </si>
  <si>
    <t>=IF($K415="",0,-NF($K415,"CRDTAMNT"))</t>
  </si>
  <si>
    <t>=SUM(R415:S415)</t>
  </si>
  <si>
    <t>=NF($K416,"TRXDATE")</t>
  </si>
  <si>
    <t>=NF($K416,"JRNENTRY")</t>
  </si>
  <si>
    <t>=NF($K416,"ORMSTRNM")</t>
  </si>
  <si>
    <t>=NF($K416,"ORDOCNUM")</t>
  </si>
  <si>
    <t>=NF($K416,"REFRENCE")</t>
  </si>
  <si>
    <t>=NF($K416,"DSCRIPTN")</t>
  </si>
  <si>
    <t>=NF($K416,"DEBITAMT")</t>
  </si>
  <si>
    <t>=SUM(R416:S416)</t>
  </si>
  <si>
    <t>=NF($K417,"TRXDATE")</t>
  </si>
  <si>
    <t>=NF($K417,"JRNENTRY")</t>
  </si>
  <si>
    <t>=NF($K417,"ORMSTRNM")</t>
  </si>
  <si>
    <t>=NF($K417,"ORDOCNUM")</t>
  </si>
  <si>
    <t>=NF($K417,"REFRENCE")</t>
  </si>
  <si>
    <t>=NF($K417,"DSCRIPTN")</t>
  </si>
  <si>
    <t>=NF($K417,"DEBITAMT")</t>
  </si>
  <si>
    <t>=IF($K416="",0,-NF($K416,"CRDTAMNT"))</t>
  </si>
  <si>
    <t>=SUM(R417:S417)</t>
  </si>
  <si>
    <t>=NF($K418,"TRXDATE")</t>
  </si>
  <si>
    <t>=NF($K418,"JRNENTRY")</t>
  </si>
  <si>
    <t>=NF($K418,"ORMSTRNM")</t>
  </si>
  <si>
    <t>=NF($K418,"ORDOCNUM")</t>
  </si>
  <si>
    <t>=NF($K418,"REFRENCE")</t>
  </si>
  <si>
    <t>=NF($K418,"DSCRIPTN")</t>
  </si>
  <si>
    <t>=NF($K418,"DEBITAMT")</t>
  </si>
  <si>
    <t>=IF($K417="",0,-NF($K417,"CRDTAMNT"))</t>
  </si>
  <si>
    <t>=SUM(R418:S418)</t>
  </si>
  <si>
    <t>=NF($K419,"TRXDATE")</t>
  </si>
  <si>
    <t>=NF($K419,"JRNENTRY")</t>
  </si>
  <si>
    <t>=NF($K419,"ORMSTRNM")</t>
  </si>
  <si>
    <t>=NF($K419,"ORDOCNUM")</t>
  </si>
  <si>
    <t>=NF($K419,"REFRENCE")</t>
  </si>
  <si>
    <t>=NF($K419,"DSCRIPTN")</t>
  </si>
  <si>
    <t>=NF($K419,"DEBITAMT")</t>
  </si>
  <si>
    <t>=IF($K418="",0,-NF($K418,"CRDTAMNT"))</t>
  </si>
  <si>
    <t>=SUM(R419:S419)</t>
  </si>
  <si>
    <t>=NF($K420,"TRXDATE")</t>
  </si>
  <si>
    <t>=NF($K420,"JRNENTRY")</t>
  </si>
  <si>
    <t>=NF($K420,"ORMSTRNM")</t>
  </si>
  <si>
    <t>=NF($K420,"ORDOCNUM")</t>
  </si>
  <si>
    <t>=NF($K420,"REFRENCE")</t>
  </si>
  <si>
    <t>=NF($K420,"DSCRIPTN")</t>
  </si>
  <si>
    <t>=NF($K420,"DEBITAMT")</t>
  </si>
  <si>
    <t>=IF($K419="",0,-NF($K419,"CRDTAMNT"))</t>
  </si>
  <si>
    <t>=SUM(R420:S420)</t>
  </si>
  <si>
    <t>=NF($K421,"TRXDATE")</t>
  </si>
  <si>
    <t>=NF($K421,"JRNENTRY")</t>
  </si>
  <si>
    <t>=NF($K421,"ORMSTRNM")</t>
  </si>
  <si>
    <t>=NF($K421,"ORDOCNUM")</t>
  </si>
  <si>
    <t>=NF($K421,"REFRENCE")</t>
  </si>
  <si>
    <t>=NF($K421,"DSCRIPTN")</t>
  </si>
  <si>
    <t>=NF($K421,"DEBITAMT")</t>
  </si>
  <si>
    <t>=IF($K420="",0,-NF($K420,"CRDTAMNT"))</t>
  </si>
  <si>
    <t>=SUM(R421:S421)</t>
  </si>
  <si>
    <t>=NF($K422,"TRXDATE")</t>
  </si>
  <si>
    <t>=NF($K422,"JRNENTRY")</t>
  </si>
  <si>
    <t>=NF($K422,"ORMSTRNM")</t>
  </si>
  <si>
    <t>=NF($K422,"ORDOCNUM")</t>
  </si>
  <si>
    <t>=NF($K422,"REFRENCE")</t>
  </si>
  <si>
    <t>=NF($K422,"DSCRIPTN")</t>
  </si>
  <si>
    <t>=NF($K422,"DEBITAMT")</t>
  </si>
  <si>
    <t>=IF($K421="",0,-NF($K421,"CRDTAMNT"))</t>
  </si>
  <si>
    <t>=SUM(R422:S422)</t>
  </si>
  <si>
    <t>=NF($K427,"TRXDATE")</t>
  </si>
  <si>
    <t>=NF($K427,"JRNENTRY")</t>
  </si>
  <si>
    <t>=NF($K427,"ORMSTRNM")</t>
  </si>
  <si>
    <t>=NF($K427,"ORDOCNUM")</t>
  </si>
  <si>
    <t>=NF($K427,"REFRENCE")</t>
  </si>
  <si>
    <t>=NF($K427,"DSCRIPTN")</t>
  </si>
  <si>
    <t>=NF($K427,"DEBITAMT")</t>
  </si>
  <si>
    <t>=IF($K427="",0,-NF($K427,"CRDTAMNT"))</t>
  </si>
  <si>
    <t>=SUM(R427:S427)</t>
  </si>
  <si>
    <t>=NF($K428,"TRXDATE")</t>
  </si>
  <si>
    <t>=NF($K428,"JRNENTRY")</t>
  </si>
  <si>
    <t>=NF($K428,"ORMSTRNM")</t>
  </si>
  <si>
    <t>=NF($K428,"ORDOCNUM")</t>
  </si>
  <si>
    <t>=NF($K428,"REFRENCE")</t>
  </si>
  <si>
    <t>=NF($K428,"DSCRIPTN")</t>
  </si>
  <si>
    <t>=NF($K428,"DEBITAMT")</t>
  </si>
  <si>
    <t>=SUM(R428:S428)</t>
  </si>
  <si>
    <t>=NF($K429,"TRXDATE")</t>
  </si>
  <si>
    <t>=NF($K429,"JRNENTRY")</t>
  </si>
  <si>
    <t>=NF($K429,"ORMSTRNM")</t>
  </si>
  <si>
    <t>=NF($K429,"ORDOCNUM")</t>
  </si>
  <si>
    <t>=NF($K429,"REFRENCE")</t>
  </si>
  <si>
    <t>=NF($K429,"DSCRIPTN")</t>
  </si>
  <si>
    <t>=NF($K429,"DEBITAMT")</t>
  </si>
  <si>
    <t>=IF($K428="",0,-NF($K428,"CRDTAMNT"))</t>
  </si>
  <si>
    <t>=SUM(R429:S429)</t>
  </si>
  <si>
    <t>=NF($K430,"TRXDATE")</t>
  </si>
  <si>
    <t>=NF($K430,"JRNENTRY")</t>
  </si>
  <si>
    <t>=NF($K430,"ORMSTRNM")</t>
  </si>
  <si>
    <t>=NF($K430,"ORDOCNUM")</t>
  </si>
  <si>
    <t>=NF($K430,"REFRENCE")</t>
  </si>
  <si>
    <t>=NF($K430,"DSCRIPTN")</t>
  </si>
  <si>
    <t>=NF($K430,"DEBITAMT")</t>
  </si>
  <si>
    <t>=IF($K429="",0,-NF($K429,"CRDTAMNT"))</t>
  </si>
  <si>
    <t>=SUM(R430:S430)</t>
  </si>
  <si>
    <t>=NF($K431,"TRXDATE")</t>
  </si>
  <si>
    <t>=NF($K431,"JRNENTRY")</t>
  </si>
  <si>
    <t>=NF($K431,"ORMSTRNM")</t>
  </si>
  <si>
    <t>=NF($K431,"ORDOCNUM")</t>
  </si>
  <si>
    <t>=NF($K431,"REFRENCE")</t>
  </si>
  <si>
    <t>=NF($K431,"DSCRIPTN")</t>
  </si>
  <si>
    <t>=NF($K431,"DEBITAMT")</t>
  </si>
  <si>
    <t>=IF($K430="",0,-NF($K430,"CRDTAMNT"))</t>
  </si>
  <si>
    <t>=SUM(R431:S431)</t>
  </si>
  <si>
    <t>=NF($K432,"TRXDATE")</t>
  </si>
  <si>
    <t>=NF($K432,"JRNENTRY")</t>
  </si>
  <si>
    <t>=NF($K432,"ORMSTRNM")</t>
  </si>
  <si>
    <t>=NF($K432,"ORDOCNUM")</t>
  </si>
  <si>
    <t>=NF($K432,"REFRENCE")</t>
  </si>
  <si>
    <t>=NF($K432,"DSCRIPTN")</t>
  </si>
  <si>
    <t>=NF($K432,"DEBITAMT")</t>
  </si>
  <si>
    <t>=IF($K431="",0,-NF($K431,"CRDTAMNT"))</t>
  </si>
  <si>
    <t>=SUM(R432:S432)</t>
  </si>
  <si>
    <t>=NF($K433,"TRXDATE")</t>
  </si>
  <si>
    <t>=NF($K433,"JRNENTRY")</t>
  </si>
  <si>
    <t>=NF($K433,"ORMSTRNM")</t>
  </si>
  <si>
    <t>=NF($K433,"ORDOCNUM")</t>
  </si>
  <si>
    <t>=NF($K433,"REFRENCE")</t>
  </si>
  <si>
    <t>=NF($K433,"DSCRIPTN")</t>
  </si>
  <si>
    <t>=NF($K433,"DEBITAMT")</t>
  </si>
  <si>
    <t>=IF($K432="",0,-NF($K432,"CRDTAMNT"))</t>
  </si>
  <si>
    <t>=SUM(R433:S433)</t>
  </si>
  <si>
    <t>=NF($K434,"TRXDATE")</t>
  </si>
  <si>
    <t>=NF($K434,"JRNENTRY")</t>
  </si>
  <si>
    <t>=NF($K434,"ORMSTRNM")</t>
  </si>
  <si>
    <t>=NF($K434,"ORDOCNUM")</t>
  </si>
  <si>
    <t>=NF($K434,"REFRENCE")</t>
  </si>
  <si>
    <t>=NF($K434,"DSCRIPTN")</t>
  </si>
  <si>
    <t>=NF($K434,"DEBITAMT")</t>
  </si>
  <si>
    <t>=IF($K433="",0,-NF($K433,"CRDTAMNT"))</t>
  </si>
  <si>
    <t>=SUM(R434:S434)</t>
  </si>
  <si>
    <t>=NF($K435,"TRXDATE")</t>
  </si>
  <si>
    <t>=NF($K435,"JRNENTRY")</t>
  </si>
  <si>
    <t>=NF($K435,"ORMSTRNM")</t>
  </si>
  <si>
    <t>=NF($K435,"ORDOCNUM")</t>
  </si>
  <si>
    <t>=NF($K435,"REFRENCE")</t>
  </si>
  <si>
    <t>=NF($K435,"DSCRIPTN")</t>
  </si>
  <si>
    <t>=NF($K435,"DEBITAMT")</t>
  </si>
  <si>
    <t>=IF($K434="",0,-NF($K434,"CRDTAMNT"))</t>
  </si>
  <si>
    <t>=SUM(R435:S435)</t>
  </si>
  <si>
    <t>=NF($K436,"TRXDATE")</t>
  </si>
  <si>
    <t>=NF($K436,"JRNENTRY")</t>
  </si>
  <si>
    <t>=NF($K436,"ORMSTRNM")</t>
  </si>
  <si>
    <t>=NF($K436,"ORDOCNUM")</t>
  </si>
  <si>
    <t>=NF($K436,"REFRENCE")</t>
  </si>
  <si>
    <t>=NF($K436,"DSCRIPTN")</t>
  </si>
  <si>
    <t>=NF($K436,"DEBITAMT")</t>
  </si>
  <si>
    <t>=IF($K435="",0,-NF($K435,"CRDTAMNT"))</t>
  </si>
  <si>
    <t>=SUM(R436:S436)</t>
  </si>
  <si>
    <t>=NF($K437,"TRXDATE")</t>
  </si>
  <si>
    <t>=NF($K437,"JRNENTRY")</t>
  </si>
  <si>
    <t>=NF($K437,"ORMSTRNM")</t>
  </si>
  <si>
    <t>=NF($K437,"ORDOCNUM")</t>
  </si>
  <si>
    <t>=NF($K437,"REFRENCE")</t>
  </si>
  <si>
    <t>=NF($K437,"DSCRIPTN")</t>
  </si>
  <si>
    <t>=NF($K437,"DEBITAMT")</t>
  </si>
  <si>
    <t>=IF($K436="",0,-NF($K436,"CRDTAMNT"))</t>
  </si>
  <si>
    <t>=SUM(R437:S437)</t>
  </si>
  <si>
    <t>=NF($K438,"TRXDATE")</t>
  </si>
  <si>
    <t>=NF($K438,"JRNENTRY")</t>
  </si>
  <si>
    <t>=NF($K438,"ORMSTRNM")</t>
  </si>
  <si>
    <t>=NF($K438,"ORDOCNUM")</t>
  </si>
  <si>
    <t>=NF($K438,"REFRENCE")</t>
  </si>
  <si>
    <t>=NF($K438,"DSCRIPTN")</t>
  </si>
  <si>
    <t>=NF($K438,"DEBITAMT")</t>
  </si>
  <si>
    <t>=IF($K437="",0,-NF($K437,"CRDTAMNT"))</t>
  </si>
  <si>
    <t>=SUM(R438:S438)</t>
  </si>
  <si>
    <t>=NF($K439,"TRXDATE")</t>
  </si>
  <si>
    <t>=NF($K439,"JRNENTRY")</t>
  </si>
  <si>
    <t>=NF($K439,"ORMSTRNM")</t>
  </si>
  <si>
    <t>=NF($K439,"ORDOCNUM")</t>
  </si>
  <si>
    <t>=NF($K439,"REFRENCE")</t>
  </si>
  <si>
    <t>=NF($K439,"DSCRIPTN")</t>
  </si>
  <si>
    <t>=NF($K439,"DEBITAMT")</t>
  </si>
  <si>
    <t>=IF($K438="",0,-NF($K438,"CRDTAMNT"))</t>
  </si>
  <si>
    <t>=SUM(R439:S439)</t>
  </si>
  <si>
    <t>=NF($K440,"TRXDATE")</t>
  </si>
  <si>
    <t>=NF($K440,"JRNENTRY")</t>
  </si>
  <si>
    <t>=NF($K440,"ORMSTRNM")</t>
  </si>
  <si>
    <t>=NF($K440,"ORDOCNUM")</t>
  </si>
  <si>
    <t>=NF($K440,"REFRENCE")</t>
  </si>
  <si>
    <t>=NF($K440,"DSCRIPTN")</t>
  </si>
  <si>
    <t>=NF($K440,"DEBITAMT")</t>
  </si>
  <si>
    <t>=IF($K439="",0,-NF($K439,"CRDTAMNT"))</t>
  </si>
  <si>
    <t>=SUM(R440:S440)</t>
  </si>
  <si>
    <t>=NF($K441,"TRXDATE")</t>
  </si>
  <si>
    <t>=NF($K441,"JRNENTRY")</t>
  </si>
  <si>
    <t>=NF($K441,"ORMSTRNM")</t>
  </si>
  <si>
    <t>=NF($K441,"ORDOCNUM")</t>
  </si>
  <si>
    <t>=NF($K441,"REFRENCE")</t>
  </si>
  <si>
    <t>=NF($K441,"DSCRIPTN")</t>
  </si>
  <si>
    <t>=NF($K441,"DEBITAMT")</t>
  </si>
  <si>
    <t>=IF($K440="",0,-NF($K440,"CRDTAMNT"))</t>
  </si>
  <si>
    <t>=SUM(R441:S441)</t>
  </si>
  <si>
    <t>=NF($K442,"TRXDATE")</t>
  </si>
  <si>
    <t>=NF($K442,"JRNENTRY")</t>
  </si>
  <si>
    <t>=NF($K442,"ORMSTRNM")</t>
  </si>
  <si>
    <t>=NF($K442,"ORDOCNUM")</t>
  </si>
  <si>
    <t>=NF($K442,"REFRENCE")</t>
  </si>
  <si>
    <t>=NF($K442,"DSCRIPTN")</t>
  </si>
  <si>
    <t>=NF($K442,"DEBITAMT")</t>
  </si>
  <si>
    <t>=IF($K441="",0,-NF($K441,"CRDTAMNT"))</t>
  </si>
  <si>
    <t>=SUM(R442:S442)</t>
  </si>
  <si>
    <t>=NF($K443,"TRXDATE")</t>
  </si>
  <si>
    <t>=NF($K443,"JRNENTRY")</t>
  </si>
  <si>
    <t>=NF($K443,"ORMSTRNM")</t>
  </si>
  <si>
    <t>=NF($K443,"ORDOCNUM")</t>
  </si>
  <si>
    <t>=NF($K443,"REFRENCE")</t>
  </si>
  <si>
    <t>=NF($K443,"DSCRIPTN")</t>
  </si>
  <si>
    <t>=NF($K443,"DEBITAMT")</t>
  </si>
  <si>
    <t>=IF($K442="",0,-NF($K442,"CRDTAMNT"))</t>
  </si>
  <si>
    <t>=SUM(R443:S443)</t>
  </si>
  <si>
    <t>=NF($K444,"TRXDATE")</t>
  </si>
  <si>
    <t>=NF($K444,"JRNENTRY")</t>
  </si>
  <si>
    <t>=NF($K444,"ORMSTRNM")</t>
  </si>
  <si>
    <t>=NF($K444,"ORDOCNUM")</t>
  </si>
  <si>
    <t>=NF($K444,"REFRENCE")</t>
  </si>
  <si>
    <t>=NF($K444,"DSCRIPTN")</t>
  </si>
  <si>
    <t>=NF($K444,"DEBITAMT")</t>
  </si>
  <si>
    <t>=IF($K443="",0,-NF($K443,"CRDTAMNT"))</t>
  </si>
  <si>
    <t>=SUM(R444:S444)</t>
  </si>
  <si>
    <t>=NF($K445,"TRXDATE")</t>
  </si>
  <si>
    <t>=NF($K445,"JRNENTRY")</t>
  </si>
  <si>
    <t>=NF($K445,"ORMSTRNM")</t>
  </si>
  <si>
    <t>=NF($K445,"ORDOCNUM")</t>
  </si>
  <si>
    <t>=NF($K445,"REFRENCE")</t>
  </si>
  <si>
    <t>=NF($K445,"DSCRIPTN")</t>
  </si>
  <si>
    <t>=NF($K445,"DEBITAMT")</t>
  </si>
  <si>
    <t>=IF($K444="",0,-NF($K444,"CRDTAMNT"))</t>
  </si>
  <si>
    <t>=SUM(R445:S445)</t>
  </si>
  <si>
    <t>=NF($K446,"TRXDATE")</t>
  </si>
  <si>
    <t>=NF($K446,"JRNENTRY")</t>
  </si>
  <si>
    <t>=NF($K446,"ORMSTRNM")</t>
  </si>
  <si>
    <t>=NF($K446,"ORDOCNUM")</t>
  </si>
  <si>
    <t>=NF($K446,"REFRENCE")</t>
  </si>
  <si>
    <t>=NF($K446,"DSCRIPTN")</t>
  </si>
  <si>
    <t>=NF($K446,"DEBITAMT")</t>
  </si>
  <si>
    <t>=IF($K445="",0,-NF($K445,"CRDTAMNT"))</t>
  </si>
  <si>
    <t>=SUM(R446:S446)</t>
  </si>
  <si>
    <t>=NF($K447,"TRXDATE")</t>
  </si>
  <si>
    <t>=NF($K447,"JRNENTRY")</t>
  </si>
  <si>
    <t>=NF($K447,"ORMSTRNM")</t>
  </si>
  <si>
    <t>=NF($K447,"ORDOCNUM")</t>
  </si>
  <si>
    <t>=NF($K447,"REFRENCE")</t>
  </si>
  <si>
    <t>=NF($K447,"DSCRIPTN")</t>
  </si>
  <si>
    <t>=NF($K447,"DEBITAMT")</t>
  </si>
  <si>
    <t>=IF($K446="",0,-NF($K446,"CRDTAMNT"))</t>
  </si>
  <si>
    <t>=SUM(R447:S447)</t>
  </si>
  <si>
    <t>=NF($K448,"TRXDATE")</t>
  </si>
  <si>
    <t>=NF($K448,"JRNENTRY")</t>
  </si>
  <si>
    <t>=NF($K448,"ORMSTRNM")</t>
  </si>
  <si>
    <t>=NF($K448,"ORDOCNUM")</t>
  </si>
  <si>
    <t>=NF($K448,"REFRENCE")</t>
  </si>
  <si>
    <t>=NF($K448,"DSCRIPTN")</t>
  </si>
  <si>
    <t>=NF($K448,"DEBITAMT")</t>
  </si>
  <si>
    <t>=IF($K447="",0,-NF($K447,"CRDTAMNT"))</t>
  </si>
  <si>
    <t>=SUM(R448:S448)</t>
  </si>
  <si>
    <t>=NF($K449,"TRXDATE")</t>
  </si>
  <si>
    <t>=NF($K449,"JRNENTRY")</t>
  </si>
  <si>
    <t>=NF($K449,"ORMSTRNM")</t>
  </si>
  <si>
    <t>=NF($K449,"ORDOCNUM")</t>
  </si>
  <si>
    <t>=NF($K449,"REFRENCE")</t>
  </si>
  <si>
    <t>=NF($K449,"DSCRIPTN")</t>
  </si>
  <si>
    <t>=NF($K449,"DEBITAMT")</t>
  </si>
  <si>
    <t>=IF($K448="",0,-NF($K448,"CRDTAMNT"))</t>
  </si>
  <si>
    <t>=SUM(R449:S449)</t>
  </si>
  <si>
    <t>=NF($K450,"TRXDATE")</t>
  </si>
  <si>
    <t>=NF($K450,"JRNENTRY")</t>
  </si>
  <si>
    <t>=NF($K450,"ORMSTRNM")</t>
  </si>
  <si>
    <t>=NF($K450,"ORDOCNUM")</t>
  </si>
  <si>
    <t>=NF($K450,"REFRENCE")</t>
  </si>
  <si>
    <t>=NF($K450,"DSCRIPTN")</t>
  </si>
  <si>
    <t>=NF($K450,"DEBITAMT")</t>
  </si>
  <si>
    <t>=IF($K449="",0,-NF($K449,"CRDTAMNT"))</t>
  </si>
  <si>
    <t>=SUM(R450:S450)</t>
  </si>
  <si>
    <t>=NF($K455,"TRXDATE")</t>
  </si>
  <si>
    <t>=NF($K455,"JRNENTRY")</t>
  </si>
  <si>
    <t>=NF($K455,"ORMSTRNM")</t>
  </si>
  <si>
    <t>=NF($K455,"ORDOCNUM")</t>
  </si>
  <si>
    <t>=NF($K455,"REFRENCE")</t>
  </si>
  <si>
    <t>=NF($K455,"DSCRIPTN")</t>
  </si>
  <si>
    <t>=NF($K455,"DEBITAMT")</t>
  </si>
  <si>
    <t>=SUM(R455:S455)</t>
  </si>
  <si>
    <t>=NF($K456,"TRXDATE")</t>
  </si>
  <si>
    <t>=NF($K456,"JRNENTRY")</t>
  </si>
  <si>
    <t>=NF($K456,"ORMSTRNM")</t>
  </si>
  <si>
    <t>=NF($K456,"ORDOCNUM")</t>
  </si>
  <si>
    <t>=NF($K456,"REFRENCE")</t>
  </si>
  <si>
    <t>=NF($K456,"DSCRIPTN")</t>
  </si>
  <si>
    <t>=NF($K456,"DEBITAMT")</t>
  </si>
  <si>
    <t>=IF($K455="",0,-NF($K455,"CRDTAMNT"))</t>
  </si>
  <si>
    <t>=SUM(R456:S456)</t>
  </si>
  <si>
    <t>=NF($K457,"TRXDATE")</t>
  </si>
  <si>
    <t>=NF($K457,"JRNENTRY")</t>
  </si>
  <si>
    <t>=NF($K457,"ORMSTRNM")</t>
  </si>
  <si>
    <t>=NF($K457,"ORDOCNUM")</t>
  </si>
  <si>
    <t>=NF($K457,"REFRENCE")</t>
  </si>
  <si>
    <t>=NF($K457,"DSCRIPTN")</t>
  </si>
  <si>
    <t>=NF($K457,"DEBITAMT")</t>
  </si>
  <si>
    <t>=IF($K456="",0,-NF($K456,"CRDTAMNT"))</t>
  </si>
  <si>
    <t>=SUM(R457:S457)</t>
  </si>
  <si>
    <t>=NF($K458,"TRXDATE")</t>
  </si>
  <si>
    <t>=NF($K458,"JRNENTRY")</t>
  </si>
  <si>
    <t>=NF($K458,"ORMSTRNM")</t>
  </si>
  <si>
    <t>=NF($K458,"ORDOCNUM")</t>
  </si>
  <si>
    <t>=NF($K458,"REFRENCE")</t>
  </si>
  <si>
    <t>=NF($K458,"DSCRIPTN")</t>
  </si>
  <si>
    <t>=NF($K458,"DEBITAMT")</t>
  </si>
  <si>
    <t>=IF($K457="",0,-NF($K457,"CRDTAMNT"))</t>
  </si>
  <si>
    <t>=SUM(R458:S458)</t>
  </si>
  <si>
    <t>=NF($K459,"TRXDATE")</t>
  </si>
  <si>
    <t>=NF($K459,"JRNENTRY")</t>
  </si>
  <si>
    <t>=NF($K459,"ORMSTRNM")</t>
  </si>
  <si>
    <t>=NF($K459,"ORDOCNUM")</t>
  </si>
  <si>
    <t>=NF($K459,"REFRENCE")</t>
  </si>
  <si>
    <t>=NF($K459,"DSCRIPTN")</t>
  </si>
  <si>
    <t>=NF($K459,"DEBITAMT")</t>
  </si>
  <si>
    <t>=IF($K458="",0,-NF($K458,"CRDTAMNT"))</t>
  </si>
  <si>
    <t>=SUM(R459:S459)</t>
  </si>
  <si>
    <t>=NF($K460,"TRXDATE")</t>
  </si>
  <si>
    <t>=NF($K460,"JRNENTRY")</t>
  </si>
  <si>
    <t>=NF($K460,"ORMSTRNM")</t>
  </si>
  <si>
    <t>=NF($K460,"ORDOCNUM")</t>
  </si>
  <si>
    <t>=NF($K460,"REFRENCE")</t>
  </si>
  <si>
    <t>=NF($K460,"DSCRIPTN")</t>
  </si>
  <si>
    <t>=NF($K460,"DEBITAMT")</t>
  </si>
  <si>
    <t>=IF($K459="",0,-NF($K459,"CRDTAMNT"))</t>
  </si>
  <si>
    <t>=SUM(R460:S460)</t>
  </si>
  <si>
    <t>=NF($K461,"TRXDATE")</t>
  </si>
  <si>
    <t>=NF($K461,"JRNENTRY")</t>
  </si>
  <si>
    <t>=NF($K461,"ORMSTRNM")</t>
  </si>
  <si>
    <t>=NF($K461,"ORDOCNUM")</t>
  </si>
  <si>
    <t>=NF($K461,"REFRENCE")</t>
  </si>
  <si>
    <t>=NF($K461,"DSCRIPTN")</t>
  </si>
  <si>
    <t>=NF($K461,"DEBITAMT")</t>
  </si>
  <si>
    <t>=IF($K460="",0,-NF($K460,"CRDTAMNT"))</t>
  </si>
  <si>
    <t>=SUM(R461:S461)</t>
  </si>
  <si>
    <t>=NF($K462,"TRXDATE")</t>
  </si>
  <si>
    <t>=NF($K462,"JRNENTRY")</t>
  </si>
  <si>
    <t>=NF($K462,"ORMSTRNM")</t>
  </si>
  <si>
    <t>=NF($K462,"ORDOCNUM")</t>
  </si>
  <si>
    <t>=NF($K462,"REFRENCE")</t>
  </si>
  <si>
    <t>=NF($K462,"DSCRIPTN")</t>
  </si>
  <si>
    <t>=NF($K462,"DEBITAMT")</t>
  </si>
  <si>
    <t>=IF($K461="",0,-NF($K461,"CRDTAMNT"))</t>
  </si>
  <si>
    <t>=SUM(R462:S462)</t>
  </si>
  <si>
    <t>=NF($K463,"TRXDATE")</t>
  </si>
  <si>
    <t>=NF($K463,"JRNENTRY")</t>
  </si>
  <si>
    <t>=NF($K463,"ORMSTRNM")</t>
  </si>
  <si>
    <t>=NF($K463,"ORDOCNUM")</t>
  </si>
  <si>
    <t>=NF($K463,"REFRENCE")</t>
  </si>
  <si>
    <t>=NF($K463,"DSCRIPTN")</t>
  </si>
  <si>
    <t>=NF($K463,"DEBITAMT")</t>
  </si>
  <si>
    <t>=IF($K462="",0,-NF($K462,"CRDTAMNT"))</t>
  </si>
  <si>
    <t>=SUM(R463:S463)</t>
  </si>
  <si>
    <t>=NF($K464,"TRXDATE")</t>
  </si>
  <si>
    <t>=NF($K464,"JRNENTRY")</t>
  </si>
  <si>
    <t>=NF($K464,"ORMSTRNM")</t>
  </si>
  <si>
    <t>=NF($K464,"ORDOCNUM")</t>
  </si>
  <si>
    <t>=NF($K464,"REFRENCE")</t>
  </si>
  <si>
    <t>=NF($K464,"DSCRIPTN")</t>
  </si>
  <si>
    <t>=NF($K464,"DEBITAMT")</t>
  </si>
  <si>
    <t>=IF($K463="",0,-NF($K463,"CRDTAMNT"))</t>
  </si>
  <si>
    <t>=SUM(R464:S464)</t>
  </si>
  <si>
    <t>=NF($K465,"TRXDATE")</t>
  </si>
  <si>
    <t>=NF($K465,"JRNENTRY")</t>
  </si>
  <si>
    <t>=NF($K465,"ORMSTRNM")</t>
  </si>
  <si>
    <t>=NF($K465,"ORDOCNUM")</t>
  </si>
  <si>
    <t>=NF($K465,"REFRENCE")</t>
  </si>
  <si>
    <t>=NF($K465,"DSCRIPTN")</t>
  </si>
  <si>
    <t>=NF($K465,"DEBITAMT")</t>
  </si>
  <si>
    <t>=IF($K464="",0,-NF($K464,"CRDTAMNT"))</t>
  </si>
  <si>
    <t>=SUM(R465:S465)</t>
  </si>
  <si>
    <t>=NF($K466,"TRXDATE")</t>
  </si>
  <si>
    <t>=NF($K466,"JRNENTRY")</t>
  </si>
  <si>
    <t>=NF($K466,"ORMSTRNM")</t>
  </si>
  <si>
    <t>=NF($K466,"ORDOCNUM")</t>
  </si>
  <si>
    <t>=NF($K466,"REFRENCE")</t>
  </si>
  <si>
    <t>=NF($K466,"DSCRIPTN")</t>
  </si>
  <si>
    <t>=NF($K466,"DEBITAMT")</t>
  </si>
  <si>
    <t>=IF($K465="",0,-NF($K465,"CRDTAMNT"))</t>
  </si>
  <si>
    <t>=SUM(R466:S466)</t>
  </si>
  <si>
    <t>=NF($K467,"TRXDATE")</t>
  </si>
  <si>
    <t>=NF($K467,"JRNENTRY")</t>
  </si>
  <si>
    <t>=NF($K467,"ORMSTRNM")</t>
  </si>
  <si>
    <t>=NF($K467,"ORDOCNUM")</t>
  </si>
  <si>
    <t>=NF($K467,"REFRENCE")</t>
  </si>
  <si>
    <t>=NF($K467,"DSCRIPTN")</t>
  </si>
  <si>
    <t>=NF($K467,"DEBITAMT")</t>
  </si>
  <si>
    <t>=IF($K466="",0,-NF($K466,"CRDTAMNT"))</t>
  </si>
  <si>
    <t>=SUM(R467:S467)</t>
  </si>
  <si>
    <t>=NF($K468,"TRXDATE")</t>
  </si>
  <si>
    <t>=NF($K468,"JRNENTRY")</t>
  </si>
  <si>
    <t>=NF($K468,"ORMSTRNM")</t>
  </si>
  <si>
    <t>=NF($K468,"ORDOCNUM")</t>
  </si>
  <si>
    <t>=NF($K468,"REFRENCE")</t>
  </si>
  <si>
    <t>=NF($K468,"DSCRIPTN")</t>
  </si>
  <si>
    <t>=NF($K468,"DEBITAMT")</t>
  </si>
  <si>
    <t>=IF($K467="",0,-NF($K467,"CRDTAMNT"))</t>
  </si>
  <si>
    <t>=SUM(R468:S468)</t>
  </si>
  <si>
    <t>=NF($K469,"TRXDATE")</t>
  </si>
  <si>
    <t>=NF($K469,"JRNENTRY")</t>
  </si>
  <si>
    <t>=NF($K469,"ORMSTRNM")</t>
  </si>
  <si>
    <t>=NF($K469,"ORDOCNUM")</t>
  </si>
  <si>
    <t>=NF($K469,"REFRENCE")</t>
  </si>
  <si>
    <t>=NF($K469,"DSCRIPTN")</t>
  </si>
  <si>
    <t>=NF($K469,"DEBITAMT")</t>
  </si>
  <si>
    <t>=IF($K468="",0,-NF($K468,"CRDTAMNT"))</t>
  </si>
  <si>
    <t>=SUM(R469:S469)</t>
  </si>
  <si>
    <t>=NF($K470,"TRXDATE")</t>
  </si>
  <si>
    <t>=NF($K470,"JRNENTRY")</t>
  </si>
  <si>
    <t>=NF($K470,"ORMSTRNM")</t>
  </si>
  <si>
    <t>=NF($K470,"ORDOCNUM")</t>
  </si>
  <si>
    <t>=NF($K470,"REFRENCE")</t>
  </si>
  <si>
    <t>=NF($K470,"DSCRIPTN")</t>
  </si>
  <si>
    <t>=NF($K470,"DEBITAMT")</t>
  </si>
  <si>
    <t>=IF($K469="",0,-NF($K469,"CRDTAMNT"))</t>
  </si>
  <si>
    <t>=SUM(R470:S470)</t>
  </si>
  <si>
    <t>=NF($K477,"TRXDATE")</t>
  </si>
  <si>
    <t>=NF($K477,"JRNENTRY")</t>
  </si>
  <si>
    <t>=NF($K477,"ORMSTRNM")</t>
  </si>
  <si>
    <t>=NF($K477,"ORDOCNUM")</t>
  </si>
  <si>
    <t>=NF($K477,"REFRENCE")</t>
  </si>
  <si>
    <t>=NF($K477,"DSCRIPTN")</t>
  </si>
  <si>
    <t>=NF($K477,"DEBITAMT")</t>
  </si>
  <si>
    <t>=IF($K477="",0,-NF($K477,"CRDTAMNT"))</t>
  </si>
  <si>
    <t>=SUM(R477:S477)</t>
  </si>
  <si>
    <t>=NF($K478,"TRXDATE")</t>
  </si>
  <si>
    <t>=NF($K478,"JRNENTRY")</t>
  </si>
  <si>
    <t>=NF($K478,"ORMSTRNM")</t>
  </si>
  <si>
    <t>=NF($K478,"ORDOCNUM")</t>
  </si>
  <si>
    <t>=NF($K478,"REFRENCE")</t>
  </si>
  <si>
    <t>=NF($K478,"DSCRIPTN")</t>
  </si>
  <si>
    <t>=NF($K478,"DEBITAMT")</t>
  </si>
  <si>
    <t>=SUM(R478:S478)</t>
  </si>
  <si>
    <t>=NF($K479,"TRXDATE")</t>
  </si>
  <si>
    <t>=NF($K479,"JRNENTRY")</t>
  </si>
  <si>
    <t>=NF($K479,"ORMSTRNM")</t>
  </si>
  <si>
    <t>=NF($K479,"ORDOCNUM")</t>
  </si>
  <si>
    <t>=NF($K479,"REFRENCE")</t>
  </si>
  <si>
    <t>=NF($K479,"DSCRIPTN")</t>
  </si>
  <si>
    <t>=NF($K479,"DEBITAMT")</t>
  </si>
  <si>
    <t>=IF($K478="",0,-NF($K478,"CRDTAMNT"))</t>
  </si>
  <si>
    <t>=SUM(R479:S479)</t>
  </si>
  <si>
    <t>=NF($K480,"TRXDATE")</t>
  </si>
  <si>
    <t>=NF($K480,"JRNENTRY")</t>
  </si>
  <si>
    <t>=NF($K480,"ORMSTRNM")</t>
  </si>
  <si>
    <t>=NF($K480,"ORDOCNUM")</t>
  </si>
  <si>
    <t>=NF($K480,"REFRENCE")</t>
  </si>
  <si>
    <t>=NF($K480,"DSCRIPTN")</t>
  </si>
  <si>
    <t>=NF($K480,"DEBITAMT")</t>
  </si>
  <si>
    <t>=IF($K479="",0,-NF($K479,"CRDTAMNT"))</t>
  </si>
  <si>
    <t>=SUM(R480:S480)</t>
  </si>
  <si>
    <t>=NF($K481,"TRXDATE")</t>
  </si>
  <si>
    <t>=NF($K481,"JRNENTRY")</t>
  </si>
  <si>
    <t>=NF($K481,"ORMSTRNM")</t>
  </si>
  <si>
    <t>=NF($K481,"ORDOCNUM")</t>
  </si>
  <si>
    <t>=NF($K481,"REFRENCE")</t>
  </si>
  <si>
    <t>=NF($K481,"DSCRIPTN")</t>
  </si>
  <si>
    <t>=NF($K481,"DEBITAMT")</t>
  </si>
  <si>
    <t>=IF($K480="",0,-NF($K480,"CRDTAMNT"))</t>
  </si>
  <si>
    <t>=SUM(R481:S481)</t>
  </si>
  <si>
    <t>=NF($K486,"TRXDATE")</t>
  </si>
  <si>
    <t>=NF($K486,"JRNENTRY")</t>
  </si>
  <si>
    <t>=NF($K486,"ORMSTRNM")</t>
  </si>
  <si>
    <t>=NF($K486,"ORDOCNUM")</t>
  </si>
  <si>
    <t>=NF($K486,"REFRENCE")</t>
  </si>
  <si>
    <t>=NF($K486,"DSCRIPTN")</t>
  </si>
  <si>
    <t>=NF($K486,"DEBITAMT")</t>
  </si>
  <si>
    <t>=IF($K486="",0,-NF($K486,"CRDTAMNT"))</t>
  </si>
  <si>
    <t>=SUM(R486:S486)</t>
  </si>
  <si>
    <t>=NF($K487,"TRXDATE")</t>
  </si>
  <si>
    <t>=NF($K487,"JRNENTRY")</t>
  </si>
  <si>
    <t>=NF($K487,"ORMSTRNM")</t>
  </si>
  <si>
    <t>=NF($K487,"ORDOCNUM")</t>
  </si>
  <si>
    <t>=NF($K487,"REFRENCE")</t>
  </si>
  <si>
    <t>=NF($K487,"DSCRIPTN")</t>
  </si>
  <si>
    <t>=NF($K487,"DEBITAMT")</t>
  </si>
  <si>
    <t>=SUM(R487:S487)</t>
  </si>
  <si>
    <t>=NF($K488,"TRXDATE")</t>
  </si>
  <si>
    <t>=NF($K488,"JRNENTRY")</t>
  </si>
  <si>
    <t>=NF($K488,"ORMSTRNM")</t>
  </si>
  <si>
    <t>=NF($K488,"ORDOCNUM")</t>
  </si>
  <si>
    <t>=NF($K488,"REFRENCE")</t>
  </si>
  <si>
    <t>=NF($K488,"DSCRIPTN")</t>
  </si>
  <si>
    <t>=NF($K488,"DEBITAMT")</t>
  </si>
  <si>
    <t>=IF($K487="",0,-NF($K487,"CRDTAMNT"))</t>
  </si>
  <si>
    <t>=SUM(R488:S488)</t>
  </si>
  <si>
    <t>=NF($K489,"TRXDATE")</t>
  </si>
  <si>
    <t>=NF($K489,"JRNENTRY")</t>
  </si>
  <si>
    <t>=NF($K489,"ORMSTRNM")</t>
  </si>
  <si>
    <t>=NF($K489,"ORDOCNUM")</t>
  </si>
  <si>
    <t>=NF($K489,"REFRENCE")</t>
  </si>
  <si>
    <t>=NF($K489,"DSCRIPTN")</t>
  </si>
  <si>
    <t>=NF($K489,"DEBITAMT")</t>
  </si>
  <si>
    <t>=IF($K488="",0,-NF($K488,"CRDTAMNT"))</t>
  </si>
  <si>
    <t>=SUM(R489:S489)</t>
  </si>
  <si>
    <t>=NF($K490,"TRXDATE")</t>
  </si>
  <si>
    <t>=NF($K490,"JRNENTRY")</t>
  </si>
  <si>
    <t>=NF($K490,"ORMSTRNM")</t>
  </si>
  <si>
    <t>=NF($K490,"ORDOCNUM")</t>
  </si>
  <si>
    <t>=NF($K490,"REFRENCE")</t>
  </si>
  <si>
    <t>=NF($K490,"DSCRIPTN")</t>
  </si>
  <si>
    <t>=NF($K490,"DEBITAMT")</t>
  </si>
  <si>
    <t>=IF($K489="",0,-NF($K489,"CRDTAMNT"))</t>
  </si>
  <si>
    <t>=SUM(R490:S490)</t>
  </si>
  <si>
    <t>=NF($K498,"TRXDATE")</t>
  </si>
  <si>
    <t>=NF($K498,"JRNENTRY")</t>
  </si>
  <si>
    <t>=NF($K498,"ORMSTRNM")</t>
  </si>
  <si>
    <t>=NF($K498,"ORDOCNUM")</t>
  </si>
  <si>
    <t>=NF($K498,"REFRENCE")</t>
  </si>
  <si>
    <t>=NF($K498,"DSCRIPTN")</t>
  </si>
  <si>
    <t>=NF($K498,"DEBITAMT")</t>
  </si>
  <si>
    <t>=SUM(R498:S498)</t>
  </si>
  <si>
    <t>=NF($K499,"TRXDATE")</t>
  </si>
  <si>
    <t>=NF($K499,"JRNENTRY")</t>
  </si>
  <si>
    <t>=NF($K499,"ORMSTRNM")</t>
  </si>
  <si>
    <t>=NF($K499,"ORDOCNUM")</t>
  </si>
  <si>
    <t>=NF($K499,"REFRENCE")</t>
  </si>
  <si>
    <t>=NF($K499,"DSCRIPTN")</t>
  </si>
  <si>
    <t>=NF($K499,"DEBITAMT")</t>
  </si>
  <si>
    <t>=IF($K498="",0,-NF($K498,"CRDTAMNT"))</t>
  </si>
  <si>
    <t>=SUM(R499:S499)</t>
  </si>
  <si>
    <t>=NF($K500,"TRXDATE")</t>
  </si>
  <si>
    <t>=NF($K500,"JRNENTRY")</t>
  </si>
  <si>
    <t>=NF($K500,"ORMSTRNM")</t>
  </si>
  <si>
    <t>=NF($K500,"ORDOCNUM")</t>
  </si>
  <si>
    <t>=NF($K500,"REFRENCE")</t>
  </si>
  <si>
    <t>=NF($K500,"DSCRIPTN")</t>
  </si>
  <si>
    <t>=NF($K500,"DEBITAMT")</t>
  </si>
  <si>
    <t>=IF($K499="",0,-NF($K499,"CRDTAMNT"))</t>
  </si>
  <si>
    <t>=SUM(R500:S500)</t>
  </si>
  <si>
    <t>=NF($K501,"TRXDATE")</t>
  </si>
  <si>
    <t>=NF($K501,"JRNENTRY")</t>
  </si>
  <si>
    <t>=NF($K501,"ORMSTRNM")</t>
  </si>
  <si>
    <t>=NF($K501,"ORDOCNUM")</t>
  </si>
  <si>
    <t>=NF($K501,"REFRENCE")</t>
  </si>
  <si>
    <t>=NF($K501,"DSCRIPTN")</t>
  </si>
  <si>
    <t>=NF($K501,"DEBITAMT")</t>
  </si>
  <si>
    <t>=IF($K500="",0,-NF($K500,"CRDTAMNT"))</t>
  </si>
  <si>
    <t>=SUM(R501:S501)</t>
  </si>
  <si>
    <t>=NF($K502,"TRXDATE")</t>
  </si>
  <si>
    <t>=NF($K502,"JRNENTRY")</t>
  </si>
  <si>
    <t>=NF($K502,"ORMSTRNM")</t>
  </si>
  <si>
    <t>=NF($K502,"ORDOCNUM")</t>
  </si>
  <si>
    <t>=NF($K502,"REFRENCE")</t>
  </si>
  <si>
    <t>=NF($K502,"DSCRIPTN")</t>
  </si>
  <si>
    <t>=NF($K502,"DEBITAMT")</t>
  </si>
  <si>
    <t>=IF($K501="",0,-NF($K501,"CRDTAMNT"))</t>
  </si>
  <si>
    <t>=SUM(R502:S502)</t>
  </si>
  <si>
    <t>=NF($K503,"TRXDATE")</t>
  </si>
  <si>
    <t>=NF($K503,"JRNENTRY")</t>
  </si>
  <si>
    <t>=NF($K503,"ORMSTRNM")</t>
  </si>
  <si>
    <t>=NF($K503,"ORDOCNUM")</t>
  </si>
  <si>
    <t>=NF($K503,"REFRENCE")</t>
  </si>
  <si>
    <t>=NF($K503,"DSCRIPTN")</t>
  </si>
  <si>
    <t>=NF($K503,"DEBITAMT")</t>
  </si>
  <si>
    <t>=IF($K502="",0,-NF($K502,"CRDTAMNT"))</t>
  </si>
  <si>
    <t>=SUM(R503:S503)</t>
  </si>
  <si>
    <t>=NF($K504,"TRXDATE")</t>
  </si>
  <si>
    <t>=NF($K504,"JRNENTRY")</t>
  </si>
  <si>
    <t>=NF($K504,"ORMSTRNM")</t>
  </si>
  <si>
    <t>=NF($K504,"ORDOCNUM")</t>
  </si>
  <si>
    <t>=NF($K504,"REFRENCE")</t>
  </si>
  <si>
    <t>=NF($K504,"DSCRIPTN")</t>
  </si>
  <si>
    <t>=NF($K504,"DEBITAMT")</t>
  </si>
  <si>
    <t>=IF($K503="",0,-NF($K503,"CRDTAMNT"))</t>
  </si>
  <si>
    <t>=SUM(R504:S504)</t>
  </si>
  <si>
    <t>=NF($K505,"TRXDATE")</t>
  </si>
  <si>
    <t>=NF($K505,"JRNENTRY")</t>
  </si>
  <si>
    <t>=NF($K505,"ORMSTRNM")</t>
  </si>
  <si>
    <t>=NF($K505,"ORDOCNUM")</t>
  </si>
  <si>
    <t>=NF($K505,"REFRENCE")</t>
  </si>
  <si>
    <t>=NF($K505,"DSCRIPTN")</t>
  </si>
  <si>
    <t>=NF($K505,"DEBITAMT")</t>
  </si>
  <si>
    <t>=IF($K504="",0,-NF($K504,"CRDTAMNT"))</t>
  </si>
  <si>
    <t>=SUM(R505:S505)</t>
  </si>
  <si>
    <t>=NF($K506,"TRXDATE")</t>
  </si>
  <si>
    <t>=NF($K506,"JRNENTRY")</t>
  </si>
  <si>
    <t>=NF($K506,"ORMSTRNM")</t>
  </si>
  <si>
    <t>=NF($K506,"ORDOCNUM")</t>
  </si>
  <si>
    <t>=NF($K506,"REFRENCE")</t>
  </si>
  <si>
    <t>=NF($K506,"DSCRIPTN")</t>
  </si>
  <si>
    <t>=NF($K506,"DEBITAMT")</t>
  </si>
  <si>
    <t>=IF($K505="",0,-NF($K505,"CRDTAMNT"))</t>
  </si>
  <si>
    <t>=SUM(R506:S506)</t>
  </si>
  <si>
    <t>=NF($K507,"TRXDATE")</t>
  </si>
  <si>
    <t>=NF($K507,"JRNENTRY")</t>
  </si>
  <si>
    <t>=NF($K507,"ORMSTRNM")</t>
  </si>
  <si>
    <t>=NF($K507,"ORDOCNUM")</t>
  </si>
  <si>
    <t>=NF($K507,"REFRENCE")</t>
  </si>
  <si>
    <t>=NF($K507,"DSCRIPTN")</t>
  </si>
  <si>
    <t>=NF($K507,"DEBITAMT")</t>
  </si>
  <si>
    <t>=IF($K506="",0,-NF($K506,"CRDTAMNT"))</t>
  </si>
  <si>
    <t>=SUM(R507:S507)</t>
  </si>
  <si>
    <t>=NF($K508,"TRXDATE")</t>
  </si>
  <si>
    <t>=NF($K508,"JRNENTRY")</t>
  </si>
  <si>
    <t>=NF($K508,"ORMSTRNM")</t>
  </si>
  <si>
    <t>=NF($K508,"ORDOCNUM")</t>
  </si>
  <si>
    <t>=NF($K508,"REFRENCE")</t>
  </si>
  <si>
    <t>=NF($K508,"DSCRIPTN")</t>
  </si>
  <si>
    <t>=NF($K508,"DEBITAMT")</t>
  </si>
  <si>
    <t>=IF($K507="",0,-NF($K507,"CRDTAMNT"))</t>
  </si>
  <si>
    <t>=SUM(R508:S508)</t>
  </si>
  <si>
    <t>=NF($K509,"TRXDATE")</t>
  </si>
  <si>
    <t>=NF($K509,"JRNENTRY")</t>
  </si>
  <si>
    <t>=NF($K509,"ORMSTRNM")</t>
  </si>
  <si>
    <t>=NF($K509,"ORDOCNUM")</t>
  </si>
  <si>
    <t>=NF($K509,"REFRENCE")</t>
  </si>
  <si>
    <t>=NF($K509,"DSCRIPTN")</t>
  </si>
  <si>
    <t>=NF($K509,"DEBITAMT")</t>
  </si>
  <si>
    <t>=IF($K508="",0,-NF($K508,"CRDTAMNT"))</t>
  </si>
  <si>
    <t>=SUM(R509:S509)</t>
  </si>
  <si>
    <t>=NF($K510,"TRXDATE")</t>
  </si>
  <si>
    <t>=NF($K510,"JRNENTRY")</t>
  </si>
  <si>
    <t>=NF($K510,"ORMSTRNM")</t>
  </si>
  <si>
    <t>=NF($K510,"ORDOCNUM")</t>
  </si>
  <si>
    <t>=NF($K510,"REFRENCE")</t>
  </si>
  <si>
    <t>=NF($K510,"DSCRIPTN")</t>
  </si>
  <si>
    <t>=NF($K510,"DEBITAMT")</t>
  </si>
  <si>
    <t>=IF($K509="",0,-NF($K509,"CRDTAMNT"))</t>
  </si>
  <si>
    <t>=SUM(R510:S510)</t>
  </si>
  <si>
    <t>=NF($K511,"TRXDATE")</t>
  </si>
  <si>
    <t>=NF($K511,"JRNENTRY")</t>
  </si>
  <si>
    <t>=NF($K511,"ORMSTRNM")</t>
  </si>
  <si>
    <t>=NF($K511,"ORDOCNUM")</t>
  </si>
  <si>
    <t>=NF($K511,"REFRENCE")</t>
  </si>
  <si>
    <t>=NF($K511,"DSCRIPTN")</t>
  </si>
  <si>
    <t>=NF($K511,"DEBITAMT")</t>
  </si>
  <si>
    <t>=IF($K510="",0,-NF($K510,"CRDTAMNT"))</t>
  </si>
  <si>
    <t>=SUM(R511:S511)</t>
  </si>
  <si>
    <t>=NF($K512,"TRXDATE")</t>
  </si>
  <si>
    <t>=NF($K512,"JRNENTRY")</t>
  </si>
  <si>
    <t>=NF($K512,"ORMSTRNM")</t>
  </si>
  <si>
    <t>=NF($K512,"ORDOCNUM")</t>
  </si>
  <si>
    <t>=NF($K512,"REFRENCE")</t>
  </si>
  <si>
    <t>=NF($K512,"DSCRIPTN")</t>
  </si>
  <si>
    <t>=NF($K512,"DEBITAMT")</t>
  </si>
  <si>
    <t>=IF($K511="",0,-NF($K511,"CRDTAMNT"))</t>
  </si>
  <si>
    <t>=SUM(R512:S512)</t>
  </si>
  <si>
    <t>=NF($K513,"TRXDATE")</t>
  </si>
  <si>
    <t>=NF($K513,"JRNENTRY")</t>
  </si>
  <si>
    <t>=NF($K513,"ORMSTRNM")</t>
  </si>
  <si>
    <t>=NF($K513,"ORDOCNUM")</t>
  </si>
  <si>
    <t>=NF($K513,"REFRENCE")</t>
  </si>
  <si>
    <t>=NF($K513,"DSCRIPTN")</t>
  </si>
  <si>
    <t>=NF($K513,"DEBITAMT")</t>
  </si>
  <si>
    <t>=IF($K512="",0,-NF($K512,"CRDTAMNT"))</t>
  </si>
  <si>
    <t>=SUM(R513:S513)</t>
  </si>
  <si>
    <t>=NF($K514,"TRXDATE")</t>
  </si>
  <si>
    <t>=NF($K514,"JRNENTRY")</t>
  </si>
  <si>
    <t>=NF($K514,"ORMSTRNM")</t>
  </si>
  <si>
    <t>=NF($K514,"ORDOCNUM")</t>
  </si>
  <si>
    <t>=NF($K514,"REFRENCE")</t>
  </si>
  <si>
    <t>=NF($K514,"DSCRIPTN")</t>
  </si>
  <si>
    <t>=NF($K514,"DEBITAMT")</t>
  </si>
  <si>
    <t>=IF($K513="",0,-NF($K513,"CRDTAMNT"))</t>
  </si>
  <si>
    <t>=SUM(R514:S514)</t>
  </si>
  <si>
    <t>=NF($K515,"TRXDATE")</t>
  </si>
  <si>
    <t>=NF($K515,"JRNENTRY")</t>
  </si>
  <si>
    <t>=NF($K515,"ORMSTRNM")</t>
  </si>
  <si>
    <t>=NF($K515,"ORDOCNUM")</t>
  </si>
  <si>
    <t>=NF($K515,"REFRENCE")</t>
  </si>
  <si>
    <t>=NF($K515,"DSCRIPTN")</t>
  </si>
  <si>
    <t>=NF($K515,"DEBITAMT")</t>
  </si>
  <si>
    <t>=IF($K514="",0,-NF($K514,"CRDTAMNT"))</t>
  </si>
  <si>
    <t>=SUM(R515:S515)</t>
  </si>
  <si>
    <t>=NF($K516,"TRXDATE")</t>
  </si>
  <si>
    <t>=NF($K516,"JRNENTRY")</t>
  </si>
  <si>
    <t>=NF($K516,"ORMSTRNM")</t>
  </si>
  <si>
    <t>=NF($K516,"ORDOCNUM")</t>
  </si>
  <si>
    <t>=NF($K516,"REFRENCE")</t>
  </si>
  <si>
    <t>=NF($K516,"DSCRIPTN")</t>
  </si>
  <si>
    <t>=NF($K516,"DEBITAMT")</t>
  </si>
  <si>
    <t>=IF($K515="",0,-NF($K515,"CRDTAMNT"))</t>
  </si>
  <si>
    <t>=SUM(R516:S516)</t>
  </si>
  <si>
    <t>=NF($K517,"TRXDATE")</t>
  </si>
  <si>
    <t>=NF($K517,"JRNENTRY")</t>
  </si>
  <si>
    <t>=NF($K517,"ORMSTRNM")</t>
  </si>
  <si>
    <t>=NF($K517,"ORDOCNUM")</t>
  </si>
  <si>
    <t>=NF($K517,"REFRENCE")</t>
  </si>
  <si>
    <t>=NF($K517,"DSCRIPTN")</t>
  </si>
  <si>
    <t>=NF($K517,"DEBITAMT")</t>
  </si>
  <si>
    <t>=IF($K516="",0,-NF($K516,"CRDTAMNT"))</t>
  </si>
  <si>
    <t>=SUM(R517:S517)</t>
  </si>
  <si>
    <t>=NF($K518,"TRXDATE")</t>
  </si>
  <si>
    <t>=NF($K518,"JRNENTRY")</t>
  </si>
  <si>
    <t>=NF($K518,"ORMSTRNM")</t>
  </si>
  <si>
    <t>=NF($K518,"ORDOCNUM")</t>
  </si>
  <si>
    <t>=NF($K518,"REFRENCE")</t>
  </si>
  <si>
    <t>=NF($K518,"DSCRIPTN")</t>
  </si>
  <si>
    <t>=NF($K518,"DEBITAMT")</t>
  </si>
  <si>
    <t>=IF($K517="",0,-NF($K517,"CRDTAMNT"))</t>
  </si>
  <si>
    <t>=SUM(R518:S518)</t>
  </si>
  <si>
    <t>=NF($K519,"TRXDATE")</t>
  </si>
  <si>
    <t>=NF($K519,"JRNENTRY")</t>
  </si>
  <si>
    <t>=NF($K519,"ORMSTRNM")</t>
  </si>
  <si>
    <t>=NF($K519,"ORDOCNUM")</t>
  </si>
  <si>
    <t>=NF($K519,"REFRENCE")</t>
  </si>
  <si>
    <t>=NF($K519,"DSCRIPTN")</t>
  </si>
  <si>
    <t>=NF($K519,"DEBITAMT")</t>
  </si>
  <si>
    <t>=IF($K518="",0,-NF($K518,"CRDTAMNT"))</t>
  </si>
  <si>
    <t>=SUM(R519:S519)</t>
  </si>
  <si>
    <t>=NF($K520,"TRXDATE")</t>
  </si>
  <si>
    <t>=NF($K520,"JRNENTRY")</t>
  </si>
  <si>
    <t>=NF($K520,"ORMSTRNM")</t>
  </si>
  <si>
    <t>=NF($K520,"ORDOCNUM")</t>
  </si>
  <si>
    <t>=NF($K520,"REFRENCE")</t>
  </si>
  <si>
    <t>=NF($K520,"DSCRIPTN")</t>
  </si>
  <si>
    <t>=NF($K520,"DEBITAMT")</t>
  </si>
  <si>
    <t>=IF($K519="",0,-NF($K519,"CRDTAMNT"))</t>
  </si>
  <si>
    <t>=SUM(R520:S520)</t>
  </si>
  <si>
    <t>=NF($K521,"TRXDATE")</t>
  </si>
  <si>
    <t>=NF($K521,"JRNENTRY")</t>
  </si>
  <si>
    <t>=NF($K521,"ORMSTRNM")</t>
  </si>
  <si>
    <t>=NF($K521,"ORDOCNUM")</t>
  </si>
  <si>
    <t>=NF($K521,"REFRENCE")</t>
  </si>
  <si>
    <t>=NF($K521,"DSCRIPTN")</t>
  </si>
  <si>
    <t>=NF($K521,"DEBITAMT")</t>
  </si>
  <si>
    <t>=IF($K520="",0,-NF($K520,"CRDTAMNT"))</t>
  </si>
  <si>
    <t>=SUM(R521:S521)</t>
  </si>
  <si>
    <t>=NF($K522,"TRXDATE")</t>
  </si>
  <si>
    <t>=NF($K522,"JRNENTRY")</t>
  </si>
  <si>
    <t>=NF($K522,"ORMSTRNM")</t>
  </si>
  <si>
    <t>=NF($K522,"ORDOCNUM")</t>
  </si>
  <si>
    <t>=NF($K522,"REFRENCE")</t>
  </si>
  <si>
    <t>=NF($K522,"DSCRIPTN")</t>
  </si>
  <si>
    <t>=NF($K522,"DEBITAMT")</t>
  </si>
  <si>
    <t>=IF($K521="",0,-NF($K521,"CRDTAMNT"))</t>
  </si>
  <si>
    <t>=SUM(R522:S522)</t>
  </si>
  <si>
    <t>=NF($K523,"TRXDATE")</t>
  </si>
  <si>
    <t>=NF($K523,"JRNENTRY")</t>
  </si>
  <si>
    <t>=NF($K523,"ORMSTRNM")</t>
  </si>
  <si>
    <t>=NF($K523,"ORDOCNUM")</t>
  </si>
  <si>
    <t>=NF($K523,"REFRENCE")</t>
  </si>
  <si>
    <t>=NF($K523,"DSCRIPTN")</t>
  </si>
  <si>
    <t>=NF($K523,"DEBITAMT")</t>
  </si>
  <si>
    <t>=IF($K522="",0,-NF($K522,"CRDTAMNT"))</t>
  </si>
  <si>
    <t>=SUM(R523:S523)</t>
  </si>
  <si>
    <t>=NF($K524,"TRXDATE")</t>
  </si>
  <si>
    <t>=NF($K524,"JRNENTRY")</t>
  </si>
  <si>
    <t>=NF($K524,"ORMSTRNM")</t>
  </si>
  <si>
    <t>=NF($K524,"ORDOCNUM")</t>
  </si>
  <si>
    <t>=NF($K524,"REFRENCE")</t>
  </si>
  <si>
    <t>=NF($K524,"DSCRIPTN")</t>
  </si>
  <si>
    <t>=NF($K524,"DEBITAMT")</t>
  </si>
  <si>
    <t>=IF($K523="",0,-NF($K523,"CRDTAMNT"))</t>
  </si>
  <si>
    <t>=SUM(R524:S524)</t>
  </si>
  <si>
    <t>=NF($K525,"TRXDATE")</t>
  </si>
  <si>
    <t>=NF($K525,"JRNENTRY")</t>
  </si>
  <si>
    <t>=NF($K525,"ORMSTRNM")</t>
  </si>
  <si>
    <t>=NF($K525,"ORDOCNUM")</t>
  </si>
  <si>
    <t>=NF($K525,"REFRENCE")</t>
  </si>
  <si>
    <t>=NF($K525,"DSCRIPTN")</t>
  </si>
  <si>
    <t>=NF($K525,"DEBITAMT")</t>
  </si>
  <si>
    <t>=IF($K524="",0,-NF($K524,"CRDTAMNT"))</t>
  </si>
  <si>
    <t>=SUM(R525:S525)</t>
  </si>
  <si>
    <t>=NF($K526,"TRXDATE")</t>
  </si>
  <si>
    <t>=NF($K526,"JRNENTRY")</t>
  </si>
  <si>
    <t>=NF($K526,"ORMSTRNM")</t>
  </si>
  <si>
    <t>=NF($K526,"ORDOCNUM")</t>
  </si>
  <si>
    <t>=NF($K526,"REFRENCE")</t>
  </si>
  <si>
    <t>=NF($K526,"DSCRIPTN")</t>
  </si>
  <si>
    <t>=NF($K526,"DEBITAMT")</t>
  </si>
  <si>
    <t>=IF($K525="",0,-NF($K525,"CRDTAMNT"))</t>
  </si>
  <si>
    <t>=SUM(R526:S526)</t>
  </si>
  <si>
    <t>=NF($K531,"TRXDATE")</t>
  </si>
  <si>
    <t>=NF($K531,"JRNENTRY")</t>
  </si>
  <si>
    <t>=NF($K531,"ORMSTRNM")</t>
  </si>
  <si>
    <t>=NF($K531,"ORDOCNUM")</t>
  </si>
  <si>
    <t>=NF($K531,"REFRENCE")</t>
  </si>
  <si>
    <t>=NF($K531,"DSCRIPTN")</t>
  </si>
  <si>
    <t>=NF($K531,"DEBITAMT")</t>
  </si>
  <si>
    <t>=SUM(R531:S531)</t>
  </si>
  <si>
    <t>=NF($K532,"TRXDATE")</t>
  </si>
  <si>
    <t>=NF($K532,"JRNENTRY")</t>
  </si>
  <si>
    <t>=NF($K532,"ORMSTRNM")</t>
  </si>
  <si>
    <t>=NF($K532,"ORDOCNUM")</t>
  </si>
  <si>
    <t>=NF($K532,"REFRENCE")</t>
  </si>
  <si>
    <t>=NF($K532,"DSCRIPTN")</t>
  </si>
  <si>
    <t>=NF($K532,"DEBITAMT")</t>
  </si>
  <si>
    <t>=IF($K531="",0,-NF($K531,"CRDTAMNT"))</t>
  </si>
  <si>
    <t>=SUM(R532:S532)</t>
  </si>
  <si>
    <t>=NF($K533,"TRXDATE")</t>
  </si>
  <si>
    <t>=NF($K533,"JRNENTRY")</t>
  </si>
  <si>
    <t>=NF($K533,"ORMSTRNM")</t>
  </si>
  <si>
    <t>=NF($K533,"ORDOCNUM")</t>
  </si>
  <si>
    <t>=NF($K533,"REFRENCE")</t>
  </si>
  <si>
    <t>=NF($K533,"DSCRIPTN")</t>
  </si>
  <si>
    <t>=NF($K533,"DEBITAMT")</t>
  </si>
  <si>
    <t>=IF($K532="",0,-NF($K532,"CRDTAMNT"))</t>
  </si>
  <si>
    <t>=SUM(R533:S533)</t>
  </si>
  <si>
    <t>=NF($K534,"TRXDATE")</t>
  </si>
  <si>
    <t>=NF($K534,"JRNENTRY")</t>
  </si>
  <si>
    <t>=NF($K534,"ORMSTRNM")</t>
  </si>
  <si>
    <t>=NF($K534,"ORDOCNUM")</t>
  </si>
  <si>
    <t>=NF($K534,"REFRENCE")</t>
  </si>
  <si>
    <t>=NF($K534,"DSCRIPTN")</t>
  </si>
  <si>
    <t>=NF($K534,"DEBITAMT")</t>
  </si>
  <si>
    <t>=IF($K533="",0,-NF($K533,"CRDTAMNT"))</t>
  </si>
  <si>
    <t>=SUM(R534:S534)</t>
  </si>
  <si>
    <t>=NF($K535,"TRXDATE")</t>
  </si>
  <si>
    <t>=NF($K535,"JRNENTRY")</t>
  </si>
  <si>
    <t>=NF($K535,"ORMSTRNM")</t>
  </si>
  <si>
    <t>=NF($K535,"ORDOCNUM")</t>
  </si>
  <si>
    <t>=NF($K535,"REFRENCE")</t>
  </si>
  <si>
    <t>=NF($K535,"DSCRIPTN")</t>
  </si>
  <si>
    <t>=NF($K535,"DEBITAMT")</t>
  </si>
  <si>
    <t>=IF($K534="",0,-NF($K534,"CRDTAMNT"))</t>
  </si>
  <si>
    <t>=SUM(R535:S535)</t>
  </si>
  <si>
    <t>=NF($K536,"TRXDATE")</t>
  </si>
  <si>
    <t>=NF($K536,"JRNENTRY")</t>
  </si>
  <si>
    <t>=NF($K536,"ORMSTRNM")</t>
  </si>
  <si>
    <t>=NF($K536,"ORDOCNUM")</t>
  </si>
  <si>
    <t>=NF($K536,"REFRENCE")</t>
  </si>
  <si>
    <t>=NF($K536,"DSCRIPTN")</t>
  </si>
  <si>
    <t>=NF($K536,"DEBITAMT")</t>
  </si>
  <si>
    <t>=IF($K535="",0,-NF($K535,"CRDTAMNT"))</t>
  </si>
  <si>
    <t>=SUM(R536:S536)</t>
  </si>
  <si>
    <t>=NF($K537,"TRXDATE")</t>
  </si>
  <si>
    <t>=NF($K537,"JRNENTRY")</t>
  </si>
  <si>
    <t>=NF($K537,"ORMSTRNM")</t>
  </si>
  <si>
    <t>=NF($K537,"ORDOCNUM")</t>
  </si>
  <si>
    <t>=NF($K537,"REFRENCE")</t>
  </si>
  <si>
    <t>=NF($K537,"DSCRIPTN")</t>
  </si>
  <si>
    <t>=NF($K537,"DEBITAMT")</t>
  </si>
  <si>
    <t>=IF($K536="",0,-NF($K536,"CRDTAMNT"))</t>
  </si>
  <si>
    <t>=SUM(R537:S537)</t>
  </si>
  <si>
    <t>=NF($K538,"TRXDATE")</t>
  </si>
  <si>
    <t>=NF($K538,"JRNENTRY")</t>
  </si>
  <si>
    <t>=NF($K538,"ORMSTRNM")</t>
  </si>
  <si>
    <t>=NF($K538,"ORDOCNUM")</t>
  </si>
  <si>
    <t>=NF($K538,"REFRENCE")</t>
  </si>
  <si>
    <t>=NF($K538,"DSCRIPTN")</t>
  </si>
  <si>
    <t>=NF($K538,"DEBITAMT")</t>
  </si>
  <si>
    <t>=IF($K537="",0,-NF($K537,"CRDTAMNT"))</t>
  </si>
  <si>
    <t>=SUM(R538:S538)</t>
  </si>
  <si>
    <t>=NF($K539,"TRXDATE")</t>
  </si>
  <si>
    <t>=NF($K539,"JRNENTRY")</t>
  </si>
  <si>
    <t>=NF($K539,"ORMSTRNM")</t>
  </si>
  <si>
    <t>=NF($K539,"ORDOCNUM")</t>
  </si>
  <si>
    <t>=NF($K539,"REFRENCE")</t>
  </si>
  <si>
    <t>=NF($K539,"DSCRIPTN")</t>
  </si>
  <si>
    <t>=NF($K539,"DEBITAMT")</t>
  </si>
  <si>
    <t>=IF($K538="",0,-NF($K538,"CRDTAMNT"))</t>
  </si>
  <si>
    <t>=SUM(R539:S539)</t>
  </si>
  <si>
    <t>=NF($K540,"TRXDATE")</t>
  </si>
  <si>
    <t>=NF($K540,"JRNENTRY")</t>
  </si>
  <si>
    <t>=NF($K540,"ORMSTRNM")</t>
  </si>
  <si>
    <t>=NF($K540,"ORDOCNUM")</t>
  </si>
  <si>
    <t>=NF($K540,"REFRENCE")</t>
  </si>
  <si>
    <t>=NF($K540,"DSCRIPTN")</t>
  </si>
  <si>
    <t>=NF($K540,"DEBITAMT")</t>
  </si>
  <si>
    <t>=IF($K539="",0,-NF($K539,"CRDTAMNT"))</t>
  </si>
  <si>
    <t>=SUM(R540:S540)</t>
  </si>
  <si>
    <t>=NF($K541,"TRXDATE")</t>
  </si>
  <si>
    <t>=NF($K541,"JRNENTRY")</t>
  </si>
  <si>
    <t>=NF($K541,"ORMSTRNM")</t>
  </si>
  <si>
    <t>=NF($K541,"ORDOCNUM")</t>
  </si>
  <si>
    <t>=NF($K541,"REFRENCE")</t>
  </si>
  <si>
    <t>=NF($K541,"DSCRIPTN")</t>
  </si>
  <si>
    <t>=NF($K541,"DEBITAMT")</t>
  </si>
  <si>
    <t>=IF($K540="",0,-NF($K540,"CRDTAMNT"))</t>
  </si>
  <si>
    <t>=SUM(R541:S541)</t>
  </si>
  <si>
    <t>=NF($K542,"TRXDATE")</t>
  </si>
  <si>
    <t>=NF($K542,"JRNENTRY")</t>
  </si>
  <si>
    <t>=NF($K542,"ORMSTRNM")</t>
  </si>
  <si>
    <t>=NF($K542,"ORDOCNUM")</t>
  </si>
  <si>
    <t>=NF($K542,"REFRENCE")</t>
  </si>
  <si>
    <t>=NF($K542,"DSCRIPTN")</t>
  </si>
  <si>
    <t>=NF($K542,"DEBITAMT")</t>
  </si>
  <si>
    <t>=IF($K541="",0,-NF($K541,"CRDTAMNT"))</t>
  </si>
  <si>
    <t>=SUM(R542:S542)</t>
  </si>
  <si>
    <t>=NF($K543,"TRXDATE")</t>
  </si>
  <si>
    <t>=NF($K543,"JRNENTRY")</t>
  </si>
  <si>
    <t>=NF($K543,"ORMSTRNM")</t>
  </si>
  <si>
    <t>=NF($K543,"ORDOCNUM")</t>
  </si>
  <si>
    <t>=NF($K543,"REFRENCE")</t>
  </si>
  <si>
    <t>=NF($K543,"DSCRIPTN")</t>
  </si>
  <si>
    <t>=NF($K543,"DEBITAMT")</t>
  </si>
  <si>
    <t>=IF($K542="",0,-NF($K542,"CRDTAMNT"))</t>
  </si>
  <si>
    <t>=SUM(R543:S543)</t>
  </si>
  <si>
    <t>=NF($K544,"TRXDATE")</t>
  </si>
  <si>
    <t>=NF($K544,"JRNENTRY")</t>
  </si>
  <si>
    <t>=NF($K544,"ORMSTRNM")</t>
  </si>
  <si>
    <t>=NF($K544,"ORDOCNUM")</t>
  </si>
  <si>
    <t>=NF($K544,"REFRENCE")</t>
  </si>
  <si>
    <t>=NF($K544,"DSCRIPTN")</t>
  </si>
  <si>
    <t>=NF($K544,"DEBITAMT")</t>
  </si>
  <si>
    <t>=IF($K543="",0,-NF($K543,"CRDTAMNT"))</t>
  </si>
  <si>
    <t>=SUM(R544:S544)</t>
  </si>
  <si>
    <t>=NF($K545,"TRXDATE")</t>
  </si>
  <si>
    <t>=NF($K545,"JRNENTRY")</t>
  </si>
  <si>
    <t>=NF($K545,"ORMSTRNM")</t>
  </si>
  <si>
    <t>=NF($K545,"ORDOCNUM")</t>
  </si>
  <si>
    <t>=NF($K545,"REFRENCE")</t>
  </si>
  <si>
    <t>=NF($K545,"DSCRIPTN")</t>
  </si>
  <si>
    <t>=NF($K545,"DEBITAMT")</t>
  </si>
  <si>
    <t>=IF($K544="",0,-NF($K544,"CRDTAMNT"))</t>
  </si>
  <si>
    <t>=SUM(R545:S545)</t>
  </si>
  <si>
    <t>=NF($K546,"TRXDATE")</t>
  </si>
  <si>
    <t>=NF($K546,"JRNENTRY")</t>
  </si>
  <si>
    <t>=NF($K546,"ORMSTRNM")</t>
  </si>
  <si>
    <t>=NF($K546,"ORDOCNUM")</t>
  </si>
  <si>
    <t>=NF($K546,"REFRENCE")</t>
  </si>
  <si>
    <t>=NF($K546,"DSCRIPTN")</t>
  </si>
  <si>
    <t>=NF($K546,"DEBITAMT")</t>
  </si>
  <si>
    <t>=IF($K545="",0,-NF($K545,"CRDTAMNT"))</t>
  </si>
  <si>
    <t>=SUM(R546:S546)</t>
  </si>
  <si>
    <t>=NF($K547,"TRXDATE")</t>
  </si>
  <si>
    <t>=NF($K547,"JRNENTRY")</t>
  </si>
  <si>
    <t>=NF($K547,"ORMSTRNM")</t>
  </si>
  <si>
    <t>=NF($K547,"ORDOCNUM")</t>
  </si>
  <si>
    <t>=NF($K547,"REFRENCE")</t>
  </si>
  <si>
    <t>=NF($K547,"DSCRIPTN")</t>
  </si>
  <si>
    <t>=NF($K547,"DEBITAMT")</t>
  </si>
  <si>
    <t>=IF($K546="",0,-NF($K546,"CRDTAMNT"))</t>
  </si>
  <si>
    <t>=SUM(R547:S547)</t>
  </si>
  <si>
    <t>=NF($K548,"TRXDATE")</t>
  </si>
  <si>
    <t>=NF($K548,"JRNENTRY")</t>
  </si>
  <si>
    <t>=NF($K548,"ORMSTRNM")</t>
  </si>
  <si>
    <t>=NF($K548,"ORDOCNUM")</t>
  </si>
  <si>
    <t>=NF($K548,"REFRENCE")</t>
  </si>
  <si>
    <t>=NF($K548,"DSCRIPTN")</t>
  </si>
  <si>
    <t>=NF($K548,"DEBITAMT")</t>
  </si>
  <si>
    <t>=IF($K547="",0,-NF($K547,"CRDTAMNT"))</t>
  </si>
  <si>
    <t>=SUM(R548:S548)</t>
  </si>
  <si>
    <t>=NF($K549,"TRXDATE")</t>
  </si>
  <si>
    <t>=NF($K549,"JRNENTRY")</t>
  </si>
  <si>
    <t>=NF($K549,"ORMSTRNM")</t>
  </si>
  <si>
    <t>=NF($K549,"ORDOCNUM")</t>
  </si>
  <si>
    <t>=NF($K549,"REFRENCE")</t>
  </si>
  <si>
    <t>=NF($K549,"DSCRIPTN")</t>
  </si>
  <si>
    <t>=NF($K549,"DEBITAMT")</t>
  </si>
  <si>
    <t>=IF($K548="",0,-NF($K548,"CRDTAMNT"))</t>
  </si>
  <si>
    <t>=SUM(R549:S549)</t>
  </si>
  <si>
    <t>=NF($K550,"TRXDATE")</t>
  </si>
  <si>
    <t>=NF($K550,"JRNENTRY")</t>
  </si>
  <si>
    <t>=NF($K550,"ORMSTRNM")</t>
  </si>
  <si>
    <t>=NF($K550,"ORDOCNUM")</t>
  </si>
  <si>
    <t>=NF($K550,"REFRENCE")</t>
  </si>
  <si>
    <t>=NF($K550,"DSCRIPTN")</t>
  </si>
  <si>
    <t>=NF($K550,"DEBITAMT")</t>
  </si>
  <si>
    <t>=IF($K549="",0,-NF($K549,"CRDTAMNT"))</t>
  </si>
  <si>
    <t>=SUM(R550:S550)</t>
  </si>
  <si>
    <t>=NF($K551,"TRXDATE")</t>
  </si>
  <si>
    <t>=NF($K551,"JRNENTRY")</t>
  </si>
  <si>
    <t>=NF($K551,"ORMSTRNM")</t>
  </si>
  <si>
    <t>=NF($K551,"ORDOCNUM")</t>
  </si>
  <si>
    <t>=NF($K551,"REFRENCE")</t>
  </si>
  <si>
    <t>=NF($K551,"DSCRIPTN")</t>
  </si>
  <si>
    <t>=NF($K551,"DEBITAMT")</t>
  </si>
  <si>
    <t>=IF($K550="",0,-NF($K550,"CRDTAMNT"))</t>
  </si>
  <si>
    <t>=SUM(R551:S551)</t>
  </si>
  <si>
    <t>=NF($K552,"TRXDATE")</t>
  </si>
  <si>
    <t>=NF($K552,"JRNENTRY")</t>
  </si>
  <si>
    <t>=NF($K552,"ORMSTRNM")</t>
  </si>
  <si>
    <t>=NF($K552,"ORDOCNUM")</t>
  </si>
  <si>
    <t>=NF($K552,"REFRENCE")</t>
  </si>
  <si>
    <t>=NF($K552,"DSCRIPTN")</t>
  </si>
  <si>
    <t>=NF($K552,"DEBITAMT")</t>
  </si>
  <si>
    <t>=IF($K551="",0,-NF($K551,"CRDTAMNT"))</t>
  </si>
  <si>
    <t>=SUM(R552:S552)</t>
  </si>
  <si>
    <t>=NF($K553,"TRXDATE")</t>
  </si>
  <si>
    <t>=NF($K553,"JRNENTRY")</t>
  </si>
  <si>
    <t>=NF($K553,"ORMSTRNM")</t>
  </si>
  <si>
    <t>=NF($K553,"ORDOCNUM")</t>
  </si>
  <si>
    <t>=NF($K553,"REFRENCE")</t>
  </si>
  <si>
    <t>=NF($K553,"DSCRIPTN")</t>
  </si>
  <si>
    <t>=NF($K553,"DEBITAMT")</t>
  </si>
  <si>
    <t>=IF($K552="",0,-NF($K552,"CRDTAMNT"))</t>
  </si>
  <si>
    <t>=SUM(R553:S553)</t>
  </si>
  <si>
    <t>=NF($K554,"TRXDATE")</t>
  </si>
  <si>
    <t>=NF($K554,"JRNENTRY")</t>
  </si>
  <si>
    <t>=NF($K554,"ORMSTRNM")</t>
  </si>
  <si>
    <t>=NF($K554,"ORDOCNUM")</t>
  </si>
  <si>
    <t>=NF($K554,"REFRENCE")</t>
  </si>
  <si>
    <t>=NF($K554,"DSCRIPTN")</t>
  </si>
  <si>
    <t>=NF($K554,"DEBITAMT")</t>
  </si>
  <si>
    <t>=IF($K553="",0,-NF($K553,"CRDTAMNT"))</t>
  </si>
  <si>
    <t>=SUM(R554:S554)</t>
  </si>
  <si>
    <t>=NF($K555,"TRXDATE")</t>
  </si>
  <si>
    <t>=NF($K555,"JRNENTRY")</t>
  </si>
  <si>
    <t>=NF($K555,"ORMSTRNM")</t>
  </si>
  <si>
    <t>=NF($K555,"ORDOCNUM")</t>
  </si>
  <si>
    <t>=NF($K555,"REFRENCE")</t>
  </si>
  <si>
    <t>=NF($K555,"DSCRIPTN")</t>
  </si>
  <si>
    <t>=NF($K555,"DEBITAMT")</t>
  </si>
  <si>
    <t>=IF($K554="",0,-NF($K554,"CRDTAMNT"))</t>
  </si>
  <si>
    <t>=SUM(R555:S555)</t>
  </si>
  <si>
    <t>=NF($K556,"TRXDATE")</t>
  </si>
  <si>
    <t>=NF($K556,"JRNENTRY")</t>
  </si>
  <si>
    <t>=NF($K556,"ORMSTRNM")</t>
  </si>
  <si>
    <t>=NF($K556,"ORDOCNUM")</t>
  </si>
  <si>
    <t>=NF($K556,"REFRENCE")</t>
  </si>
  <si>
    <t>=NF($K556,"DSCRIPTN")</t>
  </si>
  <si>
    <t>=NF($K556,"DEBITAMT")</t>
  </si>
  <si>
    <t>=IF($K555="",0,-NF($K555,"CRDTAMNT"))</t>
  </si>
  <si>
    <t>=SUM(R556:S556)</t>
  </si>
  <si>
    <t>=NF($K557,"TRXDATE")</t>
  </si>
  <si>
    <t>=NF($K557,"JRNENTRY")</t>
  </si>
  <si>
    <t>=NF($K557,"ORMSTRNM")</t>
  </si>
  <si>
    <t>=NF($K557,"ORDOCNUM")</t>
  </si>
  <si>
    <t>=NF($K557,"REFRENCE")</t>
  </si>
  <si>
    <t>=NF($K557,"DSCRIPTN")</t>
  </si>
  <si>
    <t>=NF($K557,"DEBITAMT")</t>
  </si>
  <si>
    <t>=IF($K556="",0,-NF($K556,"CRDTAMNT"))</t>
  </si>
  <si>
    <t>=SUM(R557:S557)</t>
  </si>
  <si>
    <t>=NF($K558,"TRXDATE")</t>
  </si>
  <si>
    <t>=NF($K558,"JRNENTRY")</t>
  </si>
  <si>
    <t>=NF($K558,"ORMSTRNM")</t>
  </si>
  <si>
    <t>=NF($K558,"ORDOCNUM")</t>
  </si>
  <si>
    <t>=NF($K558,"REFRENCE")</t>
  </si>
  <si>
    <t>=NF($K558,"DSCRIPTN")</t>
  </si>
  <si>
    <t>=NF($K558,"DEBITAMT")</t>
  </si>
  <si>
    <t>=IF($K557="",0,-NF($K557,"CRDTAMNT"))</t>
  </si>
  <si>
    <t>=SUM(R558:S558)</t>
  </si>
  <si>
    <t>=NF($K559,"TRXDATE")</t>
  </si>
  <si>
    <t>=NF($K559,"JRNENTRY")</t>
  </si>
  <si>
    <t>=NF($K559,"ORMSTRNM")</t>
  </si>
  <si>
    <t>=NF($K559,"ORDOCNUM")</t>
  </si>
  <si>
    <t>=NF($K559,"REFRENCE")</t>
  </si>
  <si>
    <t>=NF($K559,"DSCRIPTN")</t>
  </si>
  <si>
    <t>=NF($K559,"DEBITAMT")</t>
  </si>
  <si>
    <t>=IF($K558="",0,-NF($K558,"CRDTAMNT"))</t>
  </si>
  <si>
    <t>=SUM(R559:S559)</t>
  </si>
  <si>
    <t>=NF($K564,"TRXDATE")</t>
  </si>
  <si>
    <t>=NF($K564,"JRNENTRY")</t>
  </si>
  <si>
    <t>=NF($K564,"ORMSTRNM")</t>
  </si>
  <si>
    <t>=NF($K564,"ORDOCNUM")</t>
  </si>
  <si>
    <t>=NF($K564,"REFRENCE")</t>
  </si>
  <si>
    <t>=NF($K564,"DSCRIPTN")</t>
  </si>
  <si>
    <t>=NF($K564,"DEBITAMT")</t>
  </si>
  <si>
    <t>=SUM(R564:S564)</t>
  </si>
  <si>
    <t>=NF($K565,"TRXDATE")</t>
  </si>
  <si>
    <t>=NF($K565,"JRNENTRY")</t>
  </si>
  <si>
    <t>=NF($K565,"ORMSTRNM")</t>
  </si>
  <si>
    <t>=NF($K565,"ORDOCNUM")</t>
  </si>
  <si>
    <t>=NF($K565,"REFRENCE")</t>
  </si>
  <si>
    <t>=NF($K565,"DSCRIPTN")</t>
  </si>
  <si>
    <t>=NF($K565,"DEBITAMT")</t>
  </si>
  <si>
    <t>=IF($K564="",0,-NF($K564,"CRDTAMNT"))</t>
  </si>
  <si>
    <t>=SUM(R565:S565)</t>
  </si>
  <si>
    <t>=NF($K566,"TRXDATE")</t>
  </si>
  <si>
    <t>=NF($K566,"JRNENTRY")</t>
  </si>
  <si>
    <t>=NF($K566,"ORMSTRNM")</t>
  </si>
  <si>
    <t>=NF($K566,"ORDOCNUM")</t>
  </si>
  <si>
    <t>=NF($K566,"REFRENCE")</t>
  </si>
  <si>
    <t>=NF($K566,"DSCRIPTN")</t>
  </si>
  <si>
    <t>=NF($K566,"DEBITAMT")</t>
  </si>
  <si>
    <t>=IF($K565="",0,-NF($K565,"CRDTAMNT"))</t>
  </si>
  <si>
    <t>=SUM(R566:S566)</t>
  </si>
  <si>
    <t>=NF($K571,"TRXDATE")</t>
  </si>
  <si>
    <t>=NF($K571,"JRNENTRY")</t>
  </si>
  <si>
    <t>=NF($K571,"ORMSTRNM")</t>
  </si>
  <si>
    <t>=NF($K571,"ORDOCNUM")</t>
  </si>
  <si>
    <t>=NF($K571,"REFRENCE")</t>
  </si>
  <si>
    <t>=NF($K571,"DSCRIPTN")</t>
  </si>
  <si>
    <t>=NF($K571,"DEBITAMT")</t>
  </si>
  <si>
    <t>=IF($K571="",0,-NF($K571,"CRDTAMNT"))</t>
  </si>
  <si>
    <t>=SUM(R571:S571)</t>
  </si>
  <si>
    <t>=NF($K572,"TRXDATE")</t>
  </si>
  <si>
    <t>=NF($K572,"JRNENTRY")</t>
  </si>
  <si>
    <t>=NF($K572,"ORMSTRNM")</t>
  </si>
  <si>
    <t>=NF($K572,"ORDOCNUM")</t>
  </si>
  <si>
    <t>=NF($K572,"REFRENCE")</t>
  </si>
  <si>
    <t>=NF($K572,"DSCRIPTN")</t>
  </si>
  <si>
    <t>=NF($K572,"DEBITAMT")</t>
  </si>
  <si>
    <t>=SUM(R572:S572)</t>
  </si>
  <si>
    <t>=NF($K573,"TRXDATE")</t>
  </si>
  <si>
    <t>=NF($K573,"JRNENTRY")</t>
  </si>
  <si>
    <t>=NF($K573,"ORMSTRNM")</t>
  </si>
  <si>
    <t>=NF($K573,"ORDOCNUM")</t>
  </si>
  <si>
    <t>=NF($K573,"REFRENCE")</t>
  </si>
  <si>
    <t>=NF($K573,"DSCRIPTN")</t>
  </si>
  <si>
    <t>=NF($K573,"DEBITAMT")</t>
  </si>
  <si>
    <t>=IF($K572="",0,-NF($K572,"CRDTAMNT"))</t>
  </si>
  <si>
    <t>=SUM(R573:S573)</t>
  </si>
  <si>
    <t>=NF($K574,"TRXDATE")</t>
  </si>
  <si>
    <t>=NF($K574,"JRNENTRY")</t>
  </si>
  <si>
    <t>=NF($K574,"ORMSTRNM")</t>
  </si>
  <si>
    <t>=NF($K574,"ORDOCNUM")</t>
  </si>
  <si>
    <t>=NF($K574,"REFRENCE")</t>
  </si>
  <si>
    <t>=NF($K574,"DSCRIPTN")</t>
  </si>
  <si>
    <t>=NF($K574,"DEBITAMT")</t>
  </si>
  <si>
    <t>=IF($K573="",0,-NF($K573,"CRDTAMNT"))</t>
  </si>
  <si>
    <t>=SUM(R574:S574)</t>
  </si>
  <si>
    <t>=NF($K575,"TRXDATE")</t>
  </si>
  <si>
    <t>=NF($K575,"JRNENTRY")</t>
  </si>
  <si>
    <t>=NF($K575,"ORMSTRNM")</t>
  </si>
  <si>
    <t>=NF($K575,"ORDOCNUM")</t>
  </si>
  <si>
    <t>=NF($K575,"REFRENCE")</t>
  </si>
  <si>
    <t>=NF($K575,"DSCRIPTN")</t>
  </si>
  <si>
    <t>=NF($K575,"DEBITAMT")</t>
  </si>
  <si>
    <t>=IF($K574="",0,-NF($K574,"CRDTAMNT"))</t>
  </si>
  <si>
    <t>=SUM(R575:S575)</t>
  </si>
  <si>
    <t>=NF($K576,"TRXDATE")</t>
  </si>
  <si>
    <t>=NF($K576,"JRNENTRY")</t>
  </si>
  <si>
    <t>=NF($K576,"ORMSTRNM")</t>
  </si>
  <si>
    <t>=NF($K576,"ORDOCNUM")</t>
  </si>
  <si>
    <t>=NF($K576,"REFRENCE")</t>
  </si>
  <si>
    <t>=NF($K576,"DSCRIPTN")</t>
  </si>
  <si>
    <t>=NF($K576,"DEBITAMT")</t>
  </si>
  <si>
    <t>=IF($K575="",0,-NF($K575,"CRDTAMNT"))</t>
  </si>
  <si>
    <t>=SUM(R576:S576)</t>
  </si>
  <si>
    <t>=NF($K577,"TRXDATE")</t>
  </si>
  <si>
    <t>=NF($K577,"JRNENTRY")</t>
  </si>
  <si>
    <t>=NF($K577,"ORMSTRNM")</t>
  </si>
  <si>
    <t>=NF($K577,"ORDOCNUM")</t>
  </si>
  <si>
    <t>=NF($K577,"REFRENCE")</t>
  </si>
  <si>
    <t>=NF($K577,"DSCRIPTN")</t>
  </si>
  <si>
    <t>=NF($K577,"DEBITAMT")</t>
  </si>
  <si>
    <t>=IF($K576="",0,-NF($K576,"CRDTAMNT"))</t>
  </si>
  <si>
    <t>=SUM(R577:S577)</t>
  </si>
  <si>
    <t>=NF($K578,"TRXDATE")</t>
  </si>
  <si>
    <t>=NF($K578,"JRNENTRY")</t>
  </si>
  <si>
    <t>=NF($K578,"ORMSTRNM")</t>
  </si>
  <si>
    <t>=NF($K578,"ORDOCNUM")</t>
  </si>
  <si>
    <t>=NF($K578,"REFRENCE")</t>
  </si>
  <si>
    <t>=NF($K578,"DSCRIPTN")</t>
  </si>
  <si>
    <t>=NF($K578,"DEBITAMT")</t>
  </si>
  <si>
    <t>=IF($K577="",0,-NF($K577,"CRDTAMNT"))</t>
  </si>
  <si>
    <t>=SUM(R578:S578)</t>
  </si>
  <si>
    <t>=NF($K579,"TRXDATE")</t>
  </si>
  <si>
    <t>=NF($K579,"JRNENTRY")</t>
  </si>
  <si>
    <t>=NF($K579,"ORMSTRNM")</t>
  </si>
  <si>
    <t>=NF($K579,"ORDOCNUM")</t>
  </si>
  <si>
    <t>=NF($K579,"REFRENCE")</t>
  </si>
  <si>
    <t>=NF($K579,"DSCRIPTN")</t>
  </si>
  <si>
    <t>=NF($K579,"DEBITAMT")</t>
  </si>
  <si>
    <t>=IF($K578="",0,-NF($K578,"CRDTAMNT"))</t>
  </si>
  <si>
    <t>=SUM(R579:S579)</t>
  </si>
  <si>
    <t>=NF($K580,"TRXDATE")</t>
  </si>
  <si>
    <t>=NF($K580,"JRNENTRY")</t>
  </si>
  <si>
    <t>=NF($K580,"ORMSTRNM")</t>
  </si>
  <si>
    <t>=NF($K580,"ORDOCNUM")</t>
  </si>
  <si>
    <t>=NF($K580,"REFRENCE")</t>
  </si>
  <si>
    <t>=NF($K580,"DSCRIPTN")</t>
  </si>
  <si>
    <t>=NF($K580,"DEBITAMT")</t>
  </si>
  <si>
    <t>=IF($K579="",0,-NF($K579,"CRDTAMNT"))</t>
  </si>
  <si>
    <t>=SUM(R580:S580)</t>
  </si>
  <si>
    <t>=NF($K581,"TRXDATE")</t>
  </si>
  <si>
    <t>=NF($K581,"JRNENTRY")</t>
  </si>
  <si>
    <t>=NF($K581,"ORMSTRNM")</t>
  </si>
  <si>
    <t>=NF($K581,"ORDOCNUM")</t>
  </si>
  <si>
    <t>=NF($K581,"REFRENCE")</t>
  </si>
  <si>
    <t>=NF($K581,"DSCRIPTN")</t>
  </si>
  <si>
    <t>=NF($K581,"DEBITAMT")</t>
  </si>
  <si>
    <t>=IF($K580="",0,-NF($K580,"CRDTAMNT"))</t>
  </si>
  <si>
    <t>=SUM(R581:S581)</t>
  </si>
  <si>
    <t>=NF($K582,"TRXDATE")</t>
  </si>
  <si>
    <t>=NF($K582,"JRNENTRY")</t>
  </si>
  <si>
    <t>=NF($K582,"ORMSTRNM")</t>
  </si>
  <si>
    <t>=NF($K582,"ORDOCNUM")</t>
  </si>
  <si>
    <t>=NF($K582,"REFRENCE")</t>
  </si>
  <si>
    <t>=NF($K582,"DSCRIPTN")</t>
  </si>
  <si>
    <t>=NF($K582,"DEBITAMT")</t>
  </si>
  <si>
    <t>=IF($K581="",0,-NF($K581,"CRDTAMNT"))</t>
  </si>
  <si>
    <t>=SUM(R582:S582)</t>
  </si>
  <si>
    <t>=NF($K583,"TRXDATE")</t>
  </si>
  <si>
    <t>=NF($K583,"JRNENTRY")</t>
  </si>
  <si>
    <t>=NF($K583,"ORMSTRNM")</t>
  </si>
  <si>
    <t>=NF($K583,"ORDOCNUM")</t>
  </si>
  <si>
    <t>=NF($K583,"REFRENCE")</t>
  </si>
  <si>
    <t>=NF($K583,"DSCRIPTN")</t>
  </si>
  <si>
    <t>=NF($K583,"DEBITAMT")</t>
  </si>
  <si>
    <t>=IF($K582="",0,-NF($K582,"CRDTAMNT"))</t>
  </si>
  <si>
    <t>=SUM(R583:S583)</t>
  </si>
  <si>
    <t>=NF($K584,"TRXDATE")</t>
  </si>
  <si>
    <t>=NF($K584,"JRNENTRY")</t>
  </si>
  <si>
    <t>=NF($K584,"ORMSTRNM")</t>
  </si>
  <si>
    <t>=NF($K584,"ORDOCNUM")</t>
  </si>
  <si>
    <t>=NF($K584,"REFRENCE")</t>
  </si>
  <si>
    <t>=NF($K584,"DSCRIPTN")</t>
  </si>
  <si>
    <t>=NF($K584,"DEBITAMT")</t>
  </si>
  <si>
    <t>=IF($K583="",0,-NF($K583,"CRDTAMNT"))</t>
  </si>
  <si>
    <t>=SUM(R584:S584)</t>
  </si>
  <si>
    <t>=NF($K585,"TRXDATE")</t>
  </si>
  <si>
    <t>=NF($K585,"JRNENTRY")</t>
  </si>
  <si>
    <t>=NF($K585,"ORMSTRNM")</t>
  </si>
  <si>
    <t>=NF($K585,"ORDOCNUM")</t>
  </si>
  <si>
    <t>=NF($K585,"REFRENCE")</t>
  </si>
  <si>
    <t>=NF($K585,"DSCRIPTN")</t>
  </si>
  <si>
    <t>=NF($K585,"DEBITAMT")</t>
  </si>
  <si>
    <t>=IF($K584="",0,-NF($K584,"CRDTAMNT"))</t>
  </si>
  <si>
    <t>=SUM(R585:S585)</t>
  </si>
  <si>
    <t>=NF($K586,"TRXDATE")</t>
  </si>
  <si>
    <t>=NF($K586,"JRNENTRY")</t>
  </si>
  <si>
    <t>=NF($K586,"ORMSTRNM")</t>
  </si>
  <si>
    <t>=NF($K586,"ORDOCNUM")</t>
  </si>
  <si>
    <t>=NF($K586,"REFRENCE")</t>
  </si>
  <si>
    <t>=NF($K586,"DSCRIPTN")</t>
  </si>
  <si>
    <t>=NF($K586,"DEBITAMT")</t>
  </si>
  <si>
    <t>=IF($K585="",0,-NF($K585,"CRDTAMNT"))</t>
  </si>
  <si>
    <t>=SUM(R586:S586)</t>
  </si>
  <si>
    <t>=NF($K587,"TRXDATE")</t>
  </si>
  <si>
    <t>=NF($K587,"JRNENTRY")</t>
  </si>
  <si>
    <t>=NF($K587,"ORMSTRNM")</t>
  </si>
  <si>
    <t>=NF($K587,"ORDOCNUM")</t>
  </si>
  <si>
    <t>=NF($K587,"REFRENCE")</t>
  </si>
  <si>
    <t>=NF($K587,"DSCRIPTN")</t>
  </si>
  <si>
    <t>=NF($K587,"DEBITAMT")</t>
  </si>
  <si>
    <t>=IF($K586="",0,-NF($K586,"CRDTAMNT"))</t>
  </si>
  <si>
    <t>=SUM(R587:S587)</t>
  </si>
  <si>
    <t>=NF($K588,"TRXDATE")</t>
  </si>
  <si>
    <t>=NF($K588,"JRNENTRY")</t>
  </si>
  <si>
    <t>=NF($K588,"ORMSTRNM")</t>
  </si>
  <si>
    <t>=NF($K588,"ORDOCNUM")</t>
  </si>
  <si>
    <t>=NF($K588,"REFRENCE")</t>
  </si>
  <si>
    <t>=NF($K588,"DSCRIPTN")</t>
  </si>
  <si>
    <t>=NF($K588,"DEBITAMT")</t>
  </si>
  <si>
    <t>=IF($K587="",0,-NF($K587,"CRDTAMNT"))</t>
  </si>
  <si>
    <t>=SUM(R588:S588)</t>
  </si>
  <si>
    <t>=NF($K589,"TRXDATE")</t>
  </si>
  <si>
    <t>=NF($K589,"JRNENTRY")</t>
  </si>
  <si>
    <t>=NF($K589,"ORMSTRNM")</t>
  </si>
  <si>
    <t>=NF($K589,"ORDOCNUM")</t>
  </si>
  <si>
    <t>=NF($K589,"REFRENCE")</t>
  </si>
  <si>
    <t>=NF($K589,"DSCRIPTN")</t>
  </si>
  <si>
    <t>=NF($K589,"DEBITAMT")</t>
  </si>
  <si>
    <t>=IF($K588="",0,-NF($K588,"CRDTAMNT"))</t>
  </si>
  <si>
    <t>=SUM(R589:S589)</t>
  </si>
  <si>
    <t>=NF($K590,"TRXDATE")</t>
  </si>
  <si>
    <t>=NF($K590,"JRNENTRY")</t>
  </si>
  <si>
    <t>=NF($K590,"ORMSTRNM")</t>
  </si>
  <si>
    <t>=NF($K590,"ORDOCNUM")</t>
  </si>
  <si>
    <t>=NF($K590,"REFRENCE")</t>
  </si>
  <si>
    <t>=NF($K590,"DSCRIPTN")</t>
  </si>
  <si>
    <t>=NF($K590,"DEBITAMT")</t>
  </si>
  <si>
    <t>=IF($K589="",0,-NF($K589,"CRDTAMNT"))</t>
  </si>
  <si>
    <t>=SUM(R590:S590)</t>
  </si>
  <si>
    <t>=NF($K597,"TRXDATE")</t>
  </si>
  <si>
    <t>=NF($K597,"JRNENTRY")</t>
  </si>
  <si>
    <t>=NF($K597,"ORMSTRNM")</t>
  </si>
  <si>
    <t>=NF($K597,"ORDOCNUM")</t>
  </si>
  <si>
    <t>=NF($K597,"REFRENCE")</t>
  </si>
  <si>
    <t>=NF($K597,"DSCRIPTN")</t>
  </si>
  <si>
    <t>=NF($K597,"DEBITAMT")</t>
  </si>
  <si>
    <t>=SUM(R597:S597)</t>
  </si>
  <si>
    <t>=NF($K598,"TRXDATE")</t>
  </si>
  <si>
    <t>=NF($K598,"JRNENTRY")</t>
  </si>
  <si>
    <t>=NF($K598,"ORMSTRNM")</t>
  </si>
  <si>
    <t>=NF($K598,"ORDOCNUM")</t>
  </si>
  <si>
    <t>=NF($K598,"REFRENCE")</t>
  </si>
  <si>
    <t>=NF($K598,"DSCRIPTN")</t>
  </si>
  <si>
    <t>=NF($K598,"DEBITAMT")</t>
  </si>
  <si>
    <t>=IF($K597="",0,-NF($K597,"CRDTAMNT"))</t>
  </si>
  <si>
    <t>=SUM(R598:S598)</t>
  </si>
  <si>
    <t>=NF($K599,"TRXDATE")</t>
  </si>
  <si>
    <t>=NF($K599,"JRNENTRY")</t>
  </si>
  <si>
    <t>=NF($K599,"ORMSTRNM")</t>
  </si>
  <si>
    <t>=NF($K599,"ORDOCNUM")</t>
  </si>
  <si>
    <t>=NF($K599,"REFRENCE")</t>
  </si>
  <si>
    <t>=NF($K599,"DSCRIPTN")</t>
  </si>
  <si>
    <t>=NF($K599,"DEBITAMT")</t>
  </si>
  <si>
    <t>=IF($K598="",0,-NF($K598,"CRDTAMNT"))</t>
  </si>
  <si>
    <t>=SUM(R599:S599)</t>
  </si>
  <si>
    <t>=NF($K600,"TRXDATE")</t>
  </si>
  <si>
    <t>=NF($K600,"JRNENTRY")</t>
  </si>
  <si>
    <t>=NF($K600,"ORMSTRNM")</t>
  </si>
  <si>
    <t>=NF($K600,"ORDOCNUM")</t>
  </si>
  <si>
    <t>=NF($K600,"REFRENCE")</t>
  </si>
  <si>
    <t>=NF($K600,"DSCRIPTN")</t>
  </si>
  <si>
    <t>=NF($K600,"DEBITAMT")</t>
  </si>
  <si>
    <t>=IF($K599="",0,-NF($K599,"CRDTAMNT"))</t>
  </si>
  <si>
    <t>=SUM(R600:S600)</t>
  </si>
  <si>
    <t>=NF($K601,"TRXDATE")</t>
  </si>
  <si>
    <t>=NF($K601,"JRNENTRY")</t>
  </si>
  <si>
    <t>=NF($K601,"ORMSTRNM")</t>
  </si>
  <si>
    <t>=NF($K601,"ORDOCNUM")</t>
  </si>
  <si>
    <t>=NF($K601,"REFRENCE")</t>
  </si>
  <si>
    <t>=NF($K601,"DSCRIPTN")</t>
  </si>
  <si>
    <t>=NF($K601,"DEBITAMT")</t>
  </si>
  <si>
    <t>=IF($K600="",0,-NF($K600,"CRDTAMNT"))</t>
  </si>
  <si>
    <t>=SUM(R601:S601)</t>
  </si>
  <si>
    <t>=NF($K602,"TRXDATE")</t>
  </si>
  <si>
    <t>=NF($K602,"JRNENTRY")</t>
  </si>
  <si>
    <t>=NF($K602,"ORMSTRNM")</t>
  </si>
  <si>
    <t>=NF($K602,"ORDOCNUM")</t>
  </si>
  <si>
    <t>=NF($K602,"REFRENCE")</t>
  </si>
  <si>
    <t>=NF($K602,"DSCRIPTN")</t>
  </si>
  <si>
    <t>=NF($K602,"DEBITAMT")</t>
  </si>
  <si>
    <t>=IF($K601="",0,-NF($K601,"CRDTAMNT"))</t>
  </si>
  <si>
    <t>=SUM(R602:S602)</t>
  </si>
  <si>
    <t>=NF($K603,"TRXDATE")</t>
  </si>
  <si>
    <t>=NF($K603,"JRNENTRY")</t>
  </si>
  <si>
    <t>=NF($K603,"ORMSTRNM")</t>
  </si>
  <si>
    <t>=NF($K603,"ORDOCNUM")</t>
  </si>
  <si>
    <t>=NF($K603,"REFRENCE")</t>
  </si>
  <si>
    <t>=NF($K603,"DSCRIPTN")</t>
  </si>
  <si>
    <t>=NF($K603,"DEBITAMT")</t>
  </si>
  <si>
    <t>=IF($K602="",0,-NF($K602,"CRDTAMNT"))</t>
  </si>
  <si>
    <t>=SUM(R603:S603)</t>
  </si>
  <si>
    <t>=NF($K604,"TRXDATE")</t>
  </si>
  <si>
    <t>=NF($K604,"JRNENTRY")</t>
  </si>
  <si>
    <t>=NF($K604,"ORMSTRNM")</t>
  </si>
  <si>
    <t>=NF($K604,"ORDOCNUM")</t>
  </si>
  <si>
    <t>=NF($K604,"REFRENCE")</t>
  </si>
  <si>
    <t>=NF($K604,"DSCRIPTN")</t>
  </si>
  <si>
    <t>=NF($K604,"DEBITAMT")</t>
  </si>
  <si>
    <t>=IF($K603="",0,-NF($K603,"CRDTAMNT"))</t>
  </si>
  <si>
    <t>=SUM(R604:S604)</t>
  </si>
  <si>
    <t>=NF($K605,"TRXDATE")</t>
  </si>
  <si>
    <t>=NF($K605,"JRNENTRY")</t>
  </si>
  <si>
    <t>=NF($K605,"ORMSTRNM")</t>
  </si>
  <si>
    <t>=NF($K605,"ORDOCNUM")</t>
  </si>
  <si>
    <t>=NF($K605,"REFRENCE")</t>
  </si>
  <si>
    <t>=NF($K605,"DSCRIPTN")</t>
  </si>
  <si>
    <t>=NF($K605,"DEBITAMT")</t>
  </si>
  <si>
    <t>=IF($K604="",0,-NF($K604,"CRDTAMNT"))</t>
  </si>
  <si>
    <t>=SUM(R605:S605)</t>
  </si>
  <si>
    <t>=NF($K606,"TRXDATE")</t>
  </si>
  <si>
    <t>=NF($K606,"JRNENTRY")</t>
  </si>
  <si>
    <t>=NF($K606,"ORMSTRNM")</t>
  </si>
  <si>
    <t>=NF($K606,"ORDOCNUM")</t>
  </si>
  <si>
    <t>=NF($K606,"REFRENCE")</t>
  </si>
  <si>
    <t>=NF($K606,"DSCRIPTN")</t>
  </si>
  <si>
    <t>=NF($K606,"DEBITAMT")</t>
  </si>
  <si>
    <t>=IF($K605="",0,-NF($K605,"CRDTAMNT"))</t>
  </si>
  <si>
    <t>=SUM(R606:S606)</t>
  </si>
  <si>
    <t>=NF($K607,"TRXDATE")</t>
  </si>
  <si>
    <t>=NF($K607,"JRNENTRY")</t>
  </si>
  <si>
    <t>=NF($K607,"ORMSTRNM")</t>
  </si>
  <si>
    <t>=NF($K607,"ORDOCNUM")</t>
  </si>
  <si>
    <t>=NF($K607,"REFRENCE")</t>
  </si>
  <si>
    <t>=NF($K607,"DSCRIPTN")</t>
  </si>
  <si>
    <t>=NF($K607,"DEBITAMT")</t>
  </si>
  <si>
    <t>=IF($K606="",0,-NF($K606,"CRDTAMNT"))</t>
  </si>
  <si>
    <t>=SUM(R607:S607)</t>
  </si>
  <si>
    <t>=NF($K608,"TRXDATE")</t>
  </si>
  <si>
    <t>=NF($K608,"JRNENTRY")</t>
  </si>
  <si>
    <t>=NF($K608,"ORMSTRNM")</t>
  </si>
  <si>
    <t>=NF($K608,"ORDOCNUM")</t>
  </si>
  <si>
    <t>=NF($K608,"REFRENCE")</t>
  </si>
  <si>
    <t>=NF($K608,"DSCRIPTN")</t>
  </si>
  <si>
    <t>=NF($K608,"DEBITAMT")</t>
  </si>
  <si>
    <t>=IF($K607="",0,-NF($K607,"CRDTAMNT"))</t>
  </si>
  <si>
    <t>=SUM(R608:S608)</t>
  </si>
  <si>
    <t>=NF($K609,"TRXDATE")</t>
  </si>
  <si>
    <t>=NF($K609,"JRNENTRY")</t>
  </si>
  <si>
    <t>=NF($K609,"ORMSTRNM")</t>
  </si>
  <si>
    <t>=NF($K609,"ORDOCNUM")</t>
  </si>
  <si>
    <t>=NF($K609,"REFRENCE")</t>
  </si>
  <si>
    <t>=NF($K609,"DSCRIPTN")</t>
  </si>
  <si>
    <t>=NF($K609,"DEBITAMT")</t>
  </si>
  <si>
    <t>=IF($K608="",0,-NF($K608,"CRDTAMNT"))</t>
  </si>
  <si>
    <t>=SUM(R609:S609)</t>
  </si>
  <si>
    <t>=NF($K610,"TRXDATE")</t>
  </si>
  <si>
    <t>=NF($K610,"JRNENTRY")</t>
  </si>
  <si>
    <t>=NF($K610,"ORMSTRNM")</t>
  </si>
  <si>
    <t>=NF($K610,"ORDOCNUM")</t>
  </si>
  <si>
    <t>=NF($K610,"REFRENCE")</t>
  </si>
  <si>
    <t>=NF($K610,"DSCRIPTN")</t>
  </si>
  <si>
    <t>=NF($K610,"DEBITAMT")</t>
  </si>
  <si>
    <t>=IF($K609="",0,-NF($K609,"CRDTAMNT"))</t>
  </si>
  <si>
    <t>=SUM(R610:S610)</t>
  </si>
  <si>
    <t>=NF($K611,"TRXDATE")</t>
  </si>
  <si>
    <t>=NF($K611,"JRNENTRY")</t>
  </si>
  <si>
    <t>=NF($K611,"ORMSTRNM")</t>
  </si>
  <si>
    <t>=NF($K611,"ORDOCNUM")</t>
  </si>
  <si>
    <t>=NF($K611,"REFRENCE")</t>
  </si>
  <si>
    <t>=NF($K611,"DSCRIPTN")</t>
  </si>
  <si>
    <t>=NF($K611,"DEBITAMT")</t>
  </si>
  <si>
    <t>=IF($K610="",0,-NF($K610,"CRDTAMNT"))</t>
  </si>
  <si>
    <t>=SUM(R611:S611)</t>
  </si>
  <si>
    <t>=NF($K612,"TRXDATE")</t>
  </si>
  <si>
    <t>=NF($K612,"JRNENTRY")</t>
  </si>
  <si>
    <t>=NF($K612,"ORMSTRNM")</t>
  </si>
  <si>
    <t>=NF($K612,"ORDOCNUM")</t>
  </si>
  <si>
    <t>=NF($K612,"REFRENCE")</t>
  </si>
  <si>
    <t>=NF($K612,"DSCRIPTN")</t>
  </si>
  <si>
    <t>=NF($K612,"DEBITAMT")</t>
  </si>
  <si>
    <t>=IF($K611="",0,-NF($K611,"CRDTAMNT"))</t>
  </si>
  <si>
    <t>=SUM(R612:S612)</t>
  </si>
  <si>
    <t>=NF($K613,"TRXDATE")</t>
  </si>
  <si>
    <t>=NF($K613,"JRNENTRY")</t>
  </si>
  <si>
    <t>=NF($K613,"ORMSTRNM")</t>
  </si>
  <si>
    <t>=NF($K613,"ORDOCNUM")</t>
  </si>
  <si>
    <t>=NF($K613,"REFRENCE")</t>
  </si>
  <si>
    <t>=NF($K613,"DSCRIPTN")</t>
  </si>
  <si>
    <t>=NF($K613,"DEBITAMT")</t>
  </si>
  <si>
    <t>=IF($K612="",0,-NF($K612,"CRDTAMNT"))</t>
  </si>
  <si>
    <t>=SUM(R613:S613)</t>
  </si>
  <si>
    <t>=NF($K614,"TRXDATE")</t>
  </si>
  <si>
    <t>=NF($K614,"JRNENTRY")</t>
  </si>
  <si>
    <t>=NF($K614,"ORMSTRNM")</t>
  </si>
  <si>
    <t>=NF($K614,"ORDOCNUM")</t>
  </si>
  <si>
    <t>=NF($K614,"REFRENCE")</t>
  </si>
  <si>
    <t>=NF($K614,"DSCRIPTN")</t>
  </si>
  <si>
    <t>=NF($K614,"DEBITAMT")</t>
  </si>
  <si>
    <t>=IF($K613="",0,-NF($K613,"CRDTAMNT"))</t>
  </si>
  <si>
    <t>=SUM(R614:S614)</t>
  </si>
  <si>
    <t>=NF($K615,"TRXDATE")</t>
  </si>
  <si>
    <t>=NF($K615,"JRNENTRY")</t>
  </si>
  <si>
    <t>=NF($K615,"ORMSTRNM")</t>
  </si>
  <si>
    <t>=NF($K615,"ORDOCNUM")</t>
  </si>
  <si>
    <t>=NF($K615,"REFRENCE")</t>
  </si>
  <si>
    <t>=NF($K615,"DSCRIPTN")</t>
  </si>
  <si>
    <t>=NF($K615,"DEBITAMT")</t>
  </si>
  <si>
    <t>=IF($K614="",0,-NF($K614,"CRDTAMNT"))</t>
  </si>
  <si>
    <t>=SUM(R615:S615)</t>
  </si>
  <si>
    <t>=NF($K616,"TRXDATE")</t>
  </si>
  <si>
    <t>=NF($K616,"JRNENTRY")</t>
  </si>
  <si>
    <t>=NF($K616,"ORMSTRNM")</t>
  </si>
  <si>
    <t>=NF($K616,"ORDOCNUM")</t>
  </si>
  <si>
    <t>=NF($K616,"REFRENCE")</t>
  </si>
  <si>
    <t>=NF($K616,"DSCRIPTN")</t>
  </si>
  <si>
    <t>=NF($K616,"DEBITAMT")</t>
  </si>
  <si>
    <t>=IF($K615="",0,-NF($K615,"CRDTAMNT"))</t>
  </si>
  <si>
    <t>=SUM(R616:S616)</t>
  </si>
  <si>
    <t>=NF($K617,"TRXDATE")</t>
  </si>
  <si>
    <t>=NF($K617,"JRNENTRY")</t>
  </si>
  <si>
    <t>=NF($K617,"ORMSTRNM")</t>
  </si>
  <si>
    <t>=NF($K617,"ORDOCNUM")</t>
  </si>
  <si>
    <t>=NF($K617,"REFRENCE")</t>
  </si>
  <si>
    <t>=NF($K617,"DSCRIPTN")</t>
  </si>
  <si>
    <t>=NF($K617,"DEBITAMT")</t>
  </si>
  <si>
    <t>=IF($K616="",0,-NF($K616,"CRDTAMNT"))</t>
  </si>
  <si>
    <t>=SUM(R617:S617)</t>
  </si>
  <si>
    <t>=NF($K618,"TRXDATE")</t>
  </si>
  <si>
    <t>=NF($K618,"JRNENTRY")</t>
  </si>
  <si>
    <t>=NF($K618,"ORMSTRNM")</t>
  </si>
  <si>
    <t>=NF($K618,"ORDOCNUM")</t>
  </si>
  <si>
    <t>=NF($K618,"REFRENCE")</t>
  </si>
  <si>
    <t>=NF($K618,"DSCRIPTN")</t>
  </si>
  <si>
    <t>=NF($K618,"DEBITAMT")</t>
  </si>
  <si>
    <t>=IF($K617="",0,-NF($K617,"CRDTAMNT"))</t>
  </si>
  <si>
    <t>=SUM(R618:S618)</t>
  </si>
  <si>
    <t>=NF($K619,"TRXDATE")</t>
  </si>
  <si>
    <t>=NF($K619,"JRNENTRY")</t>
  </si>
  <si>
    <t>=NF($K619,"ORMSTRNM")</t>
  </si>
  <si>
    <t>=NF($K619,"ORDOCNUM")</t>
  </si>
  <si>
    <t>=NF($K619,"REFRENCE")</t>
  </si>
  <si>
    <t>=NF($K619,"DSCRIPTN")</t>
  </si>
  <si>
    <t>=NF($K619,"DEBITAMT")</t>
  </si>
  <si>
    <t>=IF($K618="",0,-NF($K618,"CRDTAMNT"))</t>
  </si>
  <si>
    <t>=SUM(R619:S619)</t>
  </si>
  <si>
    <t>=NF($K620,"TRXDATE")</t>
  </si>
  <si>
    <t>=NF($K620,"JRNENTRY")</t>
  </si>
  <si>
    <t>=NF($K620,"ORMSTRNM")</t>
  </si>
  <si>
    <t>=NF($K620,"ORDOCNUM")</t>
  </si>
  <si>
    <t>=NF($K620,"REFRENCE")</t>
  </si>
  <si>
    <t>=NF($K620,"DSCRIPTN")</t>
  </si>
  <si>
    <t>=NF($K620,"DEBITAMT")</t>
  </si>
  <si>
    <t>=IF($K619="",0,-NF($K619,"CRDTAMNT"))</t>
  </si>
  <si>
    <t>=SUM(R620:S620)</t>
  </si>
  <si>
    <t>=NF($K621,"TRXDATE")</t>
  </si>
  <si>
    <t>=NF($K621,"JRNENTRY")</t>
  </si>
  <si>
    <t>=NF($K621,"ORMSTRNM")</t>
  </si>
  <si>
    <t>=NF($K621,"ORDOCNUM")</t>
  </si>
  <si>
    <t>=NF($K621,"REFRENCE")</t>
  </si>
  <si>
    <t>=NF($K621,"DSCRIPTN")</t>
  </si>
  <si>
    <t>=NF($K621,"DEBITAMT")</t>
  </si>
  <si>
    <t>=IF($K620="",0,-NF($K620,"CRDTAMNT"))</t>
  </si>
  <si>
    <t>=SUM(R621:S621)</t>
  </si>
  <si>
    <t>=NF($K622,"TRXDATE")</t>
  </si>
  <si>
    <t>=NF($K622,"JRNENTRY")</t>
  </si>
  <si>
    <t>=NF($K622,"ORMSTRNM")</t>
  </si>
  <si>
    <t>=NF($K622,"ORDOCNUM")</t>
  </si>
  <si>
    <t>=NF($K622,"REFRENCE")</t>
  </si>
  <si>
    <t>=NF($K622,"DSCRIPTN")</t>
  </si>
  <si>
    <t>=NF($K622,"DEBITAMT")</t>
  </si>
  <si>
    <t>=IF($K621="",0,-NF($K621,"CRDTAMNT"))</t>
  </si>
  <si>
    <t>=SUM(R622:S622)</t>
  </si>
  <si>
    <t>=NF($K623,"TRXDATE")</t>
  </si>
  <si>
    <t>=NF($K623,"JRNENTRY")</t>
  </si>
  <si>
    <t>=NF($K623,"ORMSTRNM")</t>
  </si>
  <si>
    <t>=NF($K623,"ORDOCNUM")</t>
  </si>
  <si>
    <t>=NF($K623,"REFRENCE")</t>
  </si>
  <si>
    <t>=NF($K623,"DSCRIPTN")</t>
  </si>
  <si>
    <t>=NF($K623,"DEBITAMT")</t>
  </si>
  <si>
    <t>=IF($K622="",0,-NF($K622,"CRDTAMNT"))</t>
  </si>
  <si>
    <t>=SUM(R623:S623)</t>
  </si>
  <si>
    <t>=NF($K624,"TRXDATE")</t>
  </si>
  <si>
    <t>=NF($K624,"JRNENTRY")</t>
  </si>
  <si>
    <t>=NF($K624,"ORMSTRNM")</t>
  </si>
  <si>
    <t>=NF($K624,"ORDOCNUM")</t>
  </si>
  <si>
    <t>=NF($K624,"REFRENCE")</t>
  </si>
  <si>
    <t>=NF($K624,"DSCRIPTN")</t>
  </si>
  <si>
    <t>=NF($K624,"DEBITAMT")</t>
  </si>
  <si>
    <t>=IF($K623="",0,-NF($K623,"CRDTAMNT"))</t>
  </si>
  <si>
    <t>=SUM(R624:S624)</t>
  </si>
  <si>
    <t>=NF($K625,"TRXDATE")</t>
  </si>
  <si>
    <t>=NF($K625,"JRNENTRY")</t>
  </si>
  <si>
    <t>=NF($K625,"ORMSTRNM")</t>
  </si>
  <si>
    <t>=NF($K625,"ORDOCNUM")</t>
  </si>
  <si>
    <t>=NF($K625,"REFRENCE")</t>
  </si>
  <si>
    <t>=NF($K625,"DSCRIPTN")</t>
  </si>
  <si>
    <t>=NF($K625,"DEBITAMT")</t>
  </si>
  <si>
    <t>=IF($K624="",0,-NF($K624,"CRDTAMNT"))</t>
  </si>
  <si>
    <t>=SUM(R625:S625)</t>
  </si>
  <si>
    <t>=NF($K634,"TRXDATE")</t>
  </si>
  <si>
    <t>=NF($K634,"JRNENTRY")</t>
  </si>
  <si>
    <t>=NF($K634,"ORMSTRNM")</t>
  </si>
  <si>
    <t>=NF($K634,"ORDOCNUM")</t>
  </si>
  <si>
    <t>=NF($K634,"REFRENCE")</t>
  </si>
  <si>
    <t>=NF($K634,"DSCRIPTN")</t>
  </si>
  <si>
    <t>=NF($K634,"DEBITAMT")</t>
  </si>
  <si>
    <t>=SUM(R634:S634)</t>
  </si>
  <si>
    <t>=NF($K635,"TRXDATE")</t>
  </si>
  <si>
    <t>=NF($K635,"JRNENTRY")</t>
  </si>
  <si>
    <t>=NF($K635,"ORMSTRNM")</t>
  </si>
  <si>
    <t>=NF($K635,"ORDOCNUM")</t>
  </si>
  <si>
    <t>=NF($K635,"REFRENCE")</t>
  </si>
  <si>
    <t>=NF($K635,"DSCRIPTN")</t>
  </si>
  <si>
    <t>=NF($K635,"DEBITAMT")</t>
  </si>
  <si>
    <t>=IF($K634="",0,-NF($K634,"CRDTAMNT"))</t>
  </si>
  <si>
    <t>=SUM(R635:S635)</t>
  </si>
  <si>
    <t>=NF($K636,"TRXDATE")</t>
  </si>
  <si>
    <t>=NF($K636,"JRNENTRY")</t>
  </si>
  <si>
    <t>=NF($K636,"ORMSTRNM")</t>
  </si>
  <si>
    <t>=NF($K636,"ORDOCNUM")</t>
  </si>
  <si>
    <t>=NF($K636,"REFRENCE")</t>
  </si>
  <si>
    <t>=NF($K636,"DSCRIPTN")</t>
  </si>
  <si>
    <t>=NF($K636,"DEBITAMT")</t>
  </si>
  <si>
    <t>=IF($K635="",0,-NF($K635,"CRDTAMNT"))</t>
  </si>
  <si>
    <t>=SUM(R636:S636)</t>
  </si>
  <si>
    <t>=NF($K637,"TRXDATE")</t>
  </si>
  <si>
    <t>=NF($K637,"JRNENTRY")</t>
  </si>
  <si>
    <t>=NF($K637,"ORMSTRNM")</t>
  </si>
  <si>
    <t>=NF($K637,"ORDOCNUM")</t>
  </si>
  <si>
    <t>=NF($K637,"REFRENCE")</t>
  </si>
  <si>
    <t>=NF($K637,"DSCRIPTN")</t>
  </si>
  <si>
    <t>=NF($K637,"DEBITAMT")</t>
  </si>
  <si>
    <t>=IF($K636="",0,-NF($K636,"CRDTAMNT"))</t>
  </si>
  <si>
    <t>=SUM(R637:S637)</t>
  </si>
  <si>
    <t>=NF($K638,"TRXDATE")</t>
  </si>
  <si>
    <t>=NF($K638,"JRNENTRY")</t>
  </si>
  <si>
    <t>=NF($K638,"ORMSTRNM")</t>
  </si>
  <si>
    <t>=NF($K638,"ORDOCNUM")</t>
  </si>
  <si>
    <t>=NF($K638,"REFRENCE")</t>
  </si>
  <si>
    <t>=NF($K638,"DSCRIPTN")</t>
  </si>
  <si>
    <t>=NF($K638,"DEBITAMT")</t>
  </si>
  <si>
    <t>=IF($K637="",0,-NF($K637,"CRDTAMNT"))</t>
  </si>
  <si>
    <t>=SUM(R638:S638)</t>
  </si>
  <si>
    <t>=NF($K639,"TRXDATE")</t>
  </si>
  <si>
    <t>=NF($K639,"JRNENTRY")</t>
  </si>
  <si>
    <t>=NF($K639,"ORMSTRNM")</t>
  </si>
  <si>
    <t>=NF($K639,"ORDOCNUM")</t>
  </si>
  <si>
    <t>=NF($K639,"REFRENCE")</t>
  </si>
  <si>
    <t>=NF($K639,"DSCRIPTN")</t>
  </si>
  <si>
    <t>=NF($K639,"DEBITAMT")</t>
  </si>
  <si>
    <t>=IF($K638="",0,-NF($K638,"CRDTAMNT"))</t>
  </si>
  <si>
    <t>=SUM(R639:S639)</t>
  </si>
  <si>
    <t>=NF($K640,"TRXDATE")</t>
  </si>
  <si>
    <t>=NF($K640,"JRNENTRY")</t>
  </si>
  <si>
    <t>=NF($K640,"ORMSTRNM")</t>
  </si>
  <si>
    <t>=NF($K640,"ORDOCNUM")</t>
  </si>
  <si>
    <t>=NF($K640,"REFRENCE")</t>
  </si>
  <si>
    <t>=NF($K640,"DSCRIPTN")</t>
  </si>
  <si>
    <t>=NF($K640,"DEBITAMT")</t>
  </si>
  <si>
    <t>=IF($K639="",0,-NF($K639,"CRDTAMNT"))</t>
  </si>
  <si>
    <t>=SUM(R640:S640)</t>
  </si>
  <si>
    <t>=NF($K641,"TRXDATE")</t>
  </si>
  <si>
    <t>=NF($K641,"JRNENTRY")</t>
  </si>
  <si>
    <t>=NF($K641,"ORMSTRNM")</t>
  </si>
  <si>
    <t>=NF($K641,"ORDOCNUM")</t>
  </si>
  <si>
    <t>=NF($K641,"REFRENCE")</t>
  </si>
  <si>
    <t>=NF($K641,"DSCRIPTN")</t>
  </si>
  <si>
    <t>=NF($K641,"DEBITAMT")</t>
  </si>
  <si>
    <t>=IF($K640="",0,-NF($K640,"CRDTAMNT"))</t>
  </si>
  <si>
    <t>=SUM(R641:S641)</t>
  </si>
  <si>
    <t>=NF($K642,"TRXDATE")</t>
  </si>
  <si>
    <t>=NF($K642,"JRNENTRY")</t>
  </si>
  <si>
    <t>=NF($K642,"ORMSTRNM")</t>
  </si>
  <si>
    <t>=NF($K642,"ORDOCNUM")</t>
  </si>
  <si>
    <t>=NF($K642,"REFRENCE")</t>
  </si>
  <si>
    <t>=NF($K642,"DSCRIPTN")</t>
  </si>
  <si>
    <t>=NF($K642,"DEBITAMT")</t>
  </si>
  <si>
    <t>=IF($K641="",0,-NF($K641,"CRDTAMNT"))</t>
  </si>
  <si>
    <t>=SUM(R642:S642)</t>
  </si>
  <si>
    <t>=NF($K643,"TRXDATE")</t>
  </si>
  <si>
    <t>=NF($K643,"JRNENTRY")</t>
  </si>
  <si>
    <t>=NF($K643,"ORMSTRNM")</t>
  </si>
  <si>
    <t>=NF($K643,"ORDOCNUM")</t>
  </si>
  <si>
    <t>=NF($K643,"REFRENCE")</t>
  </si>
  <si>
    <t>=NF($K643,"DSCRIPTN")</t>
  </si>
  <si>
    <t>=NF($K643,"DEBITAMT")</t>
  </si>
  <si>
    <t>=IF($K642="",0,-NF($K642,"CRDTAMNT"))</t>
  </si>
  <si>
    <t>=SUM(R643:S643)</t>
  </si>
  <si>
    <t>=NF($K644,"TRXDATE")</t>
  </si>
  <si>
    <t>=NF($K644,"JRNENTRY")</t>
  </si>
  <si>
    <t>=NF($K644,"ORMSTRNM")</t>
  </si>
  <si>
    <t>=NF($K644,"ORDOCNUM")</t>
  </si>
  <si>
    <t>=NF($K644,"REFRENCE")</t>
  </si>
  <si>
    <t>=NF($K644,"DSCRIPTN")</t>
  </si>
  <si>
    <t>=NF($K644,"DEBITAMT")</t>
  </si>
  <si>
    <t>=IF($K643="",0,-NF($K643,"CRDTAMNT"))</t>
  </si>
  <si>
    <t>=SUM(R644:S644)</t>
  </si>
  <si>
    <t>=NF($K645,"TRXDATE")</t>
  </si>
  <si>
    <t>=NF($K645,"JRNENTRY")</t>
  </si>
  <si>
    <t>=NF($K645,"ORMSTRNM")</t>
  </si>
  <si>
    <t>=NF($K645,"ORDOCNUM")</t>
  </si>
  <si>
    <t>=NF($K645,"REFRENCE")</t>
  </si>
  <si>
    <t>=NF($K645,"DSCRIPTN")</t>
  </si>
  <si>
    <t>=NF($K645,"DEBITAMT")</t>
  </si>
  <si>
    <t>=IF($K644="",0,-NF($K644,"CRDTAMNT"))</t>
  </si>
  <si>
    <t>=SUM(R645:S645)</t>
  </si>
  <si>
    <t>=NF($K646,"TRXDATE")</t>
  </si>
  <si>
    <t>=NF($K646,"JRNENTRY")</t>
  </si>
  <si>
    <t>=NF($K646,"ORMSTRNM")</t>
  </si>
  <si>
    <t>=NF($K646,"ORDOCNUM")</t>
  </si>
  <si>
    <t>=NF($K646,"REFRENCE")</t>
  </si>
  <si>
    <t>=NF($K646,"DSCRIPTN")</t>
  </si>
  <si>
    <t>=NF($K646,"DEBITAMT")</t>
  </si>
  <si>
    <t>=IF($K645="",0,-NF($K645,"CRDTAMNT"))</t>
  </si>
  <si>
    <t>=SUM(R646:S646)</t>
  </si>
  <si>
    <t>=NF($K647,"TRXDATE")</t>
  </si>
  <si>
    <t>=NF($K647,"JRNENTRY")</t>
  </si>
  <si>
    <t>=NF($K647,"ORMSTRNM")</t>
  </si>
  <si>
    <t>=NF($K647,"ORDOCNUM")</t>
  </si>
  <si>
    <t>=NF($K647,"REFRENCE")</t>
  </si>
  <si>
    <t>=NF($K647,"DSCRIPTN")</t>
  </si>
  <si>
    <t>=NF($K647,"DEBITAMT")</t>
  </si>
  <si>
    <t>=IF($K646="",0,-NF($K646,"CRDTAMNT"))</t>
  </si>
  <si>
    <t>=SUM(R647:S647)</t>
  </si>
  <si>
    <t>=NF($K648,"TRXDATE")</t>
  </si>
  <si>
    <t>=NF($K648,"JRNENTRY")</t>
  </si>
  <si>
    <t>=NF($K648,"ORMSTRNM")</t>
  </si>
  <si>
    <t>=NF($K648,"ORDOCNUM")</t>
  </si>
  <si>
    <t>=NF($K648,"REFRENCE")</t>
  </si>
  <si>
    <t>=NF($K648,"DSCRIPTN")</t>
  </si>
  <si>
    <t>=NF($K648,"DEBITAMT")</t>
  </si>
  <si>
    <t>=IF($K647="",0,-NF($K647,"CRDTAMNT"))</t>
  </si>
  <si>
    <t>=SUM(R648:S648)</t>
  </si>
  <si>
    <t>=NF($K649,"TRXDATE")</t>
  </si>
  <si>
    <t>=NF($K649,"JRNENTRY")</t>
  </si>
  <si>
    <t>=NF($K649,"ORMSTRNM")</t>
  </si>
  <si>
    <t>=NF($K649,"ORDOCNUM")</t>
  </si>
  <si>
    <t>=NF($K649,"REFRENCE")</t>
  </si>
  <si>
    <t>=NF($K649,"DSCRIPTN")</t>
  </si>
  <si>
    <t>=NF($K649,"DEBITAMT")</t>
  </si>
  <si>
    <t>=IF($K648="",0,-NF($K648,"CRDTAMNT"))</t>
  </si>
  <si>
    <t>=SUM(R649:S649)</t>
  </si>
  <si>
    <t>=NF($K650,"TRXDATE")</t>
  </si>
  <si>
    <t>=NF($K650,"JRNENTRY")</t>
  </si>
  <si>
    <t>=NF($K650,"ORMSTRNM")</t>
  </si>
  <si>
    <t>=NF($K650,"ORDOCNUM")</t>
  </si>
  <si>
    <t>=NF($K650,"REFRENCE")</t>
  </si>
  <si>
    <t>=NF($K650,"DSCRIPTN")</t>
  </si>
  <si>
    <t>=NF($K650,"DEBITAMT")</t>
  </si>
  <si>
    <t>=IF($K649="",0,-NF($K649,"CRDTAMNT"))</t>
  </si>
  <si>
    <t>=SUM(R650:S650)</t>
  </si>
  <si>
    <t>=NF($K651,"TRXDATE")</t>
  </si>
  <si>
    <t>=NF($K651,"JRNENTRY")</t>
  </si>
  <si>
    <t>=NF($K651,"ORMSTRNM")</t>
  </si>
  <si>
    <t>=NF($K651,"ORDOCNUM")</t>
  </si>
  <si>
    <t>=NF($K651,"REFRENCE")</t>
  </si>
  <si>
    <t>=NF($K651,"DSCRIPTN")</t>
  </si>
  <si>
    <t>=NF($K651,"DEBITAMT")</t>
  </si>
  <si>
    <t>=IF($K650="",0,-NF($K650,"CRDTAMNT"))</t>
  </si>
  <si>
    <t>=SUM(R651:S651)</t>
  </si>
  <si>
    <t>=NF($K652,"TRXDATE")</t>
  </si>
  <si>
    <t>=NF($K652,"JRNENTRY")</t>
  </si>
  <si>
    <t>=NF($K652,"ORMSTRNM")</t>
  </si>
  <si>
    <t>=NF($K652,"ORDOCNUM")</t>
  </si>
  <si>
    <t>=NF($K652,"REFRENCE")</t>
  </si>
  <si>
    <t>=NF($K652,"DSCRIPTN")</t>
  </si>
  <si>
    <t>=NF($K652,"DEBITAMT")</t>
  </si>
  <si>
    <t>=IF($K651="",0,-NF($K651,"CRDTAMNT"))</t>
  </si>
  <si>
    <t>=SUM(R652:S652)</t>
  </si>
  <si>
    <t>=NF($K653,"TRXDATE")</t>
  </si>
  <si>
    <t>=NF($K653,"JRNENTRY")</t>
  </si>
  <si>
    <t>=NF($K653,"ORMSTRNM")</t>
  </si>
  <si>
    <t>=NF($K653,"ORDOCNUM")</t>
  </si>
  <si>
    <t>=NF($K653,"REFRENCE")</t>
  </si>
  <si>
    <t>=NF($K653,"DSCRIPTN")</t>
  </si>
  <si>
    <t>=NF($K653,"DEBITAMT")</t>
  </si>
  <si>
    <t>=IF($K652="",0,-NF($K652,"CRDTAMNT"))</t>
  </si>
  <si>
    <t>=SUM(R653:S653)</t>
  </si>
  <si>
    <t>=NF($K654,"TRXDATE")</t>
  </si>
  <si>
    <t>=NF($K654,"JRNENTRY")</t>
  </si>
  <si>
    <t>=NF($K654,"ORMSTRNM")</t>
  </si>
  <si>
    <t>=NF($K654,"ORDOCNUM")</t>
  </si>
  <si>
    <t>=NF($K654,"REFRENCE")</t>
  </si>
  <si>
    <t>=NF($K654,"DSCRIPTN")</t>
  </si>
  <si>
    <t>=NF($K654,"DEBITAMT")</t>
  </si>
  <si>
    <t>=IF($K653="",0,-NF($K653,"CRDTAMNT"))</t>
  </si>
  <si>
    <t>=SUM(R654:S654)</t>
  </si>
  <si>
    <t>=NF($K655,"TRXDATE")</t>
  </si>
  <si>
    <t>=NF($K655,"JRNENTRY")</t>
  </si>
  <si>
    <t>=NF($K655,"ORMSTRNM")</t>
  </si>
  <si>
    <t>=NF($K655,"ORDOCNUM")</t>
  </si>
  <si>
    <t>=NF($K655,"REFRENCE")</t>
  </si>
  <si>
    <t>=NF($K655,"DSCRIPTN")</t>
  </si>
  <si>
    <t>=NF($K655,"DEBITAMT")</t>
  </si>
  <si>
    <t>=IF($K654="",0,-NF($K654,"CRDTAMNT"))</t>
  </si>
  <si>
    <t>=SUM(R655:S655)</t>
  </si>
  <si>
    <t>=NF($K660,"TRXDATE")</t>
  </si>
  <si>
    <t>=NF($K660,"JRNENTRY")</t>
  </si>
  <si>
    <t>=NF($K660,"ORMSTRNM")</t>
  </si>
  <si>
    <t>=NF($K660,"ORDOCNUM")</t>
  </si>
  <si>
    <t>=NF($K660,"REFRENCE")</t>
  </si>
  <si>
    <t>=NF($K660,"DSCRIPTN")</t>
  </si>
  <si>
    <t>=NF($K660,"DEBITAMT")</t>
  </si>
  <si>
    <t>=SUM(R660:S660)</t>
  </si>
  <si>
    <t>=NF($K665,"TRXDATE")</t>
  </si>
  <si>
    <t>=NF($K665,"JRNENTRY")</t>
  </si>
  <si>
    <t>=NF($K665,"ORMSTRNM")</t>
  </si>
  <si>
    <t>=NF($K665,"ORDOCNUM")</t>
  </si>
  <si>
    <t>=NF($K665,"REFRENCE")</t>
  </si>
  <si>
    <t>=NF($K665,"DSCRIPTN")</t>
  </si>
  <si>
    <t>=NF($K665,"DEBITAMT")</t>
  </si>
  <si>
    <t>=SUM(R665:S665)</t>
  </si>
  <si>
    <t>=NF($K666,"TRXDATE")</t>
  </si>
  <si>
    <t>=NF($K666,"JRNENTRY")</t>
  </si>
  <si>
    <t>=NF($K666,"ORMSTRNM")</t>
  </si>
  <si>
    <t>=NF($K666,"ORDOCNUM")</t>
  </si>
  <si>
    <t>=NF($K666,"REFRENCE")</t>
  </si>
  <si>
    <t>=NF($K666,"DSCRIPTN")</t>
  </si>
  <si>
    <t>=NF($K666,"DEBITAMT")</t>
  </si>
  <si>
    <t>=IF($K665="",0,-NF($K665,"CRDTAMNT"))</t>
  </si>
  <si>
    <t>=SUM(R666:S666)</t>
  </si>
  <si>
    <t>=NF($K667,"TRXDATE")</t>
  </si>
  <si>
    <t>=NF($K667,"JRNENTRY")</t>
  </si>
  <si>
    <t>=NF($K667,"ORMSTRNM")</t>
  </si>
  <si>
    <t>=NF($K667,"ORDOCNUM")</t>
  </si>
  <si>
    <t>=NF($K667,"REFRENCE")</t>
  </si>
  <si>
    <t>=NF($K667,"DSCRIPTN")</t>
  </si>
  <si>
    <t>=NF($K667,"DEBITAMT")</t>
  </si>
  <si>
    <t>=IF($K666="",0,-NF($K666,"CRDTAMNT"))</t>
  </si>
  <si>
    <t>=SUM(R667:S667)</t>
  </si>
  <si>
    <t>=NF($K672,"TRXDATE")</t>
  </si>
  <si>
    <t>=NF($K672,"JRNENTRY")</t>
  </si>
  <si>
    <t>=NF($K672,"ORMSTRNM")</t>
  </si>
  <si>
    <t>=NF($K672,"ORDOCNUM")</t>
  </si>
  <si>
    <t>=NF($K672,"REFRENCE")</t>
  </si>
  <si>
    <t>=NF($K672,"DSCRIPTN")</t>
  </si>
  <si>
    <t>=NF($K672,"DEBITAMT")</t>
  </si>
  <si>
    <t>=SUM(R672:S672)</t>
  </si>
  <si>
    <t>=NF($K673,"TRXDATE")</t>
  </si>
  <si>
    <t>=NF($K673,"JRNENTRY")</t>
  </si>
  <si>
    <t>=NF($K673,"ORMSTRNM")</t>
  </si>
  <si>
    <t>=NF($K673,"ORDOCNUM")</t>
  </si>
  <si>
    <t>=NF($K673,"REFRENCE")</t>
  </si>
  <si>
    <t>=NF($K673,"DSCRIPTN")</t>
  </si>
  <si>
    <t>=NF($K673,"DEBITAMT")</t>
  </si>
  <si>
    <t>=IF($K672="",0,-NF($K672,"CRDTAMNT"))</t>
  </si>
  <si>
    <t>=SUM(R673:S673)</t>
  </si>
  <si>
    <t>=NF($K674,"TRXDATE")</t>
  </si>
  <si>
    <t>=NF($K674,"JRNENTRY")</t>
  </si>
  <si>
    <t>=NF($K674,"ORMSTRNM")</t>
  </si>
  <si>
    <t>=NF($K674,"ORDOCNUM")</t>
  </si>
  <si>
    <t>=NF($K674,"REFRENCE")</t>
  </si>
  <si>
    <t>=NF($K674,"DSCRIPTN")</t>
  </si>
  <si>
    <t>=NF($K674,"DEBITAMT")</t>
  </si>
  <si>
    <t>=IF($K673="",0,-NF($K673,"CRDTAMNT"))</t>
  </si>
  <si>
    <t>=SUM(R674:S674)</t>
  </si>
  <si>
    <t>=NF($K675,"TRXDATE")</t>
  </si>
  <si>
    <t>=NF($K675,"JRNENTRY")</t>
  </si>
  <si>
    <t>=NF($K675,"ORMSTRNM")</t>
  </si>
  <si>
    <t>=NF($K675,"ORDOCNUM")</t>
  </si>
  <si>
    <t>=NF($K675,"REFRENCE")</t>
  </si>
  <si>
    <t>=NF($K675,"DSCRIPTN")</t>
  </si>
  <si>
    <t>=NF($K675,"DEBITAMT")</t>
  </si>
  <si>
    <t>=IF($K674="",0,-NF($K674,"CRDTAMNT"))</t>
  </si>
  <si>
    <t>=SUM(R675:S675)</t>
  </si>
  <si>
    <t>=NF($K676,"TRXDATE")</t>
  </si>
  <si>
    <t>=NF($K676,"JRNENTRY")</t>
  </si>
  <si>
    <t>=NF($K676,"ORMSTRNM")</t>
  </si>
  <si>
    <t>=NF($K676,"ORDOCNUM")</t>
  </si>
  <si>
    <t>=NF($K676,"REFRENCE")</t>
  </si>
  <si>
    <t>=NF($K676,"DSCRIPTN")</t>
  </si>
  <si>
    <t>=NF($K676,"DEBITAMT")</t>
  </si>
  <si>
    <t>=IF($K675="",0,-NF($K675,"CRDTAMNT"))</t>
  </si>
  <si>
    <t>=SUM(R676:S676)</t>
  </si>
  <si>
    <t>=NF($K677,"TRXDATE")</t>
  </si>
  <si>
    <t>=NF($K677,"JRNENTRY")</t>
  </si>
  <si>
    <t>=NF($K677,"ORMSTRNM")</t>
  </si>
  <si>
    <t>=NF($K677,"ORDOCNUM")</t>
  </si>
  <si>
    <t>=NF($K677,"REFRENCE")</t>
  </si>
  <si>
    <t>=NF($K677,"DSCRIPTN")</t>
  </si>
  <si>
    <t>=NF($K677,"DEBITAMT")</t>
  </si>
  <si>
    <t>=IF($K676="",0,-NF($K676,"CRDTAMNT"))</t>
  </si>
  <si>
    <t>=SUM(R677:S677)</t>
  </si>
  <si>
    <t>=NF($K678,"TRXDATE")</t>
  </si>
  <si>
    <t>=NF($K678,"JRNENTRY")</t>
  </si>
  <si>
    <t>=NF($K678,"ORMSTRNM")</t>
  </si>
  <si>
    <t>=NF($K678,"ORDOCNUM")</t>
  </si>
  <si>
    <t>=NF($K678,"REFRENCE")</t>
  </si>
  <si>
    <t>=NF($K678,"DSCRIPTN")</t>
  </si>
  <si>
    <t>=NF($K678,"DEBITAMT")</t>
  </si>
  <si>
    <t>=IF($K677="",0,-NF($K677,"CRDTAMNT"))</t>
  </si>
  <si>
    <t>=SUM(R678:S678)</t>
  </si>
  <si>
    <t>=NF($K679,"TRXDATE")</t>
  </si>
  <si>
    <t>=NF($K679,"JRNENTRY")</t>
  </si>
  <si>
    <t>=NF($K679,"ORMSTRNM")</t>
  </si>
  <si>
    <t>=NF($K679,"ORDOCNUM")</t>
  </si>
  <si>
    <t>=NF($K679,"REFRENCE")</t>
  </si>
  <si>
    <t>=NF($K679,"DSCRIPTN")</t>
  </si>
  <si>
    <t>=NF($K679,"DEBITAMT")</t>
  </si>
  <si>
    <t>=IF($K678="",0,-NF($K678,"CRDTAMNT"))</t>
  </si>
  <si>
    <t>=SUM(R679:S679)</t>
  </si>
  <si>
    <t>=NF($K684,"TRXDATE")</t>
  </si>
  <si>
    <t>=NF($K684,"JRNENTRY")</t>
  </si>
  <si>
    <t>=NF($K684,"ORMSTRNM")</t>
  </si>
  <si>
    <t>=NF($K684,"ORDOCNUM")</t>
  </si>
  <si>
    <t>=NF($K684,"REFRENCE")</t>
  </si>
  <si>
    <t>=NF($K684,"DSCRIPTN")</t>
  </si>
  <si>
    <t>=NF($K684,"DEBITAMT")</t>
  </si>
  <si>
    <t>=SUM(R684:S684)</t>
  </si>
  <si>
    <t>=NF($K685,"TRXDATE")</t>
  </si>
  <si>
    <t>=NF($K685,"JRNENTRY")</t>
  </si>
  <si>
    <t>=NF($K685,"ORMSTRNM")</t>
  </si>
  <si>
    <t>=NF($K685,"ORDOCNUM")</t>
  </si>
  <si>
    <t>=NF($K685,"REFRENCE")</t>
  </si>
  <si>
    <t>=NF($K685,"DSCRIPTN")</t>
  </si>
  <si>
    <t>=NF($K685,"DEBITAMT")</t>
  </si>
  <si>
    <t>=IF($K684="",0,-NF($K684,"CRDTAMNT"))</t>
  </si>
  <si>
    <t>=SUM(R685:S685)</t>
  </si>
  <si>
    <t>=NF($K686,"TRXDATE")</t>
  </si>
  <si>
    <t>=NF($K686,"JRNENTRY")</t>
  </si>
  <si>
    <t>=NF($K686,"ORMSTRNM")</t>
  </si>
  <si>
    <t>=NF($K686,"ORDOCNUM")</t>
  </si>
  <si>
    <t>=NF($K686,"REFRENCE")</t>
  </si>
  <si>
    <t>=NF($K686,"DSCRIPTN")</t>
  </si>
  <si>
    <t>=NF($K686,"DEBITAMT")</t>
  </si>
  <si>
    <t>=IF($K685="",0,-NF($K685,"CRDTAMNT"))</t>
  </si>
  <si>
    <t>=SUM(R686:S686)</t>
  </si>
  <si>
    <t>=NF($K687,"TRXDATE")</t>
  </si>
  <si>
    <t>=NF($K687,"JRNENTRY")</t>
  </si>
  <si>
    <t>=NF($K687,"ORMSTRNM")</t>
  </si>
  <si>
    <t>=NF($K687,"ORDOCNUM")</t>
  </si>
  <si>
    <t>=NF($K687,"REFRENCE")</t>
  </si>
  <si>
    <t>=NF($K687,"DSCRIPTN")</t>
  </si>
  <si>
    <t>=NF($K687,"DEBITAMT")</t>
  </si>
  <si>
    <t>=IF($K686="",0,-NF($K686,"CRDTAMNT"))</t>
  </si>
  <si>
    <t>=SUM(R687:S687)</t>
  </si>
  <si>
    <t>=NF($K688,"TRXDATE")</t>
  </si>
  <si>
    <t>=NF($K688,"JRNENTRY")</t>
  </si>
  <si>
    <t>=NF($K688,"ORMSTRNM")</t>
  </si>
  <si>
    <t>=NF($K688,"ORDOCNUM")</t>
  </si>
  <si>
    <t>=NF($K688,"REFRENCE")</t>
  </si>
  <si>
    <t>=NF($K688,"DSCRIPTN")</t>
  </si>
  <si>
    <t>=NF($K688,"DEBITAMT")</t>
  </si>
  <si>
    <t>=IF($K687="",0,-NF($K687,"CRDTAMNT"))</t>
  </si>
  <si>
    <t>=SUM(R688:S688)</t>
  </si>
  <si>
    <t>=NF($K689,"TRXDATE")</t>
  </si>
  <si>
    <t>=NF($K689,"JRNENTRY")</t>
  </si>
  <si>
    <t>=NF($K689,"ORMSTRNM")</t>
  </si>
  <si>
    <t>=NF($K689,"ORDOCNUM")</t>
  </si>
  <si>
    <t>=NF($K689,"REFRENCE")</t>
  </si>
  <si>
    <t>=NF($K689,"DSCRIPTN")</t>
  </si>
  <si>
    <t>=NF($K689,"DEBITAMT")</t>
  </si>
  <si>
    <t>=IF($K688="",0,-NF($K688,"CRDTAMNT"))</t>
  </si>
  <si>
    <t>=SUM(R689:S689)</t>
  </si>
  <si>
    <t>=NF($K690,"TRXDATE")</t>
  </si>
  <si>
    <t>=NF($K690,"JRNENTRY")</t>
  </si>
  <si>
    <t>=NF($K690,"ORMSTRNM")</t>
  </si>
  <si>
    <t>=NF($K690,"ORDOCNUM")</t>
  </si>
  <si>
    <t>=NF($K690,"REFRENCE")</t>
  </si>
  <si>
    <t>=NF($K690,"DSCRIPTN")</t>
  </si>
  <si>
    <t>=NF($K690,"DEBITAMT")</t>
  </si>
  <si>
    <t>=IF($K689="",0,-NF($K689,"CRDTAMNT"))</t>
  </si>
  <si>
    <t>=SUM(R690:S690)</t>
  </si>
  <si>
    <t>=NF($K691,"TRXDATE")</t>
  </si>
  <si>
    <t>=NF($K691,"JRNENTRY")</t>
  </si>
  <si>
    <t>=NF($K691,"ORMSTRNM")</t>
  </si>
  <si>
    <t>=NF($K691,"ORDOCNUM")</t>
  </si>
  <si>
    <t>=NF($K691,"REFRENCE")</t>
  </si>
  <si>
    <t>=NF($K691,"DSCRIPTN")</t>
  </si>
  <si>
    <t>=NF($K691,"DEBITAMT")</t>
  </si>
  <si>
    <t>=IF($K690="",0,-NF($K690,"CRDTAMNT"))</t>
  </si>
  <si>
    <t>=SUM(R691:S691)</t>
  </si>
  <si>
    <t>=NF($K692,"TRXDATE")</t>
  </si>
  <si>
    <t>=NF($K692,"JRNENTRY")</t>
  </si>
  <si>
    <t>=NF($K692,"ORMSTRNM")</t>
  </si>
  <si>
    <t>=NF($K692,"ORDOCNUM")</t>
  </si>
  <si>
    <t>=NF($K692,"REFRENCE")</t>
  </si>
  <si>
    <t>=NF($K692,"DSCRIPTN")</t>
  </si>
  <si>
    <t>=NF($K692,"DEBITAMT")</t>
  </si>
  <si>
    <t>=IF($K691="",0,-NF($K691,"CRDTAMNT"))</t>
  </si>
  <si>
    <t>=SUM(R692:S692)</t>
  </si>
  <si>
    <t>=NL("Lookup","GL40200",{"SGMNTID","DSCRIPTN"},"SGMTNUMB","1")</t>
  </si>
  <si>
    <t>=NL("Lookup","GL40200",{"SGMNTID","DSCRIPTN"},"SGMTNUMB","2")</t>
  </si>
  <si>
    <t>=NL("Lookup","GL40200",{"SGMNTID","DSCRIPTN"},"SGMTNUMB","3")</t>
  </si>
  <si>
    <t>=NL("Filter","GL00105","ACTINDX","ACTNUMBR_1",$C$5,"ACTNUMBR_2",$C$6,"ACTNUMBR_3",$C$7)</t>
  </si>
  <si>
    <t>=IF(C5="*","",C5&amp;"   "&amp;NL("First","GL40200","DSCRIPTN","SGMTNUMB","1","SGMNTID",C5))</t>
  </si>
  <si>
    <t>=IF(C6="*","",C6&amp;"   "&amp;NL("First","GL40200","DSCRIPTN","SGMTNUMB","2","SGMNTID",C6))</t>
  </si>
  <si>
    <t>=IF(C7="*","",C7&amp;"   "&amp;NL("First","GL40200","DSCRIPTN","SGMTNUMB","3","SGMNTID",C7))</t>
  </si>
  <si>
    <t>=NL("Filter","GL20000","ACTINDX","TRXDATE",$C$4,"ACTINDX",$C$9)</t>
  </si>
  <si>
    <t>=NL("Filter","GL30000","ACTINDX","TRXDATE",$C$4,"ACTINDX",$C$9)</t>
  </si>
  <si>
    <t>=NL("Rows=6",NP("Union",$D16,$E16))</t>
  </si>
  <si>
    <t>=NL(,"GL00105","ACTNUMST","ACTINDX","@@"&amp;$F16)</t>
  </si>
  <si>
    <t>=NL("Rows","GL30000",,"TRXDATE",$C$4,"ACTINDX",$F17)</t>
  </si>
  <si>
    <t>=NL("Rows","GL20000",,"TRXDATE",$C$4,"ACTINDX",$F18)</t>
  </si>
  <si>
    <t>=F75</t>
  </si>
  <si>
    <t>=G75</t>
  </si>
  <si>
    <t>=NF($K76,"TRXDATE")</t>
  </si>
  <si>
    <t>=NF($K76,"JRNENTRY")</t>
  </si>
  <si>
    <t>=NF($K76,"ORMSTRNM")</t>
  </si>
  <si>
    <t>=NF($K76,"ORDOCNUM")</t>
  </si>
  <si>
    <t>=NF($K76,"REFRENCE")</t>
  </si>
  <si>
    <t>=NF($K76,"DSCRIPTN")</t>
  </si>
  <si>
    <t>=NF($K76,"DEBITAMT")</t>
  </si>
  <si>
    <t>=IF($K75="",0,-NF($K75,"CRDTAMNT"))</t>
  </si>
  <si>
    <t>=SUM(R76:S76)</t>
  </si>
  <si>
    <t>=F76</t>
  </si>
  <si>
    <t>=G76</t>
  </si>
  <si>
    <t>=NF($K77,"TRXDATE")</t>
  </si>
  <si>
    <t>=NF($K77,"JRNENTRY")</t>
  </si>
  <si>
    <t>=NF($K77,"ORMSTRNM")</t>
  </si>
  <si>
    <t>=NF($K77,"ORDOCNUM")</t>
  </si>
  <si>
    <t>=NF($K77,"REFRENCE")</t>
  </si>
  <si>
    <t>=NF($K77,"DSCRIPTN")</t>
  </si>
  <si>
    <t>=NF($K77,"DEBITAMT")</t>
  </si>
  <si>
    <t>=IF($K76="",0,-NF($K76,"CRDTAMNT"))</t>
  </si>
  <si>
    <t>=SUM(R77:S77)</t>
  </si>
  <si>
    <t>=F77</t>
  </si>
  <si>
    <t>=G77</t>
  </si>
  <si>
    <t>=NF($K78,"TRXDATE")</t>
  </si>
  <si>
    <t>=NF($K78,"JRNENTRY")</t>
  </si>
  <si>
    <t>=NF($K78,"ORMSTRNM")</t>
  </si>
  <si>
    <t>=NF($K78,"ORDOCNUM")</t>
  </si>
  <si>
    <t>=NF($K78,"REFRENCE")</t>
  </si>
  <si>
    <t>=NF($K78,"DSCRIPTN")</t>
  </si>
  <si>
    <t>=NF($K78,"DEBITAMT")</t>
  </si>
  <si>
    <t>=IF($K77="",0,-NF($K77,"CRDTAMNT"))</t>
  </si>
  <si>
    <t>=SUM(R78:S78)</t>
  </si>
  <si>
    <t>=F78</t>
  </si>
  <si>
    <t>=G78</t>
  </si>
  <si>
    <t>=NF($K79,"TRXDATE")</t>
  </si>
  <si>
    <t>=NF($K79,"JRNENTRY")</t>
  </si>
  <si>
    <t>=NF($K79,"ORMSTRNM")</t>
  </si>
  <si>
    <t>=NF($K79,"ORDOCNUM")</t>
  </si>
  <si>
    <t>=NF($K79,"REFRENCE")</t>
  </si>
  <si>
    <t>=NF($K79,"DSCRIPTN")</t>
  </si>
  <si>
    <t>=NF($K79,"DEBITAMT")</t>
  </si>
  <si>
    <t>=IF($K78="",0,-NF($K78,"CRDTAMNT"))</t>
  </si>
  <si>
    <t>=SUM(R79:S79)</t>
  </si>
  <si>
    <t>=IF($K79="",0,-NF($K79,"CRDTAMNT"))</t>
  </si>
  <si>
    <t>=F175</t>
  </si>
  <si>
    <t>=G175</t>
  </si>
  <si>
    <t>=NF($K176,"TRXDATE")</t>
  </si>
  <si>
    <t>=NF($K176,"JRNENTRY")</t>
  </si>
  <si>
    <t>=NF($K176,"ORMSTRNM")</t>
  </si>
  <si>
    <t>=NF($K176,"ORDOCNUM")</t>
  </si>
  <si>
    <t>=NF($K176,"REFRENCE")</t>
  </si>
  <si>
    <t>=NF($K176,"DSCRIPTN")</t>
  </si>
  <si>
    <t>=NF($K176,"DEBITAMT")</t>
  </si>
  <si>
    <t>=IF($K175="",0,-NF($K175,"CRDTAMNT"))</t>
  </si>
  <si>
    <t>=SUM(R176:S176)</t>
  </si>
  <si>
    <t>=F176</t>
  </si>
  <si>
    <t>=G176</t>
  </si>
  <si>
    <t>=NF($K177,"TRXDATE")</t>
  </si>
  <si>
    <t>=NF($K177,"JRNENTRY")</t>
  </si>
  <si>
    <t>=NF($K177,"ORMSTRNM")</t>
  </si>
  <si>
    <t>=NF($K177,"ORDOCNUM")</t>
  </si>
  <si>
    <t>=NF($K177,"REFRENCE")</t>
  </si>
  <si>
    <t>=NF($K177,"DSCRIPTN")</t>
  </si>
  <si>
    <t>=NF($K177,"DEBITAMT")</t>
  </si>
  <si>
    <t>=IF($K176="",0,-NF($K176,"CRDTAMNT"))</t>
  </si>
  <si>
    <t>=SUM(R177:S177)</t>
  </si>
  <si>
    <t>=F177</t>
  </si>
  <si>
    <t>=G177</t>
  </si>
  <si>
    <t>=NF($K178,"TRXDATE")</t>
  </si>
  <si>
    <t>=NF($K178,"JRNENTRY")</t>
  </si>
  <si>
    <t>=NF($K178,"ORMSTRNM")</t>
  </si>
  <si>
    <t>=NF($K178,"ORDOCNUM")</t>
  </si>
  <si>
    <t>=NF($K178,"REFRENCE")</t>
  </si>
  <si>
    <t>=NF($K178,"DSCRIPTN")</t>
  </si>
  <si>
    <t>=NF($K178,"DEBITAMT")</t>
  </si>
  <si>
    <t>=IF($K177="",0,-NF($K177,"CRDTAMNT"))</t>
  </si>
  <si>
    <t>=SUM(R178:S178)</t>
  </si>
  <si>
    <t>=F178</t>
  </si>
  <si>
    <t>=G178</t>
  </si>
  <si>
    <t>=NF($K179,"TRXDATE")</t>
  </si>
  <si>
    <t>=NF($K179,"JRNENTRY")</t>
  </si>
  <si>
    <t>=NF($K179,"ORMSTRNM")</t>
  </si>
  <si>
    <t>=NF($K179,"ORDOCNUM")</t>
  </si>
  <si>
    <t>=NF($K179,"REFRENCE")</t>
  </si>
  <si>
    <t>=NF($K179,"DSCRIPTN")</t>
  </si>
  <si>
    <t>=NF($K179,"DEBITAMT")</t>
  </si>
  <si>
    <t>=IF($K178="",0,-NF($K178,"CRDTAMNT"))</t>
  </si>
  <si>
    <t>=SUM(R179:S179)</t>
  </si>
  <si>
    <t>=IF($K179="",0,-NF($K179,"CRDTAMNT"))</t>
  </si>
  <si>
    <t>=G305</t>
  </si>
  <si>
    <t>=F305</t>
  </si>
  <si>
    <t>=NF($K306,"TRXDATE")</t>
  </si>
  <si>
    <t>=NF($K306,"JRNENTRY")</t>
  </si>
  <si>
    <t>=NF($K306,"ORMSTRNM")</t>
  </si>
  <si>
    <t>=NF($K306,"ORDOCNUM")</t>
  </si>
  <si>
    <t>=NF($K306,"REFRENCE")</t>
  </si>
  <si>
    <t>=NF($K306,"DSCRIPTN")</t>
  </si>
  <si>
    <t>=NF($K306,"DEBITAMT")</t>
  </si>
  <si>
    <t>=SUM(R306:S306)</t>
  </si>
  <si>
    <t>=F413</t>
  </si>
  <si>
    <t>=G413</t>
  </si>
  <si>
    <t>=NF($K414,"TRXDATE")</t>
  </si>
  <si>
    <t>=NF($K414,"JRNENTRY")</t>
  </si>
  <si>
    <t>=NF($K414,"ORMSTRNM")</t>
  </si>
  <si>
    <t>=NF($K414,"ORDOCNUM")</t>
  </si>
  <si>
    <t>=NF($K414,"REFRENCE")</t>
  </si>
  <si>
    <t>=NF($K414,"DSCRIPTN")</t>
  </si>
  <si>
    <t>=NF($K414,"DEBITAMT")</t>
  </si>
  <si>
    <t>=SUM(R414:S414)</t>
  </si>
  <si>
    <t>=IF($K414="",0,-NF($K414,"CRDTAMNT"))</t>
  </si>
  <si>
    <t>=F474</t>
  </si>
  <si>
    <t>=G474</t>
  </si>
  <si>
    <t>=NF($K475,"TRXDATE")</t>
  </si>
  <si>
    <t>=NF($K475,"JRNENTRY")</t>
  </si>
  <si>
    <t>=NF($K475,"ORMSTRNM")</t>
  </si>
  <si>
    <t>=NF($K475,"ORDOCNUM")</t>
  </si>
  <si>
    <t>=NF($K475,"REFRENCE")</t>
  </si>
  <si>
    <t>=NF($K475,"DSCRIPTN")</t>
  </si>
  <si>
    <t>=NF($K475,"DEBITAMT")</t>
  </si>
  <si>
    <t>=SUM(R475:S475)</t>
  </si>
  <si>
    <t>=F475</t>
  </si>
  <si>
    <t>=G475</t>
  </si>
  <si>
    <t>=NF($K476,"TRXDATE")</t>
  </si>
  <si>
    <t>=NF($K476,"JRNENTRY")</t>
  </si>
  <si>
    <t>=NF($K476,"ORMSTRNM")</t>
  </si>
  <si>
    <t>=NF($K476,"ORDOCNUM")</t>
  </si>
  <si>
    <t>=NF($K476,"REFRENCE")</t>
  </si>
  <si>
    <t>=NF($K476,"DSCRIPTN")</t>
  </si>
  <si>
    <t>=NF($K476,"DEBITAMT")</t>
  </si>
  <si>
    <t>=IF($K475="",0,-NF($K475,"CRDTAMNT"))</t>
  </si>
  <si>
    <t>=SUM(R476:S476)</t>
  </si>
  <si>
    <t>=IF($K476="",0,-NF($K476,"CRDTAMNT"))</t>
  </si>
  <si>
    <t>=F481</t>
  </si>
  <si>
    <t>=G481</t>
  </si>
  <si>
    <t>=NF($K482,"TRXDATE")</t>
  </si>
  <si>
    <t>=NF($K482,"JRNENTRY")</t>
  </si>
  <si>
    <t>=NF($K482,"ORMSTRNM")</t>
  </si>
  <si>
    <t>=NF($K482,"ORDOCNUM")</t>
  </si>
  <si>
    <t>=NF($K482,"REFRENCE")</t>
  </si>
  <si>
    <t>=NF($K482,"DSCRIPTN")</t>
  </si>
  <si>
    <t>=NF($K482,"DEBITAMT")</t>
  </si>
  <si>
    <t>=IF($K481="",0,-NF($K481,"CRDTAMNT"))</t>
  </si>
  <si>
    <t>=SUM(R482:S482)</t>
  </si>
  <si>
    <t>=F482</t>
  </si>
  <si>
    <t>=G482</t>
  </si>
  <si>
    <t>=NF($K483,"TRXDATE")</t>
  </si>
  <si>
    <t>=NF($K483,"JRNENTRY")</t>
  </si>
  <si>
    <t>=NF($K483,"ORMSTRNM")</t>
  </si>
  <si>
    <t>=NF($K483,"ORDOCNUM")</t>
  </si>
  <si>
    <t>=NF($K483,"REFRENCE")</t>
  </si>
  <si>
    <t>=NF($K483,"DSCRIPTN")</t>
  </si>
  <si>
    <t>=NF($K483,"DEBITAMT")</t>
  </si>
  <si>
    <t>=IF($K482="",0,-NF($K482,"CRDTAMNT"))</t>
  </si>
  <si>
    <t>=SUM(R483:S483)</t>
  </si>
  <si>
    <t>=F483</t>
  </si>
  <si>
    <t>=G483</t>
  </si>
  <si>
    <t>=NF($K484,"TRXDATE")</t>
  </si>
  <si>
    <t>=NF($K484,"JRNENTRY")</t>
  </si>
  <si>
    <t>=NF($K484,"ORMSTRNM")</t>
  </si>
  <si>
    <t>=NF($K484,"ORDOCNUM")</t>
  </si>
  <si>
    <t>=NF($K484,"REFRENCE")</t>
  </si>
  <si>
    <t>=NF($K484,"DSCRIPTN")</t>
  </si>
  <si>
    <t>=NF($K484,"DEBITAMT")</t>
  </si>
  <si>
    <t>=IF($K483="",0,-NF($K483,"CRDTAMNT"))</t>
  </si>
  <si>
    <t>=SUM(R484:S484)</t>
  </si>
  <si>
    <t>=F484</t>
  </si>
  <si>
    <t>=G484</t>
  </si>
  <si>
    <t>=NF($K485,"TRXDATE")</t>
  </si>
  <si>
    <t>=NF($K485,"JRNENTRY")</t>
  </si>
  <si>
    <t>=NF($K485,"ORMSTRNM")</t>
  </si>
  <si>
    <t>=NF($K485,"ORDOCNUM")</t>
  </si>
  <si>
    <t>=NF($K485,"REFRENCE")</t>
  </si>
  <si>
    <t>=NF($K485,"DSCRIPTN")</t>
  </si>
  <si>
    <t>=NF($K485,"DEBITAMT")</t>
  </si>
  <si>
    <t>=IF($K484="",0,-NF($K484,"CRDTAMNT"))</t>
  </si>
  <si>
    <t>=SUM(R485:S485)</t>
  </si>
  <si>
    <t>=IF($K485="",0,-NF($K485,"CRDTAMNT"))</t>
  </si>
  <si>
    <t>=F566</t>
  </si>
  <si>
    <t>=G566</t>
  </si>
  <si>
    <t>=NF($K567,"TRXDATE")</t>
  </si>
  <si>
    <t>=NF($K567,"JRNENTRY")</t>
  </si>
  <si>
    <t>=NF($K567,"ORMSTRNM")</t>
  </si>
  <si>
    <t>=NF($K567,"ORDOCNUM")</t>
  </si>
  <si>
    <t>=NF($K567,"REFRENCE")</t>
  </si>
  <si>
    <t>=NF($K567,"DSCRIPTN")</t>
  </si>
  <si>
    <t>=NF($K567,"DEBITAMT")</t>
  </si>
  <si>
    <t>=IF($K566="",0,-NF($K566,"CRDTAMNT"))</t>
  </si>
  <si>
    <t>=SUM(R567:S567)</t>
  </si>
  <si>
    <t>=F567</t>
  </si>
  <si>
    <t>=G567</t>
  </si>
  <si>
    <t>=NF($K568,"TRXDATE")</t>
  </si>
  <si>
    <t>=NF($K568,"JRNENTRY")</t>
  </si>
  <si>
    <t>=NF($K568,"ORMSTRNM")</t>
  </si>
  <si>
    <t>=NF($K568,"ORDOCNUM")</t>
  </si>
  <si>
    <t>=NF($K568,"REFRENCE")</t>
  </si>
  <si>
    <t>=NF($K568,"DSCRIPTN")</t>
  </si>
  <si>
    <t>=NF($K568,"DEBITAMT")</t>
  </si>
  <si>
    <t>=IF($K567="",0,-NF($K567,"CRDTAMNT"))</t>
  </si>
  <si>
    <t>=SUM(R568:S568)</t>
  </si>
  <si>
    <t>=F568</t>
  </si>
  <si>
    <t>=G568</t>
  </si>
  <si>
    <t>=NF($K569,"TRXDATE")</t>
  </si>
  <si>
    <t>=NF($K569,"JRNENTRY")</t>
  </si>
  <si>
    <t>=NF($K569,"ORMSTRNM")</t>
  </si>
  <si>
    <t>=NF($K569,"ORDOCNUM")</t>
  </si>
  <si>
    <t>=NF($K569,"REFRENCE")</t>
  </si>
  <si>
    <t>=NF($K569,"DSCRIPTN")</t>
  </si>
  <si>
    <t>=NF($K569,"DEBITAMT")</t>
  </si>
  <si>
    <t>=IF($K568="",0,-NF($K568,"CRDTAMNT"))</t>
  </si>
  <si>
    <t>=SUM(R569:S569)</t>
  </si>
  <si>
    <t>=F569</t>
  </si>
  <si>
    <t>=G569</t>
  </si>
  <si>
    <t>=NF($K570,"TRXDATE")</t>
  </si>
  <si>
    <t>=NF($K570,"JRNENTRY")</t>
  </si>
  <si>
    <t>=NF($K570,"ORMSTRNM")</t>
  </si>
  <si>
    <t>=NF($K570,"ORDOCNUM")</t>
  </si>
  <si>
    <t>=NF($K570,"REFRENCE")</t>
  </si>
  <si>
    <t>=NF($K570,"DSCRIPTN")</t>
  </si>
  <si>
    <t>=NF($K570,"DEBITAMT")</t>
  </si>
  <si>
    <t>=IF($K569="",0,-NF($K569,"CRDTAMNT"))</t>
  </si>
  <si>
    <t>=SUM(R570:S570)</t>
  </si>
  <si>
    <t>=IF($K570="",0,-NF($K570,"CRDTAMNT"))</t>
  </si>
  <si>
    <t>=F655</t>
  </si>
  <si>
    <t>=G655</t>
  </si>
  <si>
    <t>=NF($K656,"TRXDATE")</t>
  </si>
  <si>
    <t>=NF($K656,"JRNENTRY")</t>
  </si>
  <si>
    <t>=NF($K656,"ORMSTRNM")</t>
  </si>
  <si>
    <t>=NF($K656,"ORDOCNUM")</t>
  </si>
  <si>
    <t>=NF($K656,"REFRENCE")</t>
  </si>
  <si>
    <t>=NF($K656,"DSCRIPTN")</t>
  </si>
  <si>
    <t>=NF($K656,"DEBITAMT")</t>
  </si>
  <si>
    <t>=IF($K655="",0,-NF($K655,"CRDTAMNT"))</t>
  </si>
  <si>
    <t>=SUM(R656:S656)</t>
  </si>
  <si>
    <t>=F656</t>
  </si>
  <si>
    <t>=G656</t>
  </si>
  <si>
    <t>=NF($K657,"TRXDATE")</t>
  </si>
  <si>
    <t>=NF($K657,"JRNENTRY")</t>
  </si>
  <si>
    <t>=NF($K657,"ORMSTRNM")</t>
  </si>
  <si>
    <t>=NF($K657,"ORDOCNUM")</t>
  </si>
  <si>
    <t>=NF($K657,"REFRENCE")</t>
  </si>
  <si>
    <t>=NF($K657,"DSCRIPTN")</t>
  </si>
  <si>
    <t>=NF($K657,"DEBITAMT")</t>
  </si>
  <si>
    <t>=IF($K656="",0,-NF($K656,"CRDTAMNT"))</t>
  </si>
  <si>
    <t>=SUM(R657:S657)</t>
  </si>
  <si>
    <t>=F657</t>
  </si>
  <si>
    <t>=G657</t>
  </si>
  <si>
    <t>=NF($K658,"TRXDATE")</t>
  </si>
  <si>
    <t>=NF($K658,"JRNENTRY")</t>
  </si>
  <si>
    <t>=NF($K658,"ORMSTRNM")</t>
  </si>
  <si>
    <t>=NF($K658,"ORDOCNUM")</t>
  </si>
  <si>
    <t>=NF($K658,"REFRENCE")</t>
  </si>
  <si>
    <t>=NF($K658,"DSCRIPTN")</t>
  </si>
  <si>
    <t>=NF($K658,"DEBITAMT")</t>
  </si>
  <si>
    <t>=IF($K657="",0,-NF($K657,"CRDTAMNT"))</t>
  </si>
  <si>
    <t>=SUM(R658:S658)</t>
  </si>
  <si>
    <t>=F658</t>
  </si>
  <si>
    <t>=G658</t>
  </si>
  <si>
    <t>=NF($K659,"TRXDATE")</t>
  </si>
  <si>
    <t>=NF($K659,"JRNENTRY")</t>
  </si>
  <si>
    <t>=NF($K659,"ORMSTRNM")</t>
  </si>
  <si>
    <t>=NF($K659,"ORDOCNUM")</t>
  </si>
  <si>
    <t>=NF($K659,"REFRENCE")</t>
  </si>
  <si>
    <t>=NF($K659,"DSCRIPTN")</t>
  </si>
  <si>
    <t>=NF($K659,"DEBITAMT")</t>
  </si>
  <si>
    <t>=IF($K658="",0,-NF($K658,"CRDTAMNT"))</t>
  </si>
  <si>
    <t>=SUM(R659:S659)</t>
  </si>
  <si>
    <t>=IF($K659="",0,-NF($K659,"CRDTAMNT"))</t>
  </si>
  <si>
    <t>Auto+Hide</t>
  </si>
  <si>
    <t xml:space="preserve">Report Readme </t>
  </si>
  <si>
    <t>Services</t>
  </si>
  <si>
    <t>Training</t>
  </si>
  <si>
    <t>DISCLAIMER</t>
  </si>
  <si>
    <t>Copyrights</t>
  </si>
  <si>
    <t>="1/1/2016"</t>
  </si>
  <si>
    <t>=F112</t>
  </si>
  <si>
    <t>=G112</t>
  </si>
  <si>
    <t>=NF($K113,"TRXDATE")</t>
  </si>
  <si>
    <t>=NF($K113,"JRNENTRY")</t>
  </si>
  <si>
    <t>=NF($K113,"ORMSTRNM")</t>
  </si>
  <si>
    <t>=NF($K113,"ORDOCNUM")</t>
  </si>
  <si>
    <t>=NF($K113,"REFRENCE")</t>
  </si>
  <si>
    <t>=NF($K113,"DSCRIPTN")</t>
  </si>
  <si>
    <t>=NF($K113,"DEBITAMT")</t>
  </si>
  <si>
    <t>=IF($K112="",0,-NF($K112,"CRDTAMNT"))</t>
  </si>
  <si>
    <t>=SUM(R113:S113)</t>
  </si>
  <si>
    <t>=F113</t>
  </si>
  <si>
    <t>=G113</t>
  </si>
  <si>
    <t>=NF($K114,"TRXDATE")</t>
  </si>
  <si>
    <t>=NF($K114,"JRNENTRY")</t>
  </si>
  <si>
    <t>=NF($K114,"ORMSTRNM")</t>
  </si>
  <si>
    <t>=NF($K114,"ORDOCNUM")</t>
  </si>
  <si>
    <t>=NF($K114,"REFRENCE")</t>
  </si>
  <si>
    <t>=NF($K114,"DSCRIPTN")</t>
  </si>
  <si>
    <t>=NF($K114,"DEBITAMT")</t>
  </si>
  <si>
    <t>=IF($K113="",0,-NF($K113,"CRDTAMNT"))</t>
  </si>
  <si>
    <t>=SUM(R114:S114)</t>
  </si>
  <si>
    <t>=F114</t>
  </si>
  <si>
    <t>=G114</t>
  </si>
  <si>
    <t>=NF($K115,"TRXDATE")</t>
  </si>
  <si>
    <t>=NF($K115,"JRNENTRY")</t>
  </si>
  <si>
    <t>=NF($K115,"ORMSTRNM")</t>
  </si>
  <si>
    <t>=NF($K115,"ORDOCNUM")</t>
  </si>
  <si>
    <t>=NF($K115,"REFRENCE")</t>
  </si>
  <si>
    <t>=NF($K115,"DSCRIPTN")</t>
  </si>
  <si>
    <t>=NF($K115,"DEBITAMT")</t>
  </si>
  <si>
    <t>=IF($K114="",0,-NF($K114,"CRDTAMNT"))</t>
  </si>
  <si>
    <t>=SUM(R115:S115)</t>
  </si>
  <si>
    <t>=F115</t>
  </si>
  <si>
    <t>=G115</t>
  </si>
  <si>
    <t>=NF($K116,"TRXDATE")</t>
  </si>
  <si>
    <t>=NF($K116,"JRNENTRY")</t>
  </si>
  <si>
    <t>=NF($K116,"ORMSTRNM")</t>
  </si>
  <si>
    <t>=NF($K116,"ORDOCNUM")</t>
  </si>
  <si>
    <t>=NF($K116,"REFRENCE")</t>
  </si>
  <si>
    <t>=NF($K116,"DSCRIPTN")</t>
  </si>
  <si>
    <t>=NF($K116,"DEBITAMT")</t>
  </si>
  <si>
    <t>=IF($K115="",0,-NF($K115,"CRDTAMNT"))</t>
  </si>
  <si>
    <t>=SUM(R116:S116)</t>
  </si>
  <si>
    <t>=IF($K116="",0,-NF($K116,"CRDTAMNT"))</t>
  </si>
  <si>
    <t>=F201</t>
  </si>
  <si>
    <t>=G201</t>
  </si>
  <si>
    <t>=NF($K202,"TRXDATE")</t>
  </si>
  <si>
    <t>=NF($K202,"JRNENTRY")</t>
  </si>
  <si>
    <t>=NF($K202,"ORMSTRNM")</t>
  </si>
  <si>
    <t>=NF($K202,"ORDOCNUM")</t>
  </si>
  <si>
    <t>=NF($K202,"REFRENCE")</t>
  </si>
  <si>
    <t>=NF($K202,"DSCRIPTN")</t>
  </si>
  <si>
    <t>=NF($K202,"DEBITAMT")</t>
  </si>
  <si>
    <t>=IF($K201="",0,-NF($K201,"CRDTAMNT"))</t>
  </si>
  <si>
    <t>=SUM(R202:S202)</t>
  </si>
  <si>
    <t>=F202</t>
  </si>
  <si>
    <t>=G202</t>
  </si>
  <si>
    <t>=NF($K203,"TRXDATE")</t>
  </si>
  <si>
    <t>=NF($K203,"JRNENTRY")</t>
  </si>
  <si>
    <t>=NF($K203,"ORMSTRNM")</t>
  </si>
  <si>
    <t>=NF($K203,"ORDOCNUM")</t>
  </si>
  <si>
    <t>=NF($K203,"REFRENCE")</t>
  </si>
  <si>
    <t>=NF($K203,"DSCRIPTN")</t>
  </si>
  <si>
    <t>=NF($K203,"DEBITAMT")</t>
  </si>
  <si>
    <t>=IF($K202="",0,-NF($K202,"CRDTAMNT"))</t>
  </si>
  <si>
    <t>=SUM(R203:S203)</t>
  </si>
  <si>
    <t>=F203</t>
  </si>
  <si>
    <t>=G203</t>
  </si>
  <si>
    <t>=NF($K204,"TRXDATE")</t>
  </si>
  <si>
    <t>=NF($K204,"JRNENTRY")</t>
  </si>
  <si>
    <t>=NF($K204,"ORMSTRNM")</t>
  </si>
  <si>
    <t>=NF($K204,"ORDOCNUM")</t>
  </si>
  <si>
    <t>=NF($K204,"REFRENCE")</t>
  </si>
  <si>
    <t>=NF($K204,"DSCRIPTN")</t>
  </si>
  <si>
    <t>=NF($K204,"DEBITAMT")</t>
  </si>
  <si>
    <t>=IF($K203="",0,-NF($K203,"CRDTAMNT"))</t>
  </si>
  <si>
    <t>=SUM(R204:S204)</t>
  </si>
  <si>
    <t>=F204</t>
  </si>
  <si>
    <t>=G204</t>
  </si>
  <si>
    <t>=NF($K205,"TRXDATE")</t>
  </si>
  <si>
    <t>=NF($K205,"JRNENTRY")</t>
  </si>
  <si>
    <t>=NF($K205,"ORMSTRNM")</t>
  </si>
  <si>
    <t>=NF($K205,"ORDOCNUM")</t>
  </si>
  <si>
    <t>=NF($K205,"REFRENCE")</t>
  </si>
  <si>
    <t>=NF($K205,"DSCRIPTN")</t>
  </si>
  <si>
    <t>=NF($K205,"DEBITAMT")</t>
  </si>
  <si>
    <t>=IF($K204="",0,-NF($K204,"CRDTAMNT"))</t>
  </si>
  <si>
    <t>=SUM(R205:S205)</t>
  </si>
  <si>
    <t>=IF($K205="",0,-NF($K205,"CRDTAMNT"))</t>
  </si>
  <si>
    <t>6</t>
  </si>
  <si>
    <t>=F301</t>
  </si>
  <si>
    <t>=G301</t>
  </si>
  <si>
    <t>=NF($K302,"TRXDATE")</t>
  </si>
  <si>
    <t>=NF($K302,"JRNENTRY")</t>
  </si>
  <si>
    <t>=NF($K302,"ORMSTRNM")</t>
  </si>
  <si>
    <t>=NF($K302,"ORDOCNUM")</t>
  </si>
  <si>
    <t>=NF($K302,"REFRENCE")</t>
  </si>
  <si>
    <t>=NF($K302,"DSCRIPTN")</t>
  </si>
  <si>
    <t>=NF($K302,"DEBITAMT")</t>
  </si>
  <si>
    <t>=IF($K301="",0,-NF($K301,"CRDTAMNT"))</t>
  </si>
  <si>
    <t>=SUM(R302:S302)</t>
  </si>
  <si>
    <t>=F302</t>
  </si>
  <si>
    <t>=G302</t>
  </si>
  <si>
    <t>=NF($K303,"TRXDATE")</t>
  </si>
  <si>
    <t>=NF($K303,"JRNENTRY")</t>
  </si>
  <si>
    <t>=NF($K303,"ORMSTRNM")</t>
  </si>
  <si>
    <t>=NF($K303,"ORDOCNUM")</t>
  </si>
  <si>
    <t>=NF($K303,"REFRENCE")</t>
  </si>
  <si>
    <t>=NF($K303,"DSCRIPTN")</t>
  </si>
  <si>
    <t>=NF($K303,"DEBITAMT")</t>
  </si>
  <si>
    <t>=IF($K302="",0,-NF($K302,"CRDTAMNT"))</t>
  </si>
  <si>
    <t>=SUM(R303:S303)</t>
  </si>
  <si>
    <t>=F303</t>
  </si>
  <si>
    <t>=G303</t>
  </si>
  <si>
    <t>=NF($K304,"TRXDATE")</t>
  </si>
  <si>
    <t>=NF($K304,"JRNENTRY")</t>
  </si>
  <si>
    <t>=NF($K304,"ORMSTRNM")</t>
  </si>
  <si>
    <t>=NF($K304,"ORDOCNUM")</t>
  </si>
  <si>
    <t>=NF($K304,"REFRENCE")</t>
  </si>
  <si>
    <t>=NF($K304,"DSCRIPTN")</t>
  </si>
  <si>
    <t>=NF($K304,"DEBITAMT")</t>
  </si>
  <si>
    <t>=IF($K303="",0,-NF($K303,"CRDTAMNT"))</t>
  </si>
  <si>
    <t>=SUM(R304:S304)</t>
  </si>
  <si>
    <t>=F304</t>
  </si>
  <si>
    <t>=G304</t>
  </si>
  <si>
    <t>=NF($K305,"TRXDATE")</t>
  </si>
  <si>
    <t>=NF($K305,"JRNENTRY")</t>
  </si>
  <si>
    <t>=NF($K305,"ORMSTRNM")</t>
  </si>
  <si>
    <t>=NF($K305,"ORDOCNUM")</t>
  </si>
  <si>
    <t>=NF($K305,"REFRENCE")</t>
  </si>
  <si>
    <t>=NF($K305,"DSCRIPTN")</t>
  </si>
  <si>
    <t>=NF($K305,"DEBITAMT")</t>
  </si>
  <si>
    <t>=IF($K304="",0,-NF($K304,"CRDTAMNT"))</t>
  </si>
  <si>
    <t>=SUM(R305:S305)</t>
  </si>
  <si>
    <t>=IF($K305="",0,-NF($K305,"CRDTAMNT"))</t>
  </si>
  <si>
    <t>=F402</t>
  </si>
  <si>
    <t>=G402</t>
  </si>
  <si>
    <t>=NF($K403,"TRXDATE")</t>
  </si>
  <si>
    <t>=NF($K403,"JRNENTRY")</t>
  </si>
  <si>
    <t>=NF($K403,"ORMSTRNM")</t>
  </si>
  <si>
    <t>=NF($K403,"ORDOCNUM")</t>
  </si>
  <si>
    <t>=NF($K403,"REFRENCE")</t>
  </si>
  <si>
    <t>=NF($K403,"DSCRIPTN")</t>
  </si>
  <si>
    <t>=NF($K403,"DEBITAMT")</t>
  </si>
  <si>
    <t>=SUM(R403:S403)</t>
  </si>
  <si>
    <t>=F403</t>
  </si>
  <si>
    <t>=G403</t>
  </si>
  <si>
    <t>=NF($K404,"TRXDATE")</t>
  </si>
  <si>
    <t>=NF($K404,"JRNENTRY")</t>
  </si>
  <si>
    <t>=NF($K404,"ORMSTRNM")</t>
  </si>
  <si>
    <t>=NF($K404,"ORDOCNUM")</t>
  </si>
  <si>
    <t>=NF($K404,"REFRENCE")</t>
  </si>
  <si>
    <t>=NF($K404,"DSCRIPTN")</t>
  </si>
  <si>
    <t>=NF($K404,"DEBITAMT")</t>
  </si>
  <si>
    <t>=IF($K403="",0,-NF($K403,"CRDTAMNT"))</t>
  </si>
  <si>
    <t>=SUM(R404:S404)</t>
  </si>
  <si>
    <t>=F404</t>
  </si>
  <si>
    <t>=G404</t>
  </si>
  <si>
    <t>=NF($K405,"TRXDATE")</t>
  </si>
  <si>
    <t>=NF($K405,"JRNENTRY")</t>
  </si>
  <si>
    <t>=NF($K405,"ORMSTRNM")</t>
  </si>
  <si>
    <t>=NF($K405,"ORDOCNUM")</t>
  </si>
  <si>
    <t>=NF($K405,"REFRENCE")</t>
  </si>
  <si>
    <t>=NF($K405,"DSCRIPTN")</t>
  </si>
  <si>
    <t>=NF($K405,"DEBITAMT")</t>
  </si>
  <si>
    <t>=IF($K404="",0,-NF($K404,"CRDTAMNT"))</t>
  </si>
  <si>
    <t>=SUM(R405:S405)</t>
  </si>
  <si>
    <t>=IF($K405="",0,-NF($K405,"CRDTAMNT"))</t>
  </si>
  <si>
    <t>18</t>
  </si>
  <si>
    <t>=F490</t>
  </si>
  <si>
    <t>=G490</t>
  </si>
  <si>
    <t>=NF($K491,"TRXDATE")</t>
  </si>
  <si>
    <t>=NF($K491,"JRNENTRY")</t>
  </si>
  <si>
    <t>=NF($K491,"ORMSTRNM")</t>
  </si>
  <si>
    <t>=NF($K491,"ORDOCNUM")</t>
  </si>
  <si>
    <t>=NF($K491,"REFRENCE")</t>
  </si>
  <si>
    <t>=NF($K491,"DSCRIPTN")</t>
  </si>
  <si>
    <t>=NF($K491,"DEBITAMT")</t>
  </si>
  <si>
    <t>=IF($K490="",0,-NF($K490,"CRDTAMNT"))</t>
  </si>
  <si>
    <t>=SUM(R491:S491)</t>
  </si>
  <si>
    <t>=F491</t>
  </si>
  <si>
    <t>=G491</t>
  </si>
  <si>
    <t>=NF($K492,"TRXDATE")</t>
  </si>
  <si>
    <t>=NF($K492,"JRNENTRY")</t>
  </si>
  <si>
    <t>=NF($K492,"ORMSTRNM")</t>
  </si>
  <si>
    <t>=NF($K492,"ORDOCNUM")</t>
  </si>
  <si>
    <t>=NF($K492,"REFRENCE")</t>
  </si>
  <si>
    <t>=NF($K492,"DSCRIPTN")</t>
  </si>
  <si>
    <t>=NF($K492,"DEBITAMT")</t>
  </si>
  <si>
    <t>=IF($K491="",0,-NF($K491,"CRDTAMNT"))</t>
  </si>
  <si>
    <t>=SUM(R492:S492)</t>
  </si>
  <si>
    <t>=F492</t>
  </si>
  <si>
    <t>=G492</t>
  </si>
  <si>
    <t>=NF($K493,"TRXDATE")</t>
  </si>
  <si>
    <t>=NF($K493,"JRNENTRY")</t>
  </si>
  <si>
    <t>=NF($K493,"ORMSTRNM")</t>
  </si>
  <si>
    <t>=NF($K493,"ORDOCNUM")</t>
  </si>
  <si>
    <t>=NF($K493,"REFRENCE")</t>
  </si>
  <si>
    <t>=NF($K493,"DSCRIPTN")</t>
  </si>
  <si>
    <t>=NF($K493,"DEBITAMT")</t>
  </si>
  <si>
    <t>=IF($K492="",0,-NF($K492,"CRDTAMNT"))</t>
  </si>
  <si>
    <t>=SUM(R493:S493)</t>
  </si>
  <si>
    <t>=F590</t>
  </si>
  <si>
    <t>=G590</t>
  </si>
  <si>
    <t>=NF($K591,"TRXDATE")</t>
  </si>
  <si>
    <t>=NF($K591,"JRNENTRY")</t>
  </si>
  <si>
    <t>=NF($K591,"ORMSTRNM")</t>
  </si>
  <si>
    <t>=NF($K591,"ORDOCNUM")</t>
  </si>
  <si>
    <t>=NF($K591,"REFRENCE")</t>
  </si>
  <si>
    <t>=NF($K591,"DSCRIPTN")</t>
  </si>
  <si>
    <t>=NF($K591,"DEBITAMT")</t>
  </si>
  <si>
    <t>=IF($K590="",0,-NF($K590,"CRDTAMNT"))</t>
  </si>
  <si>
    <t>=SUM(R591:S591)</t>
  </si>
  <si>
    <t>=F591</t>
  </si>
  <si>
    <t>=G591</t>
  </si>
  <si>
    <t>=NF($K592,"TRXDATE")</t>
  </si>
  <si>
    <t>=NF($K592,"JRNENTRY")</t>
  </si>
  <si>
    <t>=NF($K592,"ORMSTRNM")</t>
  </si>
  <si>
    <t>=NF($K592,"ORDOCNUM")</t>
  </si>
  <si>
    <t>=NF($K592,"REFRENCE")</t>
  </si>
  <si>
    <t>=NF($K592,"DSCRIPTN")</t>
  </si>
  <si>
    <t>=NF($K592,"DEBITAMT")</t>
  </si>
  <si>
    <t>=IF($K591="",0,-NF($K591,"CRDTAMNT"))</t>
  </si>
  <si>
    <t>=SUM(R592:S592)</t>
  </si>
  <si>
    <t>19</t>
  </si>
  <si>
    <t>35</t>
  </si>
  <si>
    <t>=F679</t>
  </si>
  <si>
    <t>=G679</t>
  </si>
  <si>
    <t>=NF($K680,"TRXDATE")</t>
  </si>
  <si>
    <t>=NF($K680,"JRNENTRY")</t>
  </si>
  <si>
    <t>=NF($K680,"ORMSTRNM")</t>
  </si>
  <si>
    <t>=NF($K680,"ORDOCNUM")</t>
  </si>
  <si>
    <t>=NF($K680,"REFRENCE")</t>
  </si>
  <si>
    <t>=NF($K680,"DSCRIPTN")</t>
  </si>
  <si>
    <t>=NF($K680,"DEBITAMT")</t>
  </si>
  <si>
    <t>=IF($K679="",0,-NF($K679,"CRDTAMNT"))</t>
  </si>
  <si>
    <t>=SUM(R680:S680)</t>
  </si>
  <si>
    <t>=F680</t>
  </si>
  <si>
    <t>=G680</t>
  </si>
  <si>
    <t>=NF($K681,"TRXDATE")</t>
  </si>
  <si>
    <t>=NF($K681,"JRNENTRY")</t>
  </si>
  <si>
    <t>=NF($K681,"ORMSTRNM")</t>
  </si>
  <si>
    <t>=NF($K681,"ORDOCNUM")</t>
  </si>
  <si>
    <t>=NF($K681,"REFRENCE")</t>
  </si>
  <si>
    <t>=NF($K681,"DSCRIPTN")</t>
  </si>
  <si>
    <t>=NF($K681,"DEBITAMT")</t>
  </si>
  <si>
    <t>=IF($K680="",0,-NF($K680,"CRDTAMNT"))</t>
  </si>
  <si>
    <t>=SUM(R681:S681)</t>
  </si>
  <si>
    <t>=F681</t>
  </si>
  <si>
    <t>=G681</t>
  </si>
  <si>
    <t>=NF($K682,"TRXDATE")</t>
  </si>
  <si>
    <t>=NF($K682,"JRNENTRY")</t>
  </si>
  <si>
    <t>=NF($K682,"ORMSTRNM")</t>
  </si>
  <si>
    <t>=NF($K682,"ORDOCNUM")</t>
  </si>
  <si>
    <t>=NF($K682,"REFRENCE")</t>
  </si>
  <si>
    <t>=NF($K682,"DSCRIPTN")</t>
  </si>
  <si>
    <t>=NF($K682,"DEBITAMT")</t>
  </si>
  <si>
    <t>=IF($K681="",0,-NF($K681,"CRDTAMNT"))</t>
  </si>
  <si>
    <t>=SUM(R682:S682)</t>
  </si>
  <si>
    <t>=F682</t>
  </si>
  <si>
    <t>=G682</t>
  </si>
  <si>
    <t>=NF($K683,"TRXDATE")</t>
  </si>
  <si>
    <t>=NF($K683,"JRNENTRY")</t>
  </si>
  <si>
    <t>=NF($K683,"ORMSTRNM")</t>
  </si>
  <si>
    <t>=NF($K683,"ORDOCNUM")</t>
  </si>
  <si>
    <t>=NF($K683,"REFRENCE")</t>
  </si>
  <si>
    <t>=NF($K683,"DSCRIPTN")</t>
  </si>
  <si>
    <t>=NF($K683,"DEBITAMT")</t>
  </si>
  <si>
    <t>=IF($K682="",0,-NF($K682,"CRDTAMNT"))</t>
  </si>
  <si>
    <t>=SUM(R683:S683)</t>
  </si>
  <si>
    <t>=IF($K683="",0,-NF($K683,"CRDTAMNT"))</t>
  </si>
  <si>
    <t>36</t>
  </si>
  <si>
    <t>39</t>
  </si>
  <si>
    <t>78</t>
  </si>
  <si>
    <t>79</t>
  </si>
  <si>
    <t>82</t>
  </si>
  <si>
    <t>112</t>
  </si>
  <si>
    <t>113</t>
  </si>
  <si>
    <t>114</t>
  </si>
  <si>
    <t>137</t>
  </si>
  <si>
    <t>239</t>
  </si>
  <si>
    <t>447</t>
  </si>
  <si>
    <t>="1/31/2016"</t>
  </si>
  <si>
    <t>=SUBTOTAL(9,T17:T46)</t>
  </si>
  <si>
    <t>=NL(,"GL00105","ACTNUMST","ACTINDX","@@"&amp;$F49)</t>
  </si>
  <si>
    <t>=GL("Cell","Name","@@"&amp;$I49)</t>
  </si>
  <si>
    <t>=NL("Rows","GL30000",,"TRXDATE",$C$4,"ACTINDX",$F50)</t>
  </si>
  <si>
    <t>=NL("Rows","GL20000",,"TRXDATE",$C$4,"ACTINDX",$F51)</t>
  </si>
  <si>
    <t>=I49&amp;"   "&amp;J49&amp;"         Total:"</t>
  </si>
  <si>
    <t>=SUBTOTAL(9,T50:T88)</t>
  </si>
  <si>
    <t>=NL(,"GL00105","ACTNUMST","ACTINDX","@@"&amp;$F91)</t>
  </si>
  <si>
    <t>=GL("Cell","Name","@@"&amp;$I91)</t>
  </si>
  <si>
    <t>=NL("Rows","GL30000",,"TRXDATE",$C$4,"ACTINDX",$F92)</t>
  </si>
  <si>
    <t>=NL("Rows","GL20000",,"TRXDATE",$C$4,"ACTINDX",$F93)</t>
  </si>
  <si>
    <t>=F118</t>
  </si>
  <si>
    <t>=G118</t>
  </si>
  <si>
    <t>=NF($K119,"TRXDATE")</t>
  </si>
  <si>
    <t>=NF($K119,"JRNENTRY")</t>
  </si>
  <si>
    <t>=NF($K119,"ORMSTRNM")</t>
  </si>
  <si>
    <t>=NF($K119,"ORDOCNUM")</t>
  </si>
  <si>
    <t>=NF($K119,"REFRENCE")</t>
  </si>
  <si>
    <t>=NF($K119,"DSCRIPTN")</t>
  </si>
  <si>
    <t>=NF($K119,"DEBITAMT")</t>
  </si>
  <si>
    <t>=IF($K118="",0,-NF($K118,"CRDTAMNT"))</t>
  </si>
  <si>
    <t>=SUM(R119:S119)</t>
  </si>
  <si>
    <t>=F119</t>
  </si>
  <si>
    <t>=G119</t>
  </si>
  <si>
    <t>=NF($K120,"TRXDATE")</t>
  </si>
  <si>
    <t>=NF($K120,"JRNENTRY")</t>
  </si>
  <si>
    <t>=NF($K120,"ORMSTRNM")</t>
  </si>
  <si>
    <t>=NF($K120,"ORDOCNUM")</t>
  </si>
  <si>
    <t>=NF($K120,"REFRENCE")</t>
  </si>
  <si>
    <t>=NF($K120,"DSCRIPTN")</t>
  </si>
  <si>
    <t>=NF($K120,"DEBITAMT")</t>
  </si>
  <si>
    <t>=IF($K119="",0,-NF($K119,"CRDTAMNT"))</t>
  </si>
  <si>
    <t>=SUM(R120:S120)</t>
  </si>
  <si>
    <t>=F120</t>
  </si>
  <si>
    <t>=G120</t>
  </si>
  <si>
    <t>=NF($K121,"TRXDATE")</t>
  </si>
  <si>
    <t>=NF($K121,"JRNENTRY")</t>
  </si>
  <si>
    <t>=NF($K121,"ORMSTRNM")</t>
  </si>
  <si>
    <t>=NF($K121,"ORDOCNUM")</t>
  </si>
  <si>
    <t>=NF($K121,"REFRENCE")</t>
  </si>
  <si>
    <t>=NF($K121,"DSCRIPTN")</t>
  </si>
  <si>
    <t>=NF($K121,"DEBITAMT")</t>
  </si>
  <si>
    <t>=IF($K120="",0,-NF($K120,"CRDTAMNT"))</t>
  </si>
  <si>
    <t>=SUM(R121:S121)</t>
  </si>
  <si>
    <t>=F121</t>
  </si>
  <si>
    <t>=G121</t>
  </si>
  <si>
    <t>=NF($K122,"TRXDATE")</t>
  </si>
  <si>
    <t>=NF($K122,"JRNENTRY")</t>
  </si>
  <si>
    <t>=NF($K122,"ORMSTRNM")</t>
  </si>
  <si>
    <t>=NF($K122,"ORDOCNUM")</t>
  </si>
  <si>
    <t>=NF($K122,"REFRENCE")</t>
  </si>
  <si>
    <t>=NF($K122,"DSCRIPTN")</t>
  </si>
  <si>
    <t>=NF($K122,"DEBITAMT")</t>
  </si>
  <si>
    <t>=IF($K121="",0,-NF($K121,"CRDTAMNT"))</t>
  </si>
  <si>
    <t>=SUM(R122:S122)</t>
  </si>
  <si>
    <t>=IF($K122="",0,-NF($K122,"CRDTAMNT"))</t>
  </si>
  <si>
    <t>=I91&amp;"   "&amp;J91&amp;"         Total:"</t>
  </si>
  <si>
    <t>=SUBTOTAL(9,T92:T135)</t>
  </si>
  <si>
    <t>=NL(,"GL00105","ACTNUMST","ACTINDX","@@"&amp;$F138)</t>
  </si>
  <si>
    <t>=GL("Cell","Name","@@"&amp;$I138)</t>
  </si>
  <si>
    <t>=NL("Rows","GL30000",,"TRXDATE",$C$4,"ACTINDX",$F139)</t>
  </si>
  <si>
    <t>=NL("Rows","GL20000",,"TRXDATE",$C$4,"ACTINDX",$F140)</t>
  </si>
  <si>
    <t>=I138&amp;"   "&amp;J138&amp;"         Total:"</t>
  </si>
  <si>
    <t>=SUBTOTAL(9,T139:T146)</t>
  </si>
  <si>
    <t>=NL(,"GL00105","ACTNUMST","ACTINDX","@@"&amp;$F149)</t>
  </si>
  <si>
    <t>=GL("Cell","Name","@@"&amp;$I149)</t>
  </si>
  <si>
    <t>=NL("Rows","GL30000",,"TRXDATE",$C$4,"ACTINDX",$F150)</t>
  </si>
  <si>
    <t>=NL("Rows","GL20000",,"TRXDATE",$C$4,"ACTINDX",$F151)</t>
  </si>
  <si>
    <t>=I149&amp;"   "&amp;J149&amp;"         Total:"</t>
  </si>
  <si>
    <t>=SUBTOTAL(9,T150:T161)</t>
  </si>
  <si>
    <t>=NL(,"GL00105","ACTNUMST","ACTINDX","@@"&amp;$F164)</t>
  </si>
  <si>
    <t>=GL("Cell","Name","@@"&amp;$I164)</t>
  </si>
  <si>
    <t>=NL("Rows","GL30000",,"TRXDATE",$C$4,"ACTINDX",$F165)</t>
  </si>
  <si>
    <t>=NL("Rows","GL20000",,"TRXDATE",$C$4,"ACTINDX",$F166)</t>
  </si>
  <si>
    <t>=I164&amp;"   "&amp;J164&amp;"         Total:"</t>
  </si>
  <si>
    <t>=SUBTOTAL(9,T165:T167)</t>
  </si>
  <si>
    <t>=NL(,"GL00105","ACTNUMST","ACTINDX","@@"&amp;$F170)</t>
  </si>
  <si>
    <t>=GL("Cell","Name","@@"&amp;$I170)</t>
  </si>
  <si>
    <t>=NL("Rows","GL30000",,"TRXDATE",$C$4,"ACTINDX",$F171)</t>
  </si>
  <si>
    <t>=NL("Rows","GL20000",,"TRXDATE",$C$4,"ACTINDX",$F172)</t>
  </si>
  <si>
    <t>=F207</t>
  </si>
  <si>
    <t>=G207</t>
  </si>
  <si>
    <t>=NF($K208,"TRXDATE")</t>
  </si>
  <si>
    <t>=NF($K208,"JRNENTRY")</t>
  </si>
  <si>
    <t>=NF($K208,"ORMSTRNM")</t>
  </si>
  <si>
    <t>=NF($K208,"ORDOCNUM")</t>
  </si>
  <si>
    <t>=NF($K208,"REFRENCE")</t>
  </si>
  <si>
    <t>=NF($K208,"DSCRIPTN")</t>
  </si>
  <si>
    <t>=NF($K208,"DEBITAMT")</t>
  </si>
  <si>
    <t>=IF($K207="",0,-NF($K207,"CRDTAMNT"))</t>
  </si>
  <si>
    <t>=SUM(R208:S208)</t>
  </si>
  <si>
    <t>=I170&amp;"   "&amp;J170&amp;"         Total:"</t>
  </si>
  <si>
    <t>=SUBTOTAL(9,T171:T209)</t>
  </si>
  <si>
    <t>=NL(,"GL00105","ACTNUMST","ACTINDX","@@"&amp;$F212)</t>
  </si>
  <si>
    <t>=GL("Cell","Name","@@"&amp;$I212)</t>
  </si>
  <si>
    <t>=NL("Rows","GL30000",,"TRXDATE",$C$4,"ACTINDX",$F213)</t>
  </si>
  <si>
    <t>=NL("Rows","GL20000",,"TRXDATE",$C$4,"ACTINDX",$F214)</t>
  </si>
  <si>
    <t>=F230</t>
  </si>
  <si>
    <t>=G230</t>
  </si>
  <si>
    <t>=NF($K231,"TRXDATE")</t>
  </si>
  <si>
    <t>=NF($K231,"JRNENTRY")</t>
  </si>
  <si>
    <t>=NF($K231,"ORMSTRNM")</t>
  </si>
  <si>
    <t>=NF($K231,"ORDOCNUM")</t>
  </si>
  <si>
    <t>=NF($K231,"REFRENCE")</t>
  </si>
  <si>
    <t>=NF($K231,"DSCRIPTN")</t>
  </si>
  <si>
    <t>=NF($K231,"DEBITAMT")</t>
  </si>
  <si>
    <t>=IF($K230="",0,-NF($K230,"CRDTAMNT"))</t>
  </si>
  <si>
    <t>=SUM(R231:S231)</t>
  </si>
  <si>
    <t>=F231</t>
  </si>
  <si>
    <t>=G231</t>
  </si>
  <si>
    <t>=NF($K232,"TRXDATE")</t>
  </si>
  <si>
    <t>=NF($K232,"JRNENTRY")</t>
  </si>
  <si>
    <t>=NF($K232,"ORMSTRNM")</t>
  </si>
  <si>
    <t>=NF($K232,"ORDOCNUM")</t>
  </si>
  <si>
    <t>=NF($K232,"REFRENCE")</t>
  </si>
  <si>
    <t>=NF($K232,"DSCRIPTN")</t>
  </si>
  <si>
    <t>=NF($K232,"DEBITAMT")</t>
  </si>
  <si>
    <t>=IF($K231="",0,-NF($K231,"CRDTAMNT"))</t>
  </si>
  <si>
    <t>=SUM(R232:S232)</t>
  </si>
  <si>
    <t>=F232</t>
  </si>
  <si>
    <t>=G232</t>
  </si>
  <si>
    <t>=NF($K233,"TRXDATE")</t>
  </si>
  <si>
    <t>=NF($K233,"JRNENTRY")</t>
  </si>
  <si>
    <t>=NF($K233,"ORMSTRNM")</t>
  </si>
  <si>
    <t>=NF($K233,"ORDOCNUM")</t>
  </si>
  <si>
    <t>=NF($K233,"REFRENCE")</t>
  </si>
  <si>
    <t>=NF($K233,"DSCRIPTN")</t>
  </si>
  <si>
    <t>=NF($K233,"DEBITAMT")</t>
  </si>
  <si>
    <t>=IF($K232="",0,-NF($K232,"CRDTAMNT"))</t>
  </si>
  <si>
    <t>=SUM(R233:S233)</t>
  </si>
  <si>
    <t>=F233</t>
  </si>
  <si>
    <t>=G233</t>
  </si>
  <si>
    <t>=NF($K234,"TRXDATE")</t>
  </si>
  <si>
    <t>=NF($K234,"JRNENTRY")</t>
  </si>
  <si>
    <t>=NF($K234,"ORMSTRNM")</t>
  </si>
  <si>
    <t>=NF($K234,"ORDOCNUM")</t>
  </si>
  <si>
    <t>=NF($K234,"REFRENCE")</t>
  </si>
  <si>
    <t>=NF($K234,"DSCRIPTN")</t>
  </si>
  <si>
    <t>=NF($K234,"DEBITAMT")</t>
  </si>
  <si>
    <t>=IF($K233="",0,-NF($K233,"CRDTAMNT"))</t>
  </si>
  <si>
    <t>=SUM(R234:S234)</t>
  </si>
  <si>
    <t>=IF($K234="",0,-NF($K234,"CRDTAMNT"))</t>
  </si>
  <si>
    <t>=I212&amp;"   "&amp;J212&amp;"         Total:"</t>
  </si>
  <si>
    <t>=SUBTOTAL(9,T213:T242)</t>
  </si>
  <si>
    <t>=NL(,"GL00105","ACTNUMST","ACTINDX","@@"&amp;$F245)</t>
  </si>
  <si>
    <t>=GL("Cell","Name","@@"&amp;$I245)</t>
  </si>
  <si>
    <t>=NL("Rows","GL30000",,"TRXDATE",$C$4,"ACTINDX",$F246)</t>
  </si>
  <si>
    <t>=NL("Rows","GL20000",,"TRXDATE",$C$4,"ACTINDX",$F247)</t>
  </si>
  <si>
    <t>=I245&amp;"   "&amp;J245&amp;"         Total:"</t>
  </si>
  <si>
    <t>=SUBTOTAL(9,T246:T274)</t>
  </si>
  <si>
    <t>=NL(,"GL00105","ACTNUMST","ACTINDX","@@"&amp;$F277)</t>
  </si>
  <si>
    <t>=GL("Cell","Name","@@"&amp;$I277)</t>
  </si>
  <si>
    <t>=NL("Rows","GL30000",,"TRXDATE",$C$4,"ACTINDX",$F278)</t>
  </si>
  <si>
    <t>=NL("Rows","GL20000",,"TRXDATE",$C$4,"ACTINDX",$F279)</t>
  </si>
  <si>
    <t>=I277&amp;"   "&amp;J277&amp;"         Total:"</t>
  </si>
  <si>
    <t>=SUBTOTAL(9,T278:T307)</t>
  </si>
  <si>
    <t>=NL(,"GL00105","ACTNUMST","ACTINDX","@@"&amp;$F310)</t>
  </si>
  <si>
    <t>=GL("Cell","Name","@@"&amp;$I310)</t>
  </si>
  <si>
    <t>=NL("Rows","GL30000",,"TRXDATE",$C$4,"ACTINDX",$F311)</t>
  </si>
  <si>
    <t>=NL("Rows","GL20000",,"TRXDATE",$C$4,"ACTINDX",$F312)</t>
  </si>
  <si>
    <t>=I310&amp;"   "&amp;J310&amp;"         Total:"</t>
  </si>
  <si>
    <t>=SUBTOTAL(9,T311:T340)</t>
  </si>
  <si>
    <t>=NL(,"GL00105","ACTNUMST","ACTINDX","@@"&amp;$F343)</t>
  </si>
  <si>
    <t>=GL("Cell","Name","@@"&amp;$I343)</t>
  </si>
  <si>
    <t>=NL("Rows","GL30000",,"TRXDATE",$C$4,"ACTINDX",$F344)</t>
  </si>
  <si>
    <t>=NL("Rows","GL20000",,"TRXDATE",$C$4,"ACTINDX",$F345)</t>
  </si>
  <si>
    <t>=I343&amp;"   "&amp;J343&amp;"         Total:"</t>
  </si>
  <si>
    <t>=SUBTOTAL(9,T344:T365)</t>
  </si>
  <si>
    <t>=NL(,"GL00105","ACTNUMST","ACTINDX","@@"&amp;$F368)</t>
  </si>
  <si>
    <t>=GL("Cell","Name","@@"&amp;$I368)</t>
  </si>
  <si>
    <t>=NL("Rows","GL30000",,"TRXDATE",$C$4,"ACTINDX",$F369)</t>
  </si>
  <si>
    <t>=NL("Rows","GL20000",,"TRXDATE",$C$4,"ACTINDX",$F370)</t>
  </si>
  <si>
    <t>=I368&amp;"   "&amp;J368&amp;"         Total:"</t>
  </si>
  <si>
    <t>=SUBTOTAL(9,T369:T390)</t>
  </si>
  <si>
    <t>=NL(,"GL00105","ACTNUMST","ACTINDX","@@"&amp;$F393)</t>
  </si>
  <si>
    <t>=GL("Cell","Name","@@"&amp;$I393)</t>
  </si>
  <si>
    <t>=NL("Rows","GL30000",,"TRXDATE",$C$4,"ACTINDX",$F394)</t>
  </si>
  <si>
    <t>=NL("Rows","GL20000",,"TRXDATE",$C$4,"ACTINDX",$F395)</t>
  </si>
  <si>
    <t>=I393&amp;"   "&amp;J393&amp;"         Total:"</t>
  </si>
  <si>
    <t>=SUBTOTAL(9,T394:T399)</t>
  </si>
  <si>
    <t>=NL(,"GL00105","ACTNUMST","ACTINDX","@@"&amp;$F402)</t>
  </si>
  <si>
    <t>=GL("Cell","Name","@@"&amp;$I402)</t>
  </si>
  <si>
    <t>=NL("Rows","GL30000",,"TRXDATE",$C$4,"ACTINDX",$F403)</t>
  </si>
  <si>
    <t>=NL("Rows","GL20000",,"TRXDATE",$C$4,"ACTINDX",$F404)</t>
  </si>
  <si>
    <t>=I402&amp;"   "&amp;J402&amp;"         Total:"</t>
  </si>
  <si>
    <t>=SUBTOTAL(9,T403:T410)</t>
  </si>
  <si>
    <t>=NL(,"GL00105","ACTNUMST","ACTINDX","@@"&amp;$F413)</t>
  </si>
  <si>
    <t>=GL("Cell","Name","@@"&amp;$I413)</t>
  </si>
  <si>
    <t>=NL("Rows","GL30000",,"TRXDATE",$C$4,"ACTINDX",$F414)</t>
  </si>
  <si>
    <t>=NL("Rows","GL20000",,"TRXDATE",$C$4,"ACTINDX",$F415)</t>
  </si>
  <si>
    <t>=I413&amp;"   "&amp;J413&amp;"         Total:"</t>
  </si>
  <si>
    <t>=SUBTOTAL(9,T414:T423)</t>
  </si>
  <si>
    <t>=NL(,"GL00105","ACTNUMST","ACTINDX","@@"&amp;$F426)</t>
  </si>
  <si>
    <t>=GL("Cell","Name","@@"&amp;$I426)</t>
  </si>
  <si>
    <t>=NL("Rows","GL30000",,"TRXDATE",$C$4,"ACTINDX",$F427)</t>
  </si>
  <si>
    <t>=NL("Rows","GL20000",,"TRXDATE",$C$4,"ACTINDX",$F428)</t>
  </si>
  <si>
    <t>=I426&amp;"   "&amp;J426&amp;"         Total:"</t>
  </si>
  <si>
    <t>=SUBTOTAL(9,T427:T451)</t>
  </si>
  <si>
    <t>=NL(,"GL00105","ACTNUMST","ACTINDX","@@"&amp;$F454)</t>
  </si>
  <si>
    <t>=GL("Cell","Name","@@"&amp;$I454)</t>
  </si>
  <si>
    <t>=NL("Rows","GL30000",,"TRXDATE",$C$4,"ACTINDX",$F455)</t>
  </si>
  <si>
    <t>=NL("Rows","GL20000",,"TRXDATE",$C$4,"ACTINDX",$F456)</t>
  </si>
  <si>
    <t>=F470</t>
  </si>
  <si>
    <t>=G470</t>
  </si>
  <si>
    <t>=NF($K471,"TRXDATE")</t>
  </si>
  <si>
    <t>=NF($K471,"JRNENTRY")</t>
  </si>
  <si>
    <t>=NF($K471,"ORMSTRNM")</t>
  </si>
  <si>
    <t>=NF($K471,"ORDOCNUM")</t>
  </si>
  <si>
    <t>=NF($K471,"REFRENCE")</t>
  </si>
  <si>
    <t>=NF($K471,"DSCRIPTN")</t>
  </si>
  <si>
    <t>=NF($K471,"DEBITAMT")</t>
  </si>
  <si>
    <t>=IF($K470="",0,-NF($K470,"CRDTAMNT"))</t>
  </si>
  <si>
    <t>=SUM(R471:S471)</t>
  </si>
  <si>
    <t>=F471</t>
  </si>
  <si>
    <t>=G471</t>
  </si>
  <si>
    <t>=NF($K472,"TRXDATE")</t>
  </si>
  <si>
    <t>=NF($K472,"JRNENTRY")</t>
  </si>
  <si>
    <t>=NF($K472,"ORMSTRNM")</t>
  </si>
  <si>
    <t>=NF($K472,"ORDOCNUM")</t>
  </si>
  <si>
    <t>=NF($K472,"REFRENCE")</t>
  </si>
  <si>
    <t>=NF($K472,"DSCRIPTN")</t>
  </si>
  <si>
    <t>=NF($K472,"DEBITAMT")</t>
  </si>
  <si>
    <t>=IF($K471="",0,-NF($K471,"CRDTAMNT"))</t>
  </si>
  <si>
    <t>=SUM(R472:S472)</t>
  </si>
  <si>
    <t>=F472</t>
  </si>
  <si>
    <t>=G472</t>
  </si>
  <si>
    <t>=NF($K473,"TRXDATE")</t>
  </si>
  <si>
    <t>=NF($K473,"JRNENTRY")</t>
  </si>
  <si>
    <t>=NF($K473,"ORMSTRNM")</t>
  </si>
  <si>
    <t>=NF($K473,"ORDOCNUM")</t>
  </si>
  <si>
    <t>=NF($K473,"REFRENCE")</t>
  </si>
  <si>
    <t>=NF($K473,"DSCRIPTN")</t>
  </si>
  <si>
    <t>=NF($K473,"DEBITAMT")</t>
  </si>
  <si>
    <t>=IF($K472="",0,-NF($K472,"CRDTAMNT"))</t>
  </si>
  <si>
    <t>=SUM(R473:S473)</t>
  </si>
  <si>
    <t>=F473</t>
  </si>
  <si>
    <t>=G473</t>
  </si>
  <si>
    <t>=NF($K474,"TRXDATE")</t>
  </si>
  <si>
    <t>=NF($K474,"JRNENTRY")</t>
  </si>
  <si>
    <t>=NF($K474,"ORMSTRNM")</t>
  </si>
  <si>
    <t>=NF($K474,"ORDOCNUM")</t>
  </si>
  <si>
    <t>=NF($K474,"REFRENCE")</t>
  </si>
  <si>
    <t>=NF($K474,"DSCRIPTN")</t>
  </si>
  <si>
    <t>=NF($K474,"DEBITAMT")</t>
  </si>
  <si>
    <t>=IF($K473="",0,-NF($K473,"CRDTAMNT"))</t>
  </si>
  <si>
    <t>=SUM(R474:S474)</t>
  </si>
  <si>
    <t>=IF($K474="",0,-NF($K474,"CRDTAMNT"))</t>
  </si>
  <si>
    <t>=I454&amp;"   "&amp;J454&amp;"         Total:"</t>
  </si>
  <si>
    <t>=SUBTOTAL(9,T455:T494)</t>
  </si>
  <si>
    <t>=NL(,"GL00105","ACTNUMST","ACTINDX","@@"&amp;$F497)</t>
  </si>
  <si>
    <t>=GL("Cell","Name","@@"&amp;$I497)</t>
  </si>
  <si>
    <t>=NL("Rows","GL30000",,"TRXDATE",$C$4,"ACTINDX",$F498)</t>
  </si>
  <si>
    <t>=NL("Rows","GL20000",,"TRXDATE",$C$4,"ACTINDX",$F499)</t>
  </si>
  <si>
    <t>=I497&amp;"   "&amp;J497&amp;"         Total:"</t>
  </si>
  <si>
    <t>=SUBTOTAL(9,T498:T527)</t>
  </si>
  <si>
    <t>=NL(,"GL00105","ACTNUMST","ACTINDX","@@"&amp;$F530)</t>
  </si>
  <si>
    <t>=GL("Cell","Name","@@"&amp;$I530)</t>
  </si>
  <si>
    <t>=NL("Rows","GL30000",,"TRXDATE",$C$4,"ACTINDX",$F531)</t>
  </si>
  <si>
    <t>=NL("Rows","GL20000",,"TRXDATE",$C$4,"ACTINDX",$F532)</t>
  </si>
  <si>
    <t>=I530&amp;"   "&amp;J530&amp;"         Total:"</t>
  </si>
  <si>
    <t>=SUBTOTAL(9,T531:T560)</t>
  </si>
  <si>
    <t>=NL(,"GL00105","ACTNUMST","ACTINDX","@@"&amp;$F563)</t>
  </si>
  <si>
    <t>=GL("Cell","Name","@@"&amp;$I563)</t>
  </si>
  <si>
    <t>=NL("Rows","GL30000",,"TRXDATE",$C$4,"ACTINDX",$F564)</t>
  </si>
  <si>
    <t>=NL("Rows","GL20000",,"TRXDATE",$C$4,"ACTINDX",$F565)</t>
  </si>
  <si>
    <t>=I563&amp;"   "&amp;J563&amp;"         Total:"</t>
  </si>
  <si>
    <t>=SUBTOTAL(9,T564:T593)</t>
  </si>
  <si>
    <t>=NL(,"GL00105","ACTNUMST","ACTINDX","@@"&amp;$F596)</t>
  </si>
  <si>
    <t>=GL("Cell","Name","@@"&amp;$I596)</t>
  </si>
  <si>
    <t>=NL("Rows","GL30000",,"TRXDATE",$C$4,"ACTINDX",$F597)</t>
  </si>
  <si>
    <t>=NL("Rows","GL20000",,"TRXDATE",$C$4,"ACTINDX",$F598)</t>
  </si>
  <si>
    <t>=I596&amp;"   "&amp;J596&amp;"         Total:"</t>
  </si>
  <si>
    <t>=SUBTOTAL(9,T597:T626)</t>
  </si>
  <si>
    <t>=NL(,"GL00105","ACTNUMST","ACTINDX","@@"&amp;$F629)</t>
  </si>
  <si>
    <t>=G629</t>
  </si>
  <si>
    <t>=GL("Cell","Name","@@"&amp;$I629)</t>
  </si>
  <si>
    <t>=F629</t>
  </si>
  <si>
    <t>=NL("Rows","GL30000",,"TRXDATE",$C$4,"ACTINDX",$F630)</t>
  </si>
  <si>
    <t>=NF($K630,"TRXDATE")</t>
  </si>
  <si>
    <t>=NF($K630,"JRNENTRY")</t>
  </si>
  <si>
    <t>=NF($K630,"ORMSTRNM")</t>
  </si>
  <si>
    <t>=NF($K630,"ORDOCNUM")</t>
  </si>
  <si>
    <t>=NF($K630,"REFRENCE")</t>
  </si>
  <si>
    <t>=NF($K630,"DSCRIPTN")</t>
  </si>
  <si>
    <t>=NF($K630,"DEBITAMT")</t>
  </si>
  <si>
    <t>=IF($K630="",0,-NF($K630,"CRDTAMNT"))</t>
  </si>
  <si>
    <t>=SUM(R630:S630)</t>
  </si>
  <si>
    <t>=F630</t>
  </si>
  <si>
    <t>=G630</t>
  </si>
  <si>
    <t>=NL("Rows","GL20000",,"TRXDATE",$C$4,"ACTINDX",$F631)</t>
  </si>
  <si>
    <t>=NF($K631,"TRXDATE")</t>
  </si>
  <si>
    <t>=NF($K631,"JRNENTRY")</t>
  </si>
  <si>
    <t>=NF($K631,"ORMSTRNM")</t>
  </si>
  <si>
    <t>=NF($K631,"ORDOCNUM")</t>
  </si>
  <si>
    <t>=NF($K631,"REFRENCE")</t>
  </si>
  <si>
    <t>=NF($K631,"DSCRIPTN")</t>
  </si>
  <si>
    <t>=NF($K631,"DEBITAMT")</t>
  </si>
  <si>
    <t>=SUM(R631:S631)</t>
  </si>
  <si>
    <t>=F631</t>
  </si>
  <si>
    <t>=G631</t>
  </si>
  <si>
    <t>=NF($K632,"TRXDATE")</t>
  </si>
  <si>
    <t>=NF($K632,"JRNENTRY")</t>
  </si>
  <si>
    <t>=NF($K632,"ORMSTRNM")</t>
  </si>
  <si>
    <t>=NF($K632,"ORDOCNUM")</t>
  </si>
  <si>
    <t>=NF($K632,"REFRENCE")</t>
  </si>
  <si>
    <t>=NF($K632,"DSCRIPTN")</t>
  </si>
  <si>
    <t>=NF($K632,"DEBITAMT")</t>
  </si>
  <si>
    <t>=IF($K631="",0,-NF($K631,"CRDTAMNT"))</t>
  </si>
  <si>
    <t>=SUM(R632:S632)</t>
  </si>
  <si>
    <t>=F632</t>
  </si>
  <si>
    <t>=G632</t>
  </si>
  <si>
    <t>=NF($K633,"TRXDATE")</t>
  </si>
  <si>
    <t>=NF($K633,"JRNENTRY")</t>
  </si>
  <si>
    <t>=NF($K633,"ORMSTRNM")</t>
  </si>
  <si>
    <t>=NF($K633,"ORDOCNUM")</t>
  </si>
  <si>
    <t>=NF($K633,"REFRENCE")</t>
  </si>
  <si>
    <t>=NF($K633,"DSCRIPTN")</t>
  </si>
  <si>
    <t>=NF($K633,"DEBITAMT")</t>
  </si>
  <si>
    <t>=IF($K632="",0,-NF($K632,"CRDTAMNT"))</t>
  </si>
  <si>
    <t>=SUM(R633:S633)</t>
  </si>
  <si>
    <t>=IF($K633="",0,-NF($K633,"CRDTAMNT"))</t>
  </si>
  <si>
    <t>=F660</t>
  </si>
  <si>
    <t>=G660</t>
  </si>
  <si>
    <t>=NF($K661,"TRXDATE")</t>
  </si>
  <si>
    <t>=NF($K661,"JRNENTRY")</t>
  </si>
  <si>
    <t>=NF($K661,"ORMSTRNM")</t>
  </si>
  <si>
    <t>=NF($K661,"ORDOCNUM")</t>
  </si>
  <si>
    <t>=NF($K661,"REFRENCE")</t>
  </si>
  <si>
    <t>=NF($K661,"DSCRIPTN")</t>
  </si>
  <si>
    <t>=NF($K661,"DEBITAMT")</t>
  </si>
  <si>
    <t>=IF($K660="",0,-NF($K660,"CRDTAMNT"))</t>
  </si>
  <si>
    <t>=SUM(R661:S661)</t>
  </si>
  <si>
    <t>=F661</t>
  </si>
  <si>
    <t>=G661</t>
  </si>
  <si>
    <t>=NF($K662,"TRXDATE")</t>
  </si>
  <si>
    <t>=NF($K662,"JRNENTRY")</t>
  </si>
  <si>
    <t>=NF($K662,"ORMSTRNM")</t>
  </si>
  <si>
    <t>=NF($K662,"ORDOCNUM")</t>
  </si>
  <si>
    <t>=NF($K662,"REFRENCE")</t>
  </si>
  <si>
    <t>=NF($K662,"DSCRIPTN")</t>
  </si>
  <si>
    <t>=NF($K662,"DEBITAMT")</t>
  </si>
  <si>
    <t>=IF($K661="",0,-NF($K661,"CRDTAMNT"))</t>
  </si>
  <si>
    <t>=SUM(R662:S662)</t>
  </si>
  <si>
    <t>=F662</t>
  </si>
  <si>
    <t>=G662</t>
  </si>
  <si>
    <t>=NF($K663,"TRXDATE")</t>
  </si>
  <si>
    <t>=NF($K663,"JRNENTRY")</t>
  </si>
  <si>
    <t>=NF($K663,"ORMSTRNM")</t>
  </si>
  <si>
    <t>=NF($K663,"ORDOCNUM")</t>
  </si>
  <si>
    <t>=NF($K663,"REFRENCE")</t>
  </si>
  <si>
    <t>=NF($K663,"DSCRIPTN")</t>
  </si>
  <si>
    <t>=NF($K663,"DEBITAMT")</t>
  </si>
  <si>
    <t>=IF($K662="",0,-NF($K662,"CRDTAMNT"))</t>
  </si>
  <si>
    <t>=SUM(R663:S663)</t>
  </si>
  <si>
    <t>=F663</t>
  </si>
  <si>
    <t>=G663</t>
  </si>
  <si>
    <t>=NF($K664,"TRXDATE")</t>
  </si>
  <si>
    <t>=NF($K664,"JRNENTRY")</t>
  </si>
  <si>
    <t>=NF($K664,"ORMSTRNM")</t>
  </si>
  <si>
    <t>=NF($K664,"ORDOCNUM")</t>
  </si>
  <si>
    <t>=NF($K664,"REFRENCE")</t>
  </si>
  <si>
    <t>=NF($K664,"DSCRIPTN")</t>
  </si>
  <si>
    <t>=NF($K664,"DEBITAMT")</t>
  </si>
  <si>
    <t>=IF($K663="",0,-NF($K663,"CRDTAMNT"))</t>
  </si>
  <si>
    <t>=SUM(R664:S664)</t>
  </si>
  <si>
    <t>=IF($K664="",0,-NF($K664,"CRDTAMNT"))</t>
  </si>
  <si>
    <t>=I629&amp;"   "&amp;J629&amp;"         Total:"</t>
  </si>
  <si>
    <t>=SUBTOTAL(9,T630:T668)</t>
  </si>
  <si>
    <t>=NL(,"GL00105","ACTNUMST","ACTINDX","@@"&amp;$F671)</t>
  </si>
  <si>
    <t>=GL("Cell","Name","@@"&amp;$I671)</t>
  </si>
  <si>
    <t>=NL("Rows","GL30000",,"TRXDATE",$C$4,"ACTINDX",$F672)</t>
  </si>
  <si>
    <t>=NL("Rows","GL20000",,"TRXDATE",$C$4,"ACTINDX",$F673)</t>
  </si>
  <si>
    <t>=I671&amp;"   "&amp;J671&amp;"         Total:"</t>
  </si>
  <si>
    <t>=SUBTOTAL(9,T672:T693)</t>
  </si>
  <si>
    <t>=SUBTOTAL(9,T16:T696)</t>
  </si>
  <si>
    <t>About the report</t>
  </si>
  <si>
    <t>Modifying your report</t>
  </si>
  <si>
    <t>Version of Jet</t>
  </si>
  <si>
    <t>This report provides information about individual transactions in the GL20000 and GL30000 tables for a user selected date period - grouped by account number.</t>
  </si>
  <si>
    <t>=IF($K45="",0,-NF($K45,"CRDTAMNT"))</t>
  </si>
  <si>
    <t>=IF($K87="",0,-NF($K87,"CRDTAMNT"))</t>
  </si>
  <si>
    <t>=IF($K134="",0,-NF($K134,"CRDTAMNT"))</t>
  </si>
  <si>
    <t>=IF($K145="",0,-NF($K145,"CRDTAMNT"))</t>
  </si>
  <si>
    <t>=IF($K160="",0,-NF($K160,"CRDTAMNT"))</t>
  </si>
  <si>
    <t>=IF($K166="",0,-NF($K166,"CRDTAMNT"))</t>
  </si>
  <si>
    <t>=IF($K208="",0,-NF($K208,"CRDTAMNT"))</t>
  </si>
  <si>
    <t>=IF($K241="",0,-NF($K241,"CRDTAMNT"))</t>
  </si>
  <si>
    <t>=IF($K273="",0,-NF($K273,"CRDTAMNT"))</t>
  </si>
  <si>
    <t>=IF($K306="",0,-NF($K306,"CRDTAMNT"))</t>
  </si>
  <si>
    <t>=IF($K339="",0,-NF($K339,"CRDTAMNT"))</t>
  </si>
  <si>
    <t>=IF($K364="",0,-NF($K364,"CRDTAMNT"))</t>
  </si>
  <si>
    <t>=IF($K389="",0,-NF($K389,"CRDTAMNT"))</t>
  </si>
  <si>
    <t>=IF($K398="",0,-NF($K398,"CRDTAMNT"))</t>
  </si>
  <si>
    <t>=IF($K409="",0,-NF($K409,"CRDTAMNT"))</t>
  </si>
  <si>
    <t>=IF($K422="",0,-NF($K422,"CRDTAMNT"))</t>
  </si>
  <si>
    <t>=IF($K450="",0,-NF($K450,"CRDTAMNT"))</t>
  </si>
  <si>
    <t>=IF($K493="",0,-NF($K493,"CRDTAMNT"))</t>
  </si>
  <si>
    <t>=IF($K526="",0,-NF($K526,"CRDTAMNT"))</t>
  </si>
  <si>
    <t>=IF($K559="",0,-NF($K559,"CRDTAMNT"))</t>
  </si>
  <si>
    <t>=IF($K592="",0,-NF($K592,"CRDTAMNT"))</t>
  </si>
  <si>
    <t>=IF($K625="",0,-NF($K625,"CRDTAMNT"))</t>
  </si>
  <si>
    <t>=IF($K667="",0,-NF($K667,"CRDTAMNT"))</t>
  </si>
  <si>
    <t>=IF($K692="",0,-NF($K692,"CRDTAMNT"))</t>
  </si>
  <si>
    <t>Questions About This Report</t>
  </si>
  <si>
    <t>Click here to contact sample reports</t>
  </si>
  <si>
    <t>Click here for downloads</t>
  </si>
  <si>
    <t>="*"</t>
  </si>
  <si>
    <t>=Options!K11</t>
  </si>
  <si>
    <t>=Options!K13</t>
  </si>
  <si>
    <t>=NP("datefilter",C2,C3)</t>
  </si>
  <si>
    <t>=Options!K15</t>
  </si>
  <si>
    <t>=Options!K17</t>
  </si>
  <si>
    <t>=Options!K19</t>
  </si>
  <si>
    <t>This report can be modified by entering into design mode from the Jet tab.</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</si>
  <si>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</si>
  <si>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If you have questions about this or any other sample report, please email samplereports@jetglobal.com</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</si>
  <si>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</si>
  <si>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</si>
  <si>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</si>
  <si>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</si>
  <si>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</si>
  <si>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</si>
  <si>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</si>
  <si>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</si>
  <si>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</si>
  <si>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</si>
  <si>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</si>
  <si>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
  </si>
  <si>
    <t>Auto+Hide+Hidesheet+Values+Formulas=Sheet2,Sheet3+FormulasOnly</t>
  </si>
  <si>
    <t>Auto+Hide+Values+Formulas=Sheet4,Sheet5+FormulasOnly</t>
  </si>
  <si>
    <t>Auto+Hide+Hidesheet+Values+Formulas=Sheet6,Sheet2,Sheet3</t>
  </si>
  <si>
    <t>Auto+Hide+Hidesheet+Values+Formulas=Sheet6,Sheet2,Sheet3+FormulasOnly</t>
  </si>
  <si>
    <t>Auto+Hide+Values+Formulas=Sheet7,Sheet4,Sheet5</t>
  </si>
  <si>
    <t>="""GP Direct"",""Fabrikam, Inc."",""GL20000"",""DEX_ROW_ID"",""12206"""</t>
  </si>
  <si>
    <t>="""GP Direct"",""Fabrikam, Inc."",""GL20000"",""DEX_ROW_ID"",""12210"""</t>
  </si>
  <si>
    <t>="""GP Direct"",""Fabrikam, Inc."",""GL20000"",""DEX_ROW_ID"",""12224"""</t>
  </si>
  <si>
    <t>="""GP Direct"",""Fabrikam, Inc."",""GL20000"",""DEX_ROW_ID"",""12227"""</t>
  </si>
  <si>
    <t>="""GP Direct"",""Fabrikam, Inc."",""GL20000"",""DEX_ROW_ID"",""12239"""</t>
  </si>
  <si>
    <t>="""GP Direct"",""Fabrikam, Inc."",""GL20000"",""DEX_ROW_ID"",""12250"""</t>
  </si>
  <si>
    <t>="""GP Direct"",""Fabrikam, Inc."",""GL20000"",""DEX_ROW_ID"",""12256"""</t>
  </si>
  <si>
    <t>="""GP Direct"",""Fabrikam, Inc."",""GL20000"",""DEX_ROW_ID"",""12263"""</t>
  </si>
  <si>
    <t>="""GP Direct"",""Fabrikam, Inc."",""GL20000"",""DEX_ROW_ID"",""12279"""</t>
  </si>
  <si>
    <t>="""GP Direct"",""Fabrikam, Inc."",""GL20000"",""DEX_ROW_ID"",""12286"""</t>
  </si>
  <si>
    <t>="""GP Direct"",""Fabrikam, Inc."",""GL20000"",""DEX_ROW_ID"",""12293"""</t>
  </si>
  <si>
    <t>="""GP Direct"",""Fabrikam, Inc."",""GL20000"",""DEX_ROW_ID"",""12306"""</t>
  </si>
  <si>
    <t>="""GP Direct"",""Fabrikam, Inc."",""GL20000"",""DEX_ROW_ID"",""12312"""</t>
  </si>
  <si>
    <t>="""GP Direct"",""Fabrikam, Inc."",""GL20000"",""DEX_ROW_ID"",""12321"""</t>
  </si>
  <si>
    <t>="""GP Direct"",""Fabrikam, Inc."",""GL20000"",""DEX_ROW_ID"",""12331"""</t>
  </si>
  <si>
    <t>="""GP Direct"",""Fabrikam, Inc."",""GL20000"",""DEX_ROW_ID"",""12339"""</t>
  </si>
  <si>
    <t>="""GP Direct"",""Fabrikam, Inc."",""GL20000"",""DEX_ROW_ID"",""12349"""</t>
  </si>
  <si>
    <t>="""GP Direct"",""Fabrikam, Inc."",""GL20000"",""DEX_ROW_ID"",""12352"""</t>
  </si>
  <si>
    <t>="""GP Direct"",""Fabrikam, Inc."",""GL20000"",""DEX_ROW_ID"",""12368"""</t>
  </si>
  <si>
    <t>="""GP Direct"",""Fabrikam, Inc."",""GL20000"",""DEX_ROW_ID"",""12373"""</t>
  </si>
  <si>
    <t>="""GP Direct"",""Fabrikam, Inc."",""GL20000"",""DEX_ROW_ID"",""12379"""</t>
  </si>
  <si>
    <t>="""GP Direct"",""Fabrikam, Inc."",""GL20000"",""DEX_ROW_ID"",""12388"""</t>
  </si>
  <si>
    <t>="""GP Direct"",""Fabrikam, Inc."",""GL20000"",""DEX_ROW_ID"",""12402"""</t>
  </si>
  <si>
    <t>="""GP Direct"",""Fabrikam, Inc."",""GL20000"",""DEX_ROW_ID"",""12411"""</t>
  </si>
  <si>
    <t>="""GP Direct"",""Fabrikam, Inc."",""GL20000"",""DEX_ROW_ID"",""12416"""</t>
  </si>
  <si>
    <t>="""GP Direct"",""Fabrikam, Inc."",""GL20000"",""DEX_ROW_ID"",""12426"""</t>
  </si>
  <si>
    <t>="""GP Direct"",""Fabrikam, Inc."",""GL20000"",""DEX_ROW_ID"",""12436"""</t>
  </si>
  <si>
    <t>="""GP Direct"",""Fabrikam, Inc."",""GL20000"",""DEX_ROW_ID"",""3851"""</t>
  </si>
  <si>
    <t>="""GP Direct"",""Fabrikam, Inc."",""GL20000"",""DEX_ROW_ID"",""3859"""</t>
  </si>
  <si>
    <t>="""GP Direct"",""Fabrikam, Inc."",""GL20000"",""DEX_ROW_ID"",""3867"""</t>
  </si>
  <si>
    <t>="""GP Direct"",""Fabrikam, Inc."",""GL20000"",""DEX_ROW_ID"",""3875"""</t>
  </si>
  <si>
    <t>="""GP Direct"",""Fabrikam, Inc."",""GL20000"",""DEX_ROW_ID"",""3883"""</t>
  </si>
  <si>
    <t>="""GP Direct"",""Fabrikam, Inc."",""GL20000"",""DEX_ROW_ID"",""3891"""</t>
  </si>
  <si>
    <t>="""GP Direct"",""Fabrikam, Inc."",""GL20000"",""DEX_ROW_ID"",""3899"""</t>
  </si>
  <si>
    <t>="""GP Direct"",""Fabrikam, Inc."",""GL20000"",""DEX_ROW_ID"",""3907"""</t>
  </si>
  <si>
    <t>="""GP Direct"",""Fabrikam, Inc."",""GL20000"",""DEX_ROW_ID"",""3915"""</t>
  </si>
  <si>
    <t>="""GP Direct"",""Fabrikam, Inc."",""GL20000"",""DEX_ROW_ID"",""3923"""</t>
  </si>
  <si>
    <t>="""GP Direct"",""Fabrikam, Inc."",""GL20000"",""DEX_ROW_ID"",""3931"""</t>
  </si>
  <si>
    <t>="""GP Direct"",""Fabrikam, Inc."",""GL20000"",""DEX_ROW_ID"",""3941"""</t>
  </si>
  <si>
    <t>="""GP Direct"",""Fabrikam, Inc."",""GL20000"",""DEX_ROW_ID"",""3951"""</t>
  </si>
  <si>
    <t>="""GP Direct"",""Fabrikam, Inc."",""GL20000"",""DEX_ROW_ID"",""3961"""</t>
  </si>
  <si>
    <t>="""GP Direct"",""Fabrikam, Inc."",""GL20000"",""DEX_ROW_ID"",""3971"""</t>
  </si>
  <si>
    <t>="""GP Direct"",""Fabrikam, Inc."",""GL20000"",""DEX_ROW_ID"",""3980"""</t>
  </si>
  <si>
    <t>="""GP Direct"",""Fabrikam, Inc."",""GL20000"",""DEX_ROW_ID"",""3990"""</t>
  </si>
  <si>
    <t>="""GP Direct"",""Fabrikam, Inc."",""GL20000"",""DEX_ROW_ID"",""4000"""</t>
  </si>
  <si>
    <t>="""GP Direct"",""Fabrikam, Inc."",""GL20000"",""DEX_ROW_ID"",""4009"""</t>
  </si>
  <si>
    <t>="""GP Direct"",""Fabrikam, Inc."",""GL20000"",""DEX_ROW_ID"",""4019"""</t>
  </si>
  <si>
    <t>="""GP Direct"",""Fabrikam, Inc."",""GL20000"",""DEX_ROW_ID"",""4027"""</t>
  </si>
  <si>
    <t>="""GP Direct"",""Fabrikam, Inc."",""GL20000"",""DEX_ROW_ID"",""4037"""</t>
  </si>
  <si>
    <t>="""GP Direct"",""Fabrikam, Inc."",""GL20000"",""DEX_ROW_ID"",""4045"""</t>
  </si>
  <si>
    <t>="""GP Direct"",""Fabrikam, Inc."",""GL20000"",""DEX_ROW_ID"",""4055"""</t>
  </si>
  <si>
    <t>="""GP Direct"",""Fabrikam, Inc."",""GL20000"",""DEX_ROW_ID"",""4065"""</t>
  </si>
  <si>
    <t>="""GP Direct"",""Fabrikam, Inc."",""GL20000"",""DEX_ROW_ID"",""4074"""</t>
  </si>
  <si>
    <t>="""GP Direct"",""Fabrikam, Inc."",""GL20000"",""DEX_ROW_ID"",""4084"""</t>
  </si>
  <si>
    <t>="""GP Direct"",""Fabrikam, Inc."",""GL20000"",""DEX_ROW_ID"",""4094"""</t>
  </si>
  <si>
    <t>="""GP Direct"",""Fabrikam, Inc."",""GL20000"",""DEX_ROW_ID"",""4104"""</t>
  </si>
  <si>
    <t>="""GP Direct"",""Fabrikam, Inc."",""GL20000"",""DEX_ROW_ID"",""4114"""</t>
  </si>
  <si>
    <t>="""GP Direct"",""Fabrikam, Inc."",""GL20000"",""DEX_ROW_ID"",""4124"""</t>
  </si>
  <si>
    <t>="""GP Direct"",""Fabrikam, Inc."",""GL20000"",""DEX_ROW_ID"",""4134"""</t>
  </si>
  <si>
    <t>="""GP Direct"",""Fabrikam, Inc."",""GL20000"",""DEX_ROW_ID"",""4143"""</t>
  </si>
  <si>
    <t>="""GP Direct"",""Fabrikam, Inc."",""GL20000"",""DEX_ROW_ID"",""4153"""</t>
  </si>
  <si>
    <t>="""GP Direct"",""Fabrikam, Inc."",""GL20000"",""DEX_ROW_ID"",""4933"""</t>
  </si>
  <si>
    <t>="""GP Direct"",""Fabrikam, Inc."",""GL20000"",""DEX_ROW_ID"",""4941"""</t>
  </si>
  <si>
    <t>="""GP Direct"",""Fabrikam, Inc."",""GL20000"",""DEX_ROW_ID"",""3557"""</t>
  </si>
  <si>
    <t>="""GP Direct"",""Fabrikam, Inc."",""GL20000"",""DEX_ROW_ID"",""3559"""</t>
  </si>
  <si>
    <t>="""GP Direct"",""Fabrikam, Inc."",""GL20000"",""DEX_ROW_ID"",""3565"""</t>
  </si>
  <si>
    <t>="""GP Direct"",""Fabrikam, Inc."",""GL20000"",""DEX_ROW_ID"",""3571"""</t>
  </si>
  <si>
    <t>="""GP Direct"",""Fabrikam, Inc."",""GL20000"",""DEX_ROW_ID"",""3577"""</t>
  </si>
  <si>
    <t>="""GP Direct"",""Fabrikam, Inc."",""GL20000"",""DEX_ROW_ID"",""3583"""</t>
  </si>
  <si>
    <t>="""GP Direct"",""Fabrikam, Inc."",""GL20000"",""DEX_ROW_ID"",""3589"""</t>
  </si>
  <si>
    <t>="""GP Direct"",""Fabrikam, Inc."",""GL20000"",""DEX_ROW_ID"",""3598"""</t>
  </si>
  <si>
    <t>="""GP Direct"",""Fabrikam, Inc."",""GL20000"",""DEX_ROW_ID"",""3611"""</t>
  </si>
  <si>
    <t>="""GP Direct"",""Fabrikam, Inc."",""GL20000"",""DEX_ROW_ID"",""3617"""</t>
  </si>
  <si>
    <t>="""GP Direct"",""Fabrikam, Inc."",""GL20000"",""DEX_ROW_ID"",""3847"""</t>
  </si>
  <si>
    <t>="""GP Direct"",""Fabrikam, Inc."",""GL20000"",""DEX_ROW_ID"",""3855"""</t>
  </si>
  <si>
    <t>="""GP Direct"",""Fabrikam, Inc."",""GL20000"",""DEX_ROW_ID"",""3863"""</t>
  </si>
  <si>
    <t>="""GP Direct"",""Fabrikam, Inc."",""GL20000"",""DEX_ROW_ID"",""3871"""</t>
  </si>
  <si>
    <t>="""GP Direct"",""Fabrikam, Inc."",""GL20000"",""DEX_ROW_ID"",""3879"""</t>
  </si>
  <si>
    <t>="""GP Direct"",""Fabrikam, Inc."",""GL20000"",""DEX_ROW_ID"",""3887"""</t>
  </si>
  <si>
    <t>="""GP Direct"",""Fabrikam, Inc."",""GL20000"",""DEX_ROW_ID"",""3895"""</t>
  </si>
  <si>
    <t>="""GP Direct"",""Fabrikam, Inc."",""GL20000"",""DEX_ROW_ID"",""3903"""</t>
  </si>
  <si>
    <t>="""GP Direct"",""Fabrikam, Inc."",""GL20000"",""DEX_ROW_ID"",""3911"""</t>
  </si>
  <si>
    <t>="""GP Direct"",""Fabrikam, Inc."",""GL20000"",""DEX_ROW_ID"",""3919"""</t>
  </si>
  <si>
    <t>="""GP Direct"",""Fabrikam, Inc."",""GL20000"",""DEX_ROW_ID"",""3927"""</t>
  </si>
  <si>
    <t>="""GP Direct"",""Fabrikam, Inc."",""GL20000"",""DEX_ROW_ID"",""3937"""</t>
  </si>
  <si>
    <t>="""GP Direct"",""Fabrikam, Inc."",""GL20000"",""DEX_ROW_ID"",""3947"""</t>
  </si>
  <si>
    <t>="""GP Direct"",""Fabrikam, Inc."",""GL20000"",""DEX_ROW_ID"",""3957"""</t>
  </si>
  <si>
    <t>="""GP Direct"",""Fabrikam, Inc."",""GL20000"",""DEX_ROW_ID"",""3967"""</t>
  </si>
  <si>
    <t>="""GP Direct"",""Fabrikam, Inc."",""GL20000"",""DEX_ROW_ID"",""3976"""</t>
  </si>
  <si>
    <t>="""GP Direct"",""Fabrikam, Inc."",""GL20000"",""DEX_ROW_ID"",""3986"""</t>
  </si>
  <si>
    <t>="""GP Direct"",""Fabrikam, Inc."",""GL20000"",""DEX_ROW_ID"",""3996"""</t>
  </si>
  <si>
    <t>="""GP Direct"",""Fabrikam, Inc."",""GL20000"",""DEX_ROW_ID"",""4005"""</t>
  </si>
  <si>
    <t>="""GP Direct"",""Fabrikam, Inc."",""GL20000"",""DEX_ROW_ID"",""4015"""</t>
  </si>
  <si>
    <t>="""GP Direct"",""Fabrikam, Inc."",""GL20000"",""DEX_ROW_ID"",""4023"""</t>
  </si>
  <si>
    <t>="""GP Direct"",""Fabrikam, Inc."",""GL20000"",""DEX_ROW_ID"",""4033"""</t>
  </si>
  <si>
    <t>="""GP Direct"",""Fabrikam, Inc."",""GL20000"",""DEX_ROW_ID"",""4041"""</t>
  </si>
  <si>
    <t>="""GP Direct"",""Fabrikam, Inc."",""GL20000"",""DEX_ROW_ID"",""4051"""</t>
  </si>
  <si>
    <t>="""GP Direct"",""Fabrikam, Inc."",""GL20000"",""DEX_ROW_ID"",""4061"""</t>
  </si>
  <si>
    <t>="""GP Direct"",""Fabrikam, Inc."",""GL20000"",""DEX_ROW_ID"",""4070"""</t>
  </si>
  <si>
    <t>="""GP Direct"",""Fabrikam, Inc."",""GL20000"",""DEX_ROW_ID"",""4080"""</t>
  </si>
  <si>
    <t>="""GP Direct"",""Fabrikam, Inc."",""GL20000"",""DEX_ROW_ID"",""4090"""</t>
  </si>
  <si>
    <t>="""GP Direct"",""Fabrikam, Inc."",""GL20000"",""DEX_ROW_ID"",""4149"""</t>
  </si>
  <si>
    <t>="""GP Direct"",""Fabrikam, Inc."",""GL20000"",""DEX_ROW_ID"",""4937"""</t>
  </si>
  <si>
    <t>="""GP Direct"",""Fabrikam, Inc."",""GL20000"",""DEX_ROW_ID"",""4944"""</t>
  </si>
  <si>
    <t>="""GP Direct"",""Fabrikam, Inc."",""GL20000"",""DEX_ROW_ID"",""4110"""</t>
  </si>
  <si>
    <t>="""GP Direct"",""Fabrikam, Inc."",""GL20000"",""DEX_ROW_ID"",""4120"""</t>
  </si>
  <si>
    <t>="""GP Direct"",""Fabrikam, Inc."",""GL20000"",""DEX_ROW_ID"",""4130"""</t>
  </si>
  <si>
    <t>="""GP Direct"",""Fabrikam, Inc."",""GL20000"",""DEX_ROW_ID"",""4139"""</t>
  </si>
  <si>
    <t>="""GP Direct"",""Fabrikam, Inc."",""GL20000"",""DEX_ROW_ID"",""4159"""</t>
  </si>
  <si>
    <t>="""GP Direct"",""Fabrikam, Inc."",""GL20000"",""DEX_ROW_ID"",""3561"""</t>
  </si>
  <si>
    <t>="""GP Direct"",""Fabrikam, Inc."",""GL20000"",""DEX_ROW_ID"",""3567"""</t>
  </si>
  <si>
    <t>="""GP Direct"",""Fabrikam, Inc."",""GL20000"",""DEX_ROW_ID"",""3573"""</t>
  </si>
  <si>
    <t>="""GP Direct"",""Fabrikam, Inc."",""GL20000"",""DEX_ROW_ID"",""3579"""</t>
  </si>
  <si>
    <t>="""GP Direct"",""Fabrikam, Inc."",""GL20000"",""DEX_ROW_ID"",""3585"""</t>
  </si>
  <si>
    <t>="""GP Direct"",""Fabrikam, Inc."",""GL20000"",""DEX_ROW_ID"",""3592"""</t>
  </si>
  <si>
    <t>="""GP Direct"",""Fabrikam, Inc."",""GL20000"",""DEX_ROW_ID"",""3600"""</t>
  </si>
  <si>
    <t>="""GP Direct"",""Fabrikam, Inc."",""GL20000"",""DEX_ROW_ID"",""3613"""</t>
  </si>
  <si>
    <t>="""GP Direct"",""Fabrikam, Inc."",""GL20000"",""DEX_ROW_ID"",""3619"""</t>
  </si>
  <si>
    <t>="""GP Direct"",""Fabrikam, Inc."",""GL20000"",""DEX_ROW_ID"",""3854"""</t>
  </si>
  <si>
    <t>="""GP Direct"",""Fabrikam, Inc."",""GL20000"",""DEX_ROW_ID"",""3862"""</t>
  </si>
  <si>
    <t>="""GP Direct"",""Fabrikam, Inc."",""GL20000"",""DEX_ROW_ID"",""3870"""</t>
  </si>
  <si>
    <t>="""GP Direct"",""Fabrikam, Inc."",""GL20000"",""DEX_ROW_ID"",""3878"""</t>
  </si>
  <si>
    <t>="""GP Direct"",""Fabrikam, Inc."",""GL20000"",""DEX_ROW_ID"",""3886"""</t>
  </si>
  <si>
    <t>="""GP Direct"",""Fabrikam, Inc."",""GL20000"",""DEX_ROW_ID"",""3894"""</t>
  </si>
  <si>
    <t>="""GP Direct"",""Fabrikam, Inc."",""GL20000"",""DEX_ROW_ID"",""3902"""</t>
  </si>
  <si>
    <t>="""GP Direct"",""Fabrikam, Inc."",""GL20000"",""DEX_ROW_ID"",""3910"""</t>
  </si>
  <si>
    <t>="""GP Direct"",""Fabrikam, Inc."",""GL20000"",""DEX_ROW_ID"",""3918"""</t>
  </si>
  <si>
    <t>="""GP Direct"",""Fabrikam, Inc."",""GL20000"",""DEX_ROW_ID"",""3926"""</t>
  </si>
  <si>
    <t>="""GP Direct"",""Fabrikam, Inc."",""GL20000"",""DEX_ROW_ID"",""3936"""</t>
  </si>
  <si>
    <t>="""GP Direct"",""Fabrikam, Inc."",""GL20000"",""DEX_ROW_ID"",""3946"""</t>
  </si>
  <si>
    <t>="""GP Direct"",""Fabrikam, Inc."",""GL20000"",""DEX_ROW_ID"",""3956"""</t>
  </si>
  <si>
    <t>="""GP Direct"",""Fabrikam, Inc."",""GL20000"",""DEX_ROW_ID"",""3966"""</t>
  </si>
  <si>
    <t>="""GP Direct"",""Fabrikam, Inc."",""GL20000"",""DEX_ROW_ID"",""3975"""</t>
  </si>
  <si>
    <t>="""GP Direct"",""Fabrikam, Inc."",""GL20000"",""DEX_ROW_ID"",""3985"""</t>
  </si>
  <si>
    <t>="""GP Direct"",""Fabrikam, Inc."",""GL20000"",""DEX_ROW_ID"",""3995"""</t>
  </si>
  <si>
    <t>="""GP Direct"",""Fabrikam, Inc."",""GL20000"",""DEX_ROW_ID"",""4004"""</t>
  </si>
  <si>
    <t>="""GP Direct"",""Fabrikam, Inc."",""GL20000"",""DEX_ROW_ID"",""4014"""</t>
  </si>
  <si>
    <t>="""GP Direct"",""Fabrikam, Inc."",""GL20000"",""DEX_ROW_ID"",""4022"""</t>
  </si>
  <si>
    <t>="""GP Direct"",""Fabrikam, Inc."",""GL20000"",""DEX_ROW_ID"",""4032"""</t>
  </si>
  <si>
    <t>="""GP Direct"",""Fabrikam, Inc."",""GL20000"",""DEX_ROW_ID"",""4040"""</t>
  </si>
  <si>
    <t>="""GP Direct"",""Fabrikam, Inc."",""GL20000"",""DEX_ROW_ID"",""4050"""</t>
  </si>
  <si>
    <t>="""GP Direct"",""Fabrikam, Inc."",""GL20000"",""DEX_ROW_ID"",""4060"""</t>
  </si>
  <si>
    <t>="""GP Direct"",""Fabrikam, Inc."",""GL20000"",""DEX_ROW_ID"",""4069"""</t>
  </si>
  <si>
    <t>="""GP Direct"",""Fabrikam, Inc."",""GL20000"",""DEX_ROW_ID"",""4079"""</t>
  </si>
  <si>
    <t>="""GP Direct"",""Fabrikam, Inc."",""GL20000"",""DEX_ROW_ID"",""4089"""</t>
  </si>
  <si>
    <t>="""GP Direct"",""Fabrikam, Inc."",""GL20000"",""DEX_ROW_ID"",""4099"""</t>
  </si>
  <si>
    <t>="""GP Direct"",""Fabrikam, Inc."",""GL20000"",""DEX_ROW_ID"",""4109"""</t>
  </si>
  <si>
    <t>="""GP Direct"",""Fabrikam, Inc."",""GL20000"",""DEX_ROW_ID"",""4119"""</t>
  </si>
  <si>
    <t>="""GP Direct"",""Fabrikam, Inc."",""GL20000"",""DEX_ROW_ID"",""4129"""</t>
  </si>
  <si>
    <t>="""GP Direct"",""Fabrikam, Inc."",""GL20000"",""DEX_ROW_ID"",""4138"""</t>
  </si>
  <si>
    <t>="""GP Direct"",""Fabrikam, Inc."",""GL20000"",""DEX_ROW_ID"",""4148"""</t>
  </si>
  <si>
    <t>="""GP Direct"",""Fabrikam, Inc."",""GL20000"",""DEX_ROW_ID"",""4158"""</t>
  </si>
  <si>
    <t>="""GP Direct"",""Fabrikam, Inc."",""GL20000"",""DEX_ROW_ID"",""4940"""</t>
  </si>
  <si>
    <t>="""GP Direct"",""Fabrikam, Inc."",""GL20000"",""DEX_ROW_ID"",""4943"""</t>
  </si>
  <si>
    <t>="""GP Direct"",""Fabrikam, Inc."",""GL20000"",""DEX_ROW_ID"",""12200"""</t>
  </si>
  <si>
    <t>="""GP Direct"",""Fabrikam, Inc."",""GL20000"",""DEX_ROW_ID"",""12209"""</t>
  </si>
  <si>
    <t>="""GP Direct"",""Fabrikam, Inc."",""GL20000"",""DEX_ROW_ID"",""12221"""</t>
  </si>
  <si>
    <t>="""GP Direct"",""Fabrikam, Inc."",""GL20000"",""DEX_ROW_ID"",""12228"""</t>
  </si>
  <si>
    <t>="""GP Direct"",""Fabrikam, Inc."",""GL20000"",""DEX_ROW_ID"",""12236"""</t>
  </si>
  <si>
    <t>="""GP Direct"",""Fabrikam, Inc."",""GL20000"",""DEX_ROW_ID"",""12247"""</t>
  </si>
  <si>
    <t>="""GP Direct"",""Fabrikam, Inc."",""GL20000"",""DEX_ROW_ID"",""12259"""</t>
  </si>
  <si>
    <t>="""GP Direct"",""Fabrikam, Inc."",""GL20000"",""DEX_ROW_ID"",""12265"""</t>
  </si>
  <si>
    <t>="""GP Direct"",""Fabrikam, Inc."",""GL20000"",""DEX_ROW_ID"",""12278"""</t>
  </si>
  <si>
    <t>="""GP Direct"",""Fabrikam, Inc."",""GL20000"",""DEX_ROW_ID"",""12283"""</t>
  </si>
  <si>
    <t>="""GP Direct"",""Fabrikam, Inc."",""GL20000"",""DEX_ROW_ID"",""12290"""</t>
  </si>
  <si>
    <t>="""GP Direct"",""Fabrikam, Inc."",""GL20000"",""DEX_ROW_ID"",""12304"""</t>
  </si>
  <si>
    <t>="""GP Direct"",""Fabrikam, Inc."",""GL20000"",""DEX_ROW_ID"",""12308"""</t>
  </si>
  <si>
    <t>="""GP Direct"",""Fabrikam, Inc."",""GL20000"",""DEX_ROW_ID"",""12322"""</t>
  </si>
  <si>
    <t>="""GP Direct"",""Fabrikam, Inc."",""GL20000"",""DEX_ROW_ID"",""12326"""</t>
  </si>
  <si>
    <t>="""GP Direct"",""Fabrikam, Inc."",""GL20000"",""DEX_ROW_ID"",""12338"""</t>
  </si>
  <si>
    <t>="""GP Direct"",""Fabrikam, Inc."",""GL20000"",""DEX_ROW_ID"",""12347"""</t>
  </si>
  <si>
    <t>="""GP Direct"",""Fabrikam, Inc."",""GL20000"",""DEX_ROW_ID"",""12356"""</t>
  </si>
  <si>
    <t>="""GP Direct"",""Fabrikam, Inc."",""GL20000"",""DEX_ROW_ID"",""12362"""</t>
  </si>
  <si>
    <t>="""GP Direct"",""Fabrikam, Inc."",""GL20000"",""DEX_ROW_ID"",""12376"""</t>
  </si>
  <si>
    <t>="""GP Direct"",""Fabrikam, Inc."",""GL20000"",""DEX_ROW_ID"",""12383"""</t>
  </si>
  <si>
    <t>="""GP Direct"",""Fabrikam, Inc."",""GL20000"",""DEX_ROW_ID"",""12394"""</t>
  </si>
  <si>
    <t>="""GP Direct"",""Fabrikam, Inc."",""GL20000"",""DEX_ROW_ID"",""12396"""</t>
  </si>
  <si>
    <t>="""GP Direct"",""Fabrikam, Inc."",""GL20000"",""DEX_ROW_ID"",""12408"""</t>
  </si>
  <si>
    <t>="""GP Direct"",""Fabrikam, Inc."",""GL20000"",""DEX_ROW_ID"",""12418"""</t>
  </si>
  <si>
    <t>="""GP Direct"",""Fabrikam, Inc."",""GL20000"",""DEX_ROW_ID"",""12423"""</t>
  </si>
  <si>
    <t>="""GP Direct"",""Fabrikam, Inc."",""GL20000"",""DEX_ROW_ID"",""12440"""</t>
  </si>
  <si>
    <t>="""GP Direct"",""Fabrikam, Inc."",""GL20000"",""DEX_ROW_ID"",""12204"""</t>
  </si>
  <si>
    <t>="""GP Direct"",""Fabrikam, Inc."",""GL20000"",""DEX_ROW_ID"",""12211"""</t>
  </si>
  <si>
    <t>="""GP Direct"",""Fabrikam, Inc."",""GL20000"",""DEX_ROW_ID"",""12218"""</t>
  </si>
  <si>
    <t>="""GP Direct"",""Fabrikam, Inc."",""GL20000"",""DEX_ROW_ID"",""12226"""</t>
  </si>
  <si>
    <t>="""GP Direct"",""Fabrikam, Inc."",""GL20000"",""DEX_ROW_ID"",""12240"""</t>
  </si>
  <si>
    <t>="""GP Direct"",""Fabrikam, Inc."",""GL20000"",""DEX_ROW_ID"",""12248"""</t>
  </si>
  <si>
    <t>="""GP Direct"",""Fabrikam, Inc."",""GL20000"",""DEX_ROW_ID"",""12253"""</t>
  </si>
  <si>
    <t>="""GP Direct"",""Fabrikam, Inc."",""GL20000"",""DEX_ROW_ID"",""12267"""</t>
  </si>
  <si>
    <t>="""GP Direct"",""Fabrikam, Inc."",""GL20000"",""DEX_ROW_ID"",""12271"""</t>
  </si>
  <si>
    <t>="""GP Direct"",""Fabrikam, Inc."",""GL20000"",""DEX_ROW_ID"",""12285"""</t>
  </si>
  <si>
    <t>="""GP Direct"",""Fabrikam, Inc."",""GL20000"",""DEX_ROW_ID"",""12294"""</t>
  </si>
  <si>
    <t>="""GP Direct"",""Fabrikam, Inc."",""GL20000"",""DEX_ROW_ID"",""12303"""</t>
  </si>
  <si>
    <t>="""GP Direct"",""Fabrikam, Inc."",""GL20000"",""DEX_ROW_ID"",""12307"""</t>
  </si>
  <si>
    <t>="""GP Direct"",""Fabrikam, Inc."",""GL20000"",""DEX_ROW_ID"",""12319"""</t>
  </si>
  <si>
    <t>="""GP Direct"",""Fabrikam, Inc."",""GL20000"",""DEX_ROW_ID"",""12329"""</t>
  </si>
  <si>
    <t>="""GP Direct"",""Fabrikam, Inc."",""GL20000"",""DEX_ROW_ID"",""12342"""</t>
  </si>
  <si>
    <t>="""GP Direct"",""Fabrikam, Inc."",""GL20000"",""DEX_ROW_ID"",""12345"""</t>
  </si>
  <si>
    <t>="""GP Direct"",""Fabrikam, Inc."",""GL20000"",""DEX_ROW_ID"",""12360"""</t>
  </si>
  <si>
    <t>="""GP Direct"",""Fabrikam, Inc."",""GL20000"",""DEX_ROW_ID"",""12374"""</t>
  </si>
  <si>
    <t>="""GP Direct"",""Fabrikam, Inc."",""GL20000"",""DEX_ROW_ID"",""12381"""</t>
  </si>
  <si>
    <t>="""GP Direct"",""Fabrikam, Inc."",""GL20000"",""DEX_ROW_ID"",""12387"""</t>
  </si>
  <si>
    <t>="""GP Direct"",""Fabrikam, Inc."",""GL20000"",""DEX_ROW_ID"",""12401"""</t>
  </si>
  <si>
    <t>="""GP Direct"",""Fabrikam, Inc."",""GL20000"",""DEX_ROW_ID"",""12405"""</t>
  </si>
  <si>
    <t>="""GP Direct"",""Fabrikam, Inc."",""GL20000"",""DEX_ROW_ID"",""12414"""</t>
  </si>
  <si>
    <t>="""GP Direct"",""Fabrikam, Inc."",""GL20000"",""DEX_ROW_ID"",""12425"""</t>
  </si>
  <si>
    <t>="""GP Direct"",""Fabrikam, Inc."",""GL20000"",""DEX_ROW_ID"",""12435"""</t>
  </si>
  <si>
    <t>="""GP Direct"",""Fabrikam, Inc."",""GL20000"",""DEX_ROW_ID"",""12201"""</t>
  </si>
  <si>
    <t>="""GP Direct"",""Fabrikam, Inc."",""GL20000"",""DEX_ROW_ID"",""12213"""</t>
  </si>
  <si>
    <t>="""GP Direct"",""Fabrikam, Inc."",""GL20000"",""DEX_ROW_ID"",""12223"""</t>
  </si>
  <si>
    <t>="""GP Direct"",""Fabrikam, Inc."",""GL20000"",""DEX_ROW_ID"",""12229"""</t>
  </si>
  <si>
    <t>="""GP Direct"",""Fabrikam, Inc."",""GL20000"",""DEX_ROW_ID"",""12238"""</t>
  </si>
  <si>
    <t>="""GP Direct"",""Fabrikam, Inc."",""GL20000"",""DEX_ROW_ID"",""12246"""</t>
  </si>
  <si>
    <t>="""GP Direct"",""Fabrikam, Inc."",""GL20000"",""DEX_ROW_ID"",""12260"""</t>
  </si>
  <si>
    <t>="""GP Direct"",""Fabrikam, Inc."",""GL20000"",""DEX_ROW_ID"",""12269"""</t>
  </si>
  <si>
    <t>="""GP Direct"",""Fabrikam, Inc."",""GL20000"",""DEX_ROW_ID"",""12277"""</t>
  </si>
  <si>
    <t>="""GP Direct"",""Fabrikam, Inc."",""GL20000"",""DEX_ROW_ID"",""12281"""</t>
  </si>
  <si>
    <t>="""GP Direct"",""Fabrikam, Inc."",""GL20000"",""DEX_ROW_ID"",""12296"""</t>
  </si>
  <si>
    <t>="""GP Direct"",""Fabrikam, Inc."",""GL20000"",""DEX_ROW_ID"",""12305"""</t>
  </si>
  <si>
    <t>="""GP Direct"",""Fabrikam, Inc."",""GL20000"",""DEX_ROW_ID"",""12314"""</t>
  </si>
  <si>
    <t>="""GP Direct"",""Fabrikam, Inc."",""GL20000"",""DEX_ROW_ID"",""12316"""</t>
  </si>
  <si>
    <t>="""GP Direct"",""Fabrikam, Inc."",""GL20000"",""DEX_ROW_ID"",""12325"""</t>
  </si>
  <si>
    <t>="""GP Direct"",""Fabrikam, Inc."",""GL20000"",""DEX_ROW_ID"",""12337"""</t>
  </si>
  <si>
    <t>="""GP Direct"",""Fabrikam, Inc."",""GL20000"",""DEX_ROW_ID"",""12348"""</t>
  </si>
  <si>
    <t>="""GP Direct"",""Fabrikam, Inc."",""GL20000"",""DEX_ROW_ID"",""12353"""</t>
  </si>
  <si>
    <t>="""GP Direct"",""Fabrikam, Inc."",""GL20000"",""DEX_ROW_ID"",""12366"""</t>
  </si>
  <si>
    <t>="""GP Direct"",""Fabrikam, Inc."",""GL20000"",""DEX_ROW_ID"",""12371"""</t>
  </si>
  <si>
    <t>="""GP Direct"",""Fabrikam, Inc."",""GL20000"",""DEX_ROW_ID"",""12386"""</t>
  </si>
  <si>
    <t>="""GP Direct"",""Fabrikam, Inc."",""GL20000"",""DEX_ROW_ID"",""12390"""</t>
  </si>
  <si>
    <t>="""GP Direct"",""Fabrikam, Inc."",""GL20000"",""DEX_ROW_ID"",""12404"""</t>
  </si>
  <si>
    <t>="""GP Direct"",""Fabrikam, Inc."",""GL20000"",""DEX_ROW_ID"",""12410"""</t>
  </si>
  <si>
    <t>="""GP Direct"",""Fabrikam, Inc."",""GL20000"",""DEX_ROW_ID"",""12419"""</t>
  </si>
  <si>
    <t>="""GP Direct"",""Fabrikam, Inc."",""GL20000"",""DEX_ROW_ID"",""12424"""</t>
  </si>
  <si>
    <t>="""GP Direct"",""Fabrikam, Inc."",""GL20000"",""DEX_ROW_ID"",""12433"""</t>
  </si>
  <si>
    <t>="""GP Direct"",""Fabrikam, Inc."",""GL20000"",""DEX_ROW_ID"",""12199"""</t>
  </si>
  <si>
    <t>="""GP Direct"",""Fabrikam, Inc."",""GL20000"",""DEX_ROW_ID"",""12214"""</t>
  </si>
  <si>
    <t>="""GP Direct"",""Fabrikam, Inc."",""GL20000"",""DEX_ROW_ID"",""12219"""</t>
  </si>
  <si>
    <t>="""GP Direct"",""Fabrikam, Inc."",""GL20000"",""DEX_ROW_ID"",""12230"""</t>
  </si>
  <si>
    <t>="""GP Direct"",""Fabrikam, Inc."",""GL20000"",""DEX_ROW_ID"",""12243"""</t>
  </si>
  <si>
    <t>="""GP Direct"",""Fabrikam, Inc."",""GL20000"",""DEX_ROW_ID"",""12249"""</t>
  </si>
  <si>
    <t>="""GP Direct"",""Fabrikam, Inc."",""GL20000"",""DEX_ROW_ID"",""12257"""</t>
  </si>
  <si>
    <t>="""GP Direct"",""Fabrikam, Inc."",""GL20000"",""DEX_ROW_ID"",""12270"""</t>
  </si>
  <si>
    <t>="""GP Direct"",""Fabrikam, Inc."",""GL20000"",""DEX_ROW_ID"",""12272"""</t>
  </si>
  <si>
    <t>="""GP Direct"",""Fabrikam, Inc."",""GL20000"",""DEX_ROW_ID"",""12280"""</t>
  </si>
  <si>
    <t>="""GP Direct"",""Fabrikam, Inc."",""GL20000"",""DEX_ROW_ID"",""12289"""</t>
  </si>
  <si>
    <t>="""GP Direct"",""Fabrikam, Inc."",""GL20000"",""DEX_ROW_ID"",""12299"""</t>
  </si>
  <si>
    <t>="""GP Direct"",""Fabrikam, Inc."",""GL20000"",""DEX_ROW_ID"",""12309"""</t>
  </si>
  <si>
    <t>="""GP Direct"",""Fabrikam, Inc."",""GL20000"",""DEX_ROW_ID"",""12320"""</t>
  </si>
  <si>
    <t>="""GP Direct"",""Fabrikam, Inc."",""GL20000"",""DEX_ROW_ID"",""12327"""</t>
  </si>
  <si>
    <t>="""GP Direct"",""Fabrikam, Inc."",""GL20000"",""DEX_ROW_ID"",""12336"""</t>
  </si>
  <si>
    <t>="""GP Direct"",""Fabrikam, Inc."",""GL20000"",""DEX_ROW_ID"",""12346"""</t>
  </si>
  <si>
    <t>="""GP Direct"",""Fabrikam, Inc."",""GL20000"",""DEX_ROW_ID"",""12357"""</t>
  </si>
  <si>
    <t>="""GP Direct"",""Fabrikam, Inc."",""GL20000"",""DEX_ROW_ID"",""12361"""</t>
  </si>
  <si>
    <t>="""GP Direct"",""Fabrikam, Inc."",""GL20000"",""DEX_ROW_ID"",""12375"""</t>
  </si>
  <si>
    <t>="""GP Direct"",""Fabrikam, Inc."",""GL20000"",""DEX_ROW_ID"",""12378"""</t>
  </si>
  <si>
    <t>="""GP Direct"",""Fabrikam, Inc."",""GL20000"",""DEX_ROW_ID"",""12395"""</t>
  </si>
  <si>
    <t>="""GP Direct"",""Fabrikam, Inc."",""GL20000"",""DEX_ROW_ID"",""12403"""</t>
  </si>
  <si>
    <t>="""GP Direct"",""Fabrikam, Inc."",""GL20000"",""DEX_ROW_ID"",""12413"""</t>
  </si>
  <si>
    <t>="""GP Direct"",""Fabrikam, Inc."",""GL20000"",""DEX_ROW_ID"",""12417"""</t>
  </si>
  <si>
    <t>="""GP Direct"",""Fabrikam, Inc."",""GL20000"",""DEX_ROW_ID"",""12427"""</t>
  </si>
  <si>
    <t>="""GP Direct"",""Fabrikam, Inc."",""GL20000"",""DEX_ROW_ID"",""12438"""</t>
  </si>
  <si>
    <t>="""GP Direct"",""Fabrikam, Inc."",""GL20000"",""DEX_ROW_ID"",""3943"""</t>
  </si>
  <si>
    <t>="""GP Direct"",""Fabrikam, Inc."",""GL20000"",""DEX_ROW_ID"",""3953"""</t>
  </si>
  <si>
    <t>="""GP Direct"",""Fabrikam, Inc."",""GL20000"",""DEX_ROW_ID"",""3963"""</t>
  </si>
  <si>
    <t>="""GP Direct"",""Fabrikam, Inc."",""GL20000"",""DEX_ROW_ID"",""3982"""</t>
  </si>
  <si>
    <t>="""GP Direct"",""Fabrikam, Inc."",""GL20000"",""DEX_ROW_ID"",""3992"""</t>
  </si>
  <si>
    <t>="""GP Direct"",""Fabrikam, Inc."",""GL20000"",""DEX_ROW_ID"",""4011"""</t>
  </si>
  <si>
    <t>="""GP Direct"",""Fabrikam, Inc."",""GL20000"",""DEX_ROW_ID"",""4029"""</t>
  </si>
  <si>
    <t>="""GP Direct"",""Fabrikam, Inc."",""GL20000"",""DEX_ROW_ID"",""4047"""</t>
  </si>
  <si>
    <t>="""GP Direct"",""Fabrikam, Inc."",""GL20000"",""DEX_ROW_ID"",""4057"""</t>
  </si>
  <si>
    <t>="""GP Direct"",""Fabrikam, Inc."",""GL20000"",""DEX_ROW_ID"",""4076"""</t>
  </si>
  <si>
    <t>="""GP Direct"",""Fabrikam, Inc."",""GL20000"",""DEX_ROW_ID"",""4086"""</t>
  </si>
  <si>
    <t>="""GP Direct"",""Fabrikam, Inc."",""GL20000"",""DEX_ROW_ID"",""4096"""</t>
  </si>
  <si>
    <t>="""GP Direct"",""Fabrikam, Inc."",""GL20000"",""DEX_ROW_ID"",""4106"""</t>
  </si>
  <si>
    <t>="""GP Direct"",""Fabrikam, Inc."",""GL20000"",""DEX_ROW_ID"",""4116"""</t>
  </si>
  <si>
    <t>="""GP Direct"",""Fabrikam, Inc."",""GL20000"",""DEX_ROW_ID"",""4126"""</t>
  </si>
  <si>
    <t>="""GP Direct"",""Fabrikam, Inc."",""GL20000"",""DEX_ROW_ID"",""4145"""</t>
  </si>
  <si>
    <t>="""GP Direct"",""Fabrikam, Inc."",""GL20000"",""DEX_ROW_ID"",""4155"""</t>
  </si>
  <si>
    <t>="""GP Direct"",""Fabrikam, Inc."",""GL20000"",""DEX_ROW_ID"",""4939"""</t>
  </si>
  <si>
    <t>="""GP Direct"",""Fabrikam, Inc."",""GL20000"",""DEX_ROW_ID"",""4942"""</t>
  </si>
  <si>
    <t>="""GP Direct"",""Fabrikam, Inc."",""GL20000"",""DEX_ROW_ID"",""3944"""</t>
  </si>
  <si>
    <t>="""GP Direct"",""Fabrikam, Inc."",""GL20000"",""DEX_ROW_ID"",""3954"""</t>
  </si>
  <si>
    <t>="""GP Direct"",""Fabrikam, Inc."",""GL20000"",""DEX_ROW_ID"",""3964"""</t>
  </si>
  <si>
    <t>="""GP Direct"",""Fabrikam, Inc."",""GL20000"",""DEX_ROW_ID"",""3983"""</t>
  </si>
  <si>
    <t>="""GP Direct"",""Fabrikam, Inc."",""GL20000"",""DEX_ROW_ID"",""3993"""</t>
  </si>
  <si>
    <t>="""GP Direct"",""Fabrikam, Inc."",""GL20000"",""DEX_ROW_ID"",""4012"""</t>
  </si>
  <si>
    <t>="""GP Direct"",""Fabrikam, Inc."",""GL20000"",""DEX_ROW_ID"",""4030"""</t>
  </si>
  <si>
    <t>="""GP Direct"",""Fabrikam, Inc."",""GL20000"",""DEX_ROW_ID"",""4048"""</t>
  </si>
  <si>
    <t>="""GP Direct"",""Fabrikam, Inc."",""GL20000"",""DEX_ROW_ID"",""4058"""</t>
  </si>
  <si>
    <t>="""GP Direct"",""Fabrikam, Inc."",""GL20000"",""DEX_ROW_ID"",""4077"""</t>
  </si>
  <si>
    <t>="""GP Direct"",""Fabrikam, Inc."",""GL20000"",""DEX_ROW_ID"",""4087"""</t>
  </si>
  <si>
    <t>="""GP Direct"",""Fabrikam, Inc."",""GL20000"",""DEX_ROW_ID"",""4097"""</t>
  </si>
  <si>
    <t>="""GP Direct"",""Fabrikam, Inc."",""GL20000"",""DEX_ROW_ID"",""4107"""</t>
  </si>
  <si>
    <t>="""GP Direct"",""Fabrikam, Inc."",""GL20000"",""DEX_ROW_ID"",""4117"""</t>
  </si>
  <si>
    <t>="""GP Direct"",""Fabrikam, Inc."",""GL20000"",""DEX_ROW_ID"",""4127"""</t>
  </si>
  <si>
    <t>="""GP Direct"",""Fabrikam, Inc."",""GL20000"",""DEX_ROW_ID"",""4146"""</t>
  </si>
  <si>
    <t>="""GP Direct"",""Fabrikam, Inc."",""GL20000"",""DEX_ROW_ID"",""4156"""</t>
  </si>
  <si>
    <t>="""GP Direct"",""Fabrikam, Inc."",""GL20000"",""DEX_ROW_ID"",""4935"""</t>
  </si>
  <si>
    <t>="""GP Direct"",""Fabrikam, Inc."",""GL20000"",""DEX_ROW_ID"",""4948"""</t>
  </si>
  <si>
    <t>="""GP Direct"",""Fabrikam, Inc."",""GL20000"",""DEX_ROW_ID"",""4002"""</t>
  </si>
  <si>
    <t>="""GP Direct"",""Fabrikam, Inc."",""GL20000"",""DEX_ROW_ID"",""4067"""</t>
  </si>
  <si>
    <t>="""GP Direct"",""Fabrikam, Inc."",""GL20000"",""DEX_ROW_ID"",""4136"""</t>
  </si>
  <si>
    <t>="""GP Direct"",""Fabrikam, Inc."",""GL20000"",""DEX_ROW_ID"",""4105"""</t>
  </si>
  <si>
    <t>="""GP Direct"",""Fabrikam, Inc."",""GL20000"",""DEX_ROW_ID"",""4115"""</t>
  </si>
  <si>
    <t>="""GP Direct"",""Fabrikam, Inc."",""GL20000"",""DEX_ROW_ID"",""4125"""</t>
  </si>
  <si>
    <t>="""GP Direct"",""Fabrikam, Inc."",""GL20000"",""DEX_ROW_ID"",""4135"""</t>
  </si>
  <si>
    <t>="""GP Direct"",""Fabrikam, Inc."",""GL20000"",""DEX_ROW_ID"",""4154"""</t>
  </si>
  <si>
    <t>="""GP Direct"",""Fabrikam, Inc."",""GL20000"",""DEX_ROW_ID"",""3860"""</t>
  </si>
  <si>
    <t>="""GP Direct"",""Fabrikam, Inc."",""GL20000"",""DEX_ROW_ID"",""3876"""</t>
  </si>
  <si>
    <t>="""GP Direct"",""Fabrikam, Inc."",""GL20000"",""DEX_ROW_ID"",""3924"""</t>
  </si>
  <si>
    <t>="""GP Direct"",""Fabrikam, Inc."",""GL20000"",""DEX_ROW_ID"",""3962"""</t>
  </si>
  <si>
    <t>="""GP Direct"",""Fabrikam, Inc."",""GL20000"",""DEX_ROW_ID"",""3981"""</t>
  </si>
  <si>
    <t>="""GP Direct"",""Fabrikam, Inc."",""GL20000"",""DEX_ROW_ID"",""4056"""</t>
  </si>
  <si>
    <t>="""GP Direct"",""Fabrikam, Inc."",""GL20000"",""DEX_ROW_ID"",""4934"""</t>
  </si>
  <si>
    <t>="""GP Direct"",""Fabrikam, Inc."",""GL20000"",""DEX_ROW_ID"",""3868"""</t>
  </si>
  <si>
    <t>="""GP Direct"",""Fabrikam, Inc."",""GL20000"",""DEX_ROW_ID"",""3884"""</t>
  </si>
  <si>
    <t>="""GP Direct"",""Fabrikam, Inc."",""GL20000"",""DEX_ROW_ID"",""3892"""</t>
  </si>
  <si>
    <t>="""GP Direct"",""Fabrikam, Inc."",""GL20000"",""DEX_ROW_ID"",""3900"""</t>
  </si>
  <si>
    <t>="""GP Direct"",""Fabrikam, Inc."",""GL20000"",""DEX_ROW_ID"",""3908"""</t>
  </si>
  <si>
    <t>="""GP Direct"",""Fabrikam, Inc."",""GL20000"",""DEX_ROW_ID"",""3916"""</t>
  </si>
  <si>
    <t>="""GP Direct"",""Fabrikam, Inc."",""GL20000"",""DEX_ROW_ID"",""3932"""</t>
  </si>
  <si>
    <t>="""GP Direct"",""Fabrikam, Inc."",""GL20000"",""DEX_ROW_ID"",""3942"""</t>
  </si>
  <si>
    <t>="""GP Direct"",""Fabrikam, Inc."",""GL20000"",""DEX_ROW_ID"",""3952"""</t>
  </si>
  <si>
    <t>="""GP Direct"",""Fabrikam, Inc."",""GL20000"",""DEX_ROW_ID"",""3972"""</t>
  </si>
  <si>
    <t>="""GP Direct"",""Fabrikam, Inc."",""GL20000"",""DEX_ROW_ID"",""3991"""</t>
  </si>
  <si>
    <t>="""GP Direct"",""Fabrikam, Inc."",""GL20000"",""DEX_ROW_ID"",""4001"""</t>
  </si>
  <si>
    <t>="""GP Direct"",""Fabrikam, Inc."",""GL20000"",""DEX_ROW_ID"",""4010"""</t>
  </si>
  <si>
    <t>="""GP Direct"",""Fabrikam, Inc."",""GL20000"",""DEX_ROW_ID"",""4020"""</t>
  </si>
  <si>
    <t>="""GP Direct"",""Fabrikam, Inc."",""GL20000"",""DEX_ROW_ID"",""4028"""</t>
  </si>
  <si>
    <t>="""GP Direct"",""Fabrikam, Inc."",""GL20000"",""DEX_ROW_ID"",""4038"""</t>
  </si>
  <si>
    <t>="""GP Direct"",""Fabrikam, Inc."",""GL20000"",""DEX_ROW_ID"",""4046"""</t>
  </si>
  <si>
    <t>="""GP Direct"",""Fabrikam, Inc."",""GL20000"",""DEX_ROW_ID"",""4066"""</t>
  </si>
  <si>
    <t>="""GP Direct"",""Fabrikam, Inc."",""GL20000"",""DEX_ROW_ID"",""4075"""</t>
  </si>
  <si>
    <t>="""GP Direct"",""Fabrikam, Inc."",""GL20000"",""DEX_ROW_ID"",""4085"""</t>
  </si>
  <si>
    <t>="""GP Direct"",""Fabrikam, Inc."",""GL20000"",""DEX_ROW_ID"",""4144"""</t>
  </si>
  <si>
    <t>="""GP Direct"",""Fabrikam, Inc."",""GL20000"",""DEX_ROW_ID"",""4945"""</t>
  </si>
  <si>
    <t>="""GP Direct"",""Fabrikam, Inc."",""GL20000"",""DEX_ROW_ID"",""3848"""</t>
  </si>
  <si>
    <t>="""GP Direct"",""Fabrikam, Inc."",""GL20000"",""DEX_ROW_ID"",""3856"""</t>
  </si>
  <si>
    <t>="""GP Direct"",""Fabrikam, Inc."",""GL20000"",""DEX_ROW_ID"",""3864"""</t>
  </si>
  <si>
    <t>="""GP Direct"",""Fabrikam, Inc."",""GL20000"",""DEX_ROW_ID"",""3872"""</t>
  </si>
  <si>
    <t>="""GP Direct"",""Fabrikam, Inc."",""GL20000"",""DEX_ROW_ID"",""3880"""</t>
  </si>
  <si>
    <t>="""GP Direct"",""Fabrikam, Inc."",""GL20000"",""DEX_ROW_ID"",""3888"""</t>
  </si>
  <si>
    <t>="""GP Direct"",""Fabrikam, Inc."",""GL20000"",""DEX_ROW_ID"",""3896"""</t>
  </si>
  <si>
    <t>="""GP Direct"",""Fabrikam, Inc."",""GL20000"",""DEX_ROW_ID"",""3904"""</t>
  </si>
  <si>
    <t>="""GP Direct"",""Fabrikam, Inc."",""GL20000"",""DEX_ROW_ID"",""3912"""</t>
  </si>
  <si>
    <t>="""GP Direct"",""Fabrikam, Inc."",""GL20000"",""DEX_ROW_ID"",""3920"""</t>
  </si>
  <si>
    <t>="""GP Direct"",""Fabrikam, Inc."",""GL20000"",""DEX_ROW_ID"",""3928"""</t>
  </si>
  <si>
    <t>="""GP Direct"",""Fabrikam, Inc."",""GL20000"",""DEX_ROW_ID"",""3938"""</t>
  </si>
  <si>
    <t>="""GP Direct"",""Fabrikam, Inc."",""GL20000"",""DEX_ROW_ID"",""3948"""</t>
  </si>
  <si>
    <t>="""GP Direct"",""Fabrikam, Inc."",""GL20000"",""DEX_ROW_ID"",""3958"""</t>
  </si>
  <si>
    <t>="""GP Direct"",""Fabrikam, Inc."",""GL20000"",""DEX_ROW_ID"",""3968"""</t>
  </si>
  <si>
    <t>="""GP Direct"",""Fabrikam, Inc."",""GL20000"",""DEX_ROW_ID"",""3977"""</t>
  </si>
  <si>
    <t>="""GP Direct"",""Fabrikam, Inc."",""GL20000"",""DEX_ROW_ID"",""3987"""</t>
  </si>
  <si>
    <t>="""GP Direct"",""Fabrikam, Inc."",""GL20000"",""DEX_ROW_ID"",""3997"""</t>
  </si>
  <si>
    <t>="""GP Direct"",""Fabrikam, Inc."",""GL20000"",""DEX_ROW_ID"",""4006"""</t>
  </si>
  <si>
    <t>="""GP Direct"",""Fabrikam, Inc."",""GL20000"",""DEX_ROW_ID"",""4016"""</t>
  </si>
  <si>
    <t>="""GP Direct"",""Fabrikam, Inc."",""GL20000"",""DEX_ROW_ID"",""4024"""</t>
  </si>
  <si>
    <t>="""GP Direct"",""Fabrikam, Inc."",""GL20000"",""DEX_ROW_ID"",""4034"""</t>
  </si>
  <si>
    <t>="""GP Direct"",""Fabrikam, Inc."",""GL20000"",""DEX_ROW_ID"",""4042"""</t>
  </si>
  <si>
    <t>="""GP Direct"",""Fabrikam, Inc."",""GL20000"",""DEX_ROW_ID"",""4052"""</t>
  </si>
  <si>
    <t>="""GP Direct"",""Fabrikam, Inc."",""GL20000"",""DEX_ROW_ID"",""4062"""</t>
  </si>
  <si>
    <t>="""GP Direct"",""Fabrikam, Inc."",""GL20000"",""DEX_ROW_ID"",""4071"""</t>
  </si>
  <si>
    <t>="""GP Direct"",""Fabrikam, Inc."",""GL20000"",""DEX_ROW_ID"",""4081"""</t>
  </si>
  <si>
    <t>="""GP Direct"",""Fabrikam, Inc."",""GL20000"",""DEX_ROW_ID"",""4091"""</t>
  </si>
  <si>
    <t>="""GP Direct"",""Fabrikam, Inc."",""GL20000"",""DEX_ROW_ID"",""4101"""</t>
  </si>
  <si>
    <t>="""GP Direct"",""Fabrikam, Inc."",""GL20000"",""DEX_ROW_ID"",""4111"""</t>
  </si>
  <si>
    <t>="""GP Direct"",""Fabrikam, Inc."",""GL20000"",""DEX_ROW_ID"",""4121"""</t>
  </si>
  <si>
    <t>="""GP Direct"",""Fabrikam, Inc."",""GL20000"",""DEX_ROW_ID"",""4131"""</t>
  </si>
  <si>
    <t>="""GP Direct"",""Fabrikam, Inc."",""GL20000"",""DEX_ROW_ID"",""4140"""</t>
  </si>
  <si>
    <t>="""GP Direct"",""Fabrikam, Inc."",""GL20000"",""DEX_ROW_ID"",""4150"""</t>
  </si>
  <si>
    <t>="""GP Direct"",""Fabrikam, Inc."",""GL20000"",""DEX_ROW_ID"",""4160"""</t>
  </si>
  <si>
    <t>="""GP Direct"",""Fabrikam, Inc."",""GL20000"",""DEX_ROW_ID"",""4938"""</t>
  </si>
  <si>
    <t>="""GP Direct"",""Fabrikam, Inc."",""GL20000"",""DEX_ROW_ID"",""4947"""</t>
  </si>
  <si>
    <t>="""GP Direct"",""Fabrikam, Inc."",""GL20000"",""DEX_ROW_ID"",""12205"""</t>
  </si>
  <si>
    <t>="""GP Direct"",""Fabrikam, Inc."",""GL20000"",""DEX_ROW_ID"",""12212"""</t>
  </si>
  <si>
    <t>="""GP Direct"",""Fabrikam, Inc."",""GL20000"",""DEX_ROW_ID"",""12222"""</t>
  </si>
  <si>
    <t>="""GP Direct"",""Fabrikam, Inc."",""GL20000"",""DEX_ROW_ID"",""12233"""</t>
  </si>
  <si>
    <t>="""GP Direct"",""Fabrikam, Inc."",""GL20000"",""DEX_ROW_ID"",""12242"""</t>
  </si>
  <si>
    <t>="""GP Direct"",""Fabrikam, Inc."",""GL20000"",""DEX_ROW_ID"",""12245"""</t>
  </si>
  <si>
    <t>="""GP Direct"",""Fabrikam, Inc."",""GL20000"",""DEX_ROW_ID"",""12254"""</t>
  </si>
  <si>
    <t>="""GP Direct"",""Fabrikam, Inc."",""GL20000"",""DEX_ROW_ID"",""12268"""</t>
  </si>
  <si>
    <t>="""GP Direct"",""Fabrikam, Inc."",""GL20000"",""DEX_ROW_ID"",""12274"""</t>
  </si>
  <si>
    <t>="""GP Direct"",""Fabrikam, Inc."",""GL20000"",""DEX_ROW_ID"",""12287"""</t>
  </si>
  <si>
    <t>="""GP Direct"",""Fabrikam, Inc."",""GL20000"",""DEX_ROW_ID"",""12291"""</t>
  </si>
  <si>
    <t>="""GP Direct"",""Fabrikam, Inc."",""GL20000"",""DEX_ROW_ID"",""12301"""</t>
  </si>
  <si>
    <t>="""GP Direct"",""Fabrikam, Inc."",""GL20000"",""DEX_ROW_ID"",""12313"""</t>
  </si>
  <si>
    <t>="""GP Direct"",""Fabrikam, Inc."",""GL20000"",""DEX_ROW_ID"",""12324"""</t>
  </si>
  <si>
    <t>="""GP Direct"",""Fabrikam, Inc."",""GL20000"",""DEX_ROW_ID"",""12332"""</t>
  </si>
  <si>
    <t>="""GP Direct"",""Fabrikam, Inc."",""GL20000"",""DEX_ROW_ID"",""12334"""</t>
  </si>
  <si>
    <t>="""GP Direct"",""Fabrikam, Inc."",""GL20000"",""DEX_ROW_ID"",""12350"""</t>
  </si>
  <si>
    <t>="""GP Direct"",""Fabrikam, Inc."",""GL20000"",""DEX_ROW_ID"",""12354"""</t>
  </si>
  <si>
    <t>="""GP Direct"",""Fabrikam, Inc."",""GL20000"",""DEX_ROW_ID"",""12367"""</t>
  </si>
  <si>
    <t>="""GP Direct"",""Fabrikam, Inc."",""GL20000"",""DEX_ROW_ID"",""12369"""</t>
  </si>
  <si>
    <t>="""GP Direct"",""Fabrikam, Inc."",""GL20000"",""DEX_ROW_ID"",""12385"""</t>
  </si>
  <si>
    <t>="""GP Direct"",""Fabrikam, Inc."",""GL20000"",""DEX_ROW_ID"",""12392"""</t>
  </si>
  <si>
    <t>="""GP Direct"",""Fabrikam, Inc."",""GL20000"",""DEX_ROW_ID"",""12397"""</t>
  </si>
  <si>
    <t>="""GP Direct"",""Fabrikam, Inc."",""GL20000"",""DEX_ROW_ID"",""12406"""</t>
  </si>
  <si>
    <t>="""GP Direct"",""Fabrikam, Inc."",""GL20000"",""DEX_ROW_ID"",""12421"""</t>
  </si>
  <si>
    <t>="""GP Direct"",""Fabrikam, Inc."",""GL20000"",""DEX_ROW_ID"",""12428"""</t>
  </si>
  <si>
    <t>="""GP Direct"",""Fabrikam, Inc."",""GL20000"",""DEX_ROW_ID"",""12434"""</t>
  </si>
  <si>
    <t>="""GP Direct"",""Fabrikam, Inc."",""GL20000"",""DEX_ROW_ID"",""12207"""</t>
  </si>
  <si>
    <t>="""GP Direct"",""Fabrikam, Inc."",""GL20000"",""DEX_ROW_ID"",""12216"""</t>
  </si>
  <si>
    <t>="""GP Direct"",""Fabrikam, Inc."",""GL20000"",""DEX_ROW_ID"",""12220"""</t>
  </si>
  <si>
    <t>="""GP Direct"",""Fabrikam, Inc."",""GL20000"",""DEX_ROW_ID"",""12234"""</t>
  </si>
  <si>
    <t>="""GP Direct"",""Fabrikam, Inc."",""GL20000"",""DEX_ROW_ID"",""12235"""</t>
  </si>
  <si>
    <t>="""GP Direct"",""Fabrikam, Inc."",""GL20000"",""DEX_ROW_ID"",""12244"""</t>
  </si>
  <si>
    <t>="""GP Direct"",""Fabrikam, Inc."",""GL20000"",""DEX_ROW_ID"",""12255"""</t>
  </si>
  <si>
    <t>="""GP Direct"",""Fabrikam, Inc."",""GL20000"",""DEX_ROW_ID"",""12264"""</t>
  </si>
  <si>
    <t>="""GP Direct"",""Fabrikam, Inc."",""GL20000"",""DEX_ROW_ID"",""12276"""</t>
  </si>
  <si>
    <t>="""GP Direct"",""Fabrikam, Inc."",""GL20000"",""DEX_ROW_ID"",""12282"""</t>
  </si>
  <si>
    <t>="""GP Direct"",""Fabrikam, Inc."",""GL20000"",""DEX_ROW_ID"",""12295"""</t>
  </si>
  <si>
    <t>="""GP Direct"",""Fabrikam, Inc."",""GL20000"",""DEX_ROW_ID"",""12300"""</t>
  </si>
  <si>
    <t>="""GP Direct"",""Fabrikam, Inc."",""GL20000"",""DEX_ROW_ID"",""12310"""</t>
  </si>
  <si>
    <t>="""GP Direct"",""Fabrikam, Inc."",""GL20000"",""DEX_ROW_ID"",""12318"""</t>
  </si>
  <si>
    <t>="""GP Direct"",""Fabrikam, Inc."",""GL20000"",""DEX_ROW_ID"",""12328"""</t>
  </si>
  <si>
    <t>="""GP Direct"",""Fabrikam, Inc."",""GL20000"",""DEX_ROW_ID"",""12340"""</t>
  </si>
  <si>
    <t>="""GP Direct"",""Fabrikam, Inc."",""GL20000"",""DEX_ROW_ID"",""12343"""</t>
  </si>
  <si>
    <t>="""GP Direct"",""Fabrikam, Inc."",""GL20000"",""DEX_ROW_ID"",""12359"""</t>
  </si>
  <si>
    <t>="""GP Direct"",""Fabrikam, Inc."",""GL20000"",""DEX_ROW_ID"",""12365"""</t>
  </si>
  <si>
    <t>="""GP Direct"",""Fabrikam, Inc."",""GL20000"",""DEX_ROW_ID"",""12372"""</t>
  </si>
  <si>
    <t>="""GP Direct"",""Fabrikam, Inc."",""GL20000"",""DEX_ROW_ID"",""12380"""</t>
  </si>
  <si>
    <t>="""GP Direct"",""Fabrikam, Inc."",""GL20000"",""DEX_ROW_ID"",""12391"""</t>
  </si>
  <si>
    <t>="""GP Direct"",""Fabrikam, Inc."",""GL20000"",""DEX_ROW_ID"",""12399"""</t>
  </si>
  <si>
    <t>="""GP Direct"",""Fabrikam, Inc."",""GL20000"",""DEX_ROW_ID"",""12407"""</t>
  </si>
  <si>
    <t>="""GP Direct"",""Fabrikam, Inc."",""GL20000"",""DEX_ROW_ID"",""12420"""</t>
  </si>
  <si>
    <t>="""GP Direct"",""Fabrikam, Inc."",""GL20000"",""DEX_ROW_ID"",""12431"""</t>
  </si>
  <si>
    <t>="""GP Direct"",""Fabrikam, Inc."",""GL20000"",""DEX_ROW_ID"",""12439"""</t>
  </si>
  <si>
    <t>="""GP Direct"",""Fabrikam, Inc."",""GL20000"",""DEX_ROW_ID"",""12202"""</t>
  </si>
  <si>
    <t>="""GP Direct"",""Fabrikam, Inc."",""GL20000"",""DEX_ROW_ID"",""12208"""</t>
  </si>
  <si>
    <t>="""GP Direct"",""Fabrikam, Inc."",""GL20000"",""DEX_ROW_ID"",""12217"""</t>
  </si>
  <si>
    <t>="""GP Direct"",""Fabrikam, Inc."",""GL20000"",""DEX_ROW_ID"",""12231"""</t>
  </si>
  <si>
    <t>="""GP Direct"",""Fabrikam, Inc."",""GL20000"",""DEX_ROW_ID"",""12237"""</t>
  </si>
  <si>
    <t>="""GP Direct"",""Fabrikam, Inc."",""GL20000"",""DEX_ROW_ID"",""12251"""</t>
  </si>
  <si>
    <t>="""GP Direct"",""Fabrikam, Inc."",""GL20000"",""DEX_ROW_ID"",""12261"""</t>
  </si>
  <si>
    <t>="""GP Direct"",""Fabrikam, Inc."",""GL20000"",""DEX_ROW_ID"",""12266"""</t>
  </si>
  <si>
    <t>="""GP Direct"",""Fabrikam, Inc."",""GL20000"",""DEX_ROW_ID"",""12273"""</t>
  </si>
  <si>
    <t>="""GP Direct"",""Fabrikam, Inc."",""GL20000"",""DEX_ROW_ID"",""12288"""</t>
  </si>
  <si>
    <t>="""GP Direct"",""Fabrikam, Inc."",""GL20000"",""DEX_ROW_ID"",""12297"""</t>
  </si>
  <si>
    <t>="""GP Direct"",""Fabrikam, Inc."",""GL20000"",""DEX_ROW_ID"",""12298"""</t>
  </si>
  <si>
    <t>="""GP Direct"",""Fabrikam, Inc."",""GL20000"",""DEX_ROW_ID"",""12311"""</t>
  </si>
  <si>
    <t>="""GP Direct"",""Fabrikam, Inc."",""GL20000"",""DEX_ROW_ID"",""12323"""</t>
  </si>
  <si>
    <t>="""GP Direct"",""Fabrikam, Inc."",""GL20000"",""DEX_ROW_ID"",""12330"""</t>
  </si>
  <si>
    <t>="""GP Direct"",""Fabrikam, Inc."",""GL20000"",""DEX_ROW_ID"",""12335"""</t>
  </si>
  <si>
    <t>="""GP Direct"",""Fabrikam, Inc."",""GL20000"",""DEX_ROW_ID"",""12344"""</t>
  </si>
  <si>
    <t>="""GP Direct"",""Fabrikam, Inc."",""GL20000"",""DEX_ROW_ID"",""12355"""</t>
  </si>
  <si>
    <t>="""GP Direct"",""Fabrikam, Inc."",""GL20000"",""DEX_ROW_ID"",""12363"""</t>
  </si>
  <si>
    <t>="""GP Direct"",""Fabrikam, Inc."",""GL20000"",""DEX_ROW_ID"",""12377"""</t>
  </si>
  <si>
    <t>="""GP Direct"",""Fabrikam, Inc."",""GL20000"",""DEX_ROW_ID"",""12382"""</t>
  </si>
  <si>
    <t>="""GP Direct"",""Fabrikam, Inc."",""GL20000"",""DEX_ROW_ID"",""12389"""</t>
  </si>
  <si>
    <t>="""GP Direct"",""Fabrikam, Inc."",""GL20000"",""DEX_ROW_ID"",""12400"""</t>
  </si>
  <si>
    <t>="""GP Direct"",""Fabrikam, Inc."",""GL20000"",""DEX_ROW_ID"",""12412"""</t>
  </si>
  <si>
    <t>="""GP Direct"",""Fabrikam, Inc."",""GL20000"",""DEX_ROW_ID"",""12422"""</t>
  </si>
  <si>
    <t>="""GP Direct"",""Fabrikam, Inc."",""GL20000"",""DEX_ROW_ID"",""12429"""</t>
  </si>
  <si>
    <t>="""GP Direct"",""Fabrikam, Inc."",""GL20000"",""DEX_ROW_ID"",""12437"""</t>
  </si>
  <si>
    <t>="""GP Direct"",""Fabrikam, Inc."",""GL20000"",""DEX_ROW_ID"",""12203"""</t>
  </si>
  <si>
    <t>="""GP Direct"",""Fabrikam, Inc."",""GL20000"",""DEX_ROW_ID"",""12215"""</t>
  </si>
  <si>
    <t>="""GP Direct"",""Fabrikam, Inc."",""GL20000"",""DEX_ROW_ID"",""12225"""</t>
  </si>
  <si>
    <t>="""GP Direct"",""Fabrikam, Inc."",""GL20000"",""DEX_ROW_ID"",""12232"""</t>
  </si>
  <si>
    <t>="""GP Direct"",""Fabrikam, Inc."",""GL20000"",""DEX_ROW_ID"",""12241"""</t>
  </si>
  <si>
    <t>="""GP Direct"",""Fabrikam, Inc."",""GL20000"",""DEX_ROW_ID"",""12252"""</t>
  </si>
  <si>
    <t>="""GP Direct"",""Fabrikam, Inc."",""GL20000"",""DEX_ROW_ID"",""12258"""</t>
  </si>
  <si>
    <t>="""GP Direct"",""Fabrikam, Inc."",""GL20000"",""DEX_ROW_ID"",""12262"""</t>
  </si>
  <si>
    <t>="""GP Direct"",""Fabrikam, Inc."",""GL20000"",""DEX_ROW_ID"",""12275"""</t>
  </si>
  <si>
    <t>="""GP Direct"",""Fabrikam, Inc."",""GL20000"",""DEX_ROW_ID"",""12284"""</t>
  </si>
  <si>
    <t>="""GP Direct"",""Fabrikam, Inc."",""GL20000"",""DEX_ROW_ID"",""12292"""</t>
  </si>
  <si>
    <t>="""GP Direct"",""Fabrikam, Inc."",""GL20000"",""DEX_ROW_ID"",""12302"""</t>
  </si>
  <si>
    <t>="""GP Direct"",""Fabrikam, Inc."",""GL20000"",""DEX_ROW_ID"",""12315"""</t>
  </si>
  <si>
    <t>="""GP Direct"",""Fabrikam, Inc."",""GL20000"",""DEX_ROW_ID"",""12317"""</t>
  </si>
  <si>
    <t>="""GP Direct"",""Fabrikam, Inc."",""GL20000"",""DEX_ROW_ID"",""12333"""</t>
  </si>
  <si>
    <t>="""GP Direct"",""Fabrikam, Inc."",""GL20000"",""DEX_ROW_ID"",""12341"""</t>
  </si>
  <si>
    <t>="""GP Direct"",""Fabrikam, Inc."",""GL20000"",""DEX_ROW_ID"",""12351"""</t>
  </si>
  <si>
    <t>="""GP Direct"",""Fabrikam, Inc."",""GL20000"",""DEX_ROW_ID"",""12358"""</t>
  </si>
  <si>
    <t>="""GP Direct"",""Fabrikam, Inc."",""GL20000"",""DEX_ROW_ID"",""12364"""</t>
  </si>
  <si>
    <t>="""GP Direct"",""Fabrikam, Inc."",""GL20000"",""DEX_ROW_ID"",""12370"""</t>
  </si>
  <si>
    <t>="""GP Direct"",""Fabrikam, Inc."",""GL20000"",""DEX_ROW_ID"",""12384"""</t>
  </si>
  <si>
    <t>="""GP Direct"",""Fabrikam, Inc."",""GL20000"",""DEX_ROW_ID"",""12393"""</t>
  </si>
  <si>
    <t>="""GP Direct"",""Fabrikam, Inc."",""GL20000"",""DEX_ROW_ID"",""12398"""</t>
  </si>
  <si>
    <t>="""GP Direct"",""Fabrikam, Inc."",""GL20000"",""DEX_ROW_ID"",""12409"""</t>
  </si>
  <si>
    <t>="""GP Direct"",""Fabrikam, Inc."",""GL20000"",""DEX_ROW_ID"",""12415"""</t>
  </si>
  <si>
    <t>="""GP Direct"",""Fabrikam, Inc."",""GL20000"",""DEX_ROW_ID"",""12430"""</t>
  </si>
  <si>
    <t>="""GP Direct"",""Fabrikam, Inc."",""GL20000"",""DEX_ROW_ID"",""12432"""</t>
  </si>
  <si>
    <t>="""GP Direct"",""Fabrikam, Inc."",""GL20000"",""DEX_ROW_ID"",""3853"""</t>
  </si>
  <si>
    <t>="""GP Direct"",""Fabrikam, Inc."",""GL20000"",""DEX_ROW_ID"",""3861"""</t>
  </si>
  <si>
    <t>="""GP Direct"",""Fabrikam, Inc."",""GL20000"",""DEX_ROW_ID"",""3869"""</t>
  </si>
  <si>
    <t>="""GP Direct"",""Fabrikam, Inc."",""GL20000"",""DEX_ROW_ID"",""3877"""</t>
  </si>
  <si>
    <t>="""GP Direct"",""Fabrikam, Inc."",""GL20000"",""DEX_ROW_ID"",""3885"""</t>
  </si>
  <si>
    <t>="""GP Direct"",""Fabrikam, Inc."",""GL20000"",""DEX_ROW_ID"",""3893"""</t>
  </si>
  <si>
    <t>="""GP Direct"",""Fabrikam, Inc."",""GL20000"",""DEX_ROW_ID"",""3901"""</t>
  </si>
  <si>
    <t>="""GP Direct"",""Fabrikam, Inc."",""GL20000"",""DEX_ROW_ID"",""3909"""</t>
  </si>
  <si>
    <t>="""GP Direct"",""Fabrikam, Inc."",""GL20000"",""DEX_ROW_ID"",""3917"""</t>
  </si>
  <si>
    <t>="""GP Direct"",""Fabrikam, Inc."",""GL20000"",""DEX_ROW_ID"",""3925"""</t>
  </si>
  <si>
    <t>="""GP Direct"",""Fabrikam, Inc."",""GL20000"",""DEX_ROW_ID"",""3935"""</t>
  </si>
  <si>
    <t>="""GP Direct"",""Fabrikam, Inc."",""GL20000"",""DEX_ROW_ID"",""3945"""</t>
  </si>
  <si>
    <t>="""GP Direct"",""Fabrikam, Inc."",""GL20000"",""DEX_ROW_ID"",""3955"""</t>
  </si>
  <si>
    <t>="""GP Direct"",""Fabrikam, Inc."",""GL20000"",""DEX_ROW_ID"",""3965"""</t>
  </si>
  <si>
    <t>="""GP Direct"",""Fabrikam, Inc."",""GL20000"",""DEX_ROW_ID"",""3974"""</t>
  </si>
  <si>
    <t>="""GP Direct"",""Fabrikam, Inc."",""GL20000"",""DEX_ROW_ID"",""3984"""</t>
  </si>
  <si>
    <t>="""GP Direct"",""Fabrikam, Inc."",""GL20000"",""DEX_ROW_ID"",""3994"""</t>
  </si>
  <si>
    <t>="""GP Direct"",""Fabrikam, Inc."",""GL20000"",""DEX_ROW_ID"",""4003"""</t>
  </si>
  <si>
    <t>="""GP Direct"",""Fabrikam, Inc."",""GL20000"",""DEX_ROW_ID"",""4013"""</t>
  </si>
  <si>
    <t>="""GP Direct"",""Fabrikam, Inc."",""GL20000"",""DEX_ROW_ID"",""4021"""</t>
  </si>
  <si>
    <t>="""GP Direct"",""Fabrikam, Inc."",""GL20000"",""DEX_ROW_ID"",""4031"""</t>
  </si>
  <si>
    <t>="""GP Direct"",""Fabrikam, Inc."",""GL20000"",""DEX_ROW_ID"",""4039"""</t>
  </si>
  <si>
    <t>="""GP Direct"",""Fabrikam, Inc."",""GL20000"",""DEX_ROW_ID"",""4049"""</t>
  </si>
  <si>
    <t>="""GP Direct"",""Fabrikam, Inc."",""GL20000"",""DEX_ROW_ID"",""4059"""</t>
  </si>
  <si>
    <t>="""GP Direct"",""Fabrikam, Inc."",""GL20000"",""DEX_ROW_ID"",""4068"""</t>
  </si>
  <si>
    <t>="""GP Direct"",""Fabrikam, Inc."",""GL20000"",""DEX_ROW_ID"",""4078"""</t>
  </si>
  <si>
    <t>="""GP Direct"",""Fabrikam, Inc."",""GL20000"",""DEX_ROW_ID"",""4088"""</t>
  </si>
  <si>
    <t>="""GP Direct"",""Fabrikam, Inc."",""GL20000"",""DEX_ROW_ID"",""4098"""</t>
  </si>
  <si>
    <t>="""GP Direct"",""Fabrikam, Inc."",""GL20000"",""DEX_ROW_ID"",""4108"""</t>
  </si>
  <si>
    <t>="""GP Direct"",""Fabrikam, Inc."",""GL20000"",""DEX_ROW_ID"",""4118"""</t>
  </si>
  <si>
    <t>="""GP Direct"",""Fabrikam, Inc."",""GL20000"",""DEX_ROW_ID"",""4128"""</t>
  </si>
  <si>
    <t>="""GP Direct"",""Fabrikam, Inc."",""GL20000"",""DEX_ROW_ID"",""4137"""</t>
  </si>
  <si>
    <t>="""GP Direct"",""Fabrikam, Inc."",""GL20000"",""DEX_ROW_ID"",""4147"""</t>
  </si>
  <si>
    <t>="""GP Direct"",""Fabrikam, Inc."",""GL20000"",""DEX_ROW_ID"",""4157"""</t>
  </si>
  <si>
    <t>="""GP Direct"",""Fabrikam, Inc."",""GL20000"",""DEX_ROW_ID"",""4936"""</t>
  </si>
  <si>
    <t>="""GP Direct"",""Fabrikam, Inc."",""GL20000"",""DEX_ROW_ID"",""4946"""</t>
  </si>
  <si>
    <t>="""GP Direct"",""Fabrikam, Inc."",""GL20000"",""DEX_ROW_ID"",""3552"""</t>
  </si>
  <si>
    <t>="""GP Direct"",""Fabrikam, Inc."",""GL20000"",""DEX_ROW_ID"",""3560"""</t>
  </si>
  <si>
    <t>="""GP Direct"",""Fabrikam, Inc."",""GL20000"",""DEX_ROW_ID"",""3562"""</t>
  </si>
  <si>
    <t>="""GP Direct"",""Fabrikam, Inc."",""GL20000"",""DEX_ROW_ID"",""3566"""</t>
  </si>
  <si>
    <t>="""GP Direct"",""Fabrikam, Inc."",""GL20000"",""DEX_ROW_ID"",""3568"""</t>
  </si>
  <si>
    <t>="""GP Direct"",""Fabrikam, Inc."",""GL20000"",""DEX_ROW_ID"",""3572"""</t>
  </si>
  <si>
    <t>="""GP Direct"",""Fabrikam, Inc."",""GL20000"",""DEX_ROW_ID"",""3574"""</t>
  </si>
  <si>
    <t>="""GP Direct"",""Fabrikam, Inc."",""GL20000"",""DEX_ROW_ID"",""3578"""</t>
  </si>
  <si>
    <t>="""GP Direct"",""Fabrikam, Inc."",""GL20000"",""DEX_ROW_ID"",""3580"""</t>
  </si>
  <si>
    <t>="""GP Direct"",""Fabrikam, Inc."",""GL20000"",""DEX_ROW_ID"",""3584"""</t>
  </si>
  <si>
    <t>="""GP Direct"",""Fabrikam, Inc."",""GL20000"",""DEX_ROW_ID"",""3586"""</t>
  </si>
  <si>
    <t>="""GP Direct"",""Fabrikam, Inc."",""GL20000"",""DEX_ROW_ID"",""3590"""</t>
  </si>
  <si>
    <t>="""GP Direct"",""Fabrikam, Inc."",""GL20000"",""DEX_ROW_ID"",""3593"""</t>
  </si>
  <si>
    <t>="""GP Direct"",""Fabrikam, Inc."",""GL20000"",""DEX_ROW_ID"",""3599"""</t>
  </si>
  <si>
    <t>="""GP Direct"",""Fabrikam, Inc."",""GL20000"",""DEX_ROW_ID"",""3601"""</t>
  </si>
  <si>
    <t>="""GP Direct"",""Fabrikam, Inc."",""GL20000"",""DEX_ROW_ID"",""3612"""</t>
  </si>
  <si>
    <t>="""GP Direct"",""Fabrikam, Inc."",""GL20000"",""DEX_ROW_ID"",""3614"""</t>
  </si>
  <si>
    <t>="""GP Direct"",""Fabrikam, Inc."",""GL20000"",""DEX_ROW_ID"",""3618"""</t>
  </si>
  <si>
    <t>="""GP Direct"",""Fabrikam, Inc."",""GL20000"",""DEX_ROW_ID"",""3620"""</t>
  </si>
  <si>
    <t>Auto+Hide+Values+Formulas=Sheet7,Sheet4,Sheet5+FormulasOnly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</si>
</sst>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18" x14ac:knownFonts="1">
    <font>
      <sz val="10"/>
      <name val="Arial"/>
    </font>
    <font>
      <sz val="11"/>
      <color theme="1"/>
      <name val="Calibri"/>
      <family val="2"/>
      <scheme val="minor"/>
    </font>
    <font>
      <sz val="11"/>
      <color theme="1"/>
      <name val="Calibri"/>
      <family val="2"/>
      <scheme val="minor"/>
    </font>
    <font>
      <sz val="10"/>
      <name val="Arial"/>
      <family val="2"/>
    </font>
    <font>
      <sz val="18"/>
      <name val="Arial"/>
      <family val="2"/>
    </font>
    <font>
      <sz val="11"/>
      <name val="Arial"/>
      <family val="2"/>
    </font>
    <font>
      <sz val="8"/>
      <name val="Arial"/>
      <family val="2"/>
    </font>
    <font>
      <b/>
      <sz val="10"/>
      <name val="Arial"/>
      <family val="2"/>
    </font>
    <font>
      <sz val="10"/>
      <name val="Arial"/>
      <family val="2"/>
    </font>
    <font>
      <sz val="10"/>
      <color theme="0" tint="-0.34998626667073579"/>
      <name val="Arial"/>
      <family val="2"/>
    </font>
    <font>
      <b/>
      <sz val="11"/>
      <name val="Arial"/>
      <family val="2"/>
    </font>
    <font>
      <sz val="11"/>
      <name val="Arial"/>
      <family val="2"/>
    </font>
    <font>
      <b/>
      <sz val="18"/>
      <name val="Arial"/>
      <family val="2"/>
    </font>
    <font>
      <u/>
      <sz val="10"/>
      <color indexed="12"/>
      <name val="Arial"/>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s>
  <fills count="5">
    <fill>
      <patternFill patternType="none"/>
    </fill>
    <fill>
      <patternFill patternType="gray125"/>
    </fill>
    <fill>
      <patternFill patternType="solid">
        <fgColor indexed="9"/>
        <bgColor indexed="64"/>
      </patternFill>
    </fill>
    <fill>
      <patternFill patternType="solid">
        <fgColor theme="9" tint="0.39997558519241921"/>
        <bgColor indexed="64"/>
      </patternFill>
    </fill>
    <fill>
      <patternFill patternType="solid">
        <fgColor theme="0" tint="-4.9989318521683403E-2"/>
        <bgColor indexed="64"/>
      </patternFill>
    </fill>
  </fills>
  <borders count="1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13">
    <xf numFmtId="0" fontId="0" fillId="0" borderId="0"/>
    <xf numFmtId="43" fontId="3" fillId="0" borderId="0" applyFont="0" applyFill="0" applyBorder="0" applyAlignment="0" applyProtection="0"/>
    <xf numFmtId="44" fontId="3"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1" fillId="0" borderId="0"/>
    <xf numFmtId="0" fontId="13" fillId="0" borderId="0" applyNumberFormat="0" applyFill="0" applyBorder="0" applyAlignment="0" applyProtection="0">
      <alignment vertical="top"/>
      <protection locked="0"/>
    </xf>
  </cellStyleXfs>
  <cellXfs count="48">
    <xf numFmtId="0" fontId="0" fillId="0" borderId="0" xfId="0"/>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0" fillId="2" borderId="0" xfId="0" applyFill="1" applyBorder="1"/>
    <xf numFmtId="0" fontId="0" fillId="2" borderId="5" xfId="0" applyFill="1" applyBorder="1"/>
    <xf numFmtId="0" fontId="4" fillId="2" borderId="0" xfId="0" applyFont="1" applyFill="1" applyBorder="1"/>
    <xf numFmtId="0" fontId="0" fillId="2" borderId="6" xfId="0" applyFill="1" applyBorder="1"/>
    <xf numFmtId="0" fontId="0" fillId="2" borderId="7" xfId="0" applyFill="1" applyBorder="1"/>
    <xf numFmtId="0" fontId="0" fillId="2" borderId="8" xfId="0" applyFill="1" applyBorder="1"/>
    <xf numFmtId="14" fontId="0" fillId="0" borderId="0" xfId="0" applyNumberFormat="1" applyAlignment="1">
      <alignment horizontal="center"/>
    </xf>
    <xf numFmtId="0" fontId="0" fillId="0" borderId="0" xfId="0" applyAlignment="1">
      <alignment horizontal="center"/>
    </xf>
    <xf numFmtId="0" fontId="0" fillId="2" borderId="0" xfId="0" applyFill="1" applyBorder="1" applyAlignment="1">
      <alignment horizontal="center"/>
    </xf>
    <xf numFmtId="14" fontId="0" fillId="2" borderId="0" xfId="0" applyNumberFormat="1" applyFill="1" applyBorder="1" applyAlignment="1">
      <alignment horizontal="center"/>
    </xf>
    <xf numFmtId="14" fontId="0" fillId="0" borderId="0" xfId="0" applyNumberFormat="1"/>
    <xf numFmtId="43" fontId="0" fillId="0" borderId="0" xfId="1" applyFont="1"/>
    <xf numFmtId="0" fontId="7" fillId="0" borderId="0" xfId="0" applyFont="1"/>
    <xf numFmtId="44" fontId="7" fillId="0" borderId="0" xfId="2" applyFont="1"/>
    <xf numFmtId="43" fontId="0" fillId="0" borderId="0" xfId="0" applyNumberFormat="1"/>
    <xf numFmtId="0" fontId="0" fillId="0" borderId="0" xfId="0" quotePrefix="1"/>
    <xf numFmtId="0" fontId="0" fillId="0" borderId="0" xfId="0" applyAlignment="1">
      <alignment horizontal="right"/>
    </xf>
    <xf numFmtId="0" fontId="7" fillId="3" borderId="0" xfId="0" applyFont="1" applyFill="1"/>
    <xf numFmtId="43" fontId="7" fillId="3" borderId="9" xfId="1" applyFont="1" applyFill="1" applyBorder="1"/>
    <xf numFmtId="43" fontId="10" fillId="3" borderId="10" xfId="1" applyFont="1" applyFill="1" applyBorder="1"/>
    <xf numFmtId="0" fontId="11" fillId="0" borderId="0" xfId="0" applyFont="1"/>
    <xf numFmtId="14" fontId="11" fillId="0" borderId="0" xfId="0" applyNumberFormat="1" applyFont="1" applyAlignment="1">
      <alignment horizontal="center"/>
    </xf>
    <xf numFmtId="0" fontId="7" fillId="0" borderId="0" xfId="0" applyFont="1" applyFill="1"/>
    <xf numFmtId="0" fontId="0" fillId="4" borderId="0" xfId="0" applyFill="1"/>
    <xf numFmtId="0" fontId="8" fillId="4" borderId="0" xfId="0" applyFont="1" applyFill="1"/>
    <xf numFmtId="14" fontId="0" fillId="4" borderId="0" xfId="0" applyNumberFormat="1" applyFill="1" applyAlignment="1">
      <alignment horizontal="center"/>
    </xf>
    <xf numFmtId="0" fontId="0" fillId="4" borderId="0" xfId="0" applyFill="1" applyAlignment="1">
      <alignment horizontal="center"/>
    </xf>
    <xf numFmtId="0" fontId="0" fillId="4" borderId="0" xfId="0" applyNumberFormat="1" applyFill="1" applyAlignment="1">
      <alignment horizontal="center"/>
    </xf>
    <xf numFmtId="0" fontId="9" fillId="4" borderId="0" xfId="0" applyFont="1" applyFill="1"/>
    <xf numFmtId="0" fontId="0" fillId="0" borderId="0" xfId="0" applyAlignment="1">
      <alignment horizontal="left"/>
    </xf>
    <xf numFmtId="0" fontId="0" fillId="0" borderId="0" xfId="0" applyFill="1"/>
    <xf numFmtId="0" fontId="9" fillId="0" borderId="0" xfId="0" applyFont="1" applyFill="1"/>
    <xf numFmtId="0" fontId="7" fillId="3" borderId="0" xfId="0" applyFont="1" applyFill="1" applyBorder="1" applyAlignment="1">
      <alignment horizontal="right"/>
    </xf>
    <xf numFmtId="0" fontId="10" fillId="3" borderId="0" xfId="0" applyFont="1" applyFill="1" applyBorder="1" applyAlignment="1">
      <alignment horizontal="right"/>
    </xf>
    <xf numFmtId="0" fontId="12" fillId="0" borderId="0" xfId="0" applyFont="1" applyAlignment="1">
      <alignment horizontal="left"/>
    </xf>
    <xf numFmtId="0" fontId="5" fillId="0" borderId="0" xfId="0" applyFont="1" applyAlignment="1">
      <alignment horizontal="left"/>
    </xf>
    <xf numFmtId="0" fontId="14" fillId="0" borderId="0" xfId="11" applyFont="1"/>
    <xf numFmtId="0" fontId="14" fillId="0" borderId="0" xfId="11" applyFont="1" applyAlignment="1">
      <alignment vertical="top"/>
    </xf>
    <xf numFmtId="0" fontId="14" fillId="0" borderId="0" xfId="11" applyFont="1" applyAlignment="1">
      <alignment vertical="top" wrapText="1"/>
    </xf>
    <xf numFmtId="0" fontId="15" fillId="0" borderId="0" xfId="11" applyFont="1" applyAlignment="1">
      <alignment vertical="top"/>
    </xf>
    <xf numFmtId="0" fontId="16" fillId="0" borderId="0" xfId="11" applyFont="1" applyAlignment="1">
      <alignment vertical="top"/>
    </xf>
    <xf numFmtId="0" fontId="17" fillId="0" borderId="0" xfId="11" applyFont="1" applyAlignment="1">
      <alignment vertical="top"/>
    </xf>
    <xf numFmtId="0" fontId="13" fillId="0" borderId="0" xfId="12" applyAlignment="1" applyProtection="1">
      <alignment vertical="top"/>
    </xf>
  </cellXfs>
  <cellStyles count="13">
    <cellStyle name="Comma" xfId="1" builtinId="3"/>
    <cellStyle name="Currency" xfId="2" builtinId="4"/>
    <cellStyle name="Hyperlink 3" xfId="12"/>
    <cellStyle name="Normal" xfId="0" builtinId="0"/>
    <cellStyle name="Normal 2" xfId="3"/>
    <cellStyle name="Normal 2 2" xfId="4"/>
    <cellStyle name="Normal 2 3" xfId="5"/>
    <cellStyle name="Normal 2 4" xfId="6"/>
    <cellStyle name="Normal 2 5" xfId="7"/>
    <cellStyle name="Normal 2_Jet1691" xfId="8"/>
    <cellStyle name="Normal 3" xfId="9"/>
    <cellStyle name="Normal 4" xfId="10"/>
    <cellStyle name="Normal 5" xfId="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1.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28"/>
  <sheetViews>
    <sheetView showGridLines="0" topLeftCell="B2" workbookViewId="0">
      <selection activeCell="A2" sqref="A2"/>
    </sheetView>
  </sheetViews>
  <sheetFormatPr defaultColWidth="9.140625" defaultRowHeight="14.25" x14ac:dyDescent="0.25"/>
  <cols>
    <col min="1" max="1" width="3.42578125" style="41" hidden="1" customWidth="1"/>
    <col min="2" max="2" width="10.28515625" style="41" customWidth="1"/>
    <col min="3" max="3" width="27.140625" style="42" customWidth="1"/>
    <col min="4" max="4" width="77.28515625" style="43" customWidth="1"/>
    <col min="5" max="5" width="36.42578125" style="41" customWidth="1"/>
    <col min="6" max="16384" width="9.140625" style="41"/>
  </cols>
  <sheetData>
    <row r="1" spans="1:5" hidden="1" x14ac:dyDescent="0.25">
      <c r="A1" s="41" t="s">
        <v>5961</v>
      </c>
    </row>
    <row r="7" spans="1:5" ht="30.75" x14ac:dyDescent="0.25">
      <c r="C7" s="44" t="s">
        <v>5962</v>
      </c>
    </row>
    <row r="9" spans="1:5" x14ac:dyDescent="0.25">
      <c r="C9" s="45"/>
    </row>
    <row r="10" spans="1:5" ht="28.5" x14ac:dyDescent="0.25">
      <c r="C10" s="46" t="s">
        <v>6627</v>
      </c>
      <c r="D10" s="43" t="s">
        <v>6630</v>
      </c>
    </row>
    <row r="11" spans="1:5" x14ac:dyDescent="0.25">
      <c r="C11" s="46"/>
    </row>
    <row r="12" spans="1:5" x14ac:dyDescent="0.25">
      <c r="C12" s="46" t="s">
        <v>6628</v>
      </c>
      <c r="D12" s="43" t="s">
        <v>6665</v>
      </c>
    </row>
    <row r="13" spans="1:5" x14ac:dyDescent="0.25">
      <c r="C13" s="46"/>
    </row>
    <row r="14" spans="1:5" ht="57" x14ac:dyDescent="0.25">
      <c r="C14" s="46" t="s">
        <v>6629</v>
      </c>
      <c r="D14" s="43" t="s">
        <v>6666</v>
      </c>
      <c r="E14" s="47" t="s">
        <v>6657</v>
      </c>
    </row>
    <row r="15" spans="1:5" x14ac:dyDescent="0.25">
      <c r="C15" s="46"/>
      <c r="E15" s="42"/>
    </row>
    <row r="16" spans="1:5" ht="28.5" x14ac:dyDescent="0.25">
      <c r="C16" s="46" t="s">
        <v>6655</v>
      </c>
      <c r="D16" s="43" t="s">
        <v>6667</v>
      </c>
      <c r="E16" s="47" t="s">
        <v>6656</v>
      </c>
    </row>
    <row r="17" spans="3:5" x14ac:dyDescent="0.25">
      <c r="C17" s="46"/>
      <c r="E17" s="42"/>
    </row>
    <row r="18" spans="3:5" ht="57" x14ac:dyDescent="0.25">
      <c r="C18" s="46" t="s">
        <v>6668</v>
      </c>
      <c r="D18" s="43" t="s">
        <v>6669</v>
      </c>
      <c r="E18" s="47" t="s">
        <v>6670</v>
      </c>
    </row>
    <row r="19" spans="3:5" x14ac:dyDescent="0.25">
      <c r="C19" s="46"/>
      <c r="E19" s="42"/>
    </row>
    <row r="20" spans="3:5" ht="30.75" customHeight="1" x14ac:dyDescent="0.25">
      <c r="C20" s="46" t="s">
        <v>5963</v>
      </c>
      <c r="D20" s="43" t="s">
        <v>6671</v>
      </c>
      <c r="E20" s="47" t="s">
        <v>6672</v>
      </c>
    </row>
    <row r="21" spans="3:5" x14ac:dyDescent="0.25">
      <c r="C21" s="46"/>
      <c r="E21" s="42"/>
    </row>
    <row r="22" spans="3:5" ht="14.25" customHeight="1" x14ac:dyDescent="0.25">
      <c r="C22" s="46" t="s">
        <v>5964</v>
      </c>
      <c r="D22" s="43" t="s">
        <v>6673</v>
      </c>
      <c r="E22" s="47" t="s">
        <v>6674</v>
      </c>
    </row>
    <row r="23" spans="3:5" x14ac:dyDescent="0.25">
      <c r="C23" s="46"/>
      <c r="E23" s="42"/>
    </row>
    <row r="24" spans="3:5" ht="15" customHeight="1" x14ac:dyDescent="0.25">
      <c r="C24" s="46" t="s">
        <v>1076</v>
      </c>
      <c r="D24" s="43" t="s">
        <v>6675</v>
      </c>
      <c r="E24" s="47" t="s">
        <v>6676</v>
      </c>
    </row>
    <row r="25" spans="3:5" x14ac:dyDescent="0.25">
      <c r="C25" s="46"/>
    </row>
    <row r="26" spans="3:5" ht="71.25" x14ac:dyDescent="0.25">
      <c r="C26" s="46" t="s">
        <v>5965</v>
      </c>
      <c r="D26" s="43" t="s">
        <v>6677</v>
      </c>
    </row>
    <row r="27" spans="3:5" x14ac:dyDescent="0.25">
      <c r="C27" s="46"/>
    </row>
    <row r="28" spans="3:5" ht="17.25" customHeight="1" x14ac:dyDescent="0.25">
      <c r="C28" s="46" t="s">
        <v>5966</v>
      </c>
      <c r="D28" s="43" t="s">
        <v>6678</v>
      </c>
    </row>
  </sheetData>
  <hyperlinks>
    <hyperlink ref="E20" r:id="rId1"/>
    <hyperlink ref="E16" r:id="rId2"/>
    <hyperlink ref="E14" r:id="rId3"/>
    <hyperlink ref="E24" r:id="rId4"/>
    <hyperlink ref="E18" r:id="rId5"/>
    <hyperlink ref="E22" r:id="rId6"/>
  </hyperlinks>
  <pageMargins left="0.7" right="0.7" top="0.75" bottom="0.75" header="0.3" footer="0.3"/>
  <pageSetup scale="71"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workbookViewId="0"/>
  </sheetViews>
  <sheetFormatPr defaultRowHeight="12.75" x14ac:dyDescent="0.2"/>
  <cols>
    <col min="1" max="1" width="9.140625" hidden="1" customWidth="1"/>
    <col min="11" max="11" width="10.140625" bestFit="1" customWidth="1"/>
  </cols>
  <sheetData>
    <row r="1" spans="1:16" hidden="1" x14ac:dyDescent="0.2">
      <c r="A1" t="s">
        <v>6682</v>
      </c>
      <c r="I1" t="s">
        <v>0</v>
      </c>
      <c r="K1" t="s">
        <v>1</v>
      </c>
      <c r="M1" t="s">
        <v>2</v>
      </c>
    </row>
    <row r="4" spans="1:16" ht="13.5" thickBot="1" x14ac:dyDescent="0.25"/>
    <row r="5" spans="1:16" x14ac:dyDescent="0.2">
      <c r="E5" s="1"/>
      <c r="F5" s="2"/>
      <c r="G5" s="2"/>
      <c r="H5" s="2"/>
      <c r="I5" s="2"/>
      <c r="J5" s="2"/>
      <c r="K5" s="2"/>
      <c r="L5" s="2"/>
      <c r="M5" s="2"/>
      <c r="N5" s="2"/>
      <c r="O5" s="2"/>
      <c r="P5" s="3"/>
    </row>
    <row r="6" spans="1:16" x14ac:dyDescent="0.2">
      <c r="E6" s="4"/>
      <c r="F6" s="5"/>
      <c r="G6" s="5"/>
      <c r="H6" s="5"/>
      <c r="I6" s="5"/>
      <c r="J6" s="5"/>
      <c r="K6" s="5"/>
      <c r="L6" s="5"/>
      <c r="M6" s="5"/>
      <c r="N6" s="5"/>
      <c r="O6" s="5"/>
      <c r="P6" s="6"/>
    </row>
    <row r="7" spans="1:16" x14ac:dyDescent="0.2">
      <c r="E7" s="4"/>
      <c r="F7" s="5"/>
      <c r="G7" s="5"/>
      <c r="H7" s="5"/>
      <c r="I7" s="5"/>
      <c r="J7" s="5"/>
      <c r="K7" s="5"/>
      <c r="L7" s="5"/>
      <c r="M7" s="5"/>
      <c r="N7" s="5"/>
      <c r="O7" s="5"/>
      <c r="P7" s="6"/>
    </row>
    <row r="8" spans="1:16" ht="23.25" x14ac:dyDescent="0.35">
      <c r="E8" s="4"/>
      <c r="F8" s="5"/>
      <c r="G8" s="5"/>
      <c r="H8" s="5"/>
      <c r="I8" s="5"/>
      <c r="J8" s="7" t="s">
        <v>3</v>
      </c>
      <c r="K8" s="5"/>
      <c r="L8" s="5"/>
      <c r="M8" s="5"/>
      <c r="N8" s="5"/>
      <c r="O8" s="5"/>
      <c r="P8" s="6"/>
    </row>
    <row r="9" spans="1:16" x14ac:dyDescent="0.2">
      <c r="E9" s="4"/>
      <c r="F9" s="5"/>
      <c r="G9" s="5"/>
      <c r="H9" s="5"/>
      <c r="I9" s="5"/>
      <c r="J9" s="5"/>
      <c r="K9" s="5"/>
      <c r="L9" s="5"/>
      <c r="M9" s="5"/>
      <c r="N9" s="5"/>
      <c r="O9" s="5"/>
      <c r="P9" s="6"/>
    </row>
    <row r="10" spans="1:16" x14ac:dyDescent="0.2">
      <c r="E10" s="4"/>
      <c r="F10" s="5"/>
      <c r="G10" s="5"/>
      <c r="H10" s="5"/>
      <c r="I10" s="5"/>
      <c r="J10" s="5"/>
      <c r="K10" s="5"/>
      <c r="L10" s="5"/>
      <c r="M10" s="5"/>
      <c r="N10" s="5"/>
      <c r="O10" s="5"/>
      <c r="P10" s="6"/>
    </row>
    <row r="11" spans="1:16" x14ac:dyDescent="0.2">
      <c r="A11" t="s">
        <v>4</v>
      </c>
      <c r="E11" s="4"/>
      <c r="F11" s="5"/>
      <c r="G11" s="5"/>
      <c r="H11" s="5"/>
      <c r="I11" s="13" t="s">
        <v>5</v>
      </c>
      <c r="J11" s="13"/>
      <c r="K11" s="14" t="str">
        <f>"1/1/2016"</f>
        <v>1/1/2016</v>
      </c>
      <c r="L11" s="13"/>
      <c r="M11" s="13"/>
      <c r="N11" s="5"/>
      <c r="O11" s="5"/>
      <c r="P11" s="6"/>
    </row>
    <row r="12" spans="1:16" x14ac:dyDescent="0.2">
      <c r="E12" s="4"/>
      <c r="F12" s="5"/>
      <c r="G12" s="5"/>
      <c r="H12" s="5"/>
      <c r="I12" s="13"/>
      <c r="J12" s="13"/>
      <c r="K12" s="13"/>
      <c r="L12" s="13"/>
      <c r="M12" s="13"/>
      <c r="N12" s="5"/>
      <c r="O12" s="5"/>
      <c r="P12" s="6"/>
    </row>
    <row r="13" spans="1:16" x14ac:dyDescent="0.2">
      <c r="A13" t="s">
        <v>4</v>
      </c>
      <c r="E13" s="4"/>
      <c r="F13" s="5"/>
      <c r="G13" s="5"/>
      <c r="H13" s="5"/>
      <c r="I13" s="13" t="s">
        <v>6</v>
      </c>
      <c r="J13" s="13"/>
      <c r="K13" s="14" t="str">
        <f>"1/31/2016"</f>
        <v>1/31/2016</v>
      </c>
      <c r="L13" s="13"/>
      <c r="M13" s="13"/>
      <c r="N13" s="5"/>
      <c r="O13" s="5"/>
      <c r="P13" s="6"/>
    </row>
    <row r="14" spans="1:16" x14ac:dyDescent="0.2">
      <c r="E14" s="4"/>
      <c r="F14" s="5"/>
      <c r="G14" s="5"/>
      <c r="H14" s="5"/>
      <c r="I14" s="13"/>
      <c r="J14" s="13"/>
      <c r="K14" s="13"/>
      <c r="L14" s="13"/>
      <c r="M14" s="13"/>
      <c r="N14" s="5"/>
      <c r="O14" s="5"/>
      <c r="P14" s="6"/>
    </row>
    <row r="15" spans="1:16" x14ac:dyDescent="0.2">
      <c r="A15" t="s">
        <v>4</v>
      </c>
      <c r="E15" s="4"/>
      <c r="F15" s="5"/>
      <c r="G15" s="5"/>
      <c r="H15" s="5"/>
      <c r="I15" s="13" t="s">
        <v>9</v>
      </c>
      <c r="J15" s="13"/>
      <c r="K15" s="13" t="str">
        <f>"*"</f>
        <v>*</v>
      </c>
      <c r="L15" s="13"/>
      <c r="M15" s="13" t="str">
        <f>"Lookup"</f>
        <v>Lookup</v>
      </c>
      <c r="N15" s="5"/>
      <c r="O15" s="5"/>
      <c r="P15" s="6"/>
    </row>
    <row r="16" spans="1:16" x14ac:dyDescent="0.2">
      <c r="E16" s="4"/>
      <c r="F16" s="5"/>
      <c r="G16" s="5"/>
      <c r="H16" s="5"/>
      <c r="I16" s="13"/>
      <c r="J16" s="13"/>
      <c r="K16" s="13"/>
      <c r="L16" s="13"/>
      <c r="M16" s="13"/>
      <c r="N16" s="5"/>
      <c r="O16" s="5"/>
      <c r="P16" s="6"/>
    </row>
    <row r="17" spans="1:16" x14ac:dyDescent="0.2">
      <c r="A17" t="s">
        <v>4</v>
      </c>
      <c r="E17" s="4"/>
      <c r="F17" s="5"/>
      <c r="G17" s="5"/>
      <c r="H17" s="5"/>
      <c r="I17" s="13" t="s">
        <v>8</v>
      </c>
      <c r="J17" s="13"/>
      <c r="K17" s="13" t="str">
        <f>"*"</f>
        <v>*</v>
      </c>
      <c r="L17" s="13"/>
      <c r="M17" s="13" t="str">
        <f>"Lookup"</f>
        <v>Lookup</v>
      </c>
      <c r="N17" s="5"/>
      <c r="O17" s="5"/>
      <c r="P17" s="6"/>
    </row>
    <row r="18" spans="1:16" x14ac:dyDescent="0.2">
      <c r="E18" s="4"/>
      <c r="F18" s="5"/>
      <c r="G18" s="5"/>
      <c r="H18" s="5"/>
      <c r="I18" s="13"/>
      <c r="J18" s="13"/>
      <c r="K18" s="13"/>
      <c r="L18" s="13"/>
      <c r="M18" s="13"/>
      <c r="N18" s="5"/>
      <c r="O18" s="5"/>
      <c r="P18" s="6"/>
    </row>
    <row r="19" spans="1:16" x14ac:dyDescent="0.2">
      <c r="A19" t="s">
        <v>4</v>
      </c>
      <c r="E19" s="4"/>
      <c r="F19" s="5"/>
      <c r="G19" s="5"/>
      <c r="H19" s="5"/>
      <c r="I19" s="13" t="s">
        <v>7</v>
      </c>
      <c r="J19" s="13"/>
      <c r="K19" s="13" t="str">
        <f>"*"</f>
        <v>*</v>
      </c>
      <c r="L19" s="13"/>
      <c r="M19" s="13" t="str">
        <f>"Lookup"</f>
        <v>Lookup</v>
      </c>
      <c r="N19" s="5"/>
      <c r="O19" s="5"/>
      <c r="P19" s="6"/>
    </row>
    <row r="20" spans="1:16" x14ac:dyDescent="0.2">
      <c r="E20" s="4"/>
      <c r="F20" s="5"/>
      <c r="G20" s="5"/>
      <c r="H20" s="5"/>
      <c r="I20" s="13"/>
      <c r="J20" s="13"/>
      <c r="K20" s="13"/>
      <c r="L20" s="13"/>
      <c r="M20" s="13"/>
      <c r="N20" s="5"/>
      <c r="O20" s="5"/>
      <c r="P20" s="6"/>
    </row>
    <row r="21" spans="1:16" x14ac:dyDescent="0.2">
      <c r="E21" s="4"/>
      <c r="F21" s="5"/>
      <c r="G21" s="5"/>
      <c r="H21" s="5"/>
      <c r="I21" s="5"/>
      <c r="J21" s="5"/>
      <c r="K21" s="5"/>
      <c r="L21" s="5"/>
      <c r="M21" s="5"/>
      <c r="N21" s="5"/>
      <c r="O21" s="5"/>
      <c r="P21" s="6"/>
    </row>
    <row r="22" spans="1:16" x14ac:dyDescent="0.2">
      <c r="E22" s="4"/>
      <c r="F22" s="5"/>
      <c r="G22" s="5"/>
      <c r="H22" s="5"/>
      <c r="I22" s="5"/>
      <c r="J22" s="5"/>
      <c r="K22" s="5"/>
      <c r="L22" s="5"/>
      <c r="M22" s="5"/>
      <c r="N22" s="5"/>
      <c r="O22" s="5"/>
      <c r="P22" s="6"/>
    </row>
    <row r="23" spans="1:16" x14ac:dyDescent="0.2">
      <c r="E23" s="4"/>
      <c r="F23" s="5"/>
      <c r="G23" s="5"/>
      <c r="H23" s="5"/>
      <c r="I23" s="5"/>
      <c r="J23" s="5"/>
      <c r="K23" s="5"/>
      <c r="L23" s="5"/>
      <c r="M23" s="5"/>
      <c r="N23" s="5"/>
      <c r="O23" s="5"/>
      <c r="P23" s="6"/>
    </row>
    <row r="24" spans="1:16" x14ac:dyDescent="0.2">
      <c r="E24" s="4"/>
      <c r="F24" s="5"/>
      <c r="G24" s="5"/>
      <c r="H24" s="5"/>
      <c r="I24" s="5"/>
      <c r="J24" s="5"/>
      <c r="K24" s="5"/>
      <c r="L24" s="5"/>
      <c r="M24" s="5"/>
      <c r="N24" s="5"/>
      <c r="O24" s="5"/>
      <c r="P24" s="6"/>
    </row>
    <row r="25" spans="1:16" ht="13.5" thickBot="1" x14ac:dyDescent="0.25">
      <c r="E25" s="8"/>
      <c r="F25" s="9"/>
      <c r="G25" s="9"/>
      <c r="H25" s="9"/>
      <c r="I25" s="9"/>
      <c r="J25" s="9"/>
      <c r="K25" s="9"/>
      <c r="L25" s="9"/>
      <c r="M25" s="9"/>
      <c r="N25" s="9"/>
      <c r="O25" s="9"/>
      <c r="P25" s="10"/>
    </row>
  </sheetData>
  <phoneticPr fontId="6"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98"/>
  <sheetViews>
    <sheetView showGridLines="0" tabSelected="1" zoomScale="80" zoomScaleNormal="80" workbookViewId="0">
      <pane ySplit="14" topLeftCell="A15" activePane="bottomLeft" state="frozen"/>
      <selection pane="bottomLeft"/>
    </sheetView>
  </sheetViews>
  <sheetFormatPr defaultRowHeight="12.75" x14ac:dyDescent="0.2"/>
  <cols>
    <col min="1" max="1" width="9.140625" style="28" hidden="1" customWidth="1"/>
    <col min="2" max="2" width="17.85546875" style="28" hidden="1" customWidth="1"/>
    <col min="3" max="5" width="17.7109375" style="28" hidden="1" customWidth="1"/>
    <col min="6" max="6" width="9.140625" style="28" hidden="1" customWidth="1"/>
    <col min="7" max="7" width="11.140625" style="28" hidden="1" customWidth="1"/>
    <col min="8" max="8" width="2.140625" style="35" customWidth="1"/>
    <col min="9" max="9" width="16.7109375" bestFit="1" customWidth="1"/>
    <col min="10" max="10" width="37.140625" bestFit="1" customWidth="1"/>
    <col min="11" max="11" width="22.5703125" hidden="1" customWidth="1"/>
    <col min="12" max="12" width="17.85546875" bestFit="1" customWidth="1"/>
    <col min="13" max="13" width="12.140625" bestFit="1" customWidth="1"/>
    <col min="14" max="14" width="26.28515625" bestFit="1" customWidth="1"/>
    <col min="15" max="15" width="23.5703125" bestFit="1" customWidth="1"/>
    <col min="16" max="16" width="27" bestFit="1" customWidth="1"/>
    <col min="17" max="17" width="25.140625" bestFit="1" customWidth="1"/>
    <col min="18" max="18" width="14.85546875" bestFit="1" customWidth="1"/>
    <col min="19" max="19" width="15.85546875" bestFit="1" customWidth="1"/>
    <col min="20" max="20" width="12" bestFit="1" customWidth="1"/>
  </cols>
  <sheetData>
    <row r="1" spans="1:20" s="28" customFormat="1" hidden="1" x14ac:dyDescent="0.2">
      <c r="A1" s="28" t="s">
        <v>6684</v>
      </c>
      <c r="B1" s="29" t="s">
        <v>20</v>
      </c>
      <c r="C1" s="29" t="s">
        <v>20</v>
      </c>
      <c r="D1" s="29" t="s">
        <v>20</v>
      </c>
      <c r="E1" s="29" t="s">
        <v>20</v>
      </c>
      <c r="F1" s="29" t="s">
        <v>20</v>
      </c>
      <c r="G1" s="29" t="s">
        <v>20</v>
      </c>
      <c r="H1" s="29"/>
      <c r="I1" s="28" t="s">
        <v>18</v>
      </c>
      <c r="J1" s="28" t="s">
        <v>18</v>
      </c>
      <c r="K1" s="28" t="s">
        <v>20</v>
      </c>
      <c r="L1" s="28" t="s">
        <v>18</v>
      </c>
      <c r="M1" s="28" t="s">
        <v>18</v>
      </c>
      <c r="N1" s="28" t="s">
        <v>18</v>
      </c>
      <c r="O1" s="28" t="s">
        <v>18</v>
      </c>
      <c r="P1" s="28" t="s">
        <v>18</v>
      </c>
      <c r="Q1" s="28" t="s">
        <v>18</v>
      </c>
      <c r="R1" s="28" t="s">
        <v>18</v>
      </c>
      <c r="S1" s="28" t="s">
        <v>18</v>
      </c>
      <c r="T1" s="28" t="s">
        <v>18</v>
      </c>
    </row>
    <row r="2" spans="1:20" s="28" customFormat="1" hidden="1" x14ac:dyDescent="0.2">
      <c r="A2" s="28" t="s">
        <v>20</v>
      </c>
      <c r="B2" s="28" t="s">
        <v>5</v>
      </c>
      <c r="C2" s="30" t="str">
        <f>Options!K11</f>
        <v>1/1/2016</v>
      </c>
      <c r="D2" s="30"/>
      <c r="E2" s="30"/>
      <c r="F2" s="30"/>
      <c r="G2" s="30"/>
      <c r="H2" s="30"/>
    </row>
    <row r="3" spans="1:20" s="28" customFormat="1" hidden="1" x14ac:dyDescent="0.2">
      <c r="A3" s="28" t="s">
        <v>20</v>
      </c>
      <c r="B3" s="28" t="s">
        <v>6</v>
      </c>
      <c r="C3" s="30" t="str">
        <f>Options!K13</f>
        <v>1/31/2016</v>
      </c>
      <c r="D3" s="30"/>
      <c r="E3" s="30"/>
      <c r="F3" s="30"/>
      <c r="G3" s="30"/>
      <c r="H3" s="30"/>
    </row>
    <row r="4" spans="1:20" s="28" customFormat="1" hidden="1" x14ac:dyDescent="0.2">
      <c r="A4" s="29" t="s">
        <v>20</v>
      </c>
      <c r="B4" s="28" t="s">
        <v>10</v>
      </c>
      <c r="C4" s="31" t="str">
        <f>"1/1/2016..1/31/2016"</f>
        <v>1/1/2016..1/31/2016</v>
      </c>
      <c r="D4" s="31"/>
      <c r="E4" s="31"/>
      <c r="F4" s="31"/>
      <c r="G4" s="31"/>
      <c r="H4" s="31"/>
    </row>
    <row r="5" spans="1:20" x14ac:dyDescent="0.2">
      <c r="B5" s="28" t="s">
        <v>9</v>
      </c>
      <c r="C5" s="31" t="str">
        <f>Options!K15</f>
        <v>*</v>
      </c>
      <c r="D5" s="31"/>
      <c r="E5" s="31"/>
    </row>
    <row r="6" spans="1:20" ht="23.25" x14ac:dyDescent="0.35">
      <c r="B6" s="28" t="s">
        <v>8</v>
      </c>
      <c r="C6" s="31" t="str">
        <f>Options!K17</f>
        <v>*</v>
      </c>
      <c r="D6" s="31"/>
      <c r="E6" s="31"/>
      <c r="I6" s="39" t="s">
        <v>27</v>
      </c>
      <c r="J6" s="39"/>
      <c r="K6" s="39"/>
    </row>
    <row r="7" spans="1:20" ht="14.25" x14ac:dyDescent="0.2">
      <c r="B7" s="28" t="s">
        <v>7</v>
      </c>
      <c r="C7" s="31" t="str">
        <f>Options!K19</f>
        <v>*</v>
      </c>
      <c r="D7" s="31"/>
      <c r="E7" s="31"/>
      <c r="I7" s="40" t="str">
        <f>"For the Period of "&amp;TEXT($C$2,"MMMM D, YYYY")&amp;" through "&amp;TEXT($C$3,"MMMM D, YYYY")</f>
        <v>For the Period of January 1, 2016 through January 31, 2016</v>
      </c>
      <c r="J7" s="40"/>
      <c r="K7" s="40"/>
      <c r="L7" s="40"/>
      <c r="M7" s="40"/>
    </row>
    <row r="8" spans="1:20" x14ac:dyDescent="0.2">
      <c r="B8" s="28" t="s">
        <v>21</v>
      </c>
      <c r="C8" s="32" t="str">
        <f>YEAR($C$2)&amp;"/0"</f>
        <v>2016/0</v>
      </c>
      <c r="D8" s="31"/>
      <c r="E8" s="31"/>
    </row>
    <row r="9" spans="1:20" x14ac:dyDescent="0.2">
      <c r="B9" s="28" t="s">
        <v>26</v>
      </c>
      <c r="C9" s="28" t="str">
        <f>"||""Filter"",""GL00105"",""ACTINDX"",""ACTNUMBR_1"",""*"",""ACTNUMBR_2"",""*"",""ACTNUMBR_3"",""*"","""","""","""","""","""","""","""","""","""","""","""","""","""","""""</f>
        <v>||"Filter","GL00105","ACTINDX","ACTNUMBR_1","*","ACTNUMBR_2","*","ACTNUMBR_3","*","","","","","","","","","","","","","",""</v>
      </c>
      <c r="D9" s="32"/>
      <c r="E9" s="32"/>
      <c r="I9" t="str">
        <f>B5</f>
        <v>Department</v>
      </c>
      <c r="J9" s="34" t="str">
        <f>IF(C5="*","",C5&amp;"   "&amp;"")</f>
        <v/>
      </c>
      <c r="K9" s="11"/>
      <c r="L9" s="34"/>
    </row>
    <row r="10" spans="1:20" x14ac:dyDescent="0.2">
      <c r="I10" t="str">
        <f>B6</f>
        <v>Location</v>
      </c>
      <c r="J10" s="34" t="str">
        <f>IF(C6="*","",C6&amp;"   "&amp;"")</f>
        <v/>
      </c>
      <c r="L10" s="12"/>
    </row>
    <row r="11" spans="1:20" ht="14.25" x14ac:dyDescent="0.2">
      <c r="I11" t="str">
        <f>B7</f>
        <v>Company</v>
      </c>
      <c r="J11" s="34" t="str">
        <f>IF(C7="*","",C7&amp;"   "&amp;"")</f>
        <v/>
      </c>
      <c r="R11" s="25" t="s">
        <v>11</v>
      </c>
      <c r="S11" s="26">
        <v>43368</v>
      </c>
    </row>
    <row r="14" spans="1:20" x14ac:dyDescent="0.2">
      <c r="I14" s="22" t="s">
        <v>12</v>
      </c>
      <c r="J14" s="22" t="s">
        <v>19</v>
      </c>
      <c r="K14" s="22"/>
      <c r="L14" s="22" t="s">
        <v>13</v>
      </c>
      <c r="M14" s="22" t="s">
        <v>14</v>
      </c>
      <c r="N14" s="22" t="s">
        <v>15</v>
      </c>
      <c r="O14" s="22" t="s">
        <v>22</v>
      </c>
      <c r="P14" s="22" t="s">
        <v>16</v>
      </c>
      <c r="Q14" s="22" t="s">
        <v>17</v>
      </c>
      <c r="R14" s="22" t="s">
        <v>23</v>
      </c>
      <c r="S14" s="22" t="s">
        <v>24</v>
      </c>
      <c r="T14" s="22" t="s">
        <v>25</v>
      </c>
    </row>
    <row r="15" spans="1:20" x14ac:dyDescent="0.2">
      <c r="I15" s="27"/>
      <c r="J15" s="27"/>
      <c r="K15" s="27"/>
      <c r="L15" s="27"/>
      <c r="M15" s="27"/>
      <c r="N15" s="27"/>
      <c r="O15" s="27"/>
      <c r="P15" s="27"/>
      <c r="Q15" s="27"/>
      <c r="R15" s="27"/>
      <c r="S15" s="27"/>
      <c r="T15" s="27"/>
    </row>
    <row r="16" spans="1:20" x14ac:dyDescent="0.2">
      <c r="D16" s="28" t="str">
        <f>"||""Filter"",""GL20000"",""ACTINDX"",""TRXDATE"",""1/1/2016..1/31/2016"",""ACTINDX"",""||""""Filter"""",""""GL00105"""",""""ACTINDX"""",""""ACTNUMBR_1"""",""""*"""",""""ACTNUMBR_2"""",""""*"""",""""ACTNUMBR_3"""",""""*"""","""""""","""""""","""""""","""""""","""""""","""""""","""""""","""""""","""""""","""""""","""""""","""""""","""""""","""""""""","""","""","""","""&amp;""","""","""","""","""","""","""","""","""","""","""","""","""""</f>
        <v>||"Filter","GL20000","ACTINDX","TRXDATE","1/1/2016..1/31/2016","ACTINDX","||""Filter"",""GL00105"",""ACTINDX"",""ACTNUMBR_1"",""*"",""ACTNUMBR_2"",""*"",""ACTNUMBR_3"",""*"","""","""","""","""","""","""","""","""","""","""","""","""","""",""""","","","","","","","","","","","","","","","",""</v>
      </c>
      <c r="E16" s="28" t="str">
        <f>"||""Filter"",""GL30000"",""ACTINDX"",""TRXDATE"",""1/1/2016..1/31/2016"",""ACTINDX"",""||""""Filter"""",""""GL00105"""",""""ACTINDX"""",""""ACTNUMBR_1"""",""""*"""",""""ACTNUMBR_2"""",""""*"""",""""ACTNUMBR_3"""",""""*"""","""""""","""""""","""""""","""""""","""""""","""""""","""""""","""""""","""""""","""""""","""""""","""""""","""""""","""""""""","""","""","""","""&amp;""","""","""","""","""","""","""","""","""","""","""","""","""""</f>
        <v>||"Filter","GL30000","ACTINDX","TRXDATE","1/1/2016..1/31/2016","ACTINDX","||""Filter"",""GL00105"",""ACTINDX"",""ACTNUMBR_1"",""*"",""ACTNUMBR_2"",""*"",""ACTNUMBR_3"",""*"","""","""","""","""","""","""","""","""","""","""","""","""","""",""""","","","","","","","","","","","","","","","",""</v>
      </c>
      <c r="F16" s="28">
        <v>2</v>
      </c>
      <c r="G16" s="28" t="str">
        <f>"000-1110-00"</f>
        <v>000-1110-00</v>
      </c>
      <c r="I16" s="17" t="str">
        <f>G16</f>
        <v>000-1110-00</v>
      </c>
      <c r="J16" s="17" t="str">
        <f>"Cash - Payroll"</f>
        <v>Cash - Payroll</v>
      </c>
      <c r="Q16" s="17"/>
      <c r="R16" s="18"/>
    </row>
    <row r="17" spans="1:20" x14ac:dyDescent="0.2">
      <c r="B17" s="33"/>
      <c r="C17" s="33"/>
      <c r="F17" s="33">
        <f>F16</f>
        <v>2</v>
      </c>
      <c r="G17" s="33" t="str">
        <f>G16</f>
        <v>000-1110-00</v>
      </c>
      <c r="H17" s="36"/>
      <c r="L17" s="15"/>
      <c r="Q17" s="21"/>
      <c r="R17" s="16"/>
      <c r="S17" s="16">
        <f>IF($K17="",0,-_xll.NF($K17,"CRDTAMNT"))</f>
        <v>0</v>
      </c>
      <c r="T17" s="19">
        <f>SUM(R17:S17)</f>
        <v>0</v>
      </c>
    </row>
    <row r="18" spans="1:20" x14ac:dyDescent="0.2">
      <c r="B18" s="33"/>
      <c r="C18" s="33"/>
      <c r="F18" s="33">
        <f>F17</f>
        <v>2</v>
      </c>
      <c r="G18" s="33" t="str">
        <f>G17</f>
        <v>000-1110-00</v>
      </c>
      <c r="H18" s="36"/>
      <c r="K18" t="str">
        <f>"""GP Direct"",""Fabrikam, Inc."",""GL20000"",""DEX_ROW_ID"",""12194"""</f>
        <v>"GP Direct","Fabrikam, Inc.","GL20000","DEX_ROW_ID","12194"</v>
      </c>
      <c r="L18" s="15">
        <v>42370</v>
      </c>
      <c r="M18">
        <v>2220</v>
      </c>
      <c r="N18" t="str">
        <f>"Ackerman, Pilar"</f>
        <v>Ackerman, Pilar</v>
      </c>
      <c r="O18" t="str">
        <f>"DD000000000000000073"</f>
        <v>DD000000000000000073</v>
      </c>
      <c r="P18" t="str">
        <f>"Payroll Computer Checks"</f>
        <v>Payroll Computer Checks</v>
      </c>
      <c r="Q18" s="21"/>
      <c r="R18" s="16">
        <v>0</v>
      </c>
      <c r="S18" s="16">
        <v>-876.86</v>
      </c>
      <c r="T18" s="19">
        <f>SUM(R18:S18)</f>
        <v>-876.86</v>
      </c>
    </row>
    <row r="19" spans="1:20" x14ac:dyDescent="0.2">
      <c r="A19" s="28" t="s">
        <v>31</v>
      </c>
      <c r="B19" s="33"/>
      <c r="C19" s="33"/>
      <c r="F19" s="33">
        <f>F18</f>
        <v>2</v>
      </c>
      <c r="G19" s="33" t="str">
        <f>G18</f>
        <v>000-1110-00</v>
      </c>
      <c r="H19" s="36"/>
      <c r="K19" t="str">
        <f>"""GP Direct"",""Fabrikam, Inc."",""GL20000"",""DEX_ROW_ID"",""12206"""</f>
        <v>"GP Direct","Fabrikam, Inc.","GL20000","DEX_ROW_ID","12206"</v>
      </c>
      <c r="L19" s="15">
        <v>42370</v>
      </c>
      <c r="M19">
        <v>2221</v>
      </c>
      <c r="N19" t="str">
        <f>"Barbariol, Angela"</f>
        <v>Barbariol, Angela</v>
      </c>
      <c r="O19" t="str">
        <f>"DD000000000000000074"</f>
        <v>DD000000000000000074</v>
      </c>
      <c r="P19" t="str">
        <f>"Payroll Computer Checks"</f>
        <v>Payroll Computer Checks</v>
      </c>
      <c r="Q19" s="21"/>
      <c r="R19" s="16">
        <v>0</v>
      </c>
      <c r="S19" s="16">
        <v>-1069.75</v>
      </c>
      <c r="T19" s="19">
        <f t="shared" ref="T19:T45" si="0">SUM(R19:S19)</f>
        <v>-1069.75</v>
      </c>
    </row>
    <row r="20" spans="1:20" x14ac:dyDescent="0.2">
      <c r="A20" s="28" t="s">
        <v>31</v>
      </c>
      <c r="B20" s="33"/>
      <c r="C20" s="33"/>
      <c r="F20" s="33">
        <f>F19</f>
        <v>2</v>
      </c>
      <c r="G20" s="33" t="str">
        <f>G19</f>
        <v>000-1110-00</v>
      </c>
      <c r="H20" s="36"/>
      <c r="K20" t="str">
        <f>"""GP Direct"",""Fabrikam, Inc."",""GL20000"",""DEX_ROW_ID"",""12210"""</f>
        <v>"GP Direct","Fabrikam, Inc.","GL20000","DEX_ROW_ID","12210"</v>
      </c>
      <c r="L20" s="15">
        <v>42370</v>
      </c>
      <c r="M20">
        <v>2222</v>
      </c>
      <c r="N20" t="str">
        <f>"Barr, Adam"</f>
        <v>Barr, Adam</v>
      </c>
      <c r="O20" t="str">
        <f>"10654"</f>
        <v>10654</v>
      </c>
      <c r="P20" t="str">
        <f>"Payroll Computer Checks"</f>
        <v>Payroll Computer Checks</v>
      </c>
      <c r="Q20" s="21"/>
      <c r="R20" s="16">
        <v>0</v>
      </c>
      <c r="S20" s="16">
        <v>-1081.2</v>
      </c>
      <c r="T20" s="19">
        <f t="shared" si="0"/>
        <v>-1081.2</v>
      </c>
    </row>
    <row r="21" spans="1:20" x14ac:dyDescent="0.2">
      <c r="A21" s="28" t="s">
        <v>31</v>
      </c>
      <c r="B21" s="33"/>
      <c r="C21" s="33"/>
      <c r="F21" s="33">
        <f>F20</f>
        <v>2</v>
      </c>
      <c r="G21" s="33" t="str">
        <f>G20</f>
        <v>000-1110-00</v>
      </c>
      <c r="H21" s="36"/>
      <c r="K21" t="str">
        <f>"""GP Direct"",""Fabrikam, Inc."",""GL20000"",""DEX_ROW_ID"",""12224"""</f>
        <v>"GP Direct","Fabrikam, Inc.","GL20000","DEX_ROW_ID","12224"</v>
      </c>
      <c r="L21" s="15">
        <v>42370</v>
      </c>
      <c r="M21">
        <v>2223</v>
      </c>
      <c r="N21" t="str">
        <f>"Bonifaz, Luis"</f>
        <v>Bonifaz, Luis</v>
      </c>
      <c r="O21" t="str">
        <f>"DD000000000000000075"</f>
        <v>DD000000000000000075</v>
      </c>
      <c r="P21" t="str">
        <f>"Payroll Computer Checks"</f>
        <v>Payroll Computer Checks</v>
      </c>
      <c r="Q21" s="21"/>
      <c r="R21" s="16">
        <v>0</v>
      </c>
      <c r="S21" s="16">
        <v>-901.92</v>
      </c>
      <c r="T21" s="19">
        <f t="shared" si="0"/>
        <v>-901.92</v>
      </c>
    </row>
    <row r="22" spans="1:20" x14ac:dyDescent="0.2">
      <c r="A22" s="28" t="s">
        <v>31</v>
      </c>
      <c r="B22" s="33"/>
      <c r="C22" s="33"/>
      <c r="F22" s="33">
        <f>F21</f>
        <v>2</v>
      </c>
      <c r="G22" s="33" t="str">
        <f>G21</f>
        <v>000-1110-00</v>
      </c>
      <c r="H22" s="36"/>
      <c r="K22" t="str">
        <f>"""GP Direct"",""Fabrikam, Inc."",""GL20000"",""DEX_ROW_ID"",""12227"""</f>
        <v>"GP Direct","Fabrikam, Inc.","GL20000","DEX_ROW_ID","12227"</v>
      </c>
      <c r="L22" s="15">
        <v>42370</v>
      </c>
      <c r="M22">
        <v>2224</v>
      </c>
      <c r="N22" t="str">
        <f>"Buchanan, Nancy"</f>
        <v>Buchanan, Nancy</v>
      </c>
      <c r="O22" t="str">
        <f>"10655"</f>
        <v>10655</v>
      </c>
      <c r="P22" t="str">
        <f>"Payroll Computer Checks"</f>
        <v>Payroll Computer Checks</v>
      </c>
      <c r="Q22" s="21"/>
      <c r="R22" s="16">
        <v>0</v>
      </c>
      <c r="S22" s="16">
        <v>-5574.59</v>
      </c>
      <c r="T22" s="19">
        <f t="shared" si="0"/>
        <v>-5574.59</v>
      </c>
    </row>
    <row r="23" spans="1:20" x14ac:dyDescent="0.2">
      <c r="A23" s="28" t="s">
        <v>31</v>
      </c>
      <c r="B23" s="33"/>
      <c r="C23" s="33"/>
      <c r="F23" s="33">
        <f>F22</f>
        <v>2</v>
      </c>
      <c r="G23" s="33" t="str">
        <f>G22</f>
        <v>000-1110-00</v>
      </c>
      <c r="H23" s="36"/>
      <c r="K23" t="str">
        <f>"""GP Direct"",""Fabrikam, Inc."",""GL20000"",""DEX_ROW_ID"",""12239"""</f>
        <v>"GP Direct","Fabrikam, Inc.","GL20000","DEX_ROW_ID","12239"</v>
      </c>
      <c r="L23" s="15">
        <v>42370</v>
      </c>
      <c r="M23">
        <v>2225</v>
      </c>
      <c r="N23" t="str">
        <f>"Chen, John Y."</f>
        <v>Chen, John Y.</v>
      </c>
      <c r="O23" t="str">
        <f>"10656"</f>
        <v>10656</v>
      </c>
      <c r="P23" t="str">
        <f>"Payroll Computer Checks"</f>
        <v>Payroll Computer Checks</v>
      </c>
      <c r="Q23" s="21"/>
      <c r="R23" s="16">
        <v>0</v>
      </c>
      <c r="S23" s="16">
        <v>-542.57000000000005</v>
      </c>
      <c r="T23" s="19">
        <f t="shared" si="0"/>
        <v>-542.57000000000005</v>
      </c>
    </row>
    <row r="24" spans="1:20" x14ac:dyDescent="0.2">
      <c r="A24" s="28" t="s">
        <v>31</v>
      </c>
      <c r="B24" s="33"/>
      <c r="C24" s="33"/>
      <c r="F24" s="33">
        <f>F23</f>
        <v>2</v>
      </c>
      <c r="G24" s="33" t="str">
        <f>G23</f>
        <v>000-1110-00</v>
      </c>
      <c r="H24" s="36"/>
      <c r="K24" t="str">
        <f>"""GP Direct"",""Fabrikam, Inc."",""GL20000"",""DEX_ROW_ID"",""12250"""</f>
        <v>"GP Direct","Fabrikam, Inc.","GL20000","DEX_ROW_ID","12250"</v>
      </c>
      <c r="L24" s="15">
        <v>42370</v>
      </c>
      <c r="M24">
        <v>2226</v>
      </c>
      <c r="N24" t="str">
        <f>"Clayton, Jane"</f>
        <v>Clayton, Jane</v>
      </c>
      <c r="O24" t="str">
        <f>"10657"</f>
        <v>10657</v>
      </c>
      <c r="P24" t="str">
        <f>"Payroll Computer Checks"</f>
        <v>Payroll Computer Checks</v>
      </c>
      <c r="Q24" s="21"/>
      <c r="R24" s="16">
        <v>0</v>
      </c>
      <c r="S24" s="16">
        <v>-985.8</v>
      </c>
      <c r="T24" s="19">
        <f t="shared" si="0"/>
        <v>-985.8</v>
      </c>
    </row>
    <row r="25" spans="1:20" x14ac:dyDescent="0.2">
      <c r="A25" s="28" t="s">
        <v>31</v>
      </c>
      <c r="B25" s="33"/>
      <c r="C25" s="33"/>
      <c r="F25" s="33">
        <f>F24</f>
        <v>2</v>
      </c>
      <c r="G25" s="33" t="str">
        <f>G24</f>
        <v>000-1110-00</v>
      </c>
      <c r="H25" s="36"/>
      <c r="K25" t="str">
        <f>"""GP Direct"",""Fabrikam, Inc."",""GL20000"",""DEX_ROW_ID"",""12256"""</f>
        <v>"GP Direct","Fabrikam, Inc.","GL20000","DEX_ROW_ID","12256"</v>
      </c>
      <c r="L25" s="15">
        <v>42370</v>
      </c>
      <c r="M25">
        <v>2227</v>
      </c>
      <c r="N25" t="str">
        <f>"Delaney, Aidan"</f>
        <v>Delaney, Aidan</v>
      </c>
      <c r="O25" t="str">
        <f>"10658"</f>
        <v>10658</v>
      </c>
      <c r="P25" t="str">
        <f>"Payroll Computer Checks"</f>
        <v>Payroll Computer Checks</v>
      </c>
      <c r="Q25" s="21"/>
      <c r="R25" s="16">
        <v>0</v>
      </c>
      <c r="S25" s="16">
        <v>-594.13</v>
      </c>
      <c r="T25" s="19">
        <f t="shared" si="0"/>
        <v>-594.13</v>
      </c>
    </row>
    <row r="26" spans="1:20" x14ac:dyDescent="0.2">
      <c r="A26" s="28" t="s">
        <v>31</v>
      </c>
      <c r="B26" s="33"/>
      <c r="C26" s="33"/>
      <c r="F26" s="33">
        <f>F25</f>
        <v>2</v>
      </c>
      <c r="G26" s="33" t="str">
        <f>G25</f>
        <v>000-1110-00</v>
      </c>
      <c r="H26" s="36"/>
      <c r="K26" t="str">
        <f>"""GP Direct"",""Fabrikam, Inc."",""GL20000"",""DEX_ROW_ID"",""12263"""</f>
        <v>"GP Direct","Fabrikam, Inc.","GL20000","DEX_ROW_ID","12263"</v>
      </c>
      <c r="L26" s="15">
        <v>42370</v>
      </c>
      <c r="M26">
        <v>2228</v>
      </c>
      <c r="N26" t="str">
        <f>"Diaz, Brenda"</f>
        <v>Diaz, Brenda</v>
      </c>
      <c r="O26" t="str">
        <f>"10659"</f>
        <v>10659</v>
      </c>
      <c r="P26" t="str">
        <f>"Payroll Computer Checks"</f>
        <v>Payroll Computer Checks</v>
      </c>
      <c r="Q26" s="21"/>
      <c r="R26" s="16">
        <v>0</v>
      </c>
      <c r="S26" s="16">
        <v>-1154.52</v>
      </c>
      <c r="T26" s="19">
        <f t="shared" si="0"/>
        <v>-1154.52</v>
      </c>
    </row>
    <row r="27" spans="1:20" x14ac:dyDescent="0.2">
      <c r="A27" s="28" t="s">
        <v>31</v>
      </c>
      <c r="B27" s="33"/>
      <c r="C27" s="33"/>
      <c r="F27" s="33">
        <f>F26</f>
        <v>2</v>
      </c>
      <c r="G27" s="33" t="str">
        <f>G26</f>
        <v>000-1110-00</v>
      </c>
      <c r="H27" s="36"/>
      <c r="K27" t="str">
        <f>"""GP Direct"",""Fabrikam, Inc."",""GL20000"",""DEX_ROW_ID"",""12279"""</f>
        <v>"GP Direct","Fabrikam, Inc.","GL20000","DEX_ROW_ID","12279"</v>
      </c>
      <c r="L27" s="15">
        <v>42370</v>
      </c>
      <c r="M27">
        <v>2229</v>
      </c>
      <c r="N27" t="str">
        <f>"Doyle, Jenny"</f>
        <v>Doyle, Jenny</v>
      </c>
      <c r="O27" t="str">
        <f>"10660"</f>
        <v>10660</v>
      </c>
      <c r="P27" t="str">
        <f>"Payroll Computer Checks"</f>
        <v>Payroll Computer Checks</v>
      </c>
      <c r="Q27" s="21"/>
      <c r="R27" s="16">
        <v>0</v>
      </c>
      <c r="S27" s="16">
        <v>-703.38</v>
      </c>
      <c r="T27" s="19">
        <f t="shared" si="0"/>
        <v>-703.38</v>
      </c>
    </row>
    <row r="28" spans="1:20" x14ac:dyDescent="0.2">
      <c r="A28" s="28" t="s">
        <v>31</v>
      </c>
      <c r="B28" s="33"/>
      <c r="C28" s="33"/>
      <c r="F28" s="33">
        <f>F27</f>
        <v>2</v>
      </c>
      <c r="G28" s="33" t="str">
        <f>G27</f>
        <v>000-1110-00</v>
      </c>
      <c r="H28" s="36"/>
      <c r="K28" t="str">
        <f>"""GP Direct"",""Fabrikam, Inc."",""GL20000"",""DEX_ROW_ID"",""12286"""</f>
        <v>"GP Direct","Fabrikam, Inc.","GL20000","DEX_ROW_ID","12286"</v>
      </c>
      <c r="L28" s="15">
        <v>42370</v>
      </c>
      <c r="M28">
        <v>2230</v>
      </c>
      <c r="N28" t="str">
        <f>"Erickson, Gregory J."</f>
        <v>Erickson, Gregory J.</v>
      </c>
      <c r="O28" t="str">
        <f>"10661"</f>
        <v>10661</v>
      </c>
      <c r="P28" t="str">
        <f>"Payroll Computer Checks"</f>
        <v>Payroll Computer Checks</v>
      </c>
      <c r="Q28" s="21"/>
      <c r="R28" s="16">
        <v>0</v>
      </c>
      <c r="S28" s="16">
        <v>-3975.66</v>
      </c>
      <c r="T28" s="19">
        <f t="shared" si="0"/>
        <v>-3975.66</v>
      </c>
    </row>
    <row r="29" spans="1:20" x14ac:dyDescent="0.2">
      <c r="A29" s="28" t="s">
        <v>31</v>
      </c>
      <c r="B29" s="33"/>
      <c r="C29" s="33"/>
      <c r="F29" s="33">
        <f>F28</f>
        <v>2</v>
      </c>
      <c r="G29" s="33" t="str">
        <f>G28</f>
        <v>000-1110-00</v>
      </c>
      <c r="H29" s="36"/>
      <c r="K29" t="str">
        <f>"""GP Direct"",""Fabrikam, Inc."",""GL20000"",""DEX_ROW_ID"",""12293"""</f>
        <v>"GP Direct","Fabrikam, Inc.","GL20000","DEX_ROW_ID","12293"</v>
      </c>
      <c r="L29" s="15">
        <v>42370</v>
      </c>
      <c r="M29">
        <v>2231</v>
      </c>
      <c r="N29" t="str">
        <f>"Flood, Kathie"</f>
        <v>Flood, Kathie</v>
      </c>
      <c r="O29" t="str">
        <f>"10662"</f>
        <v>10662</v>
      </c>
      <c r="P29" t="str">
        <f>"Payroll Computer Checks"</f>
        <v>Payroll Computer Checks</v>
      </c>
      <c r="Q29" s="21"/>
      <c r="R29" s="16">
        <v>0</v>
      </c>
      <c r="S29" s="16">
        <v>-683.12</v>
      </c>
      <c r="T29" s="19">
        <f t="shared" si="0"/>
        <v>-683.12</v>
      </c>
    </row>
    <row r="30" spans="1:20" x14ac:dyDescent="0.2">
      <c r="A30" s="28" t="s">
        <v>31</v>
      </c>
      <c r="B30" s="33"/>
      <c r="C30" s="33"/>
      <c r="F30" s="33">
        <f>F29</f>
        <v>2</v>
      </c>
      <c r="G30" s="33" t="str">
        <f>G29</f>
        <v>000-1110-00</v>
      </c>
      <c r="H30" s="36"/>
      <c r="K30" t="str">
        <f>"""GP Direct"",""Fabrikam, Inc."",""GL20000"",""DEX_ROW_ID"",""12306"""</f>
        <v>"GP Direct","Fabrikam, Inc.","GL20000","DEX_ROW_ID","12306"</v>
      </c>
      <c r="L30" s="15">
        <v>42370</v>
      </c>
      <c r="M30">
        <v>2232</v>
      </c>
      <c r="N30" t="str">
        <f>"Harui, Roger"</f>
        <v>Harui, Roger</v>
      </c>
      <c r="O30" t="str">
        <f>"10663"</f>
        <v>10663</v>
      </c>
      <c r="P30" t="str">
        <f>"Payroll Computer Checks"</f>
        <v>Payroll Computer Checks</v>
      </c>
      <c r="Q30" s="21"/>
      <c r="R30" s="16">
        <v>0</v>
      </c>
      <c r="S30" s="16">
        <v>-1111.6400000000001</v>
      </c>
      <c r="T30" s="19">
        <f t="shared" si="0"/>
        <v>-1111.6400000000001</v>
      </c>
    </row>
    <row r="31" spans="1:20" x14ac:dyDescent="0.2">
      <c r="A31" s="28" t="s">
        <v>31</v>
      </c>
      <c r="B31" s="33"/>
      <c r="C31" s="33"/>
      <c r="F31" s="33">
        <f>F30</f>
        <v>2</v>
      </c>
      <c r="G31" s="33" t="str">
        <f>G30</f>
        <v>000-1110-00</v>
      </c>
      <c r="H31" s="36"/>
      <c r="K31" t="str">
        <f>"""GP Direct"",""Fabrikam, Inc."",""GL20000"",""DEX_ROW_ID"",""12312"""</f>
        <v>"GP Direct","Fabrikam, Inc.","GL20000","DEX_ROW_ID","12312"</v>
      </c>
      <c r="L31" s="15">
        <v>42370</v>
      </c>
      <c r="M31">
        <v>2233</v>
      </c>
      <c r="N31" t="str">
        <f>"Jamison, Jay"</f>
        <v>Jamison, Jay</v>
      </c>
      <c r="O31" t="str">
        <f>"10664"</f>
        <v>10664</v>
      </c>
      <c r="P31" t="str">
        <f>"Payroll Computer Checks"</f>
        <v>Payroll Computer Checks</v>
      </c>
      <c r="Q31" s="21"/>
      <c r="R31" s="16">
        <v>0</v>
      </c>
      <c r="S31" s="16">
        <v>-993.37</v>
      </c>
      <c r="T31" s="19">
        <f t="shared" si="0"/>
        <v>-993.37</v>
      </c>
    </row>
    <row r="32" spans="1:20" x14ac:dyDescent="0.2">
      <c r="A32" s="28" t="s">
        <v>31</v>
      </c>
      <c r="B32" s="33"/>
      <c r="C32" s="33"/>
      <c r="F32" s="33">
        <f>F31</f>
        <v>2</v>
      </c>
      <c r="G32" s="33" t="str">
        <f>G31</f>
        <v>000-1110-00</v>
      </c>
      <c r="H32" s="36"/>
      <c r="K32" t="str">
        <f>"""GP Direct"",""Fabrikam, Inc."",""GL20000"",""DEX_ROW_ID"",""12321"""</f>
        <v>"GP Direct","Fabrikam, Inc.","GL20000","DEX_ROW_ID","12321"</v>
      </c>
      <c r="L32" s="15">
        <v>42370</v>
      </c>
      <c r="M32">
        <v>2234</v>
      </c>
      <c r="N32" t="str">
        <f>"Kahn, Wendy B."</f>
        <v>Kahn, Wendy B.</v>
      </c>
      <c r="O32" t="str">
        <f>"10665"</f>
        <v>10665</v>
      </c>
      <c r="P32" t="str">
        <f>"Payroll Computer Checks"</f>
        <v>Payroll Computer Checks</v>
      </c>
      <c r="Q32" s="21"/>
      <c r="R32" s="16">
        <v>0</v>
      </c>
      <c r="S32" s="16">
        <v>-537.66999999999996</v>
      </c>
      <c r="T32" s="19">
        <f t="shared" si="0"/>
        <v>-537.66999999999996</v>
      </c>
    </row>
    <row r="33" spans="1:20" x14ac:dyDescent="0.2">
      <c r="A33" s="28" t="s">
        <v>31</v>
      </c>
      <c r="B33" s="33"/>
      <c r="C33" s="33"/>
      <c r="F33" s="33">
        <f>F32</f>
        <v>2</v>
      </c>
      <c r="G33" s="33" t="str">
        <f>G32</f>
        <v>000-1110-00</v>
      </c>
      <c r="H33" s="36"/>
      <c r="K33" t="str">
        <f>"""GP Direct"",""Fabrikam, Inc."",""GL20000"",""DEX_ROW_ID"",""12331"""</f>
        <v>"GP Direct","Fabrikam, Inc.","GL20000","DEX_ROW_ID","12331"</v>
      </c>
      <c r="L33" s="15">
        <v>42370</v>
      </c>
      <c r="M33">
        <v>2235</v>
      </c>
      <c r="N33" t="str">
        <f>"Kennedy, Kevin"</f>
        <v>Kennedy, Kevin</v>
      </c>
      <c r="O33" t="str">
        <f>"10666"</f>
        <v>10666</v>
      </c>
      <c r="P33" t="str">
        <f>"Payroll Computer Checks"</f>
        <v>Payroll Computer Checks</v>
      </c>
      <c r="Q33" s="21"/>
      <c r="R33" s="16">
        <v>0</v>
      </c>
      <c r="S33" s="16">
        <v>-783.55</v>
      </c>
      <c r="T33" s="19">
        <f t="shared" si="0"/>
        <v>-783.55</v>
      </c>
    </row>
    <row r="34" spans="1:20" x14ac:dyDescent="0.2">
      <c r="A34" s="28" t="s">
        <v>31</v>
      </c>
      <c r="B34" s="33"/>
      <c r="C34" s="33"/>
      <c r="F34" s="33">
        <f>F33</f>
        <v>2</v>
      </c>
      <c r="G34" s="33" t="str">
        <f>G33</f>
        <v>000-1110-00</v>
      </c>
      <c r="H34" s="36"/>
      <c r="K34" t="str">
        <f>"""GP Direct"",""Fabrikam, Inc."",""GL20000"",""DEX_ROW_ID"",""12339"""</f>
        <v>"GP Direct","Fabrikam, Inc.","GL20000","DEX_ROW_ID","12339"</v>
      </c>
      <c r="L34" s="15">
        <v>42370</v>
      </c>
      <c r="M34">
        <v>2236</v>
      </c>
      <c r="N34" t="str">
        <f>"Levy, Steven B."</f>
        <v>Levy, Steven B.</v>
      </c>
      <c r="O34" t="str">
        <f>"10667"</f>
        <v>10667</v>
      </c>
      <c r="P34" t="str">
        <f>"Payroll Computer Checks"</f>
        <v>Payroll Computer Checks</v>
      </c>
      <c r="Q34" s="21"/>
      <c r="R34" s="16">
        <v>0</v>
      </c>
      <c r="S34" s="16">
        <v>-925.43</v>
      </c>
      <c r="T34" s="19">
        <f t="shared" si="0"/>
        <v>-925.43</v>
      </c>
    </row>
    <row r="35" spans="1:20" x14ac:dyDescent="0.2">
      <c r="A35" s="28" t="s">
        <v>31</v>
      </c>
      <c r="B35" s="33"/>
      <c r="C35" s="33"/>
      <c r="F35" s="33">
        <f>F34</f>
        <v>2</v>
      </c>
      <c r="G35" s="33" t="str">
        <f>G34</f>
        <v>000-1110-00</v>
      </c>
      <c r="H35" s="36"/>
      <c r="K35" t="str">
        <f>"""GP Direct"",""Fabrikam, Inc."",""GL20000"",""DEX_ROW_ID"",""12349"""</f>
        <v>"GP Direct","Fabrikam, Inc.","GL20000","DEX_ROW_ID","12349"</v>
      </c>
      <c r="L35" s="15">
        <v>42370</v>
      </c>
      <c r="M35">
        <v>2237</v>
      </c>
      <c r="N35" t="str">
        <f>"Lyon, Robert"</f>
        <v>Lyon, Robert</v>
      </c>
      <c r="O35" t="str">
        <f>"10668"</f>
        <v>10668</v>
      </c>
      <c r="P35" t="str">
        <f>"Payroll Computer Checks"</f>
        <v>Payroll Computer Checks</v>
      </c>
      <c r="Q35" s="21"/>
      <c r="R35" s="16">
        <v>0</v>
      </c>
      <c r="S35" s="16">
        <v>-567.61</v>
      </c>
      <c r="T35" s="19">
        <f t="shared" si="0"/>
        <v>-567.61</v>
      </c>
    </row>
    <row r="36" spans="1:20" x14ac:dyDescent="0.2">
      <c r="A36" s="28" t="s">
        <v>31</v>
      </c>
      <c r="B36" s="33"/>
      <c r="C36" s="33"/>
      <c r="F36" s="33">
        <f>F35</f>
        <v>2</v>
      </c>
      <c r="G36" s="33" t="str">
        <f>G35</f>
        <v>000-1110-00</v>
      </c>
      <c r="H36" s="36"/>
      <c r="K36" t="str">
        <f>"""GP Direct"",""Fabrikam, Inc."",""GL20000"",""DEX_ROW_ID"",""12352"""</f>
        <v>"GP Direct","Fabrikam, Inc.","GL20000","DEX_ROW_ID","12352"</v>
      </c>
      <c r="L36" s="15">
        <v>42370</v>
      </c>
      <c r="M36">
        <v>2238</v>
      </c>
      <c r="N36" t="str">
        <f>"Lysaker, Jenny"</f>
        <v>Lysaker, Jenny</v>
      </c>
      <c r="O36" t="str">
        <f>"10669"</f>
        <v>10669</v>
      </c>
      <c r="P36" t="str">
        <f>"Payroll Computer Checks"</f>
        <v>Payroll Computer Checks</v>
      </c>
      <c r="Q36" s="21"/>
      <c r="R36" s="16">
        <v>0</v>
      </c>
      <c r="S36" s="16">
        <v>-562.66</v>
      </c>
      <c r="T36" s="19">
        <f t="shared" si="0"/>
        <v>-562.66</v>
      </c>
    </row>
    <row r="37" spans="1:20" x14ac:dyDescent="0.2">
      <c r="A37" s="28" t="s">
        <v>31</v>
      </c>
      <c r="B37" s="33"/>
      <c r="C37" s="33"/>
      <c r="F37" s="33">
        <f>F36</f>
        <v>2</v>
      </c>
      <c r="G37" s="33" t="str">
        <f>G36</f>
        <v>000-1110-00</v>
      </c>
      <c r="H37" s="36"/>
      <c r="K37" t="str">
        <f>"""GP Direct"",""Fabrikam, Inc."",""GL20000"",""DEX_ROW_ID"",""12368"""</f>
        <v>"GP Direct","Fabrikam, Inc.","GL20000","DEX_ROW_ID","12368"</v>
      </c>
      <c r="L37" s="15">
        <v>42370</v>
      </c>
      <c r="M37">
        <v>2239</v>
      </c>
      <c r="N37" t="str">
        <f>"Martinez, Sandra I."</f>
        <v>Martinez, Sandra I.</v>
      </c>
      <c r="O37" t="str">
        <f>"10670"</f>
        <v>10670</v>
      </c>
      <c r="P37" t="str">
        <f>"Payroll Computer Checks"</f>
        <v>Payroll Computer Checks</v>
      </c>
      <c r="Q37" s="21"/>
      <c r="R37" s="16">
        <v>0</v>
      </c>
      <c r="S37" s="16">
        <v>-619.99</v>
      </c>
      <c r="T37" s="19">
        <f t="shared" si="0"/>
        <v>-619.99</v>
      </c>
    </row>
    <row r="38" spans="1:20" x14ac:dyDescent="0.2">
      <c r="A38" s="28" t="s">
        <v>31</v>
      </c>
      <c r="B38" s="33"/>
      <c r="C38" s="33"/>
      <c r="F38" s="33">
        <f>F37</f>
        <v>2</v>
      </c>
      <c r="G38" s="33" t="str">
        <f>G37</f>
        <v>000-1110-00</v>
      </c>
      <c r="H38" s="36"/>
      <c r="K38" t="str">
        <f>"""GP Direct"",""Fabrikam, Inc."",""GL20000"",""DEX_ROW_ID"",""12373"""</f>
        <v>"GP Direct","Fabrikam, Inc.","GL20000","DEX_ROW_ID","12373"</v>
      </c>
      <c r="L38" s="15">
        <v>42370</v>
      </c>
      <c r="M38">
        <v>2240</v>
      </c>
      <c r="N38" t="str">
        <f>"Mughal, Salmon"</f>
        <v>Mughal, Salmon</v>
      </c>
      <c r="O38" t="str">
        <f>"10671"</f>
        <v>10671</v>
      </c>
      <c r="P38" t="str">
        <f>"Payroll Computer Checks"</f>
        <v>Payroll Computer Checks</v>
      </c>
      <c r="Q38" s="21"/>
      <c r="R38" s="16">
        <v>0</v>
      </c>
      <c r="S38" s="16">
        <v>-543.37</v>
      </c>
      <c r="T38" s="19">
        <f t="shared" si="0"/>
        <v>-543.37</v>
      </c>
    </row>
    <row r="39" spans="1:20" x14ac:dyDescent="0.2">
      <c r="A39" s="28" t="s">
        <v>31</v>
      </c>
      <c r="B39" s="33"/>
      <c r="C39" s="33"/>
      <c r="F39" s="33">
        <f>F38</f>
        <v>2</v>
      </c>
      <c r="G39" s="33" t="str">
        <f>G38</f>
        <v>000-1110-00</v>
      </c>
      <c r="H39" s="36"/>
      <c r="K39" t="str">
        <f>"""GP Direct"",""Fabrikam, Inc."",""GL20000"",""DEX_ROW_ID"",""12379"""</f>
        <v>"GP Direct","Fabrikam, Inc.","GL20000","DEX_ROW_ID","12379"</v>
      </c>
      <c r="L39" s="15">
        <v>42370</v>
      </c>
      <c r="M39">
        <v>2241</v>
      </c>
      <c r="N39" t="str">
        <f>"Nagata, Suanne"</f>
        <v>Nagata, Suanne</v>
      </c>
      <c r="O39" t="str">
        <f>"10672"</f>
        <v>10672</v>
      </c>
      <c r="P39" t="str">
        <f>"Payroll Computer Checks"</f>
        <v>Payroll Computer Checks</v>
      </c>
      <c r="Q39" s="21"/>
      <c r="R39" s="16">
        <v>0</v>
      </c>
      <c r="S39" s="16">
        <v>-655.5</v>
      </c>
      <c r="T39" s="19">
        <f t="shared" si="0"/>
        <v>-655.5</v>
      </c>
    </row>
    <row r="40" spans="1:20" x14ac:dyDescent="0.2">
      <c r="A40" s="28" t="s">
        <v>31</v>
      </c>
      <c r="B40" s="33"/>
      <c r="C40" s="33"/>
      <c r="F40" s="33">
        <f>F39</f>
        <v>2</v>
      </c>
      <c r="G40" s="33" t="str">
        <f>G39</f>
        <v>000-1110-00</v>
      </c>
      <c r="H40" s="36"/>
      <c r="K40" t="str">
        <f>"""GP Direct"",""Fabrikam, Inc."",""GL20000"",""DEX_ROW_ID"",""12388"""</f>
        <v>"GP Direct","Fabrikam, Inc.","GL20000","DEX_ROW_ID","12388"</v>
      </c>
      <c r="L40" s="15">
        <v>42370</v>
      </c>
      <c r="M40">
        <v>2242</v>
      </c>
      <c r="N40" t="str">
        <f>"Reeves, Randy"</f>
        <v>Reeves, Randy</v>
      </c>
      <c r="O40" t="str">
        <f>"10673"</f>
        <v>10673</v>
      </c>
      <c r="P40" t="str">
        <f>"Payroll Computer Checks"</f>
        <v>Payroll Computer Checks</v>
      </c>
      <c r="Q40" s="21"/>
      <c r="R40" s="16">
        <v>0</v>
      </c>
      <c r="S40" s="16">
        <v>-806.91</v>
      </c>
      <c r="T40" s="19">
        <f t="shared" si="0"/>
        <v>-806.91</v>
      </c>
    </row>
    <row r="41" spans="1:20" x14ac:dyDescent="0.2">
      <c r="A41" s="28" t="s">
        <v>31</v>
      </c>
      <c r="B41" s="33"/>
      <c r="C41" s="33"/>
      <c r="F41" s="33">
        <f>F40</f>
        <v>2</v>
      </c>
      <c r="G41" s="33" t="str">
        <f>G40</f>
        <v>000-1110-00</v>
      </c>
      <c r="H41" s="36"/>
      <c r="K41" t="str">
        <f>"""GP Direct"",""Fabrikam, Inc."",""GL20000"",""DEX_ROW_ID"",""12402"""</f>
        <v>"GP Direct","Fabrikam, Inc.","GL20000","DEX_ROW_ID","12402"</v>
      </c>
      <c r="L41" s="15">
        <v>42370</v>
      </c>
      <c r="M41">
        <v>2243</v>
      </c>
      <c r="N41" t="str">
        <f>"Stewart, Jim"</f>
        <v>Stewart, Jim</v>
      </c>
      <c r="O41" t="str">
        <f>"10674"</f>
        <v>10674</v>
      </c>
      <c r="P41" t="str">
        <f>"Payroll Computer Checks"</f>
        <v>Payroll Computer Checks</v>
      </c>
      <c r="Q41" s="21"/>
      <c r="R41" s="16">
        <v>0</v>
      </c>
      <c r="S41" s="16">
        <v>-1381.18</v>
      </c>
      <c r="T41" s="19">
        <f t="shared" si="0"/>
        <v>-1381.18</v>
      </c>
    </row>
    <row r="42" spans="1:20" x14ac:dyDescent="0.2">
      <c r="A42" s="28" t="s">
        <v>31</v>
      </c>
      <c r="B42" s="33"/>
      <c r="C42" s="33"/>
      <c r="F42" s="33">
        <f>F41</f>
        <v>2</v>
      </c>
      <c r="G42" s="33" t="str">
        <f>G41</f>
        <v>000-1110-00</v>
      </c>
      <c r="H42" s="36"/>
      <c r="K42" t="str">
        <f>"""GP Direct"",""Fabrikam, Inc."",""GL20000"",""DEX_ROW_ID"",""12411"""</f>
        <v>"GP Direct","Fabrikam, Inc.","GL20000","DEX_ROW_ID","12411"</v>
      </c>
      <c r="L42" s="15">
        <v>42370</v>
      </c>
      <c r="M42">
        <v>2244</v>
      </c>
      <c r="N42" t="str">
        <f>"Tiano, Mike"</f>
        <v>Tiano, Mike</v>
      </c>
      <c r="O42" t="str">
        <f>"10675"</f>
        <v>10675</v>
      </c>
      <c r="P42" t="str">
        <f>"Payroll Computer Checks"</f>
        <v>Payroll Computer Checks</v>
      </c>
      <c r="Q42" s="21"/>
      <c r="R42" s="16">
        <v>0</v>
      </c>
      <c r="S42" s="16">
        <v>-931.14</v>
      </c>
      <c r="T42" s="19">
        <f t="shared" si="0"/>
        <v>-931.14</v>
      </c>
    </row>
    <row r="43" spans="1:20" x14ac:dyDescent="0.2">
      <c r="A43" s="28" t="s">
        <v>31</v>
      </c>
      <c r="B43" s="33"/>
      <c r="C43" s="33"/>
      <c r="F43" s="33">
        <f>F42</f>
        <v>2</v>
      </c>
      <c r="G43" s="33" t="str">
        <f>G42</f>
        <v>000-1110-00</v>
      </c>
      <c r="H43" s="36"/>
      <c r="K43" t="str">
        <f>"""GP Direct"",""Fabrikam, Inc."",""GL20000"",""DEX_ROW_ID"",""12416"""</f>
        <v>"GP Direct","Fabrikam, Inc.","GL20000","DEX_ROW_ID","12416"</v>
      </c>
      <c r="L43" s="15">
        <v>42370</v>
      </c>
      <c r="M43">
        <v>2245</v>
      </c>
      <c r="N43" t="str">
        <f>"Tibbott, Diane"</f>
        <v>Tibbott, Diane</v>
      </c>
      <c r="O43" t="str">
        <f>"10676"</f>
        <v>10676</v>
      </c>
      <c r="P43" t="str">
        <f>"Payroll Computer Checks"</f>
        <v>Payroll Computer Checks</v>
      </c>
      <c r="Q43" s="21"/>
      <c r="R43" s="16">
        <v>0</v>
      </c>
      <c r="S43" s="16">
        <v>-683.86</v>
      </c>
      <c r="T43" s="19">
        <f t="shared" si="0"/>
        <v>-683.86</v>
      </c>
    </row>
    <row r="44" spans="1:20" x14ac:dyDescent="0.2">
      <c r="A44" s="28" t="s">
        <v>31</v>
      </c>
      <c r="B44" s="33"/>
      <c r="C44" s="33"/>
      <c r="F44" s="33">
        <f>F43</f>
        <v>2</v>
      </c>
      <c r="G44" s="33" t="str">
        <f>G43</f>
        <v>000-1110-00</v>
      </c>
      <c r="H44" s="36"/>
      <c r="K44" t="str">
        <f>"""GP Direct"",""Fabrikam, Inc."",""GL20000"",""DEX_ROW_ID"",""12426"""</f>
        <v>"GP Direct","Fabrikam, Inc.","GL20000","DEX_ROW_ID","12426"</v>
      </c>
      <c r="L44" s="15">
        <v>42370</v>
      </c>
      <c r="M44">
        <v>2246</v>
      </c>
      <c r="N44" t="str">
        <f>"West, Paul"</f>
        <v>West, Paul</v>
      </c>
      <c r="O44" t="str">
        <f>"10677"</f>
        <v>10677</v>
      </c>
      <c r="P44" t="str">
        <f>"Payroll Computer Checks"</f>
        <v>Payroll Computer Checks</v>
      </c>
      <c r="Q44" s="21"/>
      <c r="R44" s="16">
        <v>0</v>
      </c>
      <c r="S44" s="16">
        <v>-782.68</v>
      </c>
      <c r="T44" s="19">
        <f t="shared" si="0"/>
        <v>-782.68</v>
      </c>
    </row>
    <row r="45" spans="1:20" x14ac:dyDescent="0.2">
      <c r="A45" s="28" t="s">
        <v>31</v>
      </c>
      <c r="B45" s="33"/>
      <c r="C45" s="33"/>
      <c r="F45" s="33">
        <f>F44</f>
        <v>2</v>
      </c>
      <c r="G45" s="33" t="str">
        <f>G44</f>
        <v>000-1110-00</v>
      </c>
      <c r="H45" s="36"/>
      <c r="K45" t="str">
        <f>"""GP Direct"",""Fabrikam, Inc."",""GL20000"",""DEX_ROW_ID"",""12436"""</f>
        <v>"GP Direct","Fabrikam, Inc.","GL20000","DEX_ROW_ID","12436"</v>
      </c>
      <c r="L45" s="15">
        <v>42370</v>
      </c>
      <c r="M45">
        <v>2247</v>
      </c>
      <c r="N45" t="str">
        <f>"Young, Rob"</f>
        <v>Young, Rob</v>
      </c>
      <c r="O45" t="str">
        <f>"10678"</f>
        <v>10678</v>
      </c>
      <c r="P45" t="str">
        <f>"Payroll Computer Checks"</f>
        <v>Payroll Computer Checks</v>
      </c>
      <c r="Q45" s="21"/>
      <c r="R45" s="16">
        <v>0</v>
      </c>
      <c r="S45" s="16">
        <v>-667.1</v>
      </c>
      <c r="T45" s="19">
        <f t="shared" si="0"/>
        <v>-667.1</v>
      </c>
    </row>
    <row r="46" spans="1:20" x14ac:dyDescent="0.2">
      <c r="B46" s="33"/>
      <c r="C46" s="33"/>
      <c r="F46" s="33">
        <f>F18</f>
        <v>2</v>
      </c>
      <c r="G46" s="33" t="str">
        <f>G18</f>
        <v>000-1110-00</v>
      </c>
      <c r="H46" s="36"/>
    </row>
    <row r="47" spans="1:20" x14ac:dyDescent="0.2">
      <c r="I47" s="37" t="str">
        <f>I16&amp;"   "&amp;J16&amp;"         Total:"</f>
        <v>000-1110-00   Cash - Payroll         Total:</v>
      </c>
      <c r="J47" s="37"/>
      <c r="K47" s="37"/>
      <c r="L47" s="37"/>
      <c r="M47" s="37"/>
      <c r="N47" s="37"/>
      <c r="O47" s="37"/>
      <c r="P47" s="37"/>
      <c r="Q47" s="37"/>
      <c r="R47" s="37"/>
      <c r="S47" s="37"/>
      <c r="T47" s="23">
        <f>SUBTOTAL(9,T17:T46)</f>
        <v>-30697.159999999993</v>
      </c>
    </row>
    <row r="49" spans="1:20" x14ac:dyDescent="0.2">
      <c r="A49" s="28" t="s">
        <v>31</v>
      </c>
      <c r="D49" s="28" t="str">
        <f>"||""Filter"",""GL20000"",""ACTINDX"",""TRXDATE"",""1/1/2016..1/31/2016"",""ACTINDX"",""||""""Filter"""",""""GL00105"""",""""ACTINDX"""",""""ACTNUMBR_1"""",""""*"""",""""ACTNUMBR_2"""",""""*"""",""""ACTNUMBR_3"""",""""*"""","""""""","""""""","""""""","""""""","""""""","""""""","""""""","""""""","""""""","""""""","""""""","""""""","""""""","""""""""","""","""","""","""&amp;""","""","""","""","""","""","""","""","""","""","""","""","""""</f>
        <v>||"Filter","GL20000","ACTINDX","TRXDATE","1/1/2016..1/31/2016","ACTINDX","||""Filter"",""GL00105"",""ACTINDX"",""ACTNUMBR_1"",""*"",""ACTNUMBR_2"",""*"",""ACTNUMBR_3"",""*"","""","""","""","""","""","""","""","""","""","""","""","""","""",""""","","","","","","","","","","","","","","","",""</v>
      </c>
      <c r="E49" s="28" t="str">
        <f>"||""Filter"",""GL30000"",""ACTINDX"",""TRXDATE"",""1/1/2016..1/31/2016"",""ACTINDX"",""||""""Filter"""",""""GL00105"""",""""ACTINDX"""",""""ACTNUMBR_1"""",""""*"""",""""ACTNUMBR_2"""",""""*"""",""""ACTNUMBR_3"""",""""*"""","""""""","""""""","""""""","""""""","""""""","""""""","""""""","""""""","""""""","""""""","""""""","""""""","""""""","""""""""","""","""","""","""&amp;""","""","""","""","""","""","""","""","""","""","""","""","""""</f>
        <v>||"Filter","GL30000","ACTINDX","TRXDATE","1/1/2016..1/31/2016","ACTINDX","||""Filter"",""GL00105"",""ACTINDX"",""ACTNUMBR_1"",""*"",""ACTNUMBR_2"",""*"",""ACTNUMBR_3"",""*"","""","""","""","""","""","""","""","""","""","""","""","""","""",""""","","","","","","","","","","","","","","","",""</v>
      </c>
      <c r="F49" s="28">
        <v>6</v>
      </c>
      <c r="G49" s="28" t="str">
        <f>"000-1200-00"</f>
        <v>000-1200-00</v>
      </c>
      <c r="I49" s="17" t="str">
        <f>G49</f>
        <v>000-1200-00</v>
      </c>
      <c r="J49" s="17" t="str">
        <f>"Accounts Receivable"</f>
        <v>Accounts Receivable</v>
      </c>
      <c r="Q49" s="17"/>
      <c r="R49" s="18"/>
    </row>
    <row r="50" spans="1:20" x14ac:dyDescent="0.2">
      <c r="A50" s="28" t="s">
        <v>31</v>
      </c>
      <c r="B50" s="33"/>
      <c r="C50" s="33"/>
      <c r="F50" s="33">
        <f>F49</f>
        <v>6</v>
      </c>
      <c r="G50" s="33" t="str">
        <f>G49</f>
        <v>000-1200-00</v>
      </c>
      <c r="H50" s="36"/>
      <c r="L50" s="15"/>
      <c r="Q50" s="21"/>
      <c r="R50" s="16"/>
      <c r="S50" s="16">
        <f>IF($K50="",0,-_xll.NF($K50,"CRDTAMNT"))</f>
        <v>0</v>
      </c>
      <c r="T50" s="19">
        <f t="shared" ref="T50:T51" si="1">SUM(R50:S50)</f>
        <v>0</v>
      </c>
    </row>
    <row r="51" spans="1:20" x14ac:dyDescent="0.2">
      <c r="A51" s="28" t="s">
        <v>31</v>
      </c>
      <c r="B51" s="33"/>
      <c r="C51" s="33"/>
      <c r="F51" s="33">
        <f>F50</f>
        <v>6</v>
      </c>
      <c r="G51" s="33" t="str">
        <f>G50</f>
        <v>000-1200-00</v>
      </c>
      <c r="H51" s="36"/>
      <c r="K51" t="str">
        <f>"""GP Direct"",""Fabrikam, Inc."",""GL20000"",""DEX_ROW_ID"",""3843"""</f>
        <v>"GP Direct","Fabrikam, Inc.","GL20000","DEX_ROW_ID","3843"</v>
      </c>
      <c r="L51" s="15">
        <v>42370</v>
      </c>
      <c r="M51">
        <v>951</v>
      </c>
      <c r="N51" t="str">
        <f>"Contoso, Ltd."</f>
        <v>Contoso, Ltd.</v>
      </c>
      <c r="O51" t="str">
        <f>"STDINV2000"</f>
        <v>STDINV2000</v>
      </c>
      <c r="P51" t="str">
        <f>"Sales Transaction Entry"</f>
        <v>Sales Transaction Entry</v>
      </c>
      <c r="Q51" s="21" t="str">
        <f>"Accounts Receivable"</f>
        <v>Accounts Receivable</v>
      </c>
      <c r="R51" s="16">
        <v>3049.75</v>
      </c>
      <c r="S51" s="16">
        <v>0</v>
      </c>
      <c r="T51" s="19">
        <f t="shared" si="1"/>
        <v>3049.75</v>
      </c>
    </row>
    <row r="52" spans="1:20" x14ac:dyDescent="0.2">
      <c r="A52" s="28" t="s">
        <v>31</v>
      </c>
      <c r="B52" s="33"/>
      <c r="C52" s="33"/>
      <c r="F52" s="33">
        <f>F51</f>
        <v>6</v>
      </c>
      <c r="G52" s="33" t="str">
        <f>G51</f>
        <v>000-1200-00</v>
      </c>
      <c r="H52" s="36"/>
      <c r="K52" t="str">
        <f>"""GP Direct"",""Fabrikam, Inc."",""GL20000"",""DEX_ROW_ID"",""3851"""</f>
        <v>"GP Direct","Fabrikam, Inc.","GL20000","DEX_ROW_ID","3851"</v>
      </c>
      <c r="L52" s="15">
        <v>42371</v>
      </c>
      <c r="M52">
        <v>953</v>
      </c>
      <c r="N52" t="str">
        <f>"American Science Museum"</f>
        <v>American Science Museum</v>
      </c>
      <c r="O52" t="str">
        <f>"STDINV2001"</f>
        <v>STDINV2001</v>
      </c>
      <c r="P52" t="str">
        <f>"Sales Transaction Entry"</f>
        <v>Sales Transaction Entry</v>
      </c>
      <c r="Q52" s="21" t="str">
        <f>"Accounts Receivable"</f>
        <v>Accounts Receivable</v>
      </c>
      <c r="R52" s="16">
        <v>1139.7</v>
      </c>
      <c r="S52" s="16">
        <v>0</v>
      </c>
      <c r="T52" s="19">
        <f t="shared" ref="T52:T87" si="2">SUM(R52:S52)</f>
        <v>1139.7</v>
      </c>
    </row>
    <row r="53" spans="1:20" x14ac:dyDescent="0.2">
      <c r="A53" s="28" t="s">
        <v>31</v>
      </c>
      <c r="B53" s="33"/>
      <c r="C53" s="33"/>
      <c r="F53" s="33">
        <f>F52</f>
        <v>6</v>
      </c>
      <c r="G53" s="33" t="str">
        <f>G52</f>
        <v>000-1200-00</v>
      </c>
      <c r="H53" s="36"/>
      <c r="K53" t="str">
        <f>"""GP Direct"",""Fabrikam, Inc."",""GL20000"",""DEX_ROW_ID"",""3859"""</f>
        <v>"GP Direct","Fabrikam, Inc.","GL20000","DEX_ROW_ID","3859"</v>
      </c>
      <c r="L53" s="15">
        <v>42372</v>
      </c>
      <c r="M53">
        <v>955</v>
      </c>
      <c r="N53" t="str">
        <f>"Aaron Fitz Electrical"</f>
        <v>Aaron Fitz Electrical</v>
      </c>
      <c r="O53" t="str">
        <f>"STDINV2002"</f>
        <v>STDINV2002</v>
      </c>
      <c r="P53" t="str">
        <f>"Sales Transaction Entry"</f>
        <v>Sales Transaction Entry</v>
      </c>
      <c r="Q53" s="21" t="str">
        <f>"Accounts Receivable"</f>
        <v>Accounts Receivable</v>
      </c>
      <c r="R53" s="16">
        <v>1139.7</v>
      </c>
      <c r="S53" s="16">
        <v>0</v>
      </c>
      <c r="T53" s="19">
        <f t="shared" si="2"/>
        <v>1139.7</v>
      </c>
    </row>
    <row r="54" spans="1:20" x14ac:dyDescent="0.2">
      <c r="A54" s="28" t="s">
        <v>31</v>
      </c>
      <c r="B54" s="33"/>
      <c r="C54" s="33"/>
      <c r="F54" s="33">
        <f>F53</f>
        <v>6</v>
      </c>
      <c r="G54" s="33" t="str">
        <f>G53</f>
        <v>000-1200-00</v>
      </c>
      <c r="H54" s="36"/>
      <c r="K54" t="str">
        <f>"""GP Direct"",""Fabrikam, Inc."",""GL20000"",""DEX_ROW_ID"",""3867"""</f>
        <v>"GP Direct","Fabrikam, Inc.","GL20000","DEX_ROW_ID","3867"</v>
      </c>
      <c r="L54" s="15">
        <v>42372</v>
      </c>
      <c r="M54">
        <v>957</v>
      </c>
      <c r="N54" t="str">
        <f>"Advanced Paper Co."</f>
        <v>Advanced Paper Co.</v>
      </c>
      <c r="O54" t="str">
        <f>"STDINV2003"</f>
        <v>STDINV2003</v>
      </c>
      <c r="P54" t="str">
        <f>"Sales Transaction Entry"</f>
        <v>Sales Transaction Entry</v>
      </c>
      <c r="Q54" s="21" t="str">
        <f>"Accounts Receivable"</f>
        <v>Accounts Receivable</v>
      </c>
      <c r="R54" s="16">
        <v>479.8</v>
      </c>
      <c r="S54" s="16">
        <v>0</v>
      </c>
      <c r="T54" s="19">
        <f t="shared" si="2"/>
        <v>479.8</v>
      </c>
    </row>
    <row r="55" spans="1:20" x14ac:dyDescent="0.2">
      <c r="A55" s="28" t="s">
        <v>31</v>
      </c>
      <c r="B55" s="33"/>
      <c r="C55" s="33"/>
      <c r="F55" s="33">
        <f>F54</f>
        <v>6</v>
      </c>
      <c r="G55" s="33" t="str">
        <f>G54</f>
        <v>000-1200-00</v>
      </c>
      <c r="H55" s="36"/>
      <c r="K55" t="str">
        <f>"""GP Direct"",""Fabrikam, Inc."",""GL20000"",""DEX_ROW_ID"",""3875"""</f>
        <v>"GP Direct","Fabrikam, Inc.","GL20000","DEX_ROW_ID","3875"</v>
      </c>
      <c r="L55" s="15">
        <v>42373</v>
      </c>
      <c r="M55">
        <v>959</v>
      </c>
      <c r="N55" t="str">
        <f>"Riverside University"</f>
        <v>Riverside University</v>
      </c>
      <c r="O55" t="str">
        <f>"STDINV2004"</f>
        <v>STDINV2004</v>
      </c>
      <c r="P55" t="str">
        <f>"Sales Transaction Entry"</f>
        <v>Sales Transaction Entry</v>
      </c>
      <c r="Q55" s="21" t="str">
        <f>"Accounts Receivable"</f>
        <v>Accounts Receivable</v>
      </c>
      <c r="R55" s="16">
        <v>379.9</v>
      </c>
      <c r="S55" s="16">
        <v>0</v>
      </c>
      <c r="T55" s="19">
        <f t="shared" si="2"/>
        <v>379.9</v>
      </c>
    </row>
    <row r="56" spans="1:20" x14ac:dyDescent="0.2">
      <c r="A56" s="28" t="s">
        <v>31</v>
      </c>
      <c r="B56" s="33"/>
      <c r="C56" s="33"/>
      <c r="F56" s="33">
        <f>F55</f>
        <v>6</v>
      </c>
      <c r="G56" s="33" t="str">
        <f>G55</f>
        <v>000-1200-00</v>
      </c>
      <c r="H56" s="36"/>
      <c r="K56" t="str">
        <f>"""GP Direct"",""Fabrikam, Inc."",""GL20000"",""DEX_ROW_ID"",""3883"""</f>
        <v>"GP Direct","Fabrikam, Inc.","GL20000","DEX_ROW_ID","3883"</v>
      </c>
      <c r="L56" s="15">
        <v>42374</v>
      </c>
      <c r="M56">
        <v>961</v>
      </c>
      <c r="N56" t="str">
        <f>"Aaron Fitz Electrical"</f>
        <v>Aaron Fitz Electrical</v>
      </c>
      <c r="O56" t="str">
        <f>"STDINV2005"</f>
        <v>STDINV2005</v>
      </c>
      <c r="P56" t="str">
        <f>"Sales Transaction Entry"</f>
        <v>Sales Transaction Entry</v>
      </c>
      <c r="Q56" s="21" t="str">
        <f>"Accounts Receivable"</f>
        <v>Accounts Receivable</v>
      </c>
      <c r="R56" s="16">
        <v>959.95</v>
      </c>
      <c r="S56" s="16">
        <v>0</v>
      </c>
      <c r="T56" s="19">
        <f t="shared" si="2"/>
        <v>959.95</v>
      </c>
    </row>
    <row r="57" spans="1:20" x14ac:dyDescent="0.2">
      <c r="A57" s="28" t="s">
        <v>31</v>
      </c>
      <c r="B57" s="33"/>
      <c r="C57" s="33"/>
      <c r="F57" s="33">
        <f>F56</f>
        <v>6</v>
      </c>
      <c r="G57" s="33" t="str">
        <f>G56</f>
        <v>000-1200-00</v>
      </c>
      <c r="H57" s="36"/>
      <c r="K57" t="str">
        <f>"""GP Direct"",""Fabrikam, Inc."",""GL20000"",""DEX_ROW_ID"",""3891"""</f>
        <v>"GP Direct","Fabrikam, Inc.","GL20000","DEX_ROW_ID","3891"</v>
      </c>
      <c r="L57" s="15">
        <v>42374</v>
      </c>
      <c r="M57">
        <v>963</v>
      </c>
      <c r="N57" t="str">
        <f>"Aaron Fitz Electrical"</f>
        <v>Aaron Fitz Electrical</v>
      </c>
      <c r="O57" t="str">
        <f>"STDINV2006"</f>
        <v>STDINV2006</v>
      </c>
      <c r="P57" t="str">
        <f>"Sales Transaction Entry"</f>
        <v>Sales Transaction Entry</v>
      </c>
      <c r="Q57" s="21" t="str">
        <f>"Accounts Receivable"</f>
        <v>Accounts Receivable</v>
      </c>
      <c r="R57" s="16">
        <v>399.75</v>
      </c>
      <c r="S57" s="16">
        <v>0</v>
      </c>
      <c r="T57" s="19">
        <f t="shared" si="2"/>
        <v>399.75</v>
      </c>
    </row>
    <row r="58" spans="1:20" x14ac:dyDescent="0.2">
      <c r="A58" s="28" t="s">
        <v>31</v>
      </c>
      <c r="B58" s="33"/>
      <c r="C58" s="33"/>
      <c r="F58" s="33">
        <f>F57</f>
        <v>6</v>
      </c>
      <c r="G58" s="33" t="str">
        <f>G57</f>
        <v>000-1200-00</v>
      </c>
      <c r="H58" s="36"/>
      <c r="K58" t="str">
        <f>"""GP Direct"",""Fabrikam, Inc."",""GL20000"",""DEX_ROW_ID"",""3899"""</f>
        <v>"GP Direct","Fabrikam, Inc.","GL20000","DEX_ROW_ID","3899"</v>
      </c>
      <c r="L58" s="15">
        <v>42375</v>
      </c>
      <c r="M58">
        <v>965</v>
      </c>
      <c r="N58" t="str">
        <f>"Plaza One"</f>
        <v>Plaza One</v>
      </c>
      <c r="O58" t="str">
        <f>"STDINV2007"</f>
        <v>STDINV2007</v>
      </c>
      <c r="P58" t="str">
        <f>"Sales Transaction Entry"</f>
        <v>Sales Transaction Entry</v>
      </c>
      <c r="Q58" s="21" t="str">
        <f>"Accounts Receivable"</f>
        <v>Accounts Receivable</v>
      </c>
      <c r="R58" s="16">
        <v>299.89999999999998</v>
      </c>
      <c r="S58" s="16">
        <v>0</v>
      </c>
      <c r="T58" s="19">
        <f t="shared" si="2"/>
        <v>299.89999999999998</v>
      </c>
    </row>
    <row r="59" spans="1:20" x14ac:dyDescent="0.2">
      <c r="A59" s="28" t="s">
        <v>31</v>
      </c>
      <c r="B59" s="33"/>
      <c r="C59" s="33"/>
      <c r="F59" s="33">
        <f>F58</f>
        <v>6</v>
      </c>
      <c r="G59" s="33" t="str">
        <f>G58</f>
        <v>000-1200-00</v>
      </c>
      <c r="H59" s="36"/>
      <c r="K59" t="str">
        <f>"""GP Direct"",""Fabrikam, Inc."",""GL20000"",""DEX_ROW_ID"",""3907"""</f>
        <v>"GP Direct","Fabrikam, Inc.","GL20000","DEX_ROW_ID","3907"</v>
      </c>
      <c r="L59" s="15">
        <v>42375</v>
      </c>
      <c r="M59">
        <v>967</v>
      </c>
      <c r="N59" t="str">
        <f>"Londonberry Nursing Home"</f>
        <v>Londonberry Nursing Home</v>
      </c>
      <c r="O59" t="str">
        <f>"STDINV2008"</f>
        <v>STDINV2008</v>
      </c>
      <c r="P59" t="str">
        <f>"Sales Transaction Entry"</f>
        <v>Sales Transaction Entry</v>
      </c>
      <c r="Q59" s="21" t="str">
        <f>"Accounts Receivable"</f>
        <v>Accounts Receivable</v>
      </c>
      <c r="R59" s="16">
        <v>359.85</v>
      </c>
      <c r="S59" s="16">
        <v>0</v>
      </c>
      <c r="T59" s="19">
        <f t="shared" si="2"/>
        <v>359.85</v>
      </c>
    </row>
    <row r="60" spans="1:20" x14ac:dyDescent="0.2">
      <c r="A60" s="28" t="s">
        <v>31</v>
      </c>
      <c r="B60" s="33"/>
      <c r="C60" s="33"/>
      <c r="F60" s="33">
        <f>F59</f>
        <v>6</v>
      </c>
      <c r="G60" s="33" t="str">
        <f>G59</f>
        <v>000-1200-00</v>
      </c>
      <c r="H60" s="36"/>
      <c r="K60" t="str">
        <f>"""GP Direct"",""Fabrikam, Inc."",""GL20000"",""DEX_ROW_ID"",""3915"""</f>
        <v>"GP Direct","Fabrikam, Inc.","GL20000","DEX_ROW_ID","3915"</v>
      </c>
      <c r="L60" s="15">
        <v>42376</v>
      </c>
      <c r="M60">
        <v>969</v>
      </c>
      <c r="N60" t="str">
        <f>"Midland Construction"</f>
        <v>Midland Construction</v>
      </c>
      <c r="O60" t="str">
        <f>"STDINV2009"</f>
        <v>STDINV2009</v>
      </c>
      <c r="P60" t="str">
        <f>"Sales Transaction Entry"</f>
        <v>Sales Transaction Entry</v>
      </c>
      <c r="Q60" s="21" t="str">
        <f>"Accounts Receivable"</f>
        <v>Accounts Receivable</v>
      </c>
      <c r="R60" s="16">
        <v>39.9</v>
      </c>
      <c r="S60" s="16">
        <v>0</v>
      </c>
      <c r="T60" s="19">
        <f t="shared" si="2"/>
        <v>39.9</v>
      </c>
    </row>
    <row r="61" spans="1:20" x14ac:dyDescent="0.2">
      <c r="A61" s="28" t="s">
        <v>31</v>
      </c>
      <c r="B61" s="33"/>
      <c r="C61" s="33"/>
      <c r="F61" s="33">
        <f>F60</f>
        <v>6</v>
      </c>
      <c r="G61" s="33" t="str">
        <f>G60</f>
        <v>000-1200-00</v>
      </c>
      <c r="H61" s="36"/>
      <c r="K61" t="str">
        <f>"""GP Direct"",""Fabrikam, Inc."",""GL20000"",""DEX_ROW_ID"",""3923"""</f>
        <v>"GP Direct","Fabrikam, Inc.","GL20000","DEX_ROW_ID","3923"</v>
      </c>
      <c r="L61" s="15">
        <v>42376</v>
      </c>
      <c r="M61">
        <v>971</v>
      </c>
      <c r="N61" t="str">
        <f>"Aaron Fitz Electrical"</f>
        <v>Aaron Fitz Electrical</v>
      </c>
      <c r="O61" t="str">
        <f>"STDINV2010"</f>
        <v>STDINV2010</v>
      </c>
      <c r="P61" t="str">
        <f>"Sales Transaction Entry"</f>
        <v>Sales Transaction Entry</v>
      </c>
      <c r="Q61" s="21" t="str">
        <f>"Accounts Receivable"</f>
        <v>Accounts Receivable</v>
      </c>
      <c r="R61" s="16">
        <v>379.9</v>
      </c>
      <c r="S61" s="16">
        <v>0</v>
      </c>
      <c r="T61" s="19">
        <f t="shared" si="2"/>
        <v>379.9</v>
      </c>
    </row>
    <row r="62" spans="1:20" x14ac:dyDescent="0.2">
      <c r="A62" s="28" t="s">
        <v>31</v>
      </c>
      <c r="B62" s="33"/>
      <c r="C62" s="33"/>
      <c r="F62" s="33">
        <f>F61</f>
        <v>6</v>
      </c>
      <c r="G62" s="33" t="str">
        <f>G61</f>
        <v>000-1200-00</v>
      </c>
      <c r="H62" s="36"/>
      <c r="K62" t="str">
        <f>"""GP Direct"",""Fabrikam, Inc."",""GL20000"",""DEX_ROW_ID"",""3931"""</f>
        <v>"GP Direct","Fabrikam, Inc.","GL20000","DEX_ROW_ID","3931"</v>
      </c>
      <c r="L62" s="15">
        <v>42377</v>
      </c>
      <c r="M62">
        <v>973</v>
      </c>
      <c r="N62" t="str">
        <f>"Aaron Fitz Electrical"</f>
        <v>Aaron Fitz Electrical</v>
      </c>
      <c r="O62" t="str">
        <f>"STDINV2011"</f>
        <v>STDINV2011</v>
      </c>
      <c r="P62" t="str">
        <f>"Sales Transaction Entry"</f>
        <v>Sales Transaction Entry</v>
      </c>
      <c r="Q62" s="21" t="str">
        <f>"Accounts Receivable"</f>
        <v>Accounts Receivable</v>
      </c>
      <c r="R62" s="16">
        <v>53.24</v>
      </c>
      <c r="S62" s="16">
        <v>0</v>
      </c>
      <c r="T62" s="19">
        <f t="shared" si="2"/>
        <v>53.24</v>
      </c>
    </row>
    <row r="63" spans="1:20" x14ac:dyDescent="0.2">
      <c r="A63" s="28" t="s">
        <v>31</v>
      </c>
      <c r="B63" s="33"/>
      <c r="C63" s="33"/>
      <c r="F63" s="33">
        <f>F62</f>
        <v>6</v>
      </c>
      <c r="G63" s="33" t="str">
        <f>G62</f>
        <v>000-1200-00</v>
      </c>
      <c r="H63" s="36"/>
      <c r="K63" t="str">
        <f>"""GP Direct"",""Fabrikam, Inc."",""GL20000"",""DEX_ROW_ID"",""3941"""</f>
        <v>"GP Direct","Fabrikam, Inc.","GL20000","DEX_ROW_ID","3941"</v>
      </c>
      <c r="L63" s="15">
        <v>42377</v>
      </c>
      <c r="M63">
        <v>975</v>
      </c>
      <c r="N63" t="str">
        <f>"Aaron Fitz Electrical"</f>
        <v>Aaron Fitz Electrical</v>
      </c>
      <c r="O63" t="str">
        <f>"STDINV2012"</f>
        <v>STDINV2012</v>
      </c>
      <c r="P63" t="str">
        <f>"Sales Transaction Entry"</f>
        <v>Sales Transaction Entry</v>
      </c>
      <c r="Q63" s="21" t="str">
        <f>"Accounts Receivable"</f>
        <v>Accounts Receivable</v>
      </c>
      <c r="R63" s="16">
        <v>53.24</v>
      </c>
      <c r="S63" s="16">
        <v>0</v>
      </c>
      <c r="T63" s="19">
        <f t="shared" si="2"/>
        <v>53.24</v>
      </c>
    </row>
    <row r="64" spans="1:20" x14ac:dyDescent="0.2">
      <c r="A64" s="28" t="s">
        <v>31</v>
      </c>
      <c r="B64" s="33"/>
      <c r="C64" s="33"/>
      <c r="F64" s="33">
        <f>F63</f>
        <v>6</v>
      </c>
      <c r="G64" s="33" t="str">
        <f>G63</f>
        <v>000-1200-00</v>
      </c>
      <c r="H64" s="36"/>
      <c r="K64" t="str">
        <f>"""GP Direct"",""Fabrikam, Inc."",""GL20000"",""DEX_ROW_ID"",""3951"""</f>
        <v>"GP Direct","Fabrikam, Inc.","GL20000","DEX_ROW_ID","3951"</v>
      </c>
      <c r="L64" s="15">
        <v>42378</v>
      </c>
      <c r="M64">
        <v>977</v>
      </c>
      <c r="N64" t="str">
        <f>"ISN Industries"</f>
        <v>ISN Industries</v>
      </c>
      <c r="O64" t="str">
        <f>"STDINV2013"</f>
        <v>STDINV2013</v>
      </c>
      <c r="P64" t="str">
        <f>"Sales Transaction Entry"</f>
        <v>Sales Transaction Entry</v>
      </c>
      <c r="Q64" s="21" t="str">
        <f>"Accounts Receivable"</f>
        <v>Accounts Receivable</v>
      </c>
      <c r="R64" s="16">
        <v>1444.45</v>
      </c>
      <c r="S64" s="16">
        <v>0</v>
      </c>
      <c r="T64" s="19">
        <f t="shared" si="2"/>
        <v>1444.45</v>
      </c>
    </row>
    <row r="65" spans="1:20" x14ac:dyDescent="0.2">
      <c r="A65" s="28" t="s">
        <v>31</v>
      </c>
      <c r="B65" s="33"/>
      <c r="C65" s="33"/>
      <c r="F65" s="33">
        <f>F64</f>
        <v>6</v>
      </c>
      <c r="G65" s="33" t="str">
        <f>G64</f>
        <v>000-1200-00</v>
      </c>
      <c r="H65" s="36"/>
      <c r="K65" t="str">
        <f>"""GP Direct"",""Fabrikam, Inc."",""GL20000"",""DEX_ROW_ID"",""3961"""</f>
        <v>"GP Direct","Fabrikam, Inc.","GL20000","DEX_ROW_ID","3961"</v>
      </c>
      <c r="L65" s="15">
        <v>42379</v>
      </c>
      <c r="M65">
        <v>979</v>
      </c>
      <c r="N65" t="str">
        <f>"Contoso, Ltd."</f>
        <v>Contoso, Ltd.</v>
      </c>
      <c r="O65" t="str">
        <f>"STDINV2014"</f>
        <v>STDINV2014</v>
      </c>
      <c r="P65" t="str">
        <f>"Sales Transaction Entry"</f>
        <v>Sales Transaction Entry</v>
      </c>
      <c r="Q65" s="21" t="str">
        <f>"Accounts Receivable"</f>
        <v>Accounts Receivable</v>
      </c>
      <c r="R65" s="16">
        <v>203.25</v>
      </c>
      <c r="S65" s="16">
        <v>0</v>
      </c>
      <c r="T65" s="19">
        <f t="shared" si="2"/>
        <v>203.25</v>
      </c>
    </row>
    <row r="66" spans="1:20" x14ac:dyDescent="0.2">
      <c r="A66" s="28" t="s">
        <v>31</v>
      </c>
      <c r="B66" s="33"/>
      <c r="C66" s="33"/>
      <c r="F66" s="33">
        <f>F65</f>
        <v>6</v>
      </c>
      <c r="G66" s="33" t="str">
        <f>G65</f>
        <v>000-1200-00</v>
      </c>
      <c r="H66" s="36"/>
      <c r="K66" t="str">
        <f>"""GP Direct"",""Fabrikam, Inc."",""GL20000"",""DEX_ROW_ID"",""3971"""</f>
        <v>"GP Direct","Fabrikam, Inc.","GL20000","DEX_ROW_ID","3971"</v>
      </c>
      <c r="L66" s="15">
        <v>42380</v>
      </c>
      <c r="M66">
        <v>981</v>
      </c>
      <c r="N66" t="str">
        <f>"Vancouver Resort Hotels"</f>
        <v>Vancouver Resort Hotels</v>
      </c>
      <c r="O66" t="str">
        <f>"STDINV2015"</f>
        <v>STDINV2015</v>
      </c>
      <c r="P66" t="str">
        <f>"Sales Transaction Entry"</f>
        <v>Sales Transaction Entry</v>
      </c>
      <c r="Q66" s="21" t="str">
        <f>"Accounts Receivable"</f>
        <v>Accounts Receivable</v>
      </c>
      <c r="R66" s="16">
        <v>652.65</v>
      </c>
      <c r="S66" s="16">
        <v>0</v>
      </c>
      <c r="T66" s="19">
        <f t="shared" si="2"/>
        <v>652.65</v>
      </c>
    </row>
    <row r="67" spans="1:20" x14ac:dyDescent="0.2">
      <c r="A67" s="28" t="s">
        <v>31</v>
      </c>
      <c r="B67" s="33"/>
      <c r="C67" s="33"/>
      <c r="F67" s="33">
        <f>F66</f>
        <v>6</v>
      </c>
      <c r="G67" s="33" t="str">
        <f>G66</f>
        <v>000-1200-00</v>
      </c>
      <c r="H67" s="36"/>
      <c r="K67" t="str">
        <f>"""GP Direct"",""Fabrikam, Inc."",""GL20000"",""DEX_ROW_ID"",""3980"""</f>
        <v>"GP Direct","Fabrikam, Inc.","GL20000","DEX_ROW_ID","3980"</v>
      </c>
      <c r="L67" s="15">
        <v>42381</v>
      </c>
      <c r="M67">
        <v>983</v>
      </c>
      <c r="N67" t="str">
        <f>"Plaza One"</f>
        <v>Plaza One</v>
      </c>
      <c r="O67" t="str">
        <f>"STDINV2016"</f>
        <v>STDINV2016</v>
      </c>
      <c r="P67" t="str">
        <f>"Sales Transaction Entry"</f>
        <v>Sales Transaction Entry</v>
      </c>
      <c r="Q67" s="21" t="str">
        <f>"Accounts Receivable"</f>
        <v>Accounts Receivable</v>
      </c>
      <c r="R67" s="16">
        <v>1016.24</v>
      </c>
      <c r="S67" s="16">
        <v>0</v>
      </c>
      <c r="T67" s="19">
        <f t="shared" si="2"/>
        <v>1016.24</v>
      </c>
    </row>
    <row r="68" spans="1:20" x14ac:dyDescent="0.2">
      <c r="A68" s="28" t="s">
        <v>31</v>
      </c>
      <c r="B68" s="33"/>
      <c r="C68" s="33"/>
      <c r="F68" s="33">
        <f>F67</f>
        <v>6</v>
      </c>
      <c r="G68" s="33" t="str">
        <f>G67</f>
        <v>000-1200-00</v>
      </c>
      <c r="H68" s="36"/>
      <c r="K68" t="str">
        <f>"""GP Direct"",""Fabrikam, Inc."",""GL20000"",""DEX_ROW_ID"",""3990"""</f>
        <v>"GP Direct","Fabrikam, Inc.","GL20000","DEX_ROW_ID","3990"</v>
      </c>
      <c r="L68" s="15">
        <v>42382</v>
      </c>
      <c r="M68">
        <v>985</v>
      </c>
      <c r="N68" t="str">
        <f>"Central Communications LTD"</f>
        <v>Central Communications LTD</v>
      </c>
      <c r="O68" t="str">
        <f>"STDINV2017"</f>
        <v>STDINV2017</v>
      </c>
      <c r="P68" t="str">
        <f>"Sales Transaction Entry"</f>
        <v>Sales Transaction Entry</v>
      </c>
      <c r="Q68" s="21" t="str">
        <f>"Accounts Receivable"</f>
        <v>Accounts Receivable</v>
      </c>
      <c r="R68" s="16">
        <v>31.95</v>
      </c>
      <c r="S68" s="16">
        <v>0</v>
      </c>
      <c r="T68" s="19">
        <f t="shared" si="2"/>
        <v>31.95</v>
      </c>
    </row>
    <row r="69" spans="1:20" x14ac:dyDescent="0.2">
      <c r="A69" s="28" t="s">
        <v>31</v>
      </c>
      <c r="B69" s="33"/>
      <c r="C69" s="33"/>
      <c r="F69" s="33">
        <f>F68</f>
        <v>6</v>
      </c>
      <c r="G69" s="33" t="str">
        <f>G68</f>
        <v>000-1200-00</v>
      </c>
      <c r="H69" s="36"/>
      <c r="K69" t="str">
        <f>"""GP Direct"",""Fabrikam, Inc."",""GL20000"",""DEX_ROW_ID"",""4000"""</f>
        <v>"GP Direct","Fabrikam, Inc.","GL20000","DEX_ROW_ID","4000"</v>
      </c>
      <c r="L69" s="15">
        <v>42383</v>
      </c>
      <c r="M69">
        <v>987</v>
      </c>
      <c r="N69" t="str">
        <f>"Magnificent Office Images"</f>
        <v>Magnificent Office Images</v>
      </c>
      <c r="O69" t="str">
        <f>"STDINV2018"</f>
        <v>STDINV2018</v>
      </c>
      <c r="P69" t="str">
        <f>"Sales Transaction Entry"</f>
        <v>Sales Transaction Entry</v>
      </c>
      <c r="Q69" s="21" t="str">
        <f>"Accounts Receivable"</f>
        <v>Accounts Receivable</v>
      </c>
      <c r="R69" s="16">
        <v>770.3</v>
      </c>
      <c r="S69" s="16">
        <v>0</v>
      </c>
      <c r="T69" s="19">
        <f t="shared" si="2"/>
        <v>770.3</v>
      </c>
    </row>
    <row r="70" spans="1:20" x14ac:dyDescent="0.2">
      <c r="A70" s="28" t="s">
        <v>31</v>
      </c>
      <c r="B70" s="33"/>
      <c r="C70" s="33"/>
      <c r="F70" s="33">
        <f>F69</f>
        <v>6</v>
      </c>
      <c r="G70" s="33" t="str">
        <f>G69</f>
        <v>000-1200-00</v>
      </c>
      <c r="H70" s="36"/>
      <c r="K70" t="str">
        <f>"""GP Direct"",""Fabrikam, Inc."",""GL20000"",""DEX_ROW_ID"",""4009"""</f>
        <v>"GP Direct","Fabrikam, Inc.","GL20000","DEX_ROW_ID","4009"</v>
      </c>
      <c r="L70" s="15">
        <v>42384</v>
      </c>
      <c r="M70">
        <v>989</v>
      </c>
      <c r="N70" t="str">
        <f>"Metropolitan Fiber Systems"</f>
        <v>Metropolitan Fiber Systems</v>
      </c>
      <c r="O70" t="str">
        <f>"STDINV2019"</f>
        <v>STDINV2019</v>
      </c>
      <c r="P70" t="str">
        <f>"Sales Transaction Entry"</f>
        <v>Sales Transaction Entry</v>
      </c>
      <c r="Q70" s="21" t="str">
        <f>"Accounts Receivable"</f>
        <v>Accounts Receivable</v>
      </c>
      <c r="R70" s="16">
        <v>31.95</v>
      </c>
      <c r="S70" s="16">
        <v>0</v>
      </c>
      <c r="T70" s="19">
        <f t="shared" si="2"/>
        <v>31.95</v>
      </c>
    </row>
    <row r="71" spans="1:20" x14ac:dyDescent="0.2">
      <c r="A71" s="28" t="s">
        <v>31</v>
      </c>
      <c r="B71" s="33"/>
      <c r="C71" s="33"/>
      <c r="F71" s="33">
        <f>F70</f>
        <v>6</v>
      </c>
      <c r="G71" s="33" t="str">
        <f>G70</f>
        <v>000-1200-00</v>
      </c>
      <c r="H71" s="36"/>
      <c r="K71" t="str">
        <f>"""GP Direct"",""Fabrikam, Inc."",""GL20000"",""DEX_ROW_ID"",""4019"""</f>
        <v>"GP Direct","Fabrikam, Inc.","GL20000","DEX_ROW_ID","4019"</v>
      </c>
      <c r="L71" s="15">
        <v>42385</v>
      </c>
      <c r="M71">
        <v>991</v>
      </c>
      <c r="N71" t="str">
        <f>"Mahler State University"</f>
        <v>Mahler State University</v>
      </c>
      <c r="O71" t="str">
        <f>"STDINV2020"</f>
        <v>STDINV2020</v>
      </c>
      <c r="P71" t="str">
        <f>"Sales Transaction Entry"</f>
        <v>Sales Transaction Entry</v>
      </c>
      <c r="Q71" s="21" t="str">
        <f>"Accounts Receivable"</f>
        <v>Accounts Receivable</v>
      </c>
      <c r="R71" s="16">
        <v>11999.9</v>
      </c>
      <c r="S71" s="16">
        <v>0</v>
      </c>
      <c r="T71" s="19">
        <f t="shared" si="2"/>
        <v>11999.9</v>
      </c>
    </row>
    <row r="72" spans="1:20" x14ac:dyDescent="0.2">
      <c r="A72" s="28" t="s">
        <v>31</v>
      </c>
      <c r="B72" s="33"/>
      <c r="C72" s="33"/>
      <c r="F72" s="33">
        <f>F71</f>
        <v>6</v>
      </c>
      <c r="G72" s="33" t="str">
        <f>G71</f>
        <v>000-1200-00</v>
      </c>
      <c r="H72" s="36"/>
      <c r="K72" t="str">
        <f>"""GP Direct"",""Fabrikam, Inc."",""GL20000"",""DEX_ROW_ID"",""4027"""</f>
        <v>"GP Direct","Fabrikam, Inc.","GL20000","DEX_ROW_ID","4027"</v>
      </c>
      <c r="L72" s="15">
        <v>42386</v>
      </c>
      <c r="M72">
        <v>993</v>
      </c>
      <c r="N72" t="str">
        <f>"Lawrence Telemarketing"</f>
        <v>Lawrence Telemarketing</v>
      </c>
      <c r="O72" t="str">
        <f>"STDINV2021"</f>
        <v>STDINV2021</v>
      </c>
      <c r="P72" t="str">
        <f>"Sales Transaction Entry"</f>
        <v>Sales Transaction Entry</v>
      </c>
      <c r="Q72" s="21" t="str">
        <f>"Accounts Receivable"</f>
        <v>Accounts Receivable</v>
      </c>
      <c r="R72" s="16">
        <v>6419.95</v>
      </c>
      <c r="S72" s="16">
        <v>0</v>
      </c>
      <c r="T72" s="19">
        <f t="shared" si="2"/>
        <v>6419.95</v>
      </c>
    </row>
    <row r="73" spans="1:20" x14ac:dyDescent="0.2">
      <c r="A73" s="28" t="s">
        <v>31</v>
      </c>
      <c r="B73" s="33"/>
      <c r="C73" s="33"/>
      <c r="F73" s="33">
        <f>F72</f>
        <v>6</v>
      </c>
      <c r="G73" s="33" t="str">
        <f>G72</f>
        <v>000-1200-00</v>
      </c>
      <c r="H73" s="36"/>
      <c r="K73" t="str">
        <f>"""GP Direct"",""Fabrikam, Inc."",""GL20000"",""DEX_ROW_ID"",""4037"""</f>
        <v>"GP Direct","Fabrikam, Inc.","GL20000","DEX_ROW_ID","4037"</v>
      </c>
      <c r="L73" s="15">
        <v>42387</v>
      </c>
      <c r="M73">
        <v>995</v>
      </c>
      <c r="N73" t="str">
        <f>"McConnell A.F. B."</f>
        <v>McConnell A.F. B.</v>
      </c>
      <c r="O73" t="str">
        <f>"STDINV2022"</f>
        <v>STDINV2022</v>
      </c>
      <c r="P73" t="str">
        <f>"Sales Transaction Entry"</f>
        <v>Sales Transaction Entry</v>
      </c>
      <c r="Q73" s="21" t="str">
        <f>"Accounts Receivable"</f>
        <v>Accounts Receivable</v>
      </c>
      <c r="R73" s="16">
        <v>1349.95</v>
      </c>
      <c r="S73" s="16">
        <v>0</v>
      </c>
      <c r="T73" s="19">
        <f t="shared" si="2"/>
        <v>1349.95</v>
      </c>
    </row>
    <row r="74" spans="1:20" x14ac:dyDescent="0.2">
      <c r="A74" s="28" t="s">
        <v>31</v>
      </c>
      <c r="B74" s="33"/>
      <c r="C74" s="33"/>
      <c r="F74" s="33">
        <f>F73</f>
        <v>6</v>
      </c>
      <c r="G74" s="33" t="str">
        <f>G73</f>
        <v>000-1200-00</v>
      </c>
      <c r="H74" s="36"/>
      <c r="K74" t="str">
        <f>"""GP Direct"",""Fabrikam, Inc."",""GL20000"",""DEX_ROW_ID"",""4045"""</f>
        <v>"GP Direct","Fabrikam, Inc.","GL20000","DEX_ROW_ID","4045"</v>
      </c>
      <c r="L74" s="15">
        <v>42388</v>
      </c>
      <c r="M74">
        <v>997</v>
      </c>
      <c r="N74" t="str">
        <f>"Astor Suites"</f>
        <v>Astor Suites</v>
      </c>
      <c r="O74" t="str">
        <f>"STDINV2023"</f>
        <v>STDINV2023</v>
      </c>
      <c r="P74" t="str">
        <f>"Sales Transaction Entry"</f>
        <v>Sales Transaction Entry</v>
      </c>
      <c r="Q74" s="21" t="str">
        <f>"Accounts Receivable"</f>
        <v>Accounts Receivable</v>
      </c>
      <c r="R74" s="16">
        <v>31.95</v>
      </c>
      <c r="S74" s="16">
        <v>0</v>
      </c>
      <c r="T74" s="19">
        <f t="shared" si="2"/>
        <v>31.95</v>
      </c>
    </row>
    <row r="75" spans="1:20" x14ac:dyDescent="0.2">
      <c r="A75" s="28" t="s">
        <v>31</v>
      </c>
      <c r="B75" s="33"/>
      <c r="C75" s="33"/>
      <c r="F75" s="33">
        <f>F74</f>
        <v>6</v>
      </c>
      <c r="G75" s="33" t="str">
        <f>G74</f>
        <v>000-1200-00</v>
      </c>
      <c r="H75" s="36"/>
      <c r="K75" t="str">
        <f>"""GP Direct"",""Fabrikam, Inc."",""GL20000"",""DEX_ROW_ID"",""4055"""</f>
        <v>"GP Direct","Fabrikam, Inc.","GL20000","DEX_ROW_ID","4055"</v>
      </c>
      <c r="L75" s="15">
        <v>42390</v>
      </c>
      <c r="M75">
        <v>999</v>
      </c>
      <c r="N75" t="str">
        <f>"Plaza One"</f>
        <v>Plaza One</v>
      </c>
      <c r="O75" t="str">
        <f>"STDINV2024"</f>
        <v>STDINV2024</v>
      </c>
      <c r="P75" t="str">
        <f>"Sales Transaction Entry"</f>
        <v>Sales Transaction Entry</v>
      </c>
      <c r="Q75" s="21" t="str">
        <f>"Accounts Receivable"</f>
        <v>Accounts Receivable</v>
      </c>
      <c r="R75" s="16">
        <v>812.99</v>
      </c>
      <c r="S75" s="16">
        <v>0</v>
      </c>
      <c r="T75" s="19">
        <f t="shared" si="2"/>
        <v>812.99</v>
      </c>
    </row>
    <row r="76" spans="1:20" x14ac:dyDescent="0.2">
      <c r="A76" s="28" t="s">
        <v>31</v>
      </c>
      <c r="B76" s="33"/>
      <c r="C76" s="33"/>
      <c r="F76" s="33">
        <f>F75</f>
        <v>6</v>
      </c>
      <c r="G76" s="33" t="str">
        <f>G75</f>
        <v>000-1200-00</v>
      </c>
      <c r="H76" s="36"/>
      <c r="K76" t="str">
        <f>"""GP Direct"",""Fabrikam, Inc."",""GL20000"",""DEX_ROW_ID"",""4065"""</f>
        <v>"GP Direct","Fabrikam, Inc.","GL20000","DEX_ROW_ID","4065"</v>
      </c>
      <c r="L76" s="15">
        <v>42391</v>
      </c>
      <c r="M76">
        <v>1001</v>
      </c>
      <c r="N76" t="str">
        <f>"Vancouver Resort Hotels"</f>
        <v>Vancouver Resort Hotels</v>
      </c>
      <c r="O76" t="str">
        <f>"STDINV2025"</f>
        <v>STDINV2025</v>
      </c>
      <c r="P76" t="str">
        <f>"Sales Transaction Entry"</f>
        <v>Sales Transaction Entry</v>
      </c>
      <c r="Q76" s="21" t="str">
        <f>"Accounts Receivable"</f>
        <v>Accounts Receivable</v>
      </c>
      <c r="R76" s="16">
        <v>25679.47</v>
      </c>
      <c r="S76" s="16">
        <v>0</v>
      </c>
      <c r="T76" s="19">
        <f t="shared" si="2"/>
        <v>25679.47</v>
      </c>
    </row>
    <row r="77" spans="1:20" x14ac:dyDescent="0.2">
      <c r="A77" s="28" t="s">
        <v>31</v>
      </c>
      <c r="B77" s="33"/>
      <c r="C77" s="33"/>
      <c r="F77" s="33">
        <f>F76</f>
        <v>6</v>
      </c>
      <c r="G77" s="33" t="str">
        <f>G76</f>
        <v>000-1200-00</v>
      </c>
      <c r="H77" s="36"/>
      <c r="K77" t="str">
        <f>"""GP Direct"",""Fabrikam, Inc."",""GL20000"",""DEX_ROW_ID"",""4074"""</f>
        <v>"GP Direct","Fabrikam, Inc.","GL20000","DEX_ROW_ID","4074"</v>
      </c>
      <c r="L77" s="15">
        <v>42392</v>
      </c>
      <c r="M77">
        <v>1003</v>
      </c>
      <c r="N77" t="str">
        <f>"Aaron Fitz Electrical"</f>
        <v>Aaron Fitz Electrical</v>
      </c>
      <c r="O77" t="str">
        <f>"STDINV2026"</f>
        <v>STDINV2026</v>
      </c>
      <c r="P77" t="str">
        <f>"Sales Transaction Entry"</f>
        <v>Sales Transaction Entry</v>
      </c>
      <c r="Q77" s="21" t="str">
        <f>"Accounts Receivable"</f>
        <v>Accounts Receivable</v>
      </c>
      <c r="R77" s="16">
        <v>128.35</v>
      </c>
      <c r="S77" s="16">
        <v>0</v>
      </c>
      <c r="T77" s="19">
        <f t="shared" si="2"/>
        <v>128.35</v>
      </c>
    </row>
    <row r="78" spans="1:20" x14ac:dyDescent="0.2">
      <c r="A78" s="28" t="s">
        <v>31</v>
      </c>
      <c r="B78" s="33"/>
      <c r="C78" s="33"/>
      <c r="F78" s="33">
        <f>F77</f>
        <v>6</v>
      </c>
      <c r="G78" s="33" t="str">
        <f>G77</f>
        <v>000-1200-00</v>
      </c>
      <c r="H78" s="36"/>
      <c r="K78" t="str">
        <f>"""GP Direct"",""Fabrikam, Inc."",""GL20000"",""DEX_ROW_ID"",""4084"""</f>
        <v>"GP Direct","Fabrikam, Inc.","GL20000","DEX_ROW_ID","4084"</v>
      </c>
      <c r="L78" s="15">
        <v>42393</v>
      </c>
      <c r="M78">
        <v>1005</v>
      </c>
      <c r="N78" t="str">
        <f>"Aaron Fitz Electrical"</f>
        <v>Aaron Fitz Electrical</v>
      </c>
      <c r="O78" t="str">
        <f>"STDINV2027"</f>
        <v>STDINV2027</v>
      </c>
      <c r="P78" t="str">
        <f>"Sales Transaction Entry"</f>
        <v>Sales Transaction Entry</v>
      </c>
      <c r="Q78" s="21" t="str">
        <f>"Accounts Receivable"</f>
        <v>Accounts Receivable</v>
      </c>
      <c r="R78" s="16">
        <v>117.65</v>
      </c>
      <c r="S78" s="16">
        <v>0</v>
      </c>
      <c r="T78" s="19">
        <f t="shared" si="2"/>
        <v>117.65</v>
      </c>
    </row>
    <row r="79" spans="1:20" x14ac:dyDescent="0.2">
      <c r="A79" s="28" t="s">
        <v>31</v>
      </c>
      <c r="B79" s="33"/>
      <c r="C79" s="33"/>
      <c r="F79" s="33">
        <f>F78</f>
        <v>6</v>
      </c>
      <c r="G79" s="33" t="str">
        <f>G78</f>
        <v>000-1200-00</v>
      </c>
      <c r="H79" s="36"/>
      <c r="K79" t="str">
        <f>"""GP Direct"",""Fabrikam, Inc."",""GL20000"",""DEX_ROW_ID"",""4094"""</f>
        <v>"GP Direct","Fabrikam, Inc.","GL20000","DEX_ROW_ID","4094"</v>
      </c>
      <c r="L79" s="15">
        <v>42394</v>
      </c>
      <c r="M79">
        <v>1007</v>
      </c>
      <c r="N79" t="str">
        <f>"Adam Park Resort"</f>
        <v>Adam Park Resort</v>
      </c>
      <c r="O79" t="str">
        <f>"STDINV2028"</f>
        <v>STDINV2028</v>
      </c>
      <c r="P79" t="str">
        <f>"Sales Transaction Entry"</f>
        <v>Sales Transaction Entry</v>
      </c>
      <c r="Q79" s="21" t="str">
        <f>"Accounts Receivable"</f>
        <v>Accounts Receivable</v>
      </c>
      <c r="R79" s="16">
        <v>641.47</v>
      </c>
      <c r="S79" s="16">
        <v>0</v>
      </c>
      <c r="T79" s="19">
        <f t="shared" si="2"/>
        <v>641.47</v>
      </c>
    </row>
    <row r="80" spans="1:20" x14ac:dyDescent="0.2">
      <c r="A80" s="28" t="s">
        <v>31</v>
      </c>
      <c r="B80" s="33"/>
      <c r="C80" s="33"/>
      <c r="F80" s="33">
        <f>F79</f>
        <v>6</v>
      </c>
      <c r="G80" s="33" t="str">
        <f>G79</f>
        <v>000-1200-00</v>
      </c>
      <c r="H80" s="36"/>
      <c r="K80" t="str">
        <f>"""GP Direct"",""Fabrikam, Inc."",""GL20000"",""DEX_ROW_ID"",""4104"""</f>
        <v>"GP Direct","Fabrikam, Inc.","GL20000","DEX_ROW_ID","4104"</v>
      </c>
      <c r="L80" s="15">
        <v>42395</v>
      </c>
      <c r="M80">
        <v>1009</v>
      </c>
      <c r="N80" t="str">
        <f>"Aaron Fitz Electrical"</f>
        <v>Aaron Fitz Electrical</v>
      </c>
      <c r="O80" t="str">
        <f>"STDINV2029"</f>
        <v>STDINV2029</v>
      </c>
      <c r="P80" t="str">
        <f>"Sales Transaction Entry"</f>
        <v>Sales Transaction Entry</v>
      </c>
      <c r="Q80" s="21" t="str">
        <f>"Accounts Receivable"</f>
        <v>Accounts Receivable</v>
      </c>
      <c r="R80" s="16">
        <v>641.47</v>
      </c>
      <c r="S80" s="16">
        <v>0</v>
      </c>
      <c r="T80" s="19">
        <f t="shared" si="2"/>
        <v>641.47</v>
      </c>
    </row>
    <row r="81" spans="1:20" x14ac:dyDescent="0.2">
      <c r="A81" s="28" t="s">
        <v>31</v>
      </c>
      <c r="B81" s="33"/>
      <c r="C81" s="33"/>
      <c r="F81" s="33">
        <f>F80</f>
        <v>6</v>
      </c>
      <c r="G81" s="33" t="str">
        <f>G80</f>
        <v>000-1200-00</v>
      </c>
      <c r="H81" s="36"/>
      <c r="K81" t="str">
        <f>"""GP Direct"",""Fabrikam, Inc."",""GL20000"",""DEX_ROW_ID"",""4114"""</f>
        <v>"GP Direct","Fabrikam, Inc.","GL20000","DEX_ROW_ID","4114"</v>
      </c>
      <c r="L81" s="15">
        <v>42396</v>
      </c>
      <c r="M81">
        <v>1011</v>
      </c>
      <c r="N81" t="str">
        <f>"Aaron Fitz Electrical"</f>
        <v>Aaron Fitz Electrical</v>
      </c>
      <c r="O81" t="str">
        <f>"STDINV2030"</f>
        <v>STDINV2030</v>
      </c>
      <c r="P81" t="str">
        <f>"Sales Transaction Entry"</f>
        <v>Sales Transaction Entry</v>
      </c>
      <c r="Q81" s="21" t="str">
        <f>"Accounts Receivable"</f>
        <v>Accounts Receivable</v>
      </c>
      <c r="R81" s="16">
        <v>128.30000000000001</v>
      </c>
      <c r="S81" s="16">
        <v>0</v>
      </c>
      <c r="T81" s="19">
        <f t="shared" si="2"/>
        <v>128.30000000000001</v>
      </c>
    </row>
    <row r="82" spans="1:20" x14ac:dyDescent="0.2">
      <c r="A82" s="28" t="s">
        <v>31</v>
      </c>
      <c r="B82" s="33"/>
      <c r="C82" s="33"/>
      <c r="F82" s="33">
        <f>F81</f>
        <v>6</v>
      </c>
      <c r="G82" s="33" t="str">
        <f>G81</f>
        <v>000-1200-00</v>
      </c>
      <c r="H82" s="36"/>
      <c r="K82" t="str">
        <f>"""GP Direct"",""Fabrikam, Inc."",""GL20000"",""DEX_ROW_ID"",""4124"""</f>
        <v>"GP Direct","Fabrikam, Inc.","GL20000","DEX_ROW_ID","4124"</v>
      </c>
      <c r="L82" s="15">
        <v>42397</v>
      </c>
      <c r="M82">
        <v>1013</v>
      </c>
      <c r="N82" t="str">
        <f>"Contoso, Ltd."</f>
        <v>Contoso, Ltd.</v>
      </c>
      <c r="O82" t="str">
        <f>"STDINV2031"</f>
        <v>STDINV2031</v>
      </c>
      <c r="P82" t="str">
        <f>"Sales Transaction Entry"</f>
        <v>Sales Transaction Entry</v>
      </c>
      <c r="Q82" s="21" t="str">
        <f>"Accounts Receivable"</f>
        <v>Accounts Receivable</v>
      </c>
      <c r="R82" s="16">
        <v>320.74</v>
      </c>
      <c r="S82" s="16">
        <v>0</v>
      </c>
      <c r="T82" s="19">
        <f t="shared" si="2"/>
        <v>320.74</v>
      </c>
    </row>
    <row r="83" spans="1:20" x14ac:dyDescent="0.2">
      <c r="A83" s="28" t="s">
        <v>31</v>
      </c>
      <c r="B83" s="33"/>
      <c r="C83" s="33"/>
      <c r="F83" s="33">
        <f>F82</f>
        <v>6</v>
      </c>
      <c r="G83" s="33" t="str">
        <f>G82</f>
        <v>000-1200-00</v>
      </c>
      <c r="H83" s="36"/>
      <c r="K83" t="str">
        <f>"""GP Direct"",""Fabrikam, Inc."",""GL20000"",""DEX_ROW_ID"",""4134"""</f>
        <v>"GP Direct","Fabrikam, Inc.","GL20000","DEX_ROW_ID","4134"</v>
      </c>
      <c r="L83" s="15">
        <v>42398</v>
      </c>
      <c r="M83">
        <v>1015</v>
      </c>
      <c r="N83" t="str">
        <f>"Vancouver Resort Hotels"</f>
        <v>Vancouver Resort Hotels</v>
      </c>
      <c r="O83" t="str">
        <f>"STDINV2032"</f>
        <v>STDINV2032</v>
      </c>
      <c r="P83" t="str">
        <f>"Sales Transaction Entry"</f>
        <v>Sales Transaction Entry</v>
      </c>
      <c r="Q83" s="21" t="str">
        <f>"Accounts Receivable"</f>
        <v>Accounts Receivable</v>
      </c>
      <c r="R83" s="16">
        <v>64.150000000000006</v>
      </c>
      <c r="S83" s="16">
        <v>0</v>
      </c>
      <c r="T83" s="19">
        <f t="shared" si="2"/>
        <v>64.150000000000006</v>
      </c>
    </row>
    <row r="84" spans="1:20" x14ac:dyDescent="0.2">
      <c r="A84" s="28" t="s">
        <v>31</v>
      </c>
      <c r="B84" s="33"/>
      <c r="C84" s="33"/>
      <c r="F84" s="33">
        <f>F83</f>
        <v>6</v>
      </c>
      <c r="G84" s="33" t="str">
        <f>G83</f>
        <v>000-1200-00</v>
      </c>
      <c r="H84" s="36"/>
      <c r="K84" t="str">
        <f>"""GP Direct"",""Fabrikam, Inc."",""GL20000"",""DEX_ROW_ID"",""4143"""</f>
        <v>"GP Direct","Fabrikam, Inc.","GL20000","DEX_ROW_ID","4143"</v>
      </c>
      <c r="L84" s="15">
        <v>42399</v>
      </c>
      <c r="M84">
        <v>1017</v>
      </c>
      <c r="N84" t="str">
        <f>"Plaza One"</f>
        <v>Plaza One</v>
      </c>
      <c r="O84" t="str">
        <f>"STDINV2033"</f>
        <v>STDINV2033</v>
      </c>
      <c r="P84" t="str">
        <f>"Sales Transaction Entry"</f>
        <v>Sales Transaction Entry</v>
      </c>
      <c r="Q84" s="21" t="str">
        <f>"Accounts Receivable"</f>
        <v>Accounts Receivable</v>
      </c>
      <c r="R84" s="16">
        <v>256.7</v>
      </c>
      <c r="S84" s="16">
        <v>0</v>
      </c>
      <c r="T84" s="19">
        <f t="shared" si="2"/>
        <v>256.7</v>
      </c>
    </row>
    <row r="85" spans="1:20" x14ac:dyDescent="0.2">
      <c r="A85" s="28" t="s">
        <v>31</v>
      </c>
      <c r="B85" s="33"/>
      <c r="C85" s="33"/>
      <c r="F85" s="33">
        <f>F84</f>
        <v>6</v>
      </c>
      <c r="G85" s="33" t="str">
        <f>G84</f>
        <v>000-1200-00</v>
      </c>
      <c r="H85" s="36"/>
      <c r="K85" t="str">
        <f>"""GP Direct"",""Fabrikam, Inc."",""GL20000"",""DEX_ROW_ID"",""4153"""</f>
        <v>"GP Direct","Fabrikam, Inc.","GL20000","DEX_ROW_ID","4153"</v>
      </c>
      <c r="L85" s="15">
        <v>42400</v>
      </c>
      <c r="M85">
        <v>1019</v>
      </c>
      <c r="N85" t="str">
        <f>"Central Communications LTD"</f>
        <v>Central Communications LTD</v>
      </c>
      <c r="O85" t="str">
        <f>"STDINV2034"</f>
        <v>STDINV2034</v>
      </c>
      <c r="P85" t="str">
        <f>"Sales Transaction Entry"</f>
        <v>Sales Transaction Entry</v>
      </c>
      <c r="Q85" s="21" t="str">
        <f>"Accounts Receivable"</f>
        <v>Accounts Receivable</v>
      </c>
      <c r="R85" s="16">
        <v>320.74</v>
      </c>
      <c r="S85" s="16">
        <v>0</v>
      </c>
      <c r="T85" s="19">
        <f t="shared" si="2"/>
        <v>320.74</v>
      </c>
    </row>
    <row r="86" spans="1:20" x14ac:dyDescent="0.2">
      <c r="A86" s="28" t="s">
        <v>31</v>
      </c>
      <c r="B86" s="33"/>
      <c r="C86" s="33"/>
      <c r="F86" s="33">
        <f>F85</f>
        <v>6</v>
      </c>
      <c r="G86" s="33" t="str">
        <f>G85</f>
        <v>000-1200-00</v>
      </c>
      <c r="H86" s="36"/>
      <c r="K86" t="str">
        <f>"""GP Direct"",""Fabrikam, Inc."",""GL20000"",""DEX_ROW_ID"",""4933"""</f>
        <v>"GP Direct","Fabrikam, Inc.","GL20000","DEX_ROW_ID","4933"</v>
      </c>
      <c r="L86" s="15">
        <v>42377</v>
      </c>
      <c r="M86">
        <v>1204</v>
      </c>
      <c r="N86" t="str">
        <f>"Aaron Fitz Electrical"</f>
        <v>Aaron Fitz Electrical</v>
      </c>
      <c r="O86" t="str">
        <f>"STDINV2120"</f>
        <v>STDINV2120</v>
      </c>
      <c r="P86" t="str">
        <f>"Sales Transaction Entry"</f>
        <v>Sales Transaction Entry</v>
      </c>
      <c r="Q86" s="21" t="str">
        <f>"Accounts Receivable"</f>
        <v>Accounts Receivable</v>
      </c>
      <c r="R86" s="16">
        <v>1219.49</v>
      </c>
      <c r="S86" s="16">
        <v>0</v>
      </c>
      <c r="T86" s="19">
        <f t="shared" si="2"/>
        <v>1219.49</v>
      </c>
    </row>
    <row r="87" spans="1:20" x14ac:dyDescent="0.2">
      <c r="A87" s="28" t="s">
        <v>31</v>
      </c>
      <c r="B87" s="33"/>
      <c r="C87" s="33"/>
      <c r="F87" s="33">
        <f>F86</f>
        <v>6</v>
      </c>
      <c r="G87" s="33" t="str">
        <f>G86</f>
        <v>000-1200-00</v>
      </c>
      <c r="H87" s="36"/>
      <c r="K87" t="str">
        <f>"""GP Direct"",""Fabrikam, Inc."",""GL20000"",""DEX_ROW_ID"",""4941"""</f>
        <v>"GP Direct","Fabrikam, Inc.","GL20000","DEX_ROW_ID","4941"</v>
      </c>
      <c r="L87" s="15">
        <v>42377</v>
      </c>
      <c r="M87">
        <v>1205</v>
      </c>
      <c r="N87" t="str">
        <f>"Advanced Paper Co."</f>
        <v>Advanced Paper Co.</v>
      </c>
      <c r="O87" t="str">
        <f>"STDINV2121"</f>
        <v>STDINV2121</v>
      </c>
      <c r="P87" t="str">
        <f>"Sales Transaction Entry"</f>
        <v>Sales Transaction Entry</v>
      </c>
      <c r="Q87" s="21" t="str">
        <f>"Accounts Receivable"</f>
        <v>Accounts Receivable</v>
      </c>
      <c r="R87" s="16">
        <v>256.58999999999997</v>
      </c>
      <c r="S87" s="16">
        <v>0</v>
      </c>
      <c r="T87" s="19">
        <f t="shared" si="2"/>
        <v>256.58999999999997</v>
      </c>
    </row>
    <row r="88" spans="1:20" x14ac:dyDescent="0.2">
      <c r="A88" s="28" t="s">
        <v>31</v>
      </c>
      <c r="B88" s="33"/>
      <c r="C88" s="33"/>
      <c r="F88" s="33">
        <f>F51</f>
        <v>6</v>
      </c>
      <c r="G88" s="33" t="str">
        <f>G51</f>
        <v>000-1200-00</v>
      </c>
      <c r="H88" s="36"/>
    </row>
    <row r="89" spans="1:20" x14ac:dyDescent="0.2">
      <c r="A89" s="28" t="s">
        <v>31</v>
      </c>
      <c r="I89" s="37" t="str">
        <f>I49&amp;"   "&amp;J49&amp;"         Total:"</f>
        <v>000-1200-00   Accounts Receivable         Total:</v>
      </c>
      <c r="J89" s="37"/>
      <c r="K89" s="37"/>
      <c r="L89" s="37"/>
      <c r="M89" s="37"/>
      <c r="N89" s="37"/>
      <c r="O89" s="37"/>
      <c r="P89" s="37"/>
      <c r="Q89" s="37"/>
      <c r="R89" s="37"/>
      <c r="S89" s="37"/>
      <c r="T89" s="23">
        <f t="shared" ref="T89" si="3">SUBTOTAL(9,T50:T88)</f>
        <v>63275.229999999996</v>
      </c>
    </row>
    <row r="90" spans="1:20" x14ac:dyDescent="0.2">
      <c r="A90" s="28" t="s">
        <v>31</v>
      </c>
    </row>
    <row r="91" spans="1:20" x14ac:dyDescent="0.2">
      <c r="A91" s="28" t="s">
        <v>31</v>
      </c>
      <c r="D91" s="28" t="str">
        <f>"||""Filter"",""GL20000"",""ACTINDX"",""TRXDATE"",""1/1/2016..1/31/2016"",""ACTINDX"",""||""""Filter"""",""""GL00105"""",""""ACTINDX"""",""""ACTNUMBR_1"""",""""*"""",""""ACTNUMBR_2"""",""""*"""",""""ACTNUMBR_3"""",""""*"""","""""""","""""""","""""""","""""""","""""""","""""""","""""""","""""""","""""""","""""""","""""""","""""""","""""""","""""""""","""","""","""","""&amp;""","""","""","""","""","""","""","""","""","""","""","""","""""</f>
        <v>||"Filter","GL20000","ACTINDX","TRXDATE","1/1/2016..1/31/2016","ACTINDX","||""Filter"",""GL00105"",""ACTINDX"",""ACTNUMBR_1"",""*"",""ACTNUMBR_2"",""*"",""ACTNUMBR_3"",""*"","""","""","""","""","""","""","""","""","""","""","""","""","""",""""","","","","","","","","","","","","","","","",""</v>
      </c>
      <c r="E91" s="28" t="str">
        <f>"||""Filter"",""GL30000"",""ACTINDX"",""TRXDATE"",""1/1/2016..1/31/2016"",""ACTINDX"",""||""""Filter"""",""""GL00105"""",""""ACTINDX"""",""""ACTNUMBR_1"""",""""*"""",""""ACTNUMBR_2"""",""""*"""",""""ACTNUMBR_3"""",""""*"""","""""""","""""""","""""""","""""""","""""""","""""""","""""""","""""""","""""""","""""""","""""""","""""""","""""""","""""""""","""","""","""","""&amp;""","""","""","""","""","""","""","""","""","""","""","""","""""</f>
        <v>||"Filter","GL30000","ACTINDX","TRXDATE","1/1/2016..1/31/2016","ACTINDX","||""Filter"",""GL00105"",""ACTINDX"",""ACTNUMBR_1"",""*"",""ACTNUMBR_2"",""*"",""ACTNUMBR_3"",""*"","""","""","""","""","""","""","""","""","""","""","""","""","""",""""","","","","","","","","","","","","","","","",""</v>
      </c>
      <c r="F91" s="28">
        <v>18</v>
      </c>
      <c r="G91" s="28" t="str">
        <f>"000-1300-01"</f>
        <v>000-1300-01</v>
      </c>
      <c r="I91" s="17" t="str">
        <f>G91</f>
        <v>000-1300-01</v>
      </c>
      <c r="J91" s="17" t="str">
        <f>"Inventory - Retail/Parts"</f>
        <v>Inventory - Retail/Parts</v>
      </c>
      <c r="Q91" s="17"/>
      <c r="R91" s="18"/>
    </row>
    <row r="92" spans="1:20" x14ac:dyDescent="0.2">
      <c r="A92" s="28" t="s">
        <v>31</v>
      </c>
      <c r="B92" s="33"/>
      <c r="C92" s="33"/>
      <c r="F92" s="33">
        <f>F91</f>
        <v>18</v>
      </c>
      <c r="G92" s="33" t="str">
        <f>G91</f>
        <v>000-1300-01</v>
      </c>
      <c r="H92" s="36"/>
      <c r="L92" s="15"/>
      <c r="Q92" s="21"/>
      <c r="R92" s="16"/>
      <c r="S92" s="16">
        <f>IF($K92="",0,-_xll.NF($K92,"CRDTAMNT"))</f>
        <v>0</v>
      </c>
      <c r="T92" s="19">
        <f t="shared" ref="T92:T93" si="4">SUM(R92:S92)</f>
        <v>0</v>
      </c>
    </row>
    <row r="93" spans="1:20" x14ac:dyDescent="0.2">
      <c r="A93" s="28" t="s">
        <v>31</v>
      </c>
      <c r="B93" s="33"/>
      <c r="C93" s="33"/>
      <c r="F93" s="33">
        <f>F92</f>
        <v>18</v>
      </c>
      <c r="G93" s="33" t="str">
        <f>G92</f>
        <v>000-1300-01</v>
      </c>
      <c r="H93" s="36"/>
      <c r="K93" t="str">
        <f>"""GP Direct"",""Fabrikam, Inc."",""GL20000"",""DEX_ROW_ID"",""3549"""</f>
        <v>"GP Direct","Fabrikam, Inc.","GL20000","DEX_ROW_ID","3549"</v>
      </c>
      <c r="L93" s="15">
        <v>42377</v>
      </c>
      <c r="M93">
        <v>825</v>
      </c>
      <c r="N93" t="str">
        <f>"Associated Insurance Inc."</f>
        <v>Associated Insurance Inc.</v>
      </c>
      <c r="O93" t="str">
        <f>"RCT1012"</f>
        <v>RCT1012</v>
      </c>
      <c r="P93" t="str">
        <f>"Receivings Transaction Entry"</f>
        <v>Receivings Transaction Entry</v>
      </c>
      <c r="Q93" s="21" t="str">
        <f>"Purchases"</f>
        <v>Purchases</v>
      </c>
      <c r="R93" s="16">
        <v>50.25</v>
      </c>
      <c r="S93" s="16">
        <v>0</v>
      </c>
      <c r="T93" s="19">
        <f t="shared" si="4"/>
        <v>50.25</v>
      </c>
    </row>
    <row r="94" spans="1:20" x14ac:dyDescent="0.2">
      <c r="A94" s="28" t="s">
        <v>31</v>
      </c>
      <c r="B94" s="33"/>
      <c r="C94" s="33"/>
      <c r="F94" s="33">
        <f>F93</f>
        <v>18</v>
      </c>
      <c r="G94" s="33" t="str">
        <f>G93</f>
        <v>000-1300-01</v>
      </c>
      <c r="H94" s="36"/>
      <c r="K94" t="str">
        <f>"""GP Direct"",""Fabrikam, Inc."",""GL20000"",""DEX_ROW_ID"",""3557"""</f>
        <v>"GP Direct","Fabrikam, Inc.","GL20000","DEX_ROW_ID","3557"</v>
      </c>
      <c r="L94" s="15">
        <v>42374</v>
      </c>
      <c r="M94">
        <v>829</v>
      </c>
      <c r="O94" t="str">
        <f>"00000000000000031"</f>
        <v>00000000000000031</v>
      </c>
      <c r="P94" t="str">
        <f>"Transaction Entry"</f>
        <v>Transaction Entry</v>
      </c>
      <c r="Q94" s="21"/>
      <c r="R94" s="16">
        <v>0</v>
      </c>
      <c r="S94" s="16">
        <v>-50.25</v>
      </c>
      <c r="T94" s="19">
        <f t="shared" ref="T94:T134" si="5">SUM(R94:S94)</f>
        <v>-50.25</v>
      </c>
    </row>
    <row r="95" spans="1:20" x14ac:dyDescent="0.2">
      <c r="A95" s="28" t="s">
        <v>31</v>
      </c>
      <c r="B95" s="33"/>
      <c r="C95" s="33"/>
      <c r="F95" s="33">
        <f>F94</f>
        <v>18</v>
      </c>
      <c r="G95" s="33" t="str">
        <f>G94</f>
        <v>000-1300-01</v>
      </c>
      <c r="H95" s="36"/>
      <c r="K95" t="str">
        <f>"""GP Direct"",""Fabrikam, Inc."",""GL20000"",""DEX_ROW_ID"",""3559"""</f>
        <v>"GP Direct","Fabrikam, Inc.","GL20000","DEX_ROW_ID","3559"</v>
      </c>
      <c r="L95" s="15">
        <v>42377</v>
      </c>
      <c r="M95">
        <v>830</v>
      </c>
      <c r="N95" t="str">
        <f>"Associated Insurance Inc."</f>
        <v>Associated Insurance Inc.</v>
      </c>
      <c r="O95" t="str">
        <f>"RCT1014"</f>
        <v>RCT1014</v>
      </c>
      <c r="P95" t="str">
        <f>"Receivings Transaction Entry"</f>
        <v>Receivings Transaction Entry</v>
      </c>
      <c r="Q95" s="21" t="str">
        <f>"Purchases"</f>
        <v>Purchases</v>
      </c>
      <c r="R95" s="16">
        <v>141.84</v>
      </c>
      <c r="S95" s="16">
        <v>0</v>
      </c>
      <c r="T95" s="19">
        <f t="shared" si="5"/>
        <v>141.84</v>
      </c>
    </row>
    <row r="96" spans="1:20" x14ac:dyDescent="0.2">
      <c r="A96" s="28" t="s">
        <v>31</v>
      </c>
      <c r="B96" s="33"/>
      <c r="C96" s="33"/>
      <c r="F96" s="33">
        <f>F95</f>
        <v>18</v>
      </c>
      <c r="G96" s="33" t="str">
        <f>G95</f>
        <v>000-1300-01</v>
      </c>
      <c r="H96" s="36"/>
      <c r="K96" t="str">
        <f>"""GP Direct"",""Fabrikam, Inc."",""GL20000"",""DEX_ROW_ID"",""3565"""</f>
        <v>"GP Direct","Fabrikam, Inc.","GL20000","DEX_ROW_ID","3565"</v>
      </c>
      <c r="L96" s="15">
        <v>42381</v>
      </c>
      <c r="M96">
        <v>833</v>
      </c>
      <c r="N96" t="str">
        <f>"Advanced Office Systems"</f>
        <v>Advanced Office Systems</v>
      </c>
      <c r="O96" t="str">
        <f>"RCT1016"</f>
        <v>RCT1016</v>
      </c>
      <c r="P96" t="str">
        <f>"Receivings Transaction Entry"</f>
        <v>Receivings Transaction Entry</v>
      </c>
      <c r="Q96" s="21" t="str">
        <f>"Purchases"</f>
        <v>Purchases</v>
      </c>
      <c r="R96" s="16">
        <v>90.25</v>
      </c>
      <c r="S96" s="16">
        <v>0</v>
      </c>
      <c r="T96" s="19">
        <f t="shared" si="5"/>
        <v>90.25</v>
      </c>
    </row>
    <row r="97" spans="1:20" x14ac:dyDescent="0.2">
      <c r="A97" s="28" t="s">
        <v>31</v>
      </c>
      <c r="B97" s="33"/>
      <c r="C97" s="33"/>
      <c r="F97" s="33">
        <f>F96</f>
        <v>18</v>
      </c>
      <c r="G97" s="33" t="str">
        <f>G96</f>
        <v>000-1300-01</v>
      </c>
      <c r="H97" s="36"/>
      <c r="K97" t="str">
        <f>"""GP Direct"",""Fabrikam, Inc."",""GL20000"",""DEX_ROW_ID"",""3571"""</f>
        <v>"GP Direct","Fabrikam, Inc.","GL20000","DEX_ROW_ID","3571"</v>
      </c>
      <c r="L97" s="15">
        <v>42385</v>
      </c>
      <c r="M97">
        <v>836</v>
      </c>
      <c r="N97" t="str">
        <f>"Central Cellular, Inc."</f>
        <v>Central Cellular, Inc.</v>
      </c>
      <c r="O97" t="str">
        <f>"RCT1018"</f>
        <v>RCT1018</v>
      </c>
      <c r="P97" t="str">
        <f>"Receivings Transaction Entry"</f>
        <v>Receivings Transaction Entry</v>
      </c>
      <c r="Q97" s="21" t="str">
        <f>"Purchases"</f>
        <v>Purchases</v>
      </c>
      <c r="R97" s="16">
        <v>93.55</v>
      </c>
      <c r="S97" s="16">
        <v>0</v>
      </c>
      <c r="T97" s="19">
        <f t="shared" si="5"/>
        <v>93.55</v>
      </c>
    </row>
    <row r="98" spans="1:20" x14ac:dyDescent="0.2">
      <c r="A98" s="28" t="s">
        <v>31</v>
      </c>
      <c r="B98" s="33"/>
      <c r="C98" s="33"/>
      <c r="F98" s="33">
        <f>F97</f>
        <v>18</v>
      </c>
      <c r="G98" s="33" t="str">
        <f>G97</f>
        <v>000-1300-01</v>
      </c>
      <c r="H98" s="36"/>
      <c r="K98" t="str">
        <f>"""GP Direct"",""Fabrikam, Inc."",""GL20000"",""DEX_ROW_ID"",""3577"""</f>
        <v>"GP Direct","Fabrikam, Inc.","GL20000","DEX_ROW_ID","3577"</v>
      </c>
      <c r="L98" s="15">
        <v>42389</v>
      </c>
      <c r="M98">
        <v>839</v>
      </c>
      <c r="N98" t="str">
        <f>"Advanced Office Systems"</f>
        <v>Advanced Office Systems</v>
      </c>
      <c r="O98" t="str">
        <f>"RCT1020"</f>
        <v>RCT1020</v>
      </c>
      <c r="P98" t="str">
        <f>"Receivings Transaction Entry"</f>
        <v>Receivings Transaction Entry</v>
      </c>
      <c r="Q98" s="21" t="str">
        <f>"Purchases"</f>
        <v>Purchases</v>
      </c>
      <c r="R98" s="16">
        <v>103.79</v>
      </c>
      <c r="S98" s="16">
        <v>0</v>
      </c>
      <c r="T98" s="19">
        <f t="shared" si="5"/>
        <v>103.79</v>
      </c>
    </row>
    <row r="99" spans="1:20" x14ac:dyDescent="0.2">
      <c r="A99" s="28" t="s">
        <v>31</v>
      </c>
      <c r="B99" s="33"/>
      <c r="C99" s="33"/>
      <c r="F99" s="33">
        <f>F98</f>
        <v>18</v>
      </c>
      <c r="G99" s="33" t="str">
        <f>G98</f>
        <v>000-1300-01</v>
      </c>
      <c r="H99" s="36"/>
      <c r="K99" t="str">
        <f>"""GP Direct"",""Fabrikam, Inc."",""GL20000"",""DEX_ROW_ID"",""3583"""</f>
        <v>"GP Direct","Fabrikam, Inc.","GL20000","DEX_ROW_ID","3583"</v>
      </c>
      <c r="L99" s="15">
        <v>42391</v>
      </c>
      <c r="M99">
        <v>842</v>
      </c>
      <c r="N99" t="str">
        <f>"Attractive Telephone Co."</f>
        <v>Attractive Telephone Co.</v>
      </c>
      <c r="O99" t="str">
        <f>"RCT1022"</f>
        <v>RCT1022</v>
      </c>
      <c r="P99" t="str">
        <f>"Receivings Transaction Entry"</f>
        <v>Receivings Transaction Entry</v>
      </c>
      <c r="Q99" s="21" t="str">
        <f>"Purchases"</f>
        <v>Purchases</v>
      </c>
      <c r="R99" s="16">
        <v>271.62</v>
      </c>
      <c r="S99" s="16">
        <v>0</v>
      </c>
      <c r="T99" s="19">
        <f t="shared" si="5"/>
        <v>271.62</v>
      </c>
    </row>
    <row r="100" spans="1:20" x14ac:dyDescent="0.2">
      <c r="A100" s="28" t="s">
        <v>31</v>
      </c>
      <c r="B100" s="33"/>
      <c r="C100" s="33"/>
      <c r="F100" s="33">
        <f>F99</f>
        <v>18</v>
      </c>
      <c r="G100" s="33" t="str">
        <f>G99</f>
        <v>000-1300-01</v>
      </c>
      <c r="H100" s="36"/>
      <c r="K100" t="str">
        <f>"""GP Direct"",""Fabrikam, Inc."",""GL20000"",""DEX_ROW_ID"",""3589"""</f>
        <v>"GP Direct","Fabrikam, Inc.","GL20000","DEX_ROW_ID","3589"</v>
      </c>
      <c r="L100" s="15">
        <v>42393</v>
      </c>
      <c r="M100">
        <v>845</v>
      </c>
      <c r="N100" t="str">
        <f>"Green Lake Wire Company"</f>
        <v>Green Lake Wire Company</v>
      </c>
      <c r="O100" t="str">
        <f>"RCT1024"</f>
        <v>RCT1024</v>
      </c>
      <c r="P100" t="str">
        <f>"Receivings Transaction Entry"</f>
        <v>Receivings Transaction Entry</v>
      </c>
      <c r="Q100" s="21" t="str">
        <f>"Purchases"</f>
        <v>Purchases</v>
      </c>
      <c r="R100" s="16">
        <v>620</v>
      </c>
      <c r="S100" s="16">
        <v>0</v>
      </c>
      <c r="T100" s="19">
        <f t="shared" si="5"/>
        <v>620</v>
      </c>
    </row>
    <row r="101" spans="1:20" x14ac:dyDescent="0.2">
      <c r="A101" s="28" t="s">
        <v>31</v>
      </c>
      <c r="B101" s="33"/>
      <c r="C101" s="33"/>
      <c r="F101" s="33">
        <f>F100</f>
        <v>18</v>
      </c>
      <c r="G101" s="33" t="str">
        <f>G100</f>
        <v>000-1300-01</v>
      </c>
      <c r="H101" s="36"/>
      <c r="K101" t="str">
        <f>"""GP Direct"",""Fabrikam, Inc."",""GL20000"",""DEX_ROW_ID"",""3598"""</f>
        <v>"GP Direct","Fabrikam, Inc.","GL20000","DEX_ROW_ID","3598"</v>
      </c>
      <c r="L101" s="15">
        <v>42394</v>
      </c>
      <c r="M101">
        <v>848</v>
      </c>
      <c r="N101" t="str">
        <f>"Fabrikam, Inc."</f>
        <v>Fabrikam, Inc.</v>
      </c>
      <c r="O101" t="str">
        <f>"RCT1026"</f>
        <v>RCT1026</v>
      </c>
      <c r="P101" t="str">
        <f>"Receivings Transaction Entry"</f>
        <v>Receivings Transaction Entry</v>
      </c>
      <c r="Q101" s="21" t="str">
        <f>"Purchases"</f>
        <v>Purchases</v>
      </c>
      <c r="R101" s="16">
        <v>1262.5</v>
      </c>
      <c r="S101" s="16">
        <v>0</v>
      </c>
      <c r="T101" s="19">
        <f t="shared" si="5"/>
        <v>1262.5</v>
      </c>
    </row>
    <row r="102" spans="1:20" x14ac:dyDescent="0.2">
      <c r="A102" s="28" t="s">
        <v>31</v>
      </c>
      <c r="B102" s="33"/>
      <c r="C102" s="33"/>
      <c r="F102" s="33">
        <f>F101</f>
        <v>18</v>
      </c>
      <c r="G102" s="33" t="str">
        <f>G101</f>
        <v>000-1300-01</v>
      </c>
      <c r="H102" s="36"/>
      <c r="K102" t="str">
        <f>"""GP Direct"",""Fabrikam, Inc."",""GL20000"",""DEX_ROW_ID"",""3611"""</f>
        <v>"GP Direct","Fabrikam, Inc.","GL20000","DEX_ROW_ID","3611"</v>
      </c>
      <c r="L102" s="15">
        <v>42397</v>
      </c>
      <c r="M102">
        <v>854</v>
      </c>
      <c r="N102" t="str">
        <f>"ComVex, Inc."</f>
        <v>ComVex, Inc.</v>
      </c>
      <c r="O102" t="str">
        <f>"RCT1030"</f>
        <v>RCT1030</v>
      </c>
      <c r="P102" t="str">
        <f>"Receivings Transaction Entry"</f>
        <v>Receivings Transaction Entry</v>
      </c>
      <c r="Q102" s="21" t="str">
        <f>"Purchases"</f>
        <v>Purchases</v>
      </c>
      <c r="R102" s="16">
        <v>698.45</v>
      </c>
      <c r="S102" s="16">
        <v>0</v>
      </c>
      <c r="T102" s="19">
        <f t="shared" si="5"/>
        <v>698.45</v>
      </c>
    </row>
    <row r="103" spans="1:20" x14ac:dyDescent="0.2">
      <c r="A103" s="28" t="s">
        <v>31</v>
      </c>
      <c r="B103" s="33"/>
      <c r="C103" s="33"/>
      <c r="F103" s="33">
        <f>F102</f>
        <v>18</v>
      </c>
      <c r="G103" s="33" t="str">
        <f>G102</f>
        <v>000-1300-01</v>
      </c>
      <c r="H103" s="36"/>
      <c r="K103" t="str">
        <f>"""GP Direct"",""Fabrikam, Inc."",""GL20000"",""DEX_ROW_ID"",""3617"""</f>
        <v>"GP Direct","Fabrikam, Inc.","GL20000","DEX_ROW_ID","3617"</v>
      </c>
      <c r="L103" s="15">
        <v>42399</v>
      </c>
      <c r="M103">
        <v>857</v>
      </c>
      <c r="N103" t="str">
        <f>"AmericaCharge"</f>
        <v>AmericaCharge</v>
      </c>
      <c r="O103" t="str">
        <f>"RCT1032"</f>
        <v>RCT1032</v>
      </c>
      <c r="P103" t="str">
        <f>"Receivings Transaction Entry"</f>
        <v>Receivings Transaction Entry</v>
      </c>
      <c r="Q103" s="21" t="str">
        <f>"Purchases"</f>
        <v>Purchases</v>
      </c>
      <c r="R103" s="16">
        <v>1858</v>
      </c>
      <c r="S103" s="16">
        <v>0</v>
      </c>
      <c r="T103" s="19">
        <f t="shared" si="5"/>
        <v>1858</v>
      </c>
    </row>
    <row r="104" spans="1:20" x14ac:dyDescent="0.2">
      <c r="A104" s="28" t="s">
        <v>31</v>
      </c>
      <c r="B104" s="33"/>
      <c r="C104" s="33"/>
      <c r="F104" s="33">
        <f>F103</f>
        <v>18</v>
      </c>
      <c r="G104" s="33" t="str">
        <f>G103</f>
        <v>000-1300-01</v>
      </c>
      <c r="H104" s="36"/>
      <c r="K104" t="str">
        <f>"""GP Direct"",""Fabrikam, Inc."",""GL20000"",""DEX_ROW_ID"",""3847"""</f>
        <v>"GP Direct","Fabrikam, Inc.","GL20000","DEX_ROW_ID","3847"</v>
      </c>
      <c r="L104" s="15">
        <v>42370</v>
      </c>
      <c r="M104">
        <v>951</v>
      </c>
      <c r="N104" t="str">
        <f>"Contoso, Ltd."</f>
        <v>Contoso, Ltd.</v>
      </c>
      <c r="O104" t="str">
        <f>"STDINV2000"</f>
        <v>STDINV2000</v>
      </c>
      <c r="P104" t="str">
        <f>"Sales Transaction Entry"</f>
        <v>Sales Transaction Entry</v>
      </c>
      <c r="Q104" s="21" t="str">
        <f>"Inventory"</f>
        <v>Inventory</v>
      </c>
      <c r="R104" s="16">
        <v>0</v>
      </c>
      <c r="S104" s="16">
        <v>-1507.7</v>
      </c>
      <c r="T104" s="19">
        <f t="shared" si="5"/>
        <v>-1507.7</v>
      </c>
    </row>
    <row r="105" spans="1:20" x14ac:dyDescent="0.2">
      <c r="A105" s="28" t="s">
        <v>31</v>
      </c>
      <c r="B105" s="33"/>
      <c r="C105" s="33"/>
      <c r="F105" s="33">
        <f>F104</f>
        <v>18</v>
      </c>
      <c r="G105" s="33" t="str">
        <f>G104</f>
        <v>000-1300-01</v>
      </c>
      <c r="H105" s="36"/>
      <c r="K105" t="str">
        <f>"""GP Direct"",""Fabrikam, Inc."",""GL20000"",""DEX_ROW_ID"",""3855"""</f>
        <v>"GP Direct","Fabrikam, Inc.","GL20000","DEX_ROW_ID","3855"</v>
      </c>
      <c r="L105" s="15">
        <v>42371</v>
      </c>
      <c r="M105">
        <v>953</v>
      </c>
      <c r="N105" t="str">
        <f>"American Science Museum"</f>
        <v>American Science Museum</v>
      </c>
      <c r="O105" t="str">
        <f>"STDINV2001"</f>
        <v>STDINV2001</v>
      </c>
      <c r="P105" t="str">
        <f>"Sales Transaction Entry"</f>
        <v>Sales Transaction Entry</v>
      </c>
      <c r="Q105" s="21" t="str">
        <f>"Inventory"</f>
        <v>Inventory</v>
      </c>
      <c r="R105" s="16">
        <v>0</v>
      </c>
      <c r="S105" s="16">
        <v>-555.54</v>
      </c>
      <c r="T105" s="19">
        <f t="shared" si="5"/>
        <v>-555.54</v>
      </c>
    </row>
    <row r="106" spans="1:20" x14ac:dyDescent="0.2">
      <c r="A106" s="28" t="s">
        <v>31</v>
      </c>
      <c r="B106" s="33"/>
      <c r="C106" s="33"/>
      <c r="F106" s="33">
        <f>F105</f>
        <v>18</v>
      </c>
      <c r="G106" s="33" t="str">
        <f>G105</f>
        <v>000-1300-01</v>
      </c>
      <c r="H106" s="36"/>
      <c r="K106" t="str">
        <f>"""GP Direct"",""Fabrikam, Inc."",""GL20000"",""DEX_ROW_ID"",""3863"""</f>
        <v>"GP Direct","Fabrikam, Inc.","GL20000","DEX_ROW_ID","3863"</v>
      </c>
      <c r="L106" s="15">
        <v>42372</v>
      </c>
      <c r="M106">
        <v>955</v>
      </c>
      <c r="N106" t="str">
        <f>"Aaron Fitz Electrical"</f>
        <v>Aaron Fitz Electrical</v>
      </c>
      <c r="O106" t="str">
        <f>"STDINV2002"</f>
        <v>STDINV2002</v>
      </c>
      <c r="P106" t="str">
        <f>"Sales Transaction Entry"</f>
        <v>Sales Transaction Entry</v>
      </c>
      <c r="Q106" s="21" t="str">
        <f>"Inventory"</f>
        <v>Inventory</v>
      </c>
      <c r="R106" s="16">
        <v>0</v>
      </c>
      <c r="S106" s="16">
        <v>-555.54</v>
      </c>
      <c r="T106" s="19">
        <f t="shared" si="5"/>
        <v>-555.54</v>
      </c>
    </row>
    <row r="107" spans="1:20" x14ac:dyDescent="0.2">
      <c r="A107" s="28" t="s">
        <v>31</v>
      </c>
      <c r="B107" s="33"/>
      <c r="C107" s="33"/>
      <c r="F107" s="33">
        <f>F106</f>
        <v>18</v>
      </c>
      <c r="G107" s="33" t="str">
        <f>G106</f>
        <v>000-1300-01</v>
      </c>
      <c r="H107" s="36"/>
      <c r="K107" t="str">
        <f>"""GP Direct"",""Fabrikam, Inc."",""GL20000"",""DEX_ROW_ID"",""3871"""</f>
        <v>"GP Direct","Fabrikam, Inc.","GL20000","DEX_ROW_ID","3871"</v>
      </c>
      <c r="L107" s="15">
        <v>42372</v>
      </c>
      <c r="M107">
        <v>957</v>
      </c>
      <c r="N107" t="str">
        <f>"Advanced Paper Co."</f>
        <v>Advanced Paper Co.</v>
      </c>
      <c r="O107" t="str">
        <f>"STDINV2003"</f>
        <v>STDINV2003</v>
      </c>
      <c r="P107" t="str">
        <f>"Sales Transaction Entry"</f>
        <v>Sales Transaction Entry</v>
      </c>
      <c r="Q107" s="21" t="str">
        <f>"Inventory"</f>
        <v>Inventory</v>
      </c>
      <c r="R107" s="16">
        <v>0</v>
      </c>
      <c r="S107" s="16">
        <v>-111.92</v>
      </c>
      <c r="T107" s="19">
        <f t="shared" si="5"/>
        <v>-111.92</v>
      </c>
    </row>
    <row r="108" spans="1:20" x14ac:dyDescent="0.2">
      <c r="A108" s="28" t="s">
        <v>31</v>
      </c>
      <c r="B108" s="33"/>
      <c r="C108" s="33"/>
      <c r="F108" s="33">
        <f>F107</f>
        <v>18</v>
      </c>
      <c r="G108" s="33" t="str">
        <f>G107</f>
        <v>000-1300-01</v>
      </c>
      <c r="H108" s="36"/>
      <c r="K108" t="str">
        <f>"""GP Direct"",""Fabrikam, Inc."",""GL20000"",""DEX_ROW_ID"",""3879"""</f>
        <v>"GP Direct","Fabrikam, Inc.","GL20000","DEX_ROW_ID","3879"</v>
      </c>
      <c r="L108" s="15">
        <v>42373</v>
      </c>
      <c r="M108">
        <v>959</v>
      </c>
      <c r="N108" t="str">
        <f>"Riverside University"</f>
        <v>Riverside University</v>
      </c>
      <c r="O108" t="str">
        <f>"STDINV2004"</f>
        <v>STDINV2004</v>
      </c>
      <c r="P108" t="str">
        <f>"Sales Transaction Entry"</f>
        <v>Sales Transaction Entry</v>
      </c>
      <c r="Q108" s="21" t="str">
        <f>"Inventory"</f>
        <v>Inventory</v>
      </c>
      <c r="R108" s="16">
        <v>0</v>
      </c>
      <c r="S108" s="16">
        <v>-185.18</v>
      </c>
      <c r="T108" s="19">
        <f t="shared" si="5"/>
        <v>-185.18</v>
      </c>
    </row>
    <row r="109" spans="1:20" x14ac:dyDescent="0.2">
      <c r="A109" s="28" t="s">
        <v>31</v>
      </c>
      <c r="B109" s="33"/>
      <c r="C109" s="33"/>
      <c r="F109" s="33">
        <f>F108</f>
        <v>18</v>
      </c>
      <c r="G109" s="33" t="str">
        <f>G108</f>
        <v>000-1300-01</v>
      </c>
      <c r="H109" s="36"/>
      <c r="K109" t="str">
        <f>"""GP Direct"",""Fabrikam, Inc."",""GL20000"",""DEX_ROW_ID"",""3887"""</f>
        <v>"GP Direct","Fabrikam, Inc.","GL20000","DEX_ROW_ID","3887"</v>
      </c>
      <c r="L109" s="15">
        <v>42374</v>
      </c>
      <c r="M109">
        <v>961</v>
      </c>
      <c r="N109" t="str">
        <f>"Aaron Fitz Electrical"</f>
        <v>Aaron Fitz Electrical</v>
      </c>
      <c r="O109" t="str">
        <f>"STDINV2005"</f>
        <v>STDINV2005</v>
      </c>
      <c r="P109" t="str">
        <f>"Sales Transaction Entry"</f>
        <v>Sales Transaction Entry</v>
      </c>
      <c r="Q109" s="21" t="str">
        <f>"Inventory"</f>
        <v>Inventory</v>
      </c>
      <c r="R109" s="16">
        <v>0</v>
      </c>
      <c r="S109" s="16">
        <v>-479.05</v>
      </c>
      <c r="T109" s="19">
        <f t="shared" si="5"/>
        <v>-479.05</v>
      </c>
    </row>
    <row r="110" spans="1:20" x14ac:dyDescent="0.2">
      <c r="A110" s="28" t="s">
        <v>31</v>
      </c>
      <c r="B110" s="33"/>
      <c r="C110" s="33"/>
      <c r="F110" s="33">
        <f>F109</f>
        <v>18</v>
      </c>
      <c r="G110" s="33" t="str">
        <f>G109</f>
        <v>000-1300-01</v>
      </c>
      <c r="H110" s="36"/>
      <c r="K110" t="str">
        <f>"""GP Direct"",""Fabrikam, Inc."",""GL20000"",""DEX_ROW_ID"",""3895"""</f>
        <v>"GP Direct","Fabrikam, Inc.","GL20000","DEX_ROW_ID","3895"</v>
      </c>
      <c r="L110" s="15">
        <v>42374</v>
      </c>
      <c r="M110">
        <v>963</v>
      </c>
      <c r="N110" t="str">
        <f>"Aaron Fitz Electrical"</f>
        <v>Aaron Fitz Electrical</v>
      </c>
      <c r="O110" t="str">
        <f>"STDINV2006"</f>
        <v>STDINV2006</v>
      </c>
      <c r="P110" t="str">
        <f>"Sales Transaction Entry"</f>
        <v>Sales Transaction Entry</v>
      </c>
      <c r="Q110" s="21" t="str">
        <f>"Inventory"</f>
        <v>Inventory</v>
      </c>
      <c r="R110" s="16">
        <v>0</v>
      </c>
      <c r="S110" s="16">
        <v>-172.95</v>
      </c>
      <c r="T110" s="19">
        <f t="shared" si="5"/>
        <v>-172.95</v>
      </c>
    </row>
    <row r="111" spans="1:20" x14ac:dyDescent="0.2">
      <c r="A111" s="28" t="s">
        <v>31</v>
      </c>
      <c r="B111" s="33"/>
      <c r="C111" s="33"/>
      <c r="F111" s="33">
        <f>F110</f>
        <v>18</v>
      </c>
      <c r="G111" s="33" t="str">
        <f>G110</f>
        <v>000-1300-01</v>
      </c>
      <c r="H111" s="36"/>
      <c r="K111" t="str">
        <f>"""GP Direct"",""Fabrikam, Inc."",""GL20000"",""DEX_ROW_ID"",""3903"""</f>
        <v>"GP Direct","Fabrikam, Inc.","GL20000","DEX_ROW_ID","3903"</v>
      </c>
      <c r="L111" s="15">
        <v>42375</v>
      </c>
      <c r="M111">
        <v>965</v>
      </c>
      <c r="N111" t="str">
        <f>"Plaza One"</f>
        <v>Plaza One</v>
      </c>
      <c r="O111" t="str">
        <f>"STDINV2007"</f>
        <v>STDINV2007</v>
      </c>
      <c r="P111" t="str">
        <f>"Sales Transaction Entry"</f>
        <v>Sales Transaction Entry</v>
      </c>
      <c r="Q111" s="21" t="str">
        <f>"Inventory"</f>
        <v>Inventory</v>
      </c>
      <c r="R111" s="16">
        <v>0</v>
      </c>
      <c r="S111" s="16">
        <v>-150.30000000000001</v>
      </c>
      <c r="T111" s="19">
        <f t="shared" si="5"/>
        <v>-150.30000000000001</v>
      </c>
    </row>
    <row r="112" spans="1:20" x14ac:dyDescent="0.2">
      <c r="A112" s="28" t="s">
        <v>31</v>
      </c>
      <c r="B112" s="33"/>
      <c r="C112" s="33"/>
      <c r="F112" s="33">
        <f>F111</f>
        <v>18</v>
      </c>
      <c r="G112" s="33" t="str">
        <f>G111</f>
        <v>000-1300-01</v>
      </c>
      <c r="H112" s="36"/>
      <c r="K112" t="str">
        <f>"""GP Direct"",""Fabrikam, Inc."",""GL20000"",""DEX_ROW_ID"",""3911"""</f>
        <v>"GP Direct","Fabrikam, Inc.","GL20000","DEX_ROW_ID","3911"</v>
      </c>
      <c r="L112" s="15">
        <v>42375</v>
      </c>
      <c r="M112">
        <v>967</v>
      </c>
      <c r="N112" t="str">
        <f>"Londonberry Nursing Home"</f>
        <v>Londonberry Nursing Home</v>
      </c>
      <c r="O112" t="str">
        <f>"STDINV2008"</f>
        <v>STDINV2008</v>
      </c>
      <c r="P112" t="str">
        <f>"Sales Transaction Entry"</f>
        <v>Sales Transaction Entry</v>
      </c>
      <c r="Q112" s="21" t="str">
        <f>"Inventory"</f>
        <v>Inventory</v>
      </c>
      <c r="R112" s="16">
        <v>0</v>
      </c>
      <c r="S112" s="16">
        <v>-89.25</v>
      </c>
      <c r="T112" s="19">
        <f t="shared" si="5"/>
        <v>-89.25</v>
      </c>
    </row>
    <row r="113" spans="1:20" x14ac:dyDescent="0.2">
      <c r="A113" s="28" t="s">
        <v>31</v>
      </c>
      <c r="B113" s="33"/>
      <c r="C113" s="33"/>
      <c r="F113" s="33">
        <f>F112</f>
        <v>18</v>
      </c>
      <c r="G113" s="33" t="str">
        <f>G112</f>
        <v>000-1300-01</v>
      </c>
      <c r="H113" s="36"/>
      <c r="K113" t="str">
        <f>"""GP Direct"",""Fabrikam, Inc."",""GL20000"",""DEX_ROW_ID"",""3919"""</f>
        <v>"GP Direct","Fabrikam, Inc.","GL20000","DEX_ROW_ID","3919"</v>
      </c>
      <c r="L113" s="15">
        <v>42376</v>
      </c>
      <c r="M113">
        <v>969</v>
      </c>
      <c r="N113" t="str">
        <f>"Midland Construction"</f>
        <v>Midland Construction</v>
      </c>
      <c r="O113" t="str">
        <f>"STDINV2009"</f>
        <v>STDINV2009</v>
      </c>
      <c r="P113" t="str">
        <f>"Sales Transaction Entry"</f>
        <v>Sales Transaction Entry</v>
      </c>
      <c r="Q113" s="21" t="str">
        <f>"Inventory"</f>
        <v>Inventory</v>
      </c>
      <c r="R113" s="16">
        <v>0</v>
      </c>
      <c r="S113" s="16">
        <v>-11.96</v>
      </c>
      <c r="T113" s="19">
        <f t="shared" si="5"/>
        <v>-11.96</v>
      </c>
    </row>
    <row r="114" spans="1:20" x14ac:dyDescent="0.2">
      <c r="A114" s="28" t="s">
        <v>31</v>
      </c>
      <c r="B114" s="33"/>
      <c r="C114" s="33"/>
      <c r="F114" s="33">
        <f>F113</f>
        <v>18</v>
      </c>
      <c r="G114" s="33" t="str">
        <f>G113</f>
        <v>000-1300-01</v>
      </c>
      <c r="H114" s="36"/>
      <c r="K114" t="str">
        <f>"""GP Direct"",""Fabrikam, Inc."",""GL20000"",""DEX_ROW_ID"",""3927"""</f>
        <v>"GP Direct","Fabrikam, Inc.","GL20000","DEX_ROW_ID","3927"</v>
      </c>
      <c r="L114" s="15">
        <v>42376</v>
      </c>
      <c r="M114">
        <v>971</v>
      </c>
      <c r="N114" t="str">
        <f>"Aaron Fitz Electrical"</f>
        <v>Aaron Fitz Electrical</v>
      </c>
      <c r="O114" t="str">
        <f>"STDINV2010"</f>
        <v>STDINV2010</v>
      </c>
      <c r="P114" t="str">
        <f>"Sales Transaction Entry"</f>
        <v>Sales Transaction Entry</v>
      </c>
      <c r="Q114" s="21" t="str">
        <f>"Inventory"</f>
        <v>Inventory</v>
      </c>
      <c r="R114" s="16">
        <v>0</v>
      </c>
      <c r="S114" s="16">
        <v>-187.1</v>
      </c>
      <c r="T114" s="19">
        <f t="shared" si="5"/>
        <v>-187.1</v>
      </c>
    </row>
    <row r="115" spans="1:20" x14ac:dyDescent="0.2">
      <c r="A115" s="28" t="s">
        <v>31</v>
      </c>
      <c r="B115" s="33"/>
      <c r="C115" s="33"/>
      <c r="F115" s="33">
        <f>F114</f>
        <v>18</v>
      </c>
      <c r="G115" s="33" t="str">
        <f>G114</f>
        <v>000-1300-01</v>
      </c>
      <c r="H115" s="36"/>
      <c r="K115" t="str">
        <f>"""GP Direct"",""Fabrikam, Inc."",""GL20000"",""DEX_ROW_ID"",""3937"""</f>
        <v>"GP Direct","Fabrikam, Inc.","GL20000","DEX_ROW_ID","3937"</v>
      </c>
      <c r="L115" s="15">
        <v>42377</v>
      </c>
      <c r="M115">
        <v>973</v>
      </c>
      <c r="N115" t="str">
        <f>"Aaron Fitz Electrical"</f>
        <v>Aaron Fitz Electrical</v>
      </c>
      <c r="O115" t="str">
        <f>"STDINV2011"</f>
        <v>STDINV2011</v>
      </c>
      <c r="P115" t="str">
        <f>"Sales Transaction Entry"</f>
        <v>Sales Transaction Entry</v>
      </c>
      <c r="Q115" s="21" t="str">
        <f>"Inventory"</f>
        <v>Inventory</v>
      </c>
      <c r="R115" s="16">
        <v>0</v>
      </c>
      <c r="S115" s="16">
        <v>-16.45</v>
      </c>
      <c r="T115" s="19">
        <f t="shared" si="5"/>
        <v>-16.45</v>
      </c>
    </row>
    <row r="116" spans="1:20" x14ac:dyDescent="0.2">
      <c r="A116" s="28" t="s">
        <v>31</v>
      </c>
      <c r="B116" s="33"/>
      <c r="C116" s="33"/>
      <c r="F116" s="33">
        <f>F115</f>
        <v>18</v>
      </c>
      <c r="G116" s="33" t="str">
        <f>G115</f>
        <v>000-1300-01</v>
      </c>
      <c r="H116" s="36"/>
      <c r="K116" t="str">
        <f>"""GP Direct"",""Fabrikam, Inc."",""GL20000"",""DEX_ROW_ID"",""3947"""</f>
        <v>"GP Direct","Fabrikam, Inc.","GL20000","DEX_ROW_ID","3947"</v>
      </c>
      <c r="L116" s="15">
        <v>42377</v>
      </c>
      <c r="M116">
        <v>975</v>
      </c>
      <c r="N116" t="str">
        <f>"Aaron Fitz Electrical"</f>
        <v>Aaron Fitz Electrical</v>
      </c>
      <c r="O116" t="str">
        <f>"STDINV2012"</f>
        <v>STDINV2012</v>
      </c>
      <c r="P116" t="str">
        <f>"Sales Transaction Entry"</f>
        <v>Sales Transaction Entry</v>
      </c>
      <c r="Q116" s="21" t="str">
        <f>"Inventory"</f>
        <v>Inventory</v>
      </c>
      <c r="R116" s="16">
        <v>0</v>
      </c>
      <c r="S116" s="16">
        <v>-21.55</v>
      </c>
      <c r="T116" s="19">
        <f t="shared" si="5"/>
        <v>-21.55</v>
      </c>
    </row>
    <row r="117" spans="1:20" x14ac:dyDescent="0.2">
      <c r="A117" s="28" t="s">
        <v>31</v>
      </c>
      <c r="B117" s="33"/>
      <c r="C117" s="33"/>
      <c r="F117" s="33">
        <f>F116</f>
        <v>18</v>
      </c>
      <c r="G117" s="33" t="str">
        <f>G116</f>
        <v>000-1300-01</v>
      </c>
      <c r="H117" s="36"/>
      <c r="K117" t="str">
        <f>"""GP Direct"",""Fabrikam, Inc."",""GL20000"",""DEX_ROW_ID"",""3957"""</f>
        <v>"GP Direct","Fabrikam, Inc.","GL20000","DEX_ROW_ID","3957"</v>
      </c>
      <c r="L117" s="15">
        <v>42378</v>
      </c>
      <c r="M117">
        <v>977</v>
      </c>
      <c r="N117" t="str">
        <f>"ISN Industries"</f>
        <v>ISN Industries</v>
      </c>
      <c r="O117" t="str">
        <f>"STDINV2013"</f>
        <v>STDINV2013</v>
      </c>
      <c r="P117" t="str">
        <f>"Sales Transaction Entry"</f>
        <v>Sales Transaction Entry</v>
      </c>
      <c r="Q117" s="21" t="str">
        <f>"Inventory"</f>
        <v>Inventory</v>
      </c>
      <c r="R117" s="16">
        <v>0</v>
      </c>
      <c r="S117" s="16">
        <v>-674.5</v>
      </c>
      <c r="T117" s="19">
        <f t="shared" si="5"/>
        <v>-674.5</v>
      </c>
    </row>
    <row r="118" spans="1:20" x14ac:dyDescent="0.2">
      <c r="A118" s="28" t="s">
        <v>31</v>
      </c>
      <c r="B118" s="33"/>
      <c r="C118" s="33"/>
      <c r="F118" s="33">
        <f>F117</f>
        <v>18</v>
      </c>
      <c r="G118" s="33" t="str">
        <f>G117</f>
        <v>000-1300-01</v>
      </c>
      <c r="H118" s="36"/>
      <c r="K118" t="str">
        <f>"""GP Direct"",""Fabrikam, Inc."",""GL20000"",""DEX_ROW_ID"",""3967"""</f>
        <v>"GP Direct","Fabrikam, Inc.","GL20000","DEX_ROW_ID","3967"</v>
      </c>
      <c r="L118" s="15">
        <v>42379</v>
      </c>
      <c r="M118">
        <v>979</v>
      </c>
      <c r="N118" t="str">
        <f>"Contoso, Ltd."</f>
        <v>Contoso, Ltd.</v>
      </c>
      <c r="O118" t="str">
        <f>"STDINV2014"</f>
        <v>STDINV2014</v>
      </c>
      <c r="P118" t="str">
        <f>"Sales Transaction Entry"</f>
        <v>Sales Transaction Entry</v>
      </c>
      <c r="Q118" s="21" t="str">
        <f>"Inventory"</f>
        <v>Inventory</v>
      </c>
      <c r="R118" s="16">
        <v>0</v>
      </c>
      <c r="S118" s="16">
        <v>-92.59</v>
      </c>
      <c r="T118" s="19">
        <f t="shared" si="5"/>
        <v>-92.59</v>
      </c>
    </row>
    <row r="119" spans="1:20" x14ac:dyDescent="0.2">
      <c r="A119" s="28" t="s">
        <v>31</v>
      </c>
      <c r="B119" s="33"/>
      <c r="C119" s="33"/>
      <c r="F119" s="33">
        <f>F118</f>
        <v>18</v>
      </c>
      <c r="G119" s="33" t="str">
        <f>G118</f>
        <v>000-1300-01</v>
      </c>
      <c r="H119" s="36"/>
      <c r="K119" t="str">
        <f>"""GP Direct"",""Fabrikam, Inc."",""GL20000"",""DEX_ROW_ID"",""3976"""</f>
        <v>"GP Direct","Fabrikam, Inc.","GL20000","DEX_ROW_ID","3976"</v>
      </c>
      <c r="L119" s="15">
        <v>42380</v>
      </c>
      <c r="M119">
        <v>981</v>
      </c>
      <c r="N119" t="str">
        <f>"Vancouver Resort Hotels"</f>
        <v>Vancouver Resort Hotels</v>
      </c>
      <c r="O119" t="str">
        <f>"STDINV2015"</f>
        <v>STDINV2015</v>
      </c>
      <c r="P119" t="str">
        <f>"Sales Transaction Entry"</f>
        <v>Sales Transaction Entry</v>
      </c>
      <c r="Q119" s="21" t="str">
        <f>"Inventory"</f>
        <v>Inventory</v>
      </c>
      <c r="R119" s="16">
        <v>0</v>
      </c>
      <c r="S119" s="16">
        <v>-301.54000000000002</v>
      </c>
      <c r="T119" s="19">
        <f t="shared" si="5"/>
        <v>-301.54000000000002</v>
      </c>
    </row>
    <row r="120" spans="1:20" x14ac:dyDescent="0.2">
      <c r="A120" s="28" t="s">
        <v>31</v>
      </c>
      <c r="B120" s="33"/>
      <c r="C120" s="33"/>
      <c r="F120" s="33">
        <f>F119</f>
        <v>18</v>
      </c>
      <c r="G120" s="33" t="str">
        <f>G119</f>
        <v>000-1300-01</v>
      </c>
      <c r="H120" s="36"/>
      <c r="K120" t="str">
        <f>"""GP Direct"",""Fabrikam, Inc."",""GL20000"",""DEX_ROW_ID"",""3986"""</f>
        <v>"GP Direct","Fabrikam, Inc.","GL20000","DEX_ROW_ID","3986"</v>
      </c>
      <c r="L120" s="15">
        <v>42381</v>
      </c>
      <c r="M120">
        <v>983</v>
      </c>
      <c r="N120" t="str">
        <f>"Plaza One"</f>
        <v>Plaza One</v>
      </c>
      <c r="O120" t="str">
        <f>"STDINV2016"</f>
        <v>STDINV2016</v>
      </c>
      <c r="P120" t="str">
        <f>"Sales Transaction Entry"</f>
        <v>Sales Transaction Entry</v>
      </c>
      <c r="Q120" s="21" t="str">
        <f>"Inventory"</f>
        <v>Inventory</v>
      </c>
      <c r="R120" s="16">
        <v>0</v>
      </c>
      <c r="S120" s="16">
        <v>-466.79</v>
      </c>
      <c r="T120" s="19">
        <f t="shared" si="5"/>
        <v>-466.79</v>
      </c>
    </row>
    <row r="121" spans="1:20" x14ac:dyDescent="0.2">
      <c r="A121" s="28" t="s">
        <v>31</v>
      </c>
      <c r="B121" s="33"/>
      <c r="C121" s="33"/>
      <c r="F121" s="33">
        <f>F120</f>
        <v>18</v>
      </c>
      <c r="G121" s="33" t="str">
        <f>G120</f>
        <v>000-1300-01</v>
      </c>
      <c r="H121" s="36"/>
      <c r="K121" t="str">
        <f>"""GP Direct"",""Fabrikam, Inc."",""GL20000"",""DEX_ROW_ID"",""3996"""</f>
        <v>"GP Direct","Fabrikam, Inc.","GL20000","DEX_ROW_ID","3996"</v>
      </c>
      <c r="L121" s="15">
        <v>42382</v>
      </c>
      <c r="M121">
        <v>985</v>
      </c>
      <c r="N121" t="str">
        <f>"Central Communications LTD"</f>
        <v>Central Communications LTD</v>
      </c>
      <c r="O121" t="str">
        <f>"STDINV2017"</f>
        <v>STDINV2017</v>
      </c>
      <c r="P121" t="str">
        <f>"Sales Transaction Entry"</f>
        <v>Sales Transaction Entry</v>
      </c>
      <c r="Q121" s="21" t="str">
        <f>"Inventory"</f>
        <v>Inventory</v>
      </c>
      <c r="R121" s="16">
        <v>0</v>
      </c>
      <c r="S121" s="16">
        <v>-9.8699999999999992</v>
      </c>
      <c r="T121" s="19">
        <f t="shared" si="5"/>
        <v>-9.8699999999999992</v>
      </c>
    </row>
    <row r="122" spans="1:20" x14ac:dyDescent="0.2">
      <c r="A122" s="28" t="s">
        <v>31</v>
      </c>
      <c r="B122" s="33"/>
      <c r="C122" s="33"/>
      <c r="F122" s="33">
        <f>F121</f>
        <v>18</v>
      </c>
      <c r="G122" s="33" t="str">
        <f>G121</f>
        <v>000-1300-01</v>
      </c>
      <c r="H122" s="36"/>
      <c r="K122" t="str">
        <f>"""GP Direct"",""Fabrikam, Inc."",""GL20000"",""DEX_ROW_ID"",""4005"""</f>
        <v>"GP Direct","Fabrikam, Inc.","GL20000","DEX_ROW_ID","4005"</v>
      </c>
      <c r="L122" s="15">
        <v>42383</v>
      </c>
      <c r="M122">
        <v>987</v>
      </c>
      <c r="N122" t="str">
        <f>"Magnificent Office Images"</f>
        <v>Magnificent Office Images</v>
      </c>
      <c r="O122" t="str">
        <f>"STDINV2018"</f>
        <v>STDINV2018</v>
      </c>
      <c r="P122" t="str">
        <f>"Sales Transaction Entry"</f>
        <v>Sales Transaction Entry</v>
      </c>
      <c r="Q122" s="21" t="str">
        <f>"Inventory"</f>
        <v>Inventory</v>
      </c>
      <c r="R122" s="16">
        <v>0</v>
      </c>
      <c r="S122" s="16">
        <v>-331.7</v>
      </c>
      <c r="T122" s="19">
        <f t="shared" si="5"/>
        <v>-331.7</v>
      </c>
    </row>
    <row r="123" spans="1:20" x14ac:dyDescent="0.2">
      <c r="A123" s="28" t="s">
        <v>31</v>
      </c>
      <c r="B123" s="33"/>
      <c r="C123" s="33"/>
      <c r="F123" s="33">
        <f>F122</f>
        <v>18</v>
      </c>
      <c r="G123" s="33" t="str">
        <f>G122</f>
        <v>000-1300-01</v>
      </c>
      <c r="H123" s="36"/>
      <c r="K123" t="str">
        <f>"""GP Direct"",""Fabrikam, Inc."",""GL20000"",""DEX_ROW_ID"",""4015"""</f>
        <v>"GP Direct","Fabrikam, Inc.","GL20000","DEX_ROW_ID","4015"</v>
      </c>
      <c r="L123" s="15">
        <v>42384</v>
      </c>
      <c r="M123">
        <v>989</v>
      </c>
      <c r="N123" t="str">
        <f>"Metropolitan Fiber Systems"</f>
        <v>Metropolitan Fiber Systems</v>
      </c>
      <c r="O123" t="str">
        <f>"STDINV2019"</f>
        <v>STDINV2019</v>
      </c>
      <c r="P123" t="str">
        <f>"Sales Transaction Entry"</f>
        <v>Sales Transaction Entry</v>
      </c>
      <c r="Q123" s="21" t="str">
        <f>"Inventory"</f>
        <v>Inventory</v>
      </c>
      <c r="R123" s="16">
        <v>0</v>
      </c>
      <c r="S123" s="16">
        <v>-9.8699999999999992</v>
      </c>
      <c r="T123" s="19">
        <f t="shared" si="5"/>
        <v>-9.8699999999999992</v>
      </c>
    </row>
    <row r="124" spans="1:20" x14ac:dyDescent="0.2">
      <c r="A124" s="28" t="s">
        <v>31</v>
      </c>
      <c r="B124" s="33"/>
      <c r="C124" s="33"/>
      <c r="F124" s="33">
        <f>F123</f>
        <v>18</v>
      </c>
      <c r="G124" s="33" t="str">
        <f>G123</f>
        <v>000-1300-01</v>
      </c>
      <c r="H124" s="36"/>
      <c r="K124" t="str">
        <f>"""GP Direct"",""Fabrikam, Inc."",""GL20000"",""DEX_ROW_ID"",""4023"""</f>
        <v>"GP Direct","Fabrikam, Inc.","GL20000","DEX_ROW_ID","4023"</v>
      </c>
      <c r="L124" s="15">
        <v>42385</v>
      </c>
      <c r="M124">
        <v>991</v>
      </c>
      <c r="N124" t="str">
        <f>"Mahler State University"</f>
        <v>Mahler State University</v>
      </c>
      <c r="O124" t="str">
        <f>"STDINV2020"</f>
        <v>STDINV2020</v>
      </c>
      <c r="P124" t="str">
        <f>"Sales Transaction Entry"</f>
        <v>Sales Transaction Entry</v>
      </c>
      <c r="Q124" s="21" t="str">
        <f>"Inventory"</f>
        <v>Inventory</v>
      </c>
      <c r="R124" s="16">
        <v>0</v>
      </c>
      <c r="S124" s="16">
        <v>-6376.94</v>
      </c>
      <c r="T124" s="19">
        <f t="shared" si="5"/>
        <v>-6376.94</v>
      </c>
    </row>
    <row r="125" spans="1:20" x14ac:dyDescent="0.2">
      <c r="A125" s="28" t="s">
        <v>31</v>
      </c>
      <c r="B125" s="33"/>
      <c r="C125" s="33"/>
      <c r="F125" s="33">
        <f>F124</f>
        <v>18</v>
      </c>
      <c r="G125" s="33" t="str">
        <f>G124</f>
        <v>000-1300-01</v>
      </c>
      <c r="H125" s="36"/>
      <c r="K125" t="str">
        <f>"""GP Direct"",""Fabrikam, Inc."",""GL20000"",""DEX_ROW_ID"",""4033"""</f>
        <v>"GP Direct","Fabrikam, Inc.","GL20000","DEX_ROW_ID","4033"</v>
      </c>
      <c r="L125" s="15">
        <v>42386</v>
      </c>
      <c r="M125">
        <v>993</v>
      </c>
      <c r="N125" t="str">
        <f>"Lawrence Telemarketing"</f>
        <v>Lawrence Telemarketing</v>
      </c>
      <c r="O125" t="str">
        <f>"STDINV2021"</f>
        <v>STDINV2021</v>
      </c>
      <c r="P125" t="str">
        <f>"Sales Transaction Entry"</f>
        <v>Sales Transaction Entry</v>
      </c>
      <c r="Q125" s="21" t="str">
        <f>"Inventory"</f>
        <v>Inventory</v>
      </c>
      <c r="R125" s="16">
        <v>0</v>
      </c>
      <c r="S125" s="16">
        <v>-2998.15</v>
      </c>
      <c r="T125" s="19">
        <f t="shared" si="5"/>
        <v>-2998.15</v>
      </c>
    </row>
    <row r="126" spans="1:20" x14ac:dyDescent="0.2">
      <c r="A126" s="28" t="s">
        <v>31</v>
      </c>
      <c r="B126" s="33"/>
      <c r="C126" s="33"/>
      <c r="F126" s="33">
        <f>F125</f>
        <v>18</v>
      </c>
      <c r="G126" s="33" t="str">
        <f>G125</f>
        <v>000-1300-01</v>
      </c>
      <c r="H126" s="36"/>
      <c r="K126" t="str">
        <f>"""GP Direct"",""Fabrikam, Inc."",""GL20000"",""DEX_ROW_ID"",""4041"""</f>
        <v>"GP Direct","Fabrikam, Inc.","GL20000","DEX_ROW_ID","4041"</v>
      </c>
      <c r="L126" s="15">
        <v>42387</v>
      </c>
      <c r="M126">
        <v>995</v>
      </c>
      <c r="N126" t="str">
        <f>"McConnell A.F. B."</f>
        <v>McConnell A.F. B.</v>
      </c>
      <c r="O126" t="str">
        <f>"STDINV2022"</f>
        <v>STDINV2022</v>
      </c>
      <c r="P126" t="str">
        <f>"Sales Transaction Entry"</f>
        <v>Sales Transaction Entry</v>
      </c>
      <c r="Q126" s="21" t="str">
        <f>"Inventory"</f>
        <v>Inventory</v>
      </c>
      <c r="R126" s="16">
        <v>0</v>
      </c>
      <c r="S126" s="16">
        <v>-674.5</v>
      </c>
      <c r="T126" s="19">
        <f t="shared" si="5"/>
        <v>-674.5</v>
      </c>
    </row>
    <row r="127" spans="1:20" x14ac:dyDescent="0.2">
      <c r="A127" s="28" t="s">
        <v>31</v>
      </c>
      <c r="B127" s="33"/>
      <c r="C127" s="33"/>
      <c r="F127" s="33">
        <f>F126</f>
        <v>18</v>
      </c>
      <c r="G127" s="33" t="str">
        <f>G126</f>
        <v>000-1300-01</v>
      </c>
      <c r="H127" s="36"/>
      <c r="K127" t="str">
        <f>"""GP Direct"",""Fabrikam, Inc."",""GL20000"",""DEX_ROW_ID"",""4051"""</f>
        <v>"GP Direct","Fabrikam, Inc.","GL20000","DEX_ROW_ID","4051"</v>
      </c>
      <c r="L127" s="15">
        <v>42388</v>
      </c>
      <c r="M127">
        <v>997</v>
      </c>
      <c r="N127" t="str">
        <f>"Astor Suites"</f>
        <v>Astor Suites</v>
      </c>
      <c r="O127" t="str">
        <f>"STDINV2023"</f>
        <v>STDINV2023</v>
      </c>
      <c r="P127" t="str">
        <f>"Sales Transaction Entry"</f>
        <v>Sales Transaction Entry</v>
      </c>
      <c r="Q127" s="21" t="str">
        <f>"Inventory"</f>
        <v>Inventory</v>
      </c>
      <c r="R127" s="16">
        <v>0</v>
      </c>
      <c r="S127" s="16">
        <v>-13.65</v>
      </c>
      <c r="T127" s="19">
        <f t="shared" si="5"/>
        <v>-13.65</v>
      </c>
    </row>
    <row r="128" spans="1:20" x14ac:dyDescent="0.2">
      <c r="A128" s="28" t="s">
        <v>31</v>
      </c>
      <c r="B128" s="33"/>
      <c r="C128" s="33"/>
      <c r="F128" s="33">
        <f>F127</f>
        <v>18</v>
      </c>
      <c r="G128" s="33" t="str">
        <f>G127</f>
        <v>000-1300-01</v>
      </c>
      <c r="H128" s="36"/>
      <c r="K128" t="str">
        <f>"""GP Direct"",""Fabrikam, Inc."",""GL20000"",""DEX_ROW_ID"",""4061"""</f>
        <v>"GP Direct","Fabrikam, Inc.","GL20000","DEX_ROW_ID","4061"</v>
      </c>
      <c r="L128" s="15">
        <v>42390</v>
      </c>
      <c r="M128">
        <v>999</v>
      </c>
      <c r="N128" t="str">
        <f>"Plaza One"</f>
        <v>Plaza One</v>
      </c>
      <c r="O128" t="str">
        <f>"STDINV2024"</f>
        <v>STDINV2024</v>
      </c>
      <c r="P128" t="str">
        <f>"Sales Transaction Entry"</f>
        <v>Sales Transaction Entry</v>
      </c>
      <c r="Q128" s="21" t="str">
        <f>"Inventory"</f>
        <v>Inventory</v>
      </c>
      <c r="R128" s="16">
        <v>0</v>
      </c>
      <c r="S128" s="16">
        <v>-374.2</v>
      </c>
      <c r="T128" s="19">
        <f t="shared" si="5"/>
        <v>-374.2</v>
      </c>
    </row>
    <row r="129" spans="1:20" x14ac:dyDescent="0.2">
      <c r="A129" s="28" t="s">
        <v>31</v>
      </c>
      <c r="B129" s="33"/>
      <c r="C129" s="33"/>
      <c r="F129" s="33">
        <f>F128</f>
        <v>18</v>
      </c>
      <c r="G129" s="33" t="str">
        <f>G128</f>
        <v>000-1300-01</v>
      </c>
      <c r="H129" s="36"/>
      <c r="K129" t="str">
        <f>"""GP Direct"",""Fabrikam, Inc."",""GL20000"",""DEX_ROW_ID"",""4070"""</f>
        <v>"GP Direct","Fabrikam, Inc.","GL20000","DEX_ROW_ID","4070"</v>
      </c>
      <c r="L129" s="15">
        <v>42391</v>
      </c>
      <c r="M129">
        <v>1001</v>
      </c>
      <c r="N129" t="str">
        <f>"Vancouver Resort Hotels"</f>
        <v>Vancouver Resort Hotels</v>
      </c>
      <c r="O129" t="str">
        <f>"STDINV2025"</f>
        <v>STDINV2025</v>
      </c>
      <c r="P129" t="str">
        <f>"Sales Transaction Entry"</f>
        <v>Sales Transaction Entry</v>
      </c>
      <c r="Q129" s="21" t="str">
        <f>"Inventory"</f>
        <v>Inventory</v>
      </c>
      <c r="R129" s="16">
        <v>0</v>
      </c>
      <c r="S129" s="16">
        <v>-11970</v>
      </c>
      <c r="T129" s="19">
        <f t="shared" si="5"/>
        <v>-11970</v>
      </c>
    </row>
    <row r="130" spans="1:20" x14ac:dyDescent="0.2">
      <c r="A130" s="28" t="s">
        <v>31</v>
      </c>
      <c r="B130" s="33"/>
      <c r="C130" s="33"/>
      <c r="F130" s="33">
        <f>F129</f>
        <v>18</v>
      </c>
      <c r="G130" s="33" t="str">
        <f>G129</f>
        <v>000-1300-01</v>
      </c>
      <c r="H130" s="36"/>
      <c r="K130" t="str">
        <f>"""GP Direct"",""Fabrikam, Inc."",""GL20000"",""DEX_ROW_ID"",""4080"""</f>
        <v>"GP Direct","Fabrikam, Inc.","GL20000","DEX_ROW_ID","4080"</v>
      </c>
      <c r="L130" s="15">
        <v>42392</v>
      </c>
      <c r="M130">
        <v>1003</v>
      </c>
      <c r="N130" t="str">
        <f>"Aaron Fitz Electrical"</f>
        <v>Aaron Fitz Electrical</v>
      </c>
      <c r="O130" t="str">
        <f>"STDINV2026"</f>
        <v>STDINV2026</v>
      </c>
      <c r="P130" t="str">
        <f>"Sales Transaction Entry"</f>
        <v>Sales Transaction Entry</v>
      </c>
      <c r="Q130" s="21" t="str">
        <f>"Inventory"</f>
        <v>Inventory</v>
      </c>
      <c r="R130" s="16">
        <v>0</v>
      </c>
      <c r="S130" s="16">
        <v>-59.29</v>
      </c>
      <c r="T130" s="19">
        <f t="shared" si="5"/>
        <v>-59.29</v>
      </c>
    </row>
    <row r="131" spans="1:20" x14ac:dyDescent="0.2">
      <c r="A131" s="28" t="s">
        <v>31</v>
      </c>
      <c r="B131" s="33"/>
      <c r="C131" s="33"/>
      <c r="F131" s="33">
        <f>F130</f>
        <v>18</v>
      </c>
      <c r="G131" s="33" t="str">
        <f>G130</f>
        <v>000-1300-01</v>
      </c>
      <c r="H131" s="36"/>
      <c r="K131" t="str">
        <f>"""GP Direct"",""Fabrikam, Inc."",""GL20000"",""DEX_ROW_ID"",""4090"""</f>
        <v>"GP Direct","Fabrikam, Inc.","GL20000","DEX_ROW_ID","4090"</v>
      </c>
      <c r="L131" s="15">
        <v>42393</v>
      </c>
      <c r="M131">
        <v>1005</v>
      </c>
      <c r="N131" t="str">
        <f>"Aaron Fitz Electrical"</f>
        <v>Aaron Fitz Electrical</v>
      </c>
      <c r="O131" t="str">
        <f>"STDINV2027"</f>
        <v>STDINV2027</v>
      </c>
      <c r="P131" t="str">
        <f>"Sales Transaction Entry"</f>
        <v>Sales Transaction Entry</v>
      </c>
      <c r="Q131" s="21" t="str">
        <f>"Inventory"</f>
        <v>Inventory</v>
      </c>
      <c r="R131" s="16">
        <v>0</v>
      </c>
      <c r="S131" s="16">
        <v>-50.25</v>
      </c>
      <c r="T131" s="19">
        <f t="shared" si="5"/>
        <v>-50.25</v>
      </c>
    </row>
    <row r="132" spans="1:20" x14ac:dyDescent="0.2">
      <c r="A132" s="28" t="s">
        <v>31</v>
      </c>
      <c r="B132" s="33"/>
      <c r="C132" s="33"/>
      <c r="F132" s="33">
        <f>F131</f>
        <v>18</v>
      </c>
      <c r="G132" s="33" t="str">
        <f>G131</f>
        <v>000-1300-01</v>
      </c>
      <c r="H132" s="36"/>
      <c r="K132" t="str">
        <f>"""GP Direct"",""Fabrikam, Inc."",""GL20000"",""DEX_ROW_ID"",""4149"""</f>
        <v>"GP Direct","Fabrikam, Inc.","GL20000","DEX_ROW_ID","4149"</v>
      </c>
      <c r="L132" s="15">
        <v>42399</v>
      </c>
      <c r="M132">
        <v>1017</v>
      </c>
      <c r="N132" t="str">
        <f>"Plaza One"</f>
        <v>Plaza One</v>
      </c>
      <c r="O132" t="str">
        <f>"STDINV2033"</f>
        <v>STDINV2033</v>
      </c>
      <c r="P132" t="str">
        <f>"Sales Transaction Entry"</f>
        <v>Sales Transaction Entry</v>
      </c>
      <c r="Q132" s="21" t="str">
        <f>"Inventory"</f>
        <v>Inventory</v>
      </c>
      <c r="R132" s="16">
        <v>0</v>
      </c>
      <c r="S132" s="16">
        <v>-118.58</v>
      </c>
      <c r="T132" s="19">
        <f t="shared" si="5"/>
        <v>-118.58</v>
      </c>
    </row>
    <row r="133" spans="1:20" x14ac:dyDescent="0.2">
      <c r="A133" s="28" t="s">
        <v>31</v>
      </c>
      <c r="B133" s="33"/>
      <c r="C133" s="33"/>
      <c r="F133" s="33">
        <f>F132</f>
        <v>18</v>
      </c>
      <c r="G133" s="33" t="str">
        <f>G132</f>
        <v>000-1300-01</v>
      </c>
      <c r="H133" s="36"/>
      <c r="K133" t="str">
        <f>"""GP Direct"",""Fabrikam, Inc."",""GL20000"",""DEX_ROW_ID"",""4937"""</f>
        <v>"GP Direct","Fabrikam, Inc.","GL20000","DEX_ROW_ID","4937"</v>
      </c>
      <c r="L133" s="15">
        <v>42377</v>
      </c>
      <c r="M133">
        <v>1204</v>
      </c>
      <c r="N133" t="str">
        <f>"Aaron Fitz Electrical"</f>
        <v>Aaron Fitz Electrical</v>
      </c>
      <c r="O133" t="str">
        <f>"STDINV2120"</f>
        <v>STDINV2120</v>
      </c>
      <c r="P133" t="str">
        <f>"Sales Transaction Entry"</f>
        <v>Sales Transaction Entry</v>
      </c>
      <c r="Q133" s="21" t="str">
        <f>"Inventory"</f>
        <v>Inventory</v>
      </c>
      <c r="R133" s="16">
        <v>0</v>
      </c>
      <c r="S133" s="16">
        <v>-555.54</v>
      </c>
      <c r="T133" s="19">
        <f t="shared" si="5"/>
        <v>-555.54</v>
      </c>
    </row>
    <row r="134" spans="1:20" x14ac:dyDescent="0.2">
      <c r="A134" s="28" t="s">
        <v>31</v>
      </c>
      <c r="B134" s="33"/>
      <c r="C134" s="33"/>
      <c r="F134" s="33">
        <f>F133</f>
        <v>18</v>
      </c>
      <c r="G134" s="33" t="str">
        <f>G133</f>
        <v>000-1300-01</v>
      </c>
      <c r="H134" s="36"/>
      <c r="K134" t="str">
        <f>"""GP Direct"",""Fabrikam, Inc."",""GL20000"",""DEX_ROW_ID"",""4944"""</f>
        <v>"GP Direct","Fabrikam, Inc.","GL20000","DEX_ROW_ID","4944"</v>
      </c>
      <c r="L134" s="15">
        <v>42377</v>
      </c>
      <c r="M134">
        <v>1205</v>
      </c>
      <c r="N134" t="str">
        <f>"Advanced Paper Co."</f>
        <v>Advanced Paper Co.</v>
      </c>
      <c r="O134" t="str">
        <f>"STDINV2121"</f>
        <v>STDINV2121</v>
      </c>
      <c r="P134" t="str">
        <f>"Sales Transaction Entry"</f>
        <v>Sales Transaction Entry</v>
      </c>
      <c r="Q134" s="21" t="str">
        <f>"Inventory"</f>
        <v>Inventory</v>
      </c>
      <c r="R134" s="16">
        <v>0</v>
      </c>
      <c r="S134" s="16">
        <v>-111.92</v>
      </c>
      <c r="T134" s="19">
        <f t="shared" si="5"/>
        <v>-111.92</v>
      </c>
    </row>
    <row r="135" spans="1:20" x14ac:dyDescent="0.2">
      <c r="A135" s="28" t="s">
        <v>31</v>
      </c>
      <c r="B135" s="33"/>
      <c r="C135" s="33"/>
      <c r="F135" s="33">
        <f>F93</f>
        <v>18</v>
      </c>
      <c r="G135" s="33" t="str">
        <f>G93</f>
        <v>000-1300-01</v>
      </c>
      <c r="H135" s="36"/>
    </row>
    <row r="136" spans="1:20" x14ac:dyDescent="0.2">
      <c r="A136" s="28" t="s">
        <v>31</v>
      </c>
      <c r="I136" s="37" t="str">
        <f>I91&amp;"   "&amp;J91&amp;"         Total:"</f>
        <v>000-1300-01   Inventory - Retail/Parts         Total:</v>
      </c>
      <c r="J136" s="37"/>
      <c r="K136" s="37"/>
      <c r="L136" s="37"/>
      <c r="M136" s="37"/>
      <c r="N136" s="37"/>
      <c r="O136" s="37"/>
      <c r="P136" s="37"/>
      <c r="Q136" s="37"/>
      <c r="R136" s="37"/>
      <c r="S136" s="37"/>
      <c r="T136" s="23">
        <f t="shared" ref="T136" si="6">SUBTOTAL(9,T92:T135)</f>
        <v>-24094.370000000003</v>
      </c>
    </row>
    <row r="137" spans="1:20" x14ac:dyDescent="0.2">
      <c r="A137" s="28" t="s">
        <v>31</v>
      </c>
    </row>
    <row r="138" spans="1:20" x14ac:dyDescent="0.2">
      <c r="A138" s="28" t="s">
        <v>31</v>
      </c>
      <c r="D138" s="28" t="str">
        <f>"||""Filter"",""GL20000"",""ACTINDX"",""TRXDATE"",""1/1/2016..1/31/2016"",""ACTINDX"",""||""""Filter"""",""""GL00105"""",""""ACTINDX"""",""""ACTNUMBR_1"""",""""*"""",""""ACTNUMBR_2"""",""""*"""",""""ACTNUMBR_3"""",""""*"""","""""""","""""""","""""""","""""""","""""""","""""""","""""""","""""""","""""""","""""""","""""""","""""""","""""""","""""""""","""","""","""","""&amp;""","""","""","""","""","""","""","""","""","""","""","""","""""</f>
        <v>||"Filter","GL20000","ACTINDX","TRXDATE","1/1/2016..1/31/2016","ACTINDX","||""Filter"",""GL00105"",""ACTINDX"",""ACTNUMBR_1"",""*"",""ACTNUMBR_2"",""*"",""ACTNUMBR_3"",""*"","""","""","""","""","""","""","""","""","""","""","""","""","""",""""","","","","","","","","","","","","","","","",""</v>
      </c>
      <c r="E138" s="28" t="str">
        <f>"||""Filter"",""GL30000"",""ACTINDX"",""TRXDATE"",""1/1/2016..1/31/2016"",""ACTINDX"",""||""""Filter"""",""""GL00105"""",""""ACTINDX"""",""""ACTNUMBR_1"""",""""*"""",""""ACTNUMBR_2"""",""""*"""",""""ACTNUMBR_3"""",""""*"""","""""""","""""""","""""""","""""""","""""""","""""""","""""""","""""""","""""""","""""""","""""""","""""""","""""""","""""""""","""","""","""","""&amp;""","""","""","""","""","""","""","""","""","""","""","""","""""</f>
        <v>||"Filter","GL30000","ACTINDX","TRXDATE","1/1/2016..1/31/2016","ACTINDX","||""Filter"",""GL00105"",""ACTINDX"",""ACTNUMBR_1"",""*"",""ACTNUMBR_2"",""*"",""ACTNUMBR_3"",""*"","""","""","""","""","""","""","""","""","""","""","""","""","""",""""","","","","","","","","","","","","","","","",""</v>
      </c>
      <c r="F138" s="28">
        <v>19</v>
      </c>
      <c r="G138" s="28" t="str">
        <f>"000-1300-02"</f>
        <v>000-1300-02</v>
      </c>
      <c r="I138" s="17" t="str">
        <f>G138</f>
        <v>000-1300-02</v>
      </c>
      <c r="J138" s="17" t="str">
        <f>"Inventory - Finished Goods"</f>
        <v>Inventory - Finished Goods</v>
      </c>
      <c r="Q138" s="17"/>
      <c r="R138" s="18"/>
    </row>
    <row r="139" spans="1:20" x14ac:dyDescent="0.2">
      <c r="A139" s="28" t="s">
        <v>31</v>
      </c>
      <c r="B139" s="33"/>
      <c r="C139" s="33"/>
      <c r="F139" s="33">
        <f>F138</f>
        <v>19</v>
      </c>
      <c r="G139" s="33" t="str">
        <f>G138</f>
        <v>000-1300-02</v>
      </c>
      <c r="H139" s="36"/>
      <c r="L139" s="15"/>
      <c r="Q139" s="21"/>
      <c r="R139" s="16"/>
      <c r="S139" s="16">
        <f>IF($K139="",0,-_xll.NF($K139,"CRDTAMNT"))</f>
        <v>0</v>
      </c>
      <c r="T139" s="19">
        <f t="shared" ref="T139:T140" si="7">SUM(R139:S139)</f>
        <v>0</v>
      </c>
    </row>
    <row r="140" spans="1:20" x14ac:dyDescent="0.2">
      <c r="A140" s="28" t="s">
        <v>31</v>
      </c>
      <c r="B140" s="33"/>
      <c r="C140" s="33"/>
      <c r="F140" s="33">
        <f>F139</f>
        <v>19</v>
      </c>
      <c r="G140" s="33" t="str">
        <f>G139</f>
        <v>000-1300-02</v>
      </c>
      <c r="H140" s="36"/>
      <c r="K140" t="str">
        <f>"""GP Direct"",""Fabrikam, Inc."",""GL20000"",""DEX_ROW_ID"",""4100"""</f>
        <v>"GP Direct","Fabrikam, Inc.","GL20000","DEX_ROW_ID","4100"</v>
      </c>
      <c r="L140" s="15">
        <v>42394</v>
      </c>
      <c r="M140">
        <v>1007</v>
      </c>
      <c r="N140" t="str">
        <f>"Adam Park Resort"</f>
        <v>Adam Park Resort</v>
      </c>
      <c r="O140" t="str">
        <f>"STDINV2028"</f>
        <v>STDINV2028</v>
      </c>
      <c r="P140" t="str">
        <f>"Sales Transaction Entry"</f>
        <v>Sales Transaction Entry</v>
      </c>
      <c r="Q140" s="21" t="str">
        <f>"Inventory"</f>
        <v>Inventory</v>
      </c>
      <c r="R140" s="16">
        <v>0</v>
      </c>
      <c r="S140" s="16">
        <v>-555</v>
      </c>
      <c r="T140" s="19">
        <f t="shared" si="7"/>
        <v>-555</v>
      </c>
    </row>
    <row r="141" spans="1:20" x14ac:dyDescent="0.2">
      <c r="A141" s="28" t="s">
        <v>31</v>
      </c>
      <c r="B141" s="33"/>
      <c r="C141" s="33"/>
      <c r="F141" s="33">
        <f>F140</f>
        <v>19</v>
      </c>
      <c r="G141" s="33" t="str">
        <f>G140</f>
        <v>000-1300-02</v>
      </c>
      <c r="H141" s="36"/>
      <c r="K141" t="str">
        <f>"""GP Direct"",""Fabrikam, Inc."",""GL20000"",""DEX_ROW_ID"",""4110"""</f>
        <v>"GP Direct","Fabrikam, Inc.","GL20000","DEX_ROW_ID","4110"</v>
      </c>
      <c r="L141" s="15">
        <v>42395</v>
      </c>
      <c r="M141">
        <v>1009</v>
      </c>
      <c r="N141" t="str">
        <f>"Aaron Fitz Electrical"</f>
        <v>Aaron Fitz Electrical</v>
      </c>
      <c r="O141" t="str">
        <f>"STDINV2029"</f>
        <v>STDINV2029</v>
      </c>
      <c r="P141" t="str">
        <f>"Sales Transaction Entry"</f>
        <v>Sales Transaction Entry</v>
      </c>
      <c r="Q141" s="21" t="str">
        <f>"Inventory"</f>
        <v>Inventory</v>
      </c>
      <c r="R141" s="16">
        <v>0</v>
      </c>
      <c r="S141" s="16">
        <v>-555</v>
      </c>
      <c r="T141" s="19">
        <f t="shared" ref="T141:T145" si="8">SUM(R141:S141)</f>
        <v>-555</v>
      </c>
    </row>
    <row r="142" spans="1:20" x14ac:dyDescent="0.2">
      <c r="A142" s="28" t="s">
        <v>31</v>
      </c>
      <c r="B142" s="33"/>
      <c r="C142" s="33"/>
      <c r="F142" s="33">
        <f>F141</f>
        <v>19</v>
      </c>
      <c r="G142" s="33" t="str">
        <f>G141</f>
        <v>000-1300-02</v>
      </c>
      <c r="H142" s="36"/>
      <c r="K142" t="str">
        <f>"""GP Direct"",""Fabrikam, Inc."",""GL20000"",""DEX_ROW_ID"",""4120"""</f>
        <v>"GP Direct","Fabrikam, Inc.","GL20000","DEX_ROW_ID","4120"</v>
      </c>
      <c r="L142" s="15">
        <v>42396</v>
      </c>
      <c r="M142">
        <v>1011</v>
      </c>
      <c r="N142" t="str">
        <f>"Aaron Fitz Electrical"</f>
        <v>Aaron Fitz Electrical</v>
      </c>
      <c r="O142" t="str">
        <f>"STDINV2030"</f>
        <v>STDINV2030</v>
      </c>
      <c r="P142" t="str">
        <f>"Sales Transaction Entry"</f>
        <v>Sales Transaction Entry</v>
      </c>
      <c r="Q142" s="21" t="str">
        <f>"Inventory"</f>
        <v>Inventory</v>
      </c>
      <c r="R142" s="16">
        <v>0</v>
      </c>
      <c r="S142" s="16">
        <v>-111</v>
      </c>
      <c r="T142" s="19">
        <f t="shared" si="8"/>
        <v>-111</v>
      </c>
    </row>
    <row r="143" spans="1:20" x14ac:dyDescent="0.2">
      <c r="A143" s="28" t="s">
        <v>31</v>
      </c>
      <c r="B143" s="33"/>
      <c r="C143" s="33"/>
      <c r="F143" s="33">
        <f>F142</f>
        <v>19</v>
      </c>
      <c r="G143" s="33" t="str">
        <f>G142</f>
        <v>000-1300-02</v>
      </c>
      <c r="H143" s="36"/>
      <c r="K143" t="str">
        <f>"""GP Direct"",""Fabrikam, Inc."",""GL20000"",""DEX_ROW_ID"",""4130"""</f>
        <v>"GP Direct","Fabrikam, Inc.","GL20000","DEX_ROW_ID","4130"</v>
      </c>
      <c r="L143" s="15">
        <v>42397</v>
      </c>
      <c r="M143">
        <v>1013</v>
      </c>
      <c r="N143" t="str">
        <f>"Contoso, Ltd."</f>
        <v>Contoso, Ltd.</v>
      </c>
      <c r="O143" t="str">
        <f>"STDINV2031"</f>
        <v>STDINV2031</v>
      </c>
      <c r="P143" t="str">
        <f>"Sales Transaction Entry"</f>
        <v>Sales Transaction Entry</v>
      </c>
      <c r="Q143" s="21" t="str">
        <f>"Inventory"</f>
        <v>Inventory</v>
      </c>
      <c r="R143" s="16">
        <v>0</v>
      </c>
      <c r="S143" s="16">
        <v>-277.5</v>
      </c>
      <c r="T143" s="19">
        <f t="shared" si="8"/>
        <v>-277.5</v>
      </c>
    </row>
    <row r="144" spans="1:20" x14ac:dyDescent="0.2">
      <c r="A144" s="28" t="s">
        <v>31</v>
      </c>
      <c r="B144" s="33"/>
      <c r="C144" s="33"/>
      <c r="F144" s="33">
        <f>F143</f>
        <v>19</v>
      </c>
      <c r="G144" s="33" t="str">
        <f>G143</f>
        <v>000-1300-02</v>
      </c>
      <c r="H144" s="36"/>
      <c r="K144" t="str">
        <f>"""GP Direct"",""Fabrikam, Inc."",""GL20000"",""DEX_ROW_ID"",""4139"""</f>
        <v>"GP Direct","Fabrikam, Inc.","GL20000","DEX_ROW_ID","4139"</v>
      </c>
      <c r="L144" s="15">
        <v>42398</v>
      </c>
      <c r="M144">
        <v>1015</v>
      </c>
      <c r="N144" t="str">
        <f>"Vancouver Resort Hotels"</f>
        <v>Vancouver Resort Hotels</v>
      </c>
      <c r="O144" t="str">
        <f>"STDINV2032"</f>
        <v>STDINV2032</v>
      </c>
      <c r="P144" t="str">
        <f>"Sales Transaction Entry"</f>
        <v>Sales Transaction Entry</v>
      </c>
      <c r="Q144" s="21" t="str">
        <f>"Inventory"</f>
        <v>Inventory</v>
      </c>
      <c r="R144" s="16">
        <v>0</v>
      </c>
      <c r="S144" s="16">
        <v>-55.5</v>
      </c>
      <c r="T144" s="19">
        <f t="shared" si="8"/>
        <v>-55.5</v>
      </c>
    </row>
    <row r="145" spans="1:20" x14ac:dyDescent="0.2">
      <c r="A145" s="28" t="s">
        <v>31</v>
      </c>
      <c r="B145" s="33"/>
      <c r="C145" s="33"/>
      <c r="F145" s="33">
        <f>F144</f>
        <v>19</v>
      </c>
      <c r="G145" s="33" t="str">
        <f>G144</f>
        <v>000-1300-02</v>
      </c>
      <c r="H145" s="36"/>
      <c r="K145" t="str">
        <f>"""GP Direct"",""Fabrikam, Inc."",""GL20000"",""DEX_ROW_ID"",""4159"""</f>
        <v>"GP Direct","Fabrikam, Inc.","GL20000","DEX_ROW_ID","4159"</v>
      </c>
      <c r="L145" s="15">
        <v>42400</v>
      </c>
      <c r="M145">
        <v>1019</v>
      </c>
      <c r="N145" t="str">
        <f>"Central Communications LTD"</f>
        <v>Central Communications LTD</v>
      </c>
      <c r="O145" t="str">
        <f>"STDINV2034"</f>
        <v>STDINV2034</v>
      </c>
      <c r="P145" t="str">
        <f>"Sales Transaction Entry"</f>
        <v>Sales Transaction Entry</v>
      </c>
      <c r="Q145" s="21" t="str">
        <f>"Inventory"</f>
        <v>Inventory</v>
      </c>
      <c r="R145" s="16">
        <v>0</v>
      </c>
      <c r="S145" s="16">
        <v>-277.5</v>
      </c>
      <c r="T145" s="19">
        <f t="shared" si="8"/>
        <v>-277.5</v>
      </c>
    </row>
    <row r="146" spans="1:20" x14ac:dyDescent="0.2">
      <c r="A146" s="28" t="s">
        <v>31</v>
      </c>
      <c r="B146" s="33"/>
      <c r="C146" s="33"/>
      <c r="F146" s="33">
        <f>F140</f>
        <v>19</v>
      </c>
      <c r="G146" s="33" t="str">
        <f>G140</f>
        <v>000-1300-02</v>
      </c>
      <c r="H146" s="36"/>
    </row>
    <row r="147" spans="1:20" x14ac:dyDescent="0.2">
      <c r="A147" s="28" t="s">
        <v>31</v>
      </c>
      <c r="I147" s="37" t="str">
        <f>I138&amp;"   "&amp;J138&amp;"         Total:"</f>
        <v>000-1300-02   Inventory - Finished Goods         Total:</v>
      </c>
      <c r="J147" s="37"/>
      <c r="K147" s="37"/>
      <c r="L147" s="37"/>
      <c r="M147" s="37"/>
      <c r="N147" s="37"/>
      <c r="O147" s="37"/>
      <c r="P147" s="37"/>
      <c r="Q147" s="37"/>
      <c r="R147" s="37"/>
      <c r="S147" s="37"/>
      <c r="T147" s="23">
        <f t="shared" ref="T147" si="9">SUBTOTAL(9,T139:T146)</f>
        <v>-1831.5</v>
      </c>
    </row>
    <row r="148" spans="1:20" x14ac:dyDescent="0.2">
      <c r="A148" s="28" t="s">
        <v>31</v>
      </c>
    </row>
    <row r="149" spans="1:20" x14ac:dyDescent="0.2">
      <c r="A149" s="28" t="s">
        <v>31</v>
      </c>
      <c r="D149" s="28" t="str">
        <f>"||""Filter"",""GL20000"",""ACTINDX"",""TRXDATE"",""1/1/2016..1/31/2016"",""ACTINDX"",""||""""Filter"""",""""GL00105"""",""""ACTINDX"""",""""ACTNUMBR_1"""",""""*"""",""""ACTNUMBR_2"""",""""*"""",""""ACTNUMBR_3"""",""""*"""","""""""","""""""","""""""","""""""","""""""","""""""","""""""","""""""","""""""","""""""","""""""","""""""","""""""","""""""""","""","""","""","""&amp;""","""","""","""","""","""","""","""","""","""","""","""","""""</f>
        <v>||"Filter","GL20000","ACTINDX","TRXDATE","1/1/2016..1/31/2016","ACTINDX","||""Filter"",""GL00105"",""ACTINDX"",""ACTNUMBR_1"",""*"",""ACTNUMBR_2"",""*"",""ACTNUMBR_3"",""*"","""","""","""","""","""","""","""","""","""","""","""","""","""",""""","","","","","","","","","","","","","","","",""</v>
      </c>
      <c r="E149" s="28" t="str">
        <f>"||""Filter"",""GL30000"",""ACTINDX"",""TRXDATE"",""1/1/2016..1/31/2016"",""ACTINDX"",""||""""Filter"""",""""GL00105"""",""""ACTINDX"""",""""ACTNUMBR_1"""",""""*"""",""""ACTNUMBR_2"""",""""*"""",""""ACTNUMBR_3"""",""""*"""","""""""","""""""","""""""","""""""","""""""","""""""","""""""","""""""","""""""","""""""","""""""","""""""","""""""","""""""""","""","""","""","""&amp;""","""","""","""","""","""","""","""","""","""","""","""","""""</f>
        <v>||"Filter","GL30000","ACTINDX","TRXDATE","1/1/2016..1/31/2016","ACTINDX","||""Filter"",""GL00105"",""ACTINDX"",""ACTNUMBR_1"",""*"",""ACTNUMBR_2"",""*"",""ACTNUMBR_3"",""*"","""","""","""","""","""","""","""","""","""","""","""","""","""",""""","","","","","","","","","","","","","","","",""</v>
      </c>
      <c r="F149" s="28">
        <v>35</v>
      </c>
      <c r="G149" s="28" t="str">
        <f>"000-2100-00"</f>
        <v>000-2100-00</v>
      </c>
      <c r="I149" s="17" t="str">
        <f>G149</f>
        <v>000-2100-00</v>
      </c>
      <c r="J149" s="17" t="str">
        <f>"Accounts Payable"</f>
        <v>Accounts Payable</v>
      </c>
      <c r="Q149" s="17"/>
      <c r="R149" s="18"/>
    </row>
    <row r="150" spans="1:20" x14ac:dyDescent="0.2">
      <c r="A150" s="28" t="s">
        <v>31</v>
      </c>
      <c r="B150" s="33"/>
      <c r="C150" s="33"/>
      <c r="F150" s="33">
        <f>F149</f>
        <v>35</v>
      </c>
      <c r="G150" s="33" t="str">
        <f>G149</f>
        <v>000-2100-00</v>
      </c>
      <c r="H150" s="36"/>
      <c r="L150" s="15"/>
      <c r="Q150" s="21"/>
      <c r="R150" s="16"/>
      <c r="S150" s="16">
        <f>IF($K150="",0,-_xll.NF($K150,"CRDTAMNT"))</f>
        <v>0</v>
      </c>
      <c r="T150" s="19">
        <f t="shared" ref="T150:T151" si="10">SUM(R150:S150)</f>
        <v>0</v>
      </c>
    </row>
    <row r="151" spans="1:20" x14ac:dyDescent="0.2">
      <c r="A151" s="28" t="s">
        <v>31</v>
      </c>
      <c r="B151" s="33"/>
      <c r="C151" s="33"/>
      <c r="F151" s="33">
        <f>F150</f>
        <v>35</v>
      </c>
      <c r="G151" s="33" t="str">
        <f>G150</f>
        <v>000-2100-00</v>
      </c>
      <c r="H151" s="36"/>
      <c r="K151" t="str">
        <f>"""GP Direct"",""Fabrikam, Inc."",""GL20000"",""DEX_ROW_ID"",""3551"""</f>
        <v>"GP Direct","Fabrikam, Inc.","GL20000","DEX_ROW_ID","3551"</v>
      </c>
      <c r="L151" s="15">
        <v>42377</v>
      </c>
      <c r="M151">
        <v>826</v>
      </c>
      <c r="N151" t="str">
        <f>"Associated Insurance Inc."</f>
        <v>Associated Insurance Inc.</v>
      </c>
      <c r="O151" t="str">
        <f>"RCT1013"</f>
        <v>RCT1013</v>
      </c>
      <c r="P151" t="str">
        <f>"Purchasing Invoice Entry"</f>
        <v>Purchasing Invoice Entry</v>
      </c>
      <c r="Q151" s="21" t="str">
        <f>"Accounts Payable"</f>
        <v>Accounts Payable</v>
      </c>
      <c r="R151" s="16">
        <v>0</v>
      </c>
      <c r="S151" s="16">
        <v>-50.25</v>
      </c>
      <c r="T151" s="19">
        <f t="shared" si="10"/>
        <v>-50.25</v>
      </c>
    </row>
    <row r="152" spans="1:20" x14ac:dyDescent="0.2">
      <c r="A152" s="28" t="s">
        <v>31</v>
      </c>
      <c r="B152" s="33"/>
      <c r="C152" s="33"/>
      <c r="F152" s="33">
        <f>F151</f>
        <v>35</v>
      </c>
      <c r="G152" s="33" t="str">
        <f>G151</f>
        <v>000-2100-00</v>
      </c>
      <c r="H152" s="36"/>
      <c r="K152" t="str">
        <f>"""GP Direct"",""Fabrikam, Inc."",""GL20000"",""DEX_ROW_ID"",""3561"""</f>
        <v>"GP Direct","Fabrikam, Inc.","GL20000","DEX_ROW_ID","3561"</v>
      </c>
      <c r="L152" s="15">
        <v>42378</v>
      </c>
      <c r="M152">
        <v>831</v>
      </c>
      <c r="N152" t="str">
        <f>"Associated Insurance Inc."</f>
        <v>Associated Insurance Inc.</v>
      </c>
      <c r="O152" t="str">
        <f>"RCT1015"</f>
        <v>RCT1015</v>
      </c>
      <c r="P152" t="str">
        <f>"Purchasing Invoice Entry"</f>
        <v>Purchasing Invoice Entry</v>
      </c>
      <c r="Q152" s="21" t="str">
        <f>"Accounts Payable"</f>
        <v>Accounts Payable</v>
      </c>
      <c r="R152" s="16">
        <v>0</v>
      </c>
      <c r="S152" s="16">
        <v>-141.84</v>
      </c>
      <c r="T152" s="19">
        <f t="shared" ref="T152:T160" si="11">SUM(R152:S152)</f>
        <v>-141.84</v>
      </c>
    </row>
    <row r="153" spans="1:20" x14ac:dyDescent="0.2">
      <c r="A153" s="28" t="s">
        <v>31</v>
      </c>
      <c r="B153" s="33"/>
      <c r="C153" s="33"/>
      <c r="F153" s="33">
        <f>F152</f>
        <v>35</v>
      </c>
      <c r="G153" s="33" t="str">
        <f>G152</f>
        <v>000-2100-00</v>
      </c>
      <c r="H153" s="36"/>
      <c r="K153" t="str">
        <f>"""GP Direct"",""Fabrikam, Inc."",""GL20000"",""DEX_ROW_ID"",""3567"""</f>
        <v>"GP Direct","Fabrikam, Inc.","GL20000","DEX_ROW_ID","3567"</v>
      </c>
      <c r="L153" s="15">
        <v>42382</v>
      </c>
      <c r="M153">
        <v>834</v>
      </c>
      <c r="N153" t="str">
        <f>"Advanced Office Systems"</f>
        <v>Advanced Office Systems</v>
      </c>
      <c r="O153" t="str">
        <f>"RCT1017"</f>
        <v>RCT1017</v>
      </c>
      <c r="P153" t="str">
        <f>"Purchasing Invoice Entry"</f>
        <v>Purchasing Invoice Entry</v>
      </c>
      <c r="Q153" s="21" t="str">
        <f>"Accounts Payable"</f>
        <v>Accounts Payable</v>
      </c>
      <c r="R153" s="16">
        <v>0</v>
      </c>
      <c r="S153" s="16">
        <v>-90.25</v>
      </c>
      <c r="T153" s="19">
        <f t="shared" si="11"/>
        <v>-90.25</v>
      </c>
    </row>
    <row r="154" spans="1:20" x14ac:dyDescent="0.2">
      <c r="A154" s="28" t="s">
        <v>31</v>
      </c>
      <c r="B154" s="33"/>
      <c r="C154" s="33"/>
      <c r="F154" s="33">
        <f>F153</f>
        <v>35</v>
      </c>
      <c r="G154" s="33" t="str">
        <f>G153</f>
        <v>000-2100-00</v>
      </c>
      <c r="H154" s="36"/>
      <c r="K154" t="str">
        <f>"""GP Direct"",""Fabrikam, Inc."",""GL20000"",""DEX_ROW_ID"",""3573"""</f>
        <v>"GP Direct","Fabrikam, Inc.","GL20000","DEX_ROW_ID","3573"</v>
      </c>
      <c r="L154" s="15">
        <v>42386</v>
      </c>
      <c r="M154">
        <v>837</v>
      </c>
      <c r="N154" t="str">
        <f>"Central Cellular, Inc."</f>
        <v>Central Cellular, Inc.</v>
      </c>
      <c r="O154" t="str">
        <f>"RCT1019"</f>
        <v>RCT1019</v>
      </c>
      <c r="P154" t="str">
        <f>"Purchasing Invoice Entry"</f>
        <v>Purchasing Invoice Entry</v>
      </c>
      <c r="Q154" s="21" t="str">
        <f>"Accounts Payable"</f>
        <v>Accounts Payable</v>
      </c>
      <c r="R154" s="16">
        <v>0</v>
      </c>
      <c r="S154" s="16">
        <v>-93.55</v>
      </c>
      <c r="T154" s="19">
        <f t="shared" si="11"/>
        <v>-93.55</v>
      </c>
    </row>
    <row r="155" spans="1:20" x14ac:dyDescent="0.2">
      <c r="A155" s="28" t="s">
        <v>31</v>
      </c>
      <c r="B155" s="33"/>
      <c r="C155" s="33"/>
      <c r="F155" s="33">
        <f>F154</f>
        <v>35</v>
      </c>
      <c r="G155" s="33" t="str">
        <f>G154</f>
        <v>000-2100-00</v>
      </c>
      <c r="H155" s="36"/>
      <c r="K155" t="str">
        <f>"""GP Direct"",""Fabrikam, Inc."",""GL20000"",""DEX_ROW_ID"",""3579"""</f>
        <v>"GP Direct","Fabrikam, Inc.","GL20000","DEX_ROW_ID","3579"</v>
      </c>
      <c r="L155" s="15">
        <v>42390</v>
      </c>
      <c r="M155">
        <v>840</v>
      </c>
      <c r="N155" t="str">
        <f>"Advanced Office Systems"</f>
        <v>Advanced Office Systems</v>
      </c>
      <c r="O155" t="str">
        <f>"RCT1021"</f>
        <v>RCT1021</v>
      </c>
      <c r="P155" t="str">
        <f>"Purchasing Invoice Entry"</f>
        <v>Purchasing Invoice Entry</v>
      </c>
      <c r="Q155" s="21" t="str">
        <f>"Accounts Payable"</f>
        <v>Accounts Payable</v>
      </c>
      <c r="R155" s="16">
        <v>0</v>
      </c>
      <c r="S155" s="16">
        <v>-103.79</v>
      </c>
      <c r="T155" s="19">
        <f t="shared" si="11"/>
        <v>-103.79</v>
      </c>
    </row>
    <row r="156" spans="1:20" x14ac:dyDescent="0.2">
      <c r="A156" s="28" t="s">
        <v>31</v>
      </c>
      <c r="B156" s="33"/>
      <c r="C156" s="33"/>
      <c r="F156" s="33">
        <f>F155</f>
        <v>35</v>
      </c>
      <c r="G156" s="33" t="str">
        <f>G155</f>
        <v>000-2100-00</v>
      </c>
      <c r="H156" s="36"/>
      <c r="K156" t="str">
        <f>"""GP Direct"",""Fabrikam, Inc."",""GL20000"",""DEX_ROW_ID"",""3585"""</f>
        <v>"GP Direct","Fabrikam, Inc.","GL20000","DEX_ROW_ID","3585"</v>
      </c>
      <c r="L156" s="15">
        <v>42392</v>
      </c>
      <c r="M156">
        <v>843</v>
      </c>
      <c r="N156" t="str">
        <f>"Attractive Telephone Co."</f>
        <v>Attractive Telephone Co.</v>
      </c>
      <c r="O156" t="str">
        <f>"RCT1023"</f>
        <v>RCT1023</v>
      </c>
      <c r="P156" t="str">
        <f>"Purchasing Invoice Entry"</f>
        <v>Purchasing Invoice Entry</v>
      </c>
      <c r="Q156" s="21" t="str">
        <f>"Accounts Payable"</f>
        <v>Accounts Payable</v>
      </c>
      <c r="R156" s="16">
        <v>0</v>
      </c>
      <c r="S156" s="16">
        <v>-271.62</v>
      </c>
      <c r="T156" s="19">
        <f t="shared" si="11"/>
        <v>-271.62</v>
      </c>
    </row>
    <row r="157" spans="1:20" x14ac:dyDescent="0.2">
      <c r="A157" s="28" t="s">
        <v>31</v>
      </c>
      <c r="B157" s="33"/>
      <c r="C157" s="33"/>
      <c r="F157" s="33">
        <f>F156</f>
        <v>35</v>
      </c>
      <c r="G157" s="33" t="str">
        <f>G156</f>
        <v>000-2100-00</v>
      </c>
      <c r="H157" s="36"/>
      <c r="K157" t="str">
        <f>"""GP Direct"",""Fabrikam, Inc."",""GL20000"",""DEX_ROW_ID"",""3592"""</f>
        <v>"GP Direct","Fabrikam, Inc.","GL20000","DEX_ROW_ID","3592"</v>
      </c>
      <c r="L157" s="15">
        <v>42394</v>
      </c>
      <c r="M157">
        <v>846</v>
      </c>
      <c r="N157" t="str">
        <f>"Green Lake Wire Company"</f>
        <v>Green Lake Wire Company</v>
      </c>
      <c r="O157" t="str">
        <f>"RCT1025"</f>
        <v>RCT1025</v>
      </c>
      <c r="P157" t="str">
        <f>"Purchasing Invoice Entry"</f>
        <v>Purchasing Invoice Entry</v>
      </c>
      <c r="Q157" s="21" t="str">
        <f>"Accounts Payable"</f>
        <v>Accounts Payable</v>
      </c>
      <c r="R157" s="16">
        <v>0</v>
      </c>
      <c r="S157" s="16">
        <v>-607.6</v>
      </c>
      <c r="T157" s="19">
        <f t="shared" si="11"/>
        <v>-607.6</v>
      </c>
    </row>
    <row r="158" spans="1:20" x14ac:dyDescent="0.2">
      <c r="A158" s="28" t="s">
        <v>31</v>
      </c>
      <c r="B158" s="33"/>
      <c r="C158" s="33"/>
      <c r="F158" s="33">
        <f>F157</f>
        <v>35</v>
      </c>
      <c r="G158" s="33" t="str">
        <f>G157</f>
        <v>000-2100-00</v>
      </c>
      <c r="H158" s="36"/>
      <c r="K158" t="str">
        <f>"""GP Direct"",""Fabrikam, Inc."",""GL20000"",""DEX_ROW_ID"",""3600"""</f>
        <v>"GP Direct","Fabrikam, Inc.","GL20000","DEX_ROW_ID","3600"</v>
      </c>
      <c r="L158" s="15">
        <v>42395</v>
      </c>
      <c r="M158">
        <v>849</v>
      </c>
      <c r="N158" t="str">
        <f>"Fabrikam, Inc."</f>
        <v>Fabrikam, Inc.</v>
      </c>
      <c r="O158" t="str">
        <f>"RCT1027"</f>
        <v>RCT1027</v>
      </c>
      <c r="P158" t="str">
        <f>"Purchasing Invoice Entry"</f>
        <v>Purchasing Invoice Entry</v>
      </c>
      <c r="Q158" s="21" t="str">
        <f>"Accounts Payable"</f>
        <v>Accounts Payable</v>
      </c>
      <c r="R158" s="16">
        <v>0</v>
      </c>
      <c r="S158" s="16">
        <v>-1262.5</v>
      </c>
      <c r="T158" s="19">
        <f t="shared" si="11"/>
        <v>-1262.5</v>
      </c>
    </row>
    <row r="159" spans="1:20" x14ac:dyDescent="0.2">
      <c r="A159" s="28" t="s">
        <v>31</v>
      </c>
      <c r="B159" s="33"/>
      <c r="C159" s="33"/>
      <c r="F159" s="33">
        <f>F158</f>
        <v>35</v>
      </c>
      <c r="G159" s="33" t="str">
        <f>G158</f>
        <v>000-2100-00</v>
      </c>
      <c r="H159" s="36"/>
      <c r="K159" t="str">
        <f>"""GP Direct"",""Fabrikam, Inc."",""GL20000"",""DEX_ROW_ID"",""3613"""</f>
        <v>"GP Direct","Fabrikam, Inc.","GL20000","DEX_ROW_ID","3613"</v>
      </c>
      <c r="L159" s="15">
        <v>42398</v>
      </c>
      <c r="M159">
        <v>855</v>
      </c>
      <c r="N159" t="str">
        <f>"ComVex, Inc."</f>
        <v>ComVex, Inc.</v>
      </c>
      <c r="O159" t="str">
        <f>"RCT1031"</f>
        <v>RCT1031</v>
      </c>
      <c r="P159" t="str">
        <f>"Purchasing Invoice Entry"</f>
        <v>Purchasing Invoice Entry</v>
      </c>
      <c r="Q159" s="21" t="str">
        <f>"Accounts Payable"</f>
        <v>Accounts Payable</v>
      </c>
      <c r="R159" s="16">
        <v>0</v>
      </c>
      <c r="S159" s="16">
        <v>-698.45</v>
      </c>
      <c r="T159" s="19">
        <f t="shared" si="11"/>
        <v>-698.45</v>
      </c>
    </row>
    <row r="160" spans="1:20" x14ac:dyDescent="0.2">
      <c r="A160" s="28" t="s">
        <v>31</v>
      </c>
      <c r="B160" s="33"/>
      <c r="C160" s="33"/>
      <c r="F160" s="33">
        <f>F159</f>
        <v>35</v>
      </c>
      <c r="G160" s="33" t="str">
        <f>G159</f>
        <v>000-2100-00</v>
      </c>
      <c r="H160" s="36"/>
      <c r="K160" t="str">
        <f>"""GP Direct"",""Fabrikam, Inc."",""GL20000"",""DEX_ROW_ID"",""3619"""</f>
        <v>"GP Direct","Fabrikam, Inc.","GL20000","DEX_ROW_ID","3619"</v>
      </c>
      <c r="L160" s="15">
        <v>42400</v>
      </c>
      <c r="M160">
        <v>858</v>
      </c>
      <c r="N160" t="str">
        <f>"AmericaCharge"</f>
        <v>AmericaCharge</v>
      </c>
      <c r="O160" t="str">
        <f>"RCT1033"</f>
        <v>RCT1033</v>
      </c>
      <c r="P160" t="str">
        <f>"Purchasing Invoice Entry"</f>
        <v>Purchasing Invoice Entry</v>
      </c>
      <c r="Q160" s="21" t="str">
        <f>"Accounts Payable"</f>
        <v>Accounts Payable</v>
      </c>
      <c r="R160" s="16">
        <v>0</v>
      </c>
      <c r="S160" s="16">
        <v>-1858</v>
      </c>
      <c r="T160" s="19">
        <f t="shared" si="11"/>
        <v>-1858</v>
      </c>
    </row>
    <row r="161" spans="1:20" x14ac:dyDescent="0.2">
      <c r="A161" s="28" t="s">
        <v>31</v>
      </c>
      <c r="B161" s="33"/>
      <c r="C161" s="33"/>
      <c r="F161" s="33">
        <f>F151</f>
        <v>35</v>
      </c>
      <c r="G161" s="33" t="str">
        <f>G151</f>
        <v>000-2100-00</v>
      </c>
      <c r="H161" s="36"/>
    </row>
    <row r="162" spans="1:20" x14ac:dyDescent="0.2">
      <c r="A162" s="28" t="s">
        <v>31</v>
      </c>
      <c r="I162" s="37" t="str">
        <f>I149&amp;"   "&amp;J149&amp;"         Total:"</f>
        <v>000-2100-00   Accounts Payable         Total:</v>
      </c>
      <c r="J162" s="37"/>
      <c r="K162" s="37"/>
      <c r="L162" s="37"/>
      <c r="M162" s="37"/>
      <c r="N162" s="37"/>
      <c r="O162" s="37"/>
      <c r="P162" s="37"/>
      <c r="Q162" s="37"/>
      <c r="R162" s="37"/>
      <c r="S162" s="37"/>
      <c r="T162" s="23">
        <f t="shared" ref="T162" si="12">SUBTOTAL(9,T150:T161)</f>
        <v>-5177.8500000000004</v>
      </c>
    </row>
    <row r="163" spans="1:20" x14ac:dyDescent="0.2">
      <c r="A163" s="28" t="s">
        <v>31</v>
      </c>
    </row>
    <row r="164" spans="1:20" x14ac:dyDescent="0.2">
      <c r="A164" s="28" t="s">
        <v>31</v>
      </c>
      <c r="D164" s="28" t="str">
        <f>"||""Filter"",""GL20000"",""ACTINDX"",""TRXDATE"",""1/1/2016..1/31/2016"",""ACTINDX"",""||""""Filter"""",""""GL00105"""",""""ACTINDX"""",""""ACTNUMBR_1"""",""""*"""",""""ACTNUMBR_2"""",""""*"""",""""ACTNUMBR_3"""",""""*"""","""""""","""""""","""""""","""""""","""""""","""""""","""""""","""""""","""""""","""""""","""""""","""""""","""""""","""""""""","""","""","""","""&amp;""","""","""","""","""","""","""","""","""","""","""","""","""""</f>
        <v>||"Filter","GL20000","ACTINDX","TRXDATE","1/1/2016..1/31/2016","ACTINDX","||""Filter"",""GL00105"",""ACTINDX"",""ACTNUMBR_1"",""*"",""ACTNUMBR_2"",""*"",""ACTNUMBR_3"",""*"","""","""","""","""","""","""","""","""","""","""","""","""","""",""""","","","","","","","","","","","","","","","",""</v>
      </c>
      <c r="E164" s="28" t="str">
        <f>"||""Filter"",""GL30000"",""ACTINDX"",""TRXDATE"",""1/1/2016..1/31/2016"",""ACTINDX"",""||""""Filter"""",""""GL00105"""",""""ACTINDX"""",""""ACTNUMBR_1"""",""""*"""",""""ACTNUMBR_2"""",""""*"""",""""ACTNUMBR_3"""",""""*"""","""""""","""""""","""""""","""""""","""""""","""""""","""""""","""""""","""""""","""""""","""""""","""""""","""""""","""""""""","""","""","""","""&amp;""","""","""","""","""","""","""","""","""","""","""","""","""""</f>
        <v>||"Filter","GL30000","ACTINDX","TRXDATE","1/1/2016..1/31/2016","ACTINDX","||""Filter"",""GL00105"",""ACTINDX"",""ACTNUMBR_1"",""*"",""ACTNUMBR_2"",""*"",""ACTNUMBR_3"",""*"","""","""","""","""","""","""","""","""","""","""","""","""","""",""""","","","","","","","","","","","","","","","",""</v>
      </c>
      <c r="F164" s="28">
        <v>36</v>
      </c>
      <c r="G164" s="28" t="str">
        <f>"000-2105-00"</f>
        <v>000-2105-00</v>
      </c>
      <c r="I164" s="17" t="str">
        <f>G164</f>
        <v>000-2105-00</v>
      </c>
      <c r="J164" s="17" t="str">
        <f>"Purchases Discounts Available"</f>
        <v>Purchases Discounts Available</v>
      </c>
      <c r="Q164" s="17"/>
      <c r="R164" s="18"/>
    </row>
    <row r="165" spans="1:20" x14ac:dyDescent="0.2">
      <c r="A165" s="28" t="s">
        <v>31</v>
      </c>
      <c r="B165" s="33"/>
      <c r="C165" s="33"/>
      <c r="F165" s="33">
        <f>F164</f>
        <v>36</v>
      </c>
      <c r="G165" s="33" t="str">
        <f>G164</f>
        <v>000-2105-00</v>
      </c>
      <c r="H165" s="36"/>
      <c r="L165" s="15"/>
      <c r="Q165" s="21"/>
      <c r="R165" s="16"/>
      <c r="S165" s="16">
        <f>IF($K165="",0,-_xll.NF($K165,"CRDTAMNT"))</f>
        <v>0</v>
      </c>
      <c r="T165" s="19">
        <f t="shared" ref="T165:T166" si="13">SUM(R165:S165)</f>
        <v>0</v>
      </c>
    </row>
    <row r="166" spans="1:20" x14ac:dyDescent="0.2">
      <c r="A166" s="28" t="s">
        <v>31</v>
      </c>
      <c r="B166" s="33"/>
      <c r="C166" s="33"/>
      <c r="F166" s="33">
        <f>F165</f>
        <v>36</v>
      </c>
      <c r="G166" s="33" t="str">
        <f>G165</f>
        <v>000-2105-00</v>
      </c>
      <c r="H166" s="36"/>
      <c r="K166" t="str">
        <f>"""GP Direct"",""Fabrikam, Inc."",""GL20000"",""DEX_ROW_ID"",""3591"""</f>
        <v>"GP Direct","Fabrikam, Inc.","GL20000","DEX_ROW_ID","3591"</v>
      </c>
      <c r="L166" s="15">
        <v>42394</v>
      </c>
      <c r="M166">
        <v>846</v>
      </c>
      <c r="N166" t="str">
        <f>"Green Lake Wire Company"</f>
        <v>Green Lake Wire Company</v>
      </c>
      <c r="O166" t="str">
        <f>"RCT1025"</f>
        <v>RCT1025</v>
      </c>
      <c r="P166" t="str">
        <f>"Purchasing Invoice Entry"</f>
        <v>Purchasing Invoice Entry</v>
      </c>
      <c r="Q166" s="21" t="str">
        <f>"Term Discounts Available"</f>
        <v>Term Discounts Available</v>
      </c>
      <c r="R166" s="16">
        <v>0</v>
      </c>
      <c r="S166" s="16">
        <v>-12.4</v>
      </c>
      <c r="T166" s="19">
        <f t="shared" si="13"/>
        <v>-12.4</v>
      </c>
    </row>
    <row r="167" spans="1:20" x14ac:dyDescent="0.2">
      <c r="A167" s="28" t="s">
        <v>31</v>
      </c>
      <c r="B167" s="33"/>
      <c r="C167" s="33"/>
      <c r="F167" s="33">
        <f>F166</f>
        <v>36</v>
      </c>
      <c r="G167" s="33" t="str">
        <f>G166</f>
        <v>000-2105-00</v>
      </c>
      <c r="H167" s="36"/>
    </row>
    <row r="168" spans="1:20" x14ac:dyDescent="0.2">
      <c r="A168" s="28" t="s">
        <v>31</v>
      </c>
      <c r="I168" s="37" t="str">
        <f>I164&amp;"   "&amp;J164&amp;"         Total:"</f>
        <v>000-2105-00   Purchases Discounts Available         Total:</v>
      </c>
      <c r="J168" s="37"/>
      <c r="K168" s="37"/>
      <c r="L168" s="37"/>
      <c r="M168" s="37"/>
      <c r="N168" s="37"/>
      <c r="O168" s="37"/>
      <c r="P168" s="37"/>
      <c r="Q168" s="37"/>
      <c r="R168" s="37"/>
      <c r="S168" s="37"/>
      <c r="T168" s="23">
        <f t="shared" ref="T168" si="14">SUBTOTAL(9,T165:T167)</f>
        <v>-12.4</v>
      </c>
    </row>
    <row r="169" spans="1:20" x14ac:dyDescent="0.2">
      <c r="A169" s="28" t="s">
        <v>31</v>
      </c>
    </row>
    <row r="170" spans="1:20" x14ac:dyDescent="0.2">
      <c r="A170" s="28" t="s">
        <v>31</v>
      </c>
      <c r="D170" s="28" t="str">
        <f>"||""Filter"",""GL20000"",""ACTINDX"",""TRXDATE"",""1/1/2016..1/31/2016"",""ACTINDX"",""||""""Filter"""",""""GL00105"""",""""ACTINDX"""",""""ACTNUMBR_1"""",""""*"""",""""ACTNUMBR_2"""",""""*"""",""""ACTNUMBR_3"""",""""*"""","""""""","""""""","""""""","""""""","""""""","""""""","""""""","""""""","""""""","""""""","""""""","""""""","""""""","""""""""","""","""","""","""&amp;""","""","""","""","""","""","""","""","""","""","""","""","""""</f>
        <v>||"Filter","GL20000","ACTINDX","TRXDATE","1/1/2016..1/31/2016","ACTINDX","||""Filter"",""GL00105"",""ACTINDX"",""ACTNUMBR_1"",""*"",""ACTNUMBR_2"",""*"",""ACTNUMBR_3"",""*"","""","""","""","""","""","""","""","""","""","""","""","""","""",""""","","","","","","","","","","","","","","","",""</v>
      </c>
      <c r="E170" s="28" t="str">
        <f>"||""Filter"",""GL30000"",""ACTINDX"",""TRXDATE"",""1/1/2016..1/31/2016"",""ACTINDX"",""||""""Filter"""",""""GL00105"""",""""ACTINDX"""",""""ACTNUMBR_1"""",""""*"""",""""ACTNUMBR_2"""",""""*"""",""""ACTNUMBR_3"""",""""*"""","""""""","""""""","""""""","""""""","""""""","""""""","""""""","""""""","""""""","""""""","""""""","""""""","""""""","""""""""","""","""","""","""&amp;""","""","""","""","""","""","""","""","""","""","""","""","""""</f>
        <v>||"Filter","GL30000","ACTINDX","TRXDATE","1/1/2016..1/31/2016","ACTINDX","||""Filter"",""GL00105"",""ACTINDX"",""ACTNUMBR_1"",""*"",""ACTNUMBR_2"",""*"",""ACTNUMBR_3"",""*"","""","""","""","""","""","""","""","""","""","""","""","""","""",""""","","","","","","","","","","","","","","","",""</v>
      </c>
      <c r="F170" s="28">
        <v>39</v>
      </c>
      <c r="G170" s="28" t="str">
        <f>"000-2120-00"</f>
        <v>000-2120-00</v>
      </c>
      <c r="I170" s="17" t="str">
        <f>G170</f>
        <v>000-2120-00</v>
      </c>
      <c r="J170" s="17" t="str">
        <f>"Commissions Payable"</f>
        <v>Commissions Payable</v>
      </c>
      <c r="Q170" s="17"/>
      <c r="R170" s="18"/>
    </row>
    <row r="171" spans="1:20" x14ac:dyDescent="0.2">
      <c r="A171" s="28" t="s">
        <v>31</v>
      </c>
      <c r="B171" s="33"/>
      <c r="C171" s="33"/>
      <c r="F171" s="33">
        <f>F170</f>
        <v>39</v>
      </c>
      <c r="G171" s="33" t="str">
        <f>G170</f>
        <v>000-2120-00</v>
      </c>
      <c r="H171" s="36"/>
      <c r="L171" s="15"/>
      <c r="Q171" s="21"/>
      <c r="R171" s="16"/>
      <c r="S171" s="16">
        <f>IF($K171="",0,-_xll.NF($K171,"CRDTAMNT"))</f>
        <v>0</v>
      </c>
      <c r="T171" s="19">
        <f t="shared" ref="T171:T172" si="15">SUM(R171:S171)</f>
        <v>0</v>
      </c>
    </row>
    <row r="172" spans="1:20" x14ac:dyDescent="0.2">
      <c r="A172" s="28" t="s">
        <v>31</v>
      </c>
      <c r="B172" s="33"/>
      <c r="C172" s="33"/>
      <c r="F172" s="33">
        <f>F171</f>
        <v>39</v>
      </c>
      <c r="G172" s="33" t="str">
        <f>G171</f>
        <v>000-2120-00</v>
      </c>
      <c r="H172" s="36"/>
      <c r="K172" t="str">
        <f>"""GP Direct"",""Fabrikam, Inc."",""GL20000"",""DEX_ROW_ID"",""3846"""</f>
        <v>"GP Direct","Fabrikam, Inc.","GL20000","DEX_ROW_ID","3846"</v>
      </c>
      <c r="L172" s="15">
        <v>42370</v>
      </c>
      <c r="M172">
        <v>951</v>
      </c>
      <c r="N172" t="str">
        <f>"Contoso, Ltd."</f>
        <v>Contoso, Ltd.</v>
      </c>
      <c r="O172" t="str">
        <f>"STDINV2000"</f>
        <v>STDINV2000</v>
      </c>
      <c r="P172" t="str">
        <f>"Sales Transaction Entry"</f>
        <v>Sales Transaction Entry</v>
      </c>
      <c r="Q172" s="21" t="str">
        <f>"Commissions Payable"</f>
        <v>Commissions Payable</v>
      </c>
      <c r="R172" s="16">
        <v>0</v>
      </c>
      <c r="S172" s="16">
        <v>-91.49</v>
      </c>
      <c r="T172" s="19">
        <f t="shared" si="15"/>
        <v>-91.49</v>
      </c>
    </row>
    <row r="173" spans="1:20" x14ac:dyDescent="0.2">
      <c r="A173" s="28" t="s">
        <v>31</v>
      </c>
      <c r="B173" s="33"/>
      <c r="C173" s="33"/>
      <c r="F173" s="33">
        <f>F172</f>
        <v>39</v>
      </c>
      <c r="G173" s="33" t="str">
        <f>G172</f>
        <v>000-2120-00</v>
      </c>
      <c r="H173" s="36"/>
      <c r="K173" t="str">
        <f>"""GP Direct"",""Fabrikam, Inc."",""GL20000"",""DEX_ROW_ID"",""3854"""</f>
        <v>"GP Direct","Fabrikam, Inc.","GL20000","DEX_ROW_ID","3854"</v>
      </c>
      <c r="L173" s="15">
        <v>42371</v>
      </c>
      <c r="M173">
        <v>953</v>
      </c>
      <c r="N173" t="str">
        <f>"American Science Museum"</f>
        <v>American Science Museum</v>
      </c>
      <c r="O173" t="str">
        <f>"STDINV2001"</f>
        <v>STDINV2001</v>
      </c>
      <c r="P173" t="str">
        <f>"Sales Transaction Entry"</f>
        <v>Sales Transaction Entry</v>
      </c>
      <c r="Q173" s="21" t="str">
        <f>"Commissions Payable"</f>
        <v>Commissions Payable</v>
      </c>
      <c r="R173" s="16">
        <v>0</v>
      </c>
      <c r="S173" s="16">
        <v>-34.19</v>
      </c>
      <c r="T173" s="19">
        <f t="shared" ref="T173:T208" si="16">SUM(R173:S173)</f>
        <v>-34.19</v>
      </c>
    </row>
    <row r="174" spans="1:20" x14ac:dyDescent="0.2">
      <c r="A174" s="28" t="s">
        <v>31</v>
      </c>
      <c r="B174" s="33"/>
      <c r="C174" s="33"/>
      <c r="F174" s="33">
        <f>F173</f>
        <v>39</v>
      </c>
      <c r="G174" s="33" t="str">
        <f>G173</f>
        <v>000-2120-00</v>
      </c>
      <c r="H174" s="36"/>
      <c r="K174" t="str">
        <f>"""GP Direct"",""Fabrikam, Inc."",""GL20000"",""DEX_ROW_ID"",""3862"""</f>
        <v>"GP Direct","Fabrikam, Inc.","GL20000","DEX_ROW_ID","3862"</v>
      </c>
      <c r="L174" s="15">
        <v>42372</v>
      </c>
      <c r="M174">
        <v>955</v>
      </c>
      <c r="N174" t="str">
        <f>"Aaron Fitz Electrical"</f>
        <v>Aaron Fitz Electrical</v>
      </c>
      <c r="O174" t="str">
        <f>"STDINV2002"</f>
        <v>STDINV2002</v>
      </c>
      <c r="P174" t="str">
        <f>"Sales Transaction Entry"</f>
        <v>Sales Transaction Entry</v>
      </c>
      <c r="Q174" s="21" t="str">
        <f>"Commissions Payable"</f>
        <v>Commissions Payable</v>
      </c>
      <c r="R174" s="16">
        <v>0</v>
      </c>
      <c r="S174" s="16">
        <v>-34.19</v>
      </c>
      <c r="T174" s="19">
        <f t="shared" si="16"/>
        <v>-34.19</v>
      </c>
    </row>
    <row r="175" spans="1:20" x14ac:dyDescent="0.2">
      <c r="A175" s="28" t="s">
        <v>31</v>
      </c>
      <c r="B175" s="33"/>
      <c r="C175" s="33"/>
      <c r="F175" s="33">
        <f>F174</f>
        <v>39</v>
      </c>
      <c r="G175" s="33" t="str">
        <f>G174</f>
        <v>000-2120-00</v>
      </c>
      <c r="H175" s="36"/>
      <c r="K175" t="str">
        <f>"""GP Direct"",""Fabrikam, Inc."",""GL20000"",""DEX_ROW_ID"",""3870"""</f>
        <v>"GP Direct","Fabrikam, Inc.","GL20000","DEX_ROW_ID","3870"</v>
      </c>
      <c r="L175" s="15">
        <v>42372</v>
      </c>
      <c r="M175">
        <v>957</v>
      </c>
      <c r="N175" t="str">
        <f>"Advanced Paper Co."</f>
        <v>Advanced Paper Co.</v>
      </c>
      <c r="O175" t="str">
        <f>"STDINV2003"</f>
        <v>STDINV2003</v>
      </c>
      <c r="P175" t="str">
        <f>"Sales Transaction Entry"</f>
        <v>Sales Transaction Entry</v>
      </c>
      <c r="Q175" s="21" t="str">
        <f>"Commissions Payable"</f>
        <v>Commissions Payable</v>
      </c>
      <c r="R175" s="16">
        <v>0</v>
      </c>
      <c r="S175" s="16">
        <v>-14.39</v>
      </c>
      <c r="T175" s="19">
        <f t="shared" si="16"/>
        <v>-14.39</v>
      </c>
    </row>
    <row r="176" spans="1:20" x14ac:dyDescent="0.2">
      <c r="A176" s="28" t="s">
        <v>31</v>
      </c>
      <c r="B176" s="33"/>
      <c r="C176" s="33"/>
      <c r="F176" s="33">
        <f>F175</f>
        <v>39</v>
      </c>
      <c r="G176" s="33" t="str">
        <f>G175</f>
        <v>000-2120-00</v>
      </c>
      <c r="H176" s="36"/>
      <c r="K176" t="str">
        <f>"""GP Direct"",""Fabrikam, Inc."",""GL20000"",""DEX_ROW_ID"",""3878"""</f>
        <v>"GP Direct","Fabrikam, Inc.","GL20000","DEX_ROW_ID","3878"</v>
      </c>
      <c r="L176" s="15">
        <v>42373</v>
      </c>
      <c r="M176">
        <v>959</v>
      </c>
      <c r="N176" t="str">
        <f>"Riverside University"</f>
        <v>Riverside University</v>
      </c>
      <c r="O176" t="str">
        <f>"STDINV2004"</f>
        <v>STDINV2004</v>
      </c>
      <c r="P176" t="str">
        <f>"Sales Transaction Entry"</f>
        <v>Sales Transaction Entry</v>
      </c>
      <c r="Q176" s="21" t="str">
        <f>"Commissions Payable"</f>
        <v>Commissions Payable</v>
      </c>
      <c r="R176" s="16">
        <v>0</v>
      </c>
      <c r="S176" s="16">
        <v>-11.4</v>
      </c>
      <c r="T176" s="19">
        <f t="shared" si="16"/>
        <v>-11.4</v>
      </c>
    </row>
    <row r="177" spans="1:20" x14ac:dyDescent="0.2">
      <c r="A177" s="28" t="s">
        <v>31</v>
      </c>
      <c r="B177" s="33"/>
      <c r="C177" s="33"/>
      <c r="F177" s="33">
        <f>F176</f>
        <v>39</v>
      </c>
      <c r="G177" s="33" t="str">
        <f>G176</f>
        <v>000-2120-00</v>
      </c>
      <c r="H177" s="36"/>
      <c r="K177" t="str">
        <f>"""GP Direct"",""Fabrikam, Inc."",""GL20000"",""DEX_ROW_ID"",""3886"""</f>
        <v>"GP Direct","Fabrikam, Inc.","GL20000","DEX_ROW_ID","3886"</v>
      </c>
      <c r="L177" s="15">
        <v>42374</v>
      </c>
      <c r="M177">
        <v>961</v>
      </c>
      <c r="N177" t="str">
        <f>"Aaron Fitz Electrical"</f>
        <v>Aaron Fitz Electrical</v>
      </c>
      <c r="O177" t="str">
        <f>"STDINV2005"</f>
        <v>STDINV2005</v>
      </c>
      <c r="P177" t="str">
        <f>"Sales Transaction Entry"</f>
        <v>Sales Transaction Entry</v>
      </c>
      <c r="Q177" s="21" t="str">
        <f>"Commissions Payable"</f>
        <v>Commissions Payable</v>
      </c>
      <c r="R177" s="16">
        <v>0</v>
      </c>
      <c r="S177" s="16">
        <v>-28.8</v>
      </c>
      <c r="T177" s="19">
        <f t="shared" si="16"/>
        <v>-28.8</v>
      </c>
    </row>
    <row r="178" spans="1:20" x14ac:dyDescent="0.2">
      <c r="A178" s="28" t="s">
        <v>31</v>
      </c>
      <c r="B178" s="33"/>
      <c r="C178" s="33"/>
      <c r="F178" s="33">
        <f>F177</f>
        <v>39</v>
      </c>
      <c r="G178" s="33" t="str">
        <f>G177</f>
        <v>000-2120-00</v>
      </c>
      <c r="H178" s="36"/>
      <c r="K178" t="str">
        <f>"""GP Direct"",""Fabrikam, Inc."",""GL20000"",""DEX_ROW_ID"",""3894"""</f>
        <v>"GP Direct","Fabrikam, Inc.","GL20000","DEX_ROW_ID","3894"</v>
      </c>
      <c r="L178" s="15">
        <v>42374</v>
      </c>
      <c r="M178">
        <v>963</v>
      </c>
      <c r="N178" t="str">
        <f>"Aaron Fitz Electrical"</f>
        <v>Aaron Fitz Electrical</v>
      </c>
      <c r="O178" t="str">
        <f>"STDINV2006"</f>
        <v>STDINV2006</v>
      </c>
      <c r="P178" t="str">
        <f>"Sales Transaction Entry"</f>
        <v>Sales Transaction Entry</v>
      </c>
      <c r="Q178" s="21" t="str">
        <f>"Commissions Payable"</f>
        <v>Commissions Payable</v>
      </c>
      <c r="R178" s="16">
        <v>0</v>
      </c>
      <c r="S178" s="16">
        <v>-11.99</v>
      </c>
      <c r="T178" s="19">
        <f t="shared" si="16"/>
        <v>-11.99</v>
      </c>
    </row>
    <row r="179" spans="1:20" x14ac:dyDescent="0.2">
      <c r="A179" s="28" t="s">
        <v>31</v>
      </c>
      <c r="B179" s="33"/>
      <c r="C179" s="33"/>
      <c r="F179" s="33">
        <f>F178</f>
        <v>39</v>
      </c>
      <c r="G179" s="33" t="str">
        <f>G178</f>
        <v>000-2120-00</v>
      </c>
      <c r="H179" s="36"/>
      <c r="K179" t="str">
        <f>"""GP Direct"",""Fabrikam, Inc."",""GL20000"",""DEX_ROW_ID"",""3902"""</f>
        <v>"GP Direct","Fabrikam, Inc.","GL20000","DEX_ROW_ID","3902"</v>
      </c>
      <c r="L179" s="15">
        <v>42375</v>
      </c>
      <c r="M179">
        <v>965</v>
      </c>
      <c r="N179" t="str">
        <f>"Plaza One"</f>
        <v>Plaza One</v>
      </c>
      <c r="O179" t="str">
        <f>"STDINV2007"</f>
        <v>STDINV2007</v>
      </c>
      <c r="P179" t="str">
        <f>"Sales Transaction Entry"</f>
        <v>Sales Transaction Entry</v>
      </c>
      <c r="Q179" s="21" t="str">
        <f>"Commissions Payable"</f>
        <v>Commissions Payable</v>
      </c>
      <c r="R179" s="16">
        <v>0</v>
      </c>
      <c r="S179" s="16">
        <v>-9</v>
      </c>
      <c r="T179" s="19">
        <f t="shared" si="16"/>
        <v>-9</v>
      </c>
    </row>
    <row r="180" spans="1:20" x14ac:dyDescent="0.2">
      <c r="A180" s="28" t="s">
        <v>31</v>
      </c>
      <c r="B180" s="33"/>
      <c r="C180" s="33"/>
      <c r="F180" s="33">
        <f>F179</f>
        <v>39</v>
      </c>
      <c r="G180" s="33" t="str">
        <f>G179</f>
        <v>000-2120-00</v>
      </c>
      <c r="H180" s="36"/>
      <c r="K180" t="str">
        <f>"""GP Direct"",""Fabrikam, Inc."",""GL20000"",""DEX_ROW_ID"",""3910"""</f>
        <v>"GP Direct","Fabrikam, Inc.","GL20000","DEX_ROW_ID","3910"</v>
      </c>
      <c r="L180" s="15">
        <v>42375</v>
      </c>
      <c r="M180">
        <v>967</v>
      </c>
      <c r="N180" t="str">
        <f>"Londonberry Nursing Home"</f>
        <v>Londonberry Nursing Home</v>
      </c>
      <c r="O180" t="str">
        <f>"STDINV2008"</f>
        <v>STDINV2008</v>
      </c>
      <c r="P180" t="str">
        <f>"Sales Transaction Entry"</f>
        <v>Sales Transaction Entry</v>
      </c>
      <c r="Q180" s="21" t="str">
        <f>"Commissions Payable"</f>
        <v>Commissions Payable</v>
      </c>
      <c r="R180" s="16">
        <v>0</v>
      </c>
      <c r="S180" s="16">
        <v>-10.8</v>
      </c>
      <c r="T180" s="19">
        <f t="shared" si="16"/>
        <v>-10.8</v>
      </c>
    </row>
    <row r="181" spans="1:20" x14ac:dyDescent="0.2">
      <c r="A181" s="28" t="s">
        <v>31</v>
      </c>
      <c r="B181" s="33"/>
      <c r="C181" s="33"/>
      <c r="F181" s="33">
        <f>F180</f>
        <v>39</v>
      </c>
      <c r="G181" s="33" t="str">
        <f>G180</f>
        <v>000-2120-00</v>
      </c>
      <c r="H181" s="36"/>
      <c r="K181" t="str">
        <f>"""GP Direct"",""Fabrikam, Inc."",""GL20000"",""DEX_ROW_ID"",""3918"""</f>
        <v>"GP Direct","Fabrikam, Inc.","GL20000","DEX_ROW_ID","3918"</v>
      </c>
      <c r="L181" s="15">
        <v>42376</v>
      </c>
      <c r="M181">
        <v>969</v>
      </c>
      <c r="N181" t="str">
        <f>"Midland Construction"</f>
        <v>Midland Construction</v>
      </c>
      <c r="O181" t="str">
        <f>"STDINV2009"</f>
        <v>STDINV2009</v>
      </c>
      <c r="P181" t="str">
        <f>"Sales Transaction Entry"</f>
        <v>Sales Transaction Entry</v>
      </c>
      <c r="Q181" s="21" t="str">
        <f>"Commissions Payable"</f>
        <v>Commissions Payable</v>
      </c>
      <c r="R181" s="16">
        <v>0</v>
      </c>
      <c r="S181" s="16">
        <v>-1.2</v>
      </c>
      <c r="T181" s="19">
        <f t="shared" si="16"/>
        <v>-1.2</v>
      </c>
    </row>
    <row r="182" spans="1:20" x14ac:dyDescent="0.2">
      <c r="A182" s="28" t="s">
        <v>31</v>
      </c>
      <c r="B182" s="33"/>
      <c r="C182" s="33"/>
      <c r="F182" s="33">
        <f>F181</f>
        <v>39</v>
      </c>
      <c r="G182" s="33" t="str">
        <f>G181</f>
        <v>000-2120-00</v>
      </c>
      <c r="H182" s="36"/>
      <c r="K182" t="str">
        <f>"""GP Direct"",""Fabrikam, Inc."",""GL20000"",""DEX_ROW_ID"",""3926"""</f>
        <v>"GP Direct","Fabrikam, Inc.","GL20000","DEX_ROW_ID","3926"</v>
      </c>
      <c r="L182" s="15">
        <v>42376</v>
      </c>
      <c r="M182">
        <v>971</v>
      </c>
      <c r="N182" t="str">
        <f>"Aaron Fitz Electrical"</f>
        <v>Aaron Fitz Electrical</v>
      </c>
      <c r="O182" t="str">
        <f>"STDINV2010"</f>
        <v>STDINV2010</v>
      </c>
      <c r="P182" t="str">
        <f>"Sales Transaction Entry"</f>
        <v>Sales Transaction Entry</v>
      </c>
      <c r="Q182" s="21" t="str">
        <f>"Commissions Payable"</f>
        <v>Commissions Payable</v>
      </c>
      <c r="R182" s="16">
        <v>0</v>
      </c>
      <c r="S182" s="16">
        <v>-11.4</v>
      </c>
      <c r="T182" s="19">
        <f t="shared" si="16"/>
        <v>-11.4</v>
      </c>
    </row>
    <row r="183" spans="1:20" x14ac:dyDescent="0.2">
      <c r="A183" s="28" t="s">
        <v>31</v>
      </c>
      <c r="B183" s="33"/>
      <c r="C183" s="33"/>
      <c r="F183" s="33">
        <f>F182</f>
        <v>39</v>
      </c>
      <c r="G183" s="33" t="str">
        <f>G182</f>
        <v>000-2120-00</v>
      </c>
      <c r="H183" s="36"/>
      <c r="K183" t="str">
        <f>"""GP Direct"",""Fabrikam, Inc."",""GL20000"",""DEX_ROW_ID"",""3936"""</f>
        <v>"GP Direct","Fabrikam, Inc.","GL20000","DEX_ROW_ID","3936"</v>
      </c>
      <c r="L183" s="15">
        <v>42377</v>
      </c>
      <c r="M183">
        <v>973</v>
      </c>
      <c r="N183" t="str">
        <f>"Aaron Fitz Electrical"</f>
        <v>Aaron Fitz Electrical</v>
      </c>
      <c r="O183" t="str">
        <f>"STDINV2011"</f>
        <v>STDINV2011</v>
      </c>
      <c r="P183" t="str">
        <f>"Sales Transaction Entry"</f>
        <v>Sales Transaction Entry</v>
      </c>
      <c r="Q183" s="21" t="str">
        <f>"Commissions Payable"</f>
        <v>Commissions Payable</v>
      </c>
      <c r="R183" s="16">
        <v>0</v>
      </c>
      <c r="S183" s="16">
        <v>-1.49</v>
      </c>
      <c r="T183" s="19">
        <f t="shared" si="16"/>
        <v>-1.49</v>
      </c>
    </row>
    <row r="184" spans="1:20" x14ac:dyDescent="0.2">
      <c r="A184" s="28" t="s">
        <v>31</v>
      </c>
      <c r="B184" s="33"/>
      <c r="C184" s="33"/>
      <c r="F184" s="33">
        <f>F183</f>
        <v>39</v>
      </c>
      <c r="G184" s="33" t="str">
        <f>G183</f>
        <v>000-2120-00</v>
      </c>
      <c r="H184" s="36"/>
      <c r="K184" t="str">
        <f>"""GP Direct"",""Fabrikam, Inc."",""GL20000"",""DEX_ROW_ID"",""3946"""</f>
        <v>"GP Direct","Fabrikam, Inc.","GL20000","DEX_ROW_ID","3946"</v>
      </c>
      <c r="L184" s="15">
        <v>42377</v>
      </c>
      <c r="M184">
        <v>975</v>
      </c>
      <c r="N184" t="str">
        <f>"Aaron Fitz Electrical"</f>
        <v>Aaron Fitz Electrical</v>
      </c>
      <c r="O184" t="str">
        <f>"STDINV2012"</f>
        <v>STDINV2012</v>
      </c>
      <c r="P184" t="str">
        <f>"Sales Transaction Entry"</f>
        <v>Sales Transaction Entry</v>
      </c>
      <c r="Q184" s="21" t="str">
        <f>"Commissions Payable"</f>
        <v>Commissions Payable</v>
      </c>
      <c r="R184" s="16">
        <v>0</v>
      </c>
      <c r="S184" s="16">
        <v>-1.49</v>
      </c>
      <c r="T184" s="19">
        <f t="shared" si="16"/>
        <v>-1.49</v>
      </c>
    </row>
    <row r="185" spans="1:20" x14ac:dyDescent="0.2">
      <c r="A185" s="28" t="s">
        <v>31</v>
      </c>
      <c r="B185" s="33"/>
      <c r="C185" s="33"/>
      <c r="F185" s="33">
        <f>F184</f>
        <v>39</v>
      </c>
      <c r="G185" s="33" t="str">
        <f>G184</f>
        <v>000-2120-00</v>
      </c>
      <c r="H185" s="36"/>
      <c r="K185" t="str">
        <f>"""GP Direct"",""Fabrikam, Inc."",""GL20000"",""DEX_ROW_ID"",""3956"""</f>
        <v>"GP Direct","Fabrikam, Inc.","GL20000","DEX_ROW_ID","3956"</v>
      </c>
      <c r="L185" s="15">
        <v>42378</v>
      </c>
      <c r="M185">
        <v>977</v>
      </c>
      <c r="N185" t="str">
        <f>"ISN Industries"</f>
        <v>ISN Industries</v>
      </c>
      <c r="O185" t="str">
        <f>"STDINV2013"</f>
        <v>STDINV2013</v>
      </c>
      <c r="P185" t="str">
        <f>"Sales Transaction Entry"</f>
        <v>Sales Transaction Entry</v>
      </c>
      <c r="Q185" s="21" t="str">
        <f>"Commissions Payable"</f>
        <v>Commissions Payable</v>
      </c>
      <c r="R185" s="16">
        <v>0</v>
      </c>
      <c r="S185" s="16">
        <v>-40.5</v>
      </c>
      <c r="T185" s="19">
        <f t="shared" si="16"/>
        <v>-40.5</v>
      </c>
    </row>
    <row r="186" spans="1:20" x14ac:dyDescent="0.2">
      <c r="A186" s="28" t="s">
        <v>31</v>
      </c>
      <c r="B186" s="33"/>
      <c r="C186" s="33"/>
      <c r="F186" s="33">
        <f>F185</f>
        <v>39</v>
      </c>
      <c r="G186" s="33" t="str">
        <f>G185</f>
        <v>000-2120-00</v>
      </c>
      <c r="H186" s="36"/>
      <c r="K186" t="str">
        <f>"""GP Direct"",""Fabrikam, Inc."",""GL20000"",""DEX_ROW_ID"",""3966"""</f>
        <v>"GP Direct","Fabrikam, Inc.","GL20000","DEX_ROW_ID","3966"</v>
      </c>
      <c r="L186" s="15">
        <v>42379</v>
      </c>
      <c r="M186">
        <v>979</v>
      </c>
      <c r="N186" t="str">
        <f>"Contoso, Ltd."</f>
        <v>Contoso, Ltd.</v>
      </c>
      <c r="O186" t="str">
        <f>"STDINV2014"</f>
        <v>STDINV2014</v>
      </c>
      <c r="P186" t="str">
        <f>"Sales Transaction Entry"</f>
        <v>Sales Transaction Entry</v>
      </c>
      <c r="Q186" s="21" t="str">
        <f>"Commissions Payable"</f>
        <v>Commissions Payable</v>
      </c>
      <c r="R186" s="16">
        <v>0</v>
      </c>
      <c r="S186" s="16">
        <v>-5.7</v>
      </c>
      <c r="T186" s="19">
        <f t="shared" si="16"/>
        <v>-5.7</v>
      </c>
    </row>
    <row r="187" spans="1:20" x14ac:dyDescent="0.2">
      <c r="A187" s="28" t="s">
        <v>31</v>
      </c>
      <c r="B187" s="33"/>
      <c r="C187" s="33"/>
      <c r="F187" s="33">
        <f>F186</f>
        <v>39</v>
      </c>
      <c r="G187" s="33" t="str">
        <f>G186</f>
        <v>000-2120-00</v>
      </c>
      <c r="H187" s="36"/>
      <c r="K187" t="str">
        <f>"""GP Direct"",""Fabrikam, Inc."",""GL20000"",""DEX_ROW_ID"",""3975"""</f>
        <v>"GP Direct","Fabrikam, Inc.","GL20000","DEX_ROW_ID","3975"</v>
      </c>
      <c r="L187" s="15">
        <v>42380</v>
      </c>
      <c r="M187">
        <v>981</v>
      </c>
      <c r="N187" t="str">
        <f>"Vancouver Resort Hotels"</f>
        <v>Vancouver Resort Hotels</v>
      </c>
      <c r="O187" t="str">
        <f>"STDINV2015"</f>
        <v>STDINV2015</v>
      </c>
      <c r="P187" t="str">
        <f>"Sales Transaction Entry"</f>
        <v>Sales Transaction Entry</v>
      </c>
      <c r="Q187" s="21" t="str">
        <f>"Commissions Payable"</f>
        <v>Commissions Payable</v>
      </c>
      <c r="R187" s="16">
        <v>0</v>
      </c>
      <c r="S187" s="16">
        <v>-18.3</v>
      </c>
      <c r="T187" s="19">
        <f t="shared" si="16"/>
        <v>-18.3</v>
      </c>
    </row>
    <row r="188" spans="1:20" x14ac:dyDescent="0.2">
      <c r="A188" s="28" t="s">
        <v>31</v>
      </c>
      <c r="B188" s="33"/>
      <c r="C188" s="33"/>
      <c r="F188" s="33">
        <f>F187</f>
        <v>39</v>
      </c>
      <c r="G188" s="33" t="str">
        <f>G187</f>
        <v>000-2120-00</v>
      </c>
      <c r="H188" s="36"/>
      <c r="K188" t="str">
        <f>"""GP Direct"",""Fabrikam, Inc."",""GL20000"",""DEX_ROW_ID"",""3985"""</f>
        <v>"GP Direct","Fabrikam, Inc.","GL20000","DEX_ROW_ID","3985"</v>
      </c>
      <c r="L188" s="15">
        <v>42381</v>
      </c>
      <c r="M188">
        <v>983</v>
      </c>
      <c r="N188" t="str">
        <f>"Plaza One"</f>
        <v>Plaza One</v>
      </c>
      <c r="O188" t="str">
        <f>"STDINV2016"</f>
        <v>STDINV2016</v>
      </c>
      <c r="P188" t="str">
        <f>"Sales Transaction Entry"</f>
        <v>Sales Transaction Entry</v>
      </c>
      <c r="Q188" s="21" t="str">
        <f>"Commissions Payable"</f>
        <v>Commissions Payable</v>
      </c>
      <c r="R188" s="16">
        <v>0</v>
      </c>
      <c r="S188" s="16">
        <v>-28.49</v>
      </c>
      <c r="T188" s="19">
        <f t="shared" si="16"/>
        <v>-28.49</v>
      </c>
    </row>
    <row r="189" spans="1:20" x14ac:dyDescent="0.2">
      <c r="A189" s="28" t="s">
        <v>31</v>
      </c>
      <c r="B189" s="33"/>
      <c r="C189" s="33"/>
      <c r="F189" s="33">
        <f>F188</f>
        <v>39</v>
      </c>
      <c r="G189" s="33" t="str">
        <f>G188</f>
        <v>000-2120-00</v>
      </c>
      <c r="H189" s="36"/>
      <c r="K189" t="str">
        <f>"""GP Direct"",""Fabrikam, Inc."",""GL20000"",""DEX_ROW_ID"",""3995"""</f>
        <v>"GP Direct","Fabrikam, Inc.","GL20000","DEX_ROW_ID","3995"</v>
      </c>
      <c r="L189" s="15">
        <v>42382</v>
      </c>
      <c r="M189">
        <v>985</v>
      </c>
      <c r="N189" t="str">
        <f>"Central Communications LTD"</f>
        <v>Central Communications LTD</v>
      </c>
      <c r="O189" t="str">
        <f>"STDINV2017"</f>
        <v>STDINV2017</v>
      </c>
      <c r="P189" t="str">
        <f>"Sales Transaction Entry"</f>
        <v>Sales Transaction Entry</v>
      </c>
      <c r="Q189" s="21" t="str">
        <f>"Commissions Payable"</f>
        <v>Commissions Payable</v>
      </c>
      <c r="R189" s="16">
        <v>0</v>
      </c>
      <c r="S189" s="16">
        <v>-0.9</v>
      </c>
      <c r="T189" s="19">
        <f t="shared" si="16"/>
        <v>-0.9</v>
      </c>
    </row>
    <row r="190" spans="1:20" x14ac:dyDescent="0.2">
      <c r="A190" s="28" t="s">
        <v>31</v>
      </c>
      <c r="B190" s="33"/>
      <c r="C190" s="33"/>
      <c r="F190" s="33">
        <f>F189</f>
        <v>39</v>
      </c>
      <c r="G190" s="33" t="str">
        <f>G189</f>
        <v>000-2120-00</v>
      </c>
      <c r="H190" s="36"/>
      <c r="K190" t="str">
        <f>"""GP Direct"",""Fabrikam, Inc."",""GL20000"",""DEX_ROW_ID"",""4004"""</f>
        <v>"GP Direct","Fabrikam, Inc.","GL20000","DEX_ROW_ID","4004"</v>
      </c>
      <c r="L190" s="15">
        <v>42383</v>
      </c>
      <c r="M190">
        <v>987</v>
      </c>
      <c r="N190" t="str">
        <f>"Magnificent Office Images"</f>
        <v>Magnificent Office Images</v>
      </c>
      <c r="O190" t="str">
        <f>"STDINV2018"</f>
        <v>STDINV2018</v>
      </c>
      <c r="P190" t="str">
        <f>"Sales Transaction Entry"</f>
        <v>Sales Transaction Entry</v>
      </c>
      <c r="Q190" s="21" t="str">
        <f>"Commissions Payable"</f>
        <v>Commissions Payable</v>
      </c>
      <c r="R190" s="16">
        <v>0</v>
      </c>
      <c r="S190" s="16">
        <v>-21.6</v>
      </c>
      <c r="T190" s="19">
        <f t="shared" si="16"/>
        <v>-21.6</v>
      </c>
    </row>
    <row r="191" spans="1:20" x14ac:dyDescent="0.2">
      <c r="A191" s="28" t="s">
        <v>31</v>
      </c>
      <c r="B191" s="33"/>
      <c r="C191" s="33"/>
      <c r="F191" s="33">
        <f>F190</f>
        <v>39</v>
      </c>
      <c r="G191" s="33" t="str">
        <f>G190</f>
        <v>000-2120-00</v>
      </c>
      <c r="H191" s="36"/>
      <c r="K191" t="str">
        <f>"""GP Direct"",""Fabrikam, Inc."",""GL20000"",""DEX_ROW_ID"",""4014"""</f>
        <v>"GP Direct","Fabrikam, Inc.","GL20000","DEX_ROW_ID","4014"</v>
      </c>
      <c r="L191" s="15">
        <v>42384</v>
      </c>
      <c r="M191">
        <v>989</v>
      </c>
      <c r="N191" t="str">
        <f>"Metropolitan Fiber Systems"</f>
        <v>Metropolitan Fiber Systems</v>
      </c>
      <c r="O191" t="str">
        <f>"STDINV2019"</f>
        <v>STDINV2019</v>
      </c>
      <c r="P191" t="str">
        <f>"Sales Transaction Entry"</f>
        <v>Sales Transaction Entry</v>
      </c>
      <c r="Q191" s="21" t="str">
        <f>"Commissions Payable"</f>
        <v>Commissions Payable</v>
      </c>
      <c r="R191" s="16">
        <v>0</v>
      </c>
      <c r="S191" s="16">
        <v>-0.9</v>
      </c>
      <c r="T191" s="19">
        <f t="shared" si="16"/>
        <v>-0.9</v>
      </c>
    </row>
    <row r="192" spans="1:20" x14ac:dyDescent="0.2">
      <c r="A192" s="28" t="s">
        <v>31</v>
      </c>
      <c r="B192" s="33"/>
      <c r="C192" s="33"/>
      <c r="F192" s="33">
        <f>F191</f>
        <v>39</v>
      </c>
      <c r="G192" s="33" t="str">
        <f>G191</f>
        <v>000-2120-00</v>
      </c>
      <c r="H192" s="36"/>
      <c r="K192" t="str">
        <f>"""GP Direct"",""Fabrikam, Inc."",""GL20000"",""DEX_ROW_ID"",""4022"""</f>
        <v>"GP Direct","Fabrikam, Inc.","GL20000","DEX_ROW_ID","4022"</v>
      </c>
      <c r="L192" s="15">
        <v>42385</v>
      </c>
      <c r="M192">
        <v>991</v>
      </c>
      <c r="N192" t="str">
        <f>"Mahler State University"</f>
        <v>Mahler State University</v>
      </c>
      <c r="O192" t="str">
        <f>"STDINV2020"</f>
        <v>STDINV2020</v>
      </c>
      <c r="P192" t="str">
        <f>"Sales Transaction Entry"</f>
        <v>Sales Transaction Entry</v>
      </c>
      <c r="Q192" s="21" t="str">
        <f>"Commissions Payable"</f>
        <v>Commissions Payable</v>
      </c>
      <c r="R192" s="16">
        <v>0</v>
      </c>
      <c r="S192" s="16">
        <v>-360</v>
      </c>
      <c r="T192" s="19">
        <f t="shared" si="16"/>
        <v>-360</v>
      </c>
    </row>
    <row r="193" spans="1:20" x14ac:dyDescent="0.2">
      <c r="A193" s="28" t="s">
        <v>31</v>
      </c>
      <c r="B193" s="33"/>
      <c r="C193" s="33"/>
      <c r="F193" s="33">
        <f>F192</f>
        <v>39</v>
      </c>
      <c r="G193" s="33" t="str">
        <f>G192</f>
        <v>000-2120-00</v>
      </c>
      <c r="H193" s="36"/>
      <c r="K193" t="str">
        <f>"""GP Direct"",""Fabrikam, Inc."",""GL20000"",""DEX_ROW_ID"",""4032"""</f>
        <v>"GP Direct","Fabrikam, Inc.","GL20000","DEX_ROW_ID","4032"</v>
      </c>
      <c r="L193" s="15">
        <v>42386</v>
      </c>
      <c r="M193">
        <v>993</v>
      </c>
      <c r="N193" t="str">
        <f>"Lawrence Telemarketing"</f>
        <v>Lawrence Telemarketing</v>
      </c>
      <c r="O193" t="str">
        <f>"STDINV2021"</f>
        <v>STDINV2021</v>
      </c>
      <c r="P193" t="str">
        <f>"Sales Transaction Entry"</f>
        <v>Sales Transaction Entry</v>
      </c>
      <c r="Q193" s="21" t="str">
        <f>"Commissions Payable"</f>
        <v>Commissions Payable</v>
      </c>
      <c r="R193" s="16">
        <v>0</v>
      </c>
      <c r="S193" s="16">
        <v>-180</v>
      </c>
      <c r="T193" s="19">
        <f t="shared" si="16"/>
        <v>-180</v>
      </c>
    </row>
    <row r="194" spans="1:20" x14ac:dyDescent="0.2">
      <c r="A194" s="28" t="s">
        <v>31</v>
      </c>
      <c r="B194" s="33"/>
      <c r="C194" s="33"/>
      <c r="F194" s="33">
        <f>F193</f>
        <v>39</v>
      </c>
      <c r="G194" s="33" t="str">
        <f>G193</f>
        <v>000-2120-00</v>
      </c>
      <c r="H194" s="36"/>
      <c r="K194" t="str">
        <f>"""GP Direct"",""Fabrikam, Inc."",""GL20000"",""DEX_ROW_ID"",""4040"""</f>
        <v>"GP Direct","Fabrikam, Inc.","GL20000","DEX_ROW_ID","4040"</v>
      </c>
      <c r="L194" s="15">
        <v>42387</v>
      </c>
      <c r="M194">
        <v>995</v>
      </c>
      <c r="N194" t="str">
        <f>"McConnell A.F. B."</f>
        <v>McConnell A.F. B.</v>
      </c>
      <c r="O194" t="str">
        <f>"STDINV2022"</f>
        <v>STDINV2022</v>
      </c>
      <c r="P194" t="str">
        <f>"Sales Transaction Entry"</f>
        <v>Sales Transaction Entry</v>
      </c>
      <c r="Q194" s="21" t="str">
        <f>"Commissions Payable"</f>
        <v>Commissions Payable</v>
      </c>
      <c r="R194" s="16">
        <v>0</v>
      </c>
      <c r="S194" s="16">
        <v>-40.5</v>
      </c>
      <c r="T194" s="19">
        <f t="shared" si="16"/>
        <v>-40.5</v>
      </c>
    </row>
    <row r="195" spans="1:20" x14ac:dyDescent="0.2">
      <c r="A195" s="28" t="s">
        <v>31</v>
      </c>
      <c r="B195" s="33"/>
      <c r="C195" s="33"/>
      <c r="F195" s="33">
        <f>F194</f>
        <v>39</v>
      </c>
      <c r="G195" s="33" t="str">
        <f>G194</f>
        <v>000-2120-00</v>
      </c>
      <c r="H195" s="36"/>
      <c r="K195" t="str">
        <f>"""GP Direct"",""Fabrikam, Inc."",""GL20000"",""DEX_ROW_ID"",""4050"""</f>
        <v>"GP Direct","Fabrikam, Inc.","GL20000","DEX_ROW_ID","4050"</v>
      </c>
      <c r="L195" s="15">
        <v>42388</v>
      </c>
      <c r="M195">
        <v>997</v>
      </c>
      <c r="N195" t="str">
        <f>"Astor Suites"</f>
        <v>Astor Suites</v>
      </c>
      <c r="O195" t="str">
        <f>"STDINV2023"</f>
        <v>STDINV2023</v>
      </c>
      <c r="P195" t="str">
        <f>"Sales Transaction Entry"</f>
        <v>Sales Transaction Entry</v>
      </c>
      <c r="Q195" s="21" t="str">
        <f>"Commissions Payable"</f>
        <v>Commissions Payable</v>
      </c>
      <c r="R195" s="16">
        <v>0</v>
      </c>
      <c r="S195" s="16">
        <v>-0.9</v>
      </c>
      <c r="T195" s="19">
        <f t="shared" si="16"/>
        <v>-0.9</v>
      </c>
    </row>
    <row r="196" spans="1:20" x14ac:dyDescent="0.2">
      <c r="A196" s="28" t="s">
        <v>31</v>
      </c>
      <c r="B196" s="33"/>
      <c r="C196" s="33"/>
      <c r="F196" s="33">
        <f>F195</f>
        <v>39</v>
      </c>
      <c r="G196" s="33" t="str">
        <f>G195</f>
        <v>000-2120-00</v>
      </c>
      <c r="H196" s="36"/>
      <c r="K196" t="str">
        <f>"""GP Direct"",""Fabrikam, Inc."",""GL20000"",""DEX_ROW_ID"",""4060"""</f>
        <v>"GP Direct","Fabrikam, Inc.","GL20000","DEX_ROW_ID","4060"</v>
      </c>
      <c r="L196" s="15">
        <v>42390</v>
      </c>
      <c r="M196">
        <v>999</v>
      </c>
      <c r="N196" t="str">
        <f>"Plaza One"</f>
        <v>Plaza One</v>
      </c>
      <c r="O196" t="str">
        <f>"STDINV2024"</f>
        <v>STDINV2024</v>
      </c>
      <c r="P196" t="str">
        <f>"Sales Transaction Entry"</f>
        <v>Sales Transaction Entry</v>
      </c>
      <c r="Q196" s="21" t="str">
        <f>"Commissions Payable"</f>
        <v>Commissions Payable</v>
      </c>
      <c r="R196" s="16">
        <v>0</v>
      </c>
      <c r="S196" s="16">
        <v>-22.79</v>
      </c>
      <c r="T196" s="19">
        <f t="shared" si="16"/>
        <v>-22.79</v>
      </c>
    </row>
    <row r="197" spans="1:20" x14ac:dyDescent="0.2">
      <c r="A197" s="28" t="s">
        <v>31</v>
      </c>
      <c r="B197" s="33"/>
      <c r="C197" s="33"/>
      <c r="F197" s="33">
        <f>F196</f>
        <v>39</v>
      </c>
      <c r="G197" s="33" t="str">
        <f>G196</f>
        <v>000-2120-00</v>
      </c>
      <c r="H197" s="36"/>
      <c r="K197" t="str">
        <f>"""GP Direct"",""Fabrikam, Inc."",""GL20000"",""DEX_ROW_ID"",""4069"""</f>
        <v>"GP Direct","Fabrikam, Inc.","GL20000","DEX_ROW_ID","4069"</v>
      </c>
      <c r="L197" s="15">
        <v>42391</v>
      </c>
      <c r="M197">
        <v>1001</v>
      </c>
      <c r="N197" t="str">
        <f>"Vancouver Resort Hotels"</f>
        <v>Vancouver Resort Hotels</v>
      </c>
      <c r="O197" t="str">
        <f>"STDINV2025"</f>
        <v>STDINV2025</v>
      </c>
      <c r="P197" t="str">
        <f>"Sales Transaction Entry"</f>
        <v>Sales Transaction Entry</v>
      </c>
      <c r="Q197" s="21" t="str">
        <f>"Commissions Payable"</f>
        <v>Commissions Payable</v>
      </c>
      <c r="R197" s="16">
        <v>0</v>
      </c>
      <c r="S197" s="16">
        <v>-719.99</v>
      </c>
      <c r="T197" s="19">
        <f t="shared" si="16"/>
        <v>-719.99</v>
      </c>
    </row>
    <row r="198" spans="1:20" x14ac:dyDescent="0.2">
      <c r="A198" s="28" t="s">
        <v>31</v>
      </c>
      <c r="B198" s="33"/>
      <c r="C198" s="33"/>
      <c r="F198" s="33">
        <f>F197</f>
        <v>39</v>
      </c>
      <c r="G198" s="33" t="str">
        <f>G197</f>
        <v>000-2120-00</v>
      </c>
      <c r="H198" s="36"/>
      <c r="K198" t="str">
        <f>"""GP Direct"",""Fabrikam, Inc."",""GL20000"",""DEX_ROW_ID"",""4079"""</f>
        <v>"GP Direct","Fabrikam, Inc.","GL20000","DEX_ROW_ID","4079"</v>
      </c>
      <c r="L198" s="15">
        <v>42392</v>
      </c>
      <c r="M198">
        <v>1003</v>
      </c>
      <c r="N198" t="str">
        <f>"Aaron Fitz Electrical"</f>
        <v>Aaron Fitz Electrical</v>
      </c>
      <c r="O198" t="str">
        <f>"STDINV2026"</f>
        <v>STDINV2026</v>
      </c>
      <c r="P198" t="str">
        <f>"Sales Transaction Entry"</f>
        <v>Sales Transaction Entry</v>
      </c>
      <c r="Q198" s="21" t="str">
        <f>"Commissions Payable"</f>
        <v>Commissions Payable</v>
      </c>
      <c r="R198" s="16">
        <v>0</v>
      </c>
      <c r="S198" s="16">
        <v>-3.6</v>
      </c>
      <c r="T198" s="19">
        <f t="shared" si="16"/>
        <v>-3.6</v>
      </c>
    </row>
    <row r="199" spans="1:20" x14ac:dyDescent="0.2">
      <c r="A199" s="28" t="s">
        <v>31</v>
      </c>
      <c r="B199" s="33"/>
      <c r="C199" s="33"/>
      <c r="F199" s="33">
        <f>F198</f>
        <v>39</v>
      </c>
      <c r="G199" s="33" t="str">
        <f>G198</f>
        <v>000-2120-00</v>
      </c>
      <c r="H199" s="36"/>
      <c r="K199" t="str">
        <f>"""GP Direct"",""Fabrikam, Inc."",""GL20000"",""DEX_ROW_ID"",""4089"""</f>
        <v>"GP Direct","Fabrikam, Inc.","GL20000","DEX_ROW_ID","4089"</v>
      </c>
      <c r="L199" s="15">
        <v>42393</v>
      </c>
      <c r="M199">
        <v>1005</v>
      </c>
      <c r="N199" t="str">
        <f>"Aaron Fitz Electrical"</f>
        <v>Aaron Fitz Electrical</v>
      </c>
      <c r="O199" t="str">
        <f>"STDINV2027"</f>
        <v>STDINV2027</v>
      </c>
      <c r="P199" t="str">
        <f>"Sales Transaction Entry"</f>
        <v>Sales Transaction Entry</v>
      </c>
      <c r="Q199" s="21" t="str">
        <f>"Commissions Payable"</f>
        <v>Commissions Payable</v>
      </c>
      <c r="R199" s="16">
        <v>0</v>
      </c>
      <c r="S199" s="16">
        <v>-3.3</v>
      </c>
      <c r="T199" s="19">
        <f t="shared" si="16"/>
        <v>-3.3</v>
      </c>
    </row>
    <row r="200" spans="1:20" x14ac:dyDescent="0.2">
      <c r="A200" s="28" t="s">
        <v>31</v>
      </c>
      <c r="B200" s="33"/>
      <c r="C200" s="33"/>
      <c r="F200" s="33">
        <f>F199</f>
        <v>39</v>
      </c>
      <c r="G200" s="33" t="str">
        <f>G199</f>
        <v>000-2120-00</v>
      </c>
      <c r="H200" s="36"/>
      <c r="K200" t="str">
        <f>"""GP Direct"",""Fabrikam, Inc."",""GL20000"",""DEX_ROW_ID"",""4099"""</f>
        <v>"GP Direct","Fabrikam, Inc.","GL20000","DEX_ROW_ID","4099"</v>
      </c>
      <c r="L200" s="15">
        <v>42394</v>
      </c>
      <c r="M200">
        <v>1007</v>
      </c>
      <c r="N200" t="str">
        <f>"Adam Park Resort"</f>
        <v>Adam Park Resort</v>
      </c>
      <c r="O200" t="str">
        <f>"STDINV2028"</f>
        <v>STDINV2028</v>
      </c>
      <c r="P200" t="str">
        <f>"Sales Transaction Entry"</f>
        <v>Sales Transaction Entry</v>
      </c>
      <c r="Q200" s="21" t="str">
        <f>"Commissions Payable"</f>
        <v>Commissions Payable</v>
      </c>
      <c r="R200" s="16">
        <v>0</v>
      </c>
      <c r="S200" s="16">
        <v>-17.989999999999998</v>
      </c>
      <c r="T200" s="19">
        <f t="shared" si="16"/>
        <v>-17.989999999999998</v>
      </c>
    </row>
    <row r="201" spans="1:20" x14ac:dyDescent="0.2">
      <c r="A201" s="28" t="s">
        <v>31</v>
      </c>
      <c r="B201" s="33"/>
      <c r="C201" s="33"/>
      <c r="F201" s="33">
        <f>F200</f>
        <v>39</v>
      </c>
      <c r="G201" s="33" t="str">
        <f>G200</f>
        <v>000-2120-00</v>
      </c>
      <c r="H201" s="36"/>
      <c r="K201" t="str">
        <f>"""GP Direct"",""Fabrikam, Inc."",""GL20000"",""DEX_ROW_ID"",""4109"""</f>
        <v>"GP Direct","Fabrikam, Inc.","GL20000","DEX_ROW_ID","4109"</v>
      </c>
      <c r="L201" s="15">
        <v>42395</v>
      </c>
      <c r="M201">
        <v>1009</v>
      </c>
      <c r="N201" t="str">
        <f>"Aaron Fitz Electrical"</f>
        <v>Aaron Fitz Electrical</v>
      </c>
      <c r="O201" t="str">
        <f>"STDINV2029"</f>
        <v>STDINV2029</v>
      </c>
      <c r="P201" t="str">
        <f>"Sales Transaction Entry"</f>
        <v>Sales Transaction Entry</v>
      </c>
      <c r="Q201" s="21" t="str">
        <f>"Commissions Payable"</f>
        <v>Commissions Payable</v>
      </c>
      <c r="R201" s="16">
        <v>0</v>
      </c>
      <c r="S201" s="16">
        <v>-17.989999999999998</v>
      </c>
      <c r="T201" s="19">
        <f t="shared" si="16"/>
        <v>-17.989999999999998</v>
      </c>
    </row>
    <row r="202" spans="1:20" x14ac:dyDescent="0.2">
      <c r="A202" s="28" t="s">
        <v>31</v>
      </c>
      <c r="B202" s="33"/>
      <c r="C202" s="33"/>
      <c r="F202" s="33">
        <f>F201</f>
        <v>39</v>
      </c>
      <c r="G202" s="33" t="str">
        <f>G201</f>
        <v>000-2120-00</v>
      </c>
      <c r="H202" s="36"/>
      <c r="K202" t="str">
        <f>"""GP Direct"",""Fabrikam, Inc."",""GL20000"",""DEX_ROW_ID"",""4119"""</f>
        <v>"GP Direct","Fabrikam, Inc.","GL20000","DEX_ROW_ID","4119"</v>
      </c>
      <c r="L202" s="15">
        <v>42396</v>
      </c>
      <c r="M202">
        <v>1011</v>
      </c>
      <c r="N202" t="str">
        <f>"Aaron Fitz Electrical"</f>
        <v>Aaron Fitz Electrical</v>
      </c>
      <c r="O202" t="str">
        <f>"STDINV2030"</f>
        <v>STDINV2030</v>
      </c>
      <c r="P202" t="str">
        <f>"Sales Transaction Entry"</f>
        <v>Sales Transaction Entry</v>
      </c>
      <c r="Q202" s="21" t="str">
        <f>"Commissions Payable"</f>
        <v>Commissions Payable</v>
      </c>
      <c r="R202" s="16">
        <v>0</v>
      </c>
      <c r="S202" s="16">
        <v>-3.6</v>
      </c>
      <c r="T202" s="19">
        <f t="shared" si="16"/>
        <v>-3.6</v>
      </c>
    </row>
    <row r="203" spans="1:20" x14ac:dyDescent="0.2">
      <c r="A203" s="28" t="s">
        <v>31</v>
      </c>
      <c r="B203" s="33"/>
      <c r="C203" s="33"/>
      <c r="F203" s="33">
        <f>F202</f>
        <v>39</v>
      </c>
      <c r="G203" s="33" t="str">
        <f>G202</f>
        <v>000-2120-00</v>
      </c>
      <c r="H203" s="36"/>
      <c r="K203" t="str">
        <f>"""GP Direct"",""Fabrikam, Inc."",""GL20000"",""DEX_ROW_ID"",""4129"""</f>
        <v>"GP Direct","Fabrikam, Inc.","GL20000","DEX_ROW_ID","4129"</v>
      </c>
      <c r="L203" s="15">
        <v>42397</v>
      </c>
      <c r="M203">
        <v>1013</v>
      </c>
      <c r="N203" t="str">
        <f>"Contoso, Ltd."</f>
        <v>Contoso, Ltd.</v>
      </c>
      <c r="O203" t="str">
        <f>"STDINV2031"</f>
        <v>STDINV2031</v>
      </c>
      <c r="P203" t="str">
        <f>"Sales Transaction Entry"</f>
        <v>Sales Transaction Entry</v>
      </c>
      <c r="Q203" s="21" t="str">
        <f>"Commissions Payable"</f>
        <v>Commissions Payable</v>
      </c>
      <c r="R203" s="16">
        <v>0</v>
      </c>
      <c r="S203" s="16">
        <v>-8.99</v>
      </c>
      <c r="T203" s="19">
        <f t="shared" si="16"/>
        <v>-8.99</v>
      </c>
    </row>
    <row r="204" spans="1:20" x14ac:dyDescent="0.2">
      <c r="A204" s="28" t="s">
        <v>31</v>
      </c>
      <c r="B204" s="33"/>
      <c r="C204" s="33"/>
      <c r="F204" s="33">
        <f>F203</f>
        <v>39</v>
      </c>
      <c r="G204" s="33" t="str">
        <f>G203</f>
        <v>000-2120-00</v>
      </c>
      <c r="H204" s="36"/>
      <c r="K204" t="str">
        <f>"""GP Direct"",""Fabrikam, Inc."",""GL20000"",""DEX_ROW_ID"",""4138"""</f>
        <v>"GP Direct","Fabrikam, Inc.","GL20000","DEX_ROW_ID","4138"</v>
      </c>
      <c r="L204" s="15">
        <v>42398</v>
      </c>
      <c r="M204">
        <v>1015</v>
      </c>
      <c r="N204" t="str">
        <f>"Vancouver Resort Hotels"</f>
        <v>Vancouver Resort Hotels</v>
      </c>
      <c r="O204" t="str">
        <f>"STDINV2032"</f>
        <v>STDINV2032</v>
      </c>
      <c r="P204" t="str">
        <f>"Sales Transaction Entry"</f>
        <v>Sales Transaction Entry</v>
      </c>
      <c r="Q204" s="21" t="str">
        <f>"Commissions Payable"</f>
        <v>Commissions Payable</v>
      </c>
      <c r="R204" s="16">
        <v>0</v>
      </c>
      <c r="S204" s="16">
        <v>-1.8</v>
      </c>
      <c r="T204" s="19">
        <f t="shared" si="16"/>
        <v>-1.8</v>
      </c>
    </row>
    <row r="205" spans="1:20" x14ac:dyDescent="0.2">
      <c r="A205" s="28" t="s">
        <v>31</v>
      </c>
      <c r="B205" s="33"/>
      <c r="C205" s="33"/>
      <c r="F205" s="33">
        <f>F204</f>
        <v>39</v>
      </c>
      <c r="G205" s="33" t="str">
        <f>G204</f>
        <v>000-2120-00</v>
      </c>
      <c r="H205" s="36"/>
      <c r="K205" t="str">
        <f>"""GP Direct"",""Fabrikam, Inc."",""GL20000"",""DEX_ROW_ID"",""4148"""</f>
        <v>"GP Direct","Fabrikam, Inc.","GL20000","DEX_ROW_ID","4148"</v>
      </c>
      <c r="L205" s="15">
        <v>42399</v>
      </c>
      <c r="M205">
        <v>1017</v>
      </c>
      <c r="N205" t="str">
        <f>"Plaza One"</f>
        <v>Plaza One</v>
      </c>
      <c r="O205" t="str">
        <f>"STDINV2033"</f>
        <v>STDINV2033</v>
      </c>
      <c r="P205" t="str">
        <f>"Sales Transaction Entry"</f>
        <v>Sales Transaction Entry</v>
      </c>
      <c r="Q205" s="21" t="str">
        <f>"Commissions Payable"</f>
        <v>Commissions Payable</v>
      </c>
      <c r="R205" s="16">
        <v>0</v>
      </c>
      <c r="S205" s="16">
        <v>-7.2</v>
      </c>
      <c r="T205" s="19">
        <f t="shared" si="16"/>
        <v>-7.2</v>
      </c>
    </row>
    <row r="206" spans="1:20" x14ac:dyDescent="0.2">
      <c r="A206" s="28" t="s">
        <v>31</v>
      </c>
      <c r="B206" s="33"/>
      <c r="C206" s="33"/>
      <c r="F206" s="33">
        <f>F205</f>
        <v>39</v>
      </c>
      <c r="G206" s="33" t="str">
        <f>G205</f>
        <v>000-2120-00</v>
      </c>
      <c r="H206" s="36"/>
      <c r="K206" t="str">
        <f>"""GP Direct"",""Fabrikam, Inc."",""GL20000"",""DEX_ROW_ID"",""4158"""</f>
        <v>"GP Direct","Fabrikam, Inc.","GL20000","DEX_ROW_ID","4158"</v>
      </c>
      <c r="L206" s="15">
        <v>42400</v>
      </c>
      <c r="M206">
        <v>1019</v>
      </c>
      <c r="N206" t="str">
        <f>"Central Communications LTD"</f>
        <v>Central Communications LTD</v>
      </c>
      <c r="O206" t="str">
        <f>"STDINV2034"</f>
        <v>STDINV2034</v>
      </c>
      <c r="P206" t="str">
        <f>"Sales Transaction Entry"</f>
        <v>Sales Transaction Entry</v>
      </c>
      <c r="Q206" s="21" t="str">
        <f>"Commissions Payable"</f>
        <v>Commissions Payable</v>
      </c>
      <c r="R206" s="16">
        <v>0</v>
      </c>
      <c r="S206" s="16">
        <v>-8.99</v>
      </c>
      <c r="T206" s="19">
        <f t="shared" si="16"/>
        <v>-8.99</v>
      </c>
    </row>
    <row r="207" spans="1:20" x14ac:dyDescent="0.2">
      <c r="A207" s="28" t="s">
        <v>31</v>
      </c>
      <c r="B207" s="33"/>
      <c r="C207" s="33"/>
      <c r="F207" s="33">
        <f>F206</f>
        <v>39</v>
      </c>
      <c r="G207" s="33" t="str">
        <f>G206</f>
        <v>000-2120-00</v>
      </c>
      <c r="H207" s="36"/>
      <c r="K207" t="str">
        <f>"""GP Direct"",""Fabrikam, Inc."",""GL20000"",""DEX_ROW_ID"",""4940"""</f>
        <v>"GP Direct","Fabrikam, Inc.","GL20000","DEX_ROW_ID","4940"</v>
      </c>
      <c r="L207" s="15">
        <v>42377</v>
      </c>
      <c r="M207">
        <v>1204</v>
      </c>
      <c r="N207" t="str">
        <f>"Aaron Fitz Electrical"</f>
        <v>Aaron Fitz Electrical</v>
      </c>
      <c r="O207" t="str">
        <f>"STDINV2120"</f>
        <v>STDINV2120</v>
      </c>
      <c r="P207" t="str">
        <f>"Sales Transaction Entry"</f>
        <v>Sales Transaction Entry</v>
      </c>
      <c r="Q207" s="21" t="str">
        <f>"Commissions Payable"</f>
        <v>Commissions Payable</v>
      </c>
      <c r="R207" s="16">
        <v>0</v>
      </c>
      <c r="S207" s="16">
        <v>-34.19</v>
      </c>
      <c r="T207" s="19">
        <f t="shared" si="16"/>
        <v>-34.19</v>
      </c>
    </row>
    <row r="208" spans="1:20" x14ac:dyDescent="0.2">
      <c r="A208" s="28" t="s">
        <v>31</v>
      </c>
      <c r="B208" s="33"/>
      <c r="C208" s="33"/>
      <c r="F208" s="33">
        <f>F207</f>
        <v>39</v>
      </c>
      <c r="G208" s="33" t="str">
        <f>G207</f>
        <v>000-2120-00</v>
      </c>
      <c r="H208" s="36"/>
      <c r="K208" t="str">
        <f>"""GP Direct"",""Fabrikam, Inc."",""GL20000"",""DEX_ROW_ID"",""4943"""</f>
        <v>"GP Direct","Fabrikam, Inc.","GL20000","DEX_ROW_ID","4943"</v>
      </c>
      <c r="L208" s="15">
        <v>42377</v>
      </c>
      <c r="M208">
        <v>1205</v>
      </c>
      <c r="N208" t="str">
        <f>"Advanced Paper Co."</f>
        <v>Advanced Paper Co.</v>
      </c>
      <c r="O208" t="str">
        <f>"STDINV2121"</f>
        <v>STDINV2121</v>
      </c>
      <c r="P208" t="str">
        <f>"Sales Transaction Entry"</f>
        <v>Sales Transaction Entry</v>
      </c>
      <c r="Q208" s="21" t="str">
        <f>"Commissions Payable"</f>
        <v>Commissions Payable</v>
      </c>
      <c r="R208" s="16">
        <v>0</v>
      </c>
      <c r="S208" s="16">
        <v>-7.19</v>
      </c>
      <c r="T208" s="19">
        <f t="shared" si="16"/>
        <v>-7.19</v>
      </c>
    </row>
    <row r="209" spans="1:20" x14ac:dyDescent="0.2">
      <c r="A209" s="28" t="s">
        <v>31</v>
      </c>
      <c r="B209" s="33"/>
      <c r="C209" s="33"/>
      <c r="F209" s="33">
        <f>F172</f>
        <v>39</v>
      </c>
      <c r="G209" s="33" t="str">
        <f>G172</f>
        <v>000-2120-00</v>
      </c>
      <c r="H209" s="36"/>
    </row>
    <row r="210" spans="1:20" x14ac:dyDescent="0.2">
      <c r="A210" s="28" t="s">
        <v>31</v>
      </c>
      <c r="I210" s="37" t="str">
        <f>I170&amp;"   "&amp;J170&amp;"         Total:"</f>
        <v>000-2120-00   Commissions Payable         Total:</v>
      </c>
      <c r="J210" s="37"/>
      <c r="K210" s="37"/>
      <c r="L210" s="37"/>
      <c r="M210" s="37"/>
      <c r="N210" s="37"/>
      <c r="O210" s="37"/>
      <c r="P210" s="37"/>
      <c r="Q210" s="37"/>
      <c r="R210" s="37"/>
      <c r="S210" s="37"/>
      <c r="T210" s="23">
        <f t="shared" ref="T210" si="17">SUBTOTAL(9,T171:T209)</f>
        <v>-1817.24</v>
      </c>
    </row>
    <row r="211" spans="1:20" x14ac:dyDescent="0.2">
      <c r="A211" s="28" t="s">
        <v>31</v>
      </c>
    </row>
    <row r="212" spans="1:20" x14ac:dyDescent="0.2">
      <c r="A212" s="28" t="s">
        <v>31</v>
      </c>
      <c r="D212" s="28" t="str">
        <f>"||""Filter"",""GL20000"",""ACTINDX"",""TRXDATE"",""1/1/2016..1/31/2016"",""ACTINDX"",""||""""Filter"""",""""GL00105"""",""""ACTINDX"""",""""ACTNUMBR_1"""",""""*"""",""""ACTNUMBR_2"""",""""*"""",""""ACTNUMBR_3"""",""""*"""","""""""","""""""","""""""","""""""","""""""","""""""","""""""","""""""","""""""","""""""","""""""","""""""","""""""","""""""""","""","""","""","""&amp;""","""","""","""","""","""","""","""","""","""","""","""","""""</f>
        <v>||"Filter","GL20000","ACTINDX","TRXDATE","1/1/2016..1/31/2016","ACTINDX","||""Filter"",""GL00105"",""ACTINDX"",""ACTNUMBR_1"",""*"",""ACTNUMBR_2"",""*"",""ACTNUMBR_3"",""*"","""","""","""","""","""","""","""","""","""","""","""","""","""",""""","","","","","","","","","","","","","","","",""</v>
      </c>
      <c r="E212" s="28" t="str">
        <f>"||""Filter"",""GL30000"",""ACTINDX"",""TRXDATE"",""1/1/2016..1/31/2016"",""ACTINDX"",""||""""Filter"""",""""GL00105"""",""""ACTINDX"""",""""ACTNUMBR_1"""",""""*"""",""""ACTNUMBR_2"""",""""*"""",""""ACTNUMBR_3"""",""""*"""","""""""","""""""","""""""","""""""","""""""","""""""","""""""","""""""","""""""","""""""","""""""","""""""","""""""","""""""""","""","""","""","""&amp;""","""","""","""","""","""","""","""","""","""","""","""","""""</f>
        <v>||"Filter","GL30000","ACTINDX","TRXDATE","1/1/2016..1/31/2016","ACTINDX","||""Filter"",""GL00105"",""ACTINDX"",""ACTNUMBR_1"",""*"",""ACTNUMBR_2"",""*"",""ACTNUMBR_3"",""*"","""","""","""","""","""","""","""","""","""","""","""","""","""",""""","","","","","","","","","","","","","","","",""</v>
      </c>
      <c r="F212" s="28">
        <v>42</v>
      </c>
      <c r="G212" s="28" t="str">
        <f>"000-2150-00"</f>
        <v>000-2150-00</v>
      </c>
      <c r="I212" s="17" t="str">
        <f>G212</f>
        <v>000-2150-00</v>
      </c>
      <c r="J212" s="17" t="str">
        <f>"Taxable Benefits Payable"</f>
        <v>Taxable Benefits Payable</v>
      </c>
      <c r="Q212" s="17"/>
      <c r="R212" s="18"/>
    </row>
    <row r="213" spans="1:20" x14ac:dyDescent="0.2">
      <c r="A213" s="28" t="s">
        <v>31</v>
      </c>
      <c r="B213" s="33"/>
      <c r="C213" s="33"/>
      <c r="F213" s="33">
        <f>F212</f>
        <v>42</v>
      </c>
      <c r="G213" s="33" t="str">
        <f>G212</f>
        <v>000-2150-00</v>
      </c>
      <c r="H213" s="36"/>
      <c r="L213" s="15"/>
      <c r="Q213" s="21"/>
      <c r="R213" s="16"/>
      <c r="S213" s="16">
        <f>IF($K213="",0,-_xll.NF($K213,"CRDTAMNT"))</f>
        <v>0</v>
      </c>
      <c r="T213" s="19">
        <f t="shared" ref="T213:T214" si="18">SUM(R213:S213)</f>
        <v>0</v>
      </c>
    </row>
    <row r="214" spans="1:20" x14ac:dyDescent="0.2">
      <c r="A214" s="28" t="s">
        <v>31</v>
      </c>
      <c r="B214" s="33"/>
      <c r="C214" s="33"/>
      <c r="F214" s="33">
        <f>F213</f>
        <v>42</v>
      </c>
      <c r="G214" s="33" t="str">
        <f>G213</f>
        <v>000-2150-00</v>
      </c>
      <c r="H214" s="36"/>
      <c r="K214" t="str">
        <f>"""GP Direct"",""Fabrikam, Inc."",""GL20000"",""DEX_ROW_ID"",""12192"""</f>
        <v>"GP Direct","Fabrikam, Inc.","GL20000","DEX_ROW_ID","12192"</v>
      </c>
      <c r="L214" s="15">
        <v>42370</v>
      </c>
      <c r="M214">
        <v>2220</v>
      </c>
      <c r="N214" t="str">
        <f>"Ackerman, Pilar"</f>
        <v>Ackerman, Pilar</v>
      </c>
      <c r="O214" t="str">
        <f>"DD000000000000000073"</f>
        <v>DD000000000000000073</v>
      </c>
      <c r="P214" t="str">
        <f>"Payroll Computer Checks"</f>
        <v>Payroll Computer Checks</v>
      </c>
      <c r="Q214" s="21"/>
      <c r="R214" s="16">
        <v>0</v>
      </c>
      <c r="S214" s="16">
        <v>-51.52</v>
      </c>
      <c r="T214" s="19">
        <f t="shared" si="18"/>
        <v>-51.52</v>
      </c>
    </row>
    <row r="215" spans="1:20" x14ac:dyDescent="0.2">
      <c r="A215" s="28" t="s">
        <v>31</v>
      </c>
      <c r="B215" s="33"/>
      <c r="C215" s="33"/>
      <c r="F215" s="33">
        <f>F214</f>
        <v>42</v>
      </c>
      <c r="G215" s="33" t="str">
        <f>G214</f>
        <v>000-2150-00</v>
      </c>
      <c r="H215" s="36"/>
      <c r="K215" t="str">
        <f>"""GP Direct"",""Fabrikam, Inc."",""GL20000"",""DEX_ROW_ID"",""12200"""</f>
        <v>"GP Direct","Fabrikam, Inc.","GL20000","DEX_ROW_ID","12200"</v>
      </c>
      <c r="L215" s="15">
        <v>42370</v>
      </c>
      <c r="M215">
        <v>2221</v>
      </c>
      <c r="N215" t="str">
        <f>"Barbariol, Angela"</f>
        <v>Barbariol, Angela</v>
      </c>
      <c r="O215" t="str">
        <f>"DD000000000000000074"</f>
        <v>DD000000000000000074</v>
      </c>
      <c r="P215" t="str">
        <f>"Payroll Computer Checks"</f>
        <v>Payroll Computer Checks</v>
      </c>
      <c r="Q215" s="21"/>
      <c r="R215" s="16">
        <v>0</v>
      </c>
      <c r="S215" s="16">
        <v>-51.62</v>
      </c>
      <c r="T215" s="19">
        <f t="shared" ref="T215:T241" si="19">SUM(R215:S215)</f>
        <v>-51.62</v>
      </c>
    </row>
    <row r="216" spans="1:20" x14ac:dyDescent="0.2">
      <c r="A216" s="28" t="s">
        <v>31</v>
      </c>
      <c r="B216" s="33"/>
      <c r="C216" s="33"/>
      <c r="F216" s="33">
        <f>F215</f>
        <v>42</v>
      </c>
      <c r="G216" s="33" t="str">
        <f>G215</f>
        <v>000-2150-00</v>
      </c>
      <c r="H216" s="36"/>
      <c r="K216" t="str">
        <f>"""GP Direct"",""Fabrikam, Inc."",""GL20000"",""DEX_ROW_ID"",""12209"""</f>
        <v>"GP Direct","Fabrikam, Inc.","GL20000","DEX_ROW_ID","12209"</v>
      </c>
      <c r="L216" s="15">
        <v>42370</v>
      </c>
      <c r="M216">
        <v>2222</v>
      </c>
      <c r="N216" t="str">
        <f>"Barr, Adam"</f>
        <v>Barr, Adam</v>
      </c>
      <c r="O216" t="str">
        <f>"10654"</f>
        <v>10654</v>
      </c>
      <c r="P216" t="str">
        <f>"Payroll Computer Checks"</f>
        <v>Payroll Computer Checks</v>
      </c>
      <c r="Q216" s="21"/>
      <c r="R216" s="16">
        <v>0</v>
      </c>
      <c r="S216" s="16">
        <v>-52.75</v>
      </c>
      <c r="T216" s="19">
        <f t="shared" si="19"/>
        <v>-52.75</v>
      </c>
    </row>
    <row r="217" spans="1:20" x14ac:dyDescent="0.2">
      <c r="A217" s="28" t="s">
        <v>31</v>
      </c>
      <c r="B217" s="33"/>
      <c r="C217" s="33"/>
      <c r="F217" s="33">
        <f>F216</f>
        <v>42</v>
      </c>
      <c r="G217" s="33" t="str">
        <f>G216</f>
        <v>000-2150-00</v>
      </c>
      <c r="H217" s="36"/>
      <c r="K217" t="str">
        <f>"""GP Direct"",""Fabrikam, Inc."",""GL20000"",""DEX_ROW_ID"",""12221"""</f>
        <v>"GP Direct","Fabrikam, Inc.","GL20000","DEX_ROW_ID","12221"</v>
      </c>
      <c r="L217" s="15">
        <v>42370</v>
      </c>
      <c r="M217">
        <v>2223</v>
      </c>
      <c r="N217" t="str">
        <f>"Bonifaz, Luis"</f>
        <v>Bonifaz, Luis</v>
      </c>
      <c r="O217" t="str">
        <f>"DD000000000000000075"</f>
        <v>DD000000000000000075</v>
      </c>
      <c r="P217" t="str">
        <f>"Payroll Computer Checks"</f>
        <v>Payroll Computer Checks</v>
      </c>
      <c r="Q217" s="21"/>
      <c r="R217" s="16">
        <v>0</v>
      </c>
      <c r="S217" s="16">
        <v>-51.15</v>
      </c>
      <c r="T217" s="19">
        <f t="shared" si="19"/>
        <v>-51.15</v>
      </c>
    </row>
    <row r="218" spans="1:20" x14ac:dyDescent="0.2">
      <c r="A218" s="28" t="s">
        <v>31</v>
      </c>
      <c r="B218" s="33"/>
      <c r="C218" s="33"/>
      <c r="F218" s="33">
        <f>F217</f>
        <v>42</v>
      </c>
      <c r="G218" s="33" t="str">
        <f>G217</f>
        <v>000-2150-00</v>
      </c>
      <c r="H218" s="36"/>
      <c r="K218" t="str">
        <f>"""GP Direct"",""Fabrikam, Inc."",""GL20000"",""DEX_ROW_ID"",""12228"""</f>
        <v>"GP Direct","Fabrikam, Inc.","GL20000","DEX_ROW_ID","12228"</v>
      </c>
      <c r="L218" s="15">
        <v>42370</v>
      </c>
      <c r="M218">
        <v>2224</v>
      </c>
      <c r="N218" t="str">
        <f>"Buchanan, Nancy"</f>
        <v>Buchanan, Nancy</v>
      </c>
      <c r="O218" t="str">
        <f>"10655"</f>
        <v>10655</v>
      </c>
      <c r="P218" t="str">
        <f>"Payroll Computer Checks"</f>
        <v>Payroll Computer Checks</v>
      </c>
      <c r="Q218" s="21"/>
      <c r="R218" s="16">
        <v>0</v>
      </c>
      <c r="S218" s="16">
        <v>-63.74</v>
      </c>
      <c r="T218" s="19">
        <f t="shared" si="19"/>
        <v>-63.74</v>
      </c>
    </row>
    <row r="219" spans="1:20" x14ac:dyDescent="0.2">
      <c r="A219" s="28" t="s">
        <v>31</v>
      </c>
      <c r="B219" s="33"/>
      <c r="C219" s="33"/>
      <c r="F219" s="33">
        <f>F218</f>
        <v>42</v>
      </c>
      <c r="G219" s="33" t="str">
        <f>G218</f>
        <v>000-2150-00</v>
      </c>
      <c r="H219" s="36"/>
      <c r="K219" t="str">
        <f>"""GP Direct"",""Fabrikam, Inc."",""GL20000"",""DEX_ROW_ID"",""12236"""</f>
        <v>"GP Direct","Fabrikam, Inc.","GL20000","DEX_ROW_ID","12236"</v>
      </c>
      <c r="L219" s="15">
        <v>42370</v>
      </c>
      <c r="M219">
        <v>2225</v>
      </c>
      <c r="N219" t="str">
        <f>"Chen, John Y."</f>
        <v>Chen, John Y.</v>
      </c>
      <c r="O219" t="str">
        <f>"10656"</f>
        <v>10656</v>
      </c>
      <c r="P219" t="str">
        <f>"Payroll Computer Checks"</f>
        <v>Payroll Computer Checks</v>
      </c>
      <c r="Q219" s="21"/>
      <c r="R219" s="16">
        <v>0</v>
      </c>
      <c r="S219" s="16">
        <v>-50.4</v>
      </c>
      <c r="T219" s="19">
        <f t="shared" si="19"/>
        <v>-50.4</v>
      </c>
    </row>
    <row r="220" spans="1:20" x14ac:dyDescent="0.2">
      <c r="A220" s="28" t="s">
        <v>31</v>
      </c>
      <c r="B220" s="33"/>
      <c r="C220" s="33"/>
      <c r="F220" s="33">
        <f>F219</f>
        <v>42</v>
      </c>
      <c r="G220" s="33" t="str">
        <f>G219</f>
        <v>000-2150-00</v>
      </c>
      <c r="H220" s="36"/>
      <c r="K220" t="str">
        <f>"""GP Direct"",""Fabrikam, Inc."",""GL20000"",""DEX_ROW_ID"",""12247"""</f>
        <v>"GP Direct","Fabrikam, Inc.","GL20000","DEX_ROW_ID","12247"</v>
      </c>
      <c r="L220" s="15">
        <v>42370</v>
      </c>
      <c r="M220">
        <v>2226</v>
      </c>
      <c r="N220" t="str">
        <f>"Clayton, Jane"</f>
        <v>Clayton, Jane</v>
      </c>
      <c r="O220" t="str">
        <f>"10657"</f>
        <v>10657</v>
      </c>
      <c r="P220" t="str">
        <f>"Payroll Computer Checks"</f>
        <v>Payroll Computer Checks</v>
      </c>
      <c r="Q220" s="21"/>
      <c r="R220" s="16">
        <v>0</v>
      </c>
      <c r="S220" s="16">
        <v>-51.99</v>
      </c>
      <c r="T220" s="19">
        <f t="shared" si="19"/>
        <v>-51.99</v>
      </c>
    </row>
    <row r="221" spans="1:20" x14ac:dyDescent="0.2">
      <c r="A221" s="28" t="s">
        <v>31</v>
      </c>
      <c r="B221" s="33"/>
      <c r="C221" s="33"/>
      <c r="F221" s="33">
        <f>F220</f>
        <v>42</v>
      </c>
      <c r="G221" s="33" t="str">
        <f>G220</f>
        <v>000-2150-00</v>
      </c>
      <c r="H221" s="36"/>
      <c r="K221" t="str">
        <f>"""GP Direct"",""Fabrikam, Inc."",""GL20000"",""DEX_ROW_ID"",""12259"""</f>
        <v>"GP Direct","Fabrikam, Inc.","GL20000","DEX_ROW_ID","12259"</v>
      </c>
      <c r="L221" s="15">
        <v>42370</v>
      </c>
      <c r="M221">
        <v>2227</v>
      </c>
      <c r="N221" t="str">
        <f>"Delaney, Aidan"</f>
        <v>Delaney, Aidan</v>
      </c>
      <c r="O221" t="str">
        <f>"10658"</f>
        <v>10658</v>
      </c>
      <c r="P221" t="str">
        <f>"Payroll Computer Checks"</f>
        <v>Payroll Computer Checks</v>
      </c>
      <c r="Q221" s="21"/>
      <c r="R221" s="16">
        <v>0</v>
      </c>
      <c r="S221" s="16">
        <v>-51.01</v>
      </c>
      <c r="T221" s="19">
        <f t="shared" si="19"/>
        <v>-51.01</v>
      </c>
    </row>
    <row r="222" spans="1:20" x14ac:dyDescent="0.2">
      <c r="A222" s="28" t="s">
        <v>31</v>
      </c>
      <c r="B222" s="33"/>
      <c r="C222" s="33"/>
      <c r="F222" s="33">
        <f>F221</f>
        <v>42</v>
      </c>
      <c r="G222" s="33" t="str">
        <f>G221</f>
        <v>000-2150-00</v>
      </c>
      <c r="H222" s="36"/>
      <c r="K222" t="str">
        <f>"""GP Direct"",""Fabrikam, Inc."",""GL20000"",""DEX_ROW_ID"",""12265"""</f>
        <v>"GP Direct","Fabrikam, Inc.","GL20000","DEX_ROW_ID","12265"</v>
      </c>
      <c r="L222" s="15">
        <v>42370</v>
      </c>
      <c r="M222">
        <v>2228</v>
      </c>
      <c r="N222" t="str">
        <f>"Diaz, Brenda"</f>
        <v>Diaz, Brenda</v>
      </c>
      <c r="O222" t="str">
        <f>"10659"</f>
        <v>10659</v>
      </c>
      <c r="P222" t="str">
        <f>"Payroll Computer Checks"</f>
        <v>Payroll Computer Checks</v>
      </c>
      <c r="Q222" s="21"/>
      <c r="R222" s="16">
        <v>0</v>
      </c>
      <c r="S222" s="16">
        <v>-52.18</v>
      </c>
      <c r="T222" s="19">
        <f t="shared" si="19"/>
        <v>-52.18</v>
      </c>
    </row>
    <row r="223" spans="1:20" x14ac:dyDescent="0.2">
      <c r="A223" s="28" t="s">
        <v>31</v>
      </c>
      <c r="B223" s="33"/>
      <c r="C223" s="33"/>
      <c r="F223" s="33">
        <f>F222</f>
        <v>42</v>
      </c>
      <c r="G223" s="33" t="str">
        <f>G222</f>
        <v>000-2150-00</v>
      </c>
      <c r="H223" s="36"/>
      <c r="K223" t="str">
        <f>"""GP Direct"",""Fabrikam, Inc."",""GL20000"",""DEX_ROW_ID"",""12278"""</f>
        <v>"GP Direct","Fabrikam, Inc.","GL20000","DEX_ROW_ID","12278"</v>
      </c>
      <c r="L223" s="15">
        <v>42370</v>
      </c>
      <c r="M223">
        <v>2229</v>
      </c>
      <c r="N223" t="str">
        <f>"Doyle, Jenny"</f>
        <v>Doyle, Jenny</v>
      </c>
      <c r="O223" t="str">
        <f>"10660"</f>
        <v>10660</v>
      </c>
      <c r="P223" t="str">
        <f>"Payroll Computer Checks"</f>
        <v>Payroll Computer Checks</v>
      </c>
      <c r="Q223" s="21"/>
      <c r="R223" s="16">
        <v>0</v>
      </c>
      <c r="S223" s="16">
        <v>-50.7</v>
      </c>
      <c r="T223" s="19">
        <f t="shared" si="19"/>
        <v>-50.7</v>
      </c>
    </row>
    <row r="224" spans="1:20" x14ac:dyDescent="0.2">
      <c r="A224" s="28" t="s">
        <v>31</v>
      </c>
      <c r="B224" s="33"/>
      <c r="C224" s="33"/>
      <c r="F224" s="33">
        <f>F223</f>
        <v>42</v>
      </c>
      <c r="G224" s="33" t="str">
        <f>G223</f>
        <v>000-2150-00</v>
      </c>
      <c r="H224" s="36"/>
      <c r="K224" t="str">
        <f>"""GP Direct"",""Fabrikam, Inc."",""GL20000"",""DEX_ROW_ID"",""12283"""</f>
        <v>"GP Direct","Fabrikam, Inc.","GL20000","DEX_ROW_ID","12283"</v>
      </c>
      <c r="L224" s="15">
        <v>42370</v>
      </c>
      <c r="M224">
        <v>2230</v>
      </c>
      <c r="N224" t="str">
        <f>"Erickson, Gregory J."</f>
        <v>Erickson, Gregory J.</v>
      </c>
      <c r="O224" t="str">
        <f>"10661"</f>
        <v>10661</v>
      </c>
      <c r="P224" t="str">
        <f>"Payroll Computer Checks"</f>
        <v>Payroll Computer Checks</v>
      </c>
      <c r="Q224" s="21"/>
      <c r="R224" s="16">
        <v>0</v>
      </c>
      <c r="S224" s="16">
        <v>-59.19</v>
      </c>
      <c r="T224" s="19">
        <f t="shared" si="19"/>
        <v>-59.19</v>
      </c>
    </row>
    <row r="225" spans="1:20" x14ac:dyDescent="0.2">
      <c r="A225" s="28" t="s">
        <v>31</v>
      </c>
      <c r="B225" s="33"/>
      <c r="C225" s="33"/>
      <c r="F225" s="33">
        <f>F224</f>
        <v>42</v>
      </c>
      <c r="G225" s="33" t="str">
        <f>G224</f>
        <v>000-2150-00</v>
      </c>
      <c r="H225" s="36"/>
      <c r="K225" t="str">
        <f>"""GP Direct"",""Fabrikam, Inc."",""GL20000"",""DEX_ROW_ID"",""12290"""</f>
        <v>"GP Direct","Fabrikam, Inc.","GL20000","DEX_ROW_ID","12290"</v>
      </c>
      <c r="L225" s="15">
        <v>42370</v>
      </c>
      <c r="M225">
        <v>2231</v>
      </c>
      <c r="N225" t="str">
        <f>"Flood, Kathie"</f>
        <v>Flood, Kathie</v>
      </c>
      <c r="O225" t="str">
        <f>"10662"</f>
        <v>10662</v>
      </c>
      <c r="P225" t="str">
        <f>"Payroll Computer Checks"</f>
        <v>Payroll Computer Checks</v>
      </c>
      <c r="Q225" s="21"/>
      <c r="R225" s="16">
        <v>0</v>
      </c>
      <c r="S225" s="16">
        <v>-51.64</v>
      </c>
      <c r="T225" s="19">
        <f t="shared" si="19"/>
        <v>-51.64</v>
      </c>
    </row>
    <row r="226" spans="1:20" x14ac:dyDescent="0.2">
      <c r="A226" s="28" t="s">
        <v>31</v>
      </c>
      <c r="B226" s="33"/>
      <c r="C226" s="33"/>
      <c r="F226" s="33">
        <f>F225</f>
        <v>42</v>
      </c>
      <c r="G226" s="33" t="str">
        <f>G225</f>
        <v>000-2150-00</v>
      </c>
      <c r="H226" s="36"/>
      <c r="K226" t="str">
        <f>"""GP Direct"",""Fabrikam, Inc."",""GL20000"",""DEX_ROW_ID"",""12304"""</f>
        <v>"GP Direct","Fabrikam, Inc.","GL20000","DEX_ROW_ID","12304"</v>
      </c>
      <c r="L226" s="15">
        <v>42370</v>
      </c>
      <c r="M226">
        <v>2232</v>
      </c>
      <c r="N226" t="str">
        <f>"Harui, Roger"</f>
        <v>Harui, Roger</v>
      </c>
      <c r="O226" t="str">
        <f>"10663"</f>
        <v>10663</v>
      </c>
      <c r="P226" t="str">
        <f>"Payroll Computer Checks"</f>
        <v>Payroll Computer Checks</v>
      </c>
      <c r="Q226" s="21"/>
      <c r="R226" s="16">
        <v>0</v>
      </c>
      <c r="S226" s="16">
        <v>-52.3</v>
      </c>
      <c r="T226" s="19">
        <f t="shared" si="19"/>
        <v>-52.3</v>
      </c>
    </row>
    <row r="227" spans="1:20" x14ac:dyDescent="0.2">
      <c r="A227" s="28" t="s">
        <v>31</v>
      </c>
      <c r="B227" s="33"/>
      <c r="C227" s="33"/>
      <c r="F227" s="33">
        <f>F226</f>
        <v>42</v>
      </c>
      <c r="G227" s="33" t="str">
        <f>G226</f>
        <v>000-2150-00</v>
      </c>
      <c r="H227" s="36"/>
      <c r="K227" t="str">
        <f>"""GP Direct"",""Fabrikam, Inc."",""GL20000"",""DEX_ROW_ID"",""12308"""</f>
        <v>"GP Direct","Fabrikam, Inc.","GL20000","DEX_ROW_ID","12308"</v>
      </c>
      <c r="L227" s="15">
        <v>42370</v>
      </c>
      <c r="M227">
        <v>2233</v>
      </c>
      <c r="N227" t="str">
        <f>"Jamison, Jay"</f>
        <v>Jamison, Jay</v>
      </c>
      <c r="O227" t="str">
        <f>"10664"</f>
        <v>10664</v>
      </c>
      <c r="P227" t="str">
        <f>"Payroll Computer Checks"</f>
        <v>Payroll Computer Checks</v>
      </c>
      <c r="Q227" s="21"/>
      <c r="R227" s="16">
        <v>0</v>
      </c>
      <c r="S227" s="16">
        <v>-51.39</v>
      </c>
      <c r="T227" s="19">
        <f t="shared" si="19"/>
        <v>-51.39</v>
      </c>
    </row>
    <row r="228" spans="1:20" x14ac:dyDescent="0.2">
      <c r="A228" s="28" t="s">
        <v>31</v>
      </c>
      <c r="B228" s="33"/>
      <c r="C228" s="33"/>
      <c r="F228" s="33">
        <f>F227</f>
        <v>42</v>
      </c>
      <c r="G228" s="33" t="str">
        <f>G227</f>
        <v>000-2150-00</v>
      </c>
      <c r="H228" s="36"/>
      <c r="K228" t="str">
        <f>"""GP Direct"",""Fabrikam, Inc."",""GL20000"",""DEX_ROW_ID"",""12322"""</f>
        <v>"GP Direct","Fabrikam, Inc.","GL20000","DEX_ROW_ID","12322"</v>
      </c>
      <c r="L228" s="15">
        <v>42370</v>
      </c>
      <c r="M228">
        <v>2234</v>
      </c>
      <c r="N228" t="str">
        <f>"Kahn, Wendy B."</f>
        <v>Kahn, Wendy B.</v>
      </c>
      <c r="O228" t="str">
        <f>"10665"</f>
        <v>10665</v>
      </c>
      <c r="P228" t="str">
        <f>"Payroll Computer Checks"</f>
        <v>Payroll Computer Checks</v>
      </c>
      <c r="Q228" s="21"/>
      <c r="R228" s="16">
        <v>0</v>
      </c>
      <c r="S228" s="16">
        <v>-50.39</v>
      </c>
      <c r="T228" s="19">
        <f t="shared" si="19"/>
        <v>-50.39</v>
      </c>
    </row>
    <row r="229" spans="1:20" x14ac:dyDescent="0.2">
      <c r="A229" s="28" t="s">
        <v>31</v>
      </c>
      <c r="B229" s="33"/>
      <c r="C229" s="33"/>
      <c r="F229" s="33">
        <f>F228</f>
        <v>42</v>
      </c>
      <c r="G229" s="33" t="str">
        <f>G228</f>
        <v>000-2150-00</v>
      </c>
      <c r="H229" s="36"/>
      <c r="K229" t="str">
        <f>"""GP Direct"",""Fabrikam, Inc."",""GL20000"",""DEX_ROW_ID"",""12326"""</f>
        <v>"GP Direct","Fabrikam, Inc.","GL20000","DEX_ROW_ID","12326"</v>
      </c>
      <c r="L229" s="15">
        <v>42370</v>
      </c>
      <c r="M229">
        <v>2235</v>
      </c>
      <c r="N229" t="str">
        <f>"Kennedy, Kevin"</f>
        <v>Kennedy, Kevin</v>
      </c>
      <c r="O229" t="str">
        <f>"10666"</f>
        <v>10666</v>
      </c>
      <c r="P229" t="str">
        <f>"Payroll Computer Checks"</f>
        <v>Payroll Computer Checks</v>
      </c>
      <c r="Q229" s="21"/>
      <c r="R229" s="16">
        <v>0</v>
      </c>
      <c r="S229" s="16">
        <v>-51.88</v>
      </c>
      <c r="T229" s="19">
        <f t="shared" si="19"/>
        <v>-51.88</v>
      </c>
    </row>
    <row r="230" spans="1:20" x14ac:dyDescent="0.2">
      <c r="A230" s="28" t="s">
        <v>31</v>
      </c>
      <c r="B230" s="33"/>
      <c r="C230" s="33"/>
      <c r="F230" s="33">
        <f>F229</f>
        <v>42</v>
      </c>
      <c r="G230" s="33" t="str">
        <f>G229</f>
        <v>000-2150-00</v>
      </c>
      <c r="H230" s="36"/>
      <c r="K230" t="str">
        <f>"""GP Direct"",""Fabrikam, Inc."",""GL20000"",""DEX_ROW_ID"",""12338"""</f>
        <v>"GP Direct","Fabrikam, Inc.","GL20000","DEX_ROW_ID","12338"</v>
      </c>
      <c r="L230" s="15">
        <v>42370</v>
      </c>
      <c r="M230">
        <v>2236</v>
      </c>
      <c r="N230" t="str">
        <f>"Levy, Steven B."</f>
        <v>Levy, Steven B.</v>
      </c>
      <c r="O230" t="str">
        <f>"10667"</f>
        <v>10667</v>
      </c>
      <c r="P230" t="str">
        <f>"Payroll Computer Checks"</f>
        <v>Payroll Computer Checks</v>
      </c>
      <c r="Q230" s="21"/>
      <c r="R230" s="16">
        <v>0</v>
      </c>
      <c r="S230" s="16">
        <v>-51.89</v>
      </c>
      <c r="T230" s="19">
        <f t="shared" si="19"/>
        <v>-51.89</v>
      </c>
    </row>
    <row r="231" spans="1:20" x14ac:dyDescent="0.2">
      <c r="A231" s="28" t="s">
        <v>31</v>
      </c>
      <c r="B231" s="33"/>
      <c r="C231" s="33"/>
      <c r="F231" s="33">
        <f>F230</f>
        <v>42</v>
      </c>
      <c r="G231" s="33" t="str">
        <f>G230</f>
        <v>000-2150-00</v>
      </c>
      <c r="H231" s="36"/>
      <c r="K231" t="str">
        <f>"""GP Direct"",""Fabrikam, Inc."",""GL20000"",""DEX_ROW_ID"",""12347"""</f>
        <v>"GP Direct","Fabrikam, Inc.","GL20000","DEX_ROW_ID","12347"</v>
      </c>
      <c r="L231" s="15">
        <v>42370</v>
      </c>
      <c r="M231">
        <v>2237</v>
      </c>
      <c r="N231" t="str">
        <f>"Lyon, Robert"</f>
        <v>Lyon, Robert</v>
      </c>
      <c r="O231" t="str">
        <f>"10668"</f>
        <v>10668</v>
      </c>
      <c r="P231" t="str">
        <f>"Payroll Computer Checks"</f>
        <v>Payroll Computer Checks</v>
      </c>
      <c r="Q231" s="21"/>
      <c r="R231" s="16">
        <v>0</v>
      </c>
      <c r="S231" s="16">
        <v>-50.45</v>
      </c>
      <c r="T231" s="19">
        <f t="shared" si="19"/>
        <v>-50.45</v>
      </c>
    </row>
    <row r="232" spans="1:20" x14ac:dyDescent="0.2">
      <c r="A232" s="28" t="s">
        <v>31</v>
      </c>
      <c r="B232" s="33"/>
      <c r="C232" s="33"/>
      <c r="F232" s="33">
        <f>F231</f>
        <v>42</v>
      </c>
      <c r="G232" s="33" t="str">
        <f>G231</f>
        <v>000-2150-00</v>
      </c>
      <c r="H232" s="36"/>
      <c r="K232" t="str">
        <f>"""GP Direct"",""Fabrikam, Inc."",""GL20000"",""DEX_ROW_ID"",""12356"""</f>
        <v>"GP Direct","Fabrikam, Inc.","GL20000","DEX_ROW_ID","12356"</v>
      </c>
      <c r="L232" s="15">
        <v>42370</v>
      </c>
      <c r="M232">
        <v>2238</v>
      </c>
      <c r="N232" t="str">
        <f>"Lysaker, Jenny"</f>
        <v>Lysaker, Jenny</v>
      </c>
      <c r="O232" t="str">
        <f>"10669"</f>
        <v>10669</v>
      </c>
      <c r="P232" t="str">
        <f>"Payroll Computer Checks"</f>
        <v>Payroll Computer Checks</v>
      </c>
      <c r="Q232" s="21"/>
      <c r="R232" s="16">
        <v>0</v>
      </c>
      <c r="S232" s="16">
        <v>-50.48</v>
      </c>
      <c r="T232" s="19">
        <f t="shared" si="19"/>
        <v>-50.48</v>
      </c>
    </row>
    <row r="233" spans="1:20" x14ac:dyDescent="0.2">
      <c r="A233" s="28" t="s">
        <v>31</v>
      </c>
      <c r="B233" s="33"/>
      <c r="C233" s="33"/>
      <c r="F233" s="33">
        <f>F232</f>
        <v>42</v>
      </c>
      <c r="G233" s="33" t="str">
        <f>G232</f>
        <v>000-2150-00</v>
      </c>
      <c r="H233" s="36"/>
      <c r="K233" t="str">
        <f>"""GP Direct"",""Fabrikam, Inc."",""GL20000"",""DEX_ROW_ID"",""12362"""</f>
        <v>"GP Direct","Fabrikam, Inc.","GL20000","DEX_ROW_ID","12362"</v>
      </c>
      <c r="L233" s="15">
        <v>42370</v>
      </c>
      <c r="M233">
        <v>2239</v>
      </c>
      <c r="N233" t="str">
        <f>"Martinez, Sandra I."</f>
        <v>Martinez, Sandra I.</v>
      </c>
      <c r="O233" t="str">
        <f>"10670"</f>
        <v>10670</v>
      </c>
      <c r="P233" t="str">
        <f>"Payroll Computer Checks"</f>
        <v>Payroll Computer Checks</v>
      </c>
      <c r="Q233" s="21"/>
      <c r="R233" s="16">
        <v>0</v>
      </c>
      <c r="S233" s="16">
        <v>-50.44</v>
      </c>
      <c r="T233" s="19">
        <f t="shared" si="19"/>
        <v>-50.44</v>
      </c>
    </row>
    <row r="234" spans="1:20" x14ac:dyDescent="0.2">
      <c r="A234" s="28" t="s">
        <v>31</v>
      </c>
      <c r="B234" s="33"/>
      <c r="C234" s="33"/>
      <c r="F234" s="33">
        <f>F233</f>
        <v>42</v>
      </c>
      <c r="G234" s="33" t="str">
        <f>G233</f>
        <v>000-2150-00</v>
      </c>
      <c r="H234" s="36"/>
      <c r="K234" t="str">
        <f>"""GP Direct"",""Fabrikam, Inc."",""GL20000"",""DEX_ROW_ID"",""12376"""</f>
        <v>"GP Direct","Fabrikam, Inc.","GL20000","DEX_ROW_ID","12376"</v>
      </c>
      <c r="L234" s="15">
        <v>42370</v>
      </c>
      <c r="M234">
        <v>2240</v>
      </c>
      <c r="N234" t="str">
        <f>"Mughal, Salmon"</f>
        <v>Mughal, Salmon</v>
      </c>
      <c r="O234" t="str">
        <f>"10671"</f>
        <v>10671</v>
      </c>
      <c r="P234" t="str">
        <f>"Payroll Computer Checks"</f>
        <v>Payroll Computer Checks</v>
      </c>
      <c r="Q234" s="21"/>
      <c r="R234" s="16">
        <v>0</v>
      </c>
      <c r="S234" s="16">
        <v>-50.44</v>
      </c>
      <c r="T234" s="19">
        <f t="shared" si="19"/>
        <v>-50.44</v>
      </c>
    </row>
    <row r="235" spans="1:20" x14ac:dyDescent="0.2">
      <c r="A235" s="28" t="s">
        <v>31</v>
      </c>
      <c r="B235" s="33"/>
      <c r="C235" s="33"/>
      <c r="F235" s="33">
        <f>F234</f>
        <v>42</v>
      </c>
      <c r="G235" s="33" t="str">
        <f>G234</f>
        <v>000-2150-00</v>
      </c>
      <c r="H235" s="36"/>
      <c r="K235" t="str">
        <f>"""GP Direct"",""Fabrikam, Inc."",""GL20000"",""DEX_ROW_ID"",""12383"""</f>
        <v>"GP Direct","Fabrikam, Inc.","GL20000","DEX_ROW_ID","12383"</v>
      </c>
      <c r="L235" s="15">
        <v>42370</v>
      </c>
      <c r="M235">
        <v>2241</v>
      </c>
      <c r="N235" t="str">
        <f>"Nagata, Suanne"</f>
        <v>Nagata, Suanne</v>
      </c>
      <c r="O235" t="str">
        <f>"10672"</f>
        <v>10672</v>
      </c>
      <c r="P235" t="str">
        <f>"Payroll Computer Checks"</f>
        <v>Payroll Computer Checks</v>
      </c>
      <c r="Q235" s="21"/>
      <c r="R235" s="16">
        <v>0</v>
      </c>
      <c r="S235" s="16">
        <v>-50.63</v>
      </c>
      <c r="T235" s="19">
        <f t="shared" si="19"/>
        <v>-50.63</v>
      </c>
    </row>
    <row r="236" spans="1:20" x14ac:dyDescent="0.2">
      <c r="A236" s="28" t="s">
        <v>31</v>
      </c>
      <c r="B236" s="33"/>
      <c r="C236" s="33"/>
      <c r="F236" s="33">
        <f>F235</f>
        <v>42</v>
      </c>
      <c r="G236" s="33" t="str">
        <f>G235</f>
        <v>000-2150-00</v>
      </c>
      <c r="H236" s="36"/>
      <c r="K236" t="str">
        <f>"""GP Direct"",""Fabrikam, Inc."",""GL20000"",""DEX_ROW_ID"",""12394"""</f>
        <v>"GP Direct","Fabrikam, Inc.","GL20000","DEX_ROW_ID","12394"</v>
      </c>
      <c r="L236" s="15">
        <v>42370</v>
      </c>
      <c r="M236">
        <v>2242</v>
      </c>
      <c r="N236" t="str">
        <f>"Reeves, Randy"</f>
        <v>Reeves, Randy</v>
      </c>
      <c r="O236" t="str">
        <f>"10673"</f>
        <v>10673</v>
      </c>
      <c r="P236" t="str">
        <f>"Payroll Computer Checks"</f>
        <v>Payroll Computer Checks</v>
      </c>
      <c r="Q236" s="21"/>
      <c r="R236" s="16">
        <v>0</v>
      </c>
      <c r="S236" s="16">
        <v>-50.99</v>
      </c>
      <c r="T236" s="19">
        <f t="shared" si="19"/>
        <v>-50.99</v>
      </c>
    </row>
    <row r="237" spans="1:20" x14ac:dyDescent="0.2">
      <c r="A237" s="28" t="s">
        <v>31</v>
      </c>
      <c r="B237" s="33"/>
      <c r="C237" s="33"/>
      <c r="F237" s="33">
        <f>F236</f>
        <v>42</v>
      </c>
      <c r="G237" s="33" t="str">
        <f>G236</f>
        <v>000-2150-00</v>
      </c>
      <c r="H237" s="36"/>
      <c r="K237" t="str">
        <f>"""GP Direct"",""Fabrikam, Inc."",""GL20000"",""DEX_ROW_ID"",""12396"""</f>
        <v>"GP Direct","Fabrikam, Inc.","GL20000","DEX_ROW_ID","12396"</v>
      </c>
      <c r="L237" s="15">
        <v>42370</v>
      </c>
      <c r="M237">
        <v>2243</v>
      </c>
      <c r="N237" t="str">
        <f>"Stewart, Jim"</f>
        <v>Stewart, Jim</v>
      </c>
      <c r="O237" t="str">
        <f>"10674"</f>
        <v>10674</v>
      </c>
      <c r="P237" t="str">
        <f>"Payroll Computer Checks"</f>
        <v>Payroll Computer Checks</v>
      </c>
      <c r="Q237" s="21"/>
      <c r="R237" s="16">
        <v>0</v>
      </c>
      <c r="S237" s="16">
        <v>-54.19</v>
      </c>
      <c r="T237" s="19">
        <f t="shared" si="19"/>
        <v>-54.19</v>
      </c>
    </row>
    <row r="238" spans="1:20" x14ac:dyDescent="0.2">
      <c r="A238" s="28" t="s">
        <v>31</v>
      </c>
      <c r="B238" s="33"/>
      <c r="C238" s="33"/>
      <c r="F238" s="33">
        <f>F237</f>
        <v>42</v>
      </c>
      <c r="G238" s="33" t="str">
        <f>G237</f>
        <v>000-2150-00</v>
      </c>
      <c r="H238" s="36"/>
      <c r="K238" t="str">
        <f>"""GP Direct"",""Fabrikam, Inc."",""GL20000"",""DEX_ROW_ID"",""12408"""</f>
        <v>"GP Direct","Fabrikam, Inc.","GL20000","DEX_ROW_ID","12408"</v>
      </c>
      <c r="L238" s="15">
        <v>42370</v>
      </c>
      <c r="M238">
        <v>2244</v>
      </c>
      <c r="N238" t="str">
        <f>"Tiano, Mike"</f>
        <v>Tiano, Mike</v>
      </c>
      <c r="O238" t="str">
        <f>"10675"</f>
        <v>10675</v>
      </c>
      <c r="P238" t="str">
        <f>"Payroll Computer Checks"</f>
        <v>Payroll Computer Checks</v>
      </c>
      <c r="Q238" s="21"/>
      <c r="R238" s="16">
        <v>0</v>
      </c>
      <c r="S238" s="16">
        <v>-51.19</v>
      </c>
      <c r="T238" s="19">
        <f t="shared" si="19"/>
        <v>-51.19</v>
      </c>
    </row>
    <row r="239" spans="1:20" x14ac:dyDescent="0.2">
      <c r="A239" s="28" t="s">
        <v>31</v>
      </c>
      <c r="B239" s="33"/>
      <c r="C239" s="33"/>
      <c r="F239" s="33">
        <f>F238</f>
        <v>42</v>
      </c>
      <c r="G239" s="33" t="str">
        <f>G238</f>
        <v>000-2150-00</v>
      </c>
      <c r="H239" s="36"/>
      <c r="K239" t="str">
        <f>"""GP Direct"",""Fabrikam, Inc."",""GL20000"",""DEX_ROW_ID"",""12418"""</f>
        <v>"GP Direct","Fabrikam, Inc.","GL20000","DEX_ROW_ID","12418"</v>
      </c>
      <c r="L239" s="15">
        <v>42370</v>
      </c>
      <c r="M239">
        <v>2245</v>
      </c>
      <c r="N239" t="str">
        <f>"Tibbott, Diane"</f>
        <v>Tibbott, Diane</v>
      </c>
      <c r="O239" t="str">
        <f>"10676"</f>
        <v>10676</v>
      </c>
      <c r="P239" t="str">
        <f>"Payroll Computer Checks"</f>
        <v>Payroll Computer Checks</v>
      </c>
      <c r="Q239" s="21"/>
      <c r="R239" s="16">
        <v>0</v>
      </c>
      <c r="S239" s="16">
        <v>-50.85</v>
      </c>
      <c r="T239" s="19">
        <f t="shared" si="19"/>
        <v>-50.85</v>
      </c>
    </row>
    <row r="240" spans="1:20" x14ac:dyDescent="0.2">
      <c r="A240" s="28" t="s">
        <v>31</v>
      </c>
      <c r="B240" s="33"/>
      <c r="C240" s="33"/>
      <c r="F240" s="33">
        <f>F239</f>
        <v>42</v>
      </c>
      <c r="G240" s="33" t="str">
        <f>G239</f>
        <v>000-2150-00</v>
      </c>
      <c r="H240" s="36"/>
      <c r="K240" t="str">
        <f>"""GP Direct"",""Fabrikam, Inc."",""GL20000"",""DEX_ROW_ID"",""12423"""</f>
        <v>"GP Direct","Fabrikam, Inc.","GL20000","DEX_ROW_ID","12423"</v>
      </c>
      <c r="L240" s="15">
        <v>42370</v>
      </c>
      <c r="M240">
        <v>2246</v>
      </c>
      <c r="N240" t="str">
        <f>"West, Paul"</f>
        <v>West, Paul</v>
      </c>
      <c r="O240" t="str">
        <f>"10677"</f>
        <v>10677</v>
      </c>
      <c r="P240" t="str">
        <f>"Payroll Computer Checks"</f>
        <v>Payroll Computer Checks</v>
      </c>
      <c r="Q240" s="21"/>
      <c r="R240" s="16">
        <v>0</v>
      </c>
      <c r="S240" s="16">
        <v>-50.86</v>
      </c>
      <c r="T240" s="19">
        <f t="shared" si="19"/>
        <v>-50.86</v>
      </c>
    </row>
    <row r="241" spans="1:20" x14ac:dyDescent="0.2">
      <c r="A241" s="28" t="s">
        <v>31</v>
      </c>
      <c r="B241" s="33"/>
      <c r="C241" s="33"/>
      <c r="F241" s="33">
        <f>F240</f>
        <v>42</v>
      </c>
      <c r="G241" s="33" t="str">
        <f>G240</f>
        <v>000-2150-00</v>
      </c>
      <c r="H241" s="36"/>
      <c r="K241" t="str">
        <f>"""GP Direct"",""Fabrikam, Inc."",""GL20000"",""DEX_ROW_ID"",""12440"""</f>
        <v>"GP Direct","Fabrikam, Inc.","GL20000","DEX_ROW_ID","12440"</v>
      </c>
      <c r="L241" s="15">
        <v>42370</v>
      </c>
      <c r="M241">
        <v>2247</v>
      </c>
      <c r="N241" t="str">
        <f>"Young, Rob"</f>
        <v>Young, Rob</v>
      </c>
      <c r="O241" t="str">
        <f>"10678"</f>
        <v>10678</v>
      </c>
      <c r="P241" t="str">
        <f>"Payroll Computer Checks"</f>
        <v>Payroll Computer Checks</v>
      </c>
      <c r="Q241" s="21"/>
      <c r="R241" s="16">
        <v>0</v>
      </c>
      <c r="S241" s="16">
        <v>-50.69</v>
      </c>
      <c r="T241" s="19">
        <f t="shared" si="19"/>
        <v>-50.69</v>
      </c>
    </row>
    <row r="242" spans="1:20" x14ac:dyDescent="0.2">
      <c r="A242" s="28" t="s">
        <v>31</v>
      </c>
      <c r="B242" s="33"/>
      <c r="C242" s="33"/>
      <c r="F242" s="33">
        <f>F214</f>
        <v>42</v>
      </c>
      <c r="G242" s="33" t="str">
        <f>G214</f>
        <v>000-2150-00</v>
      </c>
      <c r="H242" s="36"/>
    </row>
    <row r="243" spans="1:20" x14ac:dyDescent="0.2">
      <c r="A243" s="28" t="s">
        <v>31</v>
      </c>
      <c r="I243" s="37" t="str">
        <f>I212&amp;"   "&amp;J212&amp;"         Total:"</f>
        <v>000-2150-00   Taxable Benefits Payable         Total:</v>
      </c>
      <c r="J243" s="37"/>
      <c r="K243" s="37"/>
      <c r="L243" s="37"/>
      <c r="M243" s="37"/>
      <c r="N243" s="37"/>
      <c r="O243" s="37"/>
      <c r="P243" s="37"/>
      <c r="Q243" s="37"/>
      <c r="R243" s="37"/>
      <c r="S243" s="37"/>
      <c r="T243" s="23">
        <f t="shared" ref="T243" si="20">SUBTOTAL(9,T213:T242)</f>
        <v>-1456.95</v>
      </c>
    </row>
    <row r="244" spans="1:20" x14ac:dyDescent="0.2">
      <c r="A244" s="28" t="s">
        <v>31</v>
      </c>
    </row>
    <row r="245" spans="1:20" x14ac:dyDescent="0.2">
      <c r="A245" s="28" t="s">
        <v>31</v>
      </c>
      <c r="D245" s="28" t="str">
        <f>"||""Filter"",""GL20000"",""ACTINDX"",""TRXDATE"",""1/1/2016..1/31/2016"",""ACTINDX"",""||""""Filter"""",""""GL00105"""",""""ACTINDX"""",""""ACTNUMBR_1"""",""""*"""",""""ACTNUMBR_2"""",""""*"""",""""ACTNUMBR_3"""",""""*"""","""""""","""""""","""""""","""""""","""""""","""""""","""""""","""""""","""""""","""""""","""""""","""""""","""""""","""""""""","""","""","""","""&amp;""","""","""","""","""","""","""","""","""","""","""","""","""""</f>
        <v>||"Filter","GL20000","ACTINDX","TRXDATE","1/1/2016..1/31/2016","ACTINDX","||""Filter"",""GL00105"",""ACTINDX"",""ACTNUMBR_1"",""*"",""ACTNUMBR_2"",""*"",""ACTNUMBR_3"",""*"","""","""","""","""","""","""","""","""","""","""","""","""","""",""""","","","","","","","","","","","","","","","",""</v>
      </c>
      <c r="E245" s="28" t="str">
        <f>"||""Filter"",""GL30000"",""ACTINDX"",""TRXDATE"",""1/1/2016..1/31/2016"",""ACTINDX"",""||""""Filter"""",""""GL00105"""",""""ACTINDX"""",""""ACTNUMBR_1"""",""""*"""",""""ACTNUMBR_2"""",""""*"""",""""ACTNUMBR_3"""",""""*"""","""""""","""""""","""""""","""""""","""""""","""""""","""""""","""""""","""""""","""""""","""""""","""""""","""""""","""""""""","""","""","""","""&amp;""","""","""","""","""","""","""","""","""","""","""","""","""""</f>
        <v>||"Filter","GL30000","ACTINDX","TRXDATE","1/1/2016..1/31/2016","ACTINDX","||""Filter"",""GL00105"",""ACTINDX"",""ACTNUMBR_1"",""*"",""ACTNUMBR_2"",""*"",""ACTNUMBR_3"",""*"","""","""","""","""","""","""","""","""","""","""","""","""","""",""""","","","","","","","","","","","","","","","",""</v>
      </c>
      <c r="F245" s="28">
        <v>43</v>
      </c>
      <c r="G245" s="28" t="str">
        <f>"000-2161-00"</f>
        <v>000-2161-00</v>
      </c>
      <c r="I245" s="17" t="str">
        <f>G245</f>
        <v>000-2161-00</v>
      </c>
      <c r="J245" s="17" t="str">
        <f>"IL State Withholding Payable"</f>
        <v>IL State Withholding Payable</v>
      </c>
      <c r="Q245" s="17"/>
      <c r="R245" s="18"/>
    </row>
    <row r="246" spans="1:20" x14ac:dyDescent="0.2">
      <c r="A246" s="28" t="s">
        <v>31</v>
      </c>
      <c r="B246" s="33"/>
      <c r="C246" s="33"/>
      <c r="F246" s="33">
        <f>F245</f>
        <v>43</v>
      </c>
      <c r="G246" s="33" t="str">
        <f>G245</f>
        <v>000-2161-00</v>
      </c>
      <c r="H246" s="36"/>
      <c r="L246" s="15"/>
      <c r="Q246" s="21"/>
      <c r="R246" s="16"/>
      <c r="S246" s="16">
        <f>IF($K246="",0,-_xll.NF($K246,"CRDTAMNT"))</f>
        <v>0</v>
      </c>
      <c r="T246" s="19">
        <f t="shared" ref="T246:T247" si="21">SUM(R246:S246)</f>
        <v>0</v>
      </c>
    </row>
    <row r="247" spans="1:20" x14ac:dyDescent="0.2">
      <c r="A247" s="28" t="s">
        <v>31</v>
      </c>
      <c r="B247" s="33"/>
      <c r="C247" s="33"/>
      <c r="F247" s="33">
        <f>F246</f>
        <v>43</v>
      </c>
      <c r="G247" s="33" t="str">
        <f>G246</f>
        <v>000-2161-00</v>
      </c>
      <c r="H247" s="36"/>
      <c r="K247" t="str">
        <f>"""GP Direct"",""Fabrikam, Inc."",""GL20000"",""DEX_ROW_ID"",""12191"""</f>
        <v>"GP Direct","Fabrikam, Inc.","GL20000","DEX_ROW_ID","12191"</v>
      </c>
      <c r="L247" s="15">
        <v>42370</v>
      </c>
      <c r="M247">
        <v>2220</v>
      </c>
      <c r="N247" t="str">
        <f>"Ackerman, Pilar"</f>
        <v>Ackerman, Pilar</v>
      </c>
      <c r="O247" t="str">
        <f>"DD000000000000000073"</f>
        <v>DD000000000000000073</v>
      </c>
      <c r="P247" t="str">
        <f>"Payroll Computer Checks"</f>
        <v>Payroll Computer Checks</v>
      </c>
      <c r="Q247" s="21"/>
      <c r="R247" s="16">
        <v>0</v>
      </c>
      <c r="S247" s="16">
        <v>-36.950000000000003</v>
      </c>
      <c r="T247" s="19">
        <f t="shared" si="21"/>
        <v>-36.950000000000003</v>
      </c>
    </row>
    <row r="248" spans="1:20" x14ac:dyDescent="0.2">
      <c r="A248" s="28" t="s">
        <v>31</v>
      </c>
      <c r="B248" s="33"/>
      <c r="C248" s="33"/>
      <c r="F248" s="33">
        <f>F247</f>
        <v>43</v>
      </c>
      <c r="G248" s="33" t="str">
        <f>G247</f>
        <v>000-2161-00</v>
      </c>
      <c r="H248" s="36"/>
      <c r="K248" t="str">
        <f>"""GP Direct"",""Fabrikam, Inc."",""GL20000"",""DEX_ROW_ID"",""12204"""</f>
        <v>"GP Direct","Fabrikam, Inc.","GL20000","DEX_ROW_ID","12204"</v>
      </c>
      <c r="L248" s="15">
        <v>42370</v>
      </c>
      <c r="M248">
        <v>2221</v>
      </c>
      <c r="N248" t="str">
        <f>"Barbariol, Angela"</f>
        <v>Barbariol, Angela</v>
      </c>
      <c r="O248" t="str">
        <f>"DD000000000000000074"</f>
        <v>DD000000000000000074</v>
      </c>
      <c r="P248" t="str">
        <f>"Payroll Computer Checks"</f>
        <v>Payroll Computer Checks</v>
      </c>
      <c r="Q248" s="21"/>
      <c r="R248" s="16">
        <v>0</v>
      </c>
      <c r="S248" s="16">
        <v>-48.38</v>
      </c>
      <c r="T248" s="19">
        <f t="shared" ref="T248:T273" si="22">SUM(R248:S248)</f>
        <v>-48.38</v>
      </c>
    </row>
    <row r="249" spans="1:20" x14ac:dyDescent="0.2">
      <c r="A249" s="28" t="s">
        <v>31</v>
      </c>
      <c r="B249" s="33"/>
      <c r="C249" s="33"/>
      <c r="F249" s="33">
        <f>F248</f>
        <v>43</v>
      </c>
      <c r="G249" s="33" t="str">
        <f>G248</f>
        <v>000-2161-00</v>
      </c>
      <c r="H249" s="36"/>
      <c r="K249" t="str">
        <f>"""GP Direct"",""Fabrikam, Inc."",""GL20000"",""DEX_ROW_ID"",""12211"""</f>
        <v>"GP Direct","Fabrikam, Inc.","GL20000","DEX_ROW_ID","12211"</v>
      </c>
      <c r="L249" s="15">
        <v>42370</v>
      </c>
      <c r="M249">
        <v>2222</v>
      </c>
      <c r="N249" t="str">
        <f>"Barr, Adam"</f>
        <v>Barr, Adam</v>
      </c>
      <c r="O249" t="str">
        <f>"10654"</f>
        <v>10654</v>
      </c>
      <c r="P249" t="str">
        <f>"Payroll Computer Checks"</f>
        <v>Payroll Computer Checks</v>
      </c>
      <c r="Q249" s="21"/>
      <c r="R249" s="16">
        <v>0</v>
      </c>
      <c r="S249" s="16">
        <v>-102.2</v>
      </c>
      <c r="T249" s="19">
        <f t="shared" si="22"/>
        <v>-102.2</v>
      </c>
    </row>
    <row r="250" spans="1:20" x14ac:dyDescent="0.2">
      <c r="A250" s="28" t="s">
        <v>31</v>
      </c>
      <c r="B250" s="33"/>
      <c r="C250" s="33"/>
      <c r="F250" s="33">
        <f>F249</f>
        <v>43</v>
      </c>
      <c r="G250" s="33" t="str">
        <f>G249</f>
        <v>000-2161-00</v>
      </c>
      <c r="H250" s="36"/>
      <c r="K250" t="str">
        <f>"""GP Direct"",""Fabrikam, Inc."",""GL20000"",""DEX_ROW_ID"",""12218"""</f>
        <v>"GP Direct","Fabrikam, Inc.","GL20000","DEX_ROW_ID","12218"</v>
      </c>
      <c r="L250" s="15">
        <v>42370</v>
      </c>
      <c r="M250">
        <v>2223</v>
      </c>
      <c r="N250" t="str">
        <f>"Bonifaz, Luis"</f>
        <v>Bonifaz, Luis</v>
      </c>
      <c r="O250" t="str">
        <f>"DD000000000000000075"</f>
        <v>DD000000000000000075</v>
      </c>
      <c r="P250" t="str">
        <f>"Payroll Computer Checks"</f>
        <v>Payroll Computer Checks</v>
      </c>
      <c r="Q250" s="21"/>
      <c r="R250" s="16">
        <v>0</v>
      </c>
      <c r="S250" s="16">
        <v>-33.270000000000003</v>
      </c>
      <c r="T250" s="19">
        <f t="shared" si="22"/>
        <v>-33.270000000000003</v>
      </c>
    </row>
    <row r="251" spans="1:20" x14ac:dyDescent="0.2">
      <c r="A251" s="28" t="s">
        <v>31</v>
      </c>
      <c r="B251" s="33"/>
      <c r="C251" s="33"/>
      <c r="F251" s="33">
        <f>F250</f>
        <v>43</v>
      </c>
      <c r="G251" s="33" t="str">
        <f>G250</f>
        <v>000-2161-00</v>
      </c>
      <c r="H251" s="36"/>
      <c r="K251" t="str">
        <f>"""GP Direct"",""Fabrikam, Inc."",""GL20000"",""DEX_ROW_ID"",""12226"""</f>
        <v>"GP Direct","Fabrikam, Inc.","GL20000","DEX_ROW_ID","12226"</v>
      </c>
      <c r="L251" s="15">
        <v>42370</v>
      </c>
      <c r="M251">
        <v>2224</v>
      </c>
      <c r="N251" t="str">
        <f>"Buchanan, Nancy"</f>
        <v>Buchanan, Nancy</v>
      </c>
      <c r="O251" t="str">
        <f>"10655"</f>
        <v>10655</v>
      </c>
      <c r="P251" t="str">
        <f>"Payroll Computer Checks"</f>
        <v>Payroll Computer Checks</v>
      </c>
      <c r="Q251" s="21"/>
      <c r="R251" s="16">
        <v>0</v>
      </c>
      <c r="S251" s="16">
        <v>-617.16</v>
      </c>
      <c r="T251" s="19">
        <f t="shared" si="22"/>
        <v>-617.16</v>
      </c>
    </row>
    <row r="252" spans="1:20" x14ac:dyDescent="0.2">
      <c r="A252" s="28" t="s">
        <v>31</v>
      </c>
      <c r="B252" s="33"/>
      <c r="C252" s="33"/>
      <c r="F252" s="33">
        <f>F251</f>
        <v>43</v>
      </c>
      <c r="G252" s="33" t="str">
        <f>G251</f>
        <v>000-2161-00</v>
      </c>
      <c r="H252" s="36"/>
      <c r="K252" t="str">
        <f>"""GP Direct"",""Fabrikam, Inc."",""GL20000"",""DEX_ROW_ID"",""12240"""</f>
        <v>"GP Direct","Fabrikam, Inc.","GL20000","DEX_ROW_ID","12240"</v>
      </c>
      <c r="L252" s="15">
        <v>42370</v>
      </c>
      <c r="M252">
        <v>2225</v>
      </c>
      <c r="N252" t="str">
        <f>"Chen, John Y."</f>
        <v>Chen, John Y.</v>
      </c>
      <c r="O252" t="str">
        <f>"10656"</f>
        <v>10656</v>
      </c>
      <c r="P252" t="str">
        <f>"Payroll Computer Checks"</f>
        <v>Payroll Computer Checks</v>
      </c>
      <c r="Q252" s="21"/>
      <c r="R252" s="16">
        <v>0</v>
      </c>
      <c r="S252" s="16">
        <v>-18.72</v>
      </c>
      <c r="T252" s="19">
        <f t="shared" si="22"/>
        <v>-18.72</v>
      </c>
    </row>
    <row r="253" spans="1:20" x14ac:dyDescent="0.2">
      <c r="A253" s="28" t="s">
        <v>31</v>
      </c>
      <c r="B253" s="33"/>
      <c r="C253" s="33"/>
      <c r="F253" s="33">
        <f>F252</f>
        <v>43</v>
      </c>
      <c r="G253" s="33" t="str">
        <f>G252</f>
        <v>000-2161-00</v>
      </c>
      <c r="H253" s="36"/>
      <c r="K253" t="str">
        <f>"""GP Direct"",""Fabrikam, Inc."",""GL20000"",""DEX_ROW_ID"",""12248"""</f>
        <v>"GP Direct","Fabrikam, Inc.","GL20000","DEX_ROW_ID","12248"</v>
      </c>
      <c r="L253" s="15">
        <v>42370</v>
      </c>
      <c r="M253">
        <v>2226</v>
      </c>
      <c r="N253" t="str">
        <f>"Clayton, Jane"</f>
        <v>Clayton, Jane</v>
      </c>
      <c r="O253" t="str">
        <f>"10657"</f>
        <v>10657</v>
      </c>
      <c r="P253" t="str">
        <f>"Payroll Computer Checks"</f>
        <v>Payroll Computer Checks</v>
      </c>
      <c r="Q253" s="21"/>
      <c r="R253" s="16">
        <v>0</v>
      </c>
      <c r="S253" s="16">
        <v>-28.22</v>
      </c>
      <c r="T253" s="19">
        <f t="shared" si="22"/>
        <v>-28.22</v>
      </c>
    </row>
    <row r="254" spans="1:20" x14ac:dyDescent="0.2">
      <c r="A254" s="28" t="s">
        <v>31</v>
      </c>
      <c r="B254" s="33"/>
      <c r="C254" s="33"/>
      <c r="F254" s="33">
        <f>F253</f>
        <v>43</v>
      </c>
      <c r="G254" s="33" t="str">
        <f>G253</f>
        <v>000-2161-00</v>
      </c>
      <c r="H254" s="36"/>
      <c r="K254" t="str">
        <f>"""GP Direct"",""Fabrikam, Inc."",""GL20000"",""DEX_ROW_ID"",""12253"""</f>
        <v>"GP Direct","Fabrikam, Inc.","GL20000","DEX_ROW_ID","12253"</v>
      </c>
      <c r="L254" s="15">
        <v>42370</v>
      </c>
      <c r="M254">
        <v>2227</v>
      </c>
      <c r="N254" t="str">
        <f>"Delaney, Aidan"</f>
        <v>Delaney, Aidan</v>
      </c>
      <c r="O254" t="str">
        <f>"10658"</f>
        <v>10658</v>
      </c>
      <c r="P254" t="str">
        <f>"Payroll Computer Checks"</f>
        <v>Payroll Computer Checks</v>
      </c>
      <c r="Q254" s="21"/>
      <c r="R254" s="16">
        <v>0</v>
      </c>
      <c r="S254" s="16">
        <v>-10.97</v>
      </c>
      <c r="T254" s="19">
        <f t="shared" si="22"/>
        <v>-10.97</v>
      </c>
    </row>
    <row r="255" spans="1:20" x14ac:dyDescent="0.2">
      <c r="A255" s="28" t="s">
        <v>31</v>
      </c>
      <c r="B255" s="33"/>
      <c r="C255" s="33"/>
      <c r="F255" s="33">
        <f>F254</f>
        <v>43</v>
      </c>
      <c r="G255" s="33" t="str">
        <f>G254</f>
        <v>000-2161-00</v>
      </c>
      <c r="H255" s="36"/>
      <c r="K255" t="str">
        <f>"""GP Direct"",""Fabrikam, Inc."",""GL20000"",""DEX_ROW_ID"",""12267"""</f>
        <v>"GP Direct","Fabrikam, Inc.","GL20000","DEX_ROW_ID","12267"</v>
      </c>
      <c r="L255" s="15">
        <v>42370</v>
      </c>
      <c r="M255">
        <v>2228</v>
      </c>
      <c r="N255" t="str">
        <f>"Diaz, Brenda"</f>
        <v>Diaz, Brenda</v>
      </c>
      <c r="O255" t="str">
        <f>"10659"</f>
        <v>10659</v>
      </c>
      <c r="P255" t="str">
        <f>"Payroll Computer Checks"</f>
        <v>Payroll Computer Checks</v>
      </c>
      <c r="Q255" s="21"/>
      <c r="R255" s="16">
        <v>0</v>
      </c>
      <c r="S255" s="16">
        <v>-71.19</v>
      </c>
      <c r="T255" s="19">
        <f t="shared" si="22"/>
        <v>-71.19</v>
      </c>
    </row>
    <row r="256" spans="1:20" x14ac:dyDescent="0.2">
      <c r="A256" s="28" t="s">
        <v>31</v>
      </c>
      <c r="B256" s="33"/>
      <c r="C256" s="33"/>
      <c r="F256" s="33">
        <f>F255</f>
        <v>43</v>
      </c>
      <c r="G256" s="33" t="str">
        <f>G255</f>
        <v>000-2161-00</v>
      </c>
      <c r="H256" s="36"/>
      <c r="K256" t="str">
        <f>"""GP Direct"",""Fabrikam, Inc."",""GL20000"",""DEX_ROW_ID"",""12271"""</f>
        <v>"GP Direct","Fabrikam, Inc.","GL20000","DEX_ROW_ID","12271"</v>
      </c>
      <c r="L256" s="15">
        <v>42370</v>
      </c>
      <c r="M256">
        <v>2229</v>
      </c>
      <c r="N256" t="str">
        <f>"Doyle, Jenny"</f>
        <v>Doyle, Jenny</v>
      </c>
      <c r="O256" t="str">
        <f>"10660"</f>
        <v>10660</v>
      </c>
      <c r="P256" t="str">
        <f>"Payroll Computer Checks"</f>
        <v>Payroll Computer Checks</v>
      </c>
      <c r="Q256" s="21"/>
      <c r="R256" s="16">
        <v>0</v>
      </c>
      <c r="S256" s="16">
        <v>-24.53</v>
      </c>
      <c r="T256" s="19">
        <f t="shared" si="22"/>
        <v>-24.53</v>
      </c>
    </row>
    <row r="257" spans="1:20" x14ac:dyDescent="0.2">
      <c r="A257" s="28" t="s">
        <v>31</v>
      </c>
      <c r="B257" s="33"/>
      <c r="C257" s="33"/>
      <c r="F257" s="33">
        <f>F256</f>
        <v>43</v>
      </c>
      <c r="G257" s="33" t="str">
        <f>G256</f>
        <v>000-2161-00</v>
      </c>
      <c r="H257" s="36"/>
      <c r="K257" t="str">
        <f>"""GP Direct"",""Fabrikam, Inc."",""GL20000"",""DEX_ROW_ID"",""12285"""</f>
        <v>"GP Direct","Fabrikam, Inc.","GL20000","DEX_ROW_ID","12285"</v>
      </c>
      <c r="L257" s="15">
        <v>42370</v>
      </c>
      <c r="M257">
        <v>2230</v>
      </c>
      <c r="N257" t="str">
        <f>"Erickson, Gregory J."</f>
        <v>Erickson, Gregory J.</v>
      </c>
      <c r="O257" t="str">
        <f>"10661"</f>
        <v>10661</v>
      </c>
      <c r="P257" t="str">
        <f>"Payroll Computer Checks"</f>
        <v>Payroll Computer Checks</v>
      </c>
      <c r="Q257" s="21"/>
      <c r="R257" s="16">
        <v>0</v>
      </c>
      <c r="S257" s="16">
        <v>-214.43</v>
      </c>
      <c r="T257" s="19">
        <f t="shared" si="22"/>
        <v>-214.43</v>
      </c>
    </row>
    <row r="258" spans="1:20" x14ac:dyDescent="0.2">
      <c r="A258" s="28" t="s">
        <v>31</v>
      </c>
      <c r="B258" s="33"/>
      <c r="C258" s="33"/>
      <c r="F258" s="33">
        <f>F257</f>
        <v>43</v>
      </c>
      <c r="G258" s="33" t="str">
        <f>G257</f>
        <v>000-2161-00</v>
      </c>
      <c r="H258" s="36"/>
      <c r="K258" t="str">
        <f>"""GP Direct"",""Fabrikam, Inc."",""GL20000"",""DEX_ROW_ID"",""12294"""</f>
        <v>"GP Direct","Fabrikam, Inc.","GL20000","DEX_ROW_ID","12294"</v>
      </c>
      <c r="L258" s="15">
        <v>42370</v>
      </c>
      <c r="M258">
        <v>2231</v>
      </c>
      <c r="N258" t="str">
        <f>"Flood, Kathie"</f>
        <v>Flood, Kathie</v>
      </c>
      <c r="O258" t="str">
        <f>"10662"</f>
        <v>10662</v>
      </c>
      <c r="P258" t="str">
        <f>"Payroll Computer Checks"</f>
        <v>Payroll Computer Checks</v>
      </c>
      <c r="Q258" s="21"/>
      <c r="R258" s="16">
        <v>0</v>
      </c>
      <c r="S258" s="16">
        <v>-15.72</v>
      </c>
      <c r="T258" s="19">
        <f t="shared" si="22"/>
        <v>-15.72</v>
      </c>
    </row>
    <row r="259" spans="1:20" x14ac:dyDescent="0.2">
      <c r="A259" s="28" t="s">
        <v>31</v>
      </c>
      <c r="B259" s="33"/>
      <c r="C259" s="33"/>
      <c r="F259" s="33">
        <f>F258</f>
        <v>43</v>
      </c>
      <c r="G259" s="33" t="str">
        <f>G258</f>
        <v>000-2161-00</v>
      </c>
      <c r="H259" s="36"/>
      <c r="K259" t="str">
        <f>"""GP Direct"",""Fabrikam, Inc."",""GL20000"",""DEX_ROW_ID"",""12303"""</f>
        <v>"GP Direct","Fabrikam, Inc.","GL20000","DEX_ROW_ID","12303"</v>
      </c>
      <c r="L259" s="15">
        <v>42370</v>
      </c>
      <c r="M259">
        <v>2232</v>
      </c>
      <c r="N259" t="str">
        <f>"Harui, Roger"</f>
        <v>Harui, Roger</v>
      </c>
      <c r="O259" t="str">
        <f>"10663"</f>
        <v>10663</v>
      </c>
      <c r="P259" t="str">
        <f>"Payroll Computer Checks"</f>
        <v>Payroll Computer Checks</v>
      </c>
      <c r="Q259" s="21"/>
      <c r="R259" s="16">
        <v>0</v>
      </c>
      <c r="S259" s="16">
        <v>-109</v>
      </c>
      <c r="T259" s="19">
        <f t="shared" si="22"/>
        <v>-109</v>
      </c>
    </row>
    <row r="260" spans="1:20" x14ac:dyDescent="0.2">
      <c r="A260" s="28" t="s">
        <v>31</v>
      </c>
      <c r="B260" s="33"/>
      <c r="C260" s="33"/>
      <c r="F260" s="33">
        <f>F259</f>
        <v>43</v>
      </c>
      <c r="G260" s="33" t="str">
        <f>G259</f>
        <v>000-2161-00</v>
      </c>
      <c r="H260" s="36"/>
      <c r="K260" t="str">
        <f>"""GP Direct"",""Fabrikam, Inc."",""GL20000"",""DEX_ROW_ID"",""12307"""</f>
        <v>"GP Direct","Fabrikam, Inc.","GL20000","DEX_ROW_ID","12307"</v>
      </c>
      <c r="L260" s="15">
        <v>42370</v>
      </c>
      <c r="M260">
        <v>2233</v>
      </c>
      <c r="N260" t="str">
        <f>"Jamison, Jay"</f>
        <v>Jamison, Jay</v>
      </c>
      <c r="O260" t="str">
        <f>"10664"</f>
        <v>10664</v>
      </c>
      <c r="P260" t="str">
        <f>"Payroll Computer Checks"</f>
        <v>Payroll Computer Checks</v>
      </c>
      <c r="Q260" s="21"/>
      <c r="R260" s="16">
        <v>0</v>
      </c>
      <c r="S260" s="16">
        <v>-38.01</v>
      </c>
      <c r="T260" s="19">
        <f t="shared" si="22"/>
        <v>-38.01</v>
      </c>
    </row>
    <row r="261" spans="1:20" x14ac:dyDescent="0.2">
      <c r="A261" s="28" t="s">
        <v>31</v>
      </c>
      <c r="B261" s="33"/>
      <c r="C261" s="33"/>
      <c r="F261" s="33">
        <f>F260</f>
        <v>43</v>
      </c>
      <c r="G261" s="33" t="str">
        <f>G260</f>
        <v>000-2161-00</v>
      </c>
      <c r="H261" s="36"/>
      <c r="K261" t="str">
        <f>"""GP Direct"",""Fabrikam, Inc."",""GL20000"",""DEX_ROW_ID"",""12319"""</f>
        <v>"GP Direct","Fabrikam, Inc.","GL20000","DEX_ROW_ID","12319"</v>
      </c>
      <c r="L261" s="15">
        <v>42370</v>
      </c>
      <c r="M261">
        <v>2234</v>
      </c>
      <c r="N261" t="str">
        <f>"Kahn, Wendy B."</f>
        <v>Kahn, Wendy B.</v>
      </c>
      <c r="O261" t="str">
        <f>"10665"</f>
        <v>10665</v>
      </c>
      <c r="P261" t="str">
        <f>"Payroll Computer Checks"</f>
        <v>Payroll Computer Checks</v>
      </c>
      <c r="Q261" s="21"/>
      <c r="R261" s="16">
        <v>0</v>
      </c>
      <c r="S261" s="16">
        <v>-18.52</v>
      </c>
      <c r="T261" s="19">
        <f t="shared" si="22"/>
        <v>-18.52</v>
      </c>
    </row>
    <row r="262" spans="1:20" x14ac:dyDescent="0.2">
      <c r="A262" s="28" t="s">
        <v>31</v>
      </c>
      <c r="B262" s="33"/>
      <c r="C262" s="33"/>
      <c r="F262" s="33">
        <f>F261</f>
        <v>43</v>
      </c>
      <c r="G262" s="33" t="str">
        <f>G261</f>
        <v>000-2161-00</v>
      </c>
      <c r="H262" s="36"/>
      <c r="K262" t="str">
        <f>"""GP Direct"",""Fabrikam, Inc."",""GL20000"",""DEX_ROW_ID"",""12329"""</f>
        <v>"GP Direct","Fabrikam, Inc.","GL20000","DEX_ROW_ID","12329"</v>
      </c>
      <c r="L262" s="15">
        <v>42370</v>
      </c>
      <c r="M262">
        <v>2235</v>
      </c>
      <c r="N262" t="str">
        <f>"Kennedy, Kevin"</f>
        <v>Kennedy, Kevin</v>
      </c>
      <c r="O262" t="str">
        <f>"10666"</f>
        <v>10666</v>
      </c>
      <c r="P262" t="str">
        <f>"Payroll Computer Checks"</f>
        <v>Payroll Computer Checks</v>
      </c>
      <c r="Q262" s="21"/>
      <c r="R262" s="16">
        <v>0</v>
      </c>
      <c r="S262" s="16">
        <v>-22.12</v>
      </c>
      <c r="T262" s="19">
        <f t="shared" si="22"/>
        <v>-22.12</v>
      </c>
    </row>
    <row r="263" spans="1:20" x14ac:dyDescent="0.2">
      <c r="A263" s="28" t="s">
        <v>31</v>
      </c>
      <c r="B263" s="33"/>
      <c r="C263" s="33"/>
      <c r="F263" s="33">
        <f>F262</f>
        <v>43</v>
      </c>
      <c r="G263" s="33" t="str">
        <f>G262</f>
        <v>000-2161-00</v>
      </c>
      <c r="H263" s="36"/>
      <c r="K263" t="str">
        <f>"""GP Direct"",""Fabrikam, Inc."",""GL20000"",""DEX_ROW_ID"",""12342"""</f>
        <v>"GP Direct","Fabrikam, Inc.","GL20000","DEX_ROW_ID","12342"</v>
      </c>
      <c r="L263" s="15">
        <v>42370</v>
      </c>
      <c r="M263">
        <v>2236</v>
      </c>
      <c r="N263" t="str">
        <f>"Levy, Steven B."</f>
        <v>Levy, Steven B.</v>
      </c>
      <c r="O263" t="str">
        <f>"10667"</f>
        <v>10667</v>
      </c>
      <c r="P263" t="str">
        <f>"Payroll Computer Checks"</f>
        <v>Payroll Computer Checks</v>
      </c>
      <c r="Q263" s="21"/>
      <c r="R263" s="16">
        <v>0</v>
      </c>
      <c r="S263" s="16">
        <v>-21.09</v>
      </c>
      <c r="T263" s="19">
        <f t="shared" si="22"/>
        <v>-21.09</v>
      </c>
    </row>
    <row r="264" spans="1:20" x14ac:dyDescent="0.2">
      <c r="A264" s="28" t="s">
        <v>31</v>
      </c>
      <c r="B264" s="33"/>
      <c r="C264" s="33"/>
      <c r="F264" s="33">
        <f>F263</f>
        <v>43</v>
      </c>
      <c r="G264" s="33" t="str">
        <f>G263</f>
        <v>000-2161-00</v>
      </c>
      <c r="H264" s="36"/>
      <c r="K264" t="str">
        <f>"""GP Direct"",""Fabrikam, Inc."",""GL20000"",""DEX_ROW_ID"",""12345"""</f>
        <v>"GP Direct","Fabrikam, Inc.","GL20000","DEX_ROW_ID","12345"</v>
      </c>
      <c r="L264" s="15">
        <v>42370</v>
      </c>
      <c r="M264">
        <v>2237</v>
      </c>
      <c r="N264" t="str">
        <f>"Lyon, Robert"</f>
        <v>Lyon, Robert</v>
      </c>
      <c r="O264" t="str">
        <f>"10668"</f>
        <v>10668</v>
      </c>
      <c r="P264" t="str">
        <f>"Payroll Computer Checks"</f>
        <v>Payroll Computer Checks</v>
      </c>
      <c r="Q264" s="21"/>
      <c r="R264" s="16">
        <v>0</v>
      </c>
      <c r="S264" s="16">
        <v>-19.739999999999998</v>
      </c>
      <c r="T264" s="19">
        <f t="shared" si="22"/>
        <v>-19.739999999999998</v>
      </c>
    </row>
    <row r="265" spans="1:20" x14ac:dyDescent="0.2">
      <c r="A265" s="28" t="s">
        <v>31</v>
      </c>
      <c r="B265" s="33"/>
      <c r="C265" s="33"/>
      <c r="F265" s="33">
        <f>F264</f>
        <v>43</v>
      </c>
      <c r="G265" s="33" t="str">
        <f>G264</f>
        <v>000-2161-00</v>
      </c>
      <c r="H265" s="36"/>
      <c r="K265" t="str">
        <f>"""GP Direct"",""Fabrikam, Inc."",""GL20000"",""DEX_ROW_ID"",""12360"""</f>
        <v>"GP Direct","Fabrikam, Inc.","GL20000","DEX_ROW_ID","12360"</v>
      </c>
      <c r="L265" s="15">
        <v>42370</v>
      </c>
      <c r="M265">
        <v>2238</v>
      </c>
      <c r="N265" t="str">
        <f>"Lysaker, Jenny"</f>
        <v>Lysaker, Jenny</v>
      </c>
      <c r="O265" t="str">
        <f>"10669"</f>
        <v>10669</v>
      </c>
      <c r="P265" t="str">
        <f>"Payroll Computer Checks"</f>
        <v>Payroll Computer Checks</v>
      </c>
      <c r="Q265" s="21"/>
      <c r="R265" s="16">
        <v>0</v>
      </c>
      <c r="S265" s="16">
        <v>-8.98</v>
      </c>
      <c r="T265" s="19">
        <f t="shared" si="22"/>
        <v>-8.98</v>
      </c>
    </row>
    <row r="266" spans="1:20" x14ac:dyDescent="0.2">
      <c r="A266" s="28" t="s">
        <v>31</v>
      </c>
      <c r="B266" s="33"/>
      <c r="C266" s="33"/>
      <c r="F266" s="33">
        <f>F265</f>
        <v>43</v>
      </c>
      <c r="G266" s="33" t="str">
        <f>G265</f>
        <v>000-2161-00</v>
      </c>
      <c r="H266" s="36"/>
      <c r="K266" t="str">
        <f>"""GP Direct"",""Fabrikam, Inc."",""GL20000"",""DEX_ROW_ID"",""12374"""</f>
        <v>"GP Direct","Fabrikam, Inc.","GL20000","DEX_ROW_ID","12374"</v>
      </c>
      <c r="L266" s="15">
        <v>42370</v>
      </c>
      <c r="M266">
        <v>2240</v>
      </c>
      <c r="N266" t="str">
        <f>"Mughal, Salmon"</f>
        <v>Mughal, Salmon</v>
      </c>
      <c r="O266" t="str">
        <f>"10671"</f>
        <v>10671</v>
      </c>
      <c r="P266" t="str">
        <f>"Payroll Computer Checks"</f>
        <v>Payroll Computer Checks</v>
      </c>
      <c r="Q266" s="21"/>
      <c r="R266" s="16">
        <v>0</v>
      </c>
      <c r="S266" s="16">
        <v>-19.53</v>
      </c>
      <c r="T266" s="19">
        <f t="shared" si="22"/>
        <v>-19.53</v>
      </c>
    </row>
    <row r="267" spans="1:20" x14ac:dyDescent="0.2">
      <c r="A267" s="28" t="s">
        <v>31</v>
      </c>
      <c r="B267" s="33"/>
      <c r="C267" s="33"/>
      <c r="F267" s="33">
        <f>F266</f>
        <v>43</v>
      </c>
      <c r="G267" s="33" t="str">
        <f>G266</f>
        <v>000-2161-00</v>
      </c>
      <c r="H267" s="36"/>
      <c r="K267" t="str">
        <f>"""GP Direct"",""Fabrikam, Inc."",""GL20000"",""DEX_ROW_ID"",""12381"""</f>
        <v>"GP Direct","Fabrikam, Inc.","GL20000","DEX_ROW_ID","12381"</v>
      </c>
      <c r="L267" s="15">
        <v>42370</v>
      </c>
      <c r="M267">
        <v>2241</v>
      </c>
      <c r="N267" t="str">
        <f>"Nagata, Suanne"</f>
        <v>Nagata, Suanne</v>
      </c>
      <c r="O267" t="str">
        <f>"10672"</f>
        <v>10672</v>
      </c>
      <c r="P267" t="str">
        <f>"Payroll Computer Checks"</f>
        <v>Payroll Computer Checks</v>
      </c>
      <c r="Q267" s="21"/>
      <c r="R267" s="16">
        <v>0</v>
      </c>
      <c r="S267" s="16">
        <v>-23.29</v>
      </c>
      <c r="T267" s="19">
        <f t="shared" si="22"/>
        <v>-23.29</v>
      </c>
    </row>
    <row r="268" spans="1:20" x14ac:dyDescent="0.2">
      <c r="A268" s="28" t="s">
        <v>31</v>
      </c>
      <c r="B268" s="33"/>
      <c r="C268" s="33"/>
      <c r="F268" s="33">
        <f>F267</f>
        <v>43</v>
      </c>
      <c r="G268" s="33" t="str">
        <f>G267</f>
        <v>000-2161-00</v>
      </c>
      <c r="H268" s="36"/>
      <c r="K268" t="str">
        <f>"""GP Direct"",""Fabrikam, Inc."",""GL20000"",""DEX_ROW_ID"",""12387"""</f>
        <v>"GP Direct","Fabrikam, Inc.","GL20000","DEX_ROW_ID","12387"</v>
      </c>
      <c r="L268" s="15">
        <v>42370</v>
      </c>
      <c r="M268">
        <v>2242</v>
      </c>
      <c r="N268" t="str">
        <f>"Reeves, Randy"</f>
        <v>Reeves, Randy</v>
      </c>
      <c r="O268" t="str">
        <f>"10673"</f>
        <v>10673</v>
      </c>
      <c r="P268" t="str">
        <f>"Payroll Computer Checks"</f>
        <v>Payroll Computer Checks</v>
      </c>
      <c r="Q268" s="21"/>
      <c r="R268" s="16">
        <v>0</v>
      </c>
      <c r="S268" s="16">
        <v>-30.19</v>
      </c>
      <c r="T268" s="19">
        <f t="shared" si="22"/>
        <v>-30.19</v>
      </c>
    </row>
    <row r="269" spans="1:20" x14ac:dyDescent="0.2">
      <c r="A269" s="28" t="s">
        <v>31</v>
      </c>
      <c r="B269" s="33"/>
      <c r="C269" s="33"/>
      <c r="F269" s="33">
        <f>F268</f>
        <v>43</v>
      </c>
      <c r="G269" s="33" t="str">
        <f>G268</f>
        <v>000-2161-00</v>
      </c>
      <c r="H269" s="36"/>
      <c r="K269" t="str">
        <f>"""GP Direct"",""Fabrikam, Inc."",""GL20000"",""DEX_ROW_ID"",""12401"""</f>
        <v>"GP Direct","Fabrikam, Inc.","GL20000","DEX_ROW_ID","12401"</v>
      </c>
      <c r="L269" s="15">
        <v>42370</v>
      </c>
      <c r="M269">
        <v>2243</v>
      </c>
      <c r="N269" t="str">
        <f>"Stewart, Jim"</f>
        <v>Stewart, Jim</v>
      </c>
      <c r="O269" t="str">
        <f>"10674"</f>
        <v>10674</v>
      </c>
      <c r="P269" t="str">
        <f>"Payroll Computer Checks"</f>
        <v>Payroll Computer Checks</v>
      </c>
      <c r="Q269" s="21"/>
      <c r="R269" s="16">
        <v>0</v>
      </c>
      <c r="S269" s="16">
        <v>-44.82</v>
      </c>
      <c r="T269" s="19">
        <f t="shared" si="22"/>
        <v>-44.82</v>
      </c>
    </row>
    <row r="270" spans="1:20" x14ac:dyDescent="0.2">
      <c r="A270" s="28" t="s">
        <v>31</v>
      </c>
      <c r="B270" s="33"/>
      <c r="C270" s="33"/>
      <c r="F270" s="33">
        <f>F269</f>
        <v>43</v>
      </c>
      <c r="G270" s="33" t="str">
        <f>G269</f>
        <v>000-2161-00</v>
      </c>
      <c r="H270" s="36"/>
      <c r="K270" t="str">
        <f>"""GP Direct"",""Fabrikam, Inc."",""GL20000"",""DEX_ROW_ID"",""12405"""</f>
        <v>"GP Direct","Fabrikam, Inc.","GL20000","DEX_ROW_ID","12405"</v>
      </c>
      <c r="L270" s="15">
        <v>42370</v>
      </c>
      <c r="M270">
        <v>2244</v>
      </c>
      <c r="N270" t="str">
        <f>"Tiano, Mike"</f>
        <v>Tiano, Mike</v>
      </c>
      <c r="O270" t="str">
        <f>"10675"</f>
        <v>10675</v>
      </c>
      <c r="P270" t="str">
        <f>"Payroll Computer Checks"</f>
        <v>Payroll Computer Checks</v>
      </c>
      <c r="Q270" s="21"/>
      <c r="R270" s="16">
        <v>0</v>
      </c>
      <c r="S270" s="16">
        <v>-27</v>
      </c>
      <c r="T270" s="19">
        <f t="shared" si="22"/>
        <v>-27</v>
      </c>
    </row>
    <row r="271" spans="1:20" x14ac:dyDescent="0.2">
      <c r="A271" s="28" t="s">
        <v>31</v>
      </c>
      <c r="B271" s="33"/>
      <c r="C271" s="33"/>
      <c r="F271" s="33">
        <f>F270</f>
        <v>43</v>
      </c>
      <c r="G271" s="33" t="str">
        <f>G270</f>
        <v>000-2161-00</v>
      </c>
      <c r="H271" s="36"/>
      <c r="K271" t="str">
        <f>"""GP Direct"",""Fabrikam, Inc."",""GL20000"",""DEX_ROW_ID"",""12414"""</f>
        <v>"GP Direct","Fabrikam, Inc.","GL20000","DEX_ROW_ID","12414"</v>
      </c>
      <c r="L271" s="15">
        <v>42370</v>
      </c>
      <c r="M271">
        <v>2245</v>
      </c>
      <c r="N271" t="str">
        <f>"Tibbott, Diane"</f>
        <v>Tibbott, Diane</v>
      </c>
      <c r="O271" t="str">
        <f>"10676"</f>
        <v>10676</v>
      </c>
      <c r="P271" t="str">
        <f>"Payroll Computer Checks"</f>
        <v>Payroll Computer Checks</v>
      </c>
      <c r="Q271" s="21"/>
      <c r="R271" s="16">
        <v>0</v>
      </c>
      <c r="S271" s="16">
        <v>-25.22</v>
      </c>
      <c r="T271" s="19">
        <f t="shared" si="22"/>
        <v>-25.22</v>
      </c>
    </row>
    <row r="272" spans="1:20" x14ac:dyDescent="0.2">
      <c r="A272" s="28" t="s">
        <v>31</v>
      </c>
      <c r="B272" s="33"/>
      <c r="C272" s="33"/>
      <c r="F272" s="33">
        <f>F271</f>
        <v>43</v>
      </c>
      <c r="G272" s="33" t="str">
        <f>G271</f>
        <v>000-2161-00</v>
      </c>
      <c r="H272" s="36"/>
      <c r="K272" t="str">
        <f>"""GP Direct"",""Fabrikam, Inc."",""GL20000"",""DEX_ROW_ID"",""12425"""</f>
        <v>"GP Direct","Fabrikam, Inc.","GL20000","DEX_ROW_ID","12425"</v>
      </c>
      <c r="L272" s="15">
        <v>42370</v>
      </c>
      <c r="M272">
        <v>2246</v>
      </c>
      <c r="N272" t="str">
        <f>"West, Paul"</f>
        <v>West, Paul</v>
      </c>
      <c r="O272" t="str">
        <f>"10677"</f>
        <v>10677</v>
      </c>
      <c r="P272" t="str">
        <f>"Payroll Computer Checks"</f>
        <v>Payroll Computer Checks</v>
      </c>
      <c r="Q272" s="21"/>
      <c r="R272" s="16">
        <v>0</v>
      </c>
      <c r="S272" s="16">
        <v>-22.51</v>
      </c>
      <c r="T272" s="19">
        <f t="shared" si="22"/>
        <v>-22.51</v>
      </c>
    </row>
    <row r="273" spans="1:20" x14ac:dyDescent="0.2">
      <c r="A273" s="28" t="s">
        <v>31</v>
      </c>
      <c r="B273" s="33"/>
      <c r="C273" s="33"/>
      <c r="F273" s="33">
        <f>F272</f>
        <v>43</v>
      </c>
      <c r="G273" s="33" t="str">
        <f>G272</f>
        <v>000-2161-00</v>
      </c>
      <c r="H273" s="36"/>
      <c r="K273" t="str">
        <f>"""GP Direct"",""Fabrikam, Inc."",""GL20000"",""DEX_ROW_ID"",""12435"""</f>
        <v>"GP Direct","Fabrikam, Inc.","GL20000","DEX_ROW_ID","12435"</v>
      </c>
      <c r="L273" s="15">
        <v>42370</v>
      </c>
      <c r="M273">
        <v>2247</v>
      </c>
      <c r="N273" t="str">
        <f>"Young, Rob"</f>
        <v>Young, Rob</v>
      </c>
      <c r="O273" t="str">
        <f>"10678"</f>
        <v>10678</v>
      </c>
      <c r="P273" t="str">
        <f>"Payroll Computer Checks"</f>
        <v>Payroll Computer Checks</v>
      </c>
      <c r="Q273" s="21"/>
      <c r="R273" s="16">
        <v>0</v>
      </c>
      <c r="S273" s="16">
        <v>-15.54</v>
      </c>
      <c r="T273" s="19">
        <f t="shared" si="22"/>
        <v>-15.54</v>
      </c>
    </row>
    <row r="274" spans="1:20" x14ac:dyDescent="0.2">
      <c r="A274" s="28" t="s">
        <v>31</v>
      </c>
      <c r="B274" s="33"/>
      <c r="C274" s="33"/>
      <c r="F274" s="33">
        <f>F247</f>
        <v>43</v>
      </c>
      <c r="G274" s="33" t="str">
        <f>G247</f>
        <v>000-2161-00</v>
      </c>
      <c r="H274" s="36"/>
    </row>
    <row r="275" spans="1:20" x14ac:dyDescent="0.2">
      <c r="A275" s="28" t="s">
        <v>31</v>
      </c>
      <c r="I275" s="37" t="str">
        <f>I245&amp;"   "&amp;J245&amp;"         Total:"</f>
        <v>000-2161-00   IL State Withholding Payable         Total:</v>
      </c>
      <c r="J275" s="37"/>
      <c r="K275" s="37"/>
      <c r="L275" s="37"/>
      <c r="M275" s="37"/>
      <c r="N275" s="37"/>
      <c r="O275" s="37"/>
      <c r="P275" s="37"/>
      <c r="Q275" s="37"/>
      <c r="R275" s="37"/>
      <c r="S275" s="37"/>
      <c r="T275" s="23">
        <f t="shared" ref="T275" si="23">SUBTOTAL(9,T246:T274)</f>
        <v>-1667.3</v>
      </c>
    </row>
    <row r="276" spans="1:20" x14ac:dyDescent="0.2">
      <c r="A276" s="28" t="s">
        <v>31</v>
      </c>
    </row>
    <row r="277" spans="1:20" x14ac:dyDescent="0.2">
      <c r="A277" s="28" t="s">
        <v>31</v>
      </c>
      <c r="D277" s="28" t="str">
        <f>"||""Filter"",""GL20000"",""ACTINDX"",""TRXDATE"",""1/1/2016..1/31/2016"",""ACTINDX"",""||""""Filter"""",""""GL00105"""",""""ACTINDX"""",""""ACTNUMBR_1"""",""""*"""",""""ACTNUMBR_2"""",""""*"""",""""ACTNUMBR_3"""",""""*"""","""""""","""""""","""""""","""""""","""""""","""""""","""""""","""""""","""""""","""""""","""""""","""""""","""""""","""""""""","""","""","""","""&amp;""","""","""","""","""","""","""","""","""","""","""","""","""""</f>
        <v>||"Filter","GL20000","ACTINDX","TRXDATE","1/1/2016..1/31/2016","ACTINDX","||""Filter"",""GL00105"",""ACTINDX"",""ACTNUMBR_1"",""*"",""ACTNUMBR_2"",""*"",""ACTNUMBR_3"",""*"","""","""","""","""","""","""","""","""","""","""","""","""","""",""""","","","","","","","","","","","","","","","",""</v>
      </c>
      <c r="E277" s="28" t="str">
        <f>"||""Filter"",""GL30000"",""ACTINDX"",""TRXDATE"",""1/1/2016..1/31/2016"",""ACTINDX"",""||""""Filter"""",""""GL00105"""",""""ACTINDX"""",""""ACTNUMBR_1"""",""""*"""",""""ACTNUMBR_2"""",""""*"""",""""ACTNUMBR_3"""",""""*"""","""""""","""""""","""""""","""""""","""""""","""""""","""""""","""""""","""""""","""""""","""""""","""""""","""""""","""""""""","""","""","""","""&amp;""","""","""","""","""","""","""","""","""","""","""","""","""""</f>
        <v>||"Filter","GL30000","ACTINDX","TRXDATE","1/1/2016..1/31/2016","ACTINDX","||""Filter"",""GL00105"",""ACTINDX"",""ACTNUMBR_1"",""*"",""ACTNUMBR_2"",""*"",""ACTNUMBR_3"",""*"","""","""","""","""","""","""","""","""","""","""","""","""","""",""""","","","","","","","","","","","","","","","",""</v>
      </c>
      <c r="F277" s="28">
        <v>49</v>
      </c>
      <c r="G277" s="28" t="str">
        <f>"000-2170-00"</f>
        <v>000-2170-00</v>
      </c>
      <c r="I277" s="17" t="str">
        <f>G277</f>
        <v>000-2170-00</v>
      </c>
      <c r="J277" s="17" t="str">
        <f>"Federal Withholding Payable"</f>
        <v>Federal Withholding Payable</v>
      </c>
      <c r="Q277" s="17"/>
      <c r="R277" s="18"/>
    </row>
    <row r="278" spans="1:20" x14ac:dyDescent="0.2">
      <c r="A278" s="28" t="s">
        <v>31</v>
      </c>
      <c r="B278" s="33"/>
      <c r="C278" s="33"/>
      <c r="F278" s="33">
        <f>F277</f>
        <v>49</v>
      </c>
      <c r="G278" s="33" t="str">
        <f>G277</f>
        <v>000-2170-00</v>
      </c>
      <c r="H278" s="36"/>
      <c r="L278" s="15"/>
      <c r="Q278" s="21"/>
      <c r="R278" s="16"/>
      <c r="S278" s="16">
        <f>IF($K278="",0,-_xll.NF($K278,"CRDTAMNT"))</f>
        <v>0</v>
      </c>
      <c r="T278" s="19">
        <f t="shared" ref="T278:T279" si="24">SUM(R278:S278)</f>
        <v>0</v>
      </c>
    </row>
    <row r="279" spans="1:20" x14ac:dyDescent="0.2">
      <c r="A279" s="28" t="s">
        <v>31</v>
      </c>
      <c r="B279" s="33"/>
      <c r="C279" s="33"/>
      <c r="F279" s="33">
        <f>F278</f>
        <v>49</v>
      </c>
      <c r="G279" s="33" t="str">
        <f>G278</f>
        <v>000-2170-00</v>
      </c>
      <c r="H279" s="36"/>
      <c r="K279" t="str">
        <f>"""GP Direct"",""Fabrikam, Inc."",""GL20000"",""DEX_ROW_ID"",""12195"""</f>
        <v>"GP Direct","Fabrikam, Inc.","GL20000","DEX_ROW_ID","12195"</v>
      </c>
      <c r="L279" s="15">
        <v>42370</v>
      </c>
      <c r="M279">
        <v>2220</v>
      </c>
      <c r="N279" t="str">
        <f>"Ackerman, Pilar"</f>
        <v>Ackerman, Pilar</v>
      </c>
      <c r="O279" t="str">
        <f>"DD000000000000000073"</f>
        <v>DD000000000000000073</v>
      </c>
      <c r="P279" t="str">
        <f>"Payroll Computer Checks"</f>
        <v>Payroll Computer Checks</v>
      </c>
      <c r="Q279" s="21"/>
      <c r="R279" s="16">
        <v>0</v>
      </c>
      <c r="S279" s="16">
        <v>-490.47</v>
      </c>
      <c r="T279" s="19">
        <f t="shared" si="24"/>
        <v>-490.47</v>
      </c>
    </row>
    <row r="280" spans="1:20" x14ac:dyDescent="0.2">
      <c r="A280" s="28" t="s">
        <v>31</v>
      </c>
      <c r="B280" s="33"/>
      <c r="C280" s="33"/>
      <c r="F280" s="33">
        <f>F279</f>
        <v>49</v>
      </c>
      <c r="G280" s="33" t="str">
        <f>G279</f>
        <v>000-2170-00</v>
      </c>
      <c r="H280" s="36"/>
      <c r="K280" t="str">
        <f>"""GP Direct"",""Fabrikam, Inc."",""GL20000"",""DEX_ROW_ID"",""12201"""</f>
        <v>"GP Direct","Fabrikam, Inc.","GL20000","DEX_ROW_ID","12201"</v>
      </c>
      <c r="L280" s="15">
        <v>42370</v>
      </c>
      <c r="M280">
        <v>2221</v>
      </c>
      <c r="N280" t="str">
        <f>"Barbariol, Angela"</f>
        <v>Barbariol, Angela</v>
      </c>
      <c r="O280" t="str">
        <f>"DD000000000000000074"</f>
        <v>DD000000000000000074</v>
      </c>
      <c r="P280" t="str">
        <f>"Payroll Computer Checks"</f>
        <v>Payroll Computer Checks</v>
      </c>
      <c r="Q280" s="21"/>
      <c r="R280" s="16">
        <v>0</v>
      </c>
      <c r="S280" s="16">
        <v>-455.36</v>
      </c>
      <c r="T280" s="19">
        <f t="shared" ref="T280:T306" si="25">SUM(R280:S280)</f>
        <v>-455.36</v>
      </c>
    </row>
    <row r="281" spans="1:20" x14ac:dyDescent="0.2">
      <c r="A281" s="28" t="s">
        <v>31</v>
      </c>
      <c r="B281" s="33"/>
      <c r="C281" s="33"/>
      <c r="F281" s="33">
        <f>F280</f>
        <v>49</v>
      </c>
      <c r="G281" s="33" t="str">
        <f>G280</f>
        <v>000-2170-00</v>
      </c>
      <c r="H281" s="36"/>
      <c r="K281" t="str">
        <f>"""GP Direct"",""Fabrikam, Inc."",""GL20000"",""DEX_ROW_ID"",""12213"""</f>
        <v>"GP Direct","Fabrikam, Inc.","GL20000","DEX_ROW_ID","12213"</v>
      </c>
      <c r="L281" s="15">
        <v>42370</v>
      </c>
      <c r="M281">
        <v>2222</v>
      </c>
      <c r="N281" t="str">
        <f>"Barr, Adam"</f>
        <v>Barr, Adam</v>
      </c>
      <c r="O281" t="str">
        <f>"10654"</f>
        <v>10654</v>
      </c>
      <c r="P281" t="str">
        <f>"Payroll Computer Checks"</f>
        <v>Payroll Computer Checks</v>
      </c>
      <c r="Q281" s="21"/>
      <c r="R281" s="16">
        <v>0</v>
      </c>
      <c r="S281" s="16">
        <v>-568.48</v>
      </c>
      <c r="T281" s="19">
        <f t="shared" si="25"/>
        <v>-568.48</v>
      </c>
    </row>
    <row r="282" spans="1:20" x14ac:dyDescent="0.2">
      <c r="A282" s="28" t="s">
        <v>31</v>
      </c>
      <c r="B282" s="33"/>
      <c r="C282" s="33"/>
      <c r="F282" s="33">
        <f>F281</f>
        <v>49</v>
      </c>
      <c r="G282" s="33" t="str">
        <f>G281</f>
        <v>000-2170-00</v>
      </c>
      <c r="H282" s="36"/>
      <c r="K282" t="str">
        <f>"""GP Direct"",""Fabrikam, Inc."",""GL20000"",""DEX_ROW_ID"",""12223"""</f>
        <v>"GP Direct","Fabrikam, Inc.","GL20000","DEX_ROW_ID","12223"</v>
      </c>
      <c r="L282" s="15">
        <v>42370</v>
      </c>
      <c r="M282">
        <v>2223</v>
      </c>
      <c r="N282" t="str">
        <f>"Bonifaz, Luis"</f>
        <v>Bonifaz, Luis</v>
      </c>
      <c r="O282" t="str">
        <f>"DD000000000000000075"</f>
        <v>DD000000000000000075</v>
      </c>
      <c r="P282" t="str">
        <f>"Payroll Computer Checks"</f>
        <v>Payroll Computer Checks</v>
      </c>
      <c r="Q282" s="21"/>
      <c r="R282" s="16">
        <v>0</v>
      </c>
      <c r="S282" s="16">
        <v>-306.17</v>
      </c>
      <c r="T282" s="19">
        <f t="shared" si="25"/>
        <v>-306.17</v>
      </c>
    </row>
    <row r="283" spans="1:20" x14ac:dyDescent="0.2">
      <c r="A283" s="28" t="s">
        <v>31</v>
      </c>
      <c r="B283" s="33"/>
      <c r="C283" s="33"/>
      <c r="F283" s="33">
        <f>F282</f>
        <v>49</v>
      </c>
      <c r="G283" s="33" t="str">
        <f>G282</f>
        <v>000-2170-00</v>
      </c>
      <c r="H283" s="36"/>
      <c r="K283" t="str">
        <f>"""GP Direct"",""Fabrikam, Inc."",""GL20000"",""DEX_ROW_ID"",""12229"""</f>
        <v>"GP Direct","Fabrikam, Inc.","GL20000","DEX_ROW_ID","12229"</v>
      </c>
      <c r="L283" s="15">
        <v>42370</v>
      </c>
      <c r="M283">
        <v>2224</v>
      </c>
      <c r="N283" t="str">
        <f>"Buchanan, Nancy"</f>
        <v>Buchanan, Nancy</v>
      </c>
      <c r="O283" t="str">
        <f>"10655"</f>
        <v>10655</v>
      </c>
      <c r="P283" t="str">
        <f>"Payroll Computer Checks"</f>
        <v>Payroll Computer Checks</v>
      </c>
      <c r="Q283" s="21"/>
      <c r="R283" s="16">
        <v>0</v>
      </c>
      <c r="S283" s="16">
        <v>-3831.83</v>
      </c>
      <c r="T283" s="19">
        <f t="shared" si="25"/>
        <v>-3831.83</v>
      </c>
    </row>
    <row r="284" spans="1:20" x14ac:dyDescent="0.2">
      <c r="A284" s="28" t="s">
        <v>31</v>
      </c>
      <c r="B284" s="33"/>
      <c r="C284" s="33"/>
      <c r="F284" s="33">
        <f>F283</f>
        <v>49</v>
      </c>
      <c r="G284" s="33" t="str">
        <f>G283</f>
        <v>000-2170-00</v>
      </c>
      <c r="H284" s="36"/>
      <c r="K284" t="str">
        <f>"""GP Direct"",""Fabrikam, Inc."",""GL20000"",""DEX_ROW_ID"",""12238"""</f>
        <v>"GP Direct","Fabrikam, Inc.","GL20000","DEX_ROW_ID","12238"</v>
      </c>
      <c r="L284" s="15">
        <v>42370</v>
      </c>
      <c r="M284">
        <v>2225</v>
      </c>
      <c r="N284" t="str">
        <f>"Chen, John Y."</f>
        <v>Chen, John Y.</v>
      </c>
      <c r="O284" t="str">
        <f>"10656"</f>
        <v>10656</v>
      </c>
      <c r="P284" t="str">
        <f>"Payroll Computer Checks"</f>
        <v>Payroll Computer Checks</v>
      </c>
      <c r="Q284" s="21"/>
      <c r="R284" s="16">
        <v>0</v>
      </c>
      <c r="S284" s="16">
        <v>-156.97</v>
      </c>
      <c r="T284" s="19">
        <f t="shared" si="25"/>
        <v>-156.97</v>
      </c>
    </row>
    <row r="285" spans="1:20" x14ac:dyDescent="0.2">
      <c r="A285" s="28" t="s">
        <v>31</v>
      </c>
      <c r="B285" s="33"/>
      <c r="C285" s="33"/>
      <c r="F285" s="33">
        <f>F284</f>
        <v>49</v>
      </c>
      <c r="G285" s="33" t="str">
        <f>G284</f>
        <v>000-2170-00</v>
      </c>
      <c r="H285" s="36"/>
      <c r="K285" t="str">
        <f>"""GP Direct"",""Fabrikam, Inc."",""GL20000"",""DEX_ROW_ID"",""12246"""</f>
        <v>"GP Direct","Fabrikam, Inc.","GL20000","DEX_ROW_ID","12246"</v>
      </c>
      <c r="L285" s="15">
        <v>42370</v>
      </c>
      <c r="M285">
        <v>2226</v>
      </c>
      <c r="N285" t="str">
        <f>"Clayton, Jane"</f>
        <v>Clayton, Jane</v>
      </c>
      <c r="O285" t="str">
        <f>"10657"</f>
        <v>10657</v>
      </c>
      <c r="P285" t="str">
        <f>"Payroll Computer Checks"</f>
        <v>Payroll Computer Checks</v>
      </c>
      <c r="Q285" s="21"/>
      <c r="R285" s="16">
        <v>0</v>
      </c>
      <c r="S285" s="16">
        <v>-289.38</v>
      </c>
      <c r="T285" s="19">
        <f t="shared" si="25"/>
        <v>-289.38</v>
      </c>
    </row>
    <row r="286" spans="1:20" x14ac:dyDescent="0.2">
      <c r="A286" s="28" t="s">
        <v>31</v>
      </c>
      <c r="B286" s="33"/>
      <c r="C286" s="33"/>
      <c r="F286" s="33">
        <f>F285</f>
        <v>49</v>
      </c>
      <c r="G286" s="33" t="str">
        <f>G285</f>
        <v>000-2170-00</v>
      </c>
      <c r="H286" s="36"/>
      <c r="K286" t="str">
        <f>"""GP Direct"",""Fabrikam, Inc."",""GL20000"",""DEX_ROW_ID"",""12260"""</f>
        <v>"GP Direct","Fabrikam, Inc.","GL20000","DEX_ROW_ID","12260"</v>
      </c>
      <c r="L286" s="15">
        <v>42370</v>
      </c>
      <c r="M286">
        <v>2227</v>
      </c>
      <c r="N286" t="str">
        <f>"Delaney, Aidan"</f>
        <v>Delaney, Aidan</v>
      </c>
      <c r="O286" t="str">
        <f>"10658"</f>
        <v>10658</v>
      </c>
      <c r="P286" t="str">
        <f>"Payroll Computer Checks"</f>
        <v>Payroll Computer Checks</v>
      </c>
      <c r="Q286" s="21"/>
      <c r="R286" s="16">
        <v>0</v>
      </c>
      <c r="S286" s="16">
        <v>-149.84</v>
      </c>
      <c r="T286" s="19">
        <f t="shared" si="25"/>
        <v>-149.84</v>
      </c>
    </row>
    <row r="287" spans="1:20" x14ac:dyDescent="0.2">
      <c r="A287" s="28" t="s">
        <v>31</v>
      </c>
      <c r="B287" s="33"/>
      <c r="C287" s="33"/>
      <c r="F287" s="33">
        <f>F286</f>
        <v>49</v>
      </c>
      <c r="G287" s="33" t="str">
        <f>G286</f>
        <v>000-2170-00</v>
      </c>
      <c r="H287" s="36"/>
      <c r="K287" t="str">
        <f>"""GP Direct"",""Fabrikam, Inc."",""GL20000"",""DEX_ROW_ID"",""12269"""</f>
        <v>"GP Direct","Fabrikam, Inc.","GL20000","DEX_ROW_ID","12269"</v>
      </c>
      <c r="L287" s="15">
        <v>42370</v>
      </c>
      <c r="M287">
        <v>2228</v>
      </c>
      <c r="N287" t="str">
        <f>"Diaz, Brenda"</f>
        <v>Diaz, Brenda</v>
      </c>
      <c r="O287" t="str">
        <f>"10659"</f>
        <v>10659</v>
      </c>
      <c r="P287" t="str">
        <f>"Payroll Computer Checks"</f>
        <v>Payroll Computer Checks</v>
      </c>
      <c r="Q287" s="21"/>
      <c r="R287" s="16">
        <v>0</v>
      </c>
      <c r="S287" s="16">
        <v>-738.49</v>
      </c>
      <c r="T287" s="19">
        <f t="shared" si="25"/>
        <v>-738.49</v>
      </c>
    </row>
    <row r="288" spans="1:20" x14ac:dyDescent="0.2">
      <c r="A288" s="28" t="s">
        <v>31</v>
      </c>
      <c r="B288" s="33"/>
      <c r="C288" s="33"/>
      <c r="F288" s="33">
        <f>F287</f>
        <v>49</v>
      </c>
      <c r="G288" s="33" t="str">
        <f>G287</f>
        <v>000-2170-00</v>
      </c>
      <c r="H288" s="36"/>
      <c r="K288" t="str">
        <f>"""GP Direct"",""Fabrikam, Inc."",""GL20000"",""DEX_ROW_ID"",""12277"""</f>
        <v>"GP Direct","Fabrikam, Inc.","GL20000","DEX_ROW_ID","12277"</v>
      </c>
      <c r="L288" s="15">
        <v>42370</v>
      </c>
      <c r="M288">
        <v>2229</v>
      </c>
      <c r="N288" t="str">
        <f>"Doyle, Jenny"</f>
        <v>Doyle, Jenny</v>
      </c>
      <c r="O288" t="str">
        <f>"10660"</f>
        <v>10660</v>
      </c>
      <c r="P288" t="str">
        <f>"Payroll Computer Checks"</f>
        <v>Payroll Computer Checks</v>
      </c>
      <c r="Q288" s="21"/>
      <c r="R288" s="16">
        <v>0</v>
      </c>
      <c r="S288" s="16">
        <v>-199.14</v>
      </c>
      <c r="T288" s="19">
        <f t="shared" si="25"/>
        <v>-199.14</v>
      </c>
    </row>
    <row r="289" spans="1:20" x14ac:dyDescent="0.2">
      <c r="A289" s="28" t="s">
        <v>31</v>
      </c>
      <c r="B289" s="33"/>
      <c r="C289" s="33"/>
      <c r="F289" s="33">
        <f>F288</f>
        <v>49</v>
      </c>
      <c r="G289" s="33" t="str">
        <f>G288</f>
        <v>000-2170-00</v>
      </c>
      <c r="H289" s="36"/>
      <c r="K289" t="str">
        <f>"""GP Direct"",""Fabrikam, Inc."",""GL20000"",""DEX_ROW_ID"",""12281"""</f>
        <v>"GP Direct","Fabrikam, Inc.","GL20000","DEX_ROW_ID","12281"</v>
      </c>
      <c r="L289" s="15">
        <v>42370</v>
      </c>
      <c r="M289">
        <v>2230</v>
      </c>
      <c r="N289" t="str">
        <f>"Erickson, Gregory J."</f>
        <v>Erickson, Gregory J.</v>
      </c>
      <c r="O289" t="str">
        <f>"10661"</f>
        <v>10661</v>
      </c>
      <c r="P289" t="str">
        <f>"Payroll Computer Checks"</f>
        <v>Payroll Computer Checks</v>
      </c>
      <c r="Q289" s="21"/>
      <c r="R289" s="16">
        <v>0</v>
      </c>
      <c r="S289" s="16">
        <v>-2659.1</v>
      </c>
      <c r="T289" s="19">
        <f t="shared" si="25"/>
        <v>-2659.1</v>
      </c>
    </row>
    <row r="290" spans="1:20" x14ac:dyDescent="0.2">
      <c r="A290" s="28" t="s">
        <v>31</v>
      </c>
      <c r="B290" s="33"/>
      <c r="C290" s="33"/>
      <c r="F290" s="33">
        <f>F289</f>
        <v>49</v>
      </c>
      <c r="G290" s="33" t="str">
        <f>G289</f>
        <v>000-2170-00</v>
      </c>
      <c r="H290" s="36"/>
      <c r="K290" t="str">
        <f>"""GP Direct"",""Fabrikam, Inc."",""GL20000"",""DEX_ROW_ID"",""12296"""</f>
        <v>"GP Direct","Fabrikam, Inc.","GL20000","DEX_ROW_ID","12296"</v>
      </c>
      <c r="L290" s="15">
        <v>42370</v>
      </c>
      <c r="M290">
        <v>2231</v>
      </c>
      <c r="N290" t="str">
        <f>"Flood, Kathie"</f>
        <v>Flood, Kathie</v>
      </c>
      <c r="O290" t="str">
        <f>"10662"</f>
        <v>10662</v>
      </c>
      <c r="P290" t="str">
        <f>"Payroll Computer Checks"</f>
        <v>Payroll Computer Checks</v>
      </c>
      <c r="Q290" s="21"/>
      <c r="R290" s="16">
        <v>0</v>
      </c>
      <c r="S290" s="16">
        <v>-137.77000000000001</v>
      </c>
      <c r="T290" s="19">
        <f t="shared" si="25"/>
        <v>-137.77000000000001</v>
      </c>
    </row>
    <row r="291" spans="1:20" x14ac:dyDescent="0.2">
      <c r="A291" s="28" t="s">
        <v>31</v>
      </c>
      <c r="B291" s="33"/>
      <c r="C291" s="33"/>
      <c r="F291" s="33">
        <f>F290</f>
        <v>49</v>
      </c>
      <c r="G291" s="33" t="str">
        <f>G290</f>
        <v>000-2170-00</v>
      </c>
      <c r="H291" s="36"/>
      <c r="K291" t="str">
        <f>"""GP Direct"",""Fabrikam, Inc."",""GL20000"",""DEX_ROW_ID"",""12305"""</f>
        <v>"GP Direct","Fabrikam, Inc.","GL20000","DEX_ROW_ID","12305"</v>
      </c>
      <c r="L291" s="15">
        <v>42370</v>
      </c>
      <c r="M291">
        <v>2232</v>
      </c>
      <c r="N291" t="str">
        <f>"Harui, Roger"</f>
        <v>Harui, Roger</v>
      </c>
      <c r="O291" t="str">
        <f>"10663"</f>
        <v>10663</v>
      </c>
      <c r="P291" t="str">
        <f>"Payroll Computer Checks"</f>
        <v>Payroll Computer Checks</v>
      </c>
      <c r="Q291" s="21"/>
      <c r="R291" s="16">
        <v>0</v>
      </c>
      <c r="S291" s="16">
        <v>-825.87</v>
      </c>
      <c r="T291" s="19">
        <f t="shared" si="25"/>
        <v>-825.87</v>
      </c>
    </row>
    <row r="292" spans="1:20" x14ac:dyDescent="0.2">
      <c r="A292" s="28" t="s">
        <v>31</v>
      </c>
      <c r="B292" s="33"/>
      <c r="C292" s="33"/>
      <c r="F292" s="33">
        <f>F291</f>
        <v>49</v>
      </c>
      <c r="G292" s="33" t="str">
        <f>G291</f>
        <v>000-2170-00</v>
      </c>
      <c r="H292" s="36"/>
      <c r="K292" t="str">
        <f>"""GP Direct"",""Fabrikam, Inc."",""GL20000"",""DEX_ROW_ID"",""12314"""</f>
        <v>"GP Direct","Fabrikam, Inc.","GL20000","DEX_ROW_ID","12314"</v>
      </c>
      <c r="L292" s="15">
        <v>42370</v>
      </c>
      <c r="M292">
        <v>2233</v>
      </c>
      <c r="N292" t="str">
        <f>"Jamison, Jay"</f>
        <v>Jamison, Jay</v>
      </c>
      <c r="O292" t="str">
        <f>"10664"</f>
        <v>10664</v>
      </c>
      <c r="P292" t="str">
        <f>"Payroll Computer Checks"</f>
        <v>Payroll Computer Checks</v>
      </c>
      <c r="Q292" s="21"/>
      <c r="R292" s="16">
        <v>0</v>
      </c>
      <c r="S292" s="16">
        <v>-380.37</v>
      </c>
      <c r="T292" s="19">
        <f t="shared" si="25"/>
        <v>-380.37</v>
      </c>
    </row>
    <row r="293" spans="1:20" x14ac:dyDescent="0.2">
      <c r="A293" s="28" t="s">
        <v>31</v>
      </c>
      <c r="B293" s="33"/>
      <c r="C293" s="33"/>
      <c r="F293" s="33">
        <f>F292</f>
        <v>49</v>
      </c>
      <c r="G293" s="33" t="str">
        <f>G292</f>
        <v>000-2170-00</v>
      </c>
      <c r="H293" s="36"/>
      <c r="K293" t="str">
        <f>"""GP Direct"",""Fabrikam, Inc."",""GL20000"",""DEX_ROW_ID"",""12316"""</f>
        <v>"GP Direct","Fabrikam, Inc.","GL20000","DEX_ROW_ID","12316"</v>
      </c>
      <c r="L293" s="15">
        <v>42370</v>
      </c>
      <c r="M293">
        <v>2234</v>
      </c>
      <c r="N293" t="str">
        <f>"Kahn, Wendy B."</f>
        <v>Kahn, Wendy B.</v>
      </c>
      <c r="O293" t="str">
        <f>"10665"</f>
        <v>10665</v>
      </c>
      <c r="P293" t="str">
        <f>"Payroll Computer Checks"</f>
        <v>Payroll Computer Checks</v>
      </c>
      <c r="Q293" s="21"/>
      <c r="R293" s="16">
        <v>0</v>
      </c>
      <c r="S293" s="16">
        <v>-154.96</v>
      </c>
      <c r="T293" s="19">
        <f t="shared" si="25"/>
        <v>-154.96</v>
      </c>
    </row>
    <row r="294" spans="1:20" x14ac:dyDescent="0.2">
      <c r="A294" s="28" t="s">
        <v>31</v>
      </c>
      <c r="B294" s="33"/>
      <c r="C294" s="33"/>
      <c r="F294" s="33">
        <f>F293</f>
        <v>49</v>
      </c>
      <c r="G294" s="33" t="str">
        <f>G293</f>
        <v>000-2170-00</v>
      </c>
      <c r="H294" s="36"/>
      <c r="K294" t="str">
        <f>"""GP Direct"",""Fabrikam, Inc."",""GL20000"",""DEX_ROW_ID"",""12325"""</f>
        <v>"GP Direct","Fabrikam, Inc.","GL20000","DEX_ROW_ID","12325"</v>
      </c>
      <c r="L294" s="15">
        <v>42370</v>
      </c>
      <c r="M294">
        <v>2235</v>
      </c>
      <c r="N294" t="str">
        <f>"Kennedy, Kevin"</f>
        <v>Kennedy, Kevin</v>
      </c>
      <c r="O294" t="str">
        <f>"10666"</f>
        <v>10666</v>
      </c>
      <c r="P294" t="str">
        <f>"Payroll Computer Checks"</f>
        <v>Payroll Computer Checks</v>
      </c>
      <c r="Q294" s="21"/>
      <c r="R294" s="16">
        <v>0</v>
      </c>
      <c r="S294" s="16">
        <v>-171.45</v>
      </c>
      <c r="T294" s="19">
        <f t="shared" si="25"/>
        <v>-171.45</v>
      </c>
    </row>
    <row r="295" spans="1:20" x14ac:dyDescent="0.2">
      <c r="A295" s="28" t="s">
        <v>31</v>
      </c>
      <c r="B295" s="33"/>
      <c r="C295" s="33"/>
      <c r="F295" s="33">
        <f>F294</f>
        <v>49</v>
      </c>
      <c r="G295" s="33" t="str">
        <f>G294</f>
        <v>000-2170-00</v>
      </c>
      <c r="H295" s="36"/>
      <c r="K295" t="str">
        <f>"""GP Direct"",""Fabrikam, Inc."",""GL20000"",""DEX_ROW_ID"",""12337"""</f>
        <v>"GP Direct","Fabrikam, Inc.","GL20000","DEX_ROW_ID","12337"</v>
      </c>
      <c r="L295" s="15">
        <v>42370</v>
      </c>
      <c r="M295">
        <v>2236</v>
      </c>
      <c r="N295" t="str">
        <f>"Levy, Steven B."</f>
        <v>Levy, Steven B.</v>
      </c>
      <c r="O295" t="str">
        <f>"10667"</f>
        <v>10667</v>
      </c>
      <c r="P295" t="str">
        <f>"Payroll Computer Checks"</f>
        <v>Payroll Computer Checks</v>
      </c>
      <c r="Q295" s="21"/>
      <c r="R295" s="16">
        <v>0</v>
      </c>
      <c r="S295" s="16">
        <v>-262.61</v>
      </c>
      <c r="T295" s="19">
        <f t="shared" si="25"/>
        <v>-262.61</v>
      </c>
    </row>
    <row r="296" spans="1:20" x14ac:dyDescent="0.2">
      <c r="A296" s="28" t="s">
        <v>31</v>
      </c>
      <c r="B296" s="33"/>
      <c r="C296" s="33"/>
      <c r="F296" s="33">
        <f>F295</f>
        <v>49</v>
      </c>
      <c r="G296" s="33" t="str">
        <f>G295</f>
        <v>000-2170-00</v>
      </c>
      <c r="H296" s="36"/>
      <c r="K296" t="str">
        <f>"""GP Direct"",""Fabrikam, Inc."",""GL20000"",""DEX_ROW_ID"",""12348"""</f>
        <v>"GP Direct","Fabrikam, Inc.","GL20000","DEX_ROW_ID","12348"</v>
      </c>
      <c r="L296" s="15">
        <v>42370</v>
      </c>
      <c r="M296">
        <v>2237</v>
      </c>
      <c r="N296" t="str">
        <f>"Lyon, Robert"</f>
        <v>Lyon, Robert</v>
      </c>
      <c r="O296" t="str">
        <f>"10668"</f>
        <v>10668</v>
      </c>
      <c r="P296" t="str">
        <f>"Payroll Computer Checks"</f>
        <v>Payroll Computer Checks</v>
      </c>
      <c r="Q296" s="21"/>
      <c r="R296" s="16">
        <v>0</v>
      </c>
      <c r="S296" s="16">
        <v>-167.37</v>
      </c>
      <c r="T296" s="19">
        <f t="shared" si="25"/>
        <v>-167.37</v>
      </c>
    </row>
    <row r="297" spans="1:20" x14ac:dyDescent="0.2">
      <c r="A297" s="28" t="s">
        <v>31</v>
      </c>
      <c r="B297" s="33"/>
      <c r="C297" s="33"/>
      <c r="F297" s="33">
        <f>F296</f>
        <v>49</v>
      </c>
      <c r="G297" s="33" t="str">
        <f>G296</f>
        <v>000-2170-00</v>
      </c>
      <c r="H297" s="36"/>
      <c r="K297" t="str">
        <f>"""GP Direct"",""Fabrikam, Inc."",""GL20000"",""DEX_ROW_ID"",""12353"""</f>
        <v>"GP Direct","Fabrikam, Inc.","GL20000","DEX_ROW_ID","12353"</v>
      </c>
      <c r="L297" s="15">
        <v>42370</v>
      </c>
      <c r="M297">
        <v>2238</v>
      </c>
      <c r="N297" t="str">
        <f>"Lysaker, Jenny"</f>
        <v>Lysaker, Jenny</v>
      </c>
      <c r="O297" t="str">
        <f>"10669"</f>
        <v>10669</v>
      </c>
      <c r="P297" t="str">
        <f>"Payroll Computer Checks"</f>
        <v>Payroll Computer Checks</v>
      </c>
      <c r="Q297" s="21"/>
      <c r="R297" s="16">
        <v>0</v>
      </c>
      <c r="S297" s="16">
        <v>-111.22</v>
      </c>
      <c r="T297" s="19">
        <f t="shared" si="25"/>
        <v>-111.22</v>
      </c>
    </row>
    <row r="298" spans="1:20" x14ac:dyDescent="0.2">
      <c r="A298" s="28" t="s">
        <v>31</v>
      </c>
      <c r="B298" s="33"/>
      <c r="C298" s="33"/>
      <c r="F298" s="33">
        <f>F297</f>
        <v>49</v>
      </c>
      <c r="G298" s="33" t="str">
        <f>G297</f>
        <v>000-2170-00</v>
      </c>
      <c r="H298" s="36"/>
      <c r="K298" t="str">
        <f>"""GP Direct"",""Fabrikam, Inc."",""GL20000"",""DEX_ROW_ID"",""12366"""</f>
        <v>"GP Direct","Fabrikam, Inc.","GL20000","DEX_ROW_ID","12366"</v>
      </c>
      <c r="L298" s="15">
        <v>42370</v>
      </c>
      <c r="M298">
        <v>2239</v>
      </c>
      <c r="N298" t="str">
        <f>"Martinez, Sandra I."</f>
        <v>Martinez, Sandra I.</v>
      </c>
      <c r="O298" t="str">
        <f>"10670"</f>
        <v>10670</v>
      </c>
      <c r="P298" t="str">
        <f>"Payroll Computer Checks"</f>
        <v>Payroll Computer Checks</v>
      </c>
      <c r="Q298" s="21"/>
      <c r="R298" s="16">
        <v>0</v>
      </c>
      <c r="S298" s="16">
        <v>-125.95</v>
      </c>
      <c r="T298" s="19">
        <f t="shared" si="25"/>
        <v>-125.95</v>
      </c>
    </row>
    <row r="299" spans="1:20" x14ac:dyDescent="0.2">
      <c r="A299" s="28" t="s">
        <v>31</v>
      </c>
      <c r="B299" s="33"/>
      <c r="C299" s="33"/>
      <c r="F299" s="33">
        <f>F298</f>
        <v>49</v>
      </c>
      <c r="G299" s="33" t="str">
        <f>G298</f>
        <v>000-2170-00</v>
      </c>
      <c r="H299" s="36"/>
      <c r="K299" t="str">
        <f>"""GP Direct"",""Fabrikam, Inc."",""GL20000"",""DEX_ROW_ID"",""12371"""</f>
        <v>"GP Direct","Fabrikam, Inc.","GL20000","DEX_ROW_ID","12371"</v>
      </c>
      <c r="L299" s="15">
        <v>42370</v>
      </c>
      <c r="M299">
        <v>2240</v>
      </c>
      <c r="N299" t="str">
        <f>"Mughal, Salmon"</f>
        <v>Mughal, Salmon</v>
      </c>
      <c r="O299" t="str">
        <f>"10671"</f>
        <v>10671</v>
      </c>
      <c r="P299" t="str">
        <f>"Payroll Computer Checks"</f>
        <v>Payroll Computer Checks</v>
      </c>
      <c r="Q299" s="21"/>
      <c r="R299" s="16">
        <v>0</v>
      </c>
      <c r="S299" s="16">
        <v>-184.29</v>
      </c>
      <c r="T299" s="19">
        <f t="shared" si="25"/>
        <v>-184.29</v>
      </c>
    </row>
    <row r="300" spans="1:20" x14ac:dyDescent="0.2">
      <c r="A300" s="28" t="s">
        <v>31</v>
      </c>
      <c r="B300" s="33"/>
      <c r="C300" s="33"/>
      <c r="F300" s="33">
        <f>F299</f>
        <v>49</v>
      </c>
      <c r="G300" s="33" t="str">
        <f>G299</f>
        <v>000-2170-00</v>
      </c>
      <c r="H300" s="36"/>
      <c r="K300" t="str">
        <f>"""GP Direct"",""Fabrikam, Inc."",""GL20000"",""DEX_ROW_ID"",""12386"""</f>
        <v>"GP Direct","Fabrikam, Inc.","GL20000","DEX_ROW_ID","12386"</v>
      </c>
      <c r="L300" s="15">
        <v>42370</v>
      </c>
      <c r="M300">
        <v>2241</v>
      </c>
      <c r="N300" t="str">
        <f>"Nagata, Suanne"</f>
        <v>Nagata, Suanne</v>
      </c>
      <c r="O300" t="str">
        <f>"10672"</f>
        <v>10672</v>
      </c>
      <c r="P300" t="str">
        <f>"Payroll Computer Checks"</f>
        <v>Payroll Computer Checks</v>
      </c>
      <c r="Q300" s="21"/>
      <c r="R300" s="16">
        <v>0</v>
      </c>
      <c r="S300" s="16">
        <v>-203.86</v>
      </c>
      <c r="T300" s="19">
        <f t="shared" si="25"/>
        <v>-203.86</v>
      </c>
    </row>
    <row r="301" spans="1:20" x14ac:dyDescent="0.2">
      <c r="A301" s="28" t="s">
        <v>31</v>
      </c>
      <c r="B301" s="33"/>
      <c r="C301" s="33"/>
      <c r="F301" s="33">
        <f>F300</f>
        <v>49</v>
      </c>
      <c r="G301" s="33" t="str">
        <f>G300</f>
        <v>000-2170-00</v>
      </c>
      <c r="H301" s="36"/>
      <c r="K301" t="str">
        <f>"""GP Direct"",""Fabrikam, Inc."",""GL20000"",""DEX_ROW_ID"",""12390"""</f>
        <v>"GP Direct","Fabrikam, Inc.","GL20000","DEX_ROW_ID","12390"</v>
      </c>
      <c r="L301" s="15">
        <v>42370</v>
      </c>
      <c r="M301">
        <v>2242</v>
      </c>
      <c r="N301" t="str">
        <f>"Reeves, Randy"</f>
        <v>Reeves, Randy</v>
      </c>
      <c r="O301" t="str">
        <f>"10673"</f>
        <v>10673</v>
      </c>
      <c r="P301" t="str">
        <f>"Payroll Computer Checks"</f>
        <v>Payroll Computer Checks</v>
      </c>
      <c r="Q301" s="21"/>
      <c r="R301" s="16">
        <v>0</v>
      </c>
      <c r="S301" s="16">
        <v>-293.70999999999998</v>
      </c>
      <c r="T301" s="19">
        <f t="shared" si="25"/>
        <v>-293.70999999999998</v>
      </c>
    </row>
    <row r="302" spans="1:20" x14ac:dyDescent="0.2">
      <c r="A302" s="28" t="s">
        <v>31</v>
      </c>
      <c r="B302" s="33"/>
      <c r="C302" s="33"/>
      <c r="F302" s="33">
        <f>F301</f>
        <v>49</v>
      </c>
      <c r="G302" s="33" t="str">
        <f>G301</f>
        <v>000-2170-00</v>
      </c>
      <c r="H302" s="36"/>
      <c r="K302" t="str">
        <f>"""GP Direct"",""Fabrikam, Inc."",""GL20000"",""DEX_ROW_ID"",""12404"""</f>
        <v>"GP Direct","Fabrikam, Inc.","GL20000","DEX_ROW_ID","12404"</v>
      </c>
      <c r="L302" s="15">
        <v>42370</v>
      </c>
      <c r="M302">
        <v>2243</v>
      </c>
      <c r="N302" t="str">
        <f>"Stewart, Jim"</f>
        <v>Stewart, Jim</v>
      </c>
      <c r="O302" t="str">
        <f>"10674"</f>
        <v>10674</v>
      </c>
      <c r="P302" t="str">
        <f>"Payroll Computer Checks"</f>
        <v>Payroll Computer Checks</v>
      </c>
      <c r="Q302" s="21"/>
      <c r="R302" s="16">
        <v>0</v>
      </c>
      <c r="S302" s="16">
        <v>-458.87</v>
      </c>
      <c r="T302" s="19">
        <f t="shared" si="25"/>
        <v>-458.87</v>
      </c>
    </row>
    <row r="303" spans="1:20" x14ac:dyDescent="0.2">
      <c r="A303" s="28" t="s">
        <v>31</v>
      </c>
      <c r="B303" s="33"/>
      <c r="C303" s="33"/>
      <c r="F303" s="33">
        <f>F302</f>
        <v>49</v>
      </c>
      <c r="G303" s="33" t="str">
        <f>G302</f>
        <v>000-2170-00</v>
      </c>
      <c r="H303" s="36"/>
      <c r="K303" t="str">
        <f>"""GP Direct"",""Fabrikam, Inc."",""GL20000"",""DEX_ROW_ID"",""12410"""</f>
        <v>"GP Direct","Fabrikam, Inc.","GL20000","DEX_ROW_ID","12410"</v>
      </c>
      <c r="L303" s="15">
        <v>42370</v>
      </c>
      <c r="M303">
        <v>2244</v>
      </c>
      <c r="N303" t="str">
        <f>"Tiano, Mike"</f>
        <v>Tiano, Mike</v>
      </c>
      <c r="O303" t="str">
        <f>"10675"</f>
        <v>10675</v>
      </c>
      <c r="P303" t="str">
        <f>"Payroll Computer Checks"</f>
        <v>Payroll Computer Checks</v>
      </c>
      <c r="Q303" s="21"/>
      <c r="R303" s="16">
        <v>0</v>
      </c>
      <c r="S303" s="16">
        <v>-315.36</v>
      </c>
      <c r="T303" s="19">
        <f t="shared" si="25"/>
        <v>-315.36</v>
      </c>
    </row>
    <row r="304" spans="1:20" x14ac:dyDescent="0.2">
      <c r="A304" s="28" t="s">
        <v>31</v>
      </c>
      <c r="B304" s="33"/>
      <c r="C304" s="33"/>
      <c r="F304" s="33">
        <f>F303</f>
        <v>49</v>
      </c>
      <c r="G304" s="33" t="str">
        <f>G303</f>
        <v>000-2170-00</v>
      </c>
      <c r="H304" s="36"/>
      <c r="K304" t="str">
        <f>"""GP Direct"",""Fabrikam, Inc."",""GL20000"",""DEX_ROW_ID"",""12419"""</f>
        <v>"GP Direct","Fabrikam, Inc.","GL20000","DEX_ROW_ID","12419"</v>
      </c>
      <c r="L304" s="15">
        <v>42370</v>
      </c>
      <c r="M304">
        <v>2245</v>
      </c>
      <c r="N304" t="str">
        <f>"Tibbott, Diane"</f>
        <v>Tibbott, Diane</v>
      </c>
      <c r="O304" t="str">
        <f>"10676"</f>
        <v>10676</v>
      </c>
      <c r="P304" t="str">
        <f>"Payroll Computer Checks"</f>
        <v>Payroll Computer Checks</v>
      </c>
      <c r="Q304" s="21"/>
      <c r="R304" s="16">
        <v>0</v>
      </c>
      <c r="S304" s="16">
        <v>-243.04</v>
      </c>
      <c r="T304" s="19">
        <f t="shared" si="25"/>
        <v>-243.04</v>
      </c>
    </row>
    <row r="305" spans="1:20" x14ac:dyDescent="0.2">
      <c r="A305" s="28" t="s">
        <v>31</v>
      </c>
      <c r="B305" s="33"/>
      <c r="C305" s="33"/>
      <c r="F305" s="33">
        <f>F304</f>
        <v>49</v>
      </c>
      <c r="G305" s="33" t="str">
        <f>G304</f>
        <v>000-2170-00</v>
      </c>
      <c r="H305" s="36"/>
      <c r="K305" t="str">
        <f>"""GP Direct"",""Fabrikam, Inc."",""GL20000"",""DEX_ROW_ID"",""12424"""</f>
        <v>"GP Direct","Fabrikam, Inc.","GL20000","DEX_ROW_ID","12424"</v>
      </c>
      <c r="L305" s="15">
        <v>42370</v>
      </c>
      <c r="M305">
        <v>2246</v>
      </c>
      <c r="N305" t="str">
        <f>"West, Paul"</f>
        <v>West, Paul</v>
      </c>
      <c r="O305" t="str">
        <f>"10677"</f>
        <v>10677</v>
      </c>
      <c r="P305" t="str">
        <f>"Payroll Computer Checks"</f>
        <v>Payroll Computer Checks</v>
      </c>
      <c r="Q305" s="21"/>
      <c r="R305" s="16">
        <v>0</v>
      </c>
      <c r="S305" s="16">
        <v>-184.31</v>
      </c>
      <c r="T305" s="19">
        <f t="shared" si="25"/>
        <v>-184.31</v>
      </c>
    </row>
    <row r="306" spans="1:20" x14ac:dyDescent="0.2">
      <c r="A306" s="28" t="s">
        <v>31</v>
      </c>
      <c r="B306" s="33"/>
      <c r="C306" s="33"/>
      <c r="F306" s="33">
        <f>F305</f>
        <v>49</v>
      </c>
      <c r="G306" s="33" t="str">
        <f>G305</f>
        <v>000-2170-00</v>
      </c>
      <c r="H306" s="36"/>
      <c r="K306" t="str">
        <f>"""GP Direct"",""Fabrikam, Inc."",""GL20000"",""DEX_ROW_ID"",""12433"""</f>
        <v>"GP Direct","Fabrikam, Inc.","GL20000","DEX_ROW_ID","12433"</v>
      </c>
      <c r="L306" s="15">
        <v>42370</v>
      </c>
      <c r="M306">
        <v>2247</v>
      </c>
      <c r="N306" t="str">
        <f>"Young, Rob"</f>
        <v>Young, Rob</v>
      </c>
      <c r="O306" t="str">
        <f>"10678"</f>
        <v>10678</v>
      </c>
      <c r="P306" t="str">
        <f>"Payroll Computer Checks"</f>
        <v>Payroll Computer Checks</v>
      </c>
      <c r="Q306" s="21"/>
      <c r="R306" s="16">
        <v>0</v>
      </c>
      <c r="S306" s="16">
        <v>-146.06</v>
      </c>
      <c r="T306" s="19">
        <f t="shared" si="25"/>
        <v>-146.06</v>
      </c>
    </row>
    <row r="307" spans="1:20" x14ac:dyDescent="0.2">
      <c r="A307" s="28" t="s">
        <v>31</v>
      </c>
      <c r="B307" s="33"/>
      <c r="C307" s="33"/>
      <c r="F307" s="33">
        <f>F279</f>
        <v>49</v>
      </c>
      <c r="G307" s="33" t="str">
        <f>G279</f>
        <v>000-2170-00</v>
      </c>
      <c r="H307" s="36"/>
    </row>
    <row r="308" spans="1:20" x14ac:dyDescent="0.2">
      <c r="A308" s="28" t="s">
        <v>31</v>
      </c>
      <c r="I308" s="37" t="str">
        <f>I277&amp;"   "&amp;J277&amp;"         Total:"</f>
        <v>000-2170-00   Federal Withholding Payable         Total:</v>
      </c>
      <c r="J308" s="37"/>
      <c r="K308" s="37"/>
      <c r="L308" s="37"/>
      <c r="M308" s="37"/>
      <c r="N308" s="37"/>
      <c r="O308" s="37"/>
      <c r="P308" s="37"/>
      <c r="Q308" s="37"/>
      <c r="R308" s="37"/>
      <c r="S308" s="37"/>
      <c r="T308" s="23">
        <f t="shared" ref="T308" si="26">SUBTOTAL(9,T278:T307)</f>
        <v>-14212.300000000005</v>
      </c>
    </row>
    <row r="309" spans="1:20" x14ac:dyDescent="0.2">
      <c r="A309" s="28" t="s">
        <v>31</v>
      </c>
    </row>
    <row r="310" spans="1:20" x14ac:dyDescent="0.2">
      <c r="A310" s="28" t="s">
        <v>31</v>
      </c>
      <c r="D310" s="28" t="str">
        <f>"||""Filter"",""GL20000"",""ACTINDX"",""TRXDATE"",""1/1/2016..1/31/2016"",""ACTINDX"",""||""""Filter"""",""""GL00105"""",""""ACTINDX"""",""""ACTNUMBR_1"""",""""*"""",""""ACTNUMBR_2"""",""""*"""",""""ACTNUMBR_3"""",""""*"""","""""""","""""""","""""""","""""""","""""""","""""""","""""""","""""""","""""""","""""""","""""""","""""""","""""""","""""""""","""","""","""","""&amp;""","""","""","""","""","""","""","""","""","""","""","""","""""</f>
        <v>||"Filter","GL20000","ACTINDX","TRXDATE","1/1/2016..1/31/2016","ACTINDX","||""Filter"",""GL00105"",""ACTINDX"",""ACTNUMBR_1"",""*"",""ACTNUMBR_2"",""*"",""ACTNUMBR_3"",""*"","""","""","""","""","""","""","""","""","""","""","""","""","""",""""","","","","","","","","","","","","","","","",""</v>
      </c>
      <c r="E310" s="28" t="str">
        <f>"||""Filter"",""GL30000"",""ACTINDX"",""TRXDATE"",""1/1/2016..1/31/2016"",""ACTINDX"",""||""""Filter"""",""""GL00105"""",""""ACTINDX"""",""""ACTNUMBR_1"""",""""*"""",""""ACTNUMBR_2"""",""""*"""",""""ACTNUMBR_3"""",""""*"""","""""""","""""""","""""""","""""""","""""""","""""""","""""""","""""""","""""""","""""""","""""""","""""""","""""""","""""""""","""","""","""","""&amp;""","""","""","""","""","""","""","""","""","""","""","""","""""</f>
        <v>||"Filter","GL30000","ACTINDX","TRXDATE","1/1/2016..1/31/2016","ACTINDX","||""Filter"",""GL00105"",""ACTINDX"",""ACTNUMBR_1"",""*"",""ACTNUMBR_2"",""*"",""ACTNUMBR_3"",""*"","""","""","""","""","""","""","""","""","""","""","""","""","""",""""","","","","","","","","","","","","","","","",""</v>
      </c>
      <c r="F310" s="28">
        <v>57</v>
      </c>
      <c r="G310" s="28" t="str">
        <f>"000-2200-00"</f>
        <v>000-2200-00</v>
      </c>
      <c r="I310" s="17" t="str">
        <f>G310</f>
        <v>000-2200-00</v>
      </c>
      <c r="J310" s="17" t="str">
        <f>"Payroll Deductions Payable"</f>
        <v>Payroll Deductions Payable</v>
      </c>
      <c r="Q310" s="17"/>
      <c r="R310" s="18"/>
    </row>
    <row r="311" spans="1:20" x14ac:dyDescent="0.2">
      <c r="A311" s="28" t="s">
        <v>31</v>
      </c>
      <c r="B311" s="33"/>
      <c r="C311" s="33"/>
      <c r="F311" s="33">
        <f>F310</f>
        <v>57</v>
      </c>
      <c r="G311" s="33" t="str">
        <f>G310</f>
        <v>000-2200-00</v>
      </c>
      <c r="H311" s="36"/>
      <c r="L311" s="15"/>
      <c r="Q311" s="21"/>
      <c r="R311" s="16"/>
      <c r="S311" s="16">
        <f>IF($K311="",0,-_xll.NF($K311,"CRDTAMNT"))</f>
        <v>0</v>
      </c>
      <c r="T311" s="19">
        <f t="shared" ref="T311:T312" si="27">SUM(R311:S311)</f>
        <v>0</v>
      </c>
    </row>
    <row r="312" spans="1:20" x14ac:dyDescent="0.2">
      <c r="A312" s="28" t="s">
        <v>31</v>
      </c>
      <c r="B312" s="33"/>
      <c r="C312" s="33"/>
      <c r="F312" s="33">
        <f>F311</f>
        <v>57</v>
      </c>
      <c r="G312" s="33" t="str">
        <f>G311</f>
        <v>000-2200-00</v>
      </c>
      <c r="H312" s="36"/>
      <c r="K312" t="str">
        <f>"""GP Direct"",""Fabrikam, Inc."",""GL20000"",""DEX_ROW_ID"",""12193"""</f>
        <v>"GP Direct","Fabrikam, Inc.","GL20000","DEX_ROW_ID","12193"</v>
      </c>
      <c r="L312" s="15">
        <v>42370</v>
      </c>
      <c r="M312">
        <v>2220</v>
      </c>
      <c r="N312" t="str">
        <f>"Ackerman, Pilar"</f>
        <v>Ackerman, Pilar</v>
      </c>
      <c r="O312" t="str">
        <f>"DD000000000000000073"</f>
        <v>DD000000000000000073</v>
      </c>
      <c r="P312" t="str">
        <f>"Payroll Computer Checks"</f>
        <v>Payroll Computer Checks</v>
      </c>
      <c r="Q312" s="21"/>
      <c r="R312" s="16">
        <v>0</v>
      </c>
      <c r="S312" s="16">
        <v>-136.08000000000001</v>
      </c>
      <c r="T312" s="19">
        <f t="shared" si="27"/>
        <v>-136.08000000000001</v>
      </c>
    </row>
    <row r="313" spans="1:20" x14ac:dyDescent="0.2">
      <c r="A313" s="28" t="s">
        <v>31</v>
      </c>
      <c r="B313" s="33"/>
      <c r="C313" s="33"/>
      <c r="F313" s="33">
        <f>F312</f>
        <v>57</v>
      </c>
      <c r="G313" s="33" t="str">
        <f>G312</f>
        <v>000-2200-00</v>
      </c>
      <c r="H313" s="36"/>
      <c r="K313" t="str">
        <f>"""GP Direct"",""Fabrikam, Inc."",""GL20000"",""DEX_ROW_ID"",""12199"""</f>
        <v>"GP Direct","Fabrikam, Inc.","GL20000","DEX_ROW_ID","12199"</v>
      </c>
      <c r="L313" s="15">
        <v>42370</v>
      </c>
      <c r="M313">
        <v>2221</v>
      </c>
      <c r="N313" t="str">
        <f>"Barbariol, Angela"</f>
        <v>Barbariol, Angela</v>
      </c>
      <c r="O313" t="str">
        <f>"DD000000000000000074"</f>
        <v>DD000000000000000074</v>
      </c>
      <c r="P313" t="str">
        <f>"Payroll Computer Checks"</f>
        <v>Payroll Computer Checks</v>
      </c>
      <c r="Q313" s="21"/>
      <c r="R313" s="16">
        <v>0</v>
      </c>
      <c r="S313" s="16">
        <v>-50.26</v>
      </c>
      <c r="T313" s="19">
        <f t="shared" ref="T313:T339" si="28">SUM(R313:S313)</f>
        <v>-50.26</v>
      </c>
    </row>
    <row r="314" spans="1:20" x14ac:dyDescent="0.2">
      <c r="A314" s="28" t="s">
        <v>31</v>
      </c>
      <c r="B314" s="33"/>
      <c r="C314" s="33"/>
      <c r="F314" s="33">
        <f>F313</f>
        <v>57</v>
      </c>
      <c r="G314" s="33" t="str">
        <f>G313</f>
        <v>000-2200-00</v>
      </c>
      <c r="H314" s="36"/>
      <c r="K314" t="str">
        <f>"""GP Direct"",""Fabrikam, Inc."",""GL20000"",""DEX_ROW_ID"",""12214"""</f>
        <v>"GP Direct","Fabrikam, Inc.","GL20000","DEX_ROW_ID","12214"</v>
      </c>
      <c r="L314" s="15">
        <v>42370</v>
      </c>
      <c r="M314">
        <v>2222</v>
      </c>
      <c r="N314" t="str">
        <f>"Barr, Adam"</f>
        <v>Barr, Adam</v>
      </c>
      <c r="O314" t="str">
        <f>"10654"</f>
        <v>10654</v>
      </c>
      <c r="P314" t="str">
        <f>"Payroll Computer Checks"</f>
        <v>Payroll Computer Checks</v>
      </c>
      <c r="Q314" s="21"/>
      <c r="R314" s="16">
        <v>0</v>
      </c>
      <c r="S314" s="16">
        <v>-72.819999999999993</v>
      </c>
      <c r="T314" s="19">
        <f t="shared" si="28"/>
        <v>-72.819999999999993</v>
      </c>
    </row>
    <row r="315" spans="1:20" x14ac:dyDescent="0.2">
      <c r="A315" s="28" t="s">
        <v>31</v>
      </c>
      <c r="B315" s="33"/>
      <c r="C315" s="33"/>
      <c r="F315" s="33">
        <f>F314</f>
        <v>57</v>
      </c>
      <c r="G315" s="33" t="str">
        <f>G314</f>
        <v>000-2200-00</v>
      </c>
      <c r="H315" s="36"/>
      <c r="K315" t="str">
        <f>"""GP Direct"",""Fabrikam, Inc."",""GL20000"",""DEX_ROW_ID"",""12219"""</f>
        <v>"GP Direct","Fabrikam, Inc.","GL20000","DEX_ROW_ID","12219"</v>
      </c>
      <c r="L315" s="15">
        <v>42370</v>
      </c>
      <c r="M315">
        <v>2223</v>
      </c>
      <c r="N315" t="str">
        <f>"Bonifaz, Luis"</f>
        <v>Bonifaz, Luis</v>
      </c>
      <c r="O315" t="str">
        <f>"DD000000000000000075"</f>
        <v>DD000000000000000075</v>
      </c>
      <c r="P315" t="str">
        <f>"Payroll Computer Checks"</f>
        <v>Payroll Computer Checks</v>
      </c>
      <c r="Q315" s="21"/>
      <c r="R315" s="16">
        <v>0</v>
      </c>
      <c r="S315" s="16">
        <v>-40.74</v>
      </c>
      <c r="T315" s="19">
        <f t="shared" si="28"/>
        <v>-40.74</v>
      </c>
    </row>
    <row r="316" spans="1:20" x14ac:dyDescent="0.2">
      <c r="A316" s="28" t="s">
        <v>31</v>
      </c>
      <c r="B316" s="33"/>
      <c r="C316" s="33"/>
      <c r="F316" s="33">
        <f>F315</f>
        <v>57</v>
      </c>
      <c r="G316" s="33" t="str">
        <f>G315</f>
        <v>000-2200-00</v>
      </c>
      <c r="H316" s="36"/>
      <c r="K316" t="str">
        <f>"""GP Direct"",""Fabrikam, Inc."",""GL20000"",""DEX_ROW_ID"",""12230"""</f>
        <v>"GP Direct","Fabrikam, Inc.","GL20000","DEX_ROW_ID","12230"</v>
      </c>
      <c r="L316" s="15">
        <v>42370</v>
      </c>
      <c r="M316">
        <v>2224</v>
      </c>
      <c r="N316" t="str">
        <f>"Buchanan, Nancy"</f>
        <v>Buchanan, Nancy</v>
      </c>
      <c r="O316" t="str">
        <f>"10655"</f>
        <v>10655</v>
      </c>
      <c r="P316" t="str">
        <f>"Payroll Computer Checks"</f>
        <v>Payroll Computer Checks</v>
      </c>
      <c r="Q316" s="21"/>
      <c r="R316" s="16">
        <v>0</v>
      </c>
      <c r="S316" s="16">
        <v>-292.5</v>
      </c>
      <c r="T316" s="19">
        <f t="shared" si="28"/>
        <v>-292.5</v>
      </c>
    </row>
    <row r="317" spans="1:20" x14ac:dyDescent="0.2">
      <c r="A317" s="28" t="s">
        <v>31</v>
      </c>
      <c r="B317" s="33"/>
      <c r="C317" s="33"/>
      <c r="F317" s="33">
        <f>F316</f>
        <v>57</v>
      </c>
      <c r="G317" s="33" t="str">
        <f>G316</f>
        <v>000-2200-00</v>
      </c>
      <c r="H317" s="36"/>
      <c r="K317" t="str">
        <f>"""GP Direct"",""Fabrikam, Inc."",""GL20000"",""DEX_ROW_ID"",""12243"""</f>
        <v>"GP Direct","Fabrikam, Inc.","GL20000","DEX_ROW_ID","12243"</v>
      </c>
      <c r="L317" s="15">
        <v>42370</v>
      </c>
      <c r="M317">
        <v>2225</v>
      </c>
      <c r="N317" t="str">
        <f>"Chen, John Y."</f>
        <v>Chen, John Y.</v>
      </c>
      <c r="O317" t="str">
        <f>"10656"</f>
        <v>10656</v>
      </c>
      <c r="P317" t="str">
        <f>"Payroll Computer Checks"</f>
        <v>Payroll Computer Checks</v>
      </c>
      <c r="Q317" s="21"/>
      <c r="R317" s="16">
        <v>0</v>
      </c>
      <c r="S317" s="16">
        <v>-25.75</v>
      </c>
      <c r="T317" s="19">
        <f t="shared" si="28"/>
        <v>-25.75</v>
      </c>
    </row>
    <row r="318" spans="1:20" x14ac:dyDescent="0.2">
      <c r="A318" s="28" t="s">
        <v>31</v>
      </c>
      <c r="B318" s="33"/>
      <c r="C318" s="33"/>
      <c r="F318" s="33">
        <f>F317</f>
        <v>57</v>
      </c>
      <c r="G318" s="33" t="str">
        <f>G317</f>
        <v>000-2200-00</v>
      </c>
      <c r="H318" s="36"/>
      <c r="K318" t="str">
        <f>"""GP Direct"",""Fabrikam, Inc."",""GL20000"",""DEX_ROW_ID"",""12249"""</f>
        <v>"GP Direct","Fabrikam, Inc.","GL20000","DEX_ROW_ID","12249"</v>
      </c>
      <c r="L318" s="15">
        <v>42370</v>
      </c>
      <c r="M318">
        <v>2226</v>
      </c>
      <c r="N318" t="str">
        <f>"Clayton, Jane"</f>
        <v>Clayton, Jane</v>
      </c>
      <c r="O318" t="str">
        <f>"10657"</f>
        <v>10657</v>
      </c>
      <c r="P318" t="str">
        <f>"Payroll Computer Checks"</f>
        <v>Payroll Computer Checks</v>
      </c>
      <c r="Q318" s="21"/>
      <c r="R318" s="16">
        <v>0</v>
      </c>
      <c r="S318" s="16">
        <v>-105.45</v>
      </c>
      <c r="T318" s="19">
        <f t="shared" si="28"/>
        <v>-105.45</v>
      </c>
    </row>
    <row r="319" spans="1:20" x14ac:dyDescent="0.2">
      <c r="A319" s="28" t="s">
        <v>31</v>
      </c>
      <c r="B319" s="33"/>
      <c r="C319" s="33"/>
      <c r="F319" s="33">
        <f>F318</f>
        <v>57</v>
      </c>
      <c r="G319" s="33" t="str">
        <f>G318</f>
        <v>000-2200-00</v>
      </c>
      <c r="H319" s="36"/>
      <c r="K319" t="str">
        <f>"""GP Direct"",""Fabrikam, Inc."",""GL20000"",""DEX_ROW_ID"",""12257"""</f>
        <v>"GP Direct","Fabrikam, Inc.","GL20000","DEX_ROW_ID","12257"</v>
      </c>
      <c r="L319" s="15">
        <v>42370</v>
      </c>
      <c r="M319">
        <v>2227</v>
      </c>
      <c r="N319" t="str">
        <f>"Delaney, Aidan"</f>
        <v>Delaney, Aidan</v>
      </c>
      <c r="O319" t="str">
        <f>"10658"</f>
        <v>10658</v>
      </c>
      <c r="P319" t="str">
        <f>"Payroll Computer Checks"</f>
        <v>Payroll Computer Checks</v>
      </c>
      <c r="Q319" s="21"/>
      <c r="R319" s="16">
        <v>0</v>
      </c>
      <c r="S319" s="16">
        <v>-125.95</v>
      </c>
      <c r="T319" s="19">
        <f t="shared" si="28"/>
        <v>-125.95</v>
      </c>
    </row>
    <row r="320" spans="1:20" x14ac:dyDescent="0.2">
      <c r="A320" s="28" t="s">
        <v>31</v>
      </c>
      <c r="B320" s="33"/>
      <c r="C320" s="33"/>
      <c r="F320" s="33">
        <f>F319</f>
        <v>57</v>
      </c>
      <c r="G320" s="33" t="str">
        <f>G319</f>
        <v>000-2200-00</v>
      </c>
      <c r="H320" s="36"/>
      <c r="K320" t="str">
        <f>"""GP Direct"",""Fabrikam, Inc."",""GL20000"",""DEX_ROW_ID"",""12270"""</f>
        <v>"GP Direct","Fabrikam, Inc.","GL20000","DEX_ROW_ID","12270"</v>
      </c>
      <c r="L320" s="15">
        <v>42370</v>
      </c>
      <c r="M320">
        <v>2228</v>
      </c>
      <c r="N320" t="str">
        <f>"Diaz, Brenda"</f>
        <v>Diaz, Brenda</v>
      </c>
      <c r="O320" t="str">
        <f>"10659"</f>
        <v>10659</v>
      </c>
      <c r="P320" t="str">
        <f>"Payroll Computer Checks"</f>
        <v>Payroll Computer Checks</v>
      </c>
      <c r="Q320" s="21"/>
      <c r="R320" s="16">
        <v>0</v>
      </c>
      <c r="S320" s="16">
        <v>-61.46</v>
      </c>
      <c r="T320" s="19">
        <f t="shared" si="28"/>
        <v>-61.46</v>
      </c>
    </row>
    <row r="321" spans="1:20" x14ac:dyDescent="0.2">
      <c r="A321" s="28" t="s">
        <v>31</v>
      </c>
      <c r="B321" s="33"/>
      <c r="C321" s="33"/>
      <c r="F321" s="33">
        <f>F320</f>
        <v>57</v>
      </c>
      <c r="G321" s="33" t="str">
        <f>G320</f>
        <v>000-2200-00</v>
      </c>
      <c r="H321" s="36"/>
      <c r="K321" t="str">
        <f>"""GP Direct"",""Fabrikam, Inc."",""GL20000"",""DEX_ROW_ID"",""12272"""</f>
        <v>"GP Direct","Fabrikam, Inc.","GL20000","DEX_ROW_ID","12272"</v>
      </c>
      <c r="L321" s="15">
        <v>42370</v>
      </c>
      <c r="M321">
        <v>2229</v>
      </c>
      <c r="N321" t="str">
        <f>"Doyle, Jenny"</f>
        <v>Doyle, Jenny</v>
      </c>
      <c r="O321" t="str">
        <f>"10660"</f>
        <v>10660</v>
      </c>
      <c r="P321" t="str">
        <f>"Payroll Computer Checks"</f>
        <v>Payroll Computer Checks</v>
      </c>
      <c r="Q321" s="21"/>
      <c r="R321" s="16">
        <v>0</v>
      </c>
      <c r="S321" s="16">
        <v>-31.73</v>
      </c>
      <c r="T321" s="19">
        <f t="shared" si="28"/>
        <v>-31.73</v>
      </c>
    </row>
    <row r="322" spans="1:20" x14ac:dyDescent="0.2">
      <c r="A322" s="28" t="s">
        <v>31</v>
      </c>
      <c r="B322" s="33"/>
      <c r="C322" s="33"/>
      <c r="F322" s="33">
        <f>F321</f>
        <v>57</v>
      </c>
      <c r="G322" s="33" t="str">
        <f>G321</f>
        <v>000-2200-00</v>
      </c>
      <c r="H322" s="36"/>
      <c r="K322" t="str">
        <f>"""GP Direct"",""Fabrikam, Inc."",""GL20000"",""DEX_ROW_ID"",""12280"""</f>
        <v>"GP Direct","Fabrikam, Inc.","GL20000","DEX_ROW_ID","12280"</v>
      </c>
      <c r="L322" s="15">
        <v>42370</v>
      </c>
      <c r="M322">
        <v>2230</v>
      </c>
      <c r="N322" t="str">
        <f>"Erickson, Gregory J."</f>
        <v>Erickson, Gregory J.</v>
      </c>
      <c r="O322" t="str">
        <f>"10661"</f>
        <v>10661</v>
      </c>
      <c r="P322" t="str">
        <f>"Payroll Computer Checks"</f>
        <v>Payroll Computer Checks</v>
      </c>
      <c r="Q322" s="21"/>
      <c r="R322" s="16">
        <v>0</v>
      </c>
      <c r="S322" s="16">
        <v>-201.5</v>
      </c>
      <c r="T322" s="19">
        <f t="shared" si="28"/>
        <v>-201.5</v>
      </c>
    </row>
    <row r="323" spans="1:20" x14ac:dyDescent="0.2">
      <c r="A323" s="28" t="s">
        <v>31</v>
      </c>
      <c r="B323" s="33"/>
      <c r="C323" s="33"/>
      <c r="F323" s="33">
        <f>F322</f>
        <v>57</v>
      </c>
      <c r="G323" s="33" t="str">
        <f>G322</f>
        <v>000-2200-00</v>
      </c>
      <c r="H323" s="36"/>
      <c r="K323" t="str">
        <f>"""GP Direct"",""Fabrikam, Inc."",""GL20000"",""DEX_ROW_ID"",""12289"""</f>
        <v>"GP Direct","Fabrikam, Inc.","GL20000","DEX_ROW_ID","12289"</v>
      </c>
      <c r="L323" s="15">
        <v>42370</v>
      </c>
      <c r="M323">
        <v>2231</v>
      </c>
      <c r="N323" t="str">
        <f>"Flood, Kathie"</f>
        <v>Flood, Kathie</v>
      </c>
      <c r="O323" t="str">
        <f>"10662"</f>
        <v>10662</v>
      </c>
      <c r="P323" t="str">
        <f>"Payroll Computer Checks"</f>
        <v>Payroll Computer Checks</v>
      </c>
      <c r="Q323" s="21"/>
      <c r="R323" s="16">
        <v>0</v>
      </c>
      <c r="S323" s="16">
        <v>-138.58000000000001</v>
      </c>
      <c r="T323" s="19">
        <f t="shared" si="28"/>
        <v>-138.58000000000001</v>
      </c>
    </row>
    <row r="324" spans="1:20" x14ac:dyDescent="0.2">
      <c r="A324" s="28" t="s">
        <v>31</v>
      </c>
      <c r="B324" s="33"/>
      <c r="C324" s="33"/>
      <c r="F324" s="33">
        <f>F323</f>
        <v>57</v>
      </c>
      <c r="G324" s="33" t="str">
        <f>G323</f>
        <v>000-2200-00</v>
      </c>
      <c r="H324" s="36"/>
      <c r="K324" t="str">
        <f>"""GP Direct"",""Fabrikam, Inc."",""GL20000"",""DEX_ROW_ID"",""12299"""</f>
        <v>"GP Direct","Fabrikam, Inc.","GL20000","DEX_ROW_ID","12299"</v>
      </c>
      <c r="L324" s="15">
        <v>42370</v>
      </c>
      <c r="M324">
        <v>2232</v>
      </c>
      <c r="N324" t="str">
        <f>"Harui, Roger"</f>
        <v>Harui, Roger</v>
      </c>
      <c r="O324" t="str">
        <f>"10663"</f>
        <v>10663</v>
      </c>
      <c r="P324" t="str">
        <f>"Payroll Computer Checks"</f>
        <v>Payroll Computer Checks</v>
      </c>
      <c r="Q324" s="21"/>
      <c r="R324" s="16">
        <v>0</v>
      </c>
      <c r="S324" s="16">
        <v>-63.82</v>
      </c>
      <c r="T324" s="19">
        <f t="shared" si="28"/>
        <v>-63.82</v>
      </c>
    </row>
    <row r="325" spans="1:20" x14ac:dyDescent="0.2">
      <c r="A325" s="28" t="s">
        <v>31</v>
      </c>
      <c r="B325" s="33"/>
      <c r="C325" s="33"/>
      <c r="F325" s="33">
        <f>F324</f>
        <v>57</v>
      </c>
      <c r="G325" s="33" t="str">
        <f>G324</f>
        <v>000-2200-00</v>
      </c>
      <c r="H325" s="36"/>
      <c r="K325" t="str">
        <f>"""GP Direct"",""Fabrikam, Inc."",""GL20000"",""DEX_ROW_ID"",""12309"""</f>
        <v>"GP Direct","Fabrikam, Inc.","GL20000","DEX_ROW_ID","12309"</v>
      </c>
      <c r="L325" s="15">
        <v>42370</v>
      </c>
      <c r="M325">
        <v>2233</v>
      </c>
      <c r="N325" t="str">
        <f>"Jamison, Jay"</f>
        <v>Jamison, Jay</v>
      </c>
      <c r="O325" t="str">
        <f>"10664"</f>
        <v>10664</v>
      </c>
      <c r="P325" t="str">
        <f>"Payroll Computer Checks"</f>
        <v>Payroll Computer Checks</v>
      </c>
      <c r="Q325" s="21"/>
      <c r="R325" s="16">
        <v>0</v>
      </c>
      <c r="S325" s="16">
        <v>-45.63</v>
      </c>
      <c r="T325" s="19">
        <f t="shared" si="28"/>
        <v>-45.63</v>
      </c>
    </row>
    <row r="326" spans="1:20" x14ac:dyDescent="0.2">
      <c r="A326" s="28" t="s">
        <v>31</v>
      </c>
      <c r="B326" s="33"/>
      <c r="C326" s="33"/>
      <c r="F326" s="33">
        <f>F325</f>
        <v>57</v>
      </c>
      <c r="G326" s="33" t="str">
        <f>G325</f>
        <v>000-2200-00</v>
      </c>
      <c r="H326" s="36"/>
      <c r="K326" t="str">
        <f>"""GP Direct"",""Fabrikam, Inc."",""GL20000"",""DEX_ROW_ID"",""12320"""</f>
        <v>"GP Direct","Fabrikam, Inc.","GL20000","DEX_ROW_ID","12320"</v>
      </c>
      <c r="L326" s="15">
        <v>42370</v>
      </c>
      <c r="M326">
        <v>2234</v>
      </c>
      <c r="N326" t="str">
        <f>"Kahn, Wendy B."</f>
        <v>Kahn, Wendy B.</v>
      </c>
      <c r="O326" t="str">
        <f>"10665"</f>
        <v>10665</v>
      </c>
      <c r="P326" t="str">
        <f>"Payroll Computer Checks"</f>
        <v>Payroll Computer Checks</v>
      </c>
      <c r="Q326" s="21"/>
      <c r="R326" s="16">
        <v>0</v>
      </c>
      <c r="S326" s="16">
        <v>-25.54</v>
      </c>
      <c r="T326" s="19">
        <f t="shared" si="28"/>
        <v>-25.54</v>
      </c>
    </row>
    <row r="327" spans="1:20" x14ac:dyDescent="0.2">
      <c r="A327" s="28" t="s">
        <v>31</v>
      </c>
      <c r="B327" s="33"/>
      <c r="C327" s="33"/>
      <c r="F327" s="33">
        <f>F326</f>
        <v>57</v>
      </c>
      <c r="G327" s="33" t="str">
        <f>G326</f>
        <v>000-2200-00</v>
      </c>
      <c r="H327" s="36"/>
      <c r="K327" t="str">
        <f>"""GP Direct"",""Fabrikam, Inc."",""GL20000"",""DEX_ROW_ID"",""12327"""</f>
        <v>"GP Direct","Fabrikam, Inc.","GL20000","DEX_ROW_ID","12327"</v>
      </c>
      <c r="L327" s="15">
        <v>42370</v>
      </c>
      <c r="M327">
        <v>2235</v>
      </c>
      <c r="N327" t="str">
        <f>"Kennedy, Kevin"</f>
        <v>Kennedy, Kevin</v>
      </c>
      <c r="O327" t="str">
        <f>"10666"</f>
        <v>10666</v>
      </c>
      <c r="P327" t="str">
        <f>"Payroll Computer Checks"</f>
        <v>Payroll Computer Checks</v>
      </c>
      <c r="Q327" s="21"/>
      <c r="R327" s="16">
        <v>0</v>
      </c>
      <c r="S327" s="16">
        <v>-103.32</v>
      </c>
      <c r="T327" s="19">
        <f t="shared" si="28"/>
        <v>-103.32</v>
      </c>
    </row>
    <row r="328" spans="1:20" x14ac:dyDescent="0.2">
      <c r="A328" s="28" t="s">
        <v>31</v>
      </c>
      <c r="B328" s="33"/>
      <c r="C328" s="33"/>
      <c r="F328" s="33">
        <f>F327</f>
        <v>57</v>
      </c>
      <c r="G328" s="33" t="str">
        <f>G327</f>
        <v>000-2200-00</v>
      </c>
      <c r="H328" s="36"/>
      <c r="K328" t="str">
        <f>"""GP Direct"",""Fabrikam, Inc."",""GL20000"",""DEX_ROW_ID"",""12336"""</f>
        <v>"GP Direct","Fabrikam, Inc.","GL20000","DEX_ROW_ID","12336"</v>
      </c>
      <c r="L328" s="15">
        <v>42370</v>
      </c>
      <c r="M328">
        <v>2236</v>
      </c>
      <c r="N328" t="str">
        <f>"Levy, Steven B."</f>
        <v>Levy, Steven B.</v>
      </c>
      <c r="O328" t="str">
        <f>"10667"</f>
        <v>10667</v>
      </c>
      <c r="P328" t="str">
        <f>"Payroll Computer Checks"</f>
        <v>Payroll Computer Checks</v>
      </c>
      <c r="Q328" s="21"/>
      <c r="R328" s="16">
        <v>0</v>
      </c>
      <c r="S328" s="16">
        <v>-143.47</v>
      </c>
      <c r="T328" s="19">
        <f t="shared" si="28"/>
        <v>-143.47</v>
      </c>
    </row>
    <row r="329" spans="1:20" x14ac:dyDescent="0.2">
      <c r="A329" s="28" t="s">
        <v>31</v>
      </c>
      <c r="B329" s="33"/>
      <c r="C329" s="33"/>
      <c r="F329" s="33">
        <f>F328</f>
        <v>57</v>
      </c>
      <c r="G329" s="33" t="str">
        <f>G328</f>
        <v>000-2200-00</v>
      </c>
      <c r="H329" s="36"/>
      <c r="K329" t="str">
        <f>"""GP Direct"",""Fabrikam, Inc."",""GL20000"",""DEX_ROW_ID"",""12346"""</f>
        <v>"GP Direct","Fabrikam, Inc.","GL20000","DEX_ROW_ID","12346"</v>
      </c>
      <c r="L329" s="15">
        <v>42370</v>
      </c>
      <c r="M329">
        <v>2237</v>
      </c>
      <c r="N329" t="str">
        <f>"Lyon, Robert"</f>
        <v>Lyon, Robert</v>
      </c>
      <c r="O329" t="str">
        <f>"10668"</f>
        <v>10668</v>
      </c>
      <c r="P329" t="str">
        <f>"Payroll Computer Checks"</f>
        <v>Payroll Computer Checks</v>
      </c>
      <c r="Q329" s="21"/>
      <c r="R329" s="16">
        <v>0</v>
      </c>
      <c r="S329" s="16">
        <v>-26.79</v>
      </c>
      <c r="T329" s="19">
        <f t="shared" si="28"/>
        <v>-26.79</v>
      </c>
    </row>
    <row r="330" spans="1:20" x14ac:dyDescent="0.2">
      <c r="A330" s="28" t="s">
        <v>31</v>
      </c>
      <c r="B330" s="33"/>
      <c r="C330" s="33"/>
      <c r="F330" s="33">
        <f>F329</f>
        <v>57</v>
      </c>
      <c r="G330" s="33" t="str">
        <f>G329</f>
        <v>000-2200-00</v>
      </c>
      <c r="H330" s="36"/>
      <c r="K330" t="str">
        <f>"""GP Direct"",""Fabrikam, Inc."",""GL20000"",""DEX_ROW_ID"",""12357"""</f>
        <v>"GP Direct","Fabrikam, Inc.","GL20000","DEX_ROW_ID","12357"</v>
      </c>
      <c r="L330" s="15">
        <v>42370</v>
      </c>
      <c r="M330">
        <v>2238</v>
      </c>
      <c r="N330" t="str">
        <f>"Lysaker, Jenny"</f>
        <v>Lysaker, Jenny</v>
      </c>
      <c r="O330" t="str">
        <f>"10669"</f>
        <v>10669</v>
      </c>
      <c r="P330" t="str">
        <f>"Payroll Computer Checks"</f>
        <v>Payroll Computer Checks</v>
      </c>
      <c r="Q330" s="21"/>
      <c r="R330" s="16">
        <v>0</v>
      </c>
      <c r="S330" s="16">
        <v>-115.39</v>
      </c>
      <c r="T330" s="19">
        <f t="shared" si="28"/>
        <v>-115.39</v>
      </c>
    </row>
    <row r="331" spans="1:20" x14ac:dyDescent="0.2">
      <c r="A331" s="28" t="s">
        <v>31</v>
      </c>
      <c r="B331" s="33"/>
      <c r="C331" s="33"/>
      <c r="F331" s="33">
        <f>F330</f>
        <v>57</v>
      </c>
      <c r="G331" s="33" t="str">
        <f>G330</f>
        <v>000-2200-00</v>
      </c>
      <c r="H331" s="36"/>
      <c r="K331" t="str">
        <f>"""GP Direct"",""Fabrikam, Inc."",""GL20000"",""DEX_ROW_ID"",""12361"""</f>
        <v>"GP Direct","Fabrikam, Inc.","GL20000","DEX_ROW_ID","12361"</v>
      </c>
      <c r="L331" s="15">
        <v>42370</v>
      </c>
      <c r="M331">
        <v>2239</v>
      </c>
      <c r="N331" t="str">
        <f>"Martinez, Sandra I."</f>
        <v>Martinez, Sandra I.</v>
      </c>
      <c r="O331" t="str">
        <f>"10670"</f>
        <v>10670</v>
      </c>
      <c r="P331" t="str">
        <f>"Payroll Computer Checks"</f>
        <v>Payroll Computer Checks</v>
      </c>
      <c r="Q331" s="21"/>
      <c r="R331" s="16">
        <v>0</v>
      </c>
      <c r="S331" s="16">
        <v>-31.69</v>
      </c>
      <c r="T331" s="19">
        <f t="shared" si="28"/>
        <v>-31.69</v>
      </c>
    </row>
    <row r="332" spans="1:20" x14ac:dyDescent="0.2">
      <c r="A332" s="28" t="s">
        <v>31</v>
      </c>
      <c r="B332" s="33"/>
      <c r="C332" s="33"/>
      <c r="F332" s="33">
        <f>F331</f>
        <v>57</v>
      </c>
      <c r="G332" s="33" t="str">
        <f>G331</f>
        <v>000-2200-00</v>
      </c>
      <c r="H332" s="36"/>
      <c r="K332" t="str">
        <f>"""GP Direct"",""Fabrikam, Inc."",""GL20000"",""DEX_ROW_ID"",""12375"""</f>
        <v>"GP Direct","Fabrikam, Inc.","GL20000","DEX_ROW_ID","12375"</v>
      </c>
      <c r="L332" s="15">
        <v>42370</v>
      </c>
      <c r="M332">
        <v>2240</v>
      </c>
      <c r="N332" t="str">
        <f>"Mughal, Salmon"</f>
        <v>Mughal, Salmon</v>
      </c>
      <c r="O332" t="str">
        <f>"10671"</f>
        <v>10671</v>
      </c>
      <c r="P332" t="str">
        <f>"Payroll Computer Checks"</f>
        <v>Payroll Computer Checks</v>
      </c>
      <c r="Q332" s="21"/>
      <c r="R332" s="16">
        <v>0</v>
      </c>
      <c r="S332" s="16">
        <v>-26.57</v>
      </c>
      <c r="T332" s="19">
        <f t="shared" si="28"/>
        <v>-26.57</v>
      </c>
    </row>
    <row r="333" spans="1:20" x14ac:dyDescent="0.2">
      <c r="A333" s="28" t="s">
        <v>31</v>
      </c>
      <c r="B333" s="33"/>
      <c r="C333" s="33"/>
      <c r="F333" s="33">
        <f>F332</f>
        <v>57</v>
      </c>
      <c r="G333" s="33" t="str">
        <f>G332</f>
        <v>000-2200-00</v>
      </c>
      <c r="H333" s="36"/>
      <c r="K333" t="str">
        <f>"""GP Direct"",""Fabrikam, Inc."",""GL20000"",""DEX_ROW_ID"",""12378"""</f>
        <v>"GP Direct","Fabrikam, Inc.","GL20000","DEX_ROW_ID","12378"</v>
      </c>
      <c r="L333" s="15">
        <v>42370</v>
      </c>
      <c r="M333">
        <v>2241</v>
      </c>
      <c r="N333" t="str">
        <f>"Nagata, Suanne"</f>
        <v>Nagata, Suanne</v>
      </c>
      <c r="O333" t="str">
        <f>"10672"</f>
        <v>10672</v>
      </c>
      <c r="P333" t="str">
        <f>"Payroll Computer Checks"</f>
        <v>Payroll Computer Checks</v>
      </c>
      <c r="Q333" s="21"/>
      <c r="R333" s="16">
        <v>0</v>
      </c>
      <c r="S333" s="16">
        <v>-30.46</v>
      </c>
      <c r="T333" s="19">
        <f t="shared" si="28"/>
        <v>-30.46</v>
      </c>
    </row>
    <row r="334" spans="1:20" x14ac:dyDescent="0.2">
      <c r="A334" s="28" t="s">
        <v>31</v>
      </c>
      <c r="B334" s="33"/>
      <c r="C334" s="33"/>
      <c r="F334" s="33">
        <f>F333</f>
        <v>57</v>
      </c>
      <c r="G334" s="33" t="str">
        <f>G333</f>
        <v>000-2200-00</v>
      </c>
      <c r="H334" s="36"/>
      <c r="K334" t="str">
        <f>"""GP Direct"",""Fabrikam, Inc."",""GL20000"",""DEX_ROW_ID"",""12395"""</f>
        <v>"GP Direct","Fabrikam, Inc.","GL20000","DEX_ROW_ID","12395"</v>
      </c>
      <c r="L334" s="15">
        <v>42370</v>
      </c>
      <c r="M334">
        <v>2242</v>
      </c>
      <c r="N334" t="str">
        <f>"Reeves, Randy"</f>
        <v>Reeves, Randy</v>
      </c>
      <c r="O334" t="str">
        <f>"10673"</f>
        <v>10673</v>
      </c>
      <c r="P334" t="str">
        <f>"Payroll Computer Checks"</f>
        <v>Payroll Computer Checks</v>
      </c>
      <c r="Q334" s="21"/>
      <c r="R334" s="16">
        <v>0</v>
      </c>
      <c r="S334" s="16">
        <v>-37.57</v>
      </c>
      <c r="T334" s="19">
        <f t="shared" si="28"/>
        <v>-37.57</v>
      </c>
    </row>
    <row r="335" spans="1:20" x14ac:dyDescent="0.2">
      <c r="A335" s="28" t="s">
        <v>31</v>
      </c>
      <c r="B335" s="33"/>
      <c r="C335" s="33"/>
      <c r="F335" s="33">
        <f>F334</f>
        <v>57</v>
      </c>
      <c r="G335" s="33" t="str">
        <f>G334</f>
        <v>000-2200-00</v>
      </c>
      <c r="H335" s="36"/>
      <c r="K335" t="str">
        <f>"""GP Direct"",""Fabrikam, Inc."",""GL20000"",""DEX_ROW_ID"",""12403"""</f>
        <v>"GP Direct","Fabrikam, Inc.","GL20000","DEX_ROW_ID","12403"</v>
      </c>
      <c r="L335" s="15">
        <v>42370</v>
      </c>
      <c r="M335">
        <v>2243</v>
      </c>
      <c r="N335" t="str">
        <f>"Stewart, Jim"</f>
        <v>Stewart, Jim</v>
      </c>
      <c r="O335" t="str">
        <f>"10674"</f>
        <v>10674</v>
      </c>
      <c r="P335" t="str">
        <f>"Payroll Computer Checks"</f>
        <v>Payroll Computer Checks</v>
      </c>
      <c r="Q335" s="21"/>
      <c r="R335" s="16">
        <v>0</v>
      </c>
      <c r="S335" s="16">
        <v>-189.63</v>
      </c>
      <c r="T335" s="19">
        <f t="shared" si="28"/>
        <v>-189.63</v>
      </c>
    </row>
    <row r="336" spans="1:20" x14ac:dyDescent="0.2">
      <c r="A336" s="28" t="s">
        <v>31</v>
      </c>
      <c r="B336" s="33"/>
      <c r="C336" s="33"/>
      <c r="F336" s="33">
        <f>F335</f>
        <v>57</v>
      </c>
      <c r="G336" s="33" t="str">
        <f>G335</f>
        <v>000-2200-00</v>
      </c>
      <c r="H336" s="36"/>
      <c r="K336" t="str">
        <f>"""GP Direct"",""Fabrikam, Inc."",""GL20000"",""DEX_ROW_ID"",""12413"""</f>
        <v>"GP Direct","Fabrikam, Inc.","GL20000","DEX_ROW_ID","12413"</v>
      </c>
      <c r="L336" s="15">
        <v>42370</v>
      </c>
      <c r="M336">
        <v>2244</v>
      </c>
      <c r="N336" t="str">
        <f>"Tiano, Mike"</f>
        <v>Tiano, Mike</v>
      </c>
      <c r="O336" t="str">
        <f>"10675"</f>
        <v>10675</v>
      </c>
      <c r="P336" t="str">
        <f>"Payroll Computer Checks"</f>
        <v>Payroll Computer Checks</v>
      </c>
      <c r="Q336" s="21"/>
      <c r="R336" s="16">
        <v>0</v>
      </c>
      <c r="S336" s="16">
        <v>-41.66</v>
      </c>
      <c r="T336" s="19">
        <f t="shared" si="28"/>
        <v>-41.66</v>
      </c>
    </row>
    <row r="337" spans="1:20" x14ac:dyDescent="0.2">
      <c r="A337" s="28" t="s">
        <v>31</v>
      </c>
      <c r="B337" s="33"/>
      <c r="C337" s="33"/>
      <c r="F337" s="33">
        <f>F336</f>
        <v>57</v>
      </c>
      <c r="G337" s="33" t="str">
        <f>G336</f>
        <v>000-2200-00</v>
      </c>
      <c r="H337" s="36"/>
      <c r="K337" t="str">
        <f>"""GP Direct"",""Fabrikam, Inc."",""GL20000"",""DEX_ROW_ID"",""12417"""</f>
        <v>"GP Direct","Fabrikam, Inc.","GL20000","DEX_ROW_ID","12417"</v>
      </c>
      <c r="L337" s="15">
        <v>42370</v>
      </c>
      <c r="M337">
        <v>2245</v>
      </c>
      <c r="N337" t="str">
        <f>"Tibbott, Diane"</f>
        <v>Tibbott, Diane</v>
      </c>
      <c r="O337" t="str">
        <f>"10676"</f>
        <v>10676</v>
      </c>
      <c r="P337" t="str">
        <f>"Payroll Computer Checks"</f>
        <v>Payroll Computer Checks</v>
      </c>
      <c r="Q337" s="21"/>
      <c r="R337" s="16">
        <v>0</v>
      </c>
      <c r="S337" s="16">
        <v>-107.65</v>
      </c>
      <c r="T337" s="19">
        <f t="shared" si="28"/>
        <v>-107.65</v>
      </c>
    </row>
    <row r="338" spans="1:20" x14ac:dyDescent="0.2">
      <c r="A338" s="28" t="s">
        <v>31</v>
      </c>
      <c r="B338" s="33"/>
      <c r="C338" s="33"/>
      <c r="F338" s="33">
        <f>F337</f>
        <v>57</v>
      </c>
      <c r="G338" s="33" t="str">
        <f>G337</f>
        <v>000-2200-00</v>
      </c>
      <c r="H338" s="36"/>
      <c r="K338" t="str">
        <f>"""GP Direct"",""Fabrikam, Inc."",""GL20000"",""DEX_ROW_ID"",""12427"""</f>
        <v>"GP Direct","Fabrikam, Inc.","GL20000","DEX_ROW_ID","12427"</v>
      </c>
      <c r="L338" s="15">
        <v>42370</v>
      </c>
      <c r="M338">
        <v>2246</v>
      </c>
      <c r="N338" t="str">
        <f>"West, Paul"</f>
        <v>West, Paul</v>
      </c>
      <c r="O338" t="str">
        <f>"10677"</f>
        <v>10677</v>
      </c>
      <c r="P338" t="str">
        <f>"Payroll Computer Checks"</f>
        <v>Payroll Computer Checks</v>
      </c>
      <c r="Q338" s="21"/>
      <c r="R338" s="16">
        <v>0</v>
      </c>
      <c r="S338" s="16">
        <v>-82.95</v>
      </c>
      <c r="T338" s="19">
        <f t="shared" si="28"/>
        <v>-82.95</v>
      </c>
    </row>
    <row r="339" spans="1:20" x14ac:dyDescent="0.2">
      <c r="A339" s="28" t="s">
        <v>31</v>
      </c>
      <c r="B339" s="33"/>
      <c r="C339" s="33"/>
      <c r="F339" s="33">
        <f>F338</f>
        <v>57</v>
      </c>
      <c r="G339" s="33" t="str">
        <f>G338</f>
        <v>000-2200-00</v>
      </c>
      <c r="H339" s="36"/>
      <c r="K339" t="str">
        <f>"""GP Direct"",""Fabrikam, Inc."",""GL20000"",""DEX_ROW_ID"",""12438"""</f>
        <v>"GP Direct","Fabrikam, Inc.","GL20000","DEX_ROW_ID","12438"</v>
      </c>
      <c r="L339" s="15">
        <v>42370</v>
      </c>
      <c r="M339">
        <v>2247</v>
      </c>
      <c r="N339" t="str">
        <f>"Young, Rob"</f>
        <v>Young, Rob</v>
      </c>
      <c r="O339" t="str">
        <f>"10678"</f>
        <v>10678</v>
      </c>
      <c r="P339" t="str">
        <f>"Payroll Computer Checks"</f>
        <v>Payroll Computer Checks</v>
      </c>
      <c r="Q339" s="21"/>
      <c r="R339" s="16">
        <v>0</v>
      </c>
      <c r="S339" s="16">
        <v>-119.58</v>
      </c>
      <c r="T339" s="19">
        <f t="shared" si="28"/>
        <v>-119.58</v>
      </c>
    </row>
    <row r="340" spans="1:20" x14ac:dyDescent="0.2">
      <c r="A340" s="28" t="s">
        <v>31</v>
      </c>
      <c r="B340" s="33"/>
      <c r="C340" s="33"/>
      <c r="F340" s="33">
        <f>F312</f>
        <v>57</v>
      </c>
      <c r="G340" s="33" t="str">
        <f>G312</f>
        <v>000-2200-00</v>
      </c>
      <c r="H340" s="36"/>
    </row>
    <row r="341" spans="1:20" x14ac:dyDescent="0.2">
      <c r="A341" s="28" t="s">
        <v>31</v>
      </c>
      <c r="I341" s="37" t="str">
        <f>I310&amp;"   "&amp;J310&amp;"         Total:"</f>
        <v>000-2200-00   Payroll Deductions Payable         Total:</v>
      </c>
      <c r="J341" s="37"/>
      <c r="K341" s="37"/>
      <c r="L341" s="37"/>
      <c r="M341" s="37"/>
      <c r="N341" s="37"/>
      <c r="O341" s="37"/>
      <c r="P341" s="37"/>
      <c r="Q341" s="37"/>
      <c r="R341" s="37"/>
      <c r="S341" s="37"/>
      <c r="T341" s="23">
        <f t="shared" ref="T341" si="29">SUBTOTAL(9,T311:T340)</f>
        <v>-2474.54</v>
      </c>
    </row>
    <row r="342" spans="1:20" x14ac:dyDescent="0.2">
      <c r="A342" s="28" t="s">
        <v>31</v>
      </c>
    </row>
    <row r="343" spans="1:20" x14ac:dyDescent="0.2">
      <c r="A343" s="28" t="s">
        <v>31</v>
      </c>
      <c r="D343" s="28" t="str">
        <f>"||""Filter"",""GL20000"",""ACTINDX"",""TRXDATE"",""1/1/2016..1/31/2016"",""ACTINDX"",""||""""Filter"""",""""GL00105"""",""""ACTINDX"""",""""ACTNUMBR_1"""",""""*"""",""""ACTNUMBR_2"""",""""*"""",""""ACTNUMBR_3"""",""""*"""","""""""","""""""","""""""","""""""","""""""","""""""","""""""","""""""","""""""","""""""","""""""","""""""","""""""","""""""""","""","""","""","""&amp;""","""","""","""","""","""","""","""","""","""","""","""","""""</f>
        <v>||"Filter","GL20000","ACTINDX","TRXDATE","1/1/2016..1/31/2016","ACTINDX","||""Filter"",""GL00105"",""ACTINDX"",""ACTNUMBR_1"",""*"",""ACTNUMBR_2"",""*"",""ACTNUMBR_3"",""*"","""","""","""","""","""","""","""","""","""","""","""","""","""",""""","","","","","","","","","","","","","","","",""</v>
      </c>
      <c r="E343" s="28" t="str">
        <f>"||""Filter"",""GL30000"",""ACTINDX"",""TRXDATE"",""1/1/2016..1/31/2016"",""ACTINDX"",""||""""Filter"""",""""GL00105"""",""""ACTINDX"""",""""ACTNUMBR_1"""",""""*"""",""""ACTNUMBR_2"""",""""*"""",""""ACTNUMBR_3"""",""""*"""","""""""","""""""","""""""","""""""","""""""","""""""","""""""","""""""","""""""","""""""","""""""","""""""","""""""","""""""""","""","""","""","""&amp;""","""","""","""","""","""","""","""","""","""","""","""","""""</f>
        <v>||"Filter","GL30000","ACTINDX","TRXDATE","1/1/2016..1/31/2016","ACTINDX","||""Filter"",""GL00105"",""ACTINDX"",""ACTNUMBR_1"",""*"",""ACTNUMBR_2"",""*"",""ACTNUMBR_3"",""*"","""","""","""","""","""","""","""","""","""","""","""","""","""",""""","","","","","","","","","","","","","","","",""</v>
      </c>
      <c r="F343" s="28">
        <v>78</v>
      </c>
      <c r="G343" s="28" t="str">
        <f>"000-2300-00"</f>
        <v>000-2300-00</v>
      </c>
      <c r="I343" s="17" t="str">
        <f>G343</f>
        <v>000-2300-00</v>
      </c>
      <c r="J343" s="17" t="str">
        <f>"IL State Sales Tax Payable"</f>
        <v>IL State Sales Tax Payable</v>
      </c>
      <c r="Q343" s="17"/>
      <c r="R343" s="18"/>
    </row>
    <row r="344" spans="1:20" x14ac:dyDescent="0.2">
      <c r="A344" s="28" t="s">
        <v>31</v>
      </c>
      <c r="B344" s="33"/>
      <c r="C344" s="33"/>
      <c r="F344" s="33">
        <f>F343</f>
        <v>78</v>
      </c>
      <c r="G344" s="33" t="str">
        <f>G343</f>
        <v>000-2300-00</v>
      </c>
      <c r="H344" s="36"/>
      <c r="L344" s="15"/>
      <c r="Q344" s="21"/>
      <c r="R344" s="16"/>
      <c r="S344" s="16">
        <f>IF($K344="",0,-_xll.NF($K344,"CRDTAMNT"))</f>
        <v>0</v>
      </c>
      <c r="T344" s="19">
        <f t="shared" ref="T344:T345" si="30">SUM(R344:S344)</f>
        <v>0</v>
      </c>
    </row>
    <row r="345" spans="1:20" x14ac:dyDescent="0.2">
      <c r="A345" s="28" t="s">
        <v>31</v>
      </c>
      <c r="B345" s="33"/>
      <c r="C345" s="33"/>
      <c r="F345" s="33">
        <f>F344</f>
        <v>78</v>
      </c>
      <c r="G345" s="33" t="str">
        <f>G344</f>
        <v>000-2300-00</v>
      </c>
      <c r="H345" s="36"/>
      <c r="K345" t="str">
        <f>"""GP Direct"",""Fabrikam, Inc."",""GL20000"",""DEX_ROW_ID"",""3933"""</f>
        <v>"GP Direct","Fabrikam, Inc.","GL20000","DEX_ROW_ID","3933"</v>
      </c>
      <c r="L345" s="15">
        <v>42377</v>
      </c>
      <c r="M345">
        <v>973</v>
      </c>
      <c r="N345" t="str">
        <f>"Aaron Fitz Electrical"</f>
        <v>Aaron Fitz Electrical</v>
      </c>
      <c r="O345" t="str">
        <f>"STDINV2011"</f>
        <v>STDINV2011</v>
      </c>
      <c r="P345" t="str">
        <f>"Sales Transaction Entry"</f>
        <v>Sales Transaction Entry</v>
      </c>
      <c r="Q345" s="21" t="str">
        <f>"Tax"</f>
        <v>Tax</v>
      </c>
      <c r="R345" s="16">
        <v>0</v>
      </c>
      <c r="S345" s="16">
        <v>-2.99</v>
      </c>
      <c r="T345" s="19">
        <f t="shared" si="30"/>
        <v>-2.99</v>
      </c>
    </row>
    <row r="346" spans="1:20" x14ac:dyDescent="0.2">
      <c r="A346" s="28" t="s">
        <v>31</v>
      </c>
      <c r="B346" s="33"/>
      <c r="C346" s="33"/>
      <c r="F346" s="33">
        <f>F345</f>
        <v>78</v>
      </c>
      <c r="G346" s="33" t="str">
        <f>G345</f>
        <v>000-2300-00</v>
      </c>
      <c r="H346" s="36"/>
      <c r="K346" t="str">
        <f>"""GP Direct"",""Fabrikam, Inc."",""GL20000"",""DEX_ROW_ID"",""3943"""</f>
        <v>"GP Direct","Fabrikam, Inc.","GL20000","DEX_ROW_ID","3943"</v>
      </c>
      <c r="L346" s="15">
        <v>42377</v>
      </c>
      <c r="M346">
        <v>975</v>
      </c>
      <c r="N346" t="str">
        <f>"Aaron Fitz Electrical"</f>
        <v>Aaron Fitz Electrical</v>
      </c>
      <c r="O346" t="str">
        <f>"STDINV2012"</f>
        <v>STDINV2012</v>
      </c>
      <c r="P346" t="str">
        <f>"Sales Transaction Entry"</f>
        <v>Sales Transaction Entry</v>
      </c>
      <c r="Q346" s="21" t="str">
        <f>"Tax"</f>
        <v>Tax</v>
      </c>
      <c r="R346" s="16">
        <v>0</v>
      </c>
      <c r="S346" s="16">
        <v>-2.99</v>
      </c>
      <c r="T346" s="19">
        <f t="shared" ref="T346:T364" si="31">SUM(R346:S346)</f>
        <v>-2.99</v>
      </c>
    </row>
    <row r="347" spans="1:20" x14ac:dyDescent="0.2">
      <c r="A347" s="28" t="s">
        <v>31</v>
      </c>
      <c r="B347" s="33"/>
      <c r="C347" s="33"/>
      <c r="F347" s="33">
        <f>F346</f>
        <v>78</v>
      </c>
      <c r="G347" s="33" t="str">
        <f>G346</f>
        <v>000-2300-00</v>
      </c>
      <c r="H347" s="36"/>
      <c r="K347" t="str">
        <f>"""GP Direct"",""Fabrikam, Inc."",""GL20000"",""DEX_ROW_ID"",""3953"""</f>
        <v>"GP Direct","Fabrikam, Inc.","GL20000","DEX_ROW_ID","3953"</v>
      </c>
      <c r="L347" s="15">
        <v>42378</v>
      </c>
      <c r="M347">
        <v>977</v>
      </c>
      <c r="N347" t="str">
        <f>"ISN Industries"</f>
        <v>ISN Industries</v>
      </c>
      <c r="O347" t="str">
        <f>"STDINV2013"</f>
        <v>STDINV2013</v>
      </c>
      <c r="P347" t="str">
        <f>"Sales Transaction Entry"</f>
        <v>Sales Transaction Entry</v>
      </c>
      <c r="Q347" s="21" t="str">
        <f>"Tax"</f>
        <v>Tax</v>
      </c>
      <c r="R347" s="16">
        <v>0</v>
      </c>
      <c r="S347" s="16">
        <v>-81</v>
      </c>
      <c r="T347" s="19">
        <f t="shared" si="31"/>
        <v>-81</v>
      </c>
    </row>
    <row r="348" spans="1:20" x14ac:dyDescent="0.2">
      <c r="A348" s="28" t="s">
        <v>31</v>
      </c>
      <c r="B348" s="33"/>
      <c r="C348" s="33"/>
      <c r="F348" s="33">
        <f>F347</f>
        <v>78</v>
      </c>
      <c r="G348" s="33" t="str">
        <f>G347</f>
        <v>000-2300-00</v>
      </c>
      <c r="H348" s="36"/>
      <c r="K348" t="str">
        <f>"""GP Direct"",""Fabrikam, Inc."",""GL20000"",""DEX_ROW_ID"",""3963"""</f>
        <v>"GP Direct","Fabrikam, Inc.","GL20000","DEX_ROW_ID","3963"</v>
      </c>
      <c r="L348" s="15">
        <v>42379</v>
      </c>
      <c r="M348">
        <v>979</v>
      </c>
      <c r="N348" t="str">
        <f>"Contoso, Ltd."</f>
        <v>Contoso, Ltd.</v>
      </c>
      <c r="O348" t="str">
        <f>"STDINV2014"</f>
        <v>STDINV2014</v>
      </c>
      <c r="P348" t="str">
        <f>"Sales Transaction Entry"</f>
        <v>Sales Transaction Entry</v>
      </c>
      <c r="Q348" s="21" t="str">
        <f>"Tax"</f>
        <v>Tax</v>
      </c>
      <c r="R348" s="16">
        <v>0</v>
      </c>
      <c r="S348" s="16">
        <v>-11.4</v>
      </c>
      <c r="T348" s="19">
        <f t="shared" si="31"/>
        <v>-11.4</v>
      </c>
    </row>
    <row r="349" spans="1:20" x14ac:dyDescent="0.2">
      <c r="A349" s="28" t="s">
        <v>31</v>
      </c>
      <c r="B349" s="33"/>
      <c r="C349" s="33"/>
      <c r="F349" s="33">
        <f>F348</f>
        <v>78</v>
      </c>
      <c r="G349" s="33" t="str">
        <f>G348</f>
        <v>000-2300-00</v>
      </c>
      <c r="H349" s="36"/>
      <c r="K349" t="str">
        <f>"""GP Direct"",""Fabrikam, Inc."",""GL20000"",""DEX_ROW_ID"",""3982"""</f>
        <v>"GP Direct","Fabrikam, Inc.","GL20000","DEX_ROW_ID","3982"</v>
      </c>
      <c r="L349" s="15">
        <v>42381</v>
      </c>
      <c r="M349">
        <v>983</v>
      </c>
      <c r="N349" t="str">
        <f>"Plaza One"</f>
        <v>Plaza One</v>
      </c>
      <c r="O349" t="str">
        <f>"STDINV2016"</f>
        <v>STDINV2016</v>
      </c>
      <c r="P349" t="str">
        <f>"Sales Transaction Entry"</f>
        <v>Sales Transaction Entry</v>
      </c>
      <c r="Q349" s="21" t="str">
        <f>"Tax"</f>
        <v>Tax</v>
      </c>
      <c r="R349" s="16">
        <v>0</v>
      </c>
      <c r="S349" s="16">
        <v>-56.99</v>
      </c>
      <c r="T349" s="19">
        <f t="shared" si="31"/>
        <v>-56.99</v>
      </c>
    </row>
    <row r="350" spans="1:20" x14ac:dyDescent="0.2">
      <c r="A350" s="28" t="s">
        <v>31</v>
      </c>
      <c r="B350" s="33"/>
      <c r="C350" s="33"/>
      <c r="F350" s="33">
        <f>F349</f>
        <v>78</v>
      </c>
      <c r="G350" s="33" t="str">
        <f>G349</f>
        <v>000-2300-00</v>
      </c>
      <c r="H350" s="36"/>
      <c r="K350" t="str">
        <f>"""GP Direct"",""Fabrikam, Inc."",""GL20000"",""DEX_ROW_ID"",""3992"""</f>
        <v>"GP Direct","Fabrikam, Inc.","GL20000","DEX_ROW_ID","3992"</v>
      </c>
      <c r="L350" s="15">
        <v>42382</v>
      </c>
      <c r="M350">
        <v>985</v>
      </c>
      <c r="N350" t="str">
        <f>"Central Communications LTD"</f>
        <v>Central Communications LTD</v>
      </c>
      <c r="O350" t="str">
        <f>"STDINV2017"</f>
        <v>STDINV2017</v>
      </c>
      <c r="P350" t="str">
        <f>"Sales Transaction Entry"</f>
        <v>Sales Transaction Entry</v>
      </c>
      <c r="Q350" s="21" t="str">
        <f>"Tax"</f>
        <v>Tax</v>
      </c>
      <c r="R350" s="16">
        <v>0</v>
      </c>
      <c r="S350" s="16">
        <v>-1.8</v>
      </c>
      <c r="T350" s="19">
        <f t="shared" si="31"/>
        <v>-1.8</v>
      </c>
    </row>
    <row r="351" spans="1:20" x14ac:dyDescent="0.2">
      <c r="A351" s="28" t="s">
        <v>31</v>
      </c>
      <c r="B351" s="33"/>
      <c r="C351" s="33"/>
      <c r="F351" s="33">
        <f>F350</f>
        <v>78</v>
      </c>
      <c r="G351" s="33" t="str">
        <f>G350</f>
        <v>000-2300-00</v>
      </c>
      <c r="H351" s="36"/>
      <c r="K351" t="str">
        <f>"""GP Direct"",""Fabrikam, Inc."",""GL20000"",""DEX_ROW_ID"",""4011"""</f>
        <v>"GP Direct","Fabrikam, Inc.","GL20000","DEX_ROW_ID","4011"</v>
      </c>
      <c r="L351" s="15">
        <v>42384</v>
      </c>
      <c r="M351">
        <v>989</v>
      </c>
      <c r="N351" t="str">
        <f>"Metropolitan Fiber Systems"</f>
        <v>Metropolitan Fiber Systems</v>
      </c>
      <c r="O351" t="str">
        <f>"STDINV2019"</f>
        <v>STDINV2019</v>
      </c>
      <c r="P351" t="str">
        <f>"Sales Transaction Entry"</f>
        <v>Sales Transaction Entry</v>
      </c>
      <c r="Q351" s="21" t="str">
        <f>"Tax"</f>
        <v>Tax</v>
      </c>
      <c r="R351" s="16">
        <v>0</v>
      </c>
      <c r="S351" s="16">
        <v>-1.8</v>
      </c>
      <c r="T351" s="19">
        <f t="shared" si="31"/>
        <v>-1.8</v>
      </c>
    </row>
    <row r="352" spans="1:20" x14ac:dyDescent="0.2">
      <c r="A352" s="28" t="s">
        <v>31</v>
      </c>
      <c r="B352" s="33"/>
      <c r="C352" s="33"/>
      <c r="F352" s="33">
        <f>F351</f>
        <v>78</v>
      </c>
      <c r="G352" s="33" t="str">
        <f>G351</f>
        <v>000-2300-00</v>
      </c>
      <c r="H352" s="36"/>
      <c r="K352" t="str">
        <f>"""GP Direct"",""Fabrikam, Inc."",""GL20000"",""DEX_ROW_ID"",""4029"""</f>
        <v>"GP Direct","Fabrikam, Inc.","GL20000","DEX_ROW_ID","4029"</v>
      </c>
      <c r="L352" s="15">
        <v>42386</v>
      </c>
      <c r="M352">
        <v>993</v>
      </c>
      <c r="N352" t="str">
        <f>"Lawrence Telemarketing"</f>
        <v>Lawrence Telemarketing</v>
      </c>
      <c r="O352" t="str">
        <f>"STDINV2021"</f>
        <v>STDINV2021</v>
      </c>
      <c r="P352" t="str">
        <f>"Sales Transaction Entry"</f>
        <v>Sales Transaction Entry</v>
      </c>
      <c r="Q352" s="21" t="str">
        <f>"Tax"</f>
        <v>Tax</v>
      </c>
      <c r="R352" s="16">
        <v>0</v>
      </c>
      <c r="S352" s="16">
        <v>-360</v>
      </c>
      <c r="T352" s="19">
        <f t="shared" si="31"/>
        <v>-360</v>
      </c>
    </row>
    <row r="353" spans="1:20" x14ac:dyDescent="0.2">
      <c r="A353" s="28" t="s">
        <v>31</v>
      </c>
      <c r="B353" s="33"/>
      <c r="C353" s="33"/>
      <c r="F353" s="33">
        <f>F352</f>
        <v>78</v>
      </c>
      <c r="G353" s="33" t="str">
        <f>G352</f>
        <v>000-2300-00</v>
      </c>
      <c r="H353" s="36"/>
      <c r="K353" t="str">
        <f>"""GP Direct"",""Fabrikam, Inc."",""GL20000"",""DEX_ROW_ID"",""4047"""</f>
        <v>"GP Direct","Fabrikam, Inc.","GL20000","DEX_ROW_ID","4047"</v>
      </c>
      <c r="L353" s="15">
        <v>42388</v>
      </c>
      <c r="M353">
        <v>997</v>
      </c>
      <c r="N353" t="str">
        <f>"Astor Suites"</f>
        <v>Astor Suites</v>
      </c>
      <c r="O353" t="str">
        <f>"STDINV2023"</f>
        <v>STDINV2023</v>
      </c>
      <c r="P353" t="str">
        <f>"Sales Transaction Entry"</f>
        <v>Sales Transaction Entry</v>
      </c>
      <c r="Q353" s="21" t="str">
        <f>"Tax"</f>
        <v>Tax</v>
      </c>
      <c r="R353" s="16">
        <v>0</v>
      </c>
      <c r="S353" s="16">
        <v>-1.8</v>
      </c>
      <c r="T353" s="19">
        <f t="shared" si="31"/>
        <v>-1.8</v>
      </c>
    </row>
    <row r="354" spans="1:20" x14ac:dyDescent="0.2">
      <c r="A354" s="28" t="s">
        <v>31</v>
      </c>
      <c r="B354" s="33"/>
      <c r="C354" s="33"/>
      <c r="F354" s="33">
        <f>F353</f>
        <v>78</v>
      </c>
      <c r="G354" s="33" t="str">
        <f>G353</f>
        <v>000-2300-00</v>
      </c>
      <c r="H354" s="36"/>
      <c r="K354" t="str">
        <f>"""GP Direct"",""Fabrikam, Inc."",""GL20000"",""DEX_ROW_ID"",""4057"""</f>
        <v>"GP Direct","Fabrikam, Inc.","GL20000","DEX_ROW_ID","4057"</v>
      </c>
      <c r="L354" s="15">
        <v>42390</v>
      </c>
      <c r="M354">
        <v>999</v>
      </c>
      <c r="N354" t="str">
        <f>"Plaza One"</f>
        <v>Plaza One</v>
      </c>
      <c r="O354" t="str">
        <f>"STDINV2024"</f>
        <v>STDINV2024</v>
      </c>
      <c r="P354" t="str">
        <f>"Sales Transaction Entry"</f>
        <v>Sales Transaction Entry</v>
      </c>
      <c r="Q354" s="21" t="str">
        <f>"Tax"</f>
        <v>Tax</v>
      </c>
      <c r="R354" s="16">
        <v>0</v>
      </c>
      <c r="S354" s="16">
        <v>-45.59</v>
      </c>
      <c r="T354" s="19">
        <f t="shared" si="31"/>
        <v>-45.59</v>
      </c>
    </row>
    <row r="355" spans="1:20" x14ac:dyDescent="0.2">
      <c r="A355" s="28" t="s">
        <v>31</v>
      </c>
      <c r="B355" s="33"/>
      <c r="C355" s="33"/>
      <c r="F355" s="33">
        <f>F354</f>
        <v>78</v>
      </c>
      <c r="G355" s="33" t="str">
        <f>G354</f>
        <v>000-2300-00</v>
      </c>
      <c r="H355" s="36"/>
      <c r="K355" t="str">
        <f>"""GP Direct"",""Fabrikam, Inc."",""GL20000"",""DEX_ROW_ID"",""4076"""</f>
        <v>"GP Direct","Fabrikam, Inc.","GL20000","DEX_ROW_ID","4076"</v>
      </c>
      <c r="L355" s="15">
        <v>42392</v>
      </c>
      <c r="M355">
        <v>1003</v>
      </c>
      <c r="N355" t="str">
        <f>"Aaron Fitz Electrical"</f>
        <v>Aaron Fitz Electrical</v>
      </c>
      <c r="O355" t="str">
        <f>"STDINV2026"</f>
        <v>STDINV2026</v>
      </c>
      <c r="P355" t="str">
        <f>"Sales Transaction Entry"</f>
        <v>Sales Transaction Entry</v>
      </c>
      <c r="Q355" s="21" t="str">
        <f>"Tax"</f>
        <v>Tax</v>
      </c>
      <c r="R355" s="16">
        <v>0</v>
      </c>
      <c r="S355" s="16">
        <v>-7.2</v>
      </c>
      <c r="T355" s="19">
        <f t="shared" si="31"/>
        <v>-7.2</v>
      </c>
    </row>
    <row r="356" spans="1:20" x14ac:dyDescent="0.2">
      <c r="A356" s="28" t="s">
        <v>31</v>
      </c>
      <c r="B356" s="33"/>
      <c r="C356" s="33"/>
      <c r="F356" s="33">
        <f>F355</f>
        <v>78</v>
      </c>
      <c r="G356" s="33" t="str">
        <f>G355</f>
        <v>000-2300-00</v>
      </c>
      <c r="H356" s="36"/>
      <c r="K356" t="str">
        <f>"""GP Direct"",""Fabrikam, Inc."",""GL20000"",""DEX_ROW_ID"",""4086"""</f>
        <v>"GP Direct","Fabrikam, Inc.","GL20000","DEX_ROW_ID","4086"</v>
      </c>
      <c r="L356" s="15">
        <v>42393</v>
      </c>
      <c r="M356">
        <v>1005</v>
      </c>
      <c r="N356" t="str">
        <f>"Aaron Fitz Electrical"</f>
        <v>Aaron Fitz Electrical</v>
      </c>
      <c r="O356" t="str">
        <f>"STDINV2027"</f>
        <v>STDINV2027</v>
      </c>
      <c r="P356" t="str">
        <f>"Sales Transaction Entry"</f>
        <v>Sales Transaction Entry</v>
      </c>
      <c r="Q356" s="21" t="str">
        <f>"Tax"</f>
        <v>Tax</v>
      </c>
      <c r="R356" s="16">
        <v>0</v>
      </c>
      <c r="S356" s="16">
        <v>-6.6</v>
      </c>
      <c r="T356" s="19">
        <f t="shared" si="31"/>
        <v>-6.6</v>
      </c>
    </row>
    <row r="357" spans="1:20" x14ac:dyDescent="0.2">
      <c r="A357" s="28" t="s">
        <v>31</v>
      </c>
      <c r="B357" s="33"/>
      <c r="C357" s="33"/>
      <c r="F357" s="33">
        <f>F356</f>
        <v>78</v>
      </c>
      <c r="G357" s="33" t="str">
        <f>G356</f>
        <v>000-2300-00</v>
      </c>
      <c r="H357" s="36"/>
      <c r="K357" t="str">
        <f>"""GP Direct"",""Fabrikam, Inc."",""GL20000"",""DEX_ROW_ID"",""4096"""</f>
        <v>"GP Direct","Fabrikam, Inc.","GL20000","DEX_ROW_ID","4096"</v>
      </c>
      <c r="L357" s="15">
        <v>42394</v>
      </c>
      <c r="M357">
        <v>1007</v>
      </c>
      <c r="N357" t="str">
        <f>"Adam Park Resort"</f>
        <v>Adam Park Resort</v>
      </c>
      <c r="O357" t="str">
        <f>"STDINV2028"</f>
        <v>STDINV2028</v>
      </c>
      <c r="P357" t="str">
        <f>"Sales Transaction Entry"</f>
        <v>Sales Transaction Entry</v>
      </c>
      <c r="Q357" s="21" t="str">
        <f>"Tax"</f>
        <v>Tax</v>
      </c>
      <c r="R357" s="16">
        <v>0</v>
      </c>
      <c r="S357" s="16">
        <v>-35.97</v>
      </c>
      <c r="T357" s="19">
        <f t="shared" si="31"/>
        <v>-35.97</v>
      </c>
    </row>
    <row r="358" spans="1:20" x14ac:dyDescent="0.2">
      <c r="A358" s="28" t="s">
        <v>31</v>
      </c>
      <c r="B358" s="33"/>
      <c r="C358" s="33"/>
      <c r="F358" s="33">
        <f>F357</f>
        <v>78</v>
      </c>
      <c r="G358" s="33" t="str">
        <f>G357</f>
        <v>000-2300-00</v>
      </c>
      <c r="H358" s="36"/>
      <c r="K358" t="str">
        <f>"""GP Direct"",""Fabrikam, Inc."",""GL20000"",""DEX_ROW_ID"",""4106"""</f>
        <v>"GP Direct","Fabrikam, Inc.","GL20000","DEX_ROW_ID","4106"</v>
      </c>
      <c r="L358" s="15">
        <v>42395</v>
      </c>
      <c r="M358">
        <v>1009</v>
      </c>
      <c r="N358" t="str">
        <f>"Aaron Fitz Electrical"</f>
        <v>Aaron Fitz Electrical</v>
      </c>
      <c r="O358" t="str">
        <f>"STDINV2029"</f>
        <v>STDINV2029</v>
      </c>
      <c r="P358" t="str">
        <f>"Sales Transaction Entry"</f>
        <v>Sales Transaction Entry</v>
      </c>
      <c r="Q358" s="21" t="str">
        <f>"Tax"</f>
        <v>Tax</v>
      </c>
      <c r="R358" s="16">
        <v>0</v>
      </c>
      <c r="S358" s="16">
        <v>-35.97</v>
      </c>
      <c r="T358" s="19">
        <f t="shared" si="31"/>
        <v>-35.97</v>
      </c>
    </row>
    <row r="359" spans="1:20" x14ac:dyDescent="0.2">
      <c r="A359" s="28" t="s">
        <v>31</v>
      </c>
      <c r="B359" s="33"/>
      <c r="C359" s="33"/>
      <c r="F359" s="33">
        <f>F358</f>
        <v>78</v>
      </c>
      <c r="G359" s="33" t="str">
        <f>G358</f>
        <v>000-2300-00</v>
      </c>
      <c r="H359" s="36"/>
      <c r="K359" t="str">
        <f>"""GP Direct"",""Fabrikam, Inc."",""GL20000"",""DEX_ROW_ID"",""4116"""</f>
        <v>"GP Direct","Fabrikam, Inc.","GL20000","DEX_ROW_ID","4116"</v>
      </c>
      <c r="L359" s="15">
        <v>42396</v>
      </c>
      <c r="M359">
        <v>1011</v>
      </c>
      <c r="N359" t="str">
        <f>"Aaron Fitz Electrical"</f>
        <v>Aaron Fitz Electrical</v>
      </c>
      <c r="O359" t="str">
        <f>"STDINV2030"</f>
        <v>STDINV2030</v>
      </c>
      <c r="P359" t="str">
        <f>"Sales Transaction Entry"</f>
        <v>Sales Transaction Entry</v>
      </c>
      <c r="Q359" s="21" t="str">
        <f>"Tax"</f>
        <v>Tax</v>
      </c>
      <c r="R359" s="16">
        <v>0</v>
      </c>
      <c r="S359" s="16">
        <v>-7.2</v>
      </c>
      <c r="T359" s="19">
        <f t="shared" si="31"/>
        <v>-7.2</v>
      </c>
    </row>
    <row r="360" spans="1:20" x14ac:dyDescent="0.2">
      <c r="A360" s="28" t="s">
        <v>31</v>
      </c>
      <c r="B360" s="33"/>
      <c r="C360" s="33"/>
      <c r="F360" s="33">
        <f>F359</f>
        <v>78</v>
      </c>
      <c r="G360" s="33" t="str">
        <f>G359</f>
        <v>000-2300-00</v>
      </c>
      <c r="H360" s="36"/>
      <c r="K360" t="str">
        <f>"""GP Direct"",""Fabrikam, Inc."",""GL20000"",""DEX_ROW_ID"",""4126"""</f>
        <v>"GP Direct","Fabrikam, Inc.","GL20000","DEX_ROW_ID","4126"</v>
      </c>
      <c r="L360" s="15">
        <v>42397</v>
      </c>
      <c r="M360">
        <v>1013</v>
      </c>
      <c r="N360" t="str">
        <f>"Contoso, Ltd."</f>
        <v>Contoso, Ltd.</v>
      </c>
      <c r="O360" t="str">
        <f>"STDINV2031"</f>
        <v>STDINV2031</v>
      </c>
      <c r="P360" t="str">
        <f>"Sales Transaction Entry"</f>
        <v>Sales Transaction Entry</v>
      </c>
      <c r="Q360" s="21" t="str">
        <f>"Tax"</f>
        <v>Tax</v>
      </c>
      <c r="R360" s="16">
        <v>0</v>
      </c>
      <c r="S360" s="16">
        <v>-17.989999999999998</v>
      </c>
      <c r="T360" s="19">
        <f t="shared" si="31"/>
        <v>-17.989999999999998</v>
      </c>
    </row>
    <row r="361" spans="1:20" x14ac:dyDescent="0.2">
      <c r="A361" s="28" t="s">
        <v>31</v>
      </c>
      <c r="B361" s="33"/>
      <c r="C361" s="33"/>
      <c r="F361" s="33">
        <f>F360</f>
        <v>78</v>
      </c>
      <c r="G361" s="33" t="str">
        <f>G360</f>
        <v>000-2300-00</v>
      </c>
      <c r="H361" s="36"/>
      <c r="K361" t="str">
        <f>"""GP Direct"",""Fabrikam, Inc."",""GL20000"",""DEX_ROW_ID"",""4145"""</f>
        <v>"GP Direct","Fabrikam, Inc.","GL20000","DEX_ROW_ID","4145"</v>
      </c>
      <c r="L361" s="15">
        <v>42399</v>
      </c>
      <c r="M361">
        <v>1017</v>
      </c>
      <c r="N361" t="str">
        <f>"Plaza One"</f>
        <v>Plaza One</v>
      </c>
      <c r="O361" t="str">
        <f>"STDINV2033"</f>
        <v>STDINV2033</v>
      </c>
      <c r="P361" t="str">
        <f>"Sales Transaction Entry"</f>
        <v>Sales Transaction Entry</v>
      </c>
      <c r="Q361" s="21" t="str">
        <f>"Tax"</f>
        <v>Tax</v>
      </c>
      <c r="R361" s="16">
        <v>0</v>
      </c>
      <c r="S361" s="16">
        <v>-14.4</v>
      </c>
      <c r="T361" s="19">
        <f t="shared" si="31"/>
        <v>-14.4</v>
      </c>
    </row>
    <row r="362" spans="1:20" x14ac:dyDescent="0.2">
      <c r="A362" s="28" t="s">
        <v>31</v>
      </c>
      <c r="B362" s="33"/>
      <c r="C362" s="33"/>
      <c r="F362" s="33">
        <f>F361</f>
        <v>78</v>
      </c>
      <c r="G362" s="33" t="str">
        <f>G361</f>
        <v>000-2300-00</v>
      </c>
      <c r="H362" s="36"/>
      <c r="K362" t="str">
        <f>"""GP Direct"",""Fabrikam, Inc."",""GL20000"",""DEX_ROW_ID"",""4155"""</f>
        <v>"GP Direct","Fabrikam, Inc.","GL20000","DEX_ROW_ID","4155"</v>
      </c>
      <c r="L362" s="15">
        <v>42400</v>
      </c>
      <c r="M362">
        <v>1019</v>
      </c>
      <c r="N362" t="str">
        <f>"Central Communications LTD"</f>
        <v>Central Communications LTD</v>
      </c>
      <c r="O362" t="str">
        <f>"STDINV2034"</f>
        <v>STDINV2034</v>
      </c>
      <c r="P362" t="str">
        <f>"Sales Transaction Entry"</f>
        <v>Sales Transaction Entry</v>
      </c>
      <c r="Q362" s="21" t="str">
        <f>"Tax"</f>
        <v>Tax</v>
      </c>
      <c r="R362" s="16">
        <v>0</v>
      </c>
      <c r="S362" s="16">
        <v>-17.989999999999998</v>
      </c>
      <c r="T362" s="19">
        <f t="shared" si="31"/>
        <v>-17.989999999999998</v>
      </c>
    </row>
    <row r="363" spans="1:20" x14ac:dyDescent="0.2">
      <c r="A363" s="28" t="s">
        <v>31</v>
      </c>
      <c r="B363" s="33"/>
      <c r="C363" s="33"/>
      <c r="F363" s="33">
        <f>F362</f>
        <v>78</v>
      </c>
      <c r="G363" s="33" t="str">
        <f>G362</f>
        <v>000-2300-00</v>
      </c>
      <c r="H363" s="36"/>
      <c r="K363" t="str">
        <f>"""GP Direct"",""Fabrikam, Inc."",""GL20000"",""DEX_ROW_ID"",""4939"""</f>
        <v>"GP Direct","Fabrikam, Inc.","GL20000","DEX_ROW_ID","4939"</v>
      </c>
      <c r="L363" s="15">
        <v>42377</v>
      </c>
      <c r="M363">
        <v>1204</v>
      </c>
      <c r="N363" t="str">
        <f>"Aaron Fitz Electrical"</f>
        <v>Aaron Fitz Electrical</v>
      </c>
      <c r="O363" t="str">
        <f>"STDINV2120"</f>
        <v>STDINV2120</v>
      </c>
      <c r="P363" t="str">
        <f>"Sales Transaction Entry"</f>
        <v>Sales Transaction Entry</v>
      </c>
      <c r="Q363" s="21" t="str">
        <f>"Tax"</f>
        <v>Tax</v>
      </c>
      <c r="R363" s="16">
        <v>0</v>
      </c>
      <c r="S363" s="16">
        <v>-68.39</v>
      </c>
      <c r="T363" s="19">
        <f t="shared" si="31"/>
        <v>-68.39</v>
      </c>
    </row>
    <row r="364" spans="1:20" x14ac:dyDescent="0.2">
      <c r="A364" s="28" t="s">
        <v>31</v>
      </c>
      <c r="B364" s="33"/>
      <c r="C364" s="33"/>
      <c r="F364" s="33">
        <f>F363</f>
        <v>78</v>
      </c>
      <c r="G364" s="33" t="str">
        <f>G363</f>
        <v>000-2300-00</v>
      </c>
      <c r="H364" s="36"/>
      <c r="K364" t="str">
        <f>"""GP Direct"",""Fabrikam, Inc."",""GL20000"",""DEX_ROW_ID"",""4942"""</f>
        <v>"GP Direct","Fabrikam, Inc.","GL20000","DEX_ROW_ID","4942"</v>
      </c>
      <c r="L364" s="15">
        <v>42377</v>
      </c>
      <c r="M364">
        <v>1205</v>
      </c>
      <c r="N364" t="str">
        <f>"Advanced Paper Co."</f>
        <v>Advanced Paper Co.</v>
      </c>
      <c r="O364" t="str">
        <f>"STDINV2121"</f>
        <v>STDINV2121</v>
      </c>
      <c r="P364" t="str">
        <f>"Sales Transaction Entry"</f>
        <v>Sales Transaction Entry</v>
      </c>
      <c r="Q364" s="21" t="str">
        <f>"Tax"</f>
        <v>Tax</v>
      </c>
      <c r="R364" s="16">
        <v>0</v>
      </c>
      <c r="S364" s="16">
        <v>-14.39</v>
      </c>
      <c r="T364" s="19">
        <f t="shared" si="31"/>
        <v>-14.39</v>
      </c>
    </row>
    <row r="365" spans="1:20" x14ac:dyDescent="0.2">
      <c r="A365" s="28" t="s">
        <v>31</v>
      </c>
      <c r="B365" s="33"/>
      <c r="C365" s="33"/>
      <c r="F365" s="33">
        <f>F345</f>
        <v>78</v>
      </c>
      <c r="G365" s="33" t="str">
        <f>G345</f>
        <v>000-2300-00</v>
      </c>
      <c r="H365" s="36"/>
    </row>
    <row r="366" spans="1:20" x14ac:dyDescent="0.2">
      <c r="A366" s="28" t="s">
        <v>31</v>
      </c>
      <c r="I366" s="37" t="str">
        <f>I343&amp;"   "&amp;J343&amp;"         Total:"</f>
        <v>000-2300-00   IL State Sales Tax Payable         Total:</v>
      </c>
      <c r="J366" s="37"/>
      <c r="K366" s="37"/>
      <c r="L366" s="37"/>
      <c r="M366" s="37"/>
      <c r="N366" s="37"/>
      <c r="O366" s="37"/>
      <c r="P366" s="37"/>
      <c r="Q366" s="37"/>
      <c r="R366" s="37"/>
      <c r="S366" s="37"/>
      <c r="T366" s="23">
        <f t="shared" ref="T366" si="32">SUBTOTAL(9,T344:T365)</f>
        <v>-792.46000000000015</v>
      </c>
    </row>
    <row r="367" spans="1:20" x14ac:dyDescent="0.2">
      <c r="A367" s="28" t="s">
        <v>31</v>
      </c>
    </row>
    <row r="368" spans="1:20" x14ac:dyDescent="0.2">
      <c r="A368" s="28" t="s">
        <v>31</v>
      </c>
      <c r="D368" s="28" t="str">
        <f>"||""Filter"",""GL20000"",""ACTINDX"",""TRXDATE"",""1/1/2016..1/31/2016"",""ACTINDX"",""||""""Filter"""",""""GL00105"""",""""ACTINDX"""",""""ACTNUMBR_1"""",""""*"""",""""ACTNUMBR_2"""",""""*"""",""""ACTNUMBR_3"""",""""*"""","""""""","""""""","""""""","""""""","""""""","""""""","""""""","""""""","""""""","""""""","""""""","""""""","""""""","""""""""","""","""","""","""&amp;""","""","""","""","""","""","""","""","""","""","""","""","""""</f>
        <v>||"Filter","GL20000","ACTINDX","TRXDATE","1/1/2016..1/31/2016","ACTINDX","||""Filter"",""GL00105"",""ACTINDX"",""ACTNUMBR_1"",""*"",""ACTNUMBR_2"",""*"",""ACTNUMBR_3"",""*"","""","""","""","""","""","""","""","""","""","""","""","""","""",""""","","","","","","","","","","","","","","","",""</v>
      </c>
      <c r="E368" s="28" t="str">
        <f>"||""Filter"",""GL30000"",""ACTINDX"",""TRXDATE"",""1/1/2016..1/31/2016"",""ACTINDX"",""||""""Filter"""",""""GL00105"""",""""ACTINDX"""",""""ACTNUMBR_1"""",""""*"""",""""ACTNUMBR_2"""",""""*"""",""""ACTNUMBR_3"""",""""*"""","""""""","""""""","""""""","""""""","""""""","""""""","""""""","""""""","""""""","""""""","""""""","""""""","""""""","""""""""","""","""","""","""&amp;""","""","""","""","""","""","""","""","""","""","""","""","""""</f>
        <v>||"Filter","GL30000","ACTINDX","TRXDATE","1/1/2016..1/31/2016","ACTINDX","||""Filter"",""GL00105"",""ACTINDX"",""ACTNUMBR_1"",""*"",""ACTNUMBR_2"",""*"",""ACTNUMBR_3"",""*"","""","""","""","""","""","""","""","""","""","""","""","""","""",""""","","","","","","","","","","","","","","","",""</v>
      </c>
      <c r="F368" s="28">
        <v>79</v>
      </c>
      <c r="G368" s="28" t="str">
        <f>"000-2310-00"</f>
        <v>000-2310-00</v>
      </c>
      <c r="I368" s="17" t="str">
        <f>G368</f>
        <v>000-2310-00</v>
      </c>
      <c r="J368" s="17" t="str">
        <f>"Chicago City Sales Tax Payable"</f>
        <v>Chicago City Sales Tax Payable</v>
      </c>
      <c r="Q368" s="17"/>
      <c r="R368" s="18"/>
    </row>
    <row r="369" spans="1:20" x14ac:dyDescent="0.2">
      <c r="A369" s="28" t="s">
        <v>31</v>
      </c>
      <c r="B369" s="33"/>
      <c r="C369" s="33"/>
      <c r="F369" s="33">
        <f>F368</f>
        <v>79</v>
      </c>
      <c r="G369" s="33" t="str">
        <f>G368</f>
        <v>000-2310-00</v>
      </c>
      <c r="H369" s="36"/>
      <c r="L369" s="15"/>
      <c r="Q369" s="21"/>
      <c r="R369" s="16"/>
      <c r="S369" s="16">
        <f>IF($K369="",0,-_xll.NF($K369,"CRDTAMNT"))</f>
        <v>0</v>
      </c>
      <c r="T369" s="19">
        <f t="shared" ref="T369:T370" si="33">SUM(R369:S369)</f>
        <v>0</v>
      </c>
    </row>
    <row r="370" spans="1:20" x14ac:dyDescent="0.2">
      <c r="A370" s="28" t="s">
        <v>31</v>
      </c>
      <c r="B370" s="33"/>
      <c r="C370" s="33"/>
      <c r="F370" s="33">
        <f>F369</f>
        <v>79</v>
      </c>
      <c r="G370" s="33" t="str">
        <f>G369</f>
        <v>000-2310-00</v>
      </c>
      <c r="H370" s="36"/>
      <c r="K370" t="str">
        <f>"""GP Direct"",""Fabrikam, Inc."",""GL20000"",""DEX_ROW_ID"",""3934"""</f>
        <v>"GP Direct","Fabrikam, Inc.","GL20000","DEX_ROW_ID","3934"</v>
      </c>
      <c r="L370" s="15">
        <v>42377</v>
      </c>
      <c r="M370">
        <v>973</v>
      </c>
      <c r="N370" t="str">
        <f>"Aaron Fitz Electrical"</f>
        <v>Aaron Fitz Electrical</v>
      </c>
      <c r="O370" t="str">
        <f>"STDINV2011"</f>
        <v>STDINV2011</v>
      </c>
      <c r="P370" t="str">
        <f>"Sales Transaction Entry"</f>
        <v>Sales Transaction Entry</v>
      </c>
      <c r="Q370" s="21" t="str">
        <f>"Tax"</f>
        <v>Tax</v>
      </c>
      <c r="R370" s="16">
        <v>0</v>
      </c>
      <c r="S370" s="16">
        <v>-0.5</v>
      </c>
      <c r="T370" s="19">
        <f t="shared" si="33"/>
        <v>-0.5</v>
      </c>
    </row>
    <row r="371" spans="1:20" x14ac:dyDescent="0.2">
      <c r="A371" s="28" t="s">
        <v>31</v>
      </c>
      <c r="B371" s="33"/>
      <c r="C371" s="33"/>
      <c r="F371" s="33">
        <f>F370</f>
        <v>79</v>
      </c>
      <c r="G371" s="33" t="str">
        <f>G370</f>
        <v>000-2310-00</v>
      </c>
      <c r="H371" s="36"/>
      <c r="K371" t="str">
        <f>"""GP Direct"",""Fabrikam, Inc."",""GL20000"",""DEX_ROW_ID"",""3944"""</f>
        <v>"GP Direct","Fabrikam, Inc.","GL20000","DEX_ROW_ID","3944"</v>
      </c>
      <c r="L371" s="15">
        <v>42377</v>
      </c>
      <c r="M371">
        <v>975</v>
      </c>
      <c r="N371" t="str">
        <f>"Aaron Fitz Electrical"</f>
        <v>Aaron Fitz Electrical</v>
      </c>
      <c r="O371" t="str">
        <f>"STDINV2012"</f>
        <v>STDINV2012</v>
      </c>
      <c r="P371" t="str">
        <f>"Sales Transaction Entry"</f>
        <v>Sales Transaction Entry</v>
      </c>
      <c r="Q371" s="21" t="str">
        <f>"Tax"</f>
        <v>Tax</v>
      </c>
      <c r="R371" s="16">
        <v>0</v>
      </c>
      <c r="S371" s="16">
        <v>-0.5</v>
      </c>
      <c r="T371" s="19">
        <f t="shared" ref="T371:T389" si="34">SUM(R371:S371)</f>
        <v>-0.5</v>
      </c>
    </row>
    <row r="372" spans="1:20" x14ac:dyDescent="0.2">
      <c r="A372" s="28" t="s">
        <v>31</v>
      </c>
      <c r="B372" s="33"/>
      <c r="C372" s="33"/>
      <c r="F372" s="33">
        <f>F371</f>
        <v>79</v>
      </c>
      <c r="G372" s="33" t="str">
        <f>G371</f>
        <v>000-2310-00</v>
      </c>
      <c r="H372" s="36"/>
      <c r="K372" t="str">
        <f>"""GP Direct"",""Fabrikam, Inc."",""GL20000"",""DEX_ROW_ID"",""3954"""</f>
        <v>"GP Direct","Fabrikam, Inc.","GL20000","DEX_ROW_ID","3954"</v>
      </c>
      <c r="L372" s="15">
        <v>42378</v>
      </c>
      <c r="M372">
        <v>977</v>
      </c>
      <c r="N372" t="str">
        <f>"ISN Industries"</f>
        <v>ISN Industries</v>
      </c>
      <c r="O372" t="str">
        <f>"STDINV2013"</f>
        <v>STDINV2013</v>
      </c>
      <c r="P372" t="str">
        <f>"Sales Transaction Entry"</f>
        <v>Sales Transaction Entry</v>
      </c>
      <c r="Q372" s="21" t="str">
        <f>"Tax"</f>
        <v>Tax</v>
      </c>
      <c r="R372" s="16">
        <v>0</v>
      </c>
      <c r="S372" s="16">
        <v>-13.5</v>
      </c>
      <c r="T372" s="19">
        <f t="shared" si="34"/>
        <v>-13.5</v>
      </c>
    </row>
    <row r="373" spans="1:20" x14ac:dyDescent="0.2">
      <c r="A373" s="28" t="s">
        <v>31</v>
      </c>
      <c r="B373" s="33"/>
      <c r="C373" s="33"/>
      <c r="F373" s="33">
        <f>F372</f>
        <v>79</v>
      </c>
      <c r="G373" s="33" t="str">
        <f>G372</f>
        <v>000-2310-00</v>
      </c>
      <c r="H373" s="36"/>
      <c r="K373" t="str">
        <f>"""GP Direct"",""Fabrikam, Inc."",""GL20000"",""DEX_ROW_ID"",""3964"""</f>
        <v>"GP Direct","Fabrikam, Inc.","GL20000","DEX_ROW_ID","3964"</v>
      </c>
      <c r="L373" s="15">
        <v>42379</v>
      </c>
      <c r="M373">
        <v>979</v>
      </c>
      <c r="N373" t="str">
        <f>"Contoso, Ltd."</f>
        <v>Contoso, Ltd.</v>
      </c>
      <c r="O373" t="str">
        <f>"STDINV2014"</f>
        <v>STDINV2014</v>
      </c>
      <c r="P373" t="str">
        <f>"Sales Transaction Entry"</f>
        <v>Sales Transaction Entry</v>
      </c>
      <c r="Q373" s="21" t="str">
        <f>"Tax"</f>
        <v>Tax</v>
      </c>
      <c r="R373" s="16">
        <v>0</v>
      </c>
      <c r="S373" s="16">
        <v>-1.9</v>
      </c>
      <c r="T373" s="19">
        <f t="shared" si="34"/>
        <v>-1.9</v>
      </c>
    </row>
    <row r="374" spans="1:20" x14ac:dyDescent="0.2">
      <c r="A374" s="28" t="s">
        <v>31</v>
      </c>
      <c r="B374" s="33"/>
      <c r="C374" s="33"/>
      <c r="F374" s="33">
        <f>F373</f>
        <v>79</v>
      </c>
      <c r="G374" s="33" t="str">
        <f>G373</f>
        <v>000-2310-00</v>
      </c>
      <c r="H374" s="36"/>
      <c r="K374" t="str">
        <f>"""GP Direct"",""Fabrikam, Inc."",""GL20000"",""DEX_ROW_ID"",""3983"""</f>
        <v>"GP Direct","Fabrikam, Inc.","GL20000","DEX_ROW_ID","3983"</v>
      </c>
      <c r="L374" s="15">
        <v>42381</v>
      </c>
      <c r="M374">
        <v>983</v>
      </c>
      <c r="N374" t="str">
        <f>"Plaza One"</f>
        <v>Plaza One</v>
      </c>
      <c r="O374" t="str">
        <f>"STDINV2016"</f>
        <v>STDINV2016</v>
      </c>
      <c r="P374" t="str">
        <f>"Sales Transaction Entry"</f>
        <v>Sales Transaction Entry</v>
      </c>
      <c r="Q374" s="21" t="str">
        <f>"Tax"</f>
        <v>Tax</v>
      </c>
      <c r="R374" s="16">
        <v>0</v>
      </c>
      <c r="S374" s="16">
        <v>-9.5</v>
      </c>
      <c r="T374" s="19">
        <f t="shared" si="34"/>
        <v>-9.5</v>
      </c>
    </row>
    <row r="375" spans="1:20" x14ac:dyDescent="0.2">
      <c r="A375" s="28" t="s">
        <v>31</v>
      </c>
      <c r="B375" s="33"/>
      <c r="C375" s="33"/>
      <c r="F375" s="33">
        <f>F374</f>
        <v>79</v>
      </c>
      <c r="G375" s="33" t="str">
        <f>G374</f>
        <v>000-2310-00</v>
      </c>
      <c r="H375" s="36"/>
      <c r="K375" t="str">
        <f>"""GP Direct"",""Fabrikam, Inc."",""GL20000"",""DEX_ROW_ID"",""3993"""</f>
        <v>"GP Direct","Fabrikam, Inc.","GL20000","DEX_ROW_ID","3993"</v>
      </c>
      <c r="L375" s="15">
        <v>42382</v>
      </c>
      <c r="M375">
        <v>985</v>
      </c>
      <c r="N375" t="str">
        <f>"Central Communications LTD"</f>
        <v>Central Communications LTD</v>
      </c>
      <c r="O375" t="str">
        <f>"STDINV2017"</f>
        <v>STDINV2017</v>
      </c>
      <c r="P375" t="str">
        <f>"Sales Transaction Entry"</f>
        <v>Sales Transaction Entry</v>
      </c>
      <c r="Q375" s="21" t="str">
        <f>"Tax"</f>
        <v>Tax</v>
      </c>
      <c r="R375" s="16">
        <v>0</v>
      </c>
      <c r="S375" s="16">
        <v>-0.3</v>
      </c>
      <c r="T375" s="19">
        <f t="shared" si="34"/>
        <v>-0.3</v>
      </c>
    </row>
    <row r="376" spans="1:20" x14ac:dyDescent="0.2">
      <c r="A376" s="28" t="s">
        <v>31</v>
      </c>
      <c r="B376" s="33"/>
      <c r="C376" s="33"/>
      <c r="F376" s="33">
        <f>F375</f>
        <v>79</v>
      </c>
      <c r="G376" s="33" t="str">
        <f>G375</f>
        <v>000-2310-00</v>
      </c>
      <c r="H376" s="36"/>
      <c r="K376" t="str">
        <f>"""GP Direct"",""Fabrikam, Inc."",""GL20000"",""DEX_ROW_ID"",""4012"""</f>
        <v>"GP Direct","Fabrikam, Inc.","GL20000","DEX_ROW_ID","4012"</v>
      </c>
      <c r="L376" s="15">
        <v>42384</v>
      </c>
      <c r="M376">
        <v>989</v>
      </c>
      <c r="N376" t="str">
        <f>"Metropolitan Fiber Systems"</f>
        <v>Metropolitan Fiber Systems</v>
      </c>
      <c r="O376" t="str">
        <f>"STDINV2019"</f>
        <v>STDINV2019</v>
      </c>
      <c r="P376" t="str">
        <f>"Sales Transaction Entry"</f>
        <v>Sales Transaction Entry</v>
      </c>
      <c r="Q376" s="21" t="str">
        <f>"Tax"</f>
        <v>Tax</v>
      </c>
      <c r="R376" s="16">
        <v>0</v>
      </c>
      <c r="S376" s="16">
        <v>-0.3</v>
      </c>
      <c r="T376" s="19">
        <f t="shared" si="34"/>
        <v>-0.3</v>
      </c>
    </row>
    <row r="377" spans="1:20" x14ac:dyDescent="0.2">
      <c r="A377" s="28" t="s">
        <v>31</v>
      </c>
      <c r="B377" s="33"/>
      <c r="C377" s="33"/>
      <c r="F377" s="33">
        <f>F376</f>
        <v>79</v>
      </c>
      <c r="G377" s="33" t="str">
        <f>G376</f>
        <v>000-2310-00</v>
      </c>
      <c r="H377" s="36"/>
      <c r="K377" t="str">
        <f>"""GP Direct"",""Fabrikam, Inc."",""GL20000"",""DEX_ROW_ID"",""4030"""</f>
        <v>"GP Direct","Fabrikam, Inc.","GL20000","DEX_ROW_ID","4030"</v>
      </c>
      <c r="L377" s="15">
        <v>42386</v>
      </c>
      <c r="M377">
        <v>993</v>
      </c>
      <c r="N377" t="str">
        <f>"Lawrence Telemarketing"</f>
        <v>Lawrence Telemarketing</v>
      </c>
      <c r="O377" t="str">
        <f>"STDINV2021"</f>
        <v>STDINV2021</v>
      </c>
      <c r="P377" t="str">
        <f>"Sales Transaction Entry"</f>
        <v>Sales Transaction Entry</v>
      </c>
      <c r="Q377" s="21" t="str">
        <f>"Tax"</f>
        <v>Tax</v>
      </c>
      <c r="R377" s="16">
        <v>0</v>
      </c>
      <c r="S377" s="16">
        <v>-60</v>
      </c>
      <c r="T377" s="19">
        <f t="shared" si="34"/>
        <v>-60</v>
      </c>
    </row>
    <row r="378" spans="1:20" x14ac:dyDescent="0.2">
      <c r="A378" s="28" t="s">
        <v>31</v>
      </c>
      <c r="B378" s="33"/>
      <c r="C378" s="33"/>
      <c r="F378" s="33">
        <f>F377</f>
        <v>79</v>
      </c>
      <c r="G378" s="33" t="str">
        <f>G377</f>
        <v>000-2310-00</v>
      </c>
      <c r="H378" s="36"/>
      <c r="K378" t="str">
        <f>"""GP Direct"",""Fabrikam, Inc."",""GL20000"",""DEX_ROW_ID"",""4048"""</f>
        <v>"GP Direct","Fabrikam, Inc.","GL20000","DEX_ROW_ID","4048"</v>
      </c>
      <c r="L378" s="15">
        <v>42388</v>
      </c>
      <c r="M378">
        <v>997</v>
      </c>
      <c r="N378" t="str">
        <f>"Astor Suites"</f>
        <v>Astor Suites</v>
      </c>
      <c r="O378" t="str">
        <f>"STDINV2023"</f>
        <v>STDINV2023</v>
      </c>
      <c r="P378" t="str">
        <f>"Sales Transaction Entry"</f>
        <v>Sales Transaction Entry</v>
      </c>
      <c r="Q378" s="21" t="str">
        <f>"Tax"</f>
        <v>Tax</v>
      </c>
      <c r="R378" s="16">
        <v>0</v>
      </c>
      <c r="S378" s="16">
        <v>-0.3</v>
      </c>
      <c r="T378" s="19">
        <f t="shared" si="34"/>
        <v>-0.3</v>
      </c>
    </row>
    <row r="379" spans="1:20" x14ac:dyDescent="0.2">
      <c r="A379" s="28" t="s">
        <v>31</v>
      </c>
      <c r="B379" s="33"/>
      <c r="C379" s="33"/>
      <c r="F379" s="33">
        <f>F378</f>
        <v>79</v>
      </c>
      <c r="G379" s="33" t="str">
        <f>G378</f>
        <v>000-2310-00</v>
      </c>
      <c r="H379" s="36"/>
      <c r="K379" t="str">
        <f>"""GP Direct"",""Fabrikam, Inc."",""GL20000"",""DEX_ROW_ID"",""4058"""</f>
        <v>"GP Direct","Fabrikam, Inc.","GL20000","DEX_ROW_ID","4058"</v>
      </c>
      <c r="L379" s="15">
        <v>42390</v>
      </c>
      <c r="M379">
        <v>999</v>
      </c>
      <c r="N379" t="str">
        <f>"Plaza One"</f>
        <v>Plaza One</v>
      </c>
      <c r="O379" t="str">
        <f>"STDINV2024"</f>
        <v>STDINV2024</v>
      </c>
      <c r="P379" t="str">
        <f>"Sales Transaction Entry"</f>
        <v>Sales Transaction Entry</v>
      </c>
      <c r="Q379" s="21" t="str">
        <f>"Tax"</f>
        <v>Tax</v>
      </c>
      <c r="R379" s="16">
        <v>0</v>
      </c>
      <c r="S379" s="16">
        <v>-7.6</v>
      </c>
      <c r="T379" s="19">
        <f t="shared" si="34"/>
        <v>-7.6</v>
      </c>
    </row>
    <row r="380" spans="1:20" x14ac:dyDescent="0.2">
      <c r="A380" s="28" t="s">
        <v>31</v>
      </c>
      <c r="B380" s="33"/>
      <c r="C380" s="33"/>
      <c r="F380" s="33">
        <f>F379</f>
        <v>79</v>
      </c>
      <c r="G380" s="33" t="str">
        <f>G379</f>
        <v>000-2310-00</v>
      </c>
      <c r="H380" s="36"/>
      <c r="K380" t="str">
        <f>"""GP Direct"",""Fabrikam, Inc."",""GL20000"",""DEX_ROW_ID"",""4077"""</f>
        <v>"GP Direct","Fabrikam, Inc.","GL20000","DEX_ROW_ID","4077"</v>
      </c>
      <c r="L380" s="15">
        <v>42392</v>
      </c>
      <c r="M380">
        <v>1003</v>
      </c>
      <c r="N380" t="str">
        <f>"Aaron Fitz Electrical"</f>
        <v>Aaron Fitz Electrical</v>
      </c>
      <c r="O380" t="str">
        <f>"STDINV2026"</f>
        <v>STDINV2026</v>
      </c>
      <c r="P380" t="str">
        <f>"Sales Transaction Entry"</f>
        <v>Sales Transaction Entry</v>
      </c>
      <c r="Q380" s="21" t="str">
        <f>"Tax"</f>
        <v>Tax</v>
      </c>
      <c r="R380" s="16">
        <v>0</v>
      </c>
      <c r="S380" s="16">
        <v>-1.2</v>
      </c>
      <c r="T380" s="19">
        <f t="shared" si="34"/>
        <v>-1.2</v>
      </c>
    </row>
    <row r="381" spans="1:20" x14ac:dyDescent="0.2">
      <c r="A381" s="28" t="s">
        <v>31</v>
      </c>
      <c r="B381" s="33"/>
      <c r="C381" s="33"/>
      <c r="F381" s="33">
        <f>F380</f>
        <v>79</v>
      </c>
      <c r="G381" s="33" t="str">
        <f>G380</f>
        <v>000-2310-00</v>
      </c>
      <c r="H381" s="36"/>
      <c r="K381" t="str">
        <f>"""GP Direct"",""Fabrikam, Inc."",""GL20000"",""DEX_ROW_ID"",""4087"""</f>
        <v>"GP Direct","Fabrikam, Inc.","GL20000","DEX_ROW_ID","4087"</v>
      </c>
      <c r="L381" s="15">
        <v>42393</v>
      </c>
      <c r="M381">
        <v>1005</v>
      </c>
      <c r="N381" t="str">
        <f>"Aaron Fitz Electrical"</f>
        <v>Aaron Fitz Electrical</v>
      </c>
      <c r="O381" t="str">
        <f>"STDINV2027"</f>
        <v>STDINV2027</v>
      </c>
      <c r="P381" t="str">
        <f>"Sales Transaction Entry"</f>
        <v>Sales Transaction Entry</v>
      </c>
      <c r="Q381" s="21" t="str">
        <f>"Tax"</f>
        <v>Tax</v>
      </c>
      <c r="R381" s="16">
        <v>0</v>
      </c>
      <c r="S381" s="16">
        <v>-1.1000000000000001</v>
      </c>
      <c r="T381" s="19">
        <f t="shared" si="34"/>
        <v>-1.1000000000000001</v>
      </c>
    </row>
    <row r="382" spans="1:20" x14ac:dyDescent="0.2">
      <c r="A382" s="28" t="s">
        <v>31</v>
      </c>
      <c r="B382" s="33"/>
      <c r="C382" s="33"/>
      <c r="F382" s="33">
        <f>F381</f>
        <v>79</v>
      </c>
      <c r="G382" s="33" t="str">
        <f>G381</f>
        <v>000-2310-00</v>
      </c>
      <c r="H382" s="36"/>
      <c r="K382" t="str">
        <f>"""GP Direct"",""Fabrikam, Inc."",""GL20000"",""DEX_ROW_ID"",""4097"""</f>
        <v>"GP Direct","Fabrikam, Inc.","GL20000","DEX_ROW_ID","4097"</v>
      </c>
      <c r="L382" s="15">
        <v>42394</v>
      </c>
      <c r="M382">
        <v>1007</v>
      </c>
      <c r="N382" t="str">
        <f>"Adam Park Resort"</f>
        <v>Adam Park Resort</v>
      </c>
      <c r="O382" t="str">
        <f>"STDINV2028"</f>
        <v>STDINV2028</v>
      </c>
      <c r="P382" t="str">
        <f>"Sales Transaction Entry"</f>
        <v>Sales Transaction Entry</v>
      </c>
      <c r="Q382" s="21" t="str">
        <f>"Tax"</f>
        <v>Tax</v>
      </c>
      <c r="R382" s="16">
        <v>0</v>
      </c>
      <c r="S382" s="16">
        <v>-6</v>
      </c>
      <c r="T382" s="19">
        <f t="shared" si="34"/>
        <v>-6</v>
      </c>
    </row>
    <row r="383" spans="1:20" x14ac:dyDescent="0.2">
      <c r="A383" s="28" t="s">
        <v>31</v>
      </c>
      <c r="B383" s="33"/>
      <c r="C383" s="33"/>
      <c r="F383" s="33">
        <f>F382</f>
        <v>79</v>
      </c>
      <c r="G383" s="33" t="str">
        <f>G382</f>
        <v>000-2310-00</v>
      </c>
      <c r="H383" s="36"/>
      <c r="K383" t="str">
        <f>"""GP Direct"",""Fabrikam, Inc."",""GL20000"",""DEX_ROW_ID"",""4107"""</f>
        <v>"GP Direct","Fabrikam, Inc.","GL20000","DEX_ROW_ID","4107"</v>
      </c>
      <c r="L383" s="15">
        <v>42395</v>
      </c>
      <c r="M383">
        <v>1009</v>
      </c>
      <c r="N383" t="str">
        <f>"Aaron Fitz Electrical"</f>
        <v>Aaron Fitz Electrical</v>
      </c>
      <c r="O383" t="str">
        <f>"STDINV2029"</f>
        <v>STDINV2029</v>
      </c>
      <c r="P383" t="str">
        <f>"Sales Transaction Entry"</f>
        <v>Sales Transaction Entry</v>
      </c>
      <c r="Q383" s="21" t="str">
        <f>"Tax"</f>
        <v>Tax</v>
      </c>
      <c r="R383" s="16">
        <v>0</v>
      </c>
      <c r="S383" s="16">
        <v>-6</v>
      </c>
      <c r="T383" s="19">
        <f t="shared" si="34"/>
        <v>-6</v>
      </c>
    </row>
    <row r="384" spans="1:20" x14ac:dyDescent="0.2">
      <c r="A384" s="28" t="s">
        <v>31</v>
      </c>
      <c r="B384" s="33"/>
      <c r="C384" s="33"/>
      <c r="F384" s="33">
        <f>F383</f>
        <v>79</v>
      </c>
      <c r="G384" s="33" t="str">
        <f>G383</f>
        <v>000-2310-00</v>
      </c>
      <c r="H384" s="36"/>
      <c r="K384" t="str">
        <f>"""GP Direct"",""Fabrikam, Inc."",""GL20000"",""DEX_ROW_ID"",""4117"""</f>
        <v>"GP Direct","Fabrikam, Inc.","GL20000","DEX_ROW_ID","4117"</v>
      </c>
      <c r="L384" s="15">
        <v>42396</v>
      </c>
      <c r="M384">
        <v>1011</v>
      </c>
      <c r="N384" t="str">
        <f>"Aaron Fitz Electrical"</f>
        <v>Aaron Fitz Electrical</v>
      </c>
      <c r="O384" t="str">
        <f>"STDINV2030"</f>
        <v>STDINV2030</v>
      </c>
      <c r="P384" t="str">
        <f>"Sales Transaction Entry"</f>
        <v>Sales Transaction Entry</v>
      </c>
      <c r="Q384" s="21" t="str">
        <f>"Tax"</f>
        <v>Tax</v>
      </c>
      <c r="R384" s="16">
        <v>0</v>
      </c>
      <c r="S384" s="16">
        <v>-1.2</v>
      </c>
      <c r="T384" s="19">
        <f t="shared" si="34"/>
        <v>-1.2</v>
      </c>
    </row>
    <row r="385" spans="1:20" x14ac:dyDescent="0.2">
      <c r="A385" s="28" t="s">
        <v>31</v>
      </c>
      <c r="B385" s="33"/>
      <c r="C385" s="33"/>
      <c r="F385" s="33">
        <f>F384</f>
        <v>79</v>
      </c>
      <c r="G385" s="33" t="str">
        <f>G384</f>
        <v>000-2310-00</v>
      </c>
      <c r="H385" s="36"/>
      <c r="K385" t="str">
        <f>"""GP Direct"",""Fabrikam, Inc."",""GL20000"",""DEX_ROW_ID"",""4127"""</f>
        <v>"GP Direct","Fabrikam, Inc.","GL20000","DEX_ROW_ID","4127"</v>
      </c>
      <c r="L385" s="15">
        <v>42397</v>
      </c>
      <c r="M385">
        <v>1013</v>
      </c>
      <c r="N385" t="str">
        <f>"Contoso, Ltd."</f>
        <v>Contoso, Ltd.</v>
      </c>
      <c r="O385" t="str">
        <f>"STDINV2031"</f>
        <v>STDINV2031</v>
      </c>
      <c r="P385" t="str">
        <f>"Sales Transaction Entry"</f>
        <v>Sales Transaction Entry</v>
      </c>
      <c r="Q385" s="21" t="str">
        <f>"Tax"</f>
        <v>Tax</v>
      </c>
      <c r="R385" s="16">
        <v>0</v>
      </c>
      <c r="S385" s="16">
        <v>-3</v>
      </c>
      <c r="T385" s="19">
        <f t="shared" si="34"/>
        <v>-3</v>
      </c>
    </row>
    <row r="386" spans="1:20" x14ac:dyDescent="0.2">
      <c r="A386" s="28" t="s">
        <v>31</v>
      </c>
      <c r="B386" s="33"/>
      <c r="C386" s="33"/>
      <c r="F386" s="33">
        <f>F385</f>
        <v>79</v>
      </c>
      <c r="G386" s="33" t="str">
        <f>G385</f>
        <v>000-2310-00</v>
      </c>
      <c r="H386" s="36"/>
      <c r="K386" t="str">
        <f>"""GP Direct"",""Fabrikam, Inc."",""GL20000"",""DEX_ROW_ID"",""4146"""</f>
        <v>"GP Direct","Fabrikam, Inc.","GL20000","DEX_ROW_ID","4146"</v>
      </c>
      <c r="L386" s="15">
        <v>42399</v>
      </c>
      <c r="M386">
        <v>1017</v>
      </c>
      <c r="N386" t="str">
        <f>"Plaza One"</f>
        <v>Plaza One</v>
      </c>
      <c r="O386" t="str">
        <f>"STDINV2033"</f>
        <v>STDINV2033</v>
      </c>
      <c r="P386" t="str">
        <f>"Sales Transaction Entry"</f>
        <v>Sales Transaction Entry</v>
      </c>
      <c r="Q386" s="21" t="str">
        <f>"Tax"</f>
        <v>Tax</v>
      </c>
      <c r="R386" s="16">
        <v>0</v>
      </c>
      <c r="S386" s="16">
        <v>-2.4</v>
      </c>
      <c r="T386" s="19">
        <f t="shared" si="34"/>
        <v>-2.4</v>
      </c>
    </row>
    <row r="387" spans="1:20" x14ac:dyDescent="0.2">
      <c r="A387" s="28" t="s">
        <v>31</v>
      </c>
      <c r="B387" s="33"/>
      <c r="C387" s="33"/>
      <c r="F387" s="33">
        <f>F386</f>
        <v>79</v>
      </c>
      <c r="G387" s="33" t="str">
        <f>G386</f>
        <v>000-2310-00</v>
      </c>
      <c r="H387" s="36"/>
      <c r="K387" t="str">
        <f>"""GP Direct"",""Fabrikam, Inc."",""GL20000"",""DEX_ROW_ID"",""4156"""</f>
        <v>"GP Direct","Fabrikam, Inc.","GL20000","DEX_ROW_ID","4156"</v>
      </c>
      <c r="L387" s="15">
        <v>42400</v>
      </c>
      <c r="M387">
        <v>1019</v>
      </c>
      <c r="N387" t="str">
        <f>"Central Communications LTD"</f>
        <v>Central Communications LTD</v>
      </c>
      <c r="O387" t="str">
        <f>"STDINV2034"</f>
        <v>STDINV2034</v>
      </c>
      <c r="P387" t="str">
        <f>"Sales Transaction Entry"</f>
        <v>Sales Transaction Entry</v>
      </c>
      <c r="Q387" s="21" t="str">
        <f>"Tax"</f>
        <v>Tax</v>
      </c>
      <c r="R387" s="16">
        <v>0</v>
      </c>
      <c r="S387" s="16">
        <v>-3</v>
      </c>
      <c r="T387" s="19">
        <f t="shared" si="34"/>
        <v>-3</v>
      </c>
    </row>
    <row r="388" spans="1:20" x14ac:dyDescent="0.2">
      <c r="A388" s="28" t="s">
        <v>31</v>
      </c>
      <c r="B388" s="33"/>
      <c r="C388" s="33"/>
      <c r="F388" s="33">
        <f>F387</f>
        <v>79</v>
      </c>
      <c r="G388" s="33" t="str">
        <f>G387</f>
        <v>000-2310-00</v>
      </c>
      <c r="H388" s="36"/>
      <c r="K388" t="str">
        <f>"""GP Direct"",""Fabrikam, Inc."",""GL20000"",""DEX_ROW_ID"",""4935"""</f>
        <v>"GP Direct","Fabrikam, Inc.","GL20000","DEX_ROW_ID","4935"</v>
      </c>
      <c r="L388" s="15">
        <v>42377</v>
      </c>
      <c r="M388">
        <v>1204</v>
      </c>
      <c r="N388" t="str">
        <f>"Aaron Fitz Electrical"</f>
        <v>Aaron Fitz Electrical</v>
      </c>
      <c r="O388" t="str">
        <f>"STDINV2120"</f>
        <v>STDINV2120</v>
      </c>
      <c r="P388" t="str">
        <f>"Sales Transaction Entry"</f>
        <v>Sales Transaction Entry</v>
      </c>
      <c r="Q388" s="21" t="str">
        <f>"Tax"</f>
        <v>Tax</v>
      </c>
      <c r="R388" s="16">
        <v>0</v>
      </c>
      <c r="S388" s="16">
        <v>-11.4</v>
      </c>
      <c r="T388" s="19">
        <f t="shared" si="34"/>
        <v>-11.4</v>
      </c>
    </row>
    <row r="389" spans="1:20" x14ac:dyDescent="0.2">
      <c r="A389" s="28" t="s">
        <v>31</v>
      </c>
      <c r="B389" s="33"/>
      <c r="C389" s="33"/>
      <c r="F389" s="33">
        <f>F388</f>
        <v>79</v>
      </c>
      <c r="G389" s="33" t="str">
        <f>G388</f>
        <v>000-2310-00</v>
      </c>
      <c r="H389" s="36"/>
      <c r="K389" t="str">
        <f>"""GP Direct"",""Fabrikam, Inc."",""GL20000"",""DEX_ROW_ID"",""4948"""</f>
        <v>"GP Direct","Fabrikam, Inc.","GL20000","DEX_ROW_ID","4948"</v>
      </c>
      <c r="L389" s="15">
        <v>42377</v>
      </c>
      <c r="M389">
        <v>1205</v>
      </c>
      <c r="N389" t="str">
        <f>"Advanced Paper Co."</f>
        <v>Advanced Paper Co.</v>
      </c>
      <c r="O389" t="str">
        <f>"STDINV2121"</f>
        <v>STDINV2121</v>
      </c>
      <c r="P389" t="str">
        <f>"Sales Transaction Entry"</f>
        <v>Sales Transaction Entry</v>
      </c>
      <c r="Q389" s="21" t="str">
        <f>"Tax"</f>
        <v>Tax</v>
      </c>
      <c r="R389" s="16">
        <v>0</v>
      </c>
      <c r="S389" s="16">
        <v>-2.4</v>
      </c>
      <c r="T389" s="19">
        <f t="shared" si="34"/>
        <v>-2.4</v>
      </c>
    </row>
    <row r="390" spans="1:20" x14ac:dyDescent="0.2">
      <c r="A390" s="28" t="s">
        <v>31</v>
      </c>
      <c r="B390" s="33"/>
      <c r="C390" s="33"/>
      <c r="F390" s="33">
        <f>F370</f>
        <v>79</v>
      </c>
      <c r="G390" s="33" t="str">
        <f>G370</f>
        <v>000-2310-00</v>
      </c>
      <c r="H390" s="36"/>
    </row>
    <row r="391" spans="1:20" x14ac:dyDescent="0.2">
      <c r="A391" s="28" t="s">
        <v>31</v>
      </c>
      <c r="I391" s="37" t="str">
        <f>I368&amp;"   "&amp;J368&amp;"         Total:"</f>
        <v>000-2310-00   Chicago City Sales Tax Payable         Total:</v>
      </c>
      <c r="J391" s="37"/>
      <c r="K391" s="37"/>
      <c r="L391" s="37"/>
      <c r="M391" s="37"/>
      <c r="N391" s="37"/>
      <c r="O391" s="37"/>
      <c r="P391" s="37"/>
      <c r="Q391" s="37"/>
      <c r="R391" s="37"/>
      <c r="S391" s="37"/>
      <c r="T391" s="23">
        <f t="shared" ref="T391" si="35">SUBTOTAL(9,T369:T390)</f>
        <v>-132.1</v>
      </c>
    </row>
    <row r="392" spans="1:20" x14ac:dyDescent="0.2">
      <c r="A392" s="28" t="s">
        <v>31</v>
      </c>
    </row>
    <row r="393" spans="1:20" x14ac:dyDescent="0.2">
      <c r="A393" s="28" t="s">
        <v>31</v>
      </c>
      <c r="D393" s="28" t="str">
        <f>"||""Filter"",""GL20000"",""ACTINDX"",""TRXDATE"",""1/1/2016..1/31/2016"",""ACTINDX"",""||""""Filter"""",""""GL00105"""",""""ACTINDX"""",""""ACTNUMBR_1"""",""""*"""",""""ACTNUMBR_2"""",""""*"""",""""ACTNUMBR_3"""",""""*"""","""""""","""""""","""""""","""""""","""""""","""""""","""""""","""""""","""""""","""""""","""""""","""""""","""""""","""""""""","""","""","""","""&amp;""","""","""","""","""","""","""","""","""","""","""","""","""""</f>
        <v>||"Filter","GL20000","ACTINDX","TRXDATE","1/1/2016..1/31/2016","ACTINDX","||""Filter"",""GL00105"",""ACTINDX"",""ACTNUMBR_1"",""*"",""ACTNUMBR_2"",""*"",""ACTNUMBR_3"",""*"","""","""","""","""","""","""","""","""","""","""","""","""","""",""""","","","","","","","","","","","","","","","",""</v>
      </c>
      <c r="E393" s="28" t="str">
        <f>"||""Filter"",""GL30000"",""ACTINDX"",""TRXDATE"",""1/1/2016..1/31/2016"",""ACTINDX"",""||""""Filter"""",""""GL00105"""",""""ACTINDX"""",""""ACTNUMBR_1"""",""""*"""",""""ACTNUMBR_2"""",""""*"""",""""ACTNUMBR_3"""",""""*"""","""""""","""""""","""""""","""""""","""""""","""""""","""""""","""""""","""""""","""""""","""""""","""""""","""""""","""""""""","""","""","""","""&amp;""","""","""","""","""","""","""","""","""","""","""","""","""""</f>
        <v>||"Filter","GL30000","ACTINDX","TRXDATE","1/1/2016..1/31/2016","ACTINDX","||""Filter"",""GL00105"",""ACTINDX"",""ACTNUMBR_1"",""*"",""ACTNUMBR_2"",""*"",""ACTNUMBR_3"",""*"","""","""","""","""","""","""","""","""","""","""","""","""","""",""""","","","","","","","","","","","","","","","",""</v>
      </c>
      <c r="F393" s="28">
        <v>82</v>
      </c>
      <c r="G393" s="28" t="str">
        <f>"000-2320-00"</f>
        <v>000-2320-00</v>
      </c>
      <c r="I393" s="17" t="str">
        <f>G393</f>
        <v>000-2320-00</v>
      </c>
      <c r="J393" s="17" t="str">
        <f>"GST Collected-Canada"</f>
        <v>GST Collected-Canada</v>
      </c>
      <c r="Q393" s="17"/>
      <c r="R393" s="18"/>
    </row>
    <row r="394" spans="1:20" x14ac:dyDescent="0.2">
      <c r="A394" s="28" t="s">
        <v>31</v>
      </c>
      <c r="B394" s="33"/>
      <c r="C394" s="33"/>
      <c r="F394" s="33">
        <f>F393</f>
        <v>82</v>
      </c>
      <c r="G394" s="33" t="str">
        <f>G393</f>
        <v>000-2320-00</v>
      </c>
      <c r="H394" s="36"/>
      <c r="L394" s="15"/>
      <c r="Q394" s="21"/>
      <c r="R394" s="16"/>
      <c r="S394" s="16">
        <f>IF($K394="",0,-_xll.NF($K394,"CRDTAMNT"))</f>
        <v>0</v>
      </c>
      <c r="T394" s="19">
        <f t="shared" ref="T394:T395" si="36">SUM(R394:S394)</f>
        <v>0</v>
      </c>
    </row>
    <row r="395" spans="1:20" x14ac:dyDescent="0.2">
      <c r="A395" s="28" t="s">
        <v>31</v>
      </c>
      <c r="B395" s="33"/>
      <c r="C395" s="33"/>
      <c r="F395" s="33">
        <f>F394</f>
        <v>82</v>
      </c>
      <c r="G395" s="33" t="str">
        <f>G394</f>
        <v>000-2320-00</v>
      </c>
      <c r="H395" s="36"/>
      <c r="K395" t="str">
        <f>"""GP Direct"",""Fabrikam, Inc."",""GL20000"",""DEX_ROW_ID"",""3973"""</f>
        <v>"GP Direct","Fabrikam, Inc.","GL20000","DEX_ROW_ID","3973"</v>
      </c>
      <c r="L395" s="15">
        <v>42380</v>
      </c>
      <c r="M395">
        <v>981</v>
      </c>
      <c r="N395" t="str">
        <f>"Vancouver Resort Hotels"</f>
        <v>Vancouver Resort Hotels</v>
      </c>
      <c r="O395" t="str">
        <f>"STDINV2015"</f>
        <v>STDINV2015</v>
      </c>
      <c r="P395" t="str">
        <f>"Sales Transaction Entry"</f>
        <v>Sales Transaction Entry</v>
      </c>
      <c r="Q395" s="21" t="str">
        <f>"Tax"</f>
        <v>Tax</v>
      </c>
      <c r="R395" s="16">
        <v>0</v>
      </c>
      <c r="S395" s="16">
        <v>-42.7</v>
      </c>
      <c r="T395" s="19">
        <f t="shared" si="36"/>
        <v>-42.7</v>
      </c>
    </row>
    <row r="396" spans="1:20" x14ac:dyDescent="0.2">
      <c r="A396" s="28" t="s">
        <v>31</v>
      </c>
      <c r="B396" s="33"/>
      <c r="C396" s="33"/>
      <c r="F396" s="33">
        <f>F395</f>
        <v>82</v>
      </c>
      <c r="G396" s="33" t="str">
        <f>G395</f>
        <v>000-2320-00</v>
      </c>
      <c r="H396" s="36"/>
      <c r="K396" t="str">
        <f>"""GP Direct"",""Fabrikam, Inc."",""GL20000"",""DEX_ROW_ID"",""4002"""</f>
        <v>"GP Direct","Fabrikam, Inc.","GL20000","DEX_ROW_ID","4002"</v>
      </c>
      <c r="L396" s="15">
        <v>42383</v>
      </c>
      <c r="M396">
        <v>987</v>
      </c>
      <c r="N396" t="str">
        <f>"Magnificent Office Images"</f>
        <v>Magnificent Office Images</v>
      </c>
      <c r="O396" t="str">
        <f>"STDINV2018"</f>
        <v>STDINV2018</v>
      </c>
      <c r="P396" t="str">
        <f>"Sales Transaction Entry"</f>
        <v>Sales Transaction Entry</v>
      </c>
      <c r="Q396" s="21" t="str">
        <f>"Tax"</f>
        <v>Tax</v>
      </c>
      <c r="R396" s="16">
        <v>0</v>
      </c>
      <c r="S396" s="16">
        <v>-50.4</v>
      </c>
      <c r="T396" s="19">
        <f t="shared" ref="T396:T398" si="37">SUM(R396:S396)</f>
        <v>-50.4</v>
      </c>
    </row>
    <row r="397" spans="1:20" x14ac:dyDescent="0.2">
      <c r="A397" s="28" t="s">
        <v>31</v>
      </c>
      <c r="B397" s="33"/>
      <c r="C397" s="33"/>
      <c r="F397" s="33">
        <f>F396</f>
        <v>82</v>
      </c>
      <c r="G397" s="33" t="str">
        <f>G396</f>
        <v>000-2320-00</v>
      </c>
      <c r="H397" s="36"/>
      <c r="K397" t="str">
        <f>"""GP Direct"",""Fabrikam, Inc."",""GL20000"",""DEX_ROW_ID"",""4067"""</f>
        <v>"GP Direct","Fabrikam, Inc.","GL20000","DEX_ROW_ID","4067"</v>
      </c>
      <c r="L397" s="15">
        <v>42391</v>
      </c>
      <c r="M397">
        <v>1001</v>
      </c>
      <c r="N397" t="str">
        <f>"Vancouver Resort Hotels"</f>
        <v>Vancouver Resort Hotels</v>
      </c>
      <c r="O397" t="str">
        <f>"STDINV2025"</f>
        <v>STDINV2025</v>
      </c>
      <c r="P397" t="str">
        <f>"Sales Transaction Entry"</f>
        <v>Sales Transaction Entry</v>
      </c>
      <c r="Q397" s="21" t="str">
        <f>"Tax"</f>
        <v>Tax</v>
      </c>
      <c r="R397" s="16">
        <v>0</v>
      </c>
      <c r="S397" s="16">
        <v>-1679.97</v>
      </c>
      <c r="T397" s="19">
        <f t="shared" si="37"/>
        <v>-1679.97</v>
      </c>
    </row>
    <row r="398" spans="1:20" x14ac:dyDescent="0.2">
      <c r="A398" s="28" t="s">
        <v>31</v>
      </c>
      <c r="B398" s="33"/>
      <c r="C398" s="33"/>
      <c r="F398" s="33">
        <f>F397</f>
        <v>82</v>
      </c>
      <c r="G398" s="33" t="str">
        <f>G397</f>
        <v>000-2320-00</v>
      </c>
      <c r="H398" s="36"/>
      <c r="K398" t="str">
        <f>"""GP Direct"",""Fabrikam, Inc."",""GL20000"",""DEX_ROW_ID"",""4136"""</f>
        <v>"GP Direct","Fabrikam, Inc.","GL20000","DEX_ROW_ID","4136"</v>
      </c>
      <c r="L398" s="15">
        <v>42398</v>
      </c>
      <c r="M398">
        <v>1015</v>
      </c>
      <c r="N398" t="str">
        <f>"Vancouver Resort Hotels"</f>
        <v>Vancouver Resort Hotels</v>
      </c>
      <c r="O398" t="str">
        <f>"STDINV2032"</f>
        <v>STDINV2032</v>
      </c>
      <c r="P398" t="str">
        <f>"Sales Transaction Entry"</f>
        <v>Sales Transaction Entry</v>
      </c>
      <c r="Q398" s="21" t="str">
        <f>"Tax"</f>
        <v>Tax</v>
      </c>
      <c r="R398" s="16">
        <v>0</v>
      </c>
      <c r="S398" s="16">
        <v>-4.2</v>
      </c>
      <c r="T398" s="19">
        <f t="shared" si="37"/>
        <v>-4.2</v>
      </c>
    </row>
    <row r="399" spans="1:20" x14ac:dyDescent="0.2">
      <c r="A399" s="28" t="s">
        <v>31</v>
      </c>
      <c r="B399" s="33"/>
      <c r="C399" s="33"/>
      <c r="F399" s="33">
        <f>F395</f>
        <v>82</v>
      </c>
      <c r="G399" s="33" t="str">
        <f>G395</f>
        <v>000-2320-00</v>
      </c>
      <c r="H399" s="36"/>
    </row>
    <row r="400" spans="1:20" x14ac:dyDescent="0.2">
      <c r="A400" s="28" t="s">
        <v>31</v>
      </c>
      <c r="I400" s="37" t="str">
        <f>I393&amp;"   "&amp;J393&amp;"         Total:"</f>
        <v>000-2320-00   GST Collected-Canada         Total:</v>
      </c>
      <c r="J400" s="37"/>
      <c r="K400" s="37"/>
      <c r="L400" s="37"/>
      <c r="M400" s="37"/>
      <c r="N400" s="37"/>
      <c r="O400" s="37"/>
      <c r="P400" s="37"/>
      <c r="Q400" s="37"/>
      <c r="R400" s="37"/>
      <c r="S400" s="37"/>
      <c r="T400" s="23">
        <f t="shared" ref="T400" si="38">SUBTOTAL(9,T394:T399)</f>
        <v>-1777.27</v>
      </c>
    </row>
    <row r="401" spans="1:20" x14ac:dyDescent="0.2">
      <c r="A401" s="28" t="s">
        <v>31</v>
      </c>
    </row>
    <row r="402" spans="1:20" x14ac:dyDescent="0.2">
      <c r="A402" s="28" t="s">
        <v>31</v>
      </c>
      <c r="D402" s="28" t="str">
        <f>"||""Filter"",""GL20000"",""ACTINDX"",""TRXDATE"",""1/1/2016..1/31/2016"",""ACTINDX"",""||""""Filter"""",""""GL00105"""",""""ACTINDX"""",""""ACTNUMBR_1"""",""""*"""",""""ACTNUMBR_2"""",""""*"""",""""ACTNUMBR_3"""",""""*"""","""""""","""""""","""""""","""""""","""""""","""""""","""""""","""""""","""""""","""""""","""""""","""""""","""""""","""""""""","""","""","""","""&amp;""","""","""","""","""","""","""","""","""","""","""","""","""""</f>
        <v>||"Filter","GL20000","ACTINDX","TRXDATE","1/1/2016..1/31/2016","ACTINDX","||""Filter"",""GL00105"",""ACTINDX"",""ACTNUMBR_1"",""*"",""ACTNUMBR_2"",""*"",""ACTNUMBR_3"",""*"","""","""","""","""","""","""","""","""","""","""","""","""","""",""""","","","","","","","","","","","","","","","",""</v>
      </c>
      <c r="E402" s="28" t="str">
        <f>"||""Filter"",""GL30000"",""ACTINDX"",""TRXDATE"",""1/1/2016..1/31/2016"",""ACTINDX"",""||""""Filter"""",""""GL00105"""",""""ACTINDX"""",""""ACTNUMBR_1"""",""""*"""",""""ACTNUMBR_2"""",""""*"""",""""ACTNUMBR_3"""",""""*"""","""""""","""""""","""""""","""""""","""""""","""""""","""""""","""""""","""""""","""""""","""""""","""""""","""""""","""""""""","""","""","""","""&amp;""","""","""","""","""","""","""","""","""","""","""","""","""""</f>
        <v>||"Filter","GL30000","ACTINDX","TRXDATE","1/1/2016..1/31/2016","ACTINDX","||""Filter"",""GL00105"",""ACTINDX"",""ACTNUMBR_1"",""*"",""ACTNUMBR_2"",""*"",""ACTNUMBR_3"",""*"","""","""","""","""","""","""","""","""","""","""","""","""","""",""""","","","","","","","","","","","","","","","",""</v>
      </c>
      <c r="F402" s="28">
        <v>112</v>
      </c>
      <c r="G402" s="28" t="str">
        <f>"000-4100-00"</f>
        <v>000-4100-00</v>
      </c>
      <c r="I402" s="17" t="str">
        <f>G402</f>
        <v>000-4100-00</v>
      </c>
      <c r="J402" s="17" t="str">
        <f>"Sales"</f>
        <v>Sales</v>
      </c>
      <c r="Q402" s="17"/>
      <c r="R402" s="18"/>
    </row>
    <row r="403" spans="1:20" x14ac:dyDescent="0.2">
      <c r="A403" s="28" t="s">
        <v>31</v>
      </c>
      <c r="B403" s="33"/>
      <c r="C403" s="33"/>
      <c r="F403" s="33">
        <f>F402</f>
        <v>112</v>
      </c>
      <c r="G403" s="33" t="str">
        <f>G402</f>
        <v>000-4100-00</v>
      </c>
      <c r="H403" s="36"/>
      <c r="L403" s="15"/>
      <c r="Q403" s="21"/>
      <c r="R403" s="16"/>
      <c r="S403" s="16">
        <f>IF($K403="",0,-_xll.NF($K403,"CRDTAMNT"))</f>
        <v>0</v>
      </c>
      <c r="T403" s="19">
        <f t="shared" ref="T403:T404" si="39">SUM(R403:S403)</f>
        <v>0</v>
      </c>
    </row>
    <row r="404" spans="1:20" x14ac:dyDescent="0.2">
      <c r="A404" s="28" t="s">
        <v>31</v>
      </c>
      <c r="B404" s="33"/>
      <c r="C404" s="33"/>
      <c r="F404" s="33">
        <f>F403</f>
        <v>112</v>
      </c>
      <c r="G404" s="33" t="str">
        <f>G403</f>
        <v>000-4100-00</v>
      </c>
      <c r="H404" s="36"/>
      <c r="K404" t="str">
        <f>"""GP Direct"",""Fabrikam, Inc."",""GL20000"",""DEX_ROW_ID"",""4095"""</f>
        <v>"GP Direct","Fabrikam, Inc.","GL20000","DEX_ROW_ID","4095"</v>
      </c>
      <c r="L404" s="15">
        <v>42394</v>
      </c>
      <c r="M404">
        <v>1007</v>
      </c>
      <c r="N404" t="str">
        <f>"Adam Park Resort"</f>
        <v>Adam Park Resort</v>
      </c>
      <c r="O404" t="str">
        <f>"STDINV2028"</f>
        <v>STDINV2028</v>
      </c>
      <c r="P404" t="str">
        <f>"Sales Transaction Entry"</f>
        <v>Sales Transaction Entry</v>
      </c>
      <c r="Q404" s="21" t="str">
        <f>"Sales"</f>
        <v>Sales</v>
      </c>
      <c r="R404" s="16">
        <v>0</v>
      </c>
      <c r="S404" s="16">
        <v>-599.5</v>
      </c>
      <c r="T404" s="19">
        <f t="shared" si="39"/>
        <v>-599.5</v>
      </c>
    </row>
    <row r="405" spans="1:20" x14ac:dyDescent="0.2">
      <c r="A405" s="28" t="s">
        <v>31</v>
      </c>
      <c r="B405" s="33"/>
      <c r="C405" s="33"/>
      <c r="F405" s="33">
        <f>F404</f>
        <v>112</v>
      </c>
      <c r="G405" s="33" t="str">
        <f>G404</f>
        <v>000-4100-00</v>
      </c>
      <c r="H405" s="36"/>
      <c r="K405" t="str">
        <f>"""GP Direct"",""Fabrikam, Inc."",""GL20000"",""DEX_ROW_ID"",""4105"""</f>
        <v>"GP Direct","Fabrikam, Inc.","GL20000","DEX_ROW_ID","4105"</v>
      </c>
      <c r="L405" s="15">
        <v>42395</v>
      </c>
      <c r="M405">
        <v>1009</v>
      </c>
      <c r="N405" t="str">
        <f>"Aaron Fitz Electrical"</f>
        <v>Aaron Fitz Electrical</v>
      </c>
      <c r="O405" t="str">
        <f>"STDINV2029"</f>
        <v>STDINV2029</v>
      </c>
      <c r="P405" t="str">
        <f>"Sales Transaction Entry"</f>
        <v>Sales Transaction Entry</v>
      </c>
      <c r="Q405" s="21" t="str">
        <f>"Sales"</f>
        <v>Sales</v>
      </c>
      <c r="R405" s="16">
        <v>0</v>
      </c>
      <c r="S405" s="16">
        <v>-599.5</v>
      </c>
      <c r="T405" s="19">
        <f t="shared" ref="T405:T409" si="40">SUM(R405:S405)</f>
        <v>-599.5</v>
      </c>
    </row>
    <row r="406" spans="1:20" x14ac:dyDescent="0.2">
      <c r="A406" s="28" t="s">
        <v>31</v>
      </c>
      <c r="B406" s="33"/>
      <c r="C406" s="33"/>
      <c r="F406" s="33">
        <f>F405</f>
        <v>112</v>
      </c>
      <c r="G406" s="33" t="str">
        <f>G405</f>
        <v>000-4100-00</v>
      </c>
      <c r="H406" s="36"/>
      <c r="K406" t="str">
        <f>"""GP Direct"",""Fabrikam, Inc."",""GL20000"",""DEX_ROW_ID"",""4115"""</f>
        <v>"GP Direct","Fabrikam, Inc.","GL20000","DEX_ROW_ID","4115"</v>
      </c>
      <c r="L406" s="15">
        <v>42396</v>
      </c>
      <c r="M406">
        <v>1011</v>
      </c>
      <c r="N406" t="str">
        <f>"Aaron Fitz Electrical"</f>
        <v>Aaron Fitz Electrical</v>
      </c>
      <c r="O406" t="str">
        <f>"STDINV2030"</f>
        <v>STDINV2030</v>
      </c>
      <c r="P406" t="str">
        <f>"Sales Transaction Entry"</f>
        <v>Sales Transaction Entry</v>
      </c>
      <c r="Q406" s="21" t="str">
        <f>"Sales"</f>
        <v>Sales</v>
      </c>
      <c r="R406" s="16">
        <v>0</v>
      </c>
      <c r="S406" s="16">
        <v>-119.9</v>
      </c>
      <c r="T406" s="19">
        <f t="shared" si="40"/>
        <v>-119.9</v>
      </c>
    </row>
    <row r="407" spans="1:20" x14ac:dyDescent="0.2">
      <c r="A407" s="28" t="s">
        <v>31</v>
      </c>
      <c r="B407" s="33"/>
      <c r="C407" s="33"/>
      <c r="F407" s="33">
        <f>F406</f>
        <v>112</v>
      </c>
      <c r="G407" s="33" t="str">
        <f>G406</f>
        <v>000-4100-00</v>
      </c>
      <c r="H407" s="36"/>
      <c r="K407" t="str">
        <f>"""GP Direct"",""Fabrikam, Inc."",""GL20000"",""DEX_ROW_ID"",""4125"""</f>
        <v>"GP Direct","Fabrikam, Inc.","GL20000","DEX_ROW_ID","4125"</v>
      </c>
      <c r="L407" s="15">
        <v>42397</v>
      </c>
      <c r="M407">
        <v>1013</v>
      </c>
      <c r="N407" t="str">
        <f>"Contoso, Ltd."</f>
        <v>Contoso, Ltd.</v>
      </c>
      <c r="O407" t="str">
        <f>"STDINV2031"</f>
        <v>STDINV2031</v>
      </c>
      <c r="P407" t="str">
        <f>"Sales Transaction Entry"</f>
        <v>Sales Transaction Entry</v>
      </c>
      <c r="Q407" s="21" t="str">
        <f>"Sales"</f>
        <v>Sales</v>
      </c>
      <c r="R407" s="16">
        <v>0</v>
      </c>
      <c r="S407" s="16">
        <v>-299.75</v>
      </c>
      <c r="T407" s="19">
        <f t="shared" si="40"/>
        <v>-299.75</v>
      </c>
    </row>
    <row r="408" spans="1:20" x14ac:dyDescent="0.2">
      <c r="A408" s="28" t="s">
        <v>31</v>
      </c>
      <c r="B408" s="33"/>
      <c r="C408" s="33"/>
      <c r="F408" s="33">
        <f>F407</f>
        <v>112</v>
      </c>
      <c r="G408" s="33" t="str">
        <f>G407</f>
        <v>000-4100-00</v>
      </c>
      <c r="H408" s="36"/>
      <c r="K408" t="str">
        <f>"""GP Direct"",""Fabrikam, Inc."",""GL20000"",""DEX_ROW_ID"",""4135"""</f>
        <v>"GP Direct","Fabrikam, Inc.","GL20000","DEX_ROW_ID","4135"</v>
      </c>
      <c r="L408" s="15">
        <v>42398</v>
      </c>
      <c r="M408">
        <v>1015</v>
      </c>
      <c r="N408" t="str">
        <f>"Vancouver Resort Hotels"</f>
        <v>Vancouver Resort Hotels</v>
      </c>
      <c r="O408" t="str">
        <f>"STDINV2032"</f>
        <v>STDINV2032</v>
      </c>
      <c r="P408" t="str">
        <f>"Sales Transaction Entry"</f>
        <v>Sales Transaction Entry</v>
      </c>
      <c r="Q408" s="21" t="str">
        <f>"Sales"</f>
        <v>Sales</v>
      </c>
      <c r="R408" s="16">
        <v>0</v>
      </c>
      <c r="S408" s="16">
        <v>-59.95</v>
      </c>
      <c r="T408" s="19">
        <f t="shared" si="40"/>
        <v>-59.95</v>
      </c>
    </row>
    <row r="409" spans="1:20" x14ac:dyDescent="0.2">
      <c r="A409" s="28" t="s">
        <v>31</v>
      </c>
      <c r="B409" s="33"/>
      <c r="C409" s="33"/>
      <c r="F409" s="33">
        <f>F408</f>
        <v>112</v>
      </c>
      <c r="G409" s="33" t="str">
        <f>G408</f>
        <v>000-4100-00</v>
      </c>
      <c r="H409" s="36"/>
      <c r="K409" t="str">
        <f>"""GP Direct"",""Fabrikam, Inc."",""GL20000"",""DEX_ROW_ID"",""4154"""</f>
        <v>"GP Direct","Fabrikam, Inc.","GL20000","DEX_ROW_ID","4154"</v>
      </c>
      <c r="L409" s="15">
        <v>42400</v>
      </c>
      <c r="M409">
        <v>1019</v>
      </c>
      <c r="N409" t="str">
        <f>"Central Communications LTD"</f>
        <v>Central Communications LTD</v>
      </c>
      <c r="O409" t="str">
        <f>"STDINV2034"</f>
        <v>STDINV2034</v>
      </c>
      <c r="P409" t="str">
        <f>"Sales Transaction Entry"</f>
        <v>Sales Transaction Entry</v>
      </c>
      <c r="Q409" s="21" t="str">
        <f>"Sales"</f>
        <v>Sales</v>
      </c>
      <c r="R409" s="16">
        <v>0</v>
      </c>
      <c r="S409" s="16">
        <v>-299.75</v>
      </c>
      <c r="T409" s="19">
        <f t="shared" si="40"/>
        <v>-299.75</v>
      </c>
    </row>
    <row r="410" spans="1:20" x14ac:dyDescent="0.2">
      <c r="A410" s="28" t="s">
        <v>31</v>
      </c>
      <c r="B410" s="33"/>
      <c r="C410" s="33"/>
      <c r="F410" s="33">
        <f>F404</f>
        <v>112</v>
      </c>
      <c r="G410" s="33" t="str">
        <f>G404</f>
        <v>000-4100-00</v>
      </c>
      <c r="H410" s="36"/>
    </row>
    <row r="411" spans="1:20" x14ac:dyDescent="0.2">
      <c r="A411" s="28" t="s">
        <v>31</v>
      </c>
      <c r="I411" s="37" t="str">
        <f>I402&amp;"   "&amp;J402&amp;"         Total:"</f>
        <v>000-4100-00   Sales         Total:</v>
      </c>
      <c r="J411" s="37"/>
      <c r="K411" s="37"/>
      <c r="L411" s="37"/>
      <c r="M411" s="37"/>
      <c r="N411" s="37"/>
      <c r="O411" s="37"/>
      <c r="P411" s="37"/>
      <c r="Q411" s="37"/>
      <c r="R411" s="37"/>
      <c r="S411" s="37"/>
      <c r="T411" s="23">
        <f t="shared" ref="T411" si="41">SUBTOTAL(9,T403:T410)</f>
        <v>-1978.3500000000001</v>
      </c>
    </row>
    <row r="412" spans="1:20" x14ac:dyDescent="0.2">
      <c r="A412" s="28" t="s">
        <v>31</v>
      </c>
    </row>
    <row r="413" spans="1:20" x14ac:dyDescent="0.2">
      <c r="A413" s="28" t="s">
        <v>31</v>
      </c>
      <c r="D413" s="28" t="str">
        <f>"||""Filter"",""GL20000"",""ACTINDX"",""TRXDATE"",""1/1/2016..1/31/2016"",""ACTINDX"",""||""""Filter"""",""""GL00105"""",""""ACTINDX"""",""""ACTNUMBR_1"""",""""*"""",""""ACTNUMBR_2"""",""""*"""",""""ACTNUMBR_3"""",""""*"""","""""""","""""""","""""""","""""""","""""""","""""""","""""""","""""""","""""""","""""""","""""""","""""""","""""""","""""""""","""","""","""","""&amp;""","""","""","""","""","""","""","""","""","""","""","""","""""</f>
        <v>||"Filter","GL20000","ACTINDX","TRXDATE","1/1/2016..1/31/2016","ACTINDX","||""Filter"",""GL00105"",""ACTINDX"",""ACTNUMBR_1"",""*"",""ACTNUMBR_2"",""*"",""ACTNUMBR_3"",""*"","""","""","""","""","""","""","""","""","""","""","""","""","""",""""","","","","","","","","","","","","","","","",""</v>
      </c>
      <c r="E413" s="28" t="str">
        <f>"||""Filter"",""GL30000"",""ACTINDX"",""TRXDATE"",""1/1/2016..1/31/2016"",""ACTINDX"",""||""""Filter"""",""""GL00105"""",""""ACTINDX"""",""""ACTNUMBR_1"""",""""*"""",""""ACTNUMBR_2"""",""""*"""",""""ACTNUMBR_3"""",""""*"""","""""""","""""""","""""""","""""""","""""""","""""""","""""""","""""""","""""""","""""""","""""""","""""""","""""""","""""""""","""","""","""","""&amp;""","""","""","""","""","""","""","""","""","""","""","""","""""</f>
        <v>||"Filter","GL30000","ACTINDX","TRXDATE","1/1/2016..1/31/2016","ACTINDX","||""Filter"",""GL00105"",""ACTINDX"",""ACTNUMBR_1"",""*"",""ACTNUMBR_2"",""*"",""ACTNUMBR_3"",""*"","""","""","""","""","""","""","""","""","""","""","""","""","""",""""","","","","","","","","","","","","","","","",""</v>
      </c>
      <c r="F413" s="28">
        <v>113</v>
      </c>
      <c r="G413" s="28" t="str">
        <f>"000-4110-01"</f>
        <v>000-4110-01</v>
      </c>
      <c r="I413" s="17" t="str">
        <f>G413</f>
        <v>000-4110-01</v>
      </c>
      <c r="J413" s="17" t="str">
        <f>"US Sales - Retail/Parts"</f>
        <v>US Sales - Retail/Parts</v>
      </c>
      <c r="Q413" s="17"/>
      <c r="R413" s="18"/>
    </row>
    <row r="414" spans="1:20" x14ac:dyDescent="0.2">
      <c r="A414" s="28" t="s">
        <v>31</v>
      </c>
      <c r="B414" s="33"/>
      <c r="C414" s="33"/>
      <c r="F414" s="33">
        <f>F413</f>
        <v>113</v>
      </c>
      <c r="G414" s="33" t="str">
        <f>G413</f>
        <v>000-4110-01</v>
      </c>
      <c r="H414" s="36"/>
      <c r="L414" s="15"/>
      <c r="Q414" s="21"/>
      <c r="R414" s="16"/>
      <c r="S414" s="16">
        <f>IF($K414="",0,-_xll.NF($K414,"CRDTAMNT"))</f>
        <v>0</v>
      </c>
      <c r="T414" s="19">
        <f t="shared" ref="T414:T415" si="42">SUM(R414:S414)</f>
        <v>0</v>
      </c>
    </row>
    <row r="415" spans="1:20" x14ac:dyDescent="0.2">
      <c r="A415" s="28" t="s">
        <v>31</v>
      </c>
      <c r="B415" s="33"/>
      <c r="C415" s="33"/>
      <c r="F415" s="33">
        <f>F414</f>
        <v>113</v>
      </c>
      <c r="G415" s="33" t="str">
        <f>G414</f>
        <v>000-4110-01</v>
      </c>
      <c r="H415" s="36"/>
      <c r="K415" t="str">
        <f>"""GP Direct"",""Fabrikam, Inc."",""GL20000"",""DEX_ROW_ID"",""3852"""</f>
        <v>"GP Direct","Fabrikam, Inc.","GL20000","DEX_ROW_ID","3852"</v>
      </c>
      <c r="L415" s="15">
        <v>42371</v>
      </c>
      <c r="M415">
        <v>953</v>
      </c>
      <c r="N415" t="str">
        <f>"American Science Museum"</f>
        <v>American Science Museum</v>
      </c>
      <c r="O415" t="str">
        <f>"STDINV2001"</f>
        <v>STDINV2001</v>
      </c>
      <c r="P415" t="str">
        <f>"Sales Transaction Entry"</f>
        <v>Sales Transaction Entry</v>
      </c>
      <c r="Q415" s="21" t="str">
        <f>"Sales"</f>
        <v>Sales</v>
      </c>
      <c r="R415" s="16">
        <v>0</v>
      </c>
      <c r="S415" s="16">
        <v>-1139.7</v>
      </c>
      <c r="T415" s="19">
        <f t="shared" si="42"/>
        <v>-1139.7</v>
      </c>
    </row>
    <row r="416" spans="1:20" x14ac:dyDescent="0.2">
      <c r="A416" s="28" t="s">
        <v>31</v>
      </c>
      <c r="B416" s="33"/>
      <c r="C416" s="33"/>
      <c r="F416" s="33">
        <f>F415</f>
        <v>113</v>
      </c>
      <c r="G416" s="33" t="str">
        <f>G415</f>
        <v>000-4110-01</v>
      </c>
      <c r="H416" s="36"/>
      <c r="K416" t="str">
        <f>"""GP Direct"",""Fabrikam, Inc."",""GL20000"",""DEX_ROW_ID"",""3860"""</f>
        <v>"GP Direct","Fabrikam, Inc.","GL20000","DEX_ROW_ID","3860"</v>
      </c>
      <c r="L416" s="15">
        <v>42372</v>
      </c>
      <c r="M416">
        <v>955</v>
      </c>
      <c r="N416" t="str">
        <f>"Aaron Fitz Electrical"</f>
        <v>Aaron Fitz Electrical</v>
      </c>
      <c r="O416" t="str">
        <f>"STDINV2002"</f>
        <v>STDINV2002</v>
      </c>
      <c r="P416" t="str">
        <f>"Sales Transaction Entry"</f>
        <v>Sales Transaction Entry</v>
      </c>
      <c r="Q416" s="21" t="str">
        <f>"Sales"</f>
        <v>Sales</v>
      </c>
      <c r="R416" s="16">
        <v>0</v>
      </c>
      <c r="S416" s="16">
        <v>-1139.7</v>
      </c>
      <c r="T416" s="19">
        <f t="shared" ref="T416:T422" si="43">SUM(R416:S416)</f>
        <v>-1139.7</v>
      </c>
    </row>
    <row r="417" spans="1:20" x14ac:dyDescent="0.2">
      <c r="A417" s="28" t="s">
        <v>31</v>
      </c>
      <c r="B417" s="33"/>
      <c r="C417" s="33"/>
      <c r="F417" s="33">
        <f>F416</f>
        <v>113</v>
      </c>
      <c r="G417" s="33" t="str">
        <f>G416</f>
        <v>000-4110-01</v>
      </c>
      <c r="H417" s="36"/>
      <c r="K417" t="str">
        <f>"""GP Direct"",""Fabrikam, Inc."",""GL20000"",""DEX_ROW_ID"",""3876"""</f>
        <v>"GP Direct","Fabrikam, Inc.","GL20000","DEX_ROW_ID","3876"</v>
      </c>
      <c r="L417" s="15">
        <v>42373</v>
      </c>
      <c r="M417">
        <v>959</v>
      </c>
      <c r="N417" t="str">
        <f>"Riverside University"</f>
        <v>Riverside University</v>
      </c>
      <c r="O417" t="str">
        <f>"STDINV2004"</f>
        <v>STDINV2004</v>
      </c>
      <c r="P417" t="str">
        <f>"Sales Transaction Entry"</f>
        <v>Sales Transaction Entry</v>
      </c>
      <c r="Q417" s="21" t="str">
        <f>"Sales"</f>
        <v>Sales</v>
      </c>
      <c r="R417" s="16">
        <v>0</v>
      </c>
      <c r="S417" s="16">
        <v>-379.9</v>
      </c>
      <c r="T417" s="19">
        <f t="shared" si="43"/>
        <v>-379.9</v>
      </c>
    </row>
    <row r="418" spans="1:20" x14ac:dyDescent="0.2">
      <c r="A418" s="28" t="s">
        <v>31</v>
      </c>
      <c r="B418" s="33"/>
      <c r="C418" s="33"/>
      <c r="F418" s="33">
        <f>F417</f>
        <v>113</v>
      </c>
      <c r="G418" s="33" t="str">
        <f>G417</f>
        <v>000-4110-01</v>
      </c>
      <c r="H418" s="36"/>
      <c r="K418" t="str">
        <f>"""GP Direct"",""Fabrikam, Inc."",""GL20000"",""DEX_ROW_ID"",""3924"""</f>
        <v>"GP Direct","Fabrikam, Inc.","GL20000","DEX_ROW_ID","3924"</v>
      </c>
      <c r="L418" s="15">
        <v>42376</v>
      </c>
      <c r="M418">
        <v>971</v>
      </c>
      <c r="N418" t="str">
        <f>"Aaron Fitz Electrical"</f>
        <v>Aaron Fitz Electrical</v>
      </c>
      <c r="O418" t="str">
        <f>"STDINV2010"</f>
        <v>STDINV2010</v>
      </c>
      <c r="P418" t="str">
        <f>"Sales Transaction Entry"</f>
        <v>Sales Transaction Entry</v>
      </c>
      <c r="Q418" s="21" t="str">
        <f>"Sales"</f>
        <v>Sales</v>
      </c>
      <c r="R418" s="16">
        <v>0</v>
      </c>
      <c r="S418" s="16">
        <v>-379.9</v>
      </c>
      <c r="T418" s="19">
        <f t="shared" si="43"/>
        <v>-379.9</v>
      </c>
    </row>
    <row r="419" spans="1:20" x14ac:dyDescent="0.2">
      <c r="A419" s="28" t="s">
        <v>31</v>
      </c>
      <c r="B419" s="33"/>
      <c r="C419" s="33"/>
      <c r="F419" s="33">
        <f>F418</f>
        <v>113</v>
      </c>
      <c r="G419" s="33" t="str">
        <f>G418</f>
        <v>000-4110-01</v>
      </c>
      <c r="H419" s="36"/>
      <c r="K419" t="str">
        <f>"""GP Direct"",""Fabrikam, Inc."",""GL20000"",""DEX_ROW_ID"",""3962"""</f>
        <v>"GP Direct","Fabrikam, Inc.","GL20000","DEX_ROW_ID","3962"</v>
      </c>
      <c r="L419" s="15">
        <v>42379</v>
      </c>
      <c r="M419">
        <v>979</v>
      </c>
      <c r="N419" t="str">
        <f>"Contoso, Ltd."</f>
        <v>Contoso, Ltd.</v>
      </c>
      <c r="O419" t="str">
        <f>"STDINV2014"</f>
        <v>STDINV2014</v>
      </c>
      <c r="P419" t="str">
        <f>"Sales Transaction Entry"</f>
        <v>Sales Transaction Entry</v>
      </c>
      <c r="Q419" s="21" t="str">
        <f>"Sales"</f>
        <v>Sales</v>
      </c>
      <c r="R419" s="16">
        <v>0</v>
      </c>
      <c r="S419" s="16">
        <v>-189.95</v>
      </c>
      <c r="T419" s="19">
        <f t="shared" si="43"/>
        <v>-189.95</v>
      </c>
    </row>
    <row r="420" spans="1:20" x14ac:dyDescent="0.2">
      <c r="A420" s="28" t="s">
        <v>31</v>
      </c>
      <c r="B420" s="33"/>
      <c r="C420" s="33"/>
      <c r="F420" s="33">
        <f>F419</f>
        <v>113</v>
      </c>
      <c r="G420" s="33" t="str">
        <f>G419</f>
        <v>000-4110-01</v>
      </c>
      <c r="H420" s="36"/>
      <c r="K420" t="str">
        <f>"""GP Direct"",""Fabrikam, Inc."",""GL20000"",""DEX_ROW_ID"",""3981"""</f>
        <v>"GP Direct","Fabrikam, Inc.","GL20000","DEX_ROW_ID","3981"</v>
      </c>
      <c r="L420" s="15">
        <v>42381</v>
      </c>
      <c r="M420">
        <v>983</v>
      </c>
      <c r="N420" t="str">
        <f>"Plaza One"</f>
        <v>Plaza One</v>
      </c>
      <c r="O420" t="str">
        <f>"STDINV2016"</f>
        <v>STDINV2016</v>
      </c>
      <c r="P420" t="str">
        <f>"Sales Transaction Entry"</f>
        <v>Sales Transaction Entry</v>
      </c>
      <c r="Q420" s="21" t="str">
        <f>"Sales"</f>
        <v>Sales</v>
      </c>
      <c r="R420" s="16">
        <v>0</v>
      </c>
      <c r="S420" s="16">
        <v>-949.75</v>
      </c>
      <c r="T420" s="19">
        <f t="shared" si="43"/>
        <v>-949.75</v>
      </c>
    </row>
    <row r="421" spans="1:20" x14ac:dyDescent="0.2">
      <c r="A421" s="28" t="s">
        <v>31</v>
      </c>
      <c r="B421" s="33"/>
      <c r="C421" s="33"/>
      <c r="F421" s="33">
        <f>F420</f>
        <v>113</v>
      </c>
      <c r="G421" s="33" t="str">
        <f>G420</f>
        <v>000-4110-01</v>
      </c>
      <c r="H421" s="36"/>
      <c r="K421" t="str">
        <f>"""GP Direct"",""Fabrikam, Inc."",""GL20000"",""DEX_ROW_ID"",""4056"""</f>
        <v>"GP Direct","Fabrikam, Inc.","GL20000","DEX_ROW_ID","4056"</v>
      </c>
      <c r="L421" s="15">
        <v>42390</v>
      </c>
      <c r="M421">
        <v>999</v>
      </c>
      <c r="N421" t="str">
        <f>"Plaza One"</f>
        <v>Plaza One</v>
      </c>
      <c r="O421" t="str">
        <f>"STDINV2024"</f>
        <v>STDINV2024</v>
      </c>
      <c r="P421" t="str">
        <f>"Sales Transaction Entry"</f>
        <v>Sales Transaction Entry</v>
      </c>
      <c r="Q421" s="21" t="str">
        <f>"Sales"</f>
        <v>Sales</v>
      </c>
      <c r="R421" s="16">
        <v>0</v>
      </c>
      <c r="S421" s="16">
        <v>-759.8</v>
      </c>
      <c r="T421" s="19">
        <f t="shared" si="43"/>
        <v>-759.8</v>
      </c>
    </row>
    <row r="422" spans="1:20" x14ac:dyDescent="0.2">
      <c r="A422" s="28" t="s">
        <v>31</v>
      </c>
      <c r="B422" s="33"/>
      <c r="C422" s="33"/>
      <c r="F422" s="33">
        <f>F421</f>
        <v>113</v>
      </c>
      <c r="G422" s="33" t="str">
        <f>G421</f>
        <v>000-4110-01</v>
      </c>
      <c r="H422" s="36"/>
      <c r="K422" t="str">
        <f>"""GP Direct"",""Fabrikam, Inc."",""GL20000"",""DEX_ROW_ID"",""4934"""</f>
        <v>"GP Direct","Fabrikam, Inc.","GL20000","DEX_ROW_ID","4934"</v>
      </c>
      <c r="L422" s="15">
        <v>42377</v>
      </c>
      <c r="M422">
        <v>1204</v>
      </c>
      <c r="N422" t="str">
        <f>"Aaron Fitz Electrical"</f>
        <v>Aaron Fitz Electrical</v>
      </c>
      <c r="O422" t="str">
        <f>"STDINV2120"</f>
        <v>STDINV2120</v>
      </c>
      <c r="P422" t="str">
        <f>"Sales Transaction Entry"</f>
        <v>Sales Transaction Entry</v>
      </c>
      <c r="Q422" s="21" t="str">
        <f>"Sales"</f>
        <v>Sales</v>
      </c>
      <c r="R422" s="16">
        <v>0</v>
      </c>
      <c r="S422" s="16">
        <v>-1139.7</v>
      </c>
      <c r="T422" s="19">
        <f t="shared" si="43"/>
        <v>-1139.7</v>
      </c>
    </row>
    <row r="423" spans="1:20" x14ac:dyDescent="0.2">
      <c r="A423" s="28" t="s">
        <v>31</v>
      </c>
      <c r="B423" s="33"/>
      <c r="C423" s="33"/>
      <c r="F423" s="33">
        <f>F415</f>
        <v>113</v>
      </c>
      <c r="G423" s="33" t="str">
        <f>G415</f>
        <v>000-4110-01</v>
      </c>
      <c r="H423" s="36"/>
    </row>
    <row r="424" spans="1:20" x14ac:dyDescent="0.2">
      <c r="A424" s="28" t="s">
        <v>31</v>
      </c>
      <c r="I424" s="37" t="str">
        <f>I413&amp;"   "&amp;J413&amp;"         Total:"</f>
        <v>000-4110-01   US Sales - Retail/Parts         Total:</v>
      </c>
      <c r="J424" s="37"/>
      <c r="K424" s="37"/>
      <c r="L424" s="37"/>
      <c r="M424" s="37"/>
      <c r="N424" s="37"/>
      <c r="O424" s="37"/>
      <c r="P424" s="37"/>
      <c r="Q424" s="37"/>
      <c r="R424" s="37"/>
      <c r="S424" s="37"/>
      <c r="T424" s="23">
        <f t="shared" ref="T424" si="44">SUBTOTAL(9,T414:T423)</f>
        <v>-6078.4</v>
      </c>
    </row>
    <row r="425" spans="1:20" x14ac:dyDescent="0.2">
      <c r="A425" s="28" t="s">
        <v>31</v>
      </c>
    </row>
    <row r="426" spans="1:20" x14ac:dyDescent="0.2">
      <c r="A426" s="28" t="s">
        <v>31</v>
      </c>
      <c r="D426" s="28" t="str">
        <f>"||""Filter"",""GL20000"",""ACTINDX"",""TRXDATE"",""1/1/2016..1/31/2016"",""ACTINDX"",""||""""Filter"""",""""GL00105"""",""""ACTINDX"""",""""ACTNUMBR_1"""",""""*"""",""""ACTNUMBR_2"""",""""*"""",""""ACTNUMBR_3"""",""""*"""","""""""","""""""","""""""","""""""","""""""","""""""","""""""","""""""","""""""","""""""","""""""","""""""","""""""","""""""""","""","""","""","""&amp;""","""","""","""","""","""","""","""","""","""","""","""","""""</f>
        <v>||"Filter","GL20000","ACTINDX","TRXDATE","1/1/2016..1/31/2016","ACTINDX","||""Filter"",""GL00105"",""ACTINDX"",""ACTNUMBR_1"",""*"",""ACTNUMBR_2"",""*"",""ACTNUMBR_3"",""*"","""","""","""","""","""","""","""","""","""","""","""","""","""",""""","","","","","","","","","","","","","","","",""</v>
      </c>
      <c r="E426" s="28" t="str">
        <f>"||""Filter"",""GL30000"",""ACTINDX"",""TRXDATE"",""1/1/2016..1/31/2016"",""ACTINDX"",""||""""Filter"""",""""GL00105"""",""""ACTINDX"""",""""ACTNUMBR_1"""",""""*"""",""""ACTNUMBR_2"""",""""*"""",""""ACTNUMBR_3"""",""""*"""","""""""","""""""","""""""","""""""","""""""","""""""","""""""","""""""","""""""","""""""","""""""","""""""","""""""","""""""""","""","""","""","""&amp;""","""","""","""","""","""","""","""","""","""","""","""","""""</f>
        <v>||"Filter","GL30000","ACTINDX","TRXDATE","1/1/2016..1/31/2016","ACTINDX","||""Filter"",""GL00105"",""ACTINDX"",""ACTNUMBR_1"",""*"",""ACTNUMBR_2"",""*"",""ACTNUMBR_3"",""*"","""","""","""","""","""","""","""","""","""","""","""","""","""",""""","","","","","","","","","","","","","","","",""</v>
      </c>
      <c r="F426" s="28">
        <v>114</v>
      </c>
      <c r="G426" s="28" t="str">
        <f>"000-4110-02"</f>
        <v>000-4110-02</v>
      </c>
      <c r="I426" s="17" t="str">
        <f>G426</f>
        <v>000-4110-02</v>
      </c>
      <c r="J426" s="17" t="str">
        <f>"US Sales - Finished Goods"</f>
        <v>US Sales - Finished Goods</v>
      </c>
      <c r="Q426" s="17"/>
      <c r="R426" s="18"/>
    </row>
    <row r="427" spans="1:20" x14ac:dyDescent="0.2">
      <c r="A427" s="28" t="s">
        <v>31</v>
      </c>
      <c r="B427" s="33"/>
      <c r="C427" s="33"/>
      <c r="F427" s="33">
        <f>F426</f>
        <v>114</v>
      </c>
      <c r="G427" s="33" t="str">
        <f>G426</f>
        <v>000-4110-02</v>
      </c>
      <c r="H427" s="36"/>
      <c r="L427" s="15"/>
      <c r="Q427" s="21"/>
      <c r="R427" s="16"/>
      <c r="S427" s="16">
        <f>IF($K427="",0,-_xll.NF($K427,"CRDTAMNT"))</f>
        <v>0</v>
      </c>
      <c r="T427" s="19">
        <f t="shared" ref="T427:T428" si="45">SUM(R427:S427)</f>
        <v>0</v>
      </c>
    </row>
    <row r="428" spans="1:20" x14ac:dyDescent="0.2">
      <c r="A428" s="28" t="s">
        <v>31</v>
      </c>
      <c r="B428" s="33"/>
      <c r="C428" s="33"/>
      <c r="F428" s="33">
        <f>F427</f>
        <v>114</v>
      </c>
      <c r="G428" s="33" t="str">
        <f>G427</f>
        <v>000-4110-02</v>
      </c>
      <c r="H428" s="36"/>
      <c r="K428" t="str">
        <f>"""GP Direct"",""Fabrikam, Inc."",""GL20000"",""DEX_ROW_ID"",""3844"""</f>
        <v>"GP Direct","Fabrikam, Inc.","GL20000","DEX_ROW_ID","3844"</v>
      </c>
      <c r="L428" s="15">
        <v>42370</v>
      </c>
      <c r="M428">
        <v>951</v>
      </c>
      <c r="N428" t="str">
        <f>"Contoso, Ltd."</f>
        <v>Contoso, Ltd.</v>
      </c>
      <c r="O428" t="str">
        <f>"STDINV2000"</f>
        <v>STDINV2000</v>
      </c>
      <c r="P428" t="str">
        <f>"Sales Transaction Entry"</f>
        <v>Sales Transaction Entry</v>
      </c>
      <c r="Q428" s="21" t="str">
        <f>"Sales"</f>
        <v>Sales</v>
      </c>
      <c r="R428" s="16">
        <v>0</v>
      </c>
      <c r="S428" s="16">
        <v>-3049.75</v>
      </c>
      <c r="T428" s="19">
        <f t="shared" si="45"/>
        <v>-3049.75</v>
      </c>
    </row>
    <row r="429" spans="1:20" x14ac:dyDescent="0.2">
      <c r="A429" s="28" t="s">
        <v>31</v>
      </c>
      <c r="B429" s="33"/>
      <c r="C429" s="33"/>
      <c r="F429" s="33">
        <f>F428</f>
        <v>114</v>
      </c>
      <c r="G429" s="33" t="str">
        <f>G428</f>
        <v>000-4110-02</v>
      </c>
      <c r="H429" s="36"/>
      <c r="K429" t="str">
        <f>"""GP Direct"",""Fabrikam, Inc."",""GL20000"",""DEX_ROW_ID"",""3868"""</f>
        <v>"GP Direct","Fabrikam, Inc.","GL20000","DEX_ROW_ID","3868"</v>
      </c>
      <c r="L429" s="15">
        <v>42372</v>
      </c>
      <c r="M429">
        <v>957</v>
      </c>
      <c r="N429" t="str">
        <f>"Advanced Paper Co."</f>
        <v>Advanced Paper Co.</v>
      </c>
      <c r="O429" t="str">
        <f>"STDINV2003"</f>
        <v>STDINV2003</v>
      </c>
      <c r="P429" t="str">
        <f>"Sales Transaction Entry"</f>
        <v>Sales Transaction Entry</v>
      </c>
      <c r="Q429" s="21" t="str">
        <f>"Sales"</f>
        <v>Sales</v>
      </c>
      <c r="R429" s="16">
        <v>0</v>
      </c>
      <c r="S429" s="16">
        <v>-479.8</v>
      </c>
      <c r="T429" s="19">
        <f t="shared" ref="T429:T450" si="46">SUM(R429:S429)</f>
        <v>-479.8</v>
      </c>
    </row>
    <row r="430" spans="1:20" x14ac:dyDescent="0.2">
      <c r="A430" s="28" t="s">
        <v>31</v>
      </c>
      <c r="B430" s="33"/>
      <c r="C430" s="33"/>
      <c r="F430" s="33">
        <f>F429</f>
        <v>114</v>
      </c>
      <c r="G430" s="33" t="str">
        <f>G429</f>
        <v>000-4110-02</v>
      </c>
      <c r="H430" s="36"/>
      <c r="K430" t="str">
        <f>"""GP Direct"",""Fabrikam, Inc."",""GL20000"",""DEX_ROW_ID"",""3884"""</f>
        <v>"GP Direct","Fabrikam, Inc.","GL20000","DEX_ROW_ID","3884"</v>
      </c>
      <c r="L430" s="15">
        <v>42374</v>
      </c>
      <c r="M430">
        <v>961</v>
      </c>
      <c r="N430" t="str">
        <f>"Aaron Fitz Electrical"</f>
        <v>Aaron Fitz Electrical</v>
      </c>
      <c r="O430" t="str">
        <f>"STDINV2005"</f>
        <v>STDINV2005</v>
      </c>
      <c r="P430" t="str">
        <f>"Sales Transaction Entry"</f>
        <v>Sales Transaction Entry</v>
      </c>
      <c r="Q430" s="21" t="str">
        <f>"Sales"</f>
        <v>Sales</v>
      </c>
      <c r="R430" s="16">
        <v>0</v>
      </c>
      <c r="S430" s="16">
        <v>-959.95</v>
      </c>
      <c r="T430" s="19">
        <f t="shared" si="46"/>
        <v>-959.95</v>
      </c>
    </row>
    <row r="431" spans="1:20" x14ac:dyDescent="0.2">
      <c r="A431" s="28" t="s">
        <v>31</v>
      </c>
      <c r="B431" s="33"/>
      <c r="C431" s="33"/>
      <c r="F431" s="33">
        <f>F430</f>
        <v>114</v>
      </c>
      <c r="G431" s="33" t="str">
        <f>G430</f>
        <v>000-4110-02</v>
      </c>
      <c r="H431" s="36"/>
      <c r="K431" t="str">
        <f>"""GP Direct"",""Fabrikam, Inc."",""GL20000"",""DEX_ROW_ID"",""3892"""</f>
        <v>"GP Direct","Fabrikam, Inc.","GL20000","DEX_ROW_ID","3892"</v>
      </c>
      <c r="L431" s="15">
        <v>42374</v>
      </c>
      <c r="M431">
        <v>963</v>
      </c>
      <c r="N431" t="str">
        <f>"Aaron Fitz Electrical"</f>
        <v>Aaron Fitz Electrical</v>
      </c>
      <c r="O431" t="str">
        <f>"STDINV2006"</f>
        <v>STDINV2006</v>
      </c>
      <c r="P431" t="str">
        <f>"Sales Transaction Entry"</f>
        <v>Sales Transaction Entry</v>
      </c>
      <c r="Q431" s="21" t="str">
        <f>"Sales"</f>
        <v>Sales</v>
      </c>
      <c r="R431" s="16">
        <v>0</v>
      </c>
      <c r="S431" s="16">
        <v>-399.75</v>
      </c>
      <c r="T431" s="19">
        <f t="shared" si="46"/>
        <v>-399.75</v>
      </c>
    </row>
    <row r="432" spans="1:20" x14ac:dyDescent="0.2">
      <c r="A432" s="28" t="s">
        <v>31</v>
      </c>
      <c r="B432" s="33"/>
      <c r="C432" s="33"/>
      <c r="F432" s="33">
        <f>F431</f>
        <v>114</v>
      </c>
      <c r="G432" s="33" t="str">
        <f>G431</f>
        <v>000-4110-02</v>
      </c>
      <c r="H432" s="36"/>
      <c r="K432" t="str">
        <f>"""GP Direct"",""Fabrikam, Inc."",""GL20000"",""DEX_ROW_ID"",""3900"""</f>
        <v>"GP Direct","Fabrikam, Inc.","GL20000","DEX_ROW_ID","3900"</v>
      </c>
      <c r="L432" s="15">
        <v>42375</v>
      </c>
      <c r="M432">
        <v>965</v>
      </c>
      <c r="N432" t="str">
        <f>"Plaza One"</f>
        <v>Plaza One</v>
      </c>
      <c r="O432" t="str">
        <f>"STDINV2007"</f>
        <v>STDINV2007</v>
      </c>
      <c r="P432" t="str">
        <f>"Sales Transaction Entry"</f>
        <v>Sales Transaction Entry</v>
      </c>
      <c r="Q432" s="21" t="str">
        <f>"Sales"</f>
        <v>Sales</v>
      </c>
      <c r="R432" s="16">
        <v>0</v>
      </c>
      <c r="S432" s="16">
        <v>-299.89999999999998</v>
      </c>
      <c r="T432" s="19">
        <f t="shared" si="46"/>
        <v>-299.89999999999998</v>
      </c>
    </row>
    <row r="433" spans="1:20" x14ac:dyDescent="0.2">
      <c r="A433" s="28" t="s">
        <v>31</v>
      </c>
      <c r="B433" s="33"/>
      <c r="C433" s="33"/>
      <c r="F433" s="33">
        <f>F432</f>
        <v>114</v>
      </c>
      <c r="G433" s="33" t="str">
        <f>G432</f>
        <v>000-4110-02</v>
      </c>
      <c r="H433" s="36"/>
      <c r="K433" t="str">
        <f>"""GP Direct"",""Fabrikam, Inc."",""GL20000"",""DEX_ROW_ID"",""3908"""</f>
        <v>"GP Direct","Fabrikam, Inc.","GL20000","DEX_ROW_ID","3908"</v>
      </c>
      <c r="L433" s="15">
        <v>42375</v>
      </c>
      <c r="M433">
        <v>967</v>
      </c>
      <c r="N433" t="str">
        <f>"Londonberry Nursing Home"</f>
        <v>Londonberry Nursing Home</v>
      </c>
      <c r="O433" t="str">
        <f>"STDINV2008"</f>
        <v>STDINV2008</v>
      </c>
      <c r="P433" t="str">
        <f>"Sales Transaction Entry"</f>
        <v>Sales Transaction Entry</v>
      </c>
      <c r="Q433" s="21" t="str">
        <f>"Sales"</f>
        <v>Sales</v>
      </c>
      <c r="R433" s="16">
        <v>0</v>
      </c>
      <c r="S433" s="16">
        <v>-359.85</v>
      </c>
      <c r="T433" s="19">
        <f t="shared" si="46"/>
        <v>-359.85</v>
      </c>
    </row>
    <row r="434" spans="1:20" x14ac:dyDescent="0.2">
      <c r="A434" s="28" t="s">
        <v>31</v>
      </c>
      <c r="B434" s="33"/>
      <c r="C434" s="33"/>
      <c r="F434" s="33">
        <f>F433</f>
        <v>114</v>
      </c>
      <c r="G434" s="33" t="str">
        <f>G433</f>
        <v>000-4110-02</v>
      </c>
      <c r="H434" s="36"/>
      <c r="K434" t="str">
        <f>"""GP Direct"",""Fabrikam, Inc."",""GL20000"",""DEX_ROW_ID"",""3916"""</f>
        <v>"GP Direct","Fabrikam, Inc.","GL20000","DEX_ROW_ID","3916"</v>
      </c>
      <c r="L434" s="15">
        <v>42376</v>
      </c>
      <c r="M434">
        <v>969</v>
      </c>
      <c r="N434" t="str">
        <f>"Midland Construction"</f>
        <v>Midland Construction</v>
      </c>
      <c r="O434" t="str">
        <f>"STDINV2009"</f>
        <v>STDINV2009</v>
      </c>
      <c r="P434" t="str">
        <f>"Sales Transaction Entry"</f>
        <v>Sales Transaction Entry</v>
      </c>
      <c r="Q434" s="21" t="str">
        <f>"Sales"</f>
        <v>Sales</v>
      </c>
      <c r="R434" s="16">
        <v>0</v>
      </c>
      <c r="S434" s="16">
        <v>-39.9</v>
      </c>
      <c r="T434" s="19">
        <f t="shared" si="46"/>
        <v>-39.9</v>
      </c>
    </row>
    <row r="435" spans="1:20" x14ac:dyDescent="0.2">
      <c r="A435" s="28" t="s">
        <v>31</v>
      </c>
      <c r="B435" s="33"/>
      <c r="C435" s="33"/>
      <c r="F435" s="33">
        <f>F434</f>
        <v>114</v>
      </c>
      <c r="G435" s="33" t="str">
        <f>G434</f>
        <v>000-4110-02</v>
      </c>
      <c r="H435" s="36"/>
      <c r="K435" t="str">
        <f>"""GP Direct"",""Fabrikam, Inc."",""GL20000"",""DEX_ROW_ID"",""3932"""</f>
        <v>"GP Direct","Fabrikam, Inc.","GL20000","DEX_ROW_ID","3932"</v>
      </c>
      <c r="L435" s="15">
        <v>42377</v>
      </c>
      <c r="M435">
        <v>973</v>
      </c>
      <c r="N435" t="str">
        <f>"Aaron Fitz Electrical"</f>
        <v>Aaron Fitz Electrical</v>
      </c>
      <c r="O435" t="str">
        <f>"STDINV2011"</f>
        <v>STDINV2011</v>
      </c>
      <c r="P435" t="str">
        <f>"Sales Transaction Entry"</f>
        <v>Sales Transaction Entry</v>
      </c>
      <c r="Q435" s="21" t="str">
        <f>"Sales"</f>
        <v>Sales</v>
      </c>
      <c r="R435" s="16">
        <v>0</v>
      </c>
      <c r="S435" s="16">
        <v>-49.75</v>
      </c>
      <c r="T435" s="19">
        <f t="shared" si="46"/>
        <v>-49.75</v>
      </c>
    </row>
    <row r="436" spans="1:20" x14ac:dyDescent="0.2">
      <c r="A436" s="28" t="s">
        <v>31</v>
      </c>
      <c r="B436" s="33"/>
      <c r="C436" s="33"/>
      <c r="F436" s="33">
        <f>F435</f>
        <v>114</v>
      </c>
      <c r="G436" s="33" t="str">
        <f>G435</f>
        <v>000-4110-02</v>
      </c>
      <c r="H436" s="36"/>
      <c r="K436" t="str">
        <f>"""GP Direct"",""Fabrikam, Inc."",""GL20000"",""DEX_ROW_ID"",""3942"""</f>
        <v>"GP Direct","Fabrikam, Inc.","GL20000","DEX_ROW_ID","3942"</v>
      </c>
      <c r="L436" s="15">
        <v>42377</v>
      </c>
      <c r="M436">
        <v>975</v>
      </c>
      <c r="N436" t="str">
        <f>"Aaron Fitz Electrical"</f>
        <v>Aaron Fitz Electrical</v>
      </c>
      <c r="O436" t="str">
        <f>"STDINV2012"</f>
        <v>STDINV2012</v>
      </c>
      <c r="P436" t="str">
        <f>"Sales Transaction Entry"</f>
        <v>Sales Transaction Entry</v>
      </c>
      <c r="Q436" s="21" t="str">
        <f>"Sales"</f>
        <v>Sales</v>
      </c>
      <c r="R436" s="16">
        <v>0</v>
      </c>
      <c r="S436" s="16">
        <v>-49.75</v>
      </c>
      <c r="T436" s="19">
        <f t="shared" si="46"/>
        <v>-49.75</v>
      </c>
    </row>
    <row r="437" spans="1:20" x14ac:dyDescent="0.2">
      <c r="A437" s="28" t="s">
        <v>31</v>
      </c>
      <c r="B437" s="33"/>
      <c r="C437" s="33"/>
      <c r="F437" s="33">
        <f>F436</f>
        <v>114</v>
      </c>
      <c r="G437" s="33" t="str">
        <f>G436</f>
        <v>000-4110-02</v>
      </c>
      <c r="H437" s="36"/>
      <c r="K437" t="str">
        <f>"""GP Direct"",""Fabrikam, Inc."",""GL20000"",""DEX_ROW_ID"",""3952"""</f>
        <v>"GP Direct","Fabrikam, Inc.","GL20000","DEX_ROW_ID","3952"</v>
      </c>
      <c r="L437" s="15">
        <v>42378</v>
      </c>
      <c r="M437">
        <v>977</v>
      </c>
      <c r="N437" t="str">
        <f>"ISN Industries"</f>
        <v>ISN Industries</v>
      </c>
      <c r="O437" t="str">
        <f>"STDINV2013"</f>
        <v>STDINV2013</v>
      </c>
      <c r="P437" t="str">
        <f>"Sales Transaction Entry"</f>
        <v>Sales Transaction Entry</v>
      </c>
      <c r="Q437" s="21" t="str">
        <f>"Sales"</f>
        <v>Sales</v>
      </c>
      <c r="R437" s="16">
        <v>0</v>
      </c>
      <c r="S437" s="16">
        <v>-1349.95</v>
      </c>
      <c r="T437" s="19">
        <f t="shared" si="46"/>
        <v>-1349.95</v>
      </c>
    </row>
    <row r="438" spans="1:20" x14ac:dyDescent="0.2">
      <c r="A438" s="28" t="s">
        <v>31</v>
      </c>
      <c r="B438" s="33"/>
      <c r="C438" s="33"/>
      <c r="F438" s="33">
        <f>F437</f>
        <v>114</v>
      </c>
      <c r="G438" s="33" t="str">
        <f>G437</f>
        <v>000-4110-02</v>
      </c>
      <c r="H438" s="36"/>
      <c r="K438" t="str">
        <f>"""GP Direct"",""Fabrikam, Inc."",""GL20000"",""DEX_ROW_ID"",""3972"""</f>
        <v>"GP Direct","Fabrikam, Inc.","GL20000","DEX_ROW_ID","3972"</v>
      </c>
      <c r="L438" s="15">
        <v>42380</v>
      </c>
      <c r="M438">
        <v>981</v>
      </c>
      <c r="N438" t="str">
        <f>"Vancouver Resort Hotels"</f>
        <v>Vancouver Resort Hotels</v>
      </c>
      <c r="O438" t="str">
        <f>"STDINV2015"</f>
        <v>STDINV2015</v>
      </c>
      <c r="P438" t="str">
        <f>"Sales Transaction Entry"</f>
        <v>Sales Transaction Entry</v>
      </c>
      <c r="Q438" s="21" t="str">
        <f>"Sales"</f>
        <v>Sales</v>
      </c>
      <c r="R438" s="16">
        <v>0</v>
      </c>
      <c r="S438" s="16">
        <v>-609.95000000000005</v>
      </c>
      <c r="T438" s="19">
        <f t="shared" si="46"/>
        <v>-609.95000000000005</v>
      </c>
    </row>
    <row r="439" spans="1:20" x14ac:dyDescent="0.2">
      <c r="A439" s="28" t="s">
        <v>31</v>
      </c>
      <c r="B439" s="33"/>
      <c r="C439" s="33"/>
      <c r="F439" s="33">
        <f>F438</f>
        <v>114</v>
      </c>
      <c r="G439" s="33" t="str">
        <f>G438</f>
        <v>000-4110-02</v>
      </c>
      <c r="H439" s="36"/>
      <c r="K439" t="str">
        <f>"""GP Direct"",""Fabrikam, Inc."",""GL20000"",""DEX_ROW_ID"",""3991"""</f>
        <v>"GP Direct","Fabrikam, Inc.","GL20000","DEX_ROW_ID","3991"</v>
      </c>
      <c r="L439" s="15">
        <v>42382</v>
      </c>
      <c r="M439">
        <v>985</v>
      </c>
      <c r="N439" t="str">
        <f>"Central Communications LTD"</f>
        <v>Central Communications LTD</v>
      </c>
      <c r="O439" t="str">
        <f>"STDINV2017"</f>
        <v>STDINV2017</v>
      </c>
      <c r="P439" t="str">
        <f>"Sales Transaction Entry"</f>
        <v>Sales Transaction Entry</v>
      </c>
      <c r="Q439" s="21" t="str">
        <f>"Sales"</f>
        <v>Sales</v>
      </c>
      <c r="R439" s="16">
        <v>0</v>
      </c>
      <c r="S439" s="16">
        <v>-29.85</v>
      </c>
      <c r="T439" s="19">
        <f t="shared" si="46"/>
        <v>-29.85</v>
      </c>
    </row>
    <row r="440" spans="1:20" x14ac:dyDescent="0.2">
      <c r="A440" s="28" t="s">
        <v>31</v>
      </c>
      <c r="B440" s="33"/>
      <c r="C440" s="33"/>
      <c r="F440" s="33">
        <f>F439</f>
        <v>114</v>
      </c>
      <c r="G440" s="33" t="str">
        <f>G439</f>
        <v>000-4110-02</v>
      </c>
      <c r="H440" s="36"/>
      <c r="K440" t="str">
        <f>"""GP Direct"",""Fabrikam, Inc."",""GL20000"",""DEX_ROW_ID"",""4001"""</f>
        <v>"GP Direct","Fabrikam, Inc.","GL20000","DEX_ROW_ID","4001"</v>
      </c>
      <c r="L440" s="15">
        <v>42383</v>
      </c>
      <c r="M440">
        <v>987</v>
      </c>
      <c r="N440" t="str">
        <f>"Magnificent Office Images"</f>
        <v>Magnificent Office Images</v>
      </c>
      <c r="O440" t="str">
        <f>"STDINV2018"</f>
        <v>STDINV2018</v>
      </c>
      <c r="P440" t="str">
        <f>"Sales Transaction Entry"</f>
        <v>Sales Transaction Entry</v>
      </c>
      <c r="Q440" s="21" t="str">
        <f>"Sales"</f>
        <v>Sales</v>
      </c>
      <c r="R440" s="16">
        <v>0</v>
      </c>
      <c r="S440" s="16">
        <v>-719.9</v>
      </c>
      <c r="T440" s="19">
        <f t="shared" si="46"/>
        <v>-719.9</v>
      </c>
    </row>
    <row r="441" spans="1:20" x14ac:dyDescent="0.2">
      <c r="A441" s="28" t="s">
        <v>31</v>
      </c>
      <c r="B441" s="33"/>
      <c r="C441" s="33"/>
      <c r="F441" s="33">
        <f>F440</f>
        <v>114</v>
      </c>
      <c r="G441" s="33" t="str">
        <f>G440</f>
        <v>000-4110-02</v>
      </c>
      <c r="H441" s="36"/>
      <c r="K441" t="str">
        <f>"""GP Direct"",""Fabrikam, Inc."",""GL20000"",""DEX_ROW_ID"",""4010"""</f>
        <v>"GP Direct","Fabrikam, Inc.","GL20000","DEX_ROW_ID","4010"</v>
      </c>
      <c r="L441" s="15">
        <v>42384</v>
      </c>
      <c r="M441">
        <v>989</v>
      </c>
      <c r="N441" t="str">
        <f>"Metropolitan Fiber Systems"</f>
        <v>Metropolitan Fiber Systems</v>
      </c>
      <c r="O441" t="str">
        <f>"STDINV2019"</f>
        <v>STDINV2019</v>
      </c>
      <c r="P441" t="str">
        <f>"Sales Transaction Entry"</f>
        <v>Sales Transaction Entry</v>
      </c>
      <c r="Q441" s="21" t="str">
        <f>"Sales"</f>
        <v>Sales</v>
      </c>
      <c r="R441" s="16">
        <v>0</v>
      </c>
      <c r="S441" s="16">
        <v>-29.85</v>
      </c>
      <c r="T441" s="19">
        <f t="shared" si="46"/>
        <v>-29.85</v>
      </c>
    </row>
    <row r="442" spans="1:20" x14ac:dyDescent="0.2">
      <c r="A442" s="28" t="s">
        <v>31</v>
      </c>
      <c r="B442" s="33"/>
      <c r="C442" s="33"/>
      <c r="F442" s="33">
        <f>F441</f>
        <v>114</v>
      </c>
      <c r="G442" s="33" t="str">
        <f>G441</f>
        <v>000-4110-02</v>
      </c>
      <c r="H442" s="36"/>
      <c r="K442" t="str">
        <f>"""GP Direct"",""Fabrikam, Inc."",""GL20000"",""DEX_ROW_ID"",""4020"""</f>
        <v>"GP Direct","Fabrikam, Inc.","GL20000","DEX_ROW_ID","4020"</v>
      </c>
      <c r="L442" s="15">
        <v>42385</v>
      </c>
      <c r="M442">
        <v>991</v>
      </c>
      <c r="N442" t="str">
        <f>"Mahler State University"</f>
        <v>Mahler State University</v>
      </c>
      <c r="O442" t="str">
        <f>"STDINV2020"</f>
        <v>STDINV2020</v>
      </c>
      <c r="P442" t="str">
        <f>"Sales Transaction Entry"</f>
        <v>Sales Transaction Entry</v>
      </c>
      <c r="Q442" s="21" t="str">
        <f>"Sales"</f>
        <v>Sales</v>
      </c>
      <c r="R442" s="16">
        <v>0</v>
      </c>
      <c r="S442" s="16">
        <v>-11999.9</v>
      </c>
      <c r="T442" s="19">
        <f t="shared" si="46"/>
        <v>-11999.9</v>
      </c>
    </row>
    <row r="443" spans="1:20" x14ac:dyDescent="0.2">
      <c r="A443" s="28" t="s">
        <v>31</v>
      </c>
      <c r="B443" s="33"/>
      <c r="C443" s="33"/>
      <c r="F443" s="33">
        <f>F442</f>
        <v>114</v>
      </c>
      <c r="G443" s="33" t="str">
        <f>G442</f>
        <v>000-4110-02</v>
      </c>
      <c r="H443" s="36"/>
      <c r="K443" t="str">
        <f>"""GP Direct"",""Fabrikam, Inc."",""GL20000"",""DEX_ROW_ID"",""4028"""</f>
        <v>"GP Direct","Fabrikam, Inc.","GL20000","DEX_ROW_ID","4028"</v>
      </c>
      <c r="L443" s="15">
        <v>42386</v>
      </c>
      <c r="M443">
        <v>993</v>
      </c>
      <c r="N443" t="str">
        <f>"Lawrence Telemarketing"</f>
        <v>Lawrence Telemarketing</v>
      </c>
      <c r="O443" t="str">
        <f>"STDINV2021"</f>
        <v>STDINV2021</v>
      </c>
      <c r="P443" t="str">
        <f>"Sales Transaction Entry"</f>
        <v>Sales Transaction Entry</v>
      </c>
      <c r="Q443" s="21" t="str">
        <f>"Sales"</f>
        <v>Sales</v>
      </c>
      <c r="R443" s="16">
        <v>0</v>
      </c>
      <c r="S443" s="16">
        <v>-5999.95</v>
      </c>
      <c r="T443" s="19">
        <f t="shared" si="46"/>
        <v>-5999.95</v>
      </c>
    </row>
    <row r="444" spans="1:20" x14ac:dyDescent="0.2">
      <c r="A444" s="28" t="s">
        <v>31</v>
      </c>
      <c r="B444" s="33"/>
      <c r="C444" s="33"/>
      <c r="F444" s="33">
        <f>F443</f>
        <v>114</v>
      </c>
      <c r="G444" s="33" t="str">
        <f>G443</f>
        <v>000-4110-02</v>
      </c>
      <c r="H444" s="36"/>
      <c r="K444" t="str">
        <f>"""GP Direct"",""Fabrikam, Inc."",""GL20000"",""DEX_ROW_ID"",""4038"""</f>
        <v>"GP Direct","Fabrikam, Inc.","GL20000","DEX_ROW_ID","4038"</v>
      </c>
      <c r="L444" s="15">
        <v>42387</v>
      </c>
      <c r="M444">
        <v>995</v>
      </c>
      <c r="N444" t="str">
        <f>"McConnell A.F. B."</f>
        <v>McConnell A.F. B.</v>
      </c>
      <c r="O444" t="str">
        <f>"STDINV2022"</f>
        <v>STDINV2022</v>
      </c>
      <c r="P444" t="str">
        <f>"Sales Transaction Entry"</f>
        <v>Sales Transaction Entry</v>
      </c>
      <c r="Q444" s="21" t="str">
        <f>"Sales"</f>
        <v>Sales</v>
      </c>
      <c r="R444" s="16">
        <v>0</v>
      </c>
      <c r="S444" s="16">
        <v>-1349.95</v>
      </c>
      <c r="T444" s="19">
        <f t="shared" si="46"/>
        <v>-1349.95</v>
      </c>
    </row>
    <row r="445" spans="1:20" x14ac:dyDescent="0.2">
      <c r="A445" s="28" t="s">
        <v>31</v>
      </c>
      <c r="B445" s="33"/>
      <c r="C445" s="33"/>
      <c r="F445" s="33">
        <f>F444</f>
        <v>114</v>
      </c>
      <c r="G445" s="33" t="str">
        <f>G444</f>
        <v>000-4110-02</v>
      </c>
      <c r="H445" s="36"/>
      <c r="K445" t="str">
        <f>"""GP Direct"",""Fabrikam, Inc."",""GL20000"",""DEX_ROW_ID"",""4046"""</f>
        <v>"GP Direct","Fabrikam, Inc.","GL20000","DEX_ROW_ID","4046"</v>
      </c>
      <c r="L445" s="15">
        <v>42388</v>
      </c>
      <c r="M445">
        <v>997</v>
      </c>
      <c r="N445" t="str">
        <f>"Astor Suites"</f>
        <v>Astor Suites</v>
      </c>
      <c r="O445" t="str">
        <f>"STDINV2023"</f>
        <v>STDINV2023</v>
      </c>
      <c r="P445" t="str">
        <f>"Sales Transaction Entry"</f>
        <v>Sales Transaction Entry</v>
      </c>
      <c r="Q445" s="21" t="str">
        <f>"Sales"</f>
        <v>Sales</v>
      </c>
      <c r="R445" s="16">
        <v>0</v>
      </c>
      <c r="S445" s="16">
        <v>-29.85</v>
      </c>
      <c r="T445" s="19">
        <f t="shared" si="46"/>
        <v>-29.85</v>
      </c>
    </row>
    <row r="446" spans="1:20" x14ac:dyDescent="0.2">
      <c r="A446" s="28" t="s">
        <v>31</v>
      </c>
      <c r="B446" s="33"/>
      <c r="C446" s="33"/>
      <c r="F446" s="33">
        <f>F445</f>
        <v>114</v>
      </c>
      <c r="G446" s="33" t="str">
        <f>G445</f>
        <v>000-4110-02</v>
      </c>
      <c r="H446" s="36"/>
      <c r="K446" t="str">
        <f>"""GP Direct"",""Fabrikam, Inc."",""GL20000"",""DEX_ROW_ID"",""4066"""</f>
        <v>"GP Direct","Fabrikam, Inc.","GL20000","DEX_ROW_ID","4066"</v>
      </c>
      <c r="L446" s="15">
        <v>42391</v>
      </c>
      <c r="M446">
        <v>1001</v>
      </c>
      <c r="N446" t="str">
        <f>"Vancouver Resort Hotels"</f>
        <v>Vancouver Resort Hotels</v>
      </c>
      <c r="O446" t="str">
        <f>"STDINV2025"</f>
        <v>STDINV2025</v>
      </c>
      <c r="P446" t="str">
        <f>"Sales Transaction Entry"</f>
        <v>Sales Transaction Entry</v>
      </c>
      <c r="Q446" s="21" t="str">
        <f>"Sales"</f>
        <v>Sales</v>
      </c>
      <c r="R446" s="16">
        <v>0</v>
      </c>
      <c r="S446" s="16">
        <v>-23999.5</v>
      </c>
      <c r="T446" s="19">
        <f t="shared" si="46"/>
        <v>-23999.5</v>
      </c>
    </row>
    <row r="447" spans="1:20" x14ac:dyDescent="0.2">
      <c r="A447" s="28" t="s">
        <v>31</v>
      </c>
      <c r="B447" s="33"/>
      <c r="C447" s="33"/>
      <c r="F447" s="33">
        <f>F446</f>
        <v>114</v>
      </c>
      <c r="G447" s="33" t="str">
        <f>G446</f>
        <v>000-4110-02</v>
      </c>
      <c r="H447" s="36"/>
      <c r="K447" t="str">
        <f>"""GP Direct"",""Fabrikam, Inc."",""GL20000"",""DEX_ROW_ID"",""4075"""</f>
        <v>"GP Direct","Fabrikam, Inc.","GL20000","DEX_ROW_ID","4075"</v>
      </c>
      <c r="L447" s="15">
        <v>42392</v>
      </c>
      <c r="M447">
        <v>1003</v>
      </c>
      <c r="N447" t="str">
        <f>"Aaron Fitz Electrical"</f>
        <v>Aaron Fitz Electrical</v>
      </c>
      <c r="O447" t="str">
        <f>"STDINV2026"</f>
        <v>STDINV2026</v>
      </c>
      <c r="P447" t="str">
        <f>"Sales Transaction Entry"</f>
        <v>Sales Transaction Entry</v>
      </c>
      <c r="Q447" s="21" t="str">
        <f>"Sales"</f>
        <v>Sales</v>
      </c>
      <c r="R447" s="16">
        <v>0</v>
      </c>
      <c r="S447" s="16">
        <v>-119.95</v>
      </c>
      <c r="T447" s="19">
        <f t="shared" si="46"/>
        <v>-119.95</v>
      </c>
    </row>
    <row r="448" spans="1:20" x14ac:dyDescent="0.2">
      <c r="A448" s="28" t="s">
        <v>31</v>
      </c>
      <c r="B448" s="33"/>
      <c r="C448" s="33"/>
      <c r="F448" s="33">
        <f>F447</f>
        <v>114</v>
      </c>
      <c r="G448" s="33" t="str">
        <f>G447</f>
        <v>000-4110-02</v>
      </c>
      <c r="H448" s="36"/>
      <c r="K448" t="str">
        <f>"""GP Direct"",""Fabrikam, Inc."",""GL20000"",""DEX_ROW_ID"",""4085"""</f>
        <v>"GP Direct","Fabrikam, Inc.","GL20000","DEX_ROW_ID","4085"</v>
      </c>
      <c r="L448" s="15">
        <v>42393</v>
      </c>
      <c r="M448">
        <v>1005</v>
      </c>
      <c r="N448" t="str">
        <f>"Aaron Fitz Electrical"</f>
        <v>Aaron Fitz Electrical</v>
      </c>
      <c r="O448" t="str">
        <f>"STDINV2027"</f>
        <v>STDINV2027</v>
      </c>
      <c r="P448" t="str">
        <f>"Sales Transaction Entry"</f>
        <v>Sales Transaction Entry</v>
      </c>
      <c r="Q448" s="21" t="str">
        <f>"Sales"</f>
        <v>Sales</v>
      </c>
      <c r="R448" s="16">
        <v>0</v>
      </c>
      <c r="S448" s="16">
        <v>-109.95</v>
      </c>
      <c r="T448" s="19">
        <f t="shared" si="46"/>
        <v>-109.95</v>
      </c>
    </row>
    <row r="449" spans="1:20" x14ac:dyDescent="0.2">
      <c r="A449" s="28" t="s">
        <v>31</v>
      </c>
      <c r="B449" s="33"/>
      <c r="C449" s="33"/>
      <c r="F449" s="33">
        <f>F448</f>
        <v>114</v>
      </c>
      <c r="G449" s="33" t="str">
        <f>G448</f>
        <v>000-4110-02</v>
      </c>
      <c r="H449" s="36"/>
      <c r="K449" t="str">
        <f>"""GP Direct"",""Fabrikam, Inc."",""GL20000"",""DEX_ROW_ID"",""4144"""</f>
        <v>"GP Direct","Fabrikam, Inc.","GL20000","DEX_ROW_ID","4144"</v>
      </c>
      <c r="L449" s="15">
        <v>42399</v>
      </c>
      <c r="M449">
        <v>1017</v>
      </c>
      <c r="N449" t="str">
        <f>"Plaza One"</f>
        <v>Plaza One</v>
      </c>
      <c r="O449" t="str">
        <f>"STDINV2033"</f>
        <v>STDINV2033</v>
      </c>
      <c r="P449" t="str">
        <f>"Sales Transaction Entry"</f>
        <v>Sales Transaction Entry</v>
      </c>
      <c r="Q449" s="21" t="str">
        <f>"Sales"</f>
        <v>Sales</v>
      </c>
      <c r="R449" s="16">
        <v>0</v>
      </c>
      <c r="S449" s="16">
        <v>-239.9</v>
      </c>
      <c r="T449" s="19">
        <f t="shared" si="46"/>
        <v>-239.9</v>
      </c>
    </row>
    <row r="450" spans="1:20" x14ac:dyDescent="0.2">
      <c r="A450" s="28" t="s">
        <v>31</v>
      </c>
      <c r="B450" s="33"/>
      <c r="C450" s="33"/>
      <c r="F450" s="33">
        <f>F449</f>
        <v>114</v>
      </c>
      <c r="G450" s="33" t="str">
        <f>G449</f>
        <v>000-4110-02</v>
      </c>
      <c r="H450" s="36"/>
      <c r="K450" t="str">
        <f>"""GP Direct"",""Fabrikam, Inc."",""GL20000"",""DEX_ROW_ID"",""4945"""</f>
        <v>"GP Direct","Fabrikam, Inc.","GL20000","DEX_ROW_ID","4945"</v>
      </c>
      <c r="L450" s="15">
        <v>42377</v>
      </c>
      <c r="M450">
        <v>1205</v>
      </c>
      <c r="N450" t="str">
        <f>"Advanced Paper Co."</f>
        <v>Advanced Paper Co.</v>
      </c>
      <c r="O450" t="str">
        <f>"STDINV2121"</f>
        <v>STDINV2121</v>
      </c>
      <c r="P450" t="str">
        <f>"Sales Transaction Entry"</f>
        <v>Sales Transaction Entry</v>
      </c>
      <c r="Q450" s="21" t="str">
        <f>"Sales"</f>
        <v>Sales</v>
      </c>
      <c r="R450" s="16">
        <v>0</v>
      </c>
      <c r="S450" s="16">
        <v>-239.8</v>
      </c>
      <c r="T450" s="19">
        <f t="shared" si="46"/>
        <v>-239.8</v>
      </c>
    </row>
    <row r="451" spans="1:20" x14ac:dyDescent="0.2">
      <c r="A451" s="28" t="s">
        <v>31</v>
      </c>
      <c r="B451" s="33"/>
      <c r="C451" s="33"/>
      <c r="F451" s="33">
        <f>F428</f>
        <v>114</v>
      </c>
      <c r="G451" s="33" t="str">
        <f>G428</f>
        <v>000-4110-02</v>
      </c>
      <c r="H451" s="36"/>
    </row>
    <row r="452" spans="1:20" x14ac:dyDescent="0.2">
      <c r="A452" s="28" t="s">
        <v>31</v>
      </c>
      <c r="I452" s="37" t="str">
        <f>I426&amp;"   "&amp;J426&amp;"         Total:"</f>
        <v>000-4110-02   US Sales - Finished Goods         Total:</v>
      </c>
      <c r="J452" s="37"/>
      <c r="K452" s="37"/>
      <c r="L452" s="37"/>
      <c r="M452" s="37"/>
      <c r="N452" s="37"/>
      <c r="O452" s="37"/>
      <c r="P452" s="37"/>
      <c r="Q452" s="37"/>
      <c r="R452" s="37"/>
      <c r="S452" s="37"/>
      <c r="T452" s="23">
        <f t="shared" ref="T452" si="47">SUBTOTAL(9,T427:T451)</f>
        <v>-52516.65</v>
      </c>
    </row>
    <row r="453" spans="1:20" x14ac:dyDescent="0.2">
      <c r="A453" s="28" t="s">
        <v>31</v>
      </c>
    </row>
    <row r="454" spans="1:20" x14ac:dyDescent="0.2">
      <c r="A454" s="28" t="s">
        <v>31</v>
      </c>
      <c r="D454" s="28" t="str">
        <f>"||""Filter"",""GL20000"",""ACTINDX"",""TRXDATE"",""1/1/2016..1/31/2016"",""ACTINDX"",""||""""Filter"""",""""GL00105"""",""""ACTINDX"""",""""ACTNUMBR_1"""",""""*"""",""""ACTNUMBR_2"""",""""*"""",""""ACTNUMBR_3"""",""""*"""","""""""","""""""","""""""","""""""","""""""","""""""","""""""","""""""","""""""","""""""","""""""","""""""","""""""","""""""""","""","""","""","""&amp;""","""","""","""","""","""","""","""","""","""","""","""","""""</f>
        <v>||"Filter","GL20000","ACTINDX","TRXDATE","1/1/2016..1/31/2016","ACTINDX","||""Filter"",""GL00105"",""ACTINDX"",""ACTNUMBR_1"",""*"",""ACTNUMBR_2"",""*"",""ACTNUMBR_3"",""*"","""","""","""","""","""","""","""","""","""","""","""","""","""",""""","","","","","","","","","","","","","","","",""</v>
      </c>
      <c r="E454" s="28" t="str">
        <f>"||""Filter"",""GL30000"",""ACTINDX"",""TRXDATE"",""1/1/2016..1/31/2016"",""ACTINDX"",""||""""Filter"""",""""GL00105"""",""""ACTINDX"""",""""ACTNUMBR_1"""",""""*"""",""""ACTNUMBR_2"""",""""*"""",""""ACTNUMBR_3"""",""""*"""","""""""","""""""","""""""","""""""","""""""","""""""","""""""","""""""","""""""","""""""","""""""","""""""","""""""","""""""""","""","""","""","""&amp;""","""","""","""","""","""","""","""","""","""","""","""","""""</f>
        <v>||"Filter","GL30000","ACTINDX","TRXDATE","1/1/2016..1/31/2016","ACTINDX","||""Filter"",""GL00105"",""ACTINDX"",""ACTNUMBR_1"",""*"",""ACTNUMBR_2"",""*"",""ACTNUMBR_3"",""*"","""","""","""","""","""","""","""","""","""","""","""","""","""",""""","","","","","","","","","","","","","","","",""</v>
      </c>
      <c r="F454" s="28">
        <v>137</v>
      </c>
      <c r="G454" s="28" t="str">
        <f>"000-4510-01"</f>
        <v>000-4510-01</v>
      </c>
      <c r="I454" s="17" t="str">
        <f>G454</f>
        <v>000-4510-01</v>
      </c>
      <c r="J454" s="17" t="str">
        <f>"Cost of Goods Sold - Retail/Parts"</f>
        <v>Cost of Goods Sold - Retail/Parts</v>
      </c>
      <c r="Q454" s="17"/>
      <c r="R454" s="18"/>
    </row>
    <row r="455" spans="1:20" x14ac:dyDescent="0.2">
      <c r="A455" s="28" t="s">
        <v>31</v>
      </c>
      <c r="B455" s="33"/>
      <c r="C455" s="33"/>
      <c r="F455" s="33">
        <f>F454</f>
        <v>137</v>
      </c>
      <c r="G455" s="33" t="str">
        <f>G454</f>
        <v>000-4510-01</v>
      </c>
      <c r="H455" s="36"/>
      <c r="L455" s="15"/>
      <c r="Q455" s="21"/>
      <c r="R455" s="16"/>
      <c r="S455" s="16">
        <f>IF($K455="",0,-_xll.NF($K455,"CRDTAMNT"))</f>
        <v>0</v>
      </c>
      <c r="T455" s="19">
        <f t="shared" ref="T455:T456" si="48">SUM(R455:S455)</f>
        <v>0</v>
      </c>
    </row>
    <row r="456" spans="1:20" x14ac:dyDescent="0.2">
      <c r="A456" s="28" t="s">
        <v>31</v>
      </c>
      <c r="B456" s="33"/>
      <c r="C456" s="33"/>
      <c r="F456" s="33">
        <f>F455</f>
        <v>137</v>
      </c>
      <c r="G456" s="33" t="str">
        <f>G455</f>
        <v>000-4510-01</v>
      </c>
      <c r="H456" s="36"/>
      <c r="K456" t="str">
        <f>"""GP Direct"",""Fabrikam, Inc."",""GL20000"",""DEX_ROW_ID"",""3558"""</f>
        <v>"GP Direct","Fabrikam, Inc.","GL20000","DEX_ROW_ID","3558"</v>
      </c>
      <c r="L456" s="15">
        <v>42374</v>
      </c>
      <c r="M456">
        <v>829</v>
      </c>
      <c r="O456" t="str">
        <f>"00000000000000031"</f>
        <v>00000000000000031</v>
      </c>
      <c r="P456" t="str">
        <f>"Transaction Entry"</f>
        <v>Transaction Entry</v>
      </c>
      <c r="Q456" s="21"/>
      <c r="R456" s="16">
        <v>50.25</v>
      </c>
      <c r="S456" s="16">
        <v>0</v>
      </c>
      <c r="T456" s="19">
        <f t="shared" si="48"/>
        <v>50.25</v>
      </c>
    </row>
    <row r="457" spans="1:20" x14ac:dyDescent="0.2">
      <c r="A457" s="28" t="s">
        <v>31</v>
      </c>
      <c r="B457" s="33"/>
      <c r="C457" s="33"/>
      <c r="F457" s="33">
        <f>F456</f>
        <v>137</v>
      </c>
      <c r="G457" s="33" t="str">
        <f>G456</f>
        <v>000-4510-01</v>
      </c>
      <c r="H457" s="36"/>
      <c r="K457" t="str">
        <f>"""GP Direct"",""Fabrikam, Inc."",""GL20000"",""DEX_ROW_ID"",""3848"""</f>
        <v>"GP Direct","Fabrikam, Inc.","GL20000","DEX_ROW_ID","3848"</v>
      </c>
      <c r="L457" s="15">
        <v>42370</v>
      </c>
      <c r="M457">
        <v>951</v>
      </c>
      <c r="N457" t="str">
        <f>"Contoso, Ltd."</f>
        <v>Contoso, Ltd.</v>
      </c>
      <c r="O457" t="str">
        <f>"STDINV2000"</f>
        <v>STDINV2000</v>
      </c>
      <c r="P457" t="str">
        <f>"Sales Transaction Entry"</f>
        <v>Sales Transaction Entry</v>
      </c>
      <c r="Q457" s="21" t="str">
        <f>"Cost of Goods Sold"</f>
        <v>Cost of Goods Sold</v>
      </c>
      <c r="R457" s="16">
        <v>1507.7</v>
      </c>
      <c r="S457" s="16">
        <v>0</v>
      </c>
      <c r="T457" s="19">
        <f t="shared" ref="T457:T493" si="49">SUM(R457:S457)</f>
        <v>1507.7</v>
      </c>
    </row>
    <row r="458" spans="1:20" x14ac:dyDescent="0.2">
      <c r="A458" s="28" t="s">
        <v>31</v>
      </c>
      <c r="B458" s="33"/>
      <c r="C458" s="33"/>
      <c r="F458" s="33">
        <f>F457</f>
        <v>137</v>
      </c>
      <c r="G458" s="33" t="str">
        <f>G457</f>
        <v>000-4510-01</v>
      </c>
      <c r="H458" s="36"/>
      <c r="K458" t="str">
        <f>"""GP Direct"",""Fabrikam, Inc."",""GL20000"",""DEX_ROW_ID"",""3856"""</f>
        <v>"GP Direct","Fabrikam, Inc.","GL20000","DEX_ROW_ID","3856"</v>
      </c>
      <c r="L458" s="15">
        <v>42371</v>
      </c>
      <c r="M458">
        <v>953</v>
      </c>
      <c r="N458" t="str">
        <f>"American Science Museum"</f>
        <v>American Science Museum</v>
      </c>
      <c r="O458" t="str">
        <f>"STDINV2001"</f>
        <v>STDINV2001</v>
      </c>
      <c r="P458" t="str">
        <f>"Sales Transaction Entry"</f>
        <v>Sales Transaction Entry</v>
      </c>
      <c r="Q458" s="21" t="str">
        <f>"Cost of Goods Sold"</f>
        <v>Cost of Goods Sold</v>
      </c>
      <c r="R458" s="16">
        <v>555.54</v>
      </c>
      <c r="S458" s="16">
        <v>0</v>
      </c>
      <c r="T458" s="19">
        <f t="shared" si="49"/>
        <v>555.54</v>
      </c>
    </row>
    <row r="459" spans="1:20" x14ac:dyDescent="0.2">
      <c r="A459" s="28" t="s">
        <v>31</v>
      </c>
      <c r="B459" s="33"/>
      <c r="C459" s="33"/>
      <c r="F459" s="33">
        <f>F458</f>
        <v>137</v>
      </c>
      <c r="G459" s="33" t="str">
        <f>G458</f>
        <v>000-4510-01</v>
      </c>
      <c r="H459" s="36"/>
      <c r="K459" t="str">
        <f>"""GP Direct"",""Fabrikam, Inc."",""GL20000"",""DEX_ROW_ID"",""3864"""</f>
        <v>"GP Direct","Fabrikam, Inc.","GL20000","DEX_ROW_ID","3864"</v>
      </c>
      <c r="L459" s="15">
        <v>42372</v>
      </c>
      <c r="M459">
        <v>955</v>
      </c>
      <c r="N459" t="str">
        <f>"Aaron Fitz Electrical"</f>
        <v>Aaron Fitz Electrical</v>
      </c>
      <c r="O459" t="str">
        <f>"STDINV2002"</f>
        <v>STDINV2002</v>
      </c>
      <c r="P459" t="str">
        <f>"Sales Transaction Entry"</f>
        <v>Sales Transaction Entry</v>
      </c>
      <c r="Q459" s="21" t="str">
        <f>"Cost of Goods Sold"</f>
        <v>Cost of Goods Sold</v>
      </c>
      <c r="R459" s="16">
        <v>555.54</v>
      </c>
      <c r="S459" s="16">
        <v>0</v>
      </c>
      <c r="T459" s="19">
        <f t="shared" si="49"/>
        <v>555.54</v>
      </c>
    </row>
    <row r="460" spans="1:20" x14ac:dyDescent="0.2">
      <c r="A460" s="28" t="s">
        <v>31</v>
      </c>
      <c r="B460" s="33"/>
      <c r="C460" s="33"/>
      <c r="F460" s="33">
        <f>F459</f>
        <v>137</v>
      </c>
      <c r="G460" s="33" t="str">
        <f>G459</f>
        <v>000-4510-01</v>
      </c>
      <c r="H460" s="36"/>
      <c r="K460" t="str">
        <f>"""GP Direct"",""Fabrikam, Inc."",""GL20000"",""DEX_ROW_ID"",""3872"""</f>
        <v>"GP Direct","Fabrikam, Inc.","GL20000","DEX_ROW_ID","3872"</v>
      </c>
      <c r="L460" s="15">
        <v>42372</v>
      </c>
      <c r="M460">
        <v>957</v>
      </c>
      <c r="N460" t="str">
        <f>"Advanced Paper Co."</f>
        <v>Advanced Paper Co.</v>
      </c>
      <c r="O460" t="str">
        <f>"STDINV2003"</f>
        <v>STDINV2003</v>
      </c>
      <c r="P460" t="str">
        <f>"Sales Transaction Entry"</f>
        <v>Sales Transaction Entry</v>
      </c>
      <c r="Q460" s="21" t="str">
        <f>"Cost of Goods Sold"</f>
        <v>Cost of Goods Sold</v>
      </c>
      <c r="R460" s="16">
        <v>111.92</v>
      </c>
      <c r="S460" s="16">
        <v>0</v>
      </c>
      <c r="T460" s="19">
        <f t="shared" si="49"/>
        <v>111.92</v>
      </c>
    </row>
    <row r="461" spans="1:20" x14ac:dyDescent="0.2">
      <c r="A461" s="28" t="s">
        <v>31</v>
      </c>
      <c r="B461" s="33"/>
      <c r="C461" s="33"/>
      <c r="F461" s="33">
        <f>F460</f>
        <v>137</v>
      </c>
      <c r="G461" s="33" t="str">
        <f>G460</f>
        <v>000-4510-01</v>
      </c>
      <c r="H461" s="36"/>
      <c r="K461" t="str">
        <f>"""GP Direct"",""Fabrikam, Inc."",""GL20000"",""DEX_ROW_ID"",""3880"""</f>
        <v>"GP Direct","Fabrikam, Inc.","GL20000","DEX_ROW_ID","3880"</v>
      </c>
      <c r="L461" s="15">
        <v>42373</v>
      </c>
      <c r="M461">
        <v>959</v>
      </c>
      <c r="N461" t="str">
        <f>"Riverside University"</f>
        <v>Riverside University</v>
      </c>
      <c r="O461" t="str">
        <f>"STDINV2004"</f>
        <v>STDINV2004</v>
      </c>
      <c r="P461" t="str">
        <f>"Sales Transaction Entry"</f>
        <v>Sales Transaction Entry</v>
      </c>
      <c r="Q461" s="21" t="str">
        <f>"Cost of Goods Sold"</f>
        <v>Cost of Goods Sold</v>
      </c>
      <c r="R461" s="16">
        <v>185.18</v>
      </c>
      <c r="S461" s="16">
        <v>0</v>
      </c>
      <c r="T461" s="19">
        <f t="shared" si="49"/>
        <v>185.18</v>
      </c>
    </row>
    <row r="462" spans="1:20" x14ac:dyDescent="0.2">
      <c r="A462" s="28" t="s">
        <v>31</v>
      </c>
      <c r="B462" s="33"/>
      <c r="C462" s="33"/>
      <c r="F462" s="33">
        <f>F461</f>
        <v>137</v>
      </c>
      <c r="G462" s="33" t="str">
        <f>G461</f>
        <v>000-4510-01</v>
      </c>
      <c r="H462" s="36"/>
      <c r="K462" t="str">
        <f>"""GP Direct"",""Fabrikam, Inc."",""GL20000"",""DEX_ROW_ID"",""3888"""</f>
        <v>"GP Direct","Fabrikam, Inc.","GL20000","DEX_ROW_ID","3888"</v>
      </c>
      <c r="L462" s="15">
        <v>42374</v>
      </c>
      <c r="M462">
        <v>961</v>
      </c>
      <c r="N462" t="str">
        <f>"Aaron Fitz Electrical"</f>
        <v>Aaron Fitz Electrical</v>
      </c>
      <c r="O462" t="str">
        <f>"STDINV2005"</f>
        <v>STDINV2005</v>
      </c>
      <c r="P462" t="str">
        <f>"Sales Transaction Entry"</f>
        <v>Sales Transaction Entry</v>
      </c>
      <c r="Q462" s="21" t="str">
        <f>"Cost of Goods Sold"</f>
        <v>Cost of Goods Sold</v>
      </c>
      <c r="R462" s="16">
        <v>479.05</v>
      </c>
      <c r="S462" s="16">
        <v>0</v>
      </c>
      <c r="T462" s="19">
        <f t="shared" si="49"/>
        <v>479.05</v>
      </c>
    </row>
    <row r="463" spans="1:20" x14ac:dyDescent="0.2">
      <c r="A463" s="28" t="s">
        <v>31</v>
      </c>
      <c r="B463" s="33"/>
      <c r="C463" s="33"/>
      <c r="F463" s="33">
        <f>F462</f>
        <v>137</v>
      </c>
      <c r="G463" s="33" t="str">
        <f>G462</f>
        <v>000-4510-01</v>
      </c>
      <c r="H463" s="36"/>
      <c r="K463" t="str">
        <f>"""GP Direct"",""Fabrikam, Inc."",""GL20000"",""DEX_ROW_ID"",""3896"""</f>
        <v>"GP Direct","Fabrikam, Inc.","GL20000","DEX_ROW_ID","3896"</v>
      </c>
      <c r="L463" s="15">
        <v>42374</v>
      </c>
      <c r="M463">
        <v>963</v>
      </c>
      <c r="N463" t="str">
        <f>"Aaron Fitz Electrical"</f>
        <v>Aaron Fitz Electrical</v>
      </c>
      <c r="O463" t="str">
        <f>"STDINV2006"</f>
        <v>STDINV2006</v>
      </c>
      <c r="P463" t="str">
        <f>"Sales Transaction Entry"</f>
        <v>Sales Transaction Entry</v>
      </c>
      <c r="Q463" s="21" t="str">
        <f>"Cost of Goods Sold"</f>
        <v>Cost of Goods Sold</v>
      </c>
      <c r="R463" s="16">
        <v>172.95</v>
      </c>
      <c r="S463" s="16">
        <v>0</v>
      </c>
      <c r="T463" s="19">
        <f t="shared" si="49"/>
        <v>172.95</v>
      </c>
    </row>
    <row r="464" spans="1:20" x14ac:dyDescent="0.2">
      <c r="A464" s="28" t="s">
        <v>31</v>
      </c>
      <c r="B464" s="33"/>
      <c r="C464" s="33"/>
      <c r="F464" s="33">
        <f>F463</f>
        <v>137</v>
      </c>
      <c r="G464" s="33" t="str">
        <f>G463</f>
        <v>000-4510-01</v>
      </c>
      <c r="H464" s="36"/>
      <c r="K464" t="str">
        <f>"""GP Direct"",""Fabrikam, Inc."",""GL20000"",""DEX_ROW_ID"",""3904"""</f>
        <v>"GP Direct","Fabrikam, Inc.","GL20000","DEX_ROW_ID","3904"</v>
      </c>
      <c r="L464" s="15">
        <v>42375</v>
      </c>
      <c r="M464">
        <v>965</v>
      </c>
      <c r="N464" t="str">
        <f>"Plaza One"</f>
        <v>Plaza One</v>
      </c>
      <c r="O464" t="str">
        <f>"STDINV2007"</f>
        <v>STDINV2007</v>
      </c>
      <c r="P464" t="str">
        <f>"Sales Transaction Entry"</f>
        <v>Sales Transaction Entry</v>
      </c>
      <c r="Q464" s="21" t="str">
        <f>"Cost of Goods Sold"</f>
        <v>Cost of Goods Sold</v>
      </c>
      <c r="R464" s="16">
        <v>150.30000000000001</v>
      </c>
      <c r="S464" s="16">
        <v>0</v>
      </c>
      <c r="T464" s="19">
        <f t="shared" si="49"/>
        <v>150.30000000000001</v>
      </c>
    </row>
    <row r="465" spans="1:20" x14ac:dyDescent="0.2">
      <c r="A465" s="28" t="s">
        <v>31</v>
      </c>
      <c r="B465" s="33"/>
      <c r="C465" s="33"/>
      <c r="F465" s="33">
        <f>F464</f>
        <v>137</v>
      </c>
      <c r="G465" s="33" t="str">
        <f>G464</f>
        <v>000-4510-01</v>
      </c>
      <c r="H465" s="36"/>
      <c r="K465" t="str">
        <f>"""GP Direct"",""Fabrikam, Inc."",""GL20000"",""DEX_ROW_ID"",""3912"""</f>
        <v>"GP Direct","Fabrikam, Inc.","GL20000","DEX_ROW_ID","3912"</v>
      </c>
      <c r="L465" s="15">
        <v>42375</v>
      </c>
      <c r="M465">
        <v>967</v>
      </c>
      <c r="N465" t="str">
        <f>"Londonberry Nursing Home"</f>
        <v>Londonberry Nursing Home</v>
      </c>
      <c r="O465" t="str">
        <f>"STDINV2008"</f>
        <v>STDINV2008</v>
      </c>
      <c r="P465" t="str">
        <f>"Sales Transaction Entry"</f>
        <v>Sales Transaction Entry</v>
      </c>
      <c r="Q465" s="21" t="str">
        <f>"Cost of Goods Sold"</f>
        <v>Cost of Goods Sold</v>
      </c>
      <c r="R465" s="16">
        <v>89.25</v>
      </c>
      <c r="S465" s="16">
        <v>0</v>
      </c>
      <c r="T465" s="19">
        <f t="shared" si="49"/>
        <v>89.25</v>
      </c>
    </row>
    <row r="466" spans="1:20" x14ac:dyDescent="0.2">
      <c r="A466" s="28" t="s">
        <v>31</v>
      </c>
      <c r="B466" s="33"/>
      <c r="C466" s="33"/>
      <c r="F466" s="33">
        <f>F465</f>
        <v>137</v>
      </c>
      <c r="G466" s="33" t="str">
        <f>G465</f>
        <v>000-4510-01</v>
      </c>
      <c r="H466" s="36"/>
      <c r="K466" t="str">
        <f>"""GP Direct"",""Fabrikam, Inc."",""GL20000"",""DEX_ROW_ID"",""3920"""</f>
        <v>"GP Direct","Fabrikam, Inc.","GL20000","DEX_ROW_ID","3920"</v>
      </c>
      <c r="L466" s="15">
        <v>42376</v>
      </c>
      <c r="M466">
        <v>969</v>
      </c>
      <c r="N466" t="str">
        <f>"Midland Construction"</f>
        <v>Midland Construction</v>
      </c>
      <c r="O466" t="str">
        <f>"STDINV2009"</f>
        <v>STDINV2009</v>
      </c>
      <c r="P466" t="str">
        <f>"Sales Transaction Entry"</f>
        <v>Sales Transaction Entry</v>
      </c>
      <c r="Q466" s="21" t="str">
        <f>"Cost of Goods Sold"</f>
        <v>Cost of Goods Sold</v>
      </c>
      <c r="R466" s="16">
        <v>11.96</v>
      </c>
      <c r="S466" s="16">
        <v>0</v>
      </c>
      <c r="T466" s="19">
        <f t="shared" si="49"/>
        <v>11.96</v>
      </c>
    </row>
    <row r="467" spans="1:20" x14ac:dyDescent="0.2">
      <c r="A467" s="28" t="s">
        <v>31</v>
      </c>
      <c r="B467" s="33"/>
      <c r="C467" s="33"/>
      <c r="F467" s="33">
        <f>F466</f>
        <v>137</v>
      </c>
      <c r="G467" s="33" t="str">
        <f>G466</f>
        <v>000-4510-01</v>
      </c>
      <c r="H467" s="36"/>
      <c r="K467" t="str">
        <f>"""GP Direct"",""Fabrikam, Inc."",""GL20000"",""DEX_ROW_ID"",""3928"""</f>
        <v>"GP Direct","Fabrikam, Inc.","GL20000","DEX_ROW_ID","3928"</v>
      </c>
      <c r="L467" s="15">
        <v>42376</v>
      </c>
      <c r="M467">
        <v>971</v>
      </c>
      <c r="N467" t="str">
        <f>"Aaron Fitz Electrical"</f>
        <v>Aaron Fitz Electrical</v>
      </c>
      <c r="O467" t="str">
        <f>"STDINV2010"</f>
        <v>STDINV2010</v>
      </c>
      <c r="P467" t="str">
        <f>"Sales Transaction Entry"</f>
        <v>Sales Transaction Entry</v>
      </c>
      <c r="Q467" s="21" t="str">
        <f>"Cost of Goods Sold"</f>
        <v>Cost of Goods Sold</v>
      </c>
      <c r="R467" s="16">
        <v>187.1</v>
      </c>
      <c r="S467" s="16">
        <v>0</v>
      </c>
      <c r="T467" s="19">
        <f t="shared" si="49"/>
        <v>187.1</v>
      </c>
    </row>
    <row r="468" spans="1:20" x14ac:dyDescent="0.2">
      <c r="A468" s="28" t="s">
        <v>31</v>
      </c>
      <c r="B468" s="33"/>
      <c r="C468" s="33"/>
      <c r="F468" s="33">
        <f>F467</f>
        <v>137</v>
      </c>
      <c r="G468" s="33" t="str">
        <f>G467</f>
        <v>000-4510-01</v>
      </c>
      <c r="H468" s="36"/>
      <c r="K468" t="str">
        <f>"""GP Direct"",""Fabrikam, Inc."",""GL20000"",""DEX_ROW_ID"",""3938"""</f>
        <v>"GP Direct","Fabrikam, Inc.","GL20000","DEX_ROW_ID","3938"</v>
      </c>
      <c r="L468" s="15">
        <v>42377</v>
      </c>
      <c r="M468">
        <v>973</v>
      </c>
      <c r="N468" t="str">
        <f>"Aaron Fitz Electrical"</f>
        <v>Aaron Fitz Electrical</v>
      </c>
      <c r="O468" t="str">
        <f>"STDINV2011"</f>
        <v>STDINV2011</v>
      </c>
      <c r="P468" t="str">
        <f>"Sales Transaction Entry"</f>
        <v>Sales Transaction Entry</v>
      </c>
      <c r="Q468" s="21" t="str">
        <f>"Cost of Goods Sold"</f>
        <v>Cost of Goods Sold</v>
      </c>
      <c r="R468" s="16">
        <v>16.45</v>
      </c>
      <c r="S468" s="16">
        <v>0</v>
      </c>
      <c r="T468" s="19">
        <f t="shared" si="49"/>
        <v>16.45</v>
      </c>
    </row>
    <row r="469" spans="1:20" x14ac:dyDescent="0.2">
      <c r="A469" s="28" t="s">
        <v>31</v>
      </c>
      <c r="B469" s="33"/>
      <c r="C469" s="33"/>
      <c r="F469" s="33">
        <f>F468</f>
        <v>137</v>
      </c>
      <c r="G469" s="33" t="str">
        <f>G468</f>
        <v>000-4510-01</v>
      </c>
      <c r="H469" s="36"/>
      <c r="K469" t="str">
        <f>"""GP Direct"",""Fabrikam, Inc."",""GL20000"",""DEX_ROW_ID"",""3948"""</f>
        <v>"GP Direct","Fabrikam, Inc.","GL20000","DEX_ROW_ID","3948"</v>
      </c>
      <c r="L469" s="15">
        <v>42377</v>
      </c>
      <c r="M469">
        <v>975</v>
      </c>
      <c r="N469" t="str">
        <f>"Aaron Fitz Electrical"</f>
        <v>Aaron Fitz Electrical</v>
      </c>
      <c r="O469" t="str">
        <f>"STDINV2012"</f>
        <v>STDINV2012</v>
      </c>
      <c r="P469" t="str">
        <f>"Sales Transaction Entry"</f>
        <v>Sales Transaction Entry</v>
      </c>
      <c r="Q469" s="21" t="str">
        <f>"Cost of Goods Sold"</f>
        <v>Cost of Goods Sold</v>
      </c>
      <c r="R469" s="16">
        <v>21.55</v>
      </c>
      <c r="S469" s="16">
        <v>0</v>
      </c>
      <c r="T469" s="19">
        <f t="shared" si="49"/>
        <v>21.55</v>
      </c>
    </row>
    <row r="470" spans="1:20" x14ac:dyDescent="0.2">
      <c r="A470" s="28" t="s">
        <v>31</v>
      </c>
      <c r="B470" s="33"/>
      <c r="C470" s="33"/>
      <c r="F470" s="33">
        <f>F469</f>
        <v>137</v>
      </c>
      <c r="G470" s="33" t="str">
        <f>G469</f>
        <v>000-4510-01</v>
      </c>
      <c r="H470" s="36"/>
      <c r="K470" t="str">
        <f>"""GP Direct"",""Fabrikam, Inc."",""GL20000"",""DEX_ROW_ID"",""3958"""</f>
        <v>"GP Direct","Fabrikam, Inc.","GL20000","DEX_ROW_ID","3958"</v>
      </c>
      <c r="L470" s="15">
        <v>42378</v>
      </c>
      <c r="M470">
        <v>977</v>
      </c>
      <c r="N470" t="str">
        <f>"ISN Industries"</f>
        <v>ISN Industries</v>
      </c>
      <c r="O470" t="str">
        <f>"STDINV2013"</f>
        <v>STDINV2013</v>
      </c>
      <c r="P470" t="str">
        <f>"Sales Transaction Entry"</f>
        <v>Sales Transaction Entry</v>
      </c>
      <c r="Q470" s="21" t="str">
        <f>"Cost of Goods Sold"</f>
        <v>Cost of Goods Sold</v>
      </c>
      <c r="R470" s="16">
        <v>674.5</v>
      </c>
      <c r="S470" s="16">
        <v>0</v>
      </c>
      <c r="T470" s="19">
        <f t="shared" si="49"/>
        <v>674.5</v>
      </c>
    </row>
    <row r="471" spans="1:20" x14ac:dyDescent="0.2">
      <c r="A471" s="28" t="s">
        <v>31</v>
      </c>
      <c r="B471" s="33"/>
      <c r="C471" s="33"/>
      <c r="F471" s="33">
        <f>F470</f>
        <v>137</v>
      </c>
      <c r="G471" s="33" t="str">
        <f>G470</f>
        <v>000-4510-01</v>
      </c>
      <c r="H471" s="36"/>
      <c r="K471" t="str">
        <f>"""GP Direct"",""Fabrikam, Inc."",""GL20000"",""DEX_ROW_ID"",""3968"""</f>
        <v>"GP Direct","Fabrikam, Inc.","GL20000","DEX_ROW_ID","3968"</v>
      </c>
      <c r="L471" s="15">
        <v>42379</v>
      </c>
      <c r="M471">
        <v>979</v>
      </c>
      <c r="N471" t="str">
        <f>"Contoso, Ltd."</f>
        <v>Contoso, Ltd.</v>
      </c>
      <c r="O471" t="str">
        <f>"STDINV2014"</f>
        <v>STDINV2014</v>
      </c>
      <c r="P471" t="str">
        <f>"Sales Transaction Entry"</f>
        <v>Sales Transaction Entry</v>
      </c>
      <c r="Q471" s="21" t="str">
        <f>"Cost of Goods Sold"</f>
        <v>Cost of Goods Sold</v>
      </c>
      <c r="R471" s="16">
        <v>92.59</v>
      </c>
      <c r="S471" s="16">
        <v>0</v>
      </c>
      <c r="T471" s="19">
        <f t="shared" si="49"/>
        <v>92.59</v>
      </c>
    </row>
    <row r="472" spans="1:20" x14ac:dyDescent="0.2">
      <c r="A472" s="28" t="s">
        <v>31</v>
      </c>
      <c r="B472" s="33"/>
      <c r="C472" s="33"/>
      <c r="F472" s="33">
        <f>F471</f>
        <v>137</v>
      </c>
      <c r="G472" s="33" t="str">
        <f>G471</f>
        <v>000-4510-01</v>
      </c>
      <c r="H472" s="36"/>
      <c r="K472" t="str">
        <f>"""GP Direct"",""Fabrikam, Inc."",""GL20000"",""DEX_ROW_ID"",""3977"""</f>
        <v>"GP Direct","Fabrikam, Inc.","GL20000","DEX_ROW_ID","3977"</v>
      </c>
      <c r="L472" s="15">
        <v>42380</v>
      </c>
      <c r="M472">
        <v>981</v>
      </c>
      <c r="N472" t="str">
        <f>"Vancouver Resort Hotels"</f>
        <v>Vancouver Resort Hotels</v>
      </c>
      <c r="O472" t="str">
        <f>"STDINV2015"</f>
        <v>STDINV2015</v>
      </c>
      <c r="P472" t="str">
        <f>"Sales Transaction Entry"</f>
        <v>Sales Transaction Entry</v>
      </c>
      <c r="Q472" s="21" t="str">
        <f>"Cost of Goods Sold"</f>
        <v>Cost of Goods Sold</v>
      </c>
      <c r="R472" s="16">
        <v>301.54000000000002</v>
      </c>
      <c r="S472" s="16">
        <v>0</v>
      </c>
      <c r="T472" s="19">
        <f t="shared" si="49"/>
        <v>301.54000000000002</v>
      </c>
    </row>
    <row r="473" spans="1:20" x14ac:dyDescent="0.2">
      <c r="A473" s="28" t="s">
        <v>31</v>
      </c>
      <c r="B473" s="33"/>
      <c r="C473" s="33"/>
      <c r="F473" s="33">
        <f>F472</f>
        <v>137</v>
      </c>
      <c r="G473" s="33" t="str">
        <f>G472</f>
        <v>000-4510-01</v>
      </c>
      <c r="H473" s="36"/>
      <c r="K473" t="str">
        <f>"""GP Direct"",""Fabrikam, Inc."",""GL20000"",""DEX_ROW_ID"",""3987"""</f>
        <v>"GP Direct","Fabrikam, Inc.","GL20000","DEX_ROW_ID","3987"</v>
      </c>
      <c r="L473" s="15">
        <v>42381</v>
      </c>
      <c r="M473">
        <v>983</v>
      </c>
      <c r="N473" t="str">
        <f>"Plaza One"</f>
        <v>Plaza One</v>
      </c>
      <c r="O473" t="str">
        <f>"STDINV2016"</f>
        <v>STDINV2016</v>
      </c>
      <c r="P473" t="str">
        <f>"Sales Transaction Entry"</f>
        <v>Sales Transaction Entry</v>
      </c>
      <c r="Q473" s="21" t="str">
        <f>"Cost of Goods Sold"</f>
        <v>Cost of Goods Sold</v>
      </c>
      <c r="R473" s="16">
        <v>466.79</v>
      </c>
      <c r="S473" s="16">
        <v>0</v>
      </c>
      <c r="T473" s="19">
        <f t="shared" si="49"/>
        <v>466.79</v>
      </c>
    </row>
    <row r="474" spans="1:20" x14ac:dyDescent="0.2">
      <c r="A474" s="28" t="s">
        <v>31</v>
      </c>
      <c r="B474" s="33"/>
      <c r="C474" s="33"/>
      <c r="F474" s="33">
        <f>F473</f>
        <v>137</v>
      </c>
      <c r="G474" s="33" t="str">
        <f>G473</f>
        <v>000-4510-01</v>
      </c>
      <c r="H474" s="36"/>
      <c r="K474" t="str">
        <f>"""GP Direct"",""Fabrikam, Inc."",""GL20000"",""DEX_ROW_ID"",""3997"""</f>
        <v>"GP Direct","Fabrikam, Inc.","GL20000","DEX_ROW_ID","3997"</v>
      </c>
      <c r="L474" s="15">
        <v>42382</v>
      </c>
      <c r="M474">
        <v>985</v>
      </c>
      <c r="N474" t="str">
        <f>"Central Communications LTD"</f>
        <v>Central Communications LTD</v>
      </c>
      <c r="O474" t="str">
        <f>"STDINV2017"</f>
        <v>STDINV2017</v>
      </c>
      <c r="P474" t="str">
        <f>"Sales Transaction Entry"</f>
        <v>Sales Transaction Entry</v>
      </c>
      <c r="Q474" s="21" t="str">
        <f>"Cost of Goods Sold"</f>
        <v>Cost of Goods Sold</v>
      </c>
      <c r="R474" s="16">
        <v>9.8699999999999992</v>
      </c>
      <c r="S474" s="16">
        <v>0</v>
      </c>
      <c r="T474" s="19">
        <f t="shared" si="49"/>
        <v>9.8699999999999992</v>
      </c>
    </row>
    <row r="475" spans="1:20" x14ac:dyDescent="0.2">
      <c r="A475" s="28" t="s">
        <v>31</v>
      </c>
      <c r="B475" s="33"/>
      <c r="C475" s="33"/>
      <c r="F475" s="33">
        <f>F474</f>
        <v>137</v>
      </c>
      <c r="G475" s="33" t="str">
        <f>G474</f>
        <v>000-4510-01</v>
      </c>
      <c r="H475" s="36"/>
      <c r="K475" t="str">
        <f>"""GP Direct"",""Fabrikam, Inc."",""GL20000"",""DEX_ROW_ID"",""4006"""</f>
        <v>"GP Direct","Fabrikam, Inc.","GL20000","DEX_ROW_ID","4006"</v>
      </c>
      <c r="L475" s="15">
        <v>42383</v>
      </c>
      <c r="M475">
        <v>987</v>
      </c>
      <c r="N475" t="str">
        <f>"Magnificent Office Images"</f>
        <v>Magnificent Office Images</v>
      </c>
      <c r="O475" t="str">
        <f>"STDINV2018"</f>
        <v>STDINV2018</v>
      </c>
      <c r="P475" t="str">
        <f>"Sales Transaction Entry"</f>
        <v>Sales Transaction Entry</v>
      </c>
      <c r="Q475" s="21" t="str">
        <f>"Cost of Goods Sold"</f>
        <v>Cost of Goods Sold</v>
      </c>
      <c r="R475" s="16">
        <v>331.7</v>
      </c>
      <c r="S475" s="16">
        <v>0</v>
      </c>
      <c r="T475" s="19">
        <f t="shared" si="49"/>
        <v>331.7</v>
      </c>
    </row>
    <row r="476" spans="1:20" x14ac:dyDescent="0.2">
      <c r="A476" s="28" t="s">
        <v>31</v>
      </c>
      <c r="B476" s="33"/>
      <c r="C476" s="33"/>
      <c r="F476" s="33">
        <f>F475</f>
        <v>137</v>
      </c>
      <c r="G476" s="33" t="str">
        <f>G475</f>
        <v>000-4510-01</v>
      </c>
      <c r="H476" s="36"/>
      <c r="K476" t="str">
        <f>"""GP Direct"",""Fabrikam, Inc."",""GL20000"",""DEX_ROW_ID"",""4016"""</f>
        <v>"GP Direct","Fabrikam, Inc.","GL20000","DEX_ROW_ID","4016"</v>
      </c>
      <c r="L476" s="15">
        <v>42384</v>
      </c>
      <c r="M476">
        <v>989</v>
      </c>
      <c r="N476" t="str">
        <f>"Metropolitan Fiber Systems"</f>
        <v>Metropolitan Fiber Systems</v>
      </c>
      <c r="O476" t="str">
        <f>"STDINV2019"</f>
        <v>STDINV2019</v>
      </c>
      <c r="P476" t="str">
        <f>"Sales Transaction Entry"</f>
        <v>Sales Transaction Entry</v>
      </c>
      <c r="Q476" s="21" t="str">
        <f>"Cost of Goods Sold"</f>
        <v>Cost of Goods Sold</v>
      </c>
      <c r="R476" s="16">
        <v>9.8699999999999992</v>
      </c>
      <c r="S476" s="16">
        <v>0</v>
      </c>
      <c r="T476" s="19">
        <f t="shared" si="49"/>
        <v>9.8699999999999992</v>
      </c>
    </row>
    <row r="477" spans="1:20" x14ac:dyDescent="0.2">
      <c r="A477" s="28" t="s">
        <v>31</v>
      </c>
      <c r="B477" s="33"/>
      <c r="C477" s="33"/>
      <c r="F477" s="33">
        <f>F476</f>
        <v>137</v>
      </c>
      <c r="G477" s="33" t="str">
        <f>G476</f>
        <v>000-4510-01</v>
      </c>
      <c r="H477" s="36"/>
      <c r="K477" t="str">
        <f>"""GP Direct"",""Fabrikam, Inc."",""GL20000"",""DEX_ROW_ID"",""4024"""</f>
        <v>"GP Direct","Fabrikam, Inc.","GL20000","DEX_ROW_ID","4024"</v>
      </c>
      <c r="L477" s="15">
        <v>42385</v>
      </c>
      <c r="M477">
        <v>991</v>
      </c>
      <c r="N477" t="str">
        <f>"Mahler State University"</f>
        <v>Mahler State University</v>
      </c>
      <c r="O477" t="str">
        <f>"STDINV2020"</f>
        <v>STDINV2020</v>
      </c>
      <c r="P477" t="str">
        <f>"Sales Transaction Entry"</f>
        <v>Sales Transaction Entry</v>
      </c>
      <c r="Q477" s="21" t="str">
        <f>"Cost of Goods Sold"</f>
        <v>Cost of Goods Sold</v>
      </c>
      <c r="R477" s="16">
        <v>6376.94</v>
      </c>
      <c r="S477" s="16">
        <v>0</v>
      </c>
      <c r="T477" s="19">
        <f t="shared" si="49"/>
        <v>6376.94</v>
      </c>
    </row>
    <row r="478" spans="1:20" x14ac:dyDescent="0.2">
      <c r="A478" s="28" t="s">
        <v>31</v>
      </c>
      <c r="B478" s="33"/>
      <c r="C478" s="33"/>
      <c r="F478" s="33">
        <f>F477</f>
        <v>137</v>
      </c>
      <c r="G478" s="33" t="str">
        <f>G477</f>
        <v>000-4510-01</v>
      </c>
      <c r="H478" s="36"/>
      <c r="K478" t="str">
        <f>"""GP Direct"",""Fabrikam, Inc."",""GL20000"",""DEX_ROW_ID"",""4034"""</f>
        <v>"GP Direct","Fabrikam, Inc.","GL20000","DEX_ROW_ID","4034"</v>
      </c>
      <c r="L478" s="15">
        <v>42386</v>
      </c>
      <c r="M478">
        <v>993</v>
      </c>
      <c r="N478" t="str">
        <f>"Lawrence Telemarketing"</f>
        <v>Lawrence Telemarketing</v>
      </c>
      <c r="O478" t="str">
        <f>"STDINV2021"</f>
        <v>STDINV2021</v>
      </c>
      <c r="P478" t="str">
        <f>"Sales Transaction Entry"</f>
        <v>Sales Transaction Entry</v>
      </c>
      <c r="Q478" s="21" t="str">
        <f>"Cost of Goods Sold"</f>
        <v>Cost of Goods Sold</v>
      </c>
      <c r="R478" s="16">
        <v>2998.15</v>
      </c>
      <c r="S478" s="16">
        <v>0</v>
      </c>
      <c r="T478" s="19">
        <f t="shared" si="49"/>
        <v>2998.15</v>
      </c>
    </row>
    <row r="479" spans="1:20" x14ac:dyDescent="0.2">
      <c r="A479" s="28" t="s">
        <v>31</v>
      </c>
      <c r="B479" s="33"/>
      <c r="C479" s="33"/>
      <c r="F479" s="33">
        <f>F478</f>
        <v>137</v>
      </c>
      <c r="G479" s="33" t="str">
        <f>G478</f>
        <v>000-4510-01</v>
      </c>
      <c r="H479" s="36"/>
      <c r="K479" t="str">
        <f>"""GP Direct"",""Fabrikam, Inc."",""GL20000"",""DEX_ROW_ID"",""4042"""</f>
        <v>"GP Direct","Fabrikam, Inc.","GL20000","DEX_ROW_ID","4042"</v>
      </c>
      <c r="L479" s="15">
        <v>42387</v>
      </c>
      <c r="M479">
        <v>995</v>
      </c>
      <c r="N479" t="str">
        <f>"McConnell A.F. B."</f>
        <v>McConnell A.F. B.</v>
      </c>
      <c r="O479" t="str">
        <f>"STDINV2022"</f>
        <v>STDINV2022</v>
      </c>
      <c r="P479" t="str">
        <f>"Sales Transaction Entry"</f>
        <v>Sales Transaction Entry</v>
      </c>
      <c r="Q479" s="21" t="str">
        <f>"Cost of Goods Sold"</f>
        <v>Cost of Goods Sold</v>
      </c>
      <c r="R479" s="16">
        <v>674.5</v>
      </c>
      <c r="S479" s="16">
        <v>0</v>
      </c>
      <c r="T479" s="19">
        <f t="shared" si="49"/>
        <v>674.5</v>
      </c>
    </row>
    <row r="480" spans="1:20" x14ac:dyDescent="0.2">
      <c r="A480" s="28" t="s">
        <v>31</v>
      </c>
      <c r="B480" s="33"/>
      <c r="C480" s="33"/>
      <c r="F480" s="33">
        <f>F479</f>
        <v>137</v>
      </c>
      <c r="G480" s="33" t="str">
        <f>G479</f>
        <v>000-4510-01</v>
      </c>
      <c r="H480" s="36"/>
      <c r="K480" t="str">
        <f>"""GP Direct"",""Fabrikam, Inc."",""GL20000"",""DEX_ROW_ID"",""4052"""</f>
        <v>"GP Direct","Fabrikam, Inc.","GL20000","DEX_ROW_ID","4052"</v>
      </c>
      <c r="L480" s="15">
        <v>42388</v>
      </c>
      <c r="M480">
        <v>997</v>
      </c>
      <c r="N480" t="str">
        <f>"Astor Suites"</f>
        <v>Astor Suites</v>
      </c>
      <c r="O480" t="str">
        <f>"STDINV2023"</f>
        <v>STDINV2023</v>
      </c>
      <c r="P480" t="str">
        <f>"Sales Transaction Entry"</f>
        <v>Sales Transaction Entry</v>
      </c>
      <c r="Q480" s="21" t="str">
        <f>"Cost of Goods Sold"</f>
        <v>Cost of Goods Sold</v>
      </c>
      <c r="R480" s="16">
        <v>13.65</v>
      </c>
      <c r="S480" s="16">
        <v>0</v>
      </c>
      <c r="T480" s="19">
        <f t="shared" si="49"/>
        <v>13.65</v>
      </c>
    </row>
    <row r="481" spans="1:20" x14ac:dyDescent="0.2">
      <c r="A481" s="28" t="s">
        <v>31</v>
      </c>
      <c r="B481" s="33"/>
      <c r="C481" s="33"/>
      <c r="F481" s="33">
        <f>F480</f>
        <v>137</v>
      </c>
      <c r="G481" s="33" t="str">
        <f>G480</f>
        <v>000-4510-01</v>
      </c>
      <c r="H481" s="36"/>
      <c r="K481" t="str">
        <f>"""GP Direct"",""Fabrikam, Inc."",""GL20000"",""DEX_ROW_ID"",""4062"""</f>
        <v>"GP Direct","Fabrikam, Inc.","GL20000","DEX_ROW_ID","4062"</v>
      </c>
      <c r="L481" s="15">
        <v>42390</v>
      </c>
      <c r="M481">
        <v>999</v>
      </c>
      <c r="N481" t="str">
        <f>"Plaza One"</f>
        <v>Plaza One</v>
      </c>
      <c r="O481" t="str">
        <f>"STDINV2024"</f>
        <v>STDINV2024</v>
      </c>
      <c r="P481" t="str">
        <f>"Sales Transaction Entry"</f>
        <v>Sales Transaction Entry</v>
      </c>
      <c r="Q481" s="21" t="str">
        <f>"Cost of Goods Sold"</f>
        <v>Cost of Goods Sold</v>
      </c>
      <c r="R481" s="16">
        <v>374.2</v>
      </c>
      <c r="S481" s="16">
        <v>0</v>
      </c>
      <c r="T481" s="19">
        <f t="shared" si="49"/>
        <v>374.2</v>
      </c>
    </row>
    <row r="482" spans="1:20" x14ac:dyDescent="0.2">
      <c r="A482" s="28" t="s">
        <v>31</v>
      </c>
      <c r="B482" s="33"/>
      <c r="C482" s="33"/>
      <c r="F482" s="33">
        <f>F481</f>
        <v>137</v>
      </c>
      <c r="G482" s="33" t="str">
        <f>G481</f>
        <v>000-4510-01</v>
      </c>
      <c r="H482" s="36"/>
      <c r="K482" t="str">
        <f>"""GP Direct"",""Fabrikam, Inc."",""GL20000"",""DEX_ROW_ID"",""4071"""</f>
        <v>"GP Direct","Fabrikam, Inc.","GL20000","DEX_ROW_ID","4071"</v>
      </c>
      <c r="L482" s="15">
        <v>42391</v>
      </c>
      <c r="M482">
        <v>1001</v>
      </c>
      <c r="N482" t="str">
        <f>"Vancouver Resort Hotels"</f>
        <v>Vancouver Resort Hotels</v>
      </c>
      <c r="O482" t="str">
        <f>"STDINV2025"</f>
        <v>STDINV2025</v>
      </c>
      <c r="P482" t="str">
        <f>"Sales Transaction Entry"</f>
        <v>Sales Transaction Entry</v>
      </c>
      <c r="Q482" s="21" t="str">
        <f>"Cost of Goods Sold"</f>
        <v>Cost of Goods Sold</v>
      </c>
      <c r="R482" s="16">
        <v>11970</v>
      </c>
      <c r="S482" s="16">
        <v>0</v>
      </c>
      <c r="T482" s="19">
        <f t="shared" si="49"/>
        <v>11970</v>
      </c>
    </row>
    <row r="483" spans="1:20" x14ac:dyDescent="0.2">
      <c r="A483" s="28" t="s">
        <v>31</v>
      </c>
      <c r="B483" s="33"/>
      <c r="C483" s="33"/>
      <c r="F483" s="33">
        <f>F482</f>
        <v>137</v>
      </c>
      <c r="G483" s="33" t="str">
        <f>G482</f>
        <v>000-4510-01</v>
      </c>
      <c r="H483" s="36"/>
      <c r="K483" t="str">
        <f>"""GP Direct"",""Fabrikam, Inc."",""GL20000"",""DEX_ROW_ID"",""4081"""</f>
        <v>"GP Direct","Fabrikam, Inc.","GL20000","DEX_ROW_ID","4081"</v>
      </c>
      <c r="L483" s="15">
        <v>42392</v>
      </c>
      <c r="M483">
        <v>1003</v>
      </c>
      <c r="N483" t="str">
        <f>"Aaron Fitz Electrical"</f>
        <v>Aaron Fitz Electrical</v>
      </c>
      <c r="O483" t="str">
        <f>"STDINV2026"</f>
        <v>STDINV2026</v>
      </c>
      <c r="P483" t="str">
        <f>"Sales Transaction Entry"</f>
        <v>Sales Transaction Entry</v>
      </c>
      <c r="Q483" s="21" t="str">
        <f>"Cost of Goods Sold"</f>
        <v>Cost of Goods Sold</v>
      </c>
      <c r="R483" s="16">
        <v>59.29</v>
      </c>
      <c r="S483" s="16">
        <v>0</v>
      </c>
      <c r="T483" s="19">
        <f t="shared" si="49"/>
        <v>59.29</v>
      </c>
    </row>
    <row r="484" spans="1:20" x14ac:dyDescent="0.2">
      <c r="A484" s="28" t="s">
        <v>31</v>
      </c>
      <c r="B484" s="33"/>
      <c r="C484" s="33"/>
      <c r="F484" s="33">
        <f>F483</f>
        <v>137</v>
      </c>
      <c r="G484" s="33" t="str">
        <f>G483</f>
        <v>000-4510-01</v>
      </c>
      <c r="H484" s="36"/>
      <c r="K484" t="str">
        <f>"""GP Direct"",""Fabrikam, Inc."",""GL20000"",""DEX_ROW_ID"",""4091"""</f>
        <v>"GP Direct","Fabrikam, Inc.","GL20000","DEX_ROW_ID","4091"</v>
      </c>
      <c r="L484" s="15">
        <v>42393</v>
      </c>
      <c r="M484">
        <v>1005</v>
      </c>
      <c r="N484" t="str">
        <f>"Aaron Fitz Electrical"</f>
        <v>Aaron Fitz Electrical</v>
      </c>
      <c r="O484" t="str">
        <f>"STDINV2027"</f>
        <v>STDINV2027</v>
      </c>
      <c r="P484" t="str">
        <f>"Sales Transaction Entry"</f>
        <v>Sales Transaction Entry</v>
      </c>
      <c r="Q484" s="21" t="str">
        <f>"Cost of Goods Sold"</f>
        <v>Cost of Goods Sold</v>
      </c>
      <c r="R484" s="16">
        <v>50.25</v>
      </c>
      <c r="S484" s="16">
        <v>0</v>
      </c>
      <c r="T484" s="19">
        <f t="shared" si="49"/>
        <v>50.25</v>
      </c>
    </row>
    <row r="485" spans="1:20" x14ac:dyDescent="0.2">
      <c r="A485" s="28" t="s">
        <v>31</v>
      </c>
      <c r="B485" s="33"/>
      <c r="C485" s="33"/>
      <c r="F485" s="33">
        <f>F484</f>
        <v>137</v>
      </c>
      <c r="G485" s="33" t="str">
        <f>G484</f>
        <v>000-4510-01</v>
      </c>
      <c r="H485" s="36"/>
      <c r="K485" t="str">
        <f>"""GP Direct"",""Fabrikam, Inc."",""GL20000"",""DEX_ROW_ID"",""4101"""</f>
        <v>"GP Direct","Fabrikam, Inc.","GL20000","DEX_ROW_ID","4101"</v>
      </c>
      <c r="L485" s="15">
        <v>42394</v>
      </c>
      <c r="M485">
        <v>1007</v>
      </c>
      <c r="N485" t="str">
        <f>"Adam Park Resort"</f>
        <v>Adam Park Resort</v>
      </c>
      <c r="O485" t="str">
        <f>"STDINV2028"</f>
        <v>STDINV2028</v>
      </c>
      <c r="P485" t="str">
        <f>"Sales Transaction Entry"</f>
        <v>Sales Transaction Entry</v>
      </c>
      <c r="Q485" s="21" t="str">
        <f>"Cost of Goods Sold"</f>
        <v>Cost of Goods Sold</v>
      </c>
      <c r="R485" s="16">
        <v>555</v>
      </c>
      <c r="S485" s="16">
        <v>0</v>
      </c>
      <c r="T485" s="19">
        <f t="shared" si="49"/>
        <v>555</v>
      </c>
    </row>
    <row r="486" spans="1:20" x14ac:dyDescent="0.2">
      <c r="A486" s="28" t="s">
        <v>31</v>
      </c>
      <c r="B486" s="33"/>
      <c r="C486" s="33"/>
      <c r="F486" s="33">
        <f>F485</f>
        <v>137</v>
      </c>
      <c r="G486" s="33" t="str">
        <f>G485</f>
        <v>000-4510-01</v>
      </c>
      <c r="H486" s="36"/>
      <c r="K486" t="str">
        <f>"""GP Direct"",""Fabrikam, Inc."",""GL20000"",""DEX_ROW_ID"",""4111"""</f>
        <v>"GP Direct","Fabrikam, Inc.","GL20000","DEX_ROW_ID","4111"</v>
      </c>
      <c r="L486" s="15">
        <v>42395</v>
      </c>
      <c r="M486">
        <v>1009</v>
      </c>
      <c r="N486" t="str">
        <f>"Aaron Fitz Electrical"</f>
        <v>Aaron Fitz Electrical</v>
      </c>
      <c r="O486" t="str">
        <f>"STDINV2029"</f>
        <v>STDINV2029</v>
      </c>
      <c r="P486" t="str">
        <f>"Sales Transaction Entry"</f>
        <v>Sales Transaction Entry</v>
      </c>
      <c r="Q486" s="21" t="str">
        <f>"Cost of Goods Sold"</f>
        <v>Cost of Goods Sold</v>
      </c>
      <c r="R486" s="16">
        <v>555</v>
      </c>
      <c r="S486" s="16">
        <v>0</v>
      </c>
      <c r="T486" s="19">
        <f t="shared" si="49"/>
        <v>555</v>
      </c>
    </row>
    <row r="487" spans="1:20" x14ac:dyDescent="0.2">
      <c r="A487" s="28" t="s">
        <v>31</v>
      </c>
      <c r="B487" s="33"/>
      <c r="C487" s="33"/>
      <c r="F487" s="33">
        <f>F486</f>
        <v>137</v>
      </c>
      <c r="G487" s="33" t="str">
        <f>G486</f>
        <v>000-4510-01</v>
      </c>
      <c r="H487" s="36"/>
      <c r="K487" t="str">
        <f>"""GP Direct"",""Fabrikam, Inc."",""GL20000"",""DEX_ROW_ID"",""4121"""</f>
        <v>"GP Direct","Fabrikam, Inc.","GL20000","DEX_ROW_ID","4121"</v>
      </c>
      <c r="L487" s="15">
        <v>42396</v>
      </c>
      <c r="M487">
        <v>1011</v>
      </c>
      <c r="N487" t="str">
        <f>"Aaron Fitz Electrical"</f>
        <v>Aaron Fitz Electrical</v>
      </c>
      <c r="O487" t="str">
        <f>"STDINV2030"</f>
        <v>STDINV2030</v>
      </c>
      <c r="P487" t="str">
        <f>"Sales Transaction Entry"</f>
        <v>Sales Transaction Entry</v>
      </c>
      <c r="Q487" s="21" t="str">
        <f>"Cost of Goods Sold"</f>
        <v>Cost of Goods Sold</v>
      </c>
      <c r="R487" s="16">
        <v>111</v>
      </c>
      <c r="S487" s="16">
        <v>0</v>
      </c>
      <c r="T487" s="19">
        <f t="shared" si="49"/>
        <v>111</v>
      </c>
    </row>
    <row r="488" spans="1:20" x14ac:dyDescent="0.2">
      <c r="A488" s="28" t="s">
        <v>31</v>
      </c>
      <c r="B488" s="33"/>
      <c r="C488" s="33"/>
      <c r="F488" s="33">
        <f>F487</f>
        <v>137</v>
      </c>
      <c r="G488" s="33" t="str">
        <f>G487</f>
        <v>000-4510-01</v>
      </c>
      <c r="H488" s="36"/>
      <c r="K488" t="str">
        <f>"""GP Direct"",""Fabrikam, Inc."",""GL20000"",""DEX_ROW_ID"",""4131"""</f>
        <v>"GP Direct","Fabrikam, Inc.","GL20000","DEX_ROW_ID","4131"</v>
      </c>
      <c r="L488" s="15">
        <v>42397</v>
      </c>
      <c r="M488">
        <v>1013</v>
      </c>
      <c r="N488" t="str">
        <f>"Contoso, Ltd."</f>
        <v>Contoso, Ltd.</v>
      </c>
      <c r="O488" t="str">
        <f>"STDINV2031"</f>
        <v>STDINV2031</v>
      </c>
      <c r="P488" t="str">
        <f>"Sales Transaction Entry"</f>
        <v>Sales Transaction Entry</v>
      </c>
      <c r="Q488" s="21" t="str">
        <f>"Cost of Goods Sold"</f>
        <v>Cost of Goods Sold</v>
      </c>
      <c r="R488" s="16">
        <v>277.5</v>
      </c>
      <c r="S488" s="16">
        <v>0</v>
      </c>
      <c r="T488" s="19">
        <f t="shared" si="49"/>
        <v>277.5</v>
      </c>
    </row>
    <row r="489" spans="1:20" x14ac:dyDescent="0.2">
      <c r="A489" s="28" t="s">
        <v>31</v>
      </c>
      <c r="B489" s="33"/>
      <c r="C489" s="33"/>
      <c r="F489" s="33">
        <f>F488</f>
        <v>137</v>
      </c>
      <c r="G489" s="33" t="str">
        <f>G488</f>
        <v>000-4510-01</v>
      </c>
      <c r="H489" s="36"/>
      <c r="K489" t="str">
        <f>"""GP Direct"",""Fabrikam, Inc."",""GL20000"",""DEX_ROW_ID"",""4140"""</f>
        <v>"GP Direct","Fabrikam, Inc.","GL20000","DEX_ROW_ID","4140"</v>
      </c>
      <c r="L489" s="15">
        <v>42398</v>
      </c>
      <c r="M489">
        <v>1015</v>
      </c>
      <c r="N489" t="str">
        <f>"Vancouver Resort Hotels"</f>
        <v>Vancouver Resort Hotels</v>
      </c>
      <c r="O489" t="str">
        <f>"STDINV2032"</f>
        <v>STDINV2032</v>
      </c>
      <c r="P489" t="str">
        <f>"Sales Transaction Entry"</f>
        <v>Sales Transaction Entry</v>
      </c>
      <c r="Q489" s="21" t="str">
        <f>"Cost of Goods Sold"</f>
        <v>Cost of Goods Sold</v>
      </c>
      <c r="R489" s="16">
        <v>55.5</v>
      </c>
      <c r="S489" s="16">
        <v>0</v>
      </c>
      <c r="T489" s="19">
        <f t="shared" si="49"/>
        <v>55.5</v>
      </c>
    </row>
    <row r="490" spans="1:20" x14ac:dyDescent="0.2">
      <c r="A490" s="28" t="s">
        <v>31</v>
      </c>
      <c r="B490" s="33"/>
      <c r="C490" s="33"/>
      <c r="F490" s="33">
        <f>F489</f>
        <v>137</v>
      </c>
      <c r="G490" s="33" t="str">
        <f>G489</f>
        <v>000-4510-01</v>
      </c>
      <c r="H490" s="36"/>
      <c r="K490" t="str">
        <f>"""GP Direct"",""Fabrikam, Inc."",""GL20000"",""DEX_ROW_ID"",""4150"""</f>
        <v>"GP Direct","Fabrikam, Inc.","GL20000","DEX_ROW_ID","4150"</v>
      </c>
      <c r="L490" s="15">
        <v>42399</v>
      </c>
      <c r="M490">
        <v>1017</v>
      </c>
      <c r="N490" t="str">
        <f>"Plaza One"</f>
        <v>Plaza One</v>
      </c>
      <c r="O490" t="str">
        <f>"STDINV2033"</f>
        <v>STDINV2033</v>
      </c>
      <c r="P490" t="str">
        <f>"Sales Transaction Entry"</f>
        <v>Sales Transaction Entry</v>
      </c>
      <c r="Q490" s="21" t="str">
        <f>"Cost of Goods Sold"</f>
        <v>Cost of Goods Sold</v>
      </c>
      <c r="R490" s="16">
        <v>118.58</v>
      </c>
      <c r="S490" s="16">
        <v>0</v>
      </c>
      <c r="T490" s="19">
        <f t="shared" si="49"/>
        <v>118.58</v>
      </c>
    </row>
    <row r="491" spans="1:20" x14ac:dyDescent="0.2">
      <c r="A491" s="28" t="s">
        <v>31</v>
      </c>
      <c r="B491" s="33"/>
      <c r="C491" s="33"/>
      <c r="F491" s="33">
        <f>F490</f>
        <v>137</v>
      </c>
      <c r="G491" s="33" t="str">
        <f>G490</f>
        <v>000-4510-01</v>
      </c>
      <c r="H491" s="36"/>
      <c r="K491" t="str">
        <f>"""GP Direct"",""Fabrikam, Inc."",""GL20000"",""DEX_ROW_ID"",""4160"""</f>
        <v>"GP Direct","Fabrikam, Inc.","GL20000","DEX_ROW_ID","4160"</v>
      </c>
      <c r="L491" s="15">
        <v>42400</v>
      </c>
      <c r="M491">
        <v>1019</v>
      </c>
      <c r="N491" t="str">
        <f>"Central Communications LTD"</f>
        <v>Central Communications LTD</v>
      </c>
      <c r="O491" t="str">
        <f>"STDINV2034"</f>
        <v>STDINV2034</v>
      </c>
      <c r="P491" t="str">
        <f>"Sales Transaction Entry"</f>
        <v>Sales Transaction Entry</v>
      </c>
      <c r="Q491" s="21" t="str">
        <f>"Cost of Goods Sold"</f>
        <v>Cost of Goods Sold</v>
      </c>
      <c r="R491" s="16">
        <v>277.5</v>
      </c>
      <c r="S491" s="16">
        <v>0</v>
      </c>
      <c r="T491" s="19">
        <f t="shared" si="49"/>
        <v>277.5</v>
      </c>
    </row>
    <row r="492" spans="1:20" x14ac:dyDescent="0.2">
      <c r="A492" s="28" t="s">
        <v>31</v>
      </c>
      <c r="B492" s="33"/>
      <c r="C492" s="33"/>
      <c r="F492" s="33">
        <f>F491</f>
        <v>137</v>
      </c>
      <c r="G492" s="33" t="str">
        <f>G491</f>
        <v>000-4510-01</v>
      </c>
      <c r="H492" s="36"/>
      <c r="K492" t="str">
        <f>"""GP Direct"",""Fabrikam, Inc."",""GL20000"",""DEX_ROW_ID"",""4938"""</f>
        <v>"GP Direct","Fabrikam, Inc.","GL20000","DEX_ROW_ID","4938"</v>
      </c>
      <c r="L492" s="15">
        <v>42377</v>
      </c>
      <c r="M492">
        <v>1204</v>
      </c>
      <c r="N492" t="str">
        <f>"Aaron Fitz Electrical"</f>
        <v>Aaron Fitz Electrical</v>
      </c>
      <c r="O492" t="str">
        <f>"STDINV2120"</f>
        <v>STDINV2120</v>
      </c>
      <c r="P492" t="str">
        <f>"Sales Transaction Entry"</f>
        <v>Sales Transaction Entry</v>
      </c>
      <c r="Q492" s="21" t="str">
        <f>"Cost of Goods Sold"</f>
        <v>Cost of Goods Sold</v>
      </c>
      <c r="R492" s="16">
        <v>555.54</v>
      </c>
      <c r="S492" s="16">
        <v>0</v>
      </c>
      <c r="T492" s="19">
        <f t="shared" si="49"/>
        <v>555.54</v>
      </c>
    </row>
    <row r="493" spans="1:20" x14ac:dyDescent="0.2">
      <c r="A493" s="28" t="s">
        <v>31</v>
      </c>
      <c r="B493" s="33"/>
      <c r="C493" s="33"/>
      <c r="F493" s="33">
        <f>F492</f>
        <v>137</v>
      </c>
      <c r="G493" s="33" t="str">
        <f>G492</f>
        <v>000-4510-01</v>
      </c>
      <c r="H493" s="36"/>
      <c r="K493" t="str">
        <f>"""GP Direct"",""Fabrikam, Inc."",""GL20000"",""DEX_ROW_ID"",""4947"""</f>
        <v>"GP Direct","Fabrikam, Inc.","GL20000","DEX_ROW_ID","4947"</v>
      </c>
      <c r="L493" s="15">
        <v>42377</v>
      </c>
      <c r="M493">
        <v>1205</v>
      </c>
      <c r="N493" t="str">
        <f>"Advanced Paper Co."</f>
        <v>Advanced Paper Co.</v>
      </c>
      <c r="O493" t="str">
        <f>"STDINV2121"</f>
        <v>STDINV2121</v>
      </c>
      <c r="P493" t="str">
        <f>"Sales Transaction Entry"</f>
        <v>Sales Transaction Entry</v>
      </c>
      <c r="Q493" s="21" t="str">
        <f>"Cost of Goods Sold"</f>
        <v>Cost of Goods Sold</v>
      </c>
      <c r="R493" s="16">
        <v>111.92</v>
      </c>
      <c r="S493" s="16">
        <v>0</v>
      </c>
      <c r="T493" s="19">
        <f t="shared" si="49"/>
        <v>111.92</v>
      </c>
    </row>
    <row r="494" spans="1:20" x14ac:dyDescent="0.2">
      <c r="A494" s="28" t="s">
        <v>31</v>
      </c>
      <c r="B494" s="33"/>
      <c r="C494" s="33"/>
      <c r="F494" s="33">
        <f>F456</f>
        <v>137</v>
      </c>
      <c r="G494" s="33" t="str">
        <f>G456</f>
        <v>000-4510-01</v>
      </c>
      <c r="H494" s="36"/>
    </row>
    <row r="495" spans="1:20" x14ac:dyDescent="0.2">
      <c r="A495" s="28" t="s">
        <v>31</v>
      </c>
      <c r="I495" s="37" t="str">
        <f>I454&amp;"   "&amp;J454&amp;"         Total:"</f>
        <v>000-4510-01   Cost of Goods Sold - Retail/Parts         Total:</v>
      </c>
      <c r="J495" s="37"/>
      <c r="K495" s="37"/>
      <c r="L495" s="37"/>
      <c r="M495" s="37"/>
      <c r="N495" s="37"/>
      <c r="O495" s="37"/>
      <c r="P495" s="37"/>
      <c r="Q495" s="37"/>
      <c r="R495" s="37"/>
      <c r="S495" s="37"/>
      <c r="T495" s="23">
        <f t="shared" ref="T495" si="50">SUBTOTAL(9,T455:T494)</f>
        <v>31116.12</v>
      </c>
    </row>
    <row r="496" spans="1:20" x14ac:dyDescent="0.2">
      <c r="A496" s="28" t="s">
        <v>31</v>
      </c>
    </row>
    <row r="497" spans="1:20" x14ac:dyDescent="0.2">
      <c r="A497" s="28" t="s">
        <v>31</v>
      </c>
      <c r="D497" s="28" t="str">
        <f>"||""Filter"",""GL20000"",""ACTINDX"",""TRXDATE"",""1/1/2016..1/31/2016"",""ACTINDX"",""||""""Filter"""",""""GL00105"""",""""ACTINDX"""",""""ACTNUMBR_1"""",""""*"""",""""ACTNUMBR_2"""",""""*"""",""""ACTNUMBR_3"""",""""*"""","""""""","""""""","""""""","""""""","""""""","""""""","""""""","""""""","""""""","""""""","""""""","""""""","""""""","""""""""","""","""","""","""&amp;""","""","""","""","""","""","""","""","""","""","""","""","""""</f>
        <v>||"Filter","GL20000","ACTINDX","TRXDATE","1/1/2016..1/31/2016","ACTINDX","||""Filter"",""GL00105"",""ACTINDX"",""ACTNUMBR_1"",""*"",""ACTNUMBR_2"",""*"",""ACTNUMBR_3"",""*"","""","""","""","""","""","""","""","""","""","""","""","""","""",""""","","","","","","","","","","","","","","","",""</v>
      </c>
      <c r="E497" s="28" t="str">
        <f>"||""Filter"",""GL30000"",""ACTINDX"",""TRXDATE"",""1/1/2016..1/31/2016"",""ACTINDX"",""||""""Filter"""",""""GL00105"""",""""ACTINDX"""",""""ACTNUMBR_1"""",""""*"""",""""ACTNUMBR_2"""",""""*"""",""""ACTNUMBR_3"""",""""*"""","""""""","""""""","""""""","""""""","""""""","""""""","""""""","""""""","""""""","""""""","""""""","""""""","""""""","""""""""","""","""","""","""&amp;""","""","""","""","""","""","""","""","""","""","""","""","""""</f>
        <v>||"Filter","GL30000","ACTINDX","TRXDATE","1/1/2016..1/31/2016","ACTINDX","||""Filter"",""GL00105"",""ACTINDX"",""ACTNUMBR_1"",""*"",""ACTNUMBR_2"",""*"",""ACTNUMBR_3"",""*"","""","""","""","""","""","""","""","""","""","""","""","""","""",""""","","","","","","","","","","","","","","","",""</v>
      </c>
      <c r="F497" s="28">
        <v>144</v>
      </c>
      <c r="G497" s="28" t="str">
        <f>"000-5100-00"</f>
        <v>000-5100-00</v>
      </c>
      <c r="I497" s="17" t="str">
        <f>G497</f>
        <v>000-5100-00</v>
      </c>
      <c r="J497" s="17" t="str">
        <f>"Salaries and Wages"</f>
        <v>Salaries and Wages</v>
      </c>
      <c r="Q497" s="17"/>
      <c r="R497" s="18"/>
    </row>
    <row r="498" spans="1:20" x14ac:dyDescent="0.2">
      <c r="A498" s="28" t="s">
        <v>31</v>
      </c>
      <c r="B498" s="33"/>
      <c r="C498" s="33"/>
      <c r="F498" s="33">
        <f>F497</f>
        <v>144</v>
      </c>
      <c r="G498" s="33" t="str">
        <f>G497</f>
        <v>000-5100-00</v>
      </c>
      <c r="H498" s="36"/>
      <c r="L498" s="15"/>
      <c r="Q498" s="21"/>
      <c r="R498" s="16"/>
      <c r="S498" s="16">
        <f>IF($K498="",0,-_xll.NF($K498,"CRDTAMNT"))</f>
        <v>0</v>
      </c>
      <c r="T498" s="19">
        <f t="shared" ref="T498:T499" si="51">SUM(R498:S498)</f>
        <v>0</v>
      </c>
    </row>
    <row r="499" spans="1:20" x14ac:dyDescent="0.2">
      <c r="A499" s="28" t="s">
        <v>31</v>
      </c>
      <c r="B499" s="33"/>
      <c r="C499" s="33"/>
      <c r="F499" s="33">
        <f>F498</f>
        <v>144</v>
      </c>
      <c r="G499" s="33" t="str">
        <f>G498</f>
        <v>000-5100-00</v>
      </c>
      <c r="H499" s="36"/>
      <c r="K499" t="str">
        <f>"""GP Direct"",""Fabrikam, Inc."",""GL20000"",""DEX_ROW_ID"",""12198"""</f>
        <v>"GP Direct","Fabrikam, Inc.","GL20000","DEX_ROW_ID","12198"</v>
      </c>
      <c r="L499" s="15">
        <v>42370</v>
      </c>
      <c r="M499">
        <v>2220</v>
      </c>
      <c r="N499" t="str">
        <f>"Ackerman, Pilar"</f>
        <v>Ackerman, Pilar</v>
      </c>
      <c r="O499" t="str">
        <f>"DD000000000000000073"</f>
        <v>DD000000000000000073</v>
      </c>
      <c r="P499" t="str">
        <f>"Payroll Computer Checks"</f>
        <v>Payroll Computer Checks</v>
      </c>
      <c r="Q499" s="21"/>
      <c r="R499" s="16">
        <v>1437.5</v>
      </c>
      <c r="S499" s="16">
        <v>0</v>
      </c>
      <c r="T499" s="19">
        <f t="shared" si="51"/>
        <v>1437.5</v>
      </c>
    </row>
    <row r="500" spans="1:20" x14ac:dyDescent="0.2">
      <c r="A500" s="28" t="s">
        <v>31</v>
      </c>
      <c r="B500" s="33"/>
      <c r="C500" s="33"/>
      <c r="F500" s="33">
        <f>F499</f>
        <v>144</v>
      </c>
      <c r="G500" s="33" t="str">
        <f>G499</f>
        <v>000-5100-00</v>
      </c>
      <c r="H500" s="36"/>
      <c r="K500" t="str">
        <f>"""GP Direct"",""Fabrikam, Inc."",""GL20000"",""DEX_ROW_ID"",""12205"""</f>
        <v>"GP Direct","Fabrikam, Inc.","GL20000","DEX_ROW_ID","12205"</v>
      </c>
      <c r="L500" s="15">
        <v>42370</v>
      </c>
      <c r="M500">
        <v>2221</v>
      </c>
      <c r="N500" t="str">
        <f>"Barbariol, Angela"</f>
        <v>Barbariol, Angela</v>
      </c>
      <c r="O500" t="str">
        <f>"DD000000000000000074"</f>
        <v>DD000000000000000074</v>
      </c>
      <c r="P500" t="str">
        <f>"Payroll Computer Checks"</f>
        <v>Payroll Computer Checks</v>
      </c>
      <c r="Q500" s="21"/>
      <c r="R500" s="16">
        <v>1508.72</v>
      </c>
      <c r="S500" s="16">
        <v>0</v>
      </c>
      <c r="T500" s="19">
        <f t="shared" ref="T500:T526" si="52">SUM(R500:S500)</f>
        <v>1508.72</v>
      </c>
    </row>
    <row r="501" spans="1:20" x14ac:dyDescent="0.2">
      <c r="A501" s="28" t="s">
        <v>31</v>
      </c>
      <c r="B501" s="33"/>
      <c r="C501" s="33"/>
      <c r="F501" s="33">
        <f>F500</f>
        <v>144</v>
      </c>
      <c r="G501" s="33" t="str">
        <f>G500</f>
        <v>000-5100-00</v>
      </c>
      <c r="H501" s="36"/>
      <c r="K501" t="str">
        <f>"""GP Direct"",""Fabrikam, Inc."",""GL20000"",""DEX_ROW_ID"",""12212"""</f>
        <v>"GP Direct","Fabrikam, Inc.","GL20000","DEX_ROW_ID","12212"</v>
      </c>
      <c r="L501" s="15">
        <v>42370</v>
      </c>
      <c r="M501">
        <v>2222</v>
      </c>
      <c r="N501" t="str">
        <f>"Barr, Adam"</f>
        <v>Barr, Adam</v>
      </c>
      <c r="O501" t="str">
        <f>"10654"</f>
        <v>10654</v>
      </c>
      <c r="P501" t="str">
        <f>"Payroll Computer Checks"</f>
        <v>Payroll Computer Checks</v>
      </c>
      <c r="Q501" s="21"/>
      <c r="R501" s="16">
        <v>1695.39</v>
      </c>
      <c r="S501" s="16">
        <v>0</v>
      </c>
      <c r="T501" s="19">
        <f t="shared" si="52"/>
        <v>1695.39</v>
      </c>
    </row>
    <row r="502" spans="1:20" x14ac:dyDescent="0.2">
      <c r="A502" s="28" t="s">
        <v>31</v>
      </c>
      <c r="B502" s="33"/>
      <c r="C502" s="33"/>
      <c r="F502" s="33">
        <f>F501</f>
        <v>144</v>
      </c>
      <c r="G502" s="33" t="str">
        <f>G501</f>
        <v>000-5100-00</v>
      </c>
      <c r="H502" s="36"/>
      <c r="K502" t="str">
        <f>"""GP Direct"",""Fabrikam, Inc."",""GL20000"",""DEX_ROW_ID"",""12222"""</f>
        <v>"GP Direct","Fabrikam, Inc.","GL20000","DEX_ROW_ID","12222"</v>
      </c>
      <c r="L502" s="15">
        <v>42370</v>
      </c>
      <c r="M502">
        <v>2223</v>
      </c>
      <c r="N502" t="str">
        <f>"Bonifaz, Luis"</f>
        <v>Bonifaz, Luis</v>
      </c>
      <c r="O502" t="str">
        <f>"DD000000000000000075"</f>
        <v>DD000000000000000075</v>
      </c>
      <c r="P502" t="str">
        <f>"Payroll Computer Checks"</f>
        <v>Payroll Computer Checks</v>
      </c>
      <c r="Q502" s="21"/>
      <c r="R502" s="16">
        <v>1191.3499999999999</v>
      </c>
      <c r="S502" s="16">
        <v>0</v>
      </c>
      <c r="T502" s="19">
        <f t="shared" si="52"/>
        <v>1191.3499999999999</v>
      </c>
    </row>
    <row r="503" spans="1:20" x14ac:dyDescent="0.2">
      <c r="A503" s="28" t="s">
        <v>31</v>
      </c>
      <c r="B503" s="33"/>
      <c r="C503" s="33"/>
      <c r="F503" s="33">
        <f>F502</f>
        <v>144</v>
      </c>
      <c r="G503" s="33" t="str">
        <f>G502</f>
        <v>000-5100-00</v>
      </c>
      <c r="H503" s="36"/>
      <c r="K503" t="str">
        <f>"""GP Direct"",""Fabrikam, Inc."",""GL20000"",""DEX_ROW_ID"",""12233"""</f>
        <v>"GP Direct","Fabrikam, Inc.","GL20000","DEX_ROW_ID","12233"</v>
      </c>
      <c r="L503" s="15">
        <v>42370</v>
      </c>
      <c r="M503">
        <v>2224</v>
      </c>
      <c r="N503" t="str">
        <f>"Buchanan, Nancy"</f>
        <v>Buchanan, Nancy</v>
      </c>
      <c r="O503" t="str">
        <f>"10655"</f>
        <v>10655</v>
      </c>
      <c r="P503" t="str">
        <f>"Payroll Computer Checks"</f>
        <v>Payroll Computer Checks</v>
      </c>
      <c r="Q503" s="21"/>
      <c r="R503" s="16">
        <v>9583.33</v>
      </c>
      <c r="S503" s="16">
        <v>0</v>
      </c>
      <c r="T503" s="19">
        <f t="shared" si="52"/>
        <v>9583.33</v>
      </c>
    </row>
    <row r="504" spans="1:20" x14ac:dyDescent="0.2">
      <c r="A504" s="28" t="s">
        <v>31</v>
      </c>
      <c r="B504" s="33"/>
      <c r="C504" s="33"/>
      <c r="F504" s="33">
        <f>F503</f>
        <v>144</v>
      </c>
      <c r="G504" s="33" t="str">
        <f>G503</f>
        <v>000-5100-00</v>
      </c>
      <c r="H504" s="36"/>
      <c r="K504" t="str">
        <f>"""GP Direct"",""Fabrikam, Inc."",""GL20000"",""DEX_ROW_ID"",""12242"""</f>
        <v>"GP Direct","Fabrikam, Inc.","GL20000","DEX_ROW_ID","12242"</v>
      </c>
      <c r="L504" s="15">
        <v>42370</v>
      </c>
      <c r="M504">
        <v>2225</v>
      </c>
      <c r="N504" t="str">
        <f>"Chen, John Y."</f>
        <v>Chen, John Y.</v>
      </c>
      <c r="O504" t="str">
        <f>"10656"</f>
        <v>10656</v>
      </c>
      <c r="P504" t="str">
        <f>"Payroll Computer Checks"</f>
        <v>Payroll Computer Checks</v>
      </c>
      <c r="Q504" s="21"/>
      <c r="R504" s="16">
        <v>691.5</v>
      </c>
      <c r="S504" s="16">
        <v>0</v>
      </c>
      <c r="T504" s="19">
        <f t="shared" si="52"/>
        <v>691.5</v>
      </c>
    </row>
    <row r="505" spans="1:20" x14ac:dyDescent="0.2">
      <c r="A505" s="28" t="s">
        <v>31</v>
      </c>
      <c r="B505" s="33"/>
      <c r="C505" s="33"/>
      <c r="F505" s="33">
        <f>F504</f>
        <v>144</v>
      </c>
      <c r="G505" s="33" t="str">
        <f>G504</f>
        <v>000-5100-00</v>
      </c>
      <c r="H505" s="36"/>
      <c r="K505" t="str">
        <f>"""GP Direct"",""Fabrikam, Inc."",""GL20000"",""DEX_ROW_ID"",""12245"""</f>
        <v>"GP Direct","Fabrikam, Inc.","GL20000","DEX_ROW_ID","12245"</v>
      </c>
      <c r="L505" s="15">
        <v>42370</v>
      </c>
      <c r="M505">
        <v>2226</v>
      </c>
      <c r="N505" t="str">
        <f>"Clayton, Jane"</f>
        <v>Clayton, Jane</v>
      </c>
      <c r="O505" t="str">
        <f>"10657"</f>
        <v>10657</v>
      </c>
      <c r="P505" t="str">
        <f>"Payroll Computer Checks"</f>
        <v>Payroll Computer Checks</v>
      </c>
      <c r="Q505" s="21"/>
      <c r="R505" s="16">
        <v>1312.5</v>
      </c>
      <c r="S505" s="16">
        <v>0</v>
      </c>
      <c r="T505" s="19">
        <f t="shared" si="52"/>
        <v>1312.5</v>
      </c>
    </row>
    <row r="506" spans="1:20" x14ac:dyDescent="0.2">
      <c r="A506" s="28" t="s">
        <v>31</v>
      </c>
      <c r="B506" s="33"/>
      <c r="C506" s="33"/>
      <c r="F506" s="33">
        <f>F505</f>
        <v>144</v>
      </c>
      <c r="G506" s="33" t="str">
        <f>G505</f>
        <v>000-5100-00</v>
      </c>
      <c r="H506" s="36"/>
      <c r="K506" t="str">
        <f>"""GP Direct"",""Fabrikam, Inc."",""GL20000"",""DEX_ROW_ID"",""12254"""</f>
        <v>"GP Direct","Fabrikam, Inc.","GL20000","DEX_ROW_ID","12254"</v>
      </c>
      <c r="L506" s="15">
        <v>42370</v>
      </c>
      <c r="M506">
        <v>2227</v>
      </c>
      <c r="N506" t="str">
        <f>"Delaney, Aidan"</f>
        <v>Delaney, Aidan</v>
      </c>
      <c r="O506" t="str">
        <f>"10658"</f>
        <v>10658</v>
      </c>
      <c r="P506" t="str">
        <f>"Payroll Computer Checks"</f>
        <v>Payroll Computer Checks</v>
      </c>
      <c r="Q506" s="21"/>
      <c r="R506" s="16">
        <v>824.9</v>
      </c>
      <c r="S506" s="16">
        <v>0</v>
      </c>
      <c r="T506" s="19">
        <f t="shared" si="52"/>
        <v>824.9</v>
      </c>
    </row>
    <row r="507" spans="1:20" x14ac:dyDescent="0.2">
      <c r="A507" s="28" t="s">
        <v>31</v>
      </c>
      <c r="B507" s="33"/>
      <c r="C507" s="33"/>
      <c r="F507" s="33">
        <f>F506</f>
        <v>144</v>
      </c>
      <c r="G507" s="33" t="str">
        <f>G506</f>
        <v>000-5100-00</v>
      </c>
      <c r="H507" s="36"/>
      <c r="K507" t="str">
        <f>"""GP Direct"",""Fabrikam, Inc."",""GL20000"",""DEX_ROW_ID"",""12268"""</f>
        <v>"GP Direct","Fabrikam, Inc.","GL20000","DEX_ROW_ID","12268"</v>
      </c>
      <c r="L507" s="15">
        <v>42370</v>
      </c>
      <c r="M507">
        <v>2228</v>
      </c>
      <c r="N507" t="str">
        <f>"Diaz, Brenda"</f>
        <v>Diaz, Brenda</v>
      </c>
      <c r="O507" t="str">
        <f>"10659"</f>
        <v>10659</v>
      </c>
      <c r="P507" t="str">
        <f>"Payroll Computer Checks"</f>
        <v>Payroll Computer Checks</v>
      </c>
      <c r="Q507" s="21"/>
      <c r="R507" s="16">
        <v>1882.06</v>
      </c>
      <c r="S507" s="16">
        <v>0</v>
      </c>
      <c r="T507" s="19">
        <f t="shared" si="52"/>
        <v>1882.06</v>
      </c>
    </row>
    <row r="508" spans="1:20" x14ac:dyDescent="0.2">
      <c r="A508" s="28" t="s">
        <v>31</v>
      </c>
      <c r="B508" s="33"/>
      <c r="C508" s="33"/>
      <c r="F508" s="33">
        <f>F507</f>
        <v>144</v>
      </c>
      <c r="G508" s="33" t="str">
        <f>G507</f>
        <v>000-5100-00</v>
      </c>
      <c r="H508" s="36"/>
      <c r="K508" t="str">
        <f>"""GP Direct"",""Fabrikam, Inc."",""GL20000"",""DEX_ROW_ID"",""12274"""</f>
        <v>"GP Direct","Fabrikam, Inc.","GL20000","DEX_ROW_ID","12274"</v>
      </c>
      <c r="L508" s="15">
        <v>42370</v>
      </c>
      <c r="M508">
        <v>2229</v>
      </c>
      <c r="N508" t="str">
        <f>"Doyle, Jenny"</f>
        <v>Doyle, Jenny</v>
      </c>
      <c r="O508" t="str">
        <f>"10660"</f>
        <v>10660</v>
      </c>
      <c r="P508" t="str">
        <f>"Payroll Computer Checks"</f>
        <v>Payroll Computer Checks</v>
      </c>
      <c r="Q508" s="21"/>
      <c r="R508" s="16">
        <v>891</v>
      </c>
      <c r="S508" s="16">
        <v>0</v>
      </c>
      <c r="T508" s="19">
        <f t="shared" si="52"/>
        <v>891</v>
      </c>
    </row>
    <row r="509" spans="1:20" x14ac:dyDescent="0.2">
      <c r="A509" s="28" t="s">
        <v>31</v>
      </c>
      <c r="B509" s="33"/>
      <c r="C509" s="33"/>
      <c r="F509" s="33">
        <f>F508</f>
        <v>144</v>
      </c>
      <c r="G509" s="33" t="str">
        <f>G508</f>
        <v>000-5100-00</v>
      </c>
      <c r="H509" s="36"/>
      <c r="K509" t="str">
        <f>"""GP Direct"",""Fabrikam, Inc."",""GL20000"",""DEX_ROW_ID"",""12287"""</f>
        <v>"GP Direct","Fabrikam, Inc.","GL20000","DEX_ROW_ID","12287"</v>
      </c>
      <c r="L509" s="15">
        <v>42370</v>
      </c>
      <c r="M509">
        <v>2230</v>
      </c>
      <c r="N509" t="str">
        <f>"Erickson, Gregory J."</f>
        <v>Erickson, Gregory J.</v>
      </c>
      <c r="O509" t="str">
        <f>"10661"</f>
        <v>10661</v>
      </c>
      <c r="P509" t="str">
        <f>"Payroll Computer Checks"</f>
        <v>Payroll Computer Checks</v>
      </c>
      <c r="Q509" s="21"/>
      <c r="R509" s="16">
        <v>6550</v>
      </c>
      <c r="S509" s="16">
        <v>0</v>
      </c>
      <c r="T509" s="19">
        <f t="shared" si="52"/>
        <v>6550</v>
      </c>
    </row>
    <row r="510" spans="1:20" x14ac:dyDescent="0.2">
      <c r="A510" s="28" t="s">
        <v>31</v>
      </c>
      <c r="B510" s="33"/>
      <c r="C510" s="33"/>
      <c r="F510" s="33">
        <f>F509</f>
        <v>144</v>
      </c>
      <c r="G510" s="33" t="str">
        <f>G509</f>
        <v>000-5100-00</v>
      </c>
      <c r="H510" s="36"/>
      <c r="K510" t="str">
        <f>"""GP Direct"",""Fabrikam, Inc."",""GL20000"",""DEX_ROW_ID"",""12291"""</f>
        <v>"GP Direct","Fabrikam, Inc.","GL20000","DEX_ROW_ID","12291"</v>
      </c>
      <c r="L510" s="15">
        <v>42370</v>
      </c>
      <c r="M510">
        <v>2231</v>
      </c>
      <c r="N510" t="str">
        <f>"Flood, Kathie"</f>
        <v>Flood, Kathie</v>
      </c>
      <c r="O510" t="str">
        <f>"10662"</f>
        <v>10662</v>
      </c>
      <c r="P510" t="str">
        <f>"Payroll Computer Checks"</f>
        <v>Payroll Computer Checks</v>
      </c>
      <c r="Q510" s="21"/>
      <c r="R510" s="16">
        <v>912.5</v>
      </c>
      <c r="S510" s="16">
        <v>0</v>
      </c>
      <c r="T510" s="19">
        <f t="shared" si="52"/>
        <v>912.5</v>
      </c>
    </row>
    <row r="511" spans="1:20" x14ac:dyDescent="0.2">
      <c r="A511" s="28" t="s">
        <v>31</v>
      </c>
      <c r="B511" s="33"/>
      <c r="C511" s="33"/>
      <c r="F511" s="33">
        <f>F510</f>
        <v>144</v>
      </c>
      <c r="G511" s="33" t="str">
        <f>G510</f>
        <v>000-5100-00</v>
      </c>
      <c r="H511" s="36"/>
      <c r="K511" t="str">
        <f>"""GP Direct"",""Fabrikam, Inc."",""GL20000"",""DEX_ROW_ID"",""12301"""</f>
        <v>"GP Direct","Fabrikam, Inc.","GL20000","DEX_ROW_ID","12301"</v>
      </c>
      <c r="L511" s="15">
        <v>42370</v>
      </c>
      <c r="M511">
        <v>2232</v>
      </c>
      <c r="N511" t="str">
        <f>"Harui, Roger"</f>
        <v>Harui, Roger</v>
      </c>
      <c r="O511" t="str">
        <f>"10663"</f>
        <v>10663</v>
      </c>
      <c r="P511" t="str">
        <f>"Payroll Computer Checks"</f>
        <v>Payroll Computer Checks</v>
      </c>
      <c r="Q511" s="21"/>
      <c r="R511" s="16">
        <v>1960.72</v>
      </c>
      <c r="S511" s="16">
        <v>0</v>
      </c>
      <c r="T511" s="19">
        <f t="shared" si="52"/>
        <v>1960.72</v>
      </c>
    </row>
    <row r="512" spans="1:20" x14ac:dyDescent="0.2">
      <c r="A512" s="28" t="s">
        <v>31</v>
      </c>
      <c r="B512" s="33"/>
      <c r="C512" s="33"/>
      <c r="F512" s="33">
        <f>F511</f>
        <v>144</v>
      </c>
      <c r="G512" s="33" t="str">
        <f>G511</f>
        <v>000-5100-00</v>
      </c>
      <c r="H512" s="36"/>
      <c r="K512" t="str">
        <f>"""GP Direct"",""Fabrikam, Inc."",""GL20000"",""DEX_ROW_ID"",""12313"""</f>
        <v>"GP Direct","Fabrikam, Inc.","GL20000","DEX_ROW_ID","12313"</v>
      </c>
      <c r="L512" s="15">
        <v>42370</v>
      </c>
      <c r="M512">
        <v>2233</v>
      </c>
      <c r="N512" t="str">
        <f>"Jamison, Jay"</f>
        <v>Jamison, Jay</v>
      </c>
      <c r="O512" t="str">
        <f>"10664"</f>
        <v>10664</v>
      </c>
      <c r="P512" t="str">
        <f>"Payroll Computer Checks"</f>
        <v>Payroll Computer Checks</v>
      </c>
      <c r="Q512" s="21"/>
      <c r="R512" s="16">
        <v>1354.17</v>
      </c>
      <c r="S512" s="16">
        <v>0</v>
      </c>
      <c r="T512" s="19">
        <f t="shared" si="52"/>
        <v>1354.17</v>
      </c>
    </row>
    <row r="513" spans="1:20" x14ac:dyDescent="0.2">
      <c r="A513" s="28" t="s">
        <v>31</v>
      </c>
      <c r="B513" s="33"/>
      <c r="C513" s="33"/>
      <c r="F513" s="33">
        <f>F512</f>
        <v>144</v>
      </c>
      <c r="G513" s="33" t="str">
        <f>G512</f>
        <v>000-5100-00</v>
      </c>
      <c r="H513" s="36"/>
      <c r="K513" t="str">
        <f>"""GP Direct"",""Fabrikam, Inc."",""GL20000"",""DEX_ROW_ID"",""12324"""</f>
        <v>"GP Direct","Fabrikam, Inc.","GL20000","DEX_ROW_ID","12324"</v>
      </c>
      <c r="L513" s="15">
        <v>42370</v>
      </c>
      <c r="M513">
        <v>2234</v>
      </c>
      <c r="N513" t="str">
        <f>"Kahn, Wendy B."</f>
        <v>Kahn, Wendy B.</v>
      </c>
      <c r="O513" t="str">
        <f>"10665"</f>
        <v>10665</v>
      </c>
      <c r="P513" t="str">
        <f>"Payroll Computer Checks"</f>
        <v>Payroll Computer Checks</v>
      </c>
      <c r="Q513" s="21"/>
      <c r="R513" s="16">
        <v>684.69</v>
      </c>
      <c r="S513" s="16">
        <v>0</v>
      </c>
      <c r="T513" s="19">
        <f t="shared" si="52"/>
        <v>684.69</v>
      </c>
    </row>
    <row r="514" spans="1:20" x14ac:dyDescent="0.2">
      <c r="A514" s="28" t="s">
        <v>31</v>
      </c>
      <c r="B514" s="33"/>
      <c r="C514" s="33"/>
      <c r="F514" s="33">
        <f>F513</f>
        <v>144</v>
      </c>
      <c r="G514" s="33" t="str">
        <f>G513</f>
        <v>000-5100-00</v>
      </c>
      <c r="H514" s="36"/>
      <c r="K514" t="str">
        <f>"""GP Direct"",""Fabrikam, Inc."",""GL20000"",""DEX_ROW_ID"",""12332"""</f>
        <v>"GP Direct","Fabrikam, Inc.","GL20000","DEX_ROW_ID","12332"</v>
      </c>
      <c r="L514" s="15">
        <v>42370</v>
      </c>
      <c r="M514">
        <v>2235</v>
      </c>
      <c r="N514" t="str">
        <f>"Kennedy, Kevin"</f>
        <v>Kennedy, Kevin</v>
      </c>
      <c r="O514" t="str">
        <f>"10666"</f>
        <v>10666</v>
      </c>
      <c r="P514" t="str">
        <f>"Payroll Computer Checks"</f>
        <v>Payroll Computer Checks</v>
      </c>
      <c r="Q514" s="21"/>
      <c r="R514" s="16">
        <v>1007.42</v>
      </c>
      <c r="S514" s="16">
        <v>0</v>
      </c>
      <c r="T514" s="19">
        <f t="shared" si="52"/>
        <v>1007.42</v>
      </c>
    </row>
    <row r="515" spans="1:20" x14ac:dyDescent="0.2">
      <c r="A515" s="28" t="s">
        <v>31</v>
      </c>
      <c r="B515" s="33"/>
      <c r="C515" s="33"/>
      <c r="F515" s="33">
        <f>F514</f>
        <v>144</v>
      </c>
      <c r="G515" s="33" t="str">
        <f>G514</f>
        <v>000-5100-00</v>
      </c>
      <c r="H515" s="36"/>
      <c r="K515" t="str">
        <f>"""GP Direct"",""Fabrikam, Inc."",""GL20000"",""DEX_ROW_ID"",""12334"""</f>
        <v>"GP Direct","Fabrikam, Inc.","GL20000","DEX_ROW_ID","12334"</v>
      </c>
      <c r="L515" s="15">
        <v>42370</v>
      </c>
      <c r="M515">
        <v>2236</v>
      </c>
      <c r="N515" t="str">
        <f>"Levy, Steven B."</f>
        <v>Levy, Steven B.</v>
      </c>
      <c r="O515" t="str">
        <f>"10667"</f>
        <v>10667</v>
      </c>
      <c r="P515" t="str">
        <f>"Payroll Computer Checks"</f>
        <v>Payroll Computer Checks</v>
      </c>
      <c r="Q515" s="21"/>
      <c r="R515" s="16">
        <v>1263.08</v>
      </c>
      <c r="S515" s="16">
        <v>0</v>
      </c>
      <c r="T515" s="19">
        <f t="shared" si="52"/>
        <v>1263.08</v>
      </c>
    </row>
    <row r="516" spans="1:20" x14ac:dyDescent="0.2">
      <c r="A516" s="28" t="s">
        <v>31</v>
      </c>
      <c r="B516" s="33"/>
      <c r="C516" s="33"/>
      <c r="F516" s="33">
        <f>F515</f>
        <v>144</v>
      </c>
      <c r="G516" s="33" t="str">
        <f>G515</f>
        <v>000-5100-00</v>
      </c>
      <c r="H516" s="36"/>
      <c r="K516" t="str">
        <f>"""GP Direct"",""Fabrikam, Inc."",""GL20000"",""DEX_ROW_ID"",""12350"""</f>
        <v>"GP Direct","Fabrikam, Inc.","GL20000","DEX_ROW_ID","12350"</v>
      </c>
      <c r="L516" s="15">
        <v>42370</v>
      </c>
      <c r="M516">
        <v>2237</v>
      </c>
      <c r="N516" t="str">
        <f>"Lyon, Robert"</f>
        <v>Lyon, Robert</v>
      </c>
      <c r="O516" t="str">
        <f>"10668"</f>
        <v>10668</v>
      </c>
      <c r="P516" t="str">
        <f>"Payroll Computer Checks"</f>
        <v>Payroll Computer Checks</v>
      </c>
      <c r="Q516" s="21"/>
      <c r="R516" s="16">
        <v>726.33</v>
      </c>
      <c r="S516" s="16">
        <v>0</v>
      </c>
      <c r="T516" s="19">
        <f t="shared" si="52"/>
        <v>726.33</v>
      </c>
    </row>
    <row r="517" spans="1:20" x14ac:dyDescent="0.2">
      <c r="A517" s="28" t="s">
        <v>31</v>
      </c>
      <c r="B517" s="33"/>
      <c r="C517" s="33"/>
      <c r="F517" s="33">
        <f>F516</f>
        <v>144</v>
      </c>
      <c r="G517" s="33" t="str">
        <f>G516</f>
        <v>000-5100-00</v>
      </c>
      <c r="H517" s="36"/>
      <c r="K517" t="str">
        <f>"""GP Direct"",""Fabrikam, Inc."",""GL20000"",""DEX_ROW_ID"",""12354"""</f>
        <v>"GP Direct","Fabrikam, Inc.","GL20000","DEX_ROW_ID","12354"</v>
      </c>
      <c r="L517" s="15">
        <v>42370</v>
      </c>
      <c r="M517">
        <v>2238</v>
      </c>
      <c r="N517" t="str">
        <f>"Lysaker, Jenny"</f>
        <v>Lysaker, Jenny</v>
      </c>
      <c r="O517" t="str">
        <f>"10669"</f>
        <v>10669</v>
      </c>
      <c r="P517" t="str">
        <f>"Payroll Computer Checks"</f>
        <v>Payroll Computer Checks</v>
      </c>
      <c r="Q517" s="21"/>
      <c r="R517" s="16">
        <v>748.13</v>
      </c>
      <c r="S517" s="16">
        <v>0</v>
      </c>
      <c r="T517" s="19">
        <f t="shared" si="52"/>
        <v>748.13</v>
      </c>
    </row>
    <row r="518" spans="1:20" x14ac:dyDescent="0.2">
      <c r="A518" s="28" t="s">
        <v>31</v>
      </c>
      <c r="B518" s="33"/>
      <c r="C518" s="33"/>
      <c r="F518" s="33">
        <f>F517</f>
        <v>144</v>
      </c>
      <c r="G518" s="33" t="str">
        <f>G517</f>
        <v>000-5100-00</v>
      </c>
      <c r="H518" s="36"/>
      <c r="K518" t="str">
        <f>"""GP Direct"",""Fabrikam, Inc."",""GL20000"",""DEX_ROW_ID"",""12367"""</f>
        <v>"GP Direct","Fabrikam, Inc.","GL20000","DEX_ROW_ID","12367"</v>
      </c>
      <c r="L518" s="15">
        <v>42370</v>
      </c>
      <c r="M518">
        <v>2239</v>
      </c>
      <c r="N518" t="str">
        <f>"Martinez, Sandra I."</f>
        <v>Martinez, Sandra I.</v>
      </c>
      <c r="O518" t="str">
        <f>"10670"</f>
        <v>10670</v>
      </c>
      <c r="P518" t="str">
        <f>"Payroll Computer Checks"</f>
        <v>Payroll Computer Checks</v>
      </c>
      <c r="Q518" s="21"/>
      <c r="R518" s="16">
        <v>723.08</v>
      </c>
      <c r="S518" s="16">
        <v>0</v>
      </c>
      <c r="T518" s="19">
        <f t="shared" si="52"/>
        <v>723.08</v>
      </c>
    </row>
    <row r="519" spans="1:20" x14ac:dyDescent="0.2">
      <c r="A519" s="28" t="s">
        <v>31</v>
      </c>
      <c r="B519" s="33"/>
      <c r="C519" s="33"/>
      <c r="F519" s="33">
        <f>F518</f>
        <v>144</v>
      </c>
      <c r="G519" s="33" t="str">
        <f>G518</f>
        <v>000-5100-00</v>
      </c>
      <c r="H519" s="36"/>
      <c r="K519" t="str">
        <f>"""GP Direct"",""Fabrikam, Inc."",""GL20000"",""DEX_ROW_ID"",""12369"""</f>
        <v>"GP Direct","Fabrikam, Inc.","GL20000","DEX_ROW_ID","12369"</v>
      </c>
      <c r="L519" s="15">
        <v>42370</v>
      </c>
      <c r="M519">
        <v>2240</v>
      </c>
      <c r="N519" t="str">
        <f>"Mughal, Salmon"</f>
        <v>Mughal, Salmon</v>
      </c>
      <c r="O519" t="str">
        <f>"10671"</f>
        <v>10671</v>
      </c>
      <c r="P519" t="str">
        <f>"Payroll Computer Checks"</f>
        <v>Payroll Computer Checks</v>
      </c>
      <c r="Q519" s="21"/>
      <c r="R519" s="16">
        <v>719.13</v>
      </c>
      <c r="S519" s="16">
        <v>0</v>
      </c>
      <c r="T519" s="19">
        <f t="shared" si="52"/>
        <v>719.13</v>
      </c>
    </row>
    <row r="520" spans="1:20" x14ac:dyDescent="0.2">
      <c r="A520" s="28" t="s">
        <v>31</v>
      </c>
      <c r="B520" s="33"/>
      <c r="C520" s="33"/>
      <c r="F520" s="33">
        <f>F519</f>
        <v>144</v>
      </c>
      <c r="G520" s="33" t="str">
        <f>G519</f>
        <v>000-5100-00</v>
      </c>
      <c r="H520" s="36"/>
      <c r="K520" t="str">
        <f>"""GP Direct"",""Fabrikam, Inc."",""GL20000"",""DEX_ROW_ID"",""12385"""</f>
        <v>"GP Direct","Fabrikam, Inc.","GL20000","DEX_ROW_ID","12385"</v>
      </c>
      <c r="L520" s="15">
        <v>42370</v>
      </c>
      <c r="M520">
        <v>2241</v>
      </c>
      <c r="N520" t="str">
        <f>"Nagata, Suanne"</f>
        <v>Nagata, Suanne</v>
      </c>
      <c r="O520" t="str">
        <f>"10672"</f>
        <v>10672</v>
      </c>
      <c r="P520" t="str">
        <f>"Payroll Computer Checks"</f>
        <v>Payroll Computer Checks</v>
      </c>
      <c r="Q520" s="21"/>
      <c r="R520" s="16">
        <v>848.58</v>
      </c>
      <c r="S520" s="16">
        <v>0</v>
      </c>
      <c r="T520" s="19">
        <f t="shared" si="52"/>
        <v>848.58</v>
      </c>
    </row>
    <row r="521" spans="1:20" x14ac:dyDescent="0.2">
      <c r="A521" s="28" t="s">
        <v>31</v>
      </c>
      <c r="B521" s="33"/>
      <c r="C521" s="33"/>
      <c r="F521" s="33">
        <f>F520</f>
        <v>144</v>
      </c>
      <c r="G521" s="33" t="str">
        <f>G520</f>
        <v>000-5100-00</v>
      </c>
      <c r="H521" s="36"/>
      <c r="K521" t="str">
        <f>"""GP Direct"",""Fabrikam, Inc."",""GL20000"",""DEX_ROW_ID"",""12392"""</f>
        <v>"GP Direct","Fabrikam, Inc.","GL20000","DEX_ROW_ID","12392"</v>
      </c>
      <c r="L521" s="15">
        <v>42370</v>
      </c>
      <c r="M521">
        <v>2242</v>
      </c>
      <c r="N521" t="str">
        <f>"Reeves, Randy"</f>
        <v>Reeves, Randy</v>
      </c>
      <c r="O521" t="str">
        <f>"10673"</f>
        <v>10673</v>
      </c>
      <c r="P521" t="str">
        <f>"Payroll Computer Checks"</f>
        <v>Payroll Computer Checks</v>
      </c>
      <c r="Q521" s="21"/>
      <c r="R521" s="16">
        <v>1085.71</v>
      </c>
      <c r="S521" s="16">
        <v>0</v>
      </c>
      <c r="T521" s="19">
        <f t="shared" si="52"/>
        <v>1085.71</v>
      </c>
    </row>
    <row r="522" spans="1:20" x14ac:dyDescent="0.2">
      <c r="A522" s="28" t="s">
        <v>31</v>
      </c>
      <c r="B522" s="33"/>
      <c r="C522" s="33"/>
      <c r="F522" s="33">
        <f>F521</f>
        <v>144</v>
      </c>
      <c r="G522" s="33" t="str">
        <f>G521</f>
        <v>000-5100-00</v>
      </c>
      <c r="H522" s="36"/>
      <c r="K522" t="str">
        <f>"""GP Direct"",""Fabrikam, Inc."",""GL20000"",""DEX_ROW_ID"",""12397"""</f>
        <v>"GP Direct","Fabrikam, Inc.","GL20000","DEX_ROW_ID","12397"</v>
      </c>
      <c r="L522" s="15">
        <v>42370</v>
      </c>
      <c r="M522">
        <v>2243</v>
      </c>
      <c r="N522" t="str">
        <f>"Stewart, Jim"</f>
        <v>Stewart, Jim</v>
      </c>
      <c r="O522" t="str">
        <f>"10674"</f>
        <v>10674</v>
      </c>
      <c r="P522" t="str">
        <f>"Payroll Computer Checks"</f>
        <v>Payroll Computer Checks</v>
      </c>
      <c r="Q522" s="21"/>
      <c r="R522" s="16">
        <v>1933.68</v>
      </c>
      <c r="S522" s="16">
        <v>0</v>
      </c>
      <c r="T522" s="19">
        <f t="shared" si="52"/>
        <v>1933.68</v>
      </c>
    </row>
    <row r="523" spans="1:20" x14ac:dyDescent="0.2">
      <c r="A523" s="28" t="s">
        <v>31</v>
      </c>
      <c r="B523" s="33"/>
      <c r="C523" s="33"/>
      <c r="F523" s="33">
        <f>F522</f>
        <v>144</v>
      </c>
      <c r="G523" s="33" t="str">
        <f>G522</f>
        <v>000-5100-00</v>
      </c>
      <c r="H523" s="36"/>
      <c r="K523" t="str">
        <f>"""GP Direct"",""Fabrikam, Inc."",""GL20000"",""DEX_ROW_ID"",""12406"""</f>
        <v>"GP Direct","Fabrikam, Inc.","GL20000","DEX_ROW_ID","12406"</v>
      </c>
      <c r="L523" s="15">
        <v>42370</v>
      </c>
      <c r="M523">
        <v>2244</v>
      </c>
      <c r="N523" t="str">
        <f>"Tiano, Mike"</f>
        <v>Tiano, Mike</v>
      </c>
      <c r="O523" t="str">
        <f>"10675"</f>
        <v>10675</v>
      </c>
      <c r="P523" t="str">
        <f>"Payroll Computer Checks"</f>
        <v>Payroll Computer Checks</v>
      </c>
      <c r="Q523" s="21"/>
      <c r="R523" s="16">
        <v>1222.05</v>
      </c>
      <c r="S523" s="16">
        <v>0</v>
      </c>
      <c r="T523" s="19">
        <f t="shared" si="52"/>
        <v>1222.05</v>
      </c>
    </row>
    <row r="524" spans="1:20" x14ac:dyDescent="0.2">
      <c r="A524" s="28" t="s">
        <v>31</v>
      </c>
      <c r="B524" s="33"/>
      <c r="C524" s="33"/>
      <c r="F524" s="33">
        <f>F523</f>
        <v>144</v>
      </c>
      <c r="G524" s="33" t="str">
        <f>G523</f>
        <v>000-5100-00</v>
      </c>
      <c r="H524" s="36"/>
      <c r="K524" t="str">
        <f>"""GP Direct"",""Fabrikam, Inc."",""GL20000"",""DEX_ROW_ID"",""12421"""</f>
        <v>"GP Direct","Fabrikam, Inc.","GL20000","DEX_ROW_ID","12421"</v>
      </c>
      <c r="L524" s="15">
        <v>42370</v>
      </c>
      <c r="M524">
        <v>2245</v>
      </c>
      <c r="N524" t="str">
        <f>"Tibbott, Diane"</f>
        <v>Tibbott, Diane</v>
      </c>
      <c r="O524" t="str">
        <f>"10676"</f>
        <v>10676</v>
      </c>
      <c r="P524" t="str">
        <f>"Payroll Computer Checks"</f>
        <v>Payroll Computer Checks</v>
      </c>
      <c r="Q524" s="21"/>
      <c r="R524" s="16">
        <v>990</v>
      </c>
      <c r="S524" s="16">
        <v>0</v>
      </c>
      <c r="T524" s="19">
        <f t="shared" si="52"/>
        <v>990</v>
      </c>
    </row>
    <row r="525" spans="1:20" x14ac:dyDescent="0.2">
      <c r="A525" s="28" t="s">
        <v>31</v>
      </c>
      <c r="B525" s="33"/>
      <c r="C525" s="33"/>
      <c r="F525" s="33">
        <f>F524</f>
        <v>144</v>
      </c>
      <c r="G525" s="33" t="str">
        <f>G524</f>
        <v>000-5100-00</v>
      </c>
      <c r="H525" s="36"/>
      <c r="K525" t="str">
        <f>"""GP Direct"",""Fabrikam, Inc."",""GL20000"",""DEX_ROW_ID"",""12428"""</f>
        <v>"GP Direct","Fabrikam, Inc.","GL20000","DEX_ROW_ID","12428"</v>
      </c>
      <c r="L525" s="15">
        <v>42370</v>
      </c>
      <c r="M525">
        <v>2246</v>
      </c>
      <c r="N525" t="str">
        <f>"West, Paul"</f>
        <v>West, Paul</v>
      </c>
      <c r="O525" t="str">
        <f>"10677"</f>
        <v>10677</v>
      </c>
      <c r="P525" t="str">
        <f>"Payroll Computer Checks"</f>
        <v>Payroll Computer Checks</v>
      </c>
      <c r="Q525" s="21"/>
      <c r="R525" s="16">
        <v>1000</v>
      </c>
      <c r="S525" s="16">
        <v>0</v>
      </c>
      <c r="T525" s="19">
        <f t="shared" si="52"/>
        <v>1000</v>
      </c>
    </row>
    <row r="526" spans="1:20" x14ac:dyDescent="0.2">
      <c r="A526" s="28" t="s">
        <v>31</v>
      </c>
      <c r="B526" s="33"/>
      <c r="C526" s="33"/>
      <c r="F526" s="33">
        <f>F525</f>
        <v>144</v>
      </c>
      <c r="G526" s="33" t="str">
        <f>G525</f>
        <v>000-5100-00</v>
      </c>
      <c r="H526" s="36"/>
      <c r="K526" t="str">
        <f>"""GP Direct"",""Fabrikam, Inc."",""GL20000"",""DEX_ROW_ID"",""12434"""</f>
        <v>"GP Direct","Fabrikam, Inc.","GL20000","DEX_ROW_ID","12434"</v>
      </c>
      <c r="L526" s="15">
        <v>42370</v>
      </c>
      <c r="M526">
        <v>2247</v>
      </c>
      <c r="N526" t="str">
        <f>"Young, Rob"</f>
        <v>Young, Rob</v>
      </c>
      <c r="O526" t="str">
        <f>"10678"</f>
        <v>10678</v>
      </c>
      <c r="P526" t="str">
        <f>"Payroll Computer Checks"</f>
        <v>Payroll Computer Checks</v>
      </c>
      <c r="Q526" s="21"/>
      <c r="R526" s="16">
        <v>887.5</v>
      </c>
      <c r="S526" s="16">
        <v>0</v>
      </c>
      <c r="T526" s="19">
        <f t="shared" si="52"/>
        <v>887.5</v>
      </c>
    </row>
    <row r="527" spans="1:20" x14ac:dyDescent="0.2">
      <c r="A527" s="28" t="s">
        <v>31</v>
      </c>
      <c r="B527" s="33"/>
      <c r="C527" s="33"/>
      <c r="F527" s="33">
        <f>F499</f>
        <v>144</v>
      </c>
      <c r="G527" s="33" t="str">
        <f>G499</f>
        <v>000-5100-00</v>
      </c>
      <c r="H527" s="36"/>
    </row>
    <row r="528" spans="1:20" x14ac:dyDescent="0.2">
      <c r="A528" s="28" t="s">
        <v>31</v>
      </c>
      <c r="I528" s="37" t="str">
        <f>I497&amp;"   "&amp;J497&amp;"         Total:"</f>
        <v>000-5100-00   Salaries and Wages         Total:</v>
      </c>
      <c r="J528" s="37"/>
      <c r="K528" s="37"/>
      <c r="L528" s="37"/>
      <c r="M528" s="37"/>
      <c r="N528" s="37"/>
      <c r="O528" s="37"/>
      <c r="P528" s="37"/>
      <c r="Q528" s="37"/>
      <c r="R528" s="37"/>
      <c r="S528" s="37"/>
      <c r="T528" s="23">
        <f t="shared" ref="T528" si="53">SUBTOTAL(9,T498:T527)</f>
        <v>45635.020000000011</v>
      </c>
    </row>
    <row r="529" spans="1:20" x14ac:dyDescent="0.2">
      <c r="A529" s="28" t="s">
        <v>31</v>
      </c>
    </row>
    <row r="530" spans="1:20" x14ac:dyDescent="0.2">
      <c r="A530" s="28" t="s">
        <v>31</v>
      </c>
      <c r="D530" s="28" t="str">
        <f>"||""Filter"",""GL20000"",""ACTINDX"",""TRXDATE"",""1/1/2016..1/31/2016"",""ACTINDX"",""||""""Filter"""",""""GL00105"""",""""ACTINDX"""",""""ACTNUMBR_1"""",""""*"""",""""ACTNUMBR_2"""",""""*"""",""""ACTNUMBR_3"""",""""*"""","""""""","""""""","""""""","""""""","""""""","""""""","""""""","""""""","""""""","""""""","""""""","""""""","""""""","""""""""","""","""","""","""&amp;""","""","""","""","""","""","""","""","""","""","""","""","""""</f>
        <v>||"Filter","GL20000","ACTINDX","TRXDATE","1/1/2016..1/31/2016","ACTINDX","||""Filter"",""GL00105"",""ACTINDX"",""ACTNUMBR_1"",""*"",""ACTNUMBR_2"",""*"",""ACTNUMBR_3"",""*"","""","""","""","""","""","""","""","""","""","""","""","""","""",""""","","","","","","","","","","","","","","","",""</v>
      </c>
      <c r="E530" s="28" t="str">
        <f>"||""Filter"",""GL30000"",""ACTINDX"",""TRXDATE"",""1/1/2016..1/31/2016"",""ACTINDX"",""||""""Filter"""",""""GL00105"""",""""ACTINDX"""",""""ACTNUMBR_1"""",""""*"""",""""ACTNUMBR_2"""",""""*"""",""""ACTNUMBR_3"""",""""*"""","""""""","""""""","""""""","""""""","""""""","""""""","""""""","""""""","""""""","""""""","""""""","""""""","""""""","""""""""","""","""","""","""&amp;""","""","""","""","""","""","""","""","""","""","""","""","""""</f>
        <v>||"Filter","GL30000","ACTINDX","TRXDATE","1/1/2016..1/31/2016","ACTINDX","||""Filter"",""GL00105"",""ACTINDX"",""ACTNUMBR_1"",""*"",""ACTNUMBR_2"",""*"",""ACTNUMBR_3"",""*"","""","""","""","""","""","""","""","""","""","""","""","""","""",""""","","","","","","","","","","","","","","","",""</v>
      </c>
      <c r="F530" s="28">
        <v>199</v>
      </c>
      <c r="G530" s="28" t="str">
        <f>"100-5150-00"</f>
        <v>100-5150-00</v>
      </c>
      <c r="I530" s="17" t="str">
        <f>G530</f>
        <v>100-5150-00</v>
      </c>
      <c r="J530" s="17" t="str">
        <f>"Employee Benefits - Administration"</f>
        <v>Employee Benefits - Administration</v>
      </c>
      <c r="Q530" s="17"/>
      <c r="R530" s="18"/>
    </row>
    <row r="531" spans="1:20" x14ac:dyDescent="0.2">
      <c r="A531" s="28" t="s">
        <v>31</v>
      </c>
      <c r="B531" s="33"/>
      <c r="C531" s="33"/>
      <c r="F531" s="33">
        <f>F530</f>
        <v>199</v>
      </c>
      <c r="G531" s="33" t="str">
        <f>G530</f>
        <v>100-5150-00</v>
      </c>
      <c r="H531" s="36"/>
      <c r="L531" s="15"/>
      <c r="Q531" s="21"/>
      <c r="R531" s="16"/>
      <c r="S531" s="16">
        <f>IF($K531="",0,-_xll.NF($K531,"CRDTAMNT"))</f>
        <v>0</v>
      </c>
      <c r="T531" s="19">
        <f t="shared" ref="T531:T532" si="54">SUM(R531:S531)</f>
        <v>0</v>
      </c>
    </row>
    <row r="532" spans="1:20" x14ac:dyDescent="0.2">
      <c r="A532" s="28" t="s">
        <v>31</v>
      </c>
      <c r="B532" s="33"/>
      <c r="C532" s="33"/>
      <c r="F532" s="33">
        <f>F531</f>
        <v>199</v>
      </c>
      <c r="G532" s="33" t="str">
        <f>G531</f>
        <v>100-5150-00</v>
      </c>
      <c r="H532" s="36"/>
      <c r="K532" t="str">
        <f>"""GP Direct"",""Fabrikam, Inc."",""GL20000"",""DEX_ROW_ID"",""12190"""</f>
        <v>"GP Direct","Fabrikam, Inc.","GL20000","DEX_ROW_ID","12190"</v>
      </c>
      <c r="L532" s="15">
        <v>42370</v>
      </c>
      <c r="M532">
        <v>2220</v>
      </c>
      <c r="N532" t="str">
        <f>"Ackerman, Pilar"</f>
        <v>Ackerman, Pilar</v>
      </c>
      <c r="O532" t="str">
        <f>"DD000000000000000073"</f>
        <v>DD000000000000000073</v>
      </c>
      <c r="P532" t="str">
        <f>"Payroll Computer Checks"</f>
        <v>Payroll Computer Checks</v>
      </c>
      <c r="Q532" s="21"/>
      <c r="R532" s="16">
        <v>51.52</v>
      </c>
      <c r="S532" s="16">
        <v>0</v>
      </c>
      <c r="T532" s="19">
        <f t="shared" si="54"/>
        <v>51.52</v>
      </c>
    </row>
    <row r="533" spans="1:20" x14ac:dyDescent="0.2">
      <c r="A533" s="28" t="s">
        <v>31</v>
      </c>
      <c r="B533" s="33"/>
      <c r="C533" s="33"/>
      <c r="F533" s="33">
        <f>F532</f>
        <v>199</v>
      </c>
      <c r="G533" s="33" t="str">
        <f>G532</f>
        <v>100-5150-00</v>
      </c>
      <c r="H533" s="36"/>
      <c r="K533" t="str">
        <f>"""GP Direct"",""Fabrikam, Inc."",""GL20000"",""DEX_ROW_ID"",""12207"""</f>
        <v>"GP Direct","Fabrikam, Inc.","GL20000","DEX_ROW_ID","12207"</v>
      </c>
      <c r="L533" s="15">
        <v>42370</v>
      </c>
      <c r="M533">
        <v>2221</v>
      </c>
      <c r="N533" t="str">
        <f>"Barbariol, Angela"</f>
        <v>Barbariol, Angela</v>
      </c>
      <c r="O533" t="str">
        <f>"DD000000000000000074"</f>
        <v>DD000000000000000074</v>
      </c>
      <c r="P533" t="str">
        <f>"Payroll Computer Checks"</f>
        <v>Payroll Computer Checks</v>
      </c>
      <c r="Q533" s="21"/>
      <c r="R533" s="16">
        <v>51.62</v>
      </c>
      <c r="S533" s="16">
        <v>0</v>
      </c>
      <c r="T533" s="19">
        <f t="shared" ref="T533:T559" si="55">SUM(R533:S533)</f>
        <v>51.62</v>
      </c>
    </row>
    <row r="534" spans="1:20" x14ac:dyDescent="0.2">
      <c r="A534" s="28" t="s">
        <v>31</v>
      </c>
      <c r="B534" s="33"/>
      <c r="C534" s="33"/>
      <c r="F534" s="33">
        <f>F533</f>
        <v>199</v>
      </c>
      <c r="G534" s="33" t="str">
        <f>G533</f>
        <v>100-5150-00</v>
      </c>
      <c r="H534" s="36"/>
      <c r="K534" t="str">
        <f>"""GP Direct"",""Fabrikam, Inc."",""GL20000"",""DEX_ROW_ID"",""12216"""</f>
        <v>"GP Direct","Fabrikam, Inc.","GL20000","DEX_ROW_ID","12216"</v>
      </c>
      <c r="L534" s="15">
        <v>42370</v>
      </c>
      <c r="M534">
        <v>2222</v>
      </c>
      <c r="N534" t="str">
        <f>"Barr, Adam"</f>
        <v>Barr, Adam</v>
      </c>
      <c r="O534" t="str">
        <f>"10654"</f>
        <v>10654</v>
      </c>
      <c r="P534" t="str">
        <f>"Payroll Computer Checks"</f>
        <v>Payroll Computer Checks</v>
      </c>
      <c r="Q534" s="21"/>
      <c r="R534" s="16">
        <v>52.75</v>
      </c>
      <c r="S534" s="16">
        <v>0</v>
      </c>
      <c r="T534" s="19">
        <f t="shared" si="55"/>
        <v>52.75</v>
      </c>
    </row>
    <row r="535" spans="1:20" x14ac:dyDescent="0.2">
      <c r="A535" s="28" t="s">
        <v>31</v>
      </c>
      <c r="B535" s="33"/>
      <c r="C535" s="33"/>
      <c r="F535" s="33">
        <f>F534</f>
        <v>199</v>
      </c>
      <c r="G535" s="33" t="str">
        <f>G534</f>
        <v>100-5150-00</v>
      </c>
      <c r="H535" s="36"/>
      <c r="K535" t="str">
        <f>"""GP Direct"",""Fabrikam, Inc."",""GL20000"",""DEX_ROW_ID"",""12220"""</f>
        <v>"GP Direct","Fabrikam, Inc.","GL20000","DEX_ROW_ID","12220"</v>
      </c>
      <c r="L535" s="15">
        <v>42370</v>
      </c>
      <c r="M535">
        <v>2223</v>
      </c>
      <c r="N535" t="str">
        <f>"Bonifaz, Luis"</f>
        <v>Bonifaz, Luis</v>
      </c>
      <c r="O535" t="str">
        <f>"DD000000000000000075"</f>
        <v>DD000000000000000075</v>
      </c>
      <c r="P535" t="str">
        <f>"Payroll Computer Checks"</f>
        <v>Payroll Computer Checks</v>
      </c>
      <c r="Q535" s="21"/>
      <c r="R535" s="16">
        <v>51.15</v>
      </c>
      <c r="S535" s="16">
        <v>0</v>
      </c>
      <c r="T535" s="19">
        <f t="shared" si="55"/>
        <v>51.15</v>
      </c>
    </row>
    <row r="536" spans="1:20" x14ac:dyDescent="0.2">
      <c r="A536" s="28" t="s">
        <v>31</v>
      </c>
      <c r="B536" s="33"/>
      <c r="C536" s="33"/>
      <c r="F536" s="33">
        <f>F535</f>
        <v>199</v>
      </c>
      <c r="G536" s="33" t="str">
        <f>G535</f>
        <v>100-5150-00</v>
      </c>
      <c r="H536" s="36"/>
      <c r="K536" t="str">
        <f>"""GP Direct"",""Fabrikam, Inc."",""GL20000"",""DEX_ROW_ID"",""12234"""</f>
        <v>"GP Direct","Fabrikam, Inc.","GL20000","DEX_ROW_ID","12234"</v>
      </c>
      <c r="L536" s="15">
        <v>42370</v>
      </c>
      <c r="M536">
        <v>2224</v>
      </c>
      <c r="N536" t="str">
        <f>"Buchanan, Nancy"</f>
        <v>Buchanan, Nancy</v>
      </c>
      <c r="O536" t="str">
        <f>"10655"</f>
        <v>10655</v>
      </c>
      <c r="P536" t="str">
        <f>"Payroll Computer Checks"</f>
        <v>Payroll Computer Checks</v>
      </c>
      <c r="Q536" s="21"/>
      <c r="R536" s="16">
        <v>63.74</v>
      </c>
      <c r="S536" s="16">
        <v>0</v>
      </c>
      <c r="T536" s="19">
        <f t="shared" si="55"/>
        <v>63.74</v>
      </c>
    </row>
    <row r="537" spans="1:20" x14ac:dyDescent="0.2">
      <c r="A537" s="28" t="s">
        <v>31</v>
      </c>
      <c r="B537" s="33"/>
      <c r="C537" s="33"/>
      <c r="F537" s="33">
        <f>F536</f>
        <v>199</v>
      </c>
      <c r="G537" s="33" t="str">
        <f>G536</f>
        <v>100-5150-00</v>
      </c>
      <c r="H537" s="36"/>
      <c r="K537" t="str">
        <f>"""GP Direct"",""Fabrikam, Inc."",""GL20000"",""DEX_ROW_ID"",""12235"""</f>
        <v>"GP Direct","Fabrikam, Inc.","GL20000","DEX_ROW_ID","12235"</v>
      </c>
      <c r="L537" s="15">
        <v>42370</v>
      </c>
      <c r="M537">
        <v>2225</v>
      </c>
      <c r="N537" t="str">
        <f>"Chen, John Y."</f>
        <v>Chen, John Y.</v>
      </c>
      <c r="O537" t="str">
        <f>"10656"</f>
        <v>10656</v>
      </c>
      <c r="P537" t="str">
        <f>"Payroll Computer Checks"</f>
        <v>Payroll Computer Checks</v>
      </c>
      <c r="Q537" s="21"/>
      <c r="R537" s="16">
        <v>50.4</v>
      </c>
      <c r="S537" s="16">
        <v>0</v>
      </c>
      <c r="T537" s="19">
        <f t="shared" si="55"/>
        <v>50.4</v>
      </c>
    </row>
    <row r="538" spans="1:20" x14ac:dyDescent="0.2">
      <c r="A538" s="28" t="s">
        <v>31</v>
      </c>
      <c r="B538" s="33"/>
      <c r="C538" s="33"/>
      <c r="F538" s="33">
        <f>F537</f>
        <v>199</v>
      </c>
      <c r="G538" s="33" t="str">
        <f>G537</f>
        <v>100-5150-00</v>
      </c>
      <c r="H538" s="36"/>
      <c r="K538" t="str">
        <f>"""GP Direct"",""Fabrikam, Inc."",""GL20000"",""DEX_ROW_ID"",""12244"""</f>
        <v>"GP Direct","Fabrikam, Inc.","GL20000","DEX_ROW_ID","12244"</v>
      </c>
      <c r="L538" s="15">
        <v>42370</v>
      </c>
      <c r="M538">
        <v>2226</v>
      </c>
      <c r="N538" t="str">
        <f>"Clayton, Jane"</f>
        <v>Clayton, Jane</v>
      </c>
      <c r="O538" t="str">
        <f>"10657"</f>
        <v>10657</v>
      </c>
      <c r="P538" t="str">
        <f>"Payroll Computer Checks"</f>
        <v>Payroll Computer Checks</v>
      </c>
      <c r="Q538" s="21"/>
      <c r="R538" s="16">
        <v>51.99</v>
      </c>
      <c r="S538" s="16">
        <v>0</v>
      </c>
      <c r="T538" s="19">
        <f t="shared" si="55"/>
        <v>51.99</v>
      </c>
    </row>
    <row r="539" spans="1:20" x14ac:dyDescent="0.2">
      <c r="A539" s="28" t="s">
        <v>31</v>
      </c>
      <c r="B539" s="33"/>
      <c r="C539" s="33"/>
      <c r="F539" s="33">
        <f>F538</f>
        <v>199</v>
      </c>
      <c r="G539" s="33" t="str">
        <f>G538</f>
        <v>100-5150-00</v>
      </c>
      <c r="H539" s="36"/>
      <c r="K539" t="str">
        <f>"""GP Direct"",""Fabrikam, Inc."",""GL20000"",""DEX_ROW_ID"",""12255"""</f>
        <v>"GP Direct","Fabrikam, Inc.","GL20000","DEX_ROW_ID","12255"</v>
      </c>
      <c r="L539" s="15">
        <v>42370</v>
      </c>
      <c r="M539">
        <v>2227</v>
      </c>
      <c r="N539" t="str">
        <f>"Delaney, Aidan"</f>
        <v>Delaney, Aidan</v>
      </c>
      <c r="O539" t="str">
        <f>"10658"</f>
        <v>10658</v>
      </c>
      <c r="P539" t="str">
        <f>"Payroll Computer Checks"</f>
        <v>Payroll Computer Checks</v>
      </c>
      <c r="Q539" s="21"/>
      <c r="R539" s="16">
        <v>51.01</v>
      </c>
      <c r="S539" s="16">
        <v>0</v>
      </c>
      <c r="T539" s="19">
        <f t="shared" si="55"/>
        <v>51.01</v>
      </c>
    </row>
    <row r="540" spans="1:20" x14ac:dyDescent="0.2">
      <c r="A540" s="28" t="s">
        <v>31</v>
      </c>
      <c r="B540" s="33"/>
      <c r="C540" s="33"/>
      <c r="F540" s="33">
        <f>F539</f>
        <v>199</v>
      </c>
      <c r="G540" s="33" t="str">
        <f>G539</f>
        <v>100-5150-00</v>
      </c>
      <c r="H540" s="36"/>
      <c r="K540" t="str">
        <f>"""GP Direct"",""Fabrikam, Inc."",""GL20000"",""DEX_ROW_ID"",""12264"""</f>
        <v>"GP Direct","Fabrikam, Inc.","GL20000","DEX_ROW_ID","12264"</v>
      </c>
      <c r="L540" s="15">
        <v>42370</v>
      </c>
      <c r="M540">
        <v>2228</v>
      </c>
      <c r="N540" t="str">
        <f>"Diaz, Brenda"</f>
        <v>Diaz, Brenda</v>
      </c>
      <c r="O540" t="str">
        <f>"10659"</f>
        <v>10659</v>
      </c>
      <c r="P540" t="str">
        <f>"Payroll Computer Checks"</f>
        <v>Payroll Computer Checks</v>
      </c>
      <c r="Q540" s="21"/>
      <c r="R540" s="16">
        <v>52.18</v>
      </c>
      <c r="S540" s="16">
        <v>0</v>
      </c>
      <c r="T540" s="19">
        <f t="shared" si="55"/>
        <v>52.18</v>
      </c>
    </row>
    <row r="541" spans="1:20" x14ac:dyDescent="0.2">
      <c r="A541" s="28" t="s">
        <v>31</v>
      </c>
      <c r="B541" s="33"/>
      <c r="C541" s="33"/>
      <c r="F541" s="33">
        <f>F540</f>
        <v>199</v>
      </c>
      <c r="G541" s="33" t="str">
        <f>G540</f>
        <v>100-5150-00</v>
      </c>
      <c r="H541" s="36"/>
      <c r="K541" t="str">
        <f>"""GP Direct"",""Fabrikam, Inc."",""GL20000"",""DEX_ROW_ID"",""12276"""</f>
        <v>"GP Direct","Fabrikam, Inc.","GL20000","DEX_ROW_ID","12276"</v>
      </c>
      <c r="L541" s="15">
        <v>42370</v>
      </c>
      <c r="M541">
        <v>2229</v>
      </c>
      <c r="N541" t="str">
        <f>"Doyle, Jenny"</f>
        <v>Doyle, Jenny</v>
      </c>
      <c r="O541" t="str">
        <f>"10660"</f>
        <v>10660</v>
      </c>
      <c r="P541" t="str">
        <f>"Payroll Computer Checks"</f>
        <v>Payroll Computer Checks</v>
      </c>
      <c r="Q541" s="21"/>
      <c r="R541" s="16">
        <v>50.7</v>
      </c>
      <c r="S541" s="16">
        <v>0</v>
      </c>
      <c r="T541" s="19">
        <f t="shared" si="55"/>
        <v>50.7</v>
      </c>
    </row>
    <row r="542" spans="1:20" x14ac:dyDescent="0.2">
      <c r="A542" s="28" t="s">
        <v>31</v>
      </c>
      <c r="B542" s="33"/>
      <c r="C542" s="33"/>
      <c r="F542" s="33">
        <f>F541</f>
        <v>199</v>
      </c>
      <c r="G542" s="33" t="str">
        <f>G541</f>
        <v>100-5150-00</v>
      </c>
      <c r="H542" s="36"/>
      <c r="K542" t="str">
        <f>"""GP Direct"",""Fabrikam, Inc."",""GL20000"",""DEX_ROW_ID"",""12282"""</f>
        <v>"GP Direct","Fabrikam, Inc.","GL20000","DEX_ROW_ID","12282"</v>
      </c>
      <c r="L542" s="15">
        <v>42370</v>
      </c>
      <c r="M542">
        <v>2230</v>
      </c>
      <c r="N542" t="str">
        <f>"Erickson, Gregory J."</f>
        <v>Erickson, Gregory J.</v>
      </c>
      <c r="O542" t="str">
        <f>"10661"</f>
        <v>10661</v>
      </c>
      <c r="P542" t="str">
        <f>"Payroll Computer Checks"</f>
        <v>Payroll Computer Checks</v>
      </c>
      <c r="Q542" s="21"/>
      <c r="R542" s="16">
        <v>59.19</v>
      </c>
      <c r="S542" s="16">
        <v>0</v>
      </c>
      <c r="T542" s="19">
        <f t="shared" si="55"/>
        <v>59.19</v>
      </c>
    </row>
    <row r="543" spans="1:20" x14ac:dyDescent="0.2">
      <c r="A543" s="28" t="s">
        <v>31</v>
      </c>
      <c r="B543" s="33"/>
      <c r="C543" s="33"/>
      <c r="F543" s="33">
        <f>F542</f>
        <v>199</v>
      </c>
      <c r="G543" s="33" t="str">
        <f>G542</f>
        <v>100-5150-00</v>
      </c>
      <c r="H543" s="36"/>
      <c r="K543" t="str">
        <f>"""GP Direct"",""Fabrikam, Inc."",""GL20000"",""DEX_ROW_ID"",""12295"""</f>
        <v>"GP Direct","Fabrikam, Inc.","GL20000","DEX_ROW_ID","12295"</v>
      </c>
      <c r="L543" s="15">
        <v>42370</v>
      </c>
      <c r="M543">
        <v>2231</v>
      </c>
      <c r="N543" t="str">
        <f>"Flood, Kathie"</f>
        <v>Flood, Kathie</v>
      </c>
      <c r="O543" t="str">
        <f>"10662"</f>
        <v>10662</v>
      </c>
      <c r="P543" t="str">
        <f>"Payroll Computer Checks"</f>
        <v>Payroll Computer Checks</v>
      </c>
      <c r="Q543" s="21"/>
      <c r="R543" s="16">
        <v>51.64</v>
      </c>
      <c r="S543" s="16">
        <v>0</v>
      </c>
      <c r="T543" s="19">
        <f t="shared" si="55"/>
        <v>51.64</v>
      </c>
    </row>
    <row r="544" spans="1:20" x14ac:dyDescent="0.2">
      <c r="A544" s="28" t="s">
        <v>31</v>
      </c>
      <c r="B544" s="33"/>
      <c r="C544" s="33"/>
      <c r="F544" s="33">
        <f>F543</f>
        <v>199</v>
      </c>
      <c r="G544" s="33" t="str">
        <f>G543</f>
        <v>100-5150-00</v>
      </c>
      <c r="H544" s="36"/>
      <c r="K544" t="str">
        <f>"""GP Direct"",""Fabrikam, Inc."",""GL20000"",""DEX_ROW_ID"",""12300"""</f>
        <v>"GP Direct","Fabrikam, Inc.","GL20000","DEX_ROW_ID","12300"</v>
      </c>
      <c r="L544" s="15">
        <v>42370</v>
      </c>
      <c r="M544">
        <v>2232</v>
      </c>
      <c r="N544" t="str">
        <f>"Harui, Roger"</f>
        <v>Harui, Roger</v>
      </c>
      <c r="O544" t="str">
        <f>"10663"</f>
        <v>10663</v>
      </c>
      <c r="P544" t="str">
        <f>"Payroll Computer Checks"</f>
        <v>Payroll Computer Checks</v>
      </c>
      <c r="Q544" s="21"/>
      <c r="R544" s="16">
        <v>52.3</v>
      </c>
      <c r="S544" s="16">
        <v>0</v>
      </c>
      <c r="T544" s="19">
        <f t="shared" si="55"/>
        <v>52.3</v>
      </c>
    </row>
    <row r="545" spans="1:20" x14ac:dyDescent="0.2">
      <c r="A545" s="28" t="s">
        <v>31</v>
      </c>
      <c r="B545" s="33"/>
      <c r="C545" s="33"/>
      <c r="F545" s="33">
        <f>F544</f>
        <v>199</v>
      </c>
      <c r="G545" s="33" t="str">
        <f>G544</f>
        <v>100-5150-00</v>
      </c>
      <c r="H545" s="36"/>
      <c r="K545" t="str">
        <f>"""GP Direct"",""Fabrikam, Inc."",""GL20000"",""DEX_ROW_ID"",""12310"""</f>
        <v>"GP Direct","Fabrikam, Inc.","GL20000","DEX_ROW_ID","12310"</v>
      </c>
      <c r="L545" s="15">
        <v>42370</v>
      </c>
      <c r="M545">
        <v>2233</v>
      </c>
      <c r="N545" t="str">
        <f>"Jamison, Jay"</f>
        <v>Jamison, Jay</v>
      </c>
      <c r="O545" t="str">
        <f>"10664"</f>
        <v>10664</v>
      </c>
      <c r="P545" t="str">
        <f>"Payroll Computer Checks"</f>
        <v>Payroll Computer Checks</v>
      </c>
      <c r="Q545" s="21"/>
      <c r="R545" s="16">
        <v>51.39</v>
      </c>
      <c r="S545" s="16">
        <v>0</v>
      </c>
      <c r="T545" s="19">
        <f t="shared" si="55"/>
        <v>51.39</v>
      </c>
    </row>
    <row r="546" spans="1:20" x14ac:dyDescent="0.2">
      <c r="A546" s="28" t="s">
        <v>31</v>
      </c>
      <c r="B546" s="33"/>
      <c r="C546" s="33"/>
      <c r="F546" s="33">
        <f>F545</f>
        <v>199</v>
      </c>
      <c r="G546" s="33" t="str">
        <f>G545</f>
        <v>100-5150-00</v>
      </c>
      <c r="H546" s="36"/>
      <c r="K546" t="str">
        <f>"""GP Direct"",""Fabrikam, Inc."",""GL20000"",""DEX_ROW_ID"",""12318"""</f>
        <v>"GP Direct","Fabrikam, Inc.","GL20000","DEX_ROW_ID","12318"</v>
      </c>
      <c r="L546" s="15">
        <v>42370</v>
      </c>
      <c r="M546">
        <v>2234</v>
      </c>
      <c r="N546" t="str">
        <f>"Kahn, Wendy B."</f>
        <v>Kahn, Wendy B.</v>
      </c>
      <c r="O546" t="str">
        <f>"10665"</f>
        <v>10665</v>
      </c>
      <c r="P546" t="str">
        <f>"Payroll Computer Checks"</f>
        <v>Payroll Computer Checks</v>
      </c>
      <c r="Q546" s="21"/>
      <c r="R546" s="16">
        <v>50.39</v>
      </c>
      <c r="S546" s="16">
        <v>0</v>
      </c>
      <c r="T546" s="19">
        <f t="shared" si="55"/>
        <v>50.39</v>
      </c>
    </row>
    <row r="547" spans="1:20" x14ac:dyDescent="0.2">
      <c r="A547" s="28" t="s">
        <v>31</v>
      </c>
      <c r="B547" s="33"/>
      <c r="C547" s="33"/>
      <c r="F547" s="33">
        <f>F546</f>
        <v>199</v>
      </c>
      <c r="G547" s="33" t="str">
        <f>G546</f>
        <v>100-5150-00</v>
      </c>
      <c r="H547" s="36"/>
      <c r="K547" t="str">
        <f>"""GP Direct"",""Fabrikam, Inc."",""GL20000"",""DEX_ROW_ID"",""12328"""</f>
        <v>"GP Direct","Fabrikam, Inc.","GL20000","DEX_ROW_ID","12328"</v>
      </c>
      <c r="L547" s="15">
        <v>42370</v>
      </c>
      <c r="M547">
        <v>2235</v>
      </c>
      <c r="N547" t="str">
        <f>"Kennedy, Kevin"</f>
        <v>Kennedy, Kevin</v>
      </c>
      <c r="O547" t="str">
        <f>"10666"</f>
        <v>10666</v>
      </c>
      <c r="P547" t="str">
        <f>"Payroll Computer Checks"</f>
        <v>Payroll Computer Checks</v>
      </c>
      <c r="Q547" s="21"/>
      <c r="R547" s="16">
        <v>51.88</v>
      </c>
      <c r="S547" s="16">
        <v>0</v>
      </c>
      <c r="T547" s="19">
        <f t="shared" si="55"/>
        <v>51.88</v>
      </c>
    </row>
    <row r="548" spans="1:20" x14ac:dyDescent="0.2">
      <c r="A548" s="28" t="s">
        <v>31</v>
      </c>
      <c r="B548" s="33"/>
      <c r="C548" s="33"/>
      <c r="F548" s="33">
        <f>F547</f>
        <v>199</v>
      </c>
      <c r="G548" s="33" t="str">
        <f>G547</f>
        <v>100-5150-00</v>
      </c>
      <c r="H548" s="36"/>
      <c r="K548" t="str">
        <f>"""GP Direct"",""Fabrikam, Inc."",""GL20000"",""DEX_ROW_ID"",""12340"""</f>
        <v>"GP Direct","Fabrikam, Inc.","GL20000","DEX_ROW_ID","12340"</v>
      </c>
      <c r="L548" s="15">
        <v>42370</v>
      </c>
      <c r="M548">
        <v>2236</v>
      </c>
      <c r="N548" t="str">
        <f>"Levy, Steven B."</f>
        <v>Levy, Steven B.</v>
      </c>
      <c r="O548" t="str">
        <f>"10667"</f>
        <v>10667</v>
      </c>
      <c r="P548" t="str">
        <f>"Payroll Computer Checks"</f>
        <v>Payroll Computer Checks</v>
      </c>
      <c r="Q548" s="21"/>
      <c r="R548" s="16">
        <v>51.89</v>
      </c>
      <c r="S548" s="16">
        <v>0</v>
      </c>
      <c r="T548" s="19">
        <f t="shared" si="55"/>
        <v>51.89</v>
      </c>
    </row>
    <row r="549" spans="1:20" x14ac:dyDescent="0.2">
      <c r="A549" s="28" t="s">
        <v>31</v>
      </c>
      <c r="B549" s="33"/>
      <c r="C549" s="33"/>
      <c r="F549" s="33">
        <f>F548</f>
        <v>199</v>
      </c>
      <c r="G549" s="33" t="str">
        <f>G548</f>
        <v>100-5150-00</v>
      </c>
      <c r="H549" s="36"/>
      <c r="K549" t="str">
        <f>"""GP Direct"",""Fabrikam, Inc."",""GL20000"",""DEX_ROW_ID"",""12343"""</f>
        <v>"GP Direct","Fabrikam, Inc.","GL20000","DEX_ROW_ID","12343"</v>
      </c>
      <c r="L549" s="15">
        <v>42370</v>
      </c>
      <c r="M549">
        <v>2237</v>
      </c>
      <c r="N549" t="str">
        <f>"Lyon, Robert"</f>
        <v>Lyon, Robert</v>
      </c>
      <c r="O549" t="str">
        <f>"10668"</f>
        <v>10668</v>
      </c>
      <c r="P549" t="str">
        <f>"Payroll Computer Checks"</f>
        <v>Payroll Computer Checks</v>
      </c>
      <c r="Q549" s="21"/>
      <c r="R549" s="16">
        <v>50.45</v>
      </c>
      <c r="S549" s="16">
        <v>0</v>
      </c>
      <c r="T549" s="19">
        <f t="shared" si="55"/>
        <v>50.45</v>
      </c>
    </row>
    <row r="550" spans="1:20" x14ac:dyDescent="0.2">
      <c r="A550" s="28" t="s">
        <v>31</v>
      </c>
      <c r="B550" s="33"/>
      <c r="C550" s="33"/>
      <c r="F550" s="33">
        <f>F549</f>
        <v>199</v>
      </c>
      <c r="G550" s="33" t="str">
        <f>G549</f>
        <v>100-5150-00</v>
      </c>
      <c r="H550" s="36"/>
      <c r="K550" t="str">
        <f>"""GP Direct"",""Fabrikam, Inc."",""GL20000"",""DEX_ROW_ID"",""12359"""</f>
        <v>"GP Direct","Fabrikam, Inc.","GL20000","DEX_ROW_ID","12359"</v>
      </c>
      <c r="L550" s="15">
        <v>42370</v>
      </c>
      <c r="M550">
        <v>2238</v>
      </c>
      <c r="N550" t="str">
        <f>"Lysaker, Jenny"</f>
        <v>Lysaker, Jenny</v>
      </c>
      <c r="O550" t="str">
        <f>"10669"</f>
        <v>10669</v>
      </c>
      <c r="P550" t="str">
        <f>"Payroll Computer Checks"</f>
        <v>Payroll Computer Checks</v>
      </c>
      <c r="Q550" s="21"/>
      <c r="R550" s="16">
        <v>50.48</v>
      </c>
      <c r="S550" s="16">
        <v>0</v>
      </c>
      <c r="T550" s="19">
        <f t="shared" si="55"/>
        <v>50.48</v>
      </c>
    </row>
    <row r="551" spans="1:20" x14ac:dyDescent="0.2">
      <c r="A551" s="28" t="s">
        <v>31</v>
      </c>
      <c r="B551" s="33"/>
      <c r="C551" s="33"/>
      <c r="F551" s="33">
        <f>F550</f>
        <v>199</v>
      </c>
      <c r="G551" s="33" t="str">
        <f>G550</f>
        <v>100-5150-00</v>
      </c>
      <c r="H551" s="36"/>
      <c r="K551" t="str">
        <f>"""GP Direct"",""Fabrikam, Inc."",""GL20000"",""DEX_ROW_ID"",""12365"""</f>
        <v>"GP Direct","Fabrikam, Inc.","GL20000","DEX_ROW_ID","12365"</v>
      </c>
      <c r="L551" s="15">
        <v>42370</v>
      </c>
      <c r="M551">
        <v>2239</v>
      </c>
      <c r="N551" t="str">
        <f>"Martinez, Sandra I."</f>
        <v>Martinez, Sandra I.</v>
      </c>
      <c r="O551" t="str">
        <f>"10670"</f>
        <v>10670</v>
      </c>
      <c r="P551" t="str">
        <f>"Payroll Computer Checks"</f>
        <v>Payroll Computer Checks</v>
      </c>
      <c r="Q551" s="21"/>
      <c r="R551" s="16">
        <v>50.44</v>
      </c>
      <c r="S551" s="16">
        <v>0</v>
      </c>
      <c r="T551" s="19">
        <f t="shared" si="55"/>
        <v>50.44</v>
      </c>
    </row>
    <row r="552" spans="1:20" x14ac:dyDescent="0.2">
      <c r="A552" s="28" t="s">
        <v>31</v>
      </c>
      <c r="B552" s="33"/>
      <c r="C552" s="33"/>
      <c r="F552" s="33">
        <f>F551</f>
        <v>199</v>
      </c>
      <c r="G552" s="33" t="str">
        <f>G551</f>
        <v>100-5150-00</v>
      </c>
      <c r="H552" s="36"/>
      <c r="K552" t="str">
        <f>"""GP Direct"",""Fabrikam, Inc."",""GL20000"",""DEX_ROW_ID"",""12372"""</f>
        <v>"GP Direct","Fabrikam, Inc.","GL20000","DEX_ROW_ID","12372"</v>
      </c>
      <c r="L552" s="15">
        <v>42370</v>
      </c>
      <c r="M552">
        <v>2240</v>
      </c>
      <c r="N552" t="str">
        <f>"Mughal, Salmon"</f>
        <v>Mughal, Salmon</v>
      </c>
      <c r="O552" t="str">
        <f>"10671"</f>
        <v>10671</v>
      </c>
      <c r="P552" t="str">
        <f>"Payroll Computer Checks"</f>
        <v>Payroll Computer Checks</v>
      </c>
      <c r="Q552" s="21"/>
      <c r="R552" s="16">
        <v>50.44</v>
      </c>
      <c r="S552" s="16">
        <v>0</v>
      </c>
      <c r="T552" s="19">
        <f t="shared" si="55"/>
        <v>50.44</v>
      </c>
    </row>
    <row r="553" spans="1:20" x14ac:dyDescent="0.2">
      <c r="A553" s="28" t="s">
        <v>31</v>
      </c>
      <c r="B553" s="33"/>
      <c r="C553" s="33"/>
      <c r="F553" s="33">
        <f>F552</f>
        <v>199</v>
      </c>
      <c r="G553" s="33" t="str">
        <f>G552</f>
        <v>100-5150-00</v>
      </c>
      <c r="H553" s="36"/>
      <c r="K553" t="str">
        <f>"""GP Direct"",""Fabrikam, Inc."",""GL20000"",""DEX_ROW_ID"",""12380"""</f>
        <v>"GP Direct","Fabrikam, Inc.","GL20000","DEX_ROW_ID","12380"</v>
      </c>
      <c r="L553" s="15">
        <v>42370</v>
      </c>
      <c r="M553">
        <v>2241</v>
      </c>
      <c r="N553" t="str">
        <f>"Nagata, Suanne"</f>
        <v>Nagata, Suanne</v>
      </c>
      <c r="O553" t="str">
        <f>"10672"</f>
        <v>10672</v>
      </c>
      <c r="P553" t="str">
        <f>"Payroll Computer Checks"</f>
        <v>Payroll Computer Checks</v>
      </c>
      <c r="Q553" s="21"/>
      <c r="R553" s="16">
        <v>50.63</v>
      </c>
      <c r="S553" s="16">
        <v>0</v>
      </c>
      <c r="T553" s="19">
        <f t="shared" si="55"/>
        <v>50.63</v>
      </c>
    </row>
    <row r="554" spans="1:20" x14ac:dyDescent="0.2">
      <c r="A554" s="28" t="s">
        <v>31</v>
      </c>
      <c r="B554" s="33"/>
      <c r="C554" s="33"/>
      <c r="F554" s="33">
        <f>F553</f>
        <v>199</v>
      </c>
      <c r="G554" s="33" t="str">
        <f>G553</f>
        <v>100-5150-00</v>
      </c>
      <c r="H554" s="36"/>
      <c r="K554" t="str">
        <f>"""GP Direct"",""Fabrikam, Inc."",""GL20000"",""DEX_ROW_ID"",""12391"""</f>
        <v>"GP Direct","Fabrikam, Inc.","GL20000","DEX_ROW_ID","12391"</v>
      </c>
      <c r="L554" s="15">
        <v>42370</v>
      </c>
      <c r="M554">
        <v>2242</v>
      </c>
      <c r="N554" t="str">
        <f>"Reeves, Randy"</f>
        <v>Reeves, Randy</v>
      </c>
      <c r="O554" t="str">
        <f>"10673"</f>
        <v>10673</v>
      </c>
      <c r="P554" t="str">
        <f>"Payroll Computer Checks"</f>
        <v>Payroll Computer Checks</v>
      </c>
      <c r="Q554" s="21"/>
      <c r="R554" s="16">
        <v>50.99</v>
      </c>
      <c r="S554" s="16">
        <v>0</v>
      </c>
      <c r="T554" s="19">
        <f t="shared" si="55"/>
        <v>50.99</v>
      </c>
    </row>
    <row r="555" spans="1:20" x14ac:dyDescent="0.2">
      <c r="A555" s="28" t="s">
        <v>31</v>
      </c>
      <c r="B555" s="33"/>
      <c r="C555" s="33"/>
      <c r="F555" s="33">
        <f>F554</f>
        <v>199</v>
      </c>
      <c r="G555" s="33" t="str">
        <f>G554</f>
        <v>100-5150-00</v>
      </c>
      <c r="H555" s="36"/>
      <c r="K555" t="str">
        <f>"""GP Direct"",""Fabrikam, Inc."",""GL20000"",""DEX_ROW_ID"",""12399"""</f>
        <v>"GP Direct","Fabrikam, Inc.","GL20000","DEX_ROW_ID","12399"</v>
      </c>
      <c r="L555" s="15">
        <v>42370</v>
      </c>
      <c r="M555">
        <v>2243</v>
      </c>
      <c r="N555" t="str">
        <f>"Stewart, Jim"</f>
        <v>Stewart, Jim</v>
      </c>
      <c r="O555" t="str">
        <f>"10674"</f>
        <v>10674</v>
      </c>
      <c r="P555" t="str">
        <f>"Payroll Computer Checks"</f>
        <v>Payroll Computer Checks</v>
      </c>
      <c r="Q555" s="21"/>
      <c r="R555" s="16">
        <v>54.19</v>
      </c>
      <c r="S555" s="16">
        <v>0</v>
      </c>
      <c r="T555" s="19">
        <f t="shared" si="55"/>
        <v>54.19</v>
      </c>
    </row>
    <row r="556" spans="1:20" x14ac:dyDescent="0.2">
      <c r="A556" s="28" t="s">
        <v>31</v>
      </c>
      <c r="B556" s="33"/>
      <c r="C556" s="33"/>
      <c r="F556" s="33">
        <f>F555</f>
        <v>199</v>
      </c>
      <c r="G556" s="33" t="str">
        <f>G555</f>
        <v>100-5150-00</v>
      </c>
      <c r="H556" s="36"/>
      <c r="K556" t="str">
        <f>"""GP Direct"",""Fabrikam, Inc."",""GL20000"",""DEX_ROW_ID"",""12407"""</f>
        <v>"GP Direct","Fabrikam, Inc.","GL20000","DEX_ROW_ID","12407"</v>
      </c>
      <c r="L556" s="15">
        <v>42370</v>
      </c>
      <c r="M556">
        <v>2244</v>
      </c>
      <c r="N556" t="str">
        <f>"Tiano, Mike"</f>
        <v>Tiano, Mike</v>
      </c>
      <c r="O556" t="str">
        <f>"10675"</f>
        <v>10675</v>
      </c>
      <c r="P556" t="str">
        <f>"Payroll Computer Checks"</f>
        <v>Payroll Computer Checks</v>
      </c>
      <c r="Q556" s="21"/>
      <c r="R556" s="16">
        <v>51.19</v>
      </c>
      <c r="S556" s="16">
        <v>0</v>
      </c>
      <c r="T556" s="19">
        <f t="shared" si="55"/>
        <v>51.19</v>
      </c>
    </row>
    <row r="557" spans="1:20" x14ac:dyDescent="0.2">
      <c r="A557" s="28" t="s">
        <v>31</v>
      </c>
      <c r="B557" s="33"/>
      <c r="C557" s="33"/>
      <c r="F557" s="33">
        <f>F556</f>
        <v>199</v>
      </c>
      <c r="G557" s="33" t="str">
        <f>G556</f>
        <v>100-5150-00</v>
      </c>
      <c r="H557" s="36"/>
      <c r="K557" t="str">
        <f>"""GP Direct"",""Fabrikam, Inc."",""GL20000"",""DEX_ROW_ID"",""12420"""</f>
        <v>"GP Direct","Fabrikam, Inc.","GL20000","DEX_ROW_ID","12420"</v>
      </c>
      <c r="L557" s="15">
        <v>42370</v>
      </c>
      <c r="M557">
        <v>2245</v>
      </c>
      <c r="N557" t="str">
        <f>"Tibbott, Diane"</f>
        <v>Tibbott, Diane</v>
      </c>
      <c r="O557" t="str">
        <f>"10676"</f>
        <v>10676</v>
      </c>
      <c r="P557" t="str">
        <f>"Payroll Computer Checks"</f>
        <v>Payroll Computer Checks</v>
      </c>
      <c r="Q557" s="21"/>
      <c r="R557" s="16">
        <v>50.85</v>
      </c>
      <c r="S557" s="16">
        <v>0</v>
      </c>
      <c r="T557" s="19">
        <f t="shared" si="55"/>
        <v>50.85</v>
      </c>
    </row>
    <row r="558" spans="1:20" x14ac:dyDescent="0.2">
      <c r="A558" s="28" t="s">
        <v>31</v>
      </c>
      <c r="B558" s="33"/>
      <c r="C558" s="33"/>
      <c r="F558" s="33">
        <f>F557</f>
        <v>199</v>
      </c>
      <c r="G558" s="33" t="str">
        <f>G557</f>
        <v>100-5150-00</v>
      </c>
      <c r="H558" s="36"/>
      <c r="K558" t="str">
        <f>"""GP Direct"",""Fabrikam, Inc."",""GL20000"",""DEX_ROW_ID"",""12431"""</f>
        <v>"GP Direct","Fabrikam, Inc.","GL20000","DEX_ROW_ID","12431"</v>
      </c>
      <c r="L558" s="15">
        <v>42370</v>
      </c>
      <c r="M558">
        <v>2246</v>
      </c>
      <c r="N558" t="str">
        <f>"West, Paul"</f>
        <v>West, Paul</v>
      </c>
      <c r="O558" t="str">
        <f>"10677"</f>
        <v>10677</v>
      </c>
      <c r="P558" t="str">
        <f>"Payroll Computer Checks"</f>
        <v>Payroll Computer Checks</v>
      </c>
      <c r="Q558" s="21"/>
      <c r="R558" s="16">
        <v>50.86</v>
      </c>
      <c r="S558" s="16">
        <v>0</v>
      </c>
      <c r="T558" s="19">
        <f t="shared" si="55"/>
        <v>50.86</v>
      </c>
    </row>
    <row r="559" spans="1:20" x14ac:dyDescent="0.2">
      <c r="A559" s="28" t="s">
        <v>31</v>
      </c>
      <c r="B559" s="33"/>
      <c r="C559" s="33"/>
      <c r="F559" s="33">
        <f>F558</f>
        <v>199</v>
      </c>
      <c r="G559" s="33" t="str">
        <f>G558</f>
        <v>100-5150-00</v>
      </c>
      <c r="H559" s="36"/>
      <c r="K559" t="str">
        <f>"""GP Direct"",""Fabrikam, Inc."",""GL20000"",""DEX_ROW_ID"",""12439"""</f>
        <v>"GP Direct","Fabrikam, Inc.","GL20000","DEX_ROW_ID","12439"</v>
      </c>
      <c r="L559" s="15">
        <v>42370</v>
      </c>
      <c r="M559">
        <v>2247</v>
      </c>
      <c r="N559" t="str">
        <f>"Young, Rob"</f>
        <v>Young, Rob</v>
      </c>
      <c r="O559" t="str">
        <f>"10678"</f>
        <v>10678</v>
      </c>
      <c r="P559" t="str">
        <f>"Payroll Computer Checks"</f>
        <v>Payroll Computer Checks</v>
      </c>
      <c r="Q559" s="21"/>
      <c r="R559" s="16">
        <v>50.69</v>
      </c>
      <c r="S559" s="16">
        <v>0</v>
      </c>
      <c r="T559" s="19">
        <f t="shared" si="55"/>
        <v>50.69</v>
      </c>
    </row>
    <row r="560" spans="1:20" x14ac:dyDescent="0.2">
      <c r="A560" s="28" t="s">
        <v>31</v>
      </c>
      <c r="B560" s="33"/>
      <c r="C560" s="33"/>
      <c r="F560" s="33">
        <f>F532</f>
        <v>199</v>
      </c>
      <c r="G560" s="33" t="str">
        <f>G532</f>
        <v>100-5150-00</v>
      </c>
      <c r="H560" s="36"/>
    </row>
    <row r="561" spans="1:20" x14ac:dyDescent="0.2">
      <c r="A561" s="28" t="s">
        <v>31</v>
      </c>
      <c r="I561" s="37" t="str">
        <f>I530&amp;"   "&amp;J530&amp;"         Total:"</f>
        <v>100-5150-00   Employee Benefits - Administration         Total:</v>
      </c>
      <c r="J561" s="37"/>
      <c r="K561" s="37"/>
      <c r="L561" s="37"/>
      <c r="M561" s="37"/>
      <c r="N561" s="37"/>
      <c r="O561" s="37"/>
      <c r="P561" s="37"/>
      <c r="Q561" s="37"/>
      <c r="R561" s="37"/>
      <c r="S561" s="37"/>
      <c r="T561" s="23">
        <f t="shared" ref="T561" si="56">SUBTOTAL(9,T531:T560)</f>
        <v>1456.95</v>
      </c>
    </row>
    <row r="562" spans="1:20" x14ac:dyDescent="0.2">
      <c r="A562" s="28" t="s">
        <v>31</v>
      </c>
    </row>
    <row r="563" spans="1:20" x14ac:dyDescent="0.2">
      <c r="A563" s="28" t="s">
        <v>31</v>
      </c>
      <c r="D563" s="28" t="str">
        <f>"||""Filter"",""GL20000"",""ACTINDX"",""TRXDATE"",""1/1/2016..1/31/2016"",""ACTINDX"",""||""""Filter"""",""""GL00105"""",""""ACTINDX"""",""""ACTNUMBR_1"""",""""*"""",""""ACTNUMBR_2"""",""""*"""",""""ACTNUMBR_3"""",""""*"""","""""""","""""""","""""""","""""""","""""""","""""""","""""""","""""""","""""""","""""""","""""""","""""""","""""""","""""""""","""","""","""","""&amp;""","""","""","""","""","""","""","""","""","""","""","""","""""</f>
        <v>||"Filter","GL20000","ACTINDX","TRXDATE","1/1/2016..1/31/2016","ACTINDX","||""Filter"",""GL00105"",""ACTINDX"",""ACTNUMBR_1"",""*"",""ACTNUMBR_2"",""*"",""ACTNUMBR_3"",""*"","""","""","""","""","""","""","""","""","""","""","""","""","""",""""","","","","","","","","","","","","","","","",""</v>
      </c>
      <c r="E563" s="28" t="str">
        <f>"||""Filter"",""GL30000"",""ACTINDX"",""TRXDATE"",""1/1/2016..1/31/2016"",""ACTINDX"",""||""""Filter"""",""""GL00105"""",""""ACTINDX"""",""""ACTNUMBR_1"""",""""*"""",""""ACTNUMBR_2"""",""""*"""",""""ACTNUMBR_3"""",""""*"""","""""""","""""""","""""""","""""""","""""""","""""""","""""""","""""""","""""""","""""""","""""""","""""""","""""""","""""""""","""","""","""","""&amp;""","""","""","""","""","""","""","""","""","""","""","""","""""</f>
        <v>||"Filter","GL30000","ACTINDX","TRXDATE","1/1/2016..1/31/2016","ACTINDX","||""Filter"",""GL00105"",""ACTINDX"",""ACTNUMBR_1"",""*"",""ACTNUMBR_2"",""*"",""ACTNUMBR_3"",""*"","""","""","""","""","""","""","""","""","""","""","""","""","""",""""","","","","","","","","","","","","","","","",""</v>
      </c>
      <c r="F563" s="28">
        <v>201</v>
      </c>
      <c r="G563" s="28" t="str">
        <f>"100-5170-00"</f>
        <v>100-5170-00</v>
      </c>
      <c r="I563" s="17" t="str">
        <f>G563</f>
        <v>100-5170-00</v>
      </c>
      <c r="J563" s="17" t="str">
        <f>"Payroll Taxes - Administration"</f>
        <v>Payroll Taxes - Administration</v>
      </c>
      <c r="Q563" s="17"/>
      <c r="R563" s="18"/>
    </row>
    <row r="564" spans="1:20" x14ac:dyDescent="0.2">
      <c r="A564" s="28" t="s">
        <v>31</v>
      </c>
      <c r="B564" s="33"/>
      <c r="C564" s="33"/>
      <c r="F564" s="33">
        <f>F563</f>
        <v>201</v>
      </c>
      <c r="G564" s="33" t="str">
        <f>G563</f>
        <v>100-5170-00</v>
      </c>
      <c r="H564" s="36"/>
      <c r="L564" s="15"/>
      <c r="Q564" s="21"/>
      <c r="R564" s="16"/>
      <c r="S564" s="16">
        <f>IF($K564="",0,-_xll.NF($K564,"CRDTAMNT"))</f>
        <v>0</v>
      </c>
      <c r="T564" s="19">
        <f t="shared" ref="T564:T565" si="57">SUM(R564:S564)</f>
        <v>0</v>
      </c>
    </row>
    <row r="565" spans="1:20" x14ac:dyDescent="0.2">
      <c r="A565" s="28" t="s">
        <v>31</v>
      </c>
      <c r="B565" s="33"/>
      <c r="C565" s="33"/>
      <c r="F565" s="33">
        <f>F564</f>
        <v>201</v>
      </c>
      <c r="G565" s="33" t="str">
        <f>G564</f>
        <v>100-5170-00</v>
      </c>
      <c r="H565" s="36"/>
      <c r="K565" t="str">
        <f>"""GP Direct"",""Fabrikam, Inc."",""GL20000"",""DEX_ROW_ID"",""12196"""</f>
        <v>"GP Direct","Fabrikam, Inc.","GL20000","DEX_ROW_ID","12196"</v>
      </c>
      <c r="L565" s="15">
        <v>42370</v>
      </c>
      <c r="M565">
        <v>2220</v>
      </c>
      <c r="N565" t="str">
        <f>"Ackerman, Pilar"</f>
        <v>Ackerman, Pilar</v>
      </c>
      <c r="O565" t="str">
        <f>"DD000000000000000073"</f>
        <v>DD000000000000000073</v>
      </c>
      <c r="P565" t="str">
        <f>"Payroll Computer Checks"</f>
        <v>Payroll Computer Checks</v>
      </c>
      <c r="Q565" s="21"/>
      <c r="R565" s="16">
        <v>19.5</v>
      </c>
      <c r="S565" s="16">
        <v>0</v>
      </c>
      <c r="T565" s="19">
        <f t="shared" si="57"/>
        <v>19.5</v>
      </c>
    </row>
    <row r="566" spans="1:20" x14ac:dyDescent="0.2">
      <c r="A566" s="28" t="s">
        <v>31</v>
      </c>
      <c r="B566" s="33"/>
      <c r="C566" s="33"/>
      <c r="F566" s="33">
        <f>F565</f>
        <v>201</v>
      </c>
      <c r="G566" s="33" t="str">
        <f>G565</f>
        <v>100-5170-00</v>
      </c>
      <c r="H566" s="36"/>
      <c r="K566" t="str">
        <f>"""GP Direct"",""Fabrikam, Inc."",""GL20000"",""DEX_ROW_ID"",""12202"""</f>
        <v>"GP Direct","Fabrikam, Inc.","GL20000","DEX_ROW_ID","12202"</v>
      </c>
      <c r="L566" s="15">
        <v>42370</v>
      </c>
      <c r="M566">
        <v>2221</v>
      </c>
      <c r="N566" t="str">
        <f>"Barbariol, Angela"</f>
        <v>Barbariol, Angela</v>
      </c>
      <c r="O566" t="str">
        <f>"DD000000000000000074"</f>
        <v>DD000000000000000074</v>
      </c>
      <c r="P566" t="str">
        <f>"Payroll Computer Checks"</f>
        <v>Payroll Computer Checks</v>
      </c>
      <c r="Q566" s="21"/>
      <c r="R566" s="16">
        <v>21.8</v>
      </c>
      <c r="S566" s="16">
        <v>0</v>
      </c>
      <c r="T566" s="19">
        <f t="shared" ref="T566:T592" si="58">SUM(R566:S566)</f>
        <v>21.8</v>
      </c>
    </row>
    <row r="567" spans="1:20" x14ac:dyDescent="0.2">
      <c r="A567" s="28" t="s">
        <v>31</v>
      </c>
      <c r="B567" s="33"/>
      <c r="C567" s="33"/>
      <c r="F567" s="33">
        <f>F566</f>
        <v>201</v>
      </c>
      <c r="G567" s="33" t="str">
        <f>G566</f>
        <v>100-5170-00</v>
      </c>
      <c r="H567" s="36"/>
      <c r="K567" t="str">
        <f>"""GP Direct"",""Fabrikam, Inc."",""GL20000"",""DEX_ROW_ID"",""12208"""</f>
        <v>"GP Direct","Fabrikam, Inc.","GL20000","DEX_ROW_ID","12208"</v>
      </c>
      <c r="L567" s="15">
        <v>42370</v>
      </c>
      <c r="M567">
        <v>2222</v>
      </c>
      <c r="N567" t="str">
        <f>"Barr, Adam"</f>
        <v>Barr, Adam</v>
      </c>
      <c r="O567" t="str">
        <f>"10654"</f>
        <v>10654</v>
      </c>
      <c r="P567" t="str">
        <f>"Payroll Computer Checks"</f>
        <v>Payroll Computer Checks</v>
      </c>
      <c r="Q567" s="21"/>
      <c r="R567" s="16">
        <v>24.51</v>
      </c>
      <c r="S567" s="16">
        <v>0</v>
      </c>
      <c r="T567" s="19">
        <f t="shared" si="58"/>
        <v>24.51</v>
      </c>
    </row>
    <row r="568" spans="1:20" x14ac:dyDescent="0.2">
      <c r="A568" s="28" t="s">
        <v>31</v>
      </c>
      <c r="B568" s="33"/>
      <c r="C568" s="33"/>
      <c r="F568" s="33">
        <f>F567</f>
        <v>201</v>
      </c>
      <c r="G568" s="33" t="str">
        <f>G567</f>
        <v>100-5170-00</v>
      </c>
      <c r="H568" s="36"/>
      <c r="K568" t="str">
        <f>"""GP Direct"",""Fabrikam, Inc."",""GL20000"",""DEX_ROW_ID"",""12217"""</f>
        <v>"GP Direct","Fabrikam, Inc.","GL20000","DEX_ROW_ID","12217"</v>
      </c>
      <c r="L568" s="15">
        <v>42370</v>
      </c>
      <c r="M568">
        <v>2223</v>
      </c>
      <c r="N568" t="str">
        <f>"Bonifaz, Luis"</f>
        <v>Bonifaz, Luis</v>
      </c>
      <c r="O568" t="str">
        <f>"DD000000000000000075"</f>
        <v>DD000000000000000075</v>
      </c>
      <c r="P568" t="str">
        <f>"Payroll Computer Checks"</f>
        <v>Payroll Computer Checks</v>
      </c>
      <c r="Q568" s="21"/>
      <c r="R568" s="16">
        <v>17.2</v>
      </c>
      <c r="S568" s="16">
        <v>0</v>
      </c>
      <c r="T568" s="19">
        <f t="shared" si="58"/>
        <v>17.2</v>
      </c>
    </row>
    <row r="569" spans="1:20" x14ac:dyDescent="0.2">
      <c r="A569" s="28" t="s">
        <v>31</v>
      </c>
      <c r="B569" s="33"/>
      <c r="C569" s="33"/>
      <c r="F569" s="33">
        <f>F568</f>
        <v>201</v>
      </c>
      <c r="G569" s="33" t="str">
        <f>G568</f>
        <v>100-5170-00</v>
      </c>
      <c r="H569" s="36"/>
      <c r="K569" t="str">
        <f>"""GP Direct"",""Fabrikam, Inc."",""GL20000"",""DEX_ROW_ID"",""12231"""</f>
        <v>"GP Direct","Fabrikam, Inc.","GL20000","DEX_ROW_ID","12231"</v>
      </c>
      <c r="L569" s="15">
        <v>42370</v>
      </c>
      <c r="M569">
        <v>2224</v>
      </c>
      <c r="N569" t="str">
        <f>"Buchanan, Nancy"</f>
        <v>Buchanan, Nancy</v>
      </c>
      <c r="O569" t="str">
        <f>"10655"</f>
        <v>10655</v>
      </c>
      <c r="P569" t="str">
        <f>"Payroll Computer Checks"</f>
        <v>Payroll Computer Checks</v>
      </c>
      <c r="Q569" s="21"/>
      <c r="R569" s="16">
        <v>138.88999999999999</v>
      </c>
      <c r="S569" s="16">
        <v>0</v>
      </c>
      <c r="T569" s="19">
        <f t="shared" si="58"/>
        <v>138.88999999999999</v>
      </c>
    </row>
    <row r="570" spans="1:20" x14ac:dyDescent="0.2">
      <c r="A570" s="28" t="s">
        <v>31</v>
      </c>
      <c r="B570" s="33"/>
      <c r="C570" s="33"/>
      <c r="F570" s="33">
        <f>F569</f>
        <v>201</v>
      </c>
      <c r="G570" s="33" t="str">
        <f>G569</f>
        <v>100-5170-00</v>
      </c>
      <c r="H570" s="36"/>
      <c r="K570" t="str">
        <f>"""GP Direct"",""Fabrikam, Inc."",""GL20000"",""DEX_ROW_ID"",""12237"""</f>
        <v>"GP Direct","Fabrikam, Inc.","GL20000","DEX_ROW_ID","12237"</v>
      </c>
      <c r="L570" s="15">
        <v>42370</v>
      </c>
      <c r="M570">
        <v>2225</v>
      </c>
      <c r="N570" t="str">
        <f>"Chen, John Y."</f>
        <v>Chen, John Y.</v>
      </c>
      <c r="O570" t="str">
        <f>"10656"</f>
        <v>10656</v>
      </c>
      <c r="P570" t="str">
        <f>"Payroll Computer Checks"</f>
        <v>Payroll Computer Checks</v>
      </c>
      <c r="Q570" s="21"/>
      <c r="R570" s="16">
        <v>9.9499999999999993</v>
      </c>
      <c r="S570" s="16">
        <v>0</v>
      </c>
      <c r="T570" s="19">
        <f t="shared" si="58"/>
        <v>9.9499999999999993</v>
      </c>
    </row>
    <row r="571" spans="1:20" x14ac:dyDescent="0.2">
      <c r="A571" s="28" t="s">
        <v>31</v>
      </c>
      <c r="B571" s="33"/>
      <c r="C571" s="33"/>
      <c r="F571" s="33">
        <f>F570</f>
        <v>201</v>
      </c>
      <c r="G571" s="33" t="str">
        <f>G570</f>
        <v>100-5170-00</v>
      </c>
      <c r="H571" s="36"/>
      <c r="K571" t="str">
        <f>"""GP Direct"",""Fabrikam, Inc."",""GL20000"",""DEX_ROW_ID"",""12251"""</f>
        <v>"GP Direct","Fabrikam, Inc.","GL20000","DEX_ROW_ID","12251"</v>
      </c>
      <c r="L571" s="15">
        <v>42370</v>
      </c>
      <c r="M571">
        <v>2226</v>
      </c>
      <c r="N571" t="str">
        <f>"Clayton, Jane"</f>
        <v>Clayton, Jane</v>
      </c>
      <c r="O571" t="str">
        <f>"10657"</f>
        <v>10657</v>
      </c>
      <c r="P571" t="str">
        <f>"Payroll Computer Checks"</f>
        <v>Payroll Computer Checks</v>
      </c>
      <c r="Q571" s="21"/>
      <c r="R571" s="16">
        <v>18.260000000000002</v>
      </c>
      <c r="S571" s="16">
        <v>0</v>
      </c>
      <c r="T571" s="19">
        <f t="shared" si="58"/>
        <v>18.260000000000002</v>
      </c>
    </row>
    <row r="572" spans="1:20" x14ac:dyDescent="0.2">
      <c r="A572" s="28" t="s">
        <v>31</v>
      </c>
      <c r="B572" s="33"/>
      <c r="C572" s="33"/>
      <c r="F572" s="33">
        <f>F571</f>
        <v>201</v>
      </c>
      <c r="G572" s="33" t="str">
        <f>G571</f>
        <v>100-5170-00</v>
      </c>
      <c r="H572" s="36"/>
      <c r="K572" t="str">
        <f>"""GP Direct"",""Fabrikam, Inc."",""GL20000"",""DEX_ROW_ID"",""12261"""</f>
        <v>"GP Direct","Fabrikam, Inc.","GL20000","DEX_ROW_ID","12261"</v>
      </c>
      <c r="L572" s="15">
        <v>42370</v>
      </c>
      <c r="M572">
        <v>2227</v>
      </c>
      <c r="N572" t="str">
        <f>"Delaney, Aidan"</f>
        <v>Delaney, Aidan</v>
      </c>
      <c r="O572" t="str">
        <f>"10658"</f>
        <v>10658</v>
      </c>
      <c r="P572" t="str">
        <f>"Payroll Computer Checks"</f>
        <v>Payroll Computer Checks</v>
      </c>
      <c r="Q572" s="21"/>
      <c r="R572" s="16">
        <v>10.61</v>
      </c>
      <c r="S572" s="16">
        <v>0</v>
      </c>
      <c r="T572" s="19">
        <f t="shared" si="58"/>
        <v>10.61</v>
      </c>
    </row>
    <row r="573" spans="1:20" x14ac:dyDescent="0.2">
      <c r="A573" s="28" t="s">
        <v>31</v>
      </c>
      <c r="B573" s="33"/>
      <c r="C573" s="33"/>
      <c r="F573" s="33">
        <f>F572</f>
        <v>201</v>
      </c>
      <c r="G573" s="33" t="str">
        <f>G572</f>
        <v>100-5170-00</v>
      </c>
      <c r="H573" s="36"/>
      <c r="K573" t="str">
        <f>"""GP Direct"",""Fabrikam, Inc."",""GL20000"",""DEX_ROW_ID"",""12266"""</f>
        <v>"GP Direct","Fabrikam, Inc.","GL20000","DEX_ROW_ID","12266"</v>
      </c>
      <c r="L573" s="15">
        <v>42370</v>
      </c>
      <c r="M573">
        <v>2228</v>
      </c>
      <c r="N573" t="str">
        <f>"Diaz, Brenda"</f>
        <v>Diaz, Brenda</v>
      </c>
      <c r="O573" t="str">
        <f>"10659"</f>
        <v>10659</v>
      </c>
      <c r="P573" t="str">
        <f>"Payroll Computer Checks"</f>
        <v>Payroll Computer Checks</v>
      </c>
      <c r="Q573" s="21"/>
      <c r="R573" s="16">
        <v>27.22</v>
      </c>
      <c r="S573" s="16">
        <v>0</v>
      </c>
      <c r="T573" s="19">
        <f t="shared" si="58"/>
        <v>27.22</v>
      </c>
    </row>
    <row r="574" spans="1:20" x14ac:dyDescent="0.2">
      <c r="A574" s="28" t="s">
        <v>31</v>
      </c>
      <c r="B574" s="33"/>
      <c r="C574" s="33"/>
      <c r="F574" s="33">
        <f>F573</f>
        <v>201</v>
      </c>
      <c r="G574" s="33" t="str">
        <f>G573</f>
        <v>100-5170-00</v>
      </c>
      <c r="H574" s="36"/>
      <c r="K574" t="str">
        <f>"""GP Direct"",""Fabrikam, Inc."",""GL20000"",""DEX_ROW_ID"",""12273"""</f>
        <v>"GP Direct","Fabrikam, Inc.","GL20000","DEX_ROW_ID","12273"</v>
      </c>
      <c r="L574" s="15">
        <v>42370</v>
      </c>
      <c r="M574">
        <v>2229</v>
      </c>
      <c r="N574" t="str">
        <f>"Doyle, Jenny"</f>
        <v>Doyle, Jenny</v>
      </c>
      <c r="O574" t="str">
        <f>"10660"</f>
        <v>10660</v>
      </c>
      <c r="P574" t="str">
        <f>"Payroll Computer Checks"</f>
        <v>Payroll Computer Checks</v>
      </c>
      <c r="Q574" s="21"/>
      <c r="R574" s="16">
        <v>12.85</v>
      </c>
      <c r="S574" s="16">
        <v>0</v>
      </c>
      <c r="T574" s="19">
        <f t="shared" si="58"/>
        <v>12.85</v>
      </c>
    </row>
    <row r="575" spans="1:20" x14ac:dyDescent="0.2">
      <c r="A575" s="28" t="s">
        <v>31</v>
      </c>
      <c r="B575" s="33"/>
      <c r="C575" s="33"/>
      <c r="F575" s="33">
        <f>F574</f>
        <v>201</v>
      </c>
      <c r="G575" s="33" t="str">
        <f>G574</f>
        <v>100-5170-00</v>
      </c>
      <c r="H575" s="36"/>
      <c r="K575" t="str">
        <f>"""GP Direct"",""Fabrikam, Inc."",""GL20000"",""DEX_ROW_ID"",""12288"""</f>
        <v>"GP Direct","Fabrikam, Inc.","GL20000","DEX_ROW_ID","12288"</v>
      </c>
      <c r="L575" s="15">
        <v>42370</v>
      </c>
      <c r="M575">
        <v>2230</v>
      </c>
      <c r="N575" t="str">
        <f>"Erickson, Gregory J."</f>
        <v>Erickson, Gregory J.</v>
      </c>
      <c r="O575" t="str">
        <f>"10661"</f>
        <v>10661</v>
      </c>
      <c r="P575" t="str">
        <f>"Payroll Computer Checks"</f>
        <v>Payroll Computer Checks</v>
      </c>
      <c r="Q575" s="21"/>
      <c r="R575" s="16">
        <v>94.9</v>
      </c>
      <c r="S575" s="16">
        <v>0</v>
      </c>
      <c r="T575" s="19">
        <f t="shared" si="58"/>
        <v>94.9</v>
      </c>
    </row>
    <row r="576" spans="1:20" x14ac:dyDescent="0.2">
      <c r="A576" s="28" t="s">
        <v>31</v>
      </c>
      <c r="B576" s="33"/>
      <c r="C576" s="33"/>
      <c r="F576" s="33">
        <f>F575</f>
        <v>201</v>
      </c>
      <c r="G576" s="33" t="str">
        <f>G575</f>
        <v>100-5170-00</v>
      </c>
      <c r="H576" s="36"/>
      <c r="K576" t="str">
        <f>"""GP Direct"",""Fabrikam, Inc."",""GL20000"",""DEX_ROW_ID"",""12297"""</f>
        <v>"GP Direct","Fabrikam, Inc.","GL20000","DEX_ROW_ID","12297"</v>
      </c>
      <c r="L576" s="15">
        <v>42370</v>
      </c>
      <c r="M576">
        <v>2231</v>
      </c>
      <c r="N576" t="str">
        <f>"Flood, Kathie"</f>
        <v>Flood, Kathie</v>
      </c>
      <c r="O576" t="str">
        <f>"10662"</f>
        <v>10662</v>
      </c>
      <c r="P576" t="str">
        <f>"Payroll Computer Checks"</f>
        <v>Payroll Computer Checks</v>
      </c>
      <c r="Q576" s="21"/>
      <c r="R576" s="16">
        <v>11.88</v>
      </c>
      <c r="S576" s="16">
        <v>0</v>
      </c>
      <c r="T576" s="19">
        <f t="shared" si="58"/>
        <v>11.88</v>
      </c>
    </row>
    <row r="577" spans="1:20" x14ac:dyDescent="0.2">
      <c r="A577" s="28" t="s">
        <v>31</v>
      </c>
      <c r="B577" s="33"/>
      <c r="C577" s="33"/>
      <c r="F577" s="33">
        <f>F576</f>
        <v>201</v>
      </c>
      <c r="G577" s="33" t="str">
        <f>G576</f>
        <v>100-5170-00</v>
      </c>
      <c r="H577" s="36"/>
      <c r="K577" t="str">
        <f>"""GP Direct"",""Fabrikam, Inc."",""GL20000"",""DEX_ROW_ID"",""12298"""</f>
        <v>"GP Direct","Fabrikam, Inc.","GL20000","DEX_ROW_ID","12298"</v>
      </c>
      <c r="L577" s="15">
        <v>42370</v>
      </c>
      <c r="M577">
        <v>2232</v>
      </c>
      <c r="N577" t="str">
        <f>"Harui, Roger"</f>
        <v>Harui, Roger</v>
      </c>
      <c r="O577" t="str">
        <f>"10663"</f>
        <v>10663</v>
      </c>
      <c r="P577" t="str">
        <f>"Payroll Computer Checks"</f>
        <v>Payroll Computer Checks</v>
      </c>
      <c r="Q577" s="21"/>
      <c r="R577" s="16">
        <v>28.36</v>
      </c>
      <c r="S577" s="16">
        <v>0</v>
      </c>
      <c r="T577" s="19">
        <f t="shared" si="58"/>
        <v>28.36</v>
      </c>
    </row>
    <row r="578" spans="1:20" x14ac:dyDescent="0.2">
      <c r="A578" s="28" t="s">
        <v>31</v>
      </c>
      <c r="B578" s="33"/>
      <c r="C578" s="33"/>
      <c r="F578" s="33">
        <f>F577</f>
        <v>201</v>
      </c>
      <c r="G578" s="33" t="str">
        <f>G577</f>
        <v>100-5170-00</v>
      </c>
      <c r="H578" s="36"/>
      <c r="K578" t="str">
        <f>"""GP Direct"",""Fabrikam, Inc."",""GL20000"",""DEX_ROW_ID"",""12311"""</f>
        <v>"GP Direct","Fabrikam, Inc.","GL20000","DEX_ROW_ID","12311"</v>
      </c>
      <c r="L578" s="15">
        <v>42370</v>
      </c>
      <c r="M578">
        <v>2233</v>
      </c>
      <c r="N578" t="str">
        <f>"Jamison, Jay"</f>
        <v>Jamison, Jay</v>
      </c>
      <c r="O578" t="str">
        <f>"10664"</f>
        <v>10664</v>
      </c>
      <c r="P578" t="str">
        <f>"Payroll Computer Checks"</f>
        <v>Payroll Computer Checks</v>
      </c>
      <c r="Q578" s="21"/>
      <c r="R578" s="16">
        <v>19.559999999999999</v>
      </c>
      <c r="S578" s="16">
        <v>0</v>
      </c>
      <c r="T578" s="19">
        <f t="shared" si="58"/>
        <v>19.559999999999999</v>
      </c>
    </row>
    <row r="579" spans="1:20" x14ac:dyDescent="0.2">
      <c r="A579" s="28" t="s">
        <v>31</v>
      </c>
      <c r="B579" s="33"/>
      <c r="C579" s="33"/>
      <c r="F579" s="33">
        <f>F578</f>
        <v>201</v>
      </c>
      <c r="G579" s="33" t="str">
        <f>G578</f>
        <v>100-5170-00</v>
      </c>
      <c r="H579" s="36"/>
      <c r="K579" t="str">
        <f>"""GP Direct"",""Fabrikam, Inc."",""GL20000"",""DEX_ROW_ID"",""12323"""</f>
        <v>"GP Direct","Fabrikam, Inc.","GL20000","DEX_ROW_ID","12323"</v>
      </c>
      <c r="L579" s="15">
        <v>42370</v>
      </c>
      <c r="M579">
        <v>2234</v>
      </c>
      <c r="N579" t="str">
        <f>"Kahn, Wendy B."</f>
        <v>Kahn, Wendy B.</v>
      </c>
      <c r="O579" t="str">
        <f>"10665"</f>
        <v>10665</v>
      </c>
      <c r="P579" t="str">
        <f>"Payroll Computer Checks"</f>
        <v>Payroll Computer Checks</v>
      </c>
      <c r="Q579" s="21"/>
      <c r="R579" s="16">
        <v>9.86</v>
      </c>
      <c r="S579" s="16">
        <v>0</v>
      </c>
      <c r="T579" s="19">
        <f t="shared" si="58"/>
        <v>9.86</v>
      </c>
    </row>
    <row r="580" spans="1:20" x14ac:dyDescent="0.2">
      <c r="A580" s="28" t="s">
        <v>31</v>
      </c>
      <c r="B580" s="33"/>
      <c r="C580" s="33"/>
      <c r="F580" s="33">
        <f>F579</f>
        <v>201</v>
      </c>
      <c r="G580" s="33" t="str">
        <f>G579</f>
        <v>100-5170-00</v>
      </c>
      <c r="H580" s="36"/>
      <c r="K580" t="str">
        <f>"""GP Direct"",""Fabrikam, Inc."",""GL20000"",""DEX_ROW_ID"",""12330"""</f>
        <v>"GP Direct","Fabrikam, Inc.","GL20000","DEX_ROW_ID","12330"</v>
      </c>
      <c r="L580" s="15">
        <v>42370</v>
      </c>
      <c r="M580">
        <v>2235</v>
      </c>
      <c r="N580" t="str">
        <f>"Kennedy, Kevin"</f>
        <v>Kennedy, Kevin</v>
      </c>
      <c r="O580" t="str">
        <f>"10666"</f>
        <v>10666</v>
      </c>
      <c r="P580" t="str">
        <f>"Payroll Computer Checks"</f>
        <v>Payroll Computer Checks</v>
      </c>
      <c r="Q580" s="21"/>
      <c r="R580" s="16">
        <v>13.84</v>
      </c>
      <c r="S580" s="16">
        <v>0</v>
      </c>
      <c r="T580" s="19">
        <f t="shared" si="58"/>
        <v>13.84</v>
      </c>
    </row>
    <row r="581" spans="1:20" x14ac:dyDescent="0.2">
      <c r="A581" s="28" t="s">
        <v>31</v>
      </c>
      <c r="B581" s="33"/>
      <c r="C581" s="33"/>
      <c r="F581" s="33">
        <f>F580</f>
        <v>201</v>
      </c>
      <c r="G581" s="33" t="str">
        <f>G580</f>
        <v>100-5170-00</v>
      </c>
      <c r="H581" s="36"/>
      <c r="K581" t="str">
        <f>"""GP Direct"",""Fabrikam, Inc."",""GL20000"",""DEX_ROW_ID"",""12335"""</f>
        <v>"GP Direct","Fabrikam, Inc.","GL20000","DEX_ROW_ID","12335"</v>
      </c>
      <c r="L581" s="15">
        <v>42370</v>
      </c>
      <c r="M581">
        <v>2236</v>
      </c>
      <c r="N581" t="str">
        <f>"Levy, Steven B."</f>
        <v>Levy, Steven B.</v>
      </c>
      <c r="O581" t="str">
        <f>"10667"</f>
        <v>10667</v>
      </c>
      <c r="P581" t="str">
        <f>"Payroll Computer Checks"</f>
        <v>Payroll Computer Checks</v>
      </c>
      <c r="Q581" s="21"/>
      <c r="R581" s="16">
        <v>16.97</v>
      </c>
      <c r="S581" s="16">
        <v>0</v>
      </c>
      <c r="T581" s="19">
        <f t="shared" si="58"/>
        <v>16.97</v>
      </c>
    </row>
    <row r="582" spans="1:20" x14ac:dyDescent="0.2">
      <c r="A582" s="28" t="s">
        <v>31</v>
      </c>
      <c r="B582" s="33"/>
      <c r="C582" s="33"/>
      <c r="F582" s="33">
        <f>F581</f>
        <v>201</v>
      </c>
      <c r="G582" s="33" t="str">
        <f>G581</f>
        <v>100-5170-00</v>
      </c>
      <c r="H582" s="36"/>
      <c r="K582" t="str">
        <f>"""GP Direct"",""Fabrikam, Inc."",""GL20000"",""DEX_ROW_ID"",""12344"""</f>
        <v>"GP Direct","Fabrikam, Inc.","GL20000","DEX_ROW_ID","12344"</v>
      </c>
      <c r="L582" s="15">
        <v>42370</v>
      </c>
      <c r="M582">
        <v>2237</v>
      </c>
      <c r="N582" t="str">
        <f>"Lyon, Robert"</f>
        <v>Lyon, Robert</v>
      </c>
      <c r="O582" t="str">
        <f>"10668"</f>
        <v>10668</v>
      </c>
      <c r="P582" t="str">
        <f>"Payroll Computer Checks"</f>
        <v>Payroll Computer Checks</v>
      </c>
      <c r="Q582" s="21"/>
      <c r="R582" s="16">
        <v>10.46</v>
      </c>
      <c r="S582" s="16">
        <v>0</v>
      </c>
      <c r="T582" s="19">
        <f t="shared" si="58"/>
        <v>10.46</v>
      </c>
    </row>
    <row r="583" spans="1:20" x14ac:dyDescent="0.2">
      <c r="A583" s="28" t="s">
        <v>31</v>
      </c>
      <c r="B583" s="33"/>
      <c r="C583" s="33"/>
      <c r="F583" s="33">
        <f>F582</f>
        <v>201</v>
      </c>
      <c r="G583" s="33" t="str">
        <f>G582</f>
        <v>100-5170-00</v>
      </c>
      <c r="H583" s="36"/>
      <c r="K583" t="str">
        <f>"""GP Direct"",""Fabrikam, Inc."",""GL20000"",""DEX_ROW_ID"",""12355"""</f>
        <v>"GP Direct","Fabrikam, Inc.","GL20000","DEX_ROW_ID","12355"</v>
      </c>
      <c r="L583" s="15">
        <v>42370</v>
      </c>
      <c r="M583">
        <v>2238</v>
      </c>
      <c r="N583" t="str">
        <f>"Lysaker, Jenny"</f>
        <v>Lysaker, Jenny</v>
      </c>
      <c r="O583" t="str">
        <f>"10669"</f>
        <v>10669</v>
      </c>
      <c r="P583" t="str">
        <f>"Payroll Computer Checks"</f>
        <v>Payroll Computer Checks</v>
      </c>
      <c r="Q583" s="21"/>
      <c r="R583" s="16">
        <v>9.5</v>
      </c>
      <c r="S583" s="16">
        <v>0</v>
      </c>
      <c r="T583" s="19">
        <f t="shared" si="58"/>
        <v>9.5</v>
      </c>
    </row>
    <row r="584" spans="1:20" x14ac:dyDescent="0.2">
      <c r="A584" s="28" t="s">
        <v>31</v>
      </c>
      <c r="B584" s="33"/>
      <c r="C584" s="33"/>
      <c r="F584" s="33">
        <f>F583</f>
        <v>201</v>
      </c>
      <c r="G584" s="33" t="str">
        <f>G583</f>
        <v>100-5170-00</v>
      </c>
      <c r="H584" s="36"/>
      <c r="K584" t="str">
        <f>"""GP Direct"",""Fabrikam, Inc."",""GL20000"",""DEX_ROW_ID"",""12363"""</f>
        <v>"GP Direct","Fabrikam, Inc.","GL20000","DEX_ROW_ID","12363"</v>
      </c>
      <c r="L584" s="15">
        <v>42370</v>
      </c>
      <c r="M584">
        <v>2239</v>
      </c>
      <c r="N584" t="str">
        <f>"Martinez, Sandra I."</f>
        <v>Martinez, Sandra I.</v>
      </c>
      <c r="O584" t="str">
        <f>"10670"</f>
        <v>10670</v>
      </c>
      <c r="P584" t="str">
        <f>"Payroll Computer Checks"</f>
        <v>Payroll Computer Checks</v>
      </c>
      <c r="Q584" s="21"/>
      <c r="R584" s="16">
        <v>10.34</v>
      </c>
      <c r="S584" s="16">
        <v>0</v>
      </c>
      <c r="T584" s="19">
        <f t="shared" si="58"/>
        <v>10.34</v>
      </c>
    </row>
    <row r="585" spans="1:20" x14ac:dyDescent="0.2">
      <c r="A585" s="28" t="s">
        <v>31</v>
      </c>
      <c r="B585" s="33"/>
      <c r="C585" s="33"/>
      <c r="F585" s="33">
        <f>F584</f>
        <v>201</v>
      </c>
      <c r="G585" s="33" t="str">
        <f>G584</f>
        <v>100-5170-00</v>
      </c>
      <c r="H585" s="36"/>
      <c r="K585" t="str">
        <f>"""GP Direct"",""Fabrikam, Inc."",""GL20000"",""DEX_ROW_ID"",""12377"""</f>
        <v>"GP Direct","Fabrikam, Inc.","GL20000","DEX_ROW_ID","12377"</v>
      </c>
      <c r="L585" s="15">
        <v>42370</v>
      </c>
      <c r="M585">
        <v>2240</v>
      </c>
      <c r="N585" t="str">
        <f>"Mughal, Salmon"</f>
        <v>Mughal, Salmon</v>
      </c>
      <c r="O585" t="str">
        <f>"10671"</f>
        <v>10671</v>
      </c>
      <c r="P585" t="str">
        <f>"Payroll Computer Checks"</f>
        <v>Payroll Computer Checks</v>
      </c>
      <c r="Q585" s="21"/>
      <c r="R585" s="16">
        <v>10.35</v>
      </c>
      <c r="S585" s="16">
        <v>0</v>
      </c>
      <c r="T585" s="19">
        <f t="shared" si="58"/>
        <v>10.35</v>
      </c>
    </row>
    <row r="586" spans="1:20" x14ac:dyDescent="0.2">
      <c r="A586" s="28" t="s">
        <v>31</v>
      </c>
      <c r="B586" s="33"/>
      <c r="C586" s="33"/>
      <c r="F586" s="33">
        <f>F585</f>
        <v>201</v>
      </c>
      <c r="G586" s="33" t="str">
        <f>G585</f>
        <v>100-5170-00</v>
      </c>
      <c r="H586" s="36"/>
      <c r="K586" t="str">
        <f>"""GP Direct"",""Fabrikam, Inc."",""GL20000"",""DEX_ROW_ID"",""12382"""</f>
        <v>"GP Direct","Fabrikam, Inc.","GL20000","DEX_ROW_ID","12382"</v>
      </c>
      <c r="L586" s="15">
        <v>42370</v>
      </c>
      <c r="M586">
        <v>2241</v>
      </c>
      <c r="N586" t="str">
        <f>"Nagata, Suanne"</f>
        <v>Nagata, Suanne</v>
      </c>
      <c r="O586" t="str">
        <f>"10672"</f>
        <v>10672</v>
      </c>
      <c r="P586" t="str">
        <f>"Payroll Computer Checks"</f>
        <v>Payroll Computer Checks</v>
      </c>
      <c r="Q586" s="21"/>
      <c r="R586" s="16">
        <v>12.23</v>
      </c>
      <c r="S586" s="16">
        <v>0</v>
      </c>
      <c r="T586" s="19">
        <f t="shared" si="58"/>
        <v>12.23</v>
      </c>
    </row>
    <row r="587" spans="1:20" x14ac:dyDescent="0.2">
      <c r="A587" s="28" t="s">
        <v>31</v>
      </c>
      <c r="B587" s="33"/>
      <c r="C587" s="33"/>
      <c r="F587" s="33">
        <f>F586</f>
        <v>201</v>
      </c>
      <c r="G587" s="33" t="str">
        <f>G586</f>
        <v>100-5170-00</v>
      </c>
      <c r="H587" s="36"/>
      <c r="K587" t="str">
        <f>"""GP Direct"",""Fabrikam, Inc."",""GL20000"",""DEX_ROW_ID"",""12389"""</f>
        <v>"GP Direct","Fabrikam, Inc.","GL20000","DEX_ROW_ID","12389"</v>
      </c>
      <c r="L587" s="15">
        <v>42370</v>
      </c>
      <c r="M587">
        <v>2242</v>
      </c>
      <c r="N587" t="str">
        <f>"Reeves, Randy"</f>
        <v>Reeves, Randy</v>
      </c>
      <c r="O587" t="str">
        <f>"10673"</f>
        <v>10673</v>
      </c>
      <c r="P587" t="str">
        <f>"Payroll Computer Checks"</f>
        <v>Payroll Computer Checks</v>
      </c>
      <c r="Q587" s="21"/>
      <c r="R587" s="16">
        <v>15.67</v>
      </c>
      <c r="S587" s="16">
        <v>0</v>
      </c>
      <c r="T587" s="19">
        <f t="shared" si="58"/>
        <v>15.67</v>
      </c>
    </row>
    <row r="588" spans="1:20" x14ac:dyDescent="0.2">
      <c r="A588" s="28" t="s">
        <v>31</v>
      </c>
      <c r="B588" s="33"/>
      <c r="C588" s="33"/>
      <c r="F588" s="33">
        <f>F587</f>
        <v>201</v>
      </c>
      <c r="G588" s="33" t="str">
        <f>G587</f>
        <v>100-5170-00</v>
      </c>
      <c r="H588" s="36"/>
      <c r="K588" t="str">
        <f>"""GP Direct"",""Fabrikam, Inc."",""GL20000"",""DEX_ROW_ID"",""12400"""</f>
        <v>"GP Direct","Fabrikam, Inc.","GL20000","DEX_ROW_ID","12400"</v>
      </c>
      <c r="L588" s="15">
        <v>42370</v>
      </c>
      <c r="M588">
        <v>2243</v>
      </c>
      <c r="N588" t="str">
        <f>"Stewart, Jim"</f>
        <v>Stewart, Jim</v>
      </c>
      <c r="O588" t="str">
        <f>"10674"</f>
        <v>10674</v>
      </c>
      <c r="P588" t="str">
        <f>"Payroll Computer Checks"</f>
        <v>Payroll Computer Checks</v>
      </c>
      <c r="Q588" s="21"/>
      <c r="R588" s="16">
        <v>26.69</v>
      </c>
      <c r="S588" s="16">
        <v>0</v>
      </c>
      <c r="T588" s="19">
        <f t="shared" si="58"/>
        <v>26.69</v>
      </c>
    </row>
    <row r="589" spans="1:20" x14ac:dyDescent="0.2">
      <c r="A589" s="28" t="s">
        <v>31</v>
      </c>
      <c r="B589" s="33"/>
      <c r="C589" s="33"/>
      <c r="F589" s="33">
        <f>F588</f>
        <v>201</v>
      </c>
      <c r="G589" s="33" t="str">
        <f>G588</f>
        <v>100-5170-00</v>
      </c>
      <c r="H589" s="36"/>
      <c r="K589" t="str">
        <f>"""GP Direct"",""Fabrikam, Inc."",""GL20000"",""DEX_ROW_ID"",""12412"""</f>
        <v>"GP Direct","Fabrikam, Inc.","GL20000","DEX_ROW_ID","12412"</v>
      </c>
      <c r="L589" s="15">
        <v>42370</v>
      </c>
      <c r="M589">
        <v>2244</v>
      </c>
      <c r="N589" t="str">
        <f>"Tiano, Mike"</f>
        <v>Tiano, Mike</v>
      </c>
      <c r="O589" t="str">
        <f>"10675"</f>
        <v>10675</v>
      </c>
      <c r="P589" t="str">
        <f>"Payroll Computer Checks"</f>
        <v>Payroll Computer Checks</v>
      </c>
      <c r="Q589" s="21"/>
      <c r="R589" s="16">
        <v>17.649999999999999</v>
      </c>
      <c r="S589" s="16">
        <v>0</v>
      </c>
      <c r="T589" s="19">
        <f t="shared" si="58"/>
        <v>17.649999999999999</v>
      </c>
    </row>
    <row r="590" spans="1:20" x14ac:dyDescent="0.2">
      <c r="A590" s="28" t="s">
        <v>31</v>
      </c>
      <c r="B590" s="33"/>
      <c r="C590" s="33"/>
      <c r="F590" s="33">
        <f>F589</f>
        <v>201</v>
      </c>
      <c r="G590" s="33" t="str">
        <f>G589</f>
        <v>100-5170-00</v>
      </c>
      <c r="H590" s="36"/>
      <c r="K590" t="str">
        <f>"""GP Direct"",""Fabrikam, Inc."",""GL20000"",""DEX_ROW_ID"",""12422"""</f>
        <v>"GP Direct","Fabrikam, Inc.","GL20000","DEX_ROW_ID","12422"</v>
      </c>
      <c r="L590" s="15">
        <v>42370</v>
      </c>
      <c r="M590">
        <v>2245</v>
      </c>
      <c r="N590" t="str">
        <f>"Tibbott, Diane"</f>
        <v>Tibbott, Diane</v>
      </c>
      <c r="O590" t="str">
        <f>"10676"</f>
        <v>10676</v>
      </c>
      <c r="P590" t="str">
        <f>"Payroll Computer Checks"</f>
        <v>Payroll Computer Checks</v>
      </c>
      <c r="Q590" s="21"/>
      <c r="R590" s="16">
        <v>13.22</v>
      </c>
      <c r="S590" s="16">
        <v>0</v>
      </c>
      <c r="T590" s="19">
        <f t="shared" si="58"/>
        <v>13.22</v>
      </c>
    </row>
    <row r="591" spans="1:20" x14ac:dyDescent="0.2">
      <c r="A591" s="28" t="s">
        <v>31</v>
      </c>
      <c r="B591" s="33"/>
      <c r="C591" s="33"/>
      <c r="F591" s="33">
        <f>F590</f>
        <v>201</v>
      </c>
      <c r="G591" s="33" t="str">
        <f>G590</f>
        <v>100-5170-00</v>
      </c>
      <c r="H591" s="36"/>
      <c r="K591" t="str">
        <f>"""GP Direct"",""Fabrikam, Inc."",""GL20000"",""DEX_ROW_ID"",""12429"""</f>
        <v>"GP Direct","Fabrikam, Inc.","GL20000","DEX_ROW_ID","12429"</v>
      </c>
      <c r="L591" s="15">
        <v>42370</v>
      </c>
      <c r="M591">
        <v>2246</v>
      </c>
      <c r="N591" t="str">
        <f>"West, Paul"</f>
        <v>West, Paul</v>
      </c>
      <c r="O591" t="str">
        <f>"10677"</f>
        <v>10677</v>
      </c>
      <c r="P591" t="str">
        <f>"Payroll Computer Checks"</f>
        <v>Payroll Computer Checks</v>
      </c>
      <c r="Q591" s="21"/>
      <c r="R591" s="16">
        <v>13.73</v>
      </c>
      <c r="S591" s="16">
        <v>0</v>
      </c>
      <c r="T591" s="19">
        <f t="shared" si="58"/>
        <v>13.73</v>
      </c>
    </row>
    <row r="592" spans="1:20" x14ac:dyDescent="0.2">
      <c r="A592" s="28" t="s">
        <v>31</v>
      </c>
      <c r="B592" s="33"/>
      <c r="C592" s="33"/>
      <c r="F592" s="33">
        <f>F591</f>
        <v>201</v>
      </c>
      <c r="G592" s="33" t="str">
        <f>G591</f>
        <v>100-5170-00</v>
      </c>
      <c r="H592" s="36"/>
      <c r="K592" t="str">
        <f>"""GP Direct"",""Fabrikam, Inc."",""GL20000"",""DEX_ROW_ID"",""12437"""</f>
        <v>"GP Direct","Fabrikam, Inc.","GL20000","DEX_ROW_ID","12437"</v>
      </c>
      <c r="L592" s="15">
        <v>42370</v>
      </c>
      <c r="M592">
        <v>2247</v>
      </c>
      <c r="N592" t="str">
        <f>"Young, Rob"</f>
        <v>Young, Rob</v>
      </c>
      <c r="O592" t="str">
        <f>"10678"</f>
        <v>10678</v>
      </c>
      <c r="P592" t="str">
        <f>"Payroll Computer Checks"</f>
        <v>Payroll Computer Checks</v>
      </c>
      <c r="Q592" s="21"/>
      <c r="R592" s="16">
        <v>11.52</v>
      </c>
      <c r="S592" s="16">
        <v>0</v>
      </c>
      <c r="T592" s="19">
        <f t="shared" si="58"/>
        <v>11.52</v>
      </c>
    </row>
    <row r="593" spans="1:20" x14ac:dyDescent="0.2">
      <c r="A593" s="28" t="s">
        <v>31</v>
      </c>
      <c r="B593" s="33"/>
      <c r="C593" s="33"/>
      <c r="F593" s="33">
        <f>F565</f>
        <v>201</v>
      </c>
      <c r="G593" s="33" t="str">
        <f>G565</f>
        <v>100-5170-00</v>
      </c>
      <c r="H593" s="36"/>
    </row>
    <row r="594" spans="1:20" x14ac:dyDescent="0.2">
      <c r="A594" s="28" t="s">
        <v>31</v>
      </c>
      <c r="I594" s="37" t="str">
        <f>I563&amp;"   "&amp;J563&amp;"         Total:"</f>
        <v>100-5170-00   Payroll Taxes - Administration         Total:</v>
      </c>
      <c r="J594" s="37"/>
      <c r="K594" s="37"/>
      <c r="L594" s="37"/>
      <c r="M594" s="37"/>
      <c r="N594" s="37"/>
      <c r="O594" s="37"/>
      <c r="P594" s="37"/>
      <c r="Q594" s="37"/>
      <c r="R594" s="37"/>
      <c r="S594" s="37"/>
      <c r="T594" s="23">
        <f t="shared" ref="T594" si="59">SUBTOTAL(9,T564:T593)</f>
        <v>647.52</v>
      </c>
    </row>
    <row r="595" spans="1:20" x14ac:dyDescent="0.2">
      <c r="A595" s="28" t="s">
        <v>31</v>
      </c>
    </row>
    <row r="596" spans="1:20" x14ac:dyDescent="0.2">
      <c r="A596" s="28" t="s">
        <v>31</v>
      </c>
      <c r="D596" s="28" t="str">
        <f>"||""Filter"",""GL20000"",""ACTINDX"",""TRXDATE"",""1/1/2016..1/31/2016"",""ACTINDX"",""||""""Filter"""",""""GL00105"""",""""ACTINDX"""",""""ACTNUMBR_1"""",""""*"""",""""ACTNUMBR_2"""",""""*"""",""""ACTNUMBR_3"""",""""*"""","""""""","""""""","""""""","""""""","""""""","""""""","""""""","""""""","""""""","""""""","""""""","""""""","""""""","""""""""","""","""","""","""&amp;""","""","""","""","""","""","""","""","""","""","""","""","""""</f>
        <v>||"Filter","GL20000","ACTINDX","TRXDATE","1/1/2016..1/31/2016","ACTINDX","||""Filter"",""GL00105"",""ACTINDX"",""ACTNUMBR_1"",""*"",""ACTNUMBR_2"",""*"",""ACTNUMBR_3"",""*"","""","""","""","""","""","""","""","""","""","""","""","""","""",""""","","","","","","","","","","","","","","","",""</v>
      </c>
      <c r="E596" s="28" t="str">
        <f>"||""Filter"",""GL30000"",""ACTINDX"",""TRXDATE"",""1/1/2016..1/31/2016"",""ACTINDX"",""||""""Filter"""",""""GL00105"""",""""ACTINDX"""",""""ACTNUMBR_1"""",""""*"""",""""ACTNUMBR_2"""",""""*"""",""""ACTNUMBR_3"""",""""*"""","""""""","""""""","""""""","""""""","""""""","""""""","""""""","""""""","""""""","""""""","""""""","""""""","""""""","""""""""","""","""","""","""&amp;""","""","""","""","""","""","""","""","""","""","""","""","""""</f>
        <v>||"Filter","GL30000","ACTINDX","TRXDATE","1/1/2016..1/31/2016","ACTINDX","||""Filter"",""GL00105"",""ACTINDX"",""ACTNUMBR_1"",""*"",""ACTNUMBR_2"",""*"",""ACTNUMBR_3"",""*"","""","""","""","""","""","""","""","""","""","""","""","""","""",""""","","","","","","","","","","","","","","","",""</v>
      </c>
      <c r="F596" s="28">
        <v>222</v>
      </c>
      <c r="G596" s="28" t="str">
        <f>"200-5170-00"</f>
        <v>200-5170-00</v>
      </c>
      <c r="I596" s="17" t="str">
        <f>G596</f>
        <v>200-5170-00</v>
      </c>
      <c r="J596" s="17" t="str">
        <f>"Payroll Taxes - Accounting"</f>
        <v>Payroll Taxes - Accounting</v>
      </c>
      <c r="Q596" s="17"/>
      <c r="R596" s="18"/>
    </row>
    <row r="597" spans="1:20" x14ac:dyDescent="0.2">
      <c r="A597" s="28" t="s">
        <v>31</v>
      </c>
      <c r="B597" s="33"/>
      <c r="C597" s="33"/>
      <c r="F597" s="33">
        <f>F596</f>
        <v>222</v>
      </c>
      <c r="G597" s="33" t="str">
        <f>G596</f>
        <v>200-5170-00</v>
      </c>
      <c r="H597" s="36"/>
      <c r="L597" s="15"/>
      <c r="Q597" s="21"/>
      <c r="R597" s="16"/>
      <c r="S597" s="16">
        <f>IF($K597="",0,-_xll.NF($K597,"CRDTAMNT"))</f>
        <v>0</v>
      </c>
      <c r="T597" s="19">
        <f t="shared" ref="T597:T598" si="60">SUM(R597:S597)</f>
        <v>0</v>
      </c>
    </row>
    <row r="598" spans="1:20" x14ac:dyDescent="0.2">
      <c r="A598" s="28" t="s">
        <v>31</v>
      </c>
      <c r="B598" s="33"/>
      <c r="C598" s="33"/>
      <c r="F598" s="33">
        <f>F597</f>
        <v>222</v>
      </c>
      <c r="G598" s="33" t="str">
        <f>G597</f>
        <v>200-5170-00</v>
      </c>
      <c r="H598" s="36"/>
      <c r="K598" t="str">
        <f>"""GP Direct"",""Fabrikam, Inc."",""GL20000"",""DEX_ROW_ID"",""12197"""</f>
        <v>"GP Direct","Fabrikam, Inc.","GL20000","DEX_ROW_ID","12197"</v>
      </c>
      <c r="L598" s="15">
        <v>42370</v>
      </c>
      <c r="M598">
        <v>2220</v>
      </c>
      <c r="N598" t="str">
        <f>"Ackerman, Pilar"</f>
        <v>Ackerman, Pilar</v>
      </c>
      <c r="O598" t="str">
        <f>"DD000000000000000073"</f>
        <v>DD000000000000000073</v>
      </c>
      <c r="P598" t="str">
        <f>"Payroll Computer Checks"</f>
        <v>Payroll Computer Checks</v>
      </c>
      <c r="Q598" s="21"/>
      <c r="R598" s="16">
        <v>83.36</v>
      </c>
      <c r="S598" s="16">
        <v>0</v>
      </c>
      <c r="T598" s="19">
        <f t="shared" si="60"/>
        <v>83.36</v>
      </c>
    </row>
    <row r="599" spans="1:20" x14ac:dyDescent="0.2">
      <c r="A599" s="28" t="s">
        <v>31</v>
      </c>
      <c r="B599" s="33"/>
      <c r="C599" s="33"/>
      <c r="F599" s="33">
        <f>F598</f>
        <v>222</v>
      </c>
      <c r="G599" s="33" t="str">
        <f>G598</f>
        <v>200-5170-00</v>
      </c>
      <c r="H599" s="36"/>
      <c r="K599" t="str">
        <f>"""GP Direct"",""Fabrikam, Inc."",""GL20000"",""DEX_ROW_ID"",""12203"""</f>
        <v>"GP Direct","Fabrikam, Inc.","GL20000","DEX_ROW_ID","12203"</v>
      </c>
      <c r="L599" s="15">
        <v>42370</v>
      </c>
      <c r="M599">
        <v>2221</v>
      </c>
      <c r="N599" t="str">
        <f>"Barbariol, Angela"</f>
        <v>Barbariol, Angela</v>
      </c>
      <c r="O599" t="str">
        <f>"DD000000000000000074"</f>
        <v>DD000000000000000074</v>
      </c>
      <c r="P599" t="str">
        <f>"Payroll Computer Checks"</f>
        <v>Payroll Computer Checks</v>
      </c>
      <c r="Q599" s="21"/>
      <c r="R599" s="16">
        <v>93.23</v>
      </c>
      <c r="S599" s="16">
        <v>0</v>
      </c>
      <c r="T599" s="19">
        <f t="shared" ref="T599:T625" si="61">SUM(R599:S599)</f>
        <v>93.23</v>
      </c>
    </row>
    <row r="600" spans="1:20" x14ac:dyDescent="0.2">
      <c r="A600" s="28" t="s">
        <v>31</v>
      </c>
      <c r="B600" s="33"/>
      <c r="C600" s="33"/>
      <c r="F600" s="33">
        <f>F599</f>
        <v>222</v>
      </c>
      <c r="G600" s="33" t="str">
        <f>G599</f>
        <v>200-5170-00</v>
      </c>
      <c r="H600" s="36"/>
      <c r="K600" t="str">
        <f>"""GP Direct"",""Fabrikam, Inc."",""GL20000"",""DEX_ROW_ID"",""12215"""</f>
        <v>"GP Direct","Fabrikam, Inc.","GL20000","DEX_ROW_ID","12215"</v>
      </c>
      <c r="L600" s="15">
        <v>42370</v>
      </c>
      <c r="M600">
        <v>2222</v>
      </c>
      <c r="N600" t="str">
        <f>"Barr, Adam"</f>
        <v>Barr, Adam</v>
      </c>
      <c r="O600" t="str">
        <f>"10654"</f>
        <v>10654</v>
      </c>
      <c r="P600" t="str">
        <f>"Payroll Computer Checks"</f>
        <v>Payroll Computer Checks</v>
      </c>
      <c r="Q600" s="21"/>
      <c r="R600" s="16">
        <v>104.8</v>
      </c>
      <c r="S600" s="16">
        <v>0</v>
      </c>
      <c r="T600" s="19">
        <f t="shared" si="61"/>
        <v>104.8</v>
      </c>
    </row>
    <row r="601" spans="1:20" x14ac:dyDescent="0.2">
      <c r="A601" s="28" t="s">
        <v>31</v>
      </c>
      <c r="B601" s="33"/>
      <c r="C601" s="33"/>
      <c r="F601" s="33">
        <f>F600</f>
        <v>222</v>
      </c>
      <c r="G601" s="33" t="str">
        <f>G600</f>
        <v>200-5170-00</v>
      </c>
      <c r="H601" s="36"/>
      <c r="K601" t="str">
        <f>"""GP Direct"",""Fabrikam, Inc."",""GL20000"",""DEX_ROW_ID"",""12225"""</f>
        <v>"GP Direct","Fabrikam, Inc.","GL20000","DEX_ROW_ID","12225"</v>
      </c>
      <c r="L601" s="15">
        <v>42370</v>
      </c>
      <c r="M601">
        <v>2223</v>
      </c>
      <c r="N601" t="str">
        <f>"Bonifaz, Luis"</f>
        <v>Bonifaz, Luis</v>
      </c>
      <c r="O601" t="str">
        <f>"DD000000000000000075"</f>
        <v>DD000000000000000075</v>
      </c>
      <c r="P601" t="str">
        <f>"Payroll Computer Checks"</f>
        <v>Payroll Computer Checks</v>
      </c>
      <c r="Q601" s="21"/>
      <c r="R601" s="16">
        <v>73.55</v>
      </c>
      <c r="S601" s="16">
        <v>0</v>
      </c>
      <c r="T601" s="19">
        <f t="shared" si="61"/>
        <v>73.55</v>
      </c>
    </row>
    <row r="602" spans="1:20" x14ac:dyDescent="0.2">
      <c r="A602" s="28" t="s">
        <v>31</v>
      </c>
      <c r="B602" s="33"/>
      <c r="C602" s="33"/>
      <c r="F602" s="33">
        <f>F601</f>
        <v>222</v>
      </c>
      <c r="G602" s="33" t="str">
        <f>G601</f>
        <v>200-5170-00</v>
      </c>
      <c r="H602" s="36"/>
      <c r="K602" t="str">
        <f>"""GP Direct"",""Fabrikam, Inc."",""GL20000"",""DEX_ROW_ID"",""12232"""</f>
        <v>"GP Direct","Fabrikam, Inc.","GL20000","DEX_ROW_ID","12232"</v>
      </c>
      <c r="L602" s="15">
        <v>42370</v>
      </c>
      <c r="M602">
        <v>2224</v>
      </c>
      <c r="N602" t="str">
        <f>"Buchanan, Nancy"</f>
        <v>Buchanan, Nancy</v>
      </c>
      <c r="O602" t="str">
        <f>"10655"</f>
        <v>10655</v>
      </c>
      <c r="P602" t="str">
        <f>"Payroll Computer Checks"</f>
        <v>Payroll Computer Checks</v>
      </c>
      <c r="Q602" s="21"/>
      <c r="R602" s="16">
        <v>593.86</v>
      </c>
      <c r="S602" s="16">
        <v>0</v>
      </c>
      <c r="T602" s="19">
        <f t="shared" si="61"/>
        <v>593.86</v>
      </c>
    </row>
    <row r="603" spans="1:20" x14ac:dyDescent="0.2">
      <c r="A603" s="28" t="s">
        <v>31</v>
      </c>
      <c r="B603" s="33"/>
      <c r="C603" s="33"/>
      <c r="F603" s="33">
        <f>F602</f>
        <v>222</v>
      </c>
      <c r="G603" s="33" t="str">
        <f>G602</f>
        <v>200-5170-00</v>
      </c>
      <c r="H603" s="36"/>
      <c r="K603" t="str">
        <f>"""GP Direct"",""Fabrikam, Inc."",""GL20000"",""DEX_ROW_ID"",""12241"""</f>
        <v>"GP Direct","Fabrikam, Inc.","GL20000","DEX_ROW_ID","12241"</v>
      </c>
      <c r="L603" s="15">
        <v>42370</v>
      </c>
      <c r="M603">
        <v>2225</v>
      </c>
      <c r="N603" t="str">
        <f>"Chen, John Y."</f>
        <v>Chen, John Y.</v>
      </c>
      <c r="O603" t="str">
        <f>"10656"</f>
        <v>10656</v>
      </c>
      <c r="P603" t="str">
        <f>"Payroll Computer Checks"</f>
        <v>Payroll Computer Checks</v>
      </c>
      <c r="Q603" s="21"/>
      <c r="R603" s="16">
        <v>42.56</v>
      </c>
      <c r="S603" s="16">
        <v>0</v>
      </c>
      <c r="T603" s="19">
        <f t="shared" si="61"/>
        <v>42.56</v>
      </c>
    </row>
    <row r="604" spans="1:20" x14ac:dyDescent="0.2">
      <c r="A604" s="28" t="s">
        <v>31</v>
      </c>
      <c r="B604" s="33"/>
      <c r="C604" s="33"/>
      <c r="F604" s="33">
        <f>F603</f>
        <v>222</v>
      </c>
      <c r="G604" s="33" t="str">
        <f>G603</f>
        <v>200-5170-00</v>
      </c>
      <c r="H604" s="36"/>
      <c r="K604" t="str">
        <f>"""GP Direct"",""Fabrikam, Inc."",""GL20000"",""DEX_ROW_ID"",""12252"""</f>
        <v>"GP Direct","Fabrikam, Inc.","GL20000","DEX_ROW_ID","12252"</v>
      </c>
      <c r="L604" s="15">
        <v>42370</v>
      </c>
      <c r="M604">
        <v>2226</v>
      </c>
      <c r="N604" t="str">
        <f>"Clayton, Jane"</f>
        <v>Clayton, Jane</v>
      </c>
      <c r="O604" t="str">
        <f>"10657"</f>
        <v>10657</v>
      </c>
      <c r="P604" t="str">
        <f>"Payroll Computer Checks"</f>
        <v>Payroll Computer Checks</v>
      </c>
      <c r="Q604" s="21"/>
      <c r="R604" s="16">
        <v>78.09</v>
      </c>
      <c r="S604" s="16">
        <v>0</v>
      </c>
      <c r="T604" s="19">
        <f t="shared" si="61"/>
        <v>78.09</v>
      </c>
    </row>
    <row r="605" spans="1:20" x14ac:dyDescent="0.2">
      <c r="A605" s="28" t="s">
        <v>31</v>
      </c>
      <c r="B605" s="33"/>
      <c r="C605" s="33"/>
      <c r="F605" s="33">
        <f>F604</f>
        <v>222</v>
      </c>
      <c r="G605" s="33" t="str">
        <f>G604</f>
        <v>200-5170-00</v>
      </c>
      <c r="H605" s="36"/>
      <c r="K605" t="str">
        <f>"""GP Direct"",""Fabrikam, Inc."",""GL20000"",""DEX_ROW_ID"",""12258"""</f>
        <v>"GP Direct","Fabrikam, Inc.","GL20000","DEX_ROW_ID","12258"</v>
      </c>
      <c r="L605" s="15">
        <v>42370</v>
      </c>
      <c r="M605">
        <v>2227</v>
      </c>
      <c r="N605" t="str">
        <f>"Delaney, Aidan"</f>
        <v>Delaney, Aidan</v>
      </c>
      <c r="O605" t="str">
        <f>"10658"</f>
        <v>10658</v>
      </c>
      <c r="P605" t="str">
        <f>"Payroll Computer Checks"</f>
        <v>Payroll Computer Checks</v>
      </c>
      <c r="Q605" s="21"/>
      <c r="R605" s="16">
        <v>45.38</v>
      </c>
      <c r="S605" s="16">
        <v>0</v>
      </c>
      <c r="T605" s="19">
        <f t="shared" si="61"/>
        <v>45.38</v>
      </c>
    </row>
    <row r="606" spans="1:20" x14ac:dyDescent="0.2">
      <c r="A606" s="28" t="s">
        <v>31</v>
      </c>
      <c r="B606" s="33"/>
      <c r="C606" s="33"/>
      <c r="F606" s="33">
        <f>F605</f>
        <v>222</v>
      </c>
      <c r="G606" s="33" t="str">
        <f>G605</f>
        <v>200-5170-00</v>
      </c>
      <c r="H606" s="36"/>
      <c r="K606" t="str">
        <f>"""GP Direct"",""Fabrikam, Inc."",""GL20000"",""DEX_ROW_ID"",""12262"""</f>
        <v>"GP Direct","Fabrikam, Inc.","GL20000","DEX_ROW_ID","12262"</v>
      </c>
      <c r="L606" s="15">
        <v>42370</v>
      </c>
      <c r="M606">
        <v>2228</v>
      </c>
      <c r="N606" t="str">
        <f>"Diaz, Brenda"</f>
        <v>Diaz, Brenda</v>
      </c>
      <c r="O606" t="str">
        <f>"10659"</f>
        <v>10659</v>
      </c>
      <c r="P606" t="str">
        <f>"Payroll Computer Checks"</f>
        <v>Payroll Computer Checks</v>
      </c>
      <c r="Q606" s="21"/>
      <c r="R606" s="16">
        <v>116.38</v>
      </c>
      <c r="S606" s="16">
        <v>0</v>
      </c>
      <c r="T606" s="19">
        <f t="shared" si="61"/>
        <v>116.38</v>
      </c>
    </row>
    <row r="607" spans="1:20" x14ac:dyDescent="0.2">
      <c r="A607" s="28" t="s">
        <v>31</v>
      </c>
      <c r="B607" s="33"/>
      <c r="C607" s="33"/>
      <c r="F607" s="33">
        <f>F606</f>
        <v>222</v>
      </c>
      <c r="G607" s="33" t="str">
        <f>G606</f>
        <v>200-5170-00</v>
      </c>
      <c r="H607" s="36"/>
      <c r="K607" t="str">
        <f>"""GP Direct"",""Fabrikam, Inc."",""GL20000"",""DEX_ROW_ID"",""12275"""</f>
        <v>"GP Direct","Fabrikam, Inc.","GL20000","DEX_ROW_ID","12275"</v>
      </c>
      <c r="L607" s="15">
        <v>42370</v>
      </c>
      <c r="M607">
        <v>2229</v>
      </c>
      <c r="N607" t="str">
        <f>"Doyle, Jenny"</f>
        <v>Doyle, Jenny</v>
      </c>
      <c r="O607" t="str">
        <f>"10660"</f>
        <v>10660</v>
      </c>
      <c r="P607" t="str">
        <f>"Payroll Computer Checks"</f>
        <v>Payroll Computer Checks</v>
      </c>
      <c r="Q607" s="21"/>
      <c r="R607" s="16">
        <v>54.93</v>
      </c>
      <c r="S607" s="16">
        <v>0</v>
      </c>
      <c r="T607" s="19">
        <f t="shared" si="61"/>
        <v>54.93</v>
      </c>
    </row>
    <row r="608" spans="1:20" x14ac:dyDescent="0.2">
      <c r="A608" s="28" t="s">
        <v>31</v>
      </c>
      <c r="B608" s="33"/>
      <c r="C608" s="33"/>
      <c r="F608" s="33">
        <f>F607</f>
        <v>222</v>
      </c>
      <c r="G608" s="33" t="str">
        <f>G607</f>
        <v>200-5170-00</v>
      </c>
      <c r="H608" s="36"/>
      <c r="K608" t="str">
        <f>"""GP Direct"",""Fabrikam, Inc."",""GL20000"",""DEX_ROW_ID"",""12284"""</f>
        <v>"GP Direct","Fabrikam, Inc.","GL20000","DEX_ROW_ID","12284"</v>
      </c>
      <c r="L608" s="15">
        <v>42370</v>
      </c>
      <c r="M608">
        <v>2230</v>
      </c>
      <c r="N608" t="str">
        <f>"Erickson, Gregory J."</f>
        <v>Erickson, Gregory J.</v>
      </c>
      <c r="O608" t="str">
        <f>"10661"</f>
        <v>10661</v>
      </c>
      <c r="P608" t="str">
        <f>"Payroll Computer Checks"</f>
        <v>Payroll Computer Checks</v>
      </c>
      <c r="Q608" s="21"/>
      <c r="R608" s="16">
        <v>405.79</v>
      </c>
      <c r="S608" s="16">
        <v>0</v>
      </c>
      <c r="T608" s="19">
        <f t="shared" si="61"/>
        <v>405.79</v>
      </c>
    </row>
    <row r="609" spans="1:20" x14ac:dyDescent="0.2">
      <c r="A609" s="28" t="s">
        <v>31</v>
      </c>
      <c r="B609" s="33"/>
      <c r="C609" s="33"/>
      <c r="F609" s="33">
        <f>F608</f>
        <v>222</v>
      </c>
      <c r="G609" s="33" t="str">
        <f>G608</f>
        <v>200-5170-00</v>
      </c>
      <c r="H609" s="36"/>
      <c r="K609" t="str">
        <f>"""GP Direct"",""Fabrikam, Inc."",""GL20000"",""DEX_ROW_ID"",""12292"""</f>
        <v>"GP Direct","Fabrikam, Inc.","GL20000","DEX_ROW_ID","12292"</v>
      </c>
      <c r="L609" s="15">
        <v>42370</v>
      </c>
      <c r="M609">
        <v>2231</v>
      </c>
      <c r="N609" t="str">
        <f>"Flood, Kathie"</f>
        <v>Flood, Kathie</v>
      </c>
      <c r="O609" t="str">
        <f>"10662"</f>
        <v>10662</v>
      </c>
      <c r="P609" t="str">
        <f>"Payroll Computer Checks"</f>
        <v>Payroll Computer Checks</v>
      </c>
      <c r="Q609" s="21"/>
      <c r="R609" s="16">
        <v>50.81</v>
      </c>
      <c r="S609" s="16">
        <v>0</v>
      </c>
      <c r="T609" s="19">
        <f t="shared" si="61"/>
        <v>50.81</v>
      </c>
    </row>
    <row r="610" spans="1:20" x14ac:dyDescent="0.2">
      <c r="A610" s="28" t="s">
        <v>31</v>
      </c>
      <c r="B610" s="33"/>
      <c r="C610" s="33"/>
      <c r="F610" s="33">
        <f>F609</f>
        <v>222</v>
      </c>
      <c r="G610" s="33" t="str">
        <f>G609</f>
        <v>200-5170-00</v>
      </c>
      <c r="H610" s="36"/>
      <c r="K610" t="str">
        <f>"""GP Direct"",""Fabrikam, Inc."",""GL20000"",""DEX_ROW_ID"",""12302"""</f>
        <v>"GP Direct","Fabrikam, Inc.","GL20000","DEX_ROW_ID","12302"</v>
      </c>
      <c r="L610" s="15">
        <v>42370</v>
      </c>
      <c r="M610">
        <v>2232</v>
      </c>
      <c r="N610" t="str">
        <f>"Harui, Roger"</f>
        <v>Harui, Roger</v>
      </c>
      <c r="O610" t="str">
        <f>"10663"</f>
        <v>10663</v>
      </c>
      <c r="P610" t="str">
        <f>"Payroll Computer Checks"</f>
        <v>Payroll Computer Checks</v>
      </c>
      <c r="Q610" s="21"/>
      <c r="R610" s="16">
        <v>121.25</v>
      </c>
      <c r="S610" s="16">
        <v>0</v>
      </c>
      <c r="T610" s="19">
        <f t="shared" si="61"/>
        <v>121.25</v>
      </c>
    </row>
    <row r="611" spans="1:20" x14ac:dyDescent="0.2">
      <c r="A611" s="28" t="s">
        <v>31</v>
      </c>
      <c r="B611" s="33"/>
      <c r="C611" s="33"/>
      <c r="F611" s="33">
        <f>F610</f>
        <v>222</v>
      </c>
      <c r="G611" s="33" t="str">
        <f>G610</f>
        <v>200-5170-00</v>
      </c>
      <c r="H611" s="36"/>
      <c r="K611" t="str">
        <f>"""GP Direct"",""Fabrikam, Inc."",""GL20000"",""DEX_ROW_ID"",""12315"""</f>
        <v>"GP Direct","Fabrikam, Inc.","GL20000","DEX_ROW_ID","12315"</v>
      </c>
      <c r="L611" s="15">
        <v>42370</v>
      </c>
      <c r="M611">
        <v>2233</v>
      </c>
      <c r="N611" t="str">
        <f>"Jamison, Jay"</f>
        <v>Jamison, Jay</v>
      </c>
      <c r="O611" t="str">
        <f>"10664"</f>
        <v>10664</v>
      </c>
      <c r="P611" t="str">
        <f>"Payroll Computer Checks"</f>
        <v>Payroll Computer Checks</v>
      </c>
      <c r="Q611" s="21"/>
      <c r="R611" s="16">
        <v>83.65</v>
      </c>
      <c r="S611" s="16">
        <v>0</v>
      </c>
      <c r="T611" s="19">
        <f t="shared" si="61"/>
        <v>83.65</v>
      </c>
    </row>
    <row r="612" spans="1:20" x14ac:dyDescent="0.2">
      <c r="A612" s="28" t="s">
        <v>31</v>
      </c>
      <c r="B612" s="33"/>
      <c r="C612" s="33"/>
      <c r="F612" s="33">
        <f>F611</f>
        <v>222</v>
      </c>
      <c r="G612" s="33" t="str">
        <f>G611</f>
        <v>200-5170-00</v>
      </c>
      <c r="H612" s="36"/>
      <c r="K612" t="str">
        <f>"""GP Direct"",""Fabrikam, Inc."",""GL20000"",""DEX_ROW_ID"",""12317"""</f>
        <v>"GP Direct","Fabrikam, Inc.","GL20000","DEX_ROW_ID","12317"</v>
      </c>
      <c r="L612" s="15">
        <v>42370</v>
      </c>
      <c r="M612">
        <v>2234</v>
      </c>
      <c r="N612" t="str">
        <f>"Kahn, Wendy B."</f>
        <v>Kahn, Wendy B.</v>
      </c>
      <c r="O612" t="str">
        <f>"10665"</f>
        <v>10665</v>
      </c>
      <c r="P612" t="str">
        <f>"Payroll Computer Checks"</f>
        <v>Payroll Computer Checks</v>
      </c>
      <c r="Q612" s="21"/>
      <c r="R612" s="16">
        <v>42.14</v>
      </c>
      <c r="S612" s="16">
        <v>0</v>
      </c>
      <c r="T612" s="19">
        <f t="shared" si="61"/>
        <v>42.14</v>
      </c>
    </row>
    <row r="613" spans="1:20" x14ac:dyDescent="0.2">
      <c r="A613" s="28" t="s">
        <v>31</v>
      </c>
      <c r="B613" s="33"/>
      <c r="C613" s="33"/>
      <c r="F613" s="33">
        <f>F612</f>
        <v>222</v>
      </c>
      <c r="G613" s="33" t="str">
        <f>G612</f>
        <v>200-5170-00</v>
      </c>
      <c r="H613" s="36"/>
      <c r="K613" t="str">
        <f>"""GP Direct"",""Fabrikam, Inc."",""GL20000"",""DEX_ROW_ID"",""12333"""</f>
        <v>"GP Direct","Fabrikam, Inc.","GL20000","DEX_ROW_ID","12333"</v>
      </c>
      <c r="L613" s="15">
        <v>42370</v>
      </c>
      <c r="M613">
        <v>2235</v>
      </c>
      <c r="N613" t="str">
        <f>"Kennedy, Kevin"</f>
        <v>Kennedy, Kevin</v>
      </c>
      <c r="O613" t="str">
        <f>"10666"</f>
        <v>10666</v>
      </c>
      <c r="P613" t="str">
        <f>"Payroll Computer Checks"</f>
        <v>Payroll Computer Checks</v>
      </c>
      <c r="Q613" s="21"/>
      <c r="R613" s="16">
        <v>59.18</v>
      </c>
      <c r="S613" s="16">
        <v>0</v>
      </c>
      <c r="T613" s="19">
        <f t="shared" si="61"/>
        <v>59.18</v>
      </c>
    </row>
    <row r="614" spans="1:20" x14ac:dyDescent="0.2">
      <c r="A614" s="28" t="s">
        <v>31</v>
      </c>
      <c r="B614" s="33"/>
      <c r="C614" s="33"/>
      <c r="F614" s="33">
        <f>F613</f>
        <v>222</v>
      </c>
      <c r="G614" s="33" t="str">
        <f>G613</f>
        <v>200-5170-00</v>
      </c>
      <c r="H614" s="36"/>
      <c r="K614" t="str">
        <f>"""GP Direct"",""Fabrikam, Inc."",""GL20000"",""DEX_ROW_ID"",""12341"""</f>
        <v>"GP Direct","Fabrikam, Inc.","GL20000","DEX_ROW_ID","12341"</v>
      </c>
      <c r="L614" s="15">
        <v>42370</v>
      </c>
      <c r="M614">
        <v>2236</v>
      </c>
      <c r="N614" t="str">
        <f>"Levy, Steven B."</f>
        <v>Levy, Steven B.</v>
      </c>
      <c r="O614" t="str">
        <f>"10667"</f>
        <v>10667</v>
      </c>
      <c r="P614" t="str">
        <f>"Payroll Computer Checks"</f>
        <v>Payroll Computer Checks</v>
      </c>
      <c r="Q614" s="21"/>
      <c r="R614" s="16">
        <v>72.55</v>
      </c>
      <c r="S614" s="16">
        <v>0</v>
      </c>
      <c r="T614" s="19">
        <f t="shared" si="61"/>
        <v>72.55</v>
      </c>
    </row>
    <row r="615" spans="1:20" x14ac:dyDescent="0.2">
      <c r="A615" s="28" t="s">
        <v>31</v>
      </c>
      <c r="B615" s="33"/>
      <c r="C615" s="33"/>
      <c r="F615" s="33">
        <f>F614</f>
        <v>222</v>
      </c>
      <c r="G615" s="33" t="str">
        <f>G614</f>
        <v>200-5170-00</v>
      </c>
      <c r="H615" s="36"/>
      <c r="K615" t="str">
        <f>"""GP Direct"",""Fabrikam, Inc."",""GL20000"",""DEX_ROW_ID"",""12351"""</f>
        <v>"GP Direct","Fabrikam, Inc.","GL20000","DEX_ROW_ID","12351"</v>
      </c>
      <c r="L615" s="15">
        <v>42370</v>
      </c>
      <c r="M615">
        <v>2237</v>
      </c>
      <c r="N615" t="str">
        <f>"Lyon, Robert"</f>
        <v>Lyon, Robert</v>
      </c>
      <c r="O615" t="str">
        <f>"10668"</f>
        <v>10668</v>
      </c>
      <c r="P615" t="str">
        <f>"Payroll Computer Checks"</f>
        <v>Payroll Computer Checks</v>
      </c>
      <c r="Q615" s="21"/>
      <c r="R615" s="16">
        <v>44.72</v>
      </c>
      <c r="S615" s="16">
        <v>0</v>
      </c>
      <c r="T615" s="19">
        <f t="shared" si="61"/>
        <v>44.72</v>
      </c>
    </row>
    <row r="616" spans="1:20" x14ac:dyDescent="0.2">
      <c r="A616" s="28" t="s">
        <v>31</v>
      </c>
      <c r="B616" s="33"/>
      <c r="C616" s="33"/>
      <c r="F616" s="33">
        <f>F615</f>
        <v>222</v>
      </c>
      <c r="G616" s="33" t="str">
        <f>G615</f>
        <v>200-5170-00</v>
      </c>
      <c r="H616" s="36"/>
      <c r="K616" t="str">
        <f>"""GP Direct"",""Fabrikam, Inc."",""GL20000"",""DEX_ROW_ID"",""12358"""</f>
        <v>"GP Direct","Fabrikam, Inc.","GL20000","DEX_ROW_ID","12358"</v>
      </c>
      <c r="L616" s="15">
        <v>42370</v>
      </c>
      <c r="M616">
        <v>2238</v>
      </c>
      <c r="N616" t="str">
        <f>"Lysaker, Jenny"</f>
        <v>Lysaker, Jenny</v>
      </c>
      <c r="O616" t="str">
        <f>"10669"</f>
        <v>10669</v>
      </c>
      <c r="P616" t="str">
        <f>"Payroll Computer Checks"</f>
        <v>Payroll Computer Checks</v>
      </c>
      <c r="Q616" s="21"/>
      <c r="R616" s="16">
        <v>40.619999999999997</v>
      </c>
      <c r="S616" s="16">
        <v>0</v>
      </c>
      <c r="T616" s="19">
        <f t="shared" si="61"/>
        <v>40.619999999999997</v>
      </c>
    </row>
    <row r="617" spans="1:20" x14ac:dyDescent="0.2">
      <c r="A617" s="28" t="s">
        <v>31</v>
      </c>
      <c r="B617" s="33"/>
      <c r="C617" s="33"/>
      <c r="F617" s="33">
        <f>F616</f>
        <v>222</v>
      </c>
      <c r="G617" s="33" t="str">
        <f>G616</f>
        <v>200-5170-00</v>
      </c>
      <c r="H617" s="36"/>
      <c r="K617" t="str">
        <f>"""GP Direct"",""Fabrikam, Inc."",""GL20000"",""DEX_ROW_ID"",""12364"""</f>
        <v>"GP Direct","Fabrikam, Inc.","GL20000","DEX_ROW_ID","12364"</v>
      </c>
      <c r="L617" s="15">
        <v>42370</v>
      </c>
      <c r="M617">
        <v>2239</v>
      </c>
      <c r="N617" t="str">
        <f>"Martinez, Sandra I."</f>
        <v>Martinez, Sandra I.</v>
      </c>
      <c r="O617" t="str">
        <f>"10670"</f>
        <v>10670</v>
      </c>
      <c r="P617" t="str">
        <f>"Payroll Computer Checks"</f>
        <v>Payroll Computer Checks</v>
      </c>
      <c r="Q617" s="21"/>
      <c r="R617" s="16">
        <v>44.21</v>
      </c>
      <c r="S617" s="16">
        <v>0</v>
      </c>
      <c r="T617" s="19">
        <f t="shared" si="61"/>
        <v>44.21</v>
      </c>
    </row>
    <row r="618" spans="1:20" x14ac:dyDescent="0.2">
      <c r="A618" s="28" t="s">
        <v>31</v>
      </c>
      <c r="B618" s="33"/>
      <c r="C618" s="33"/>
      <c r="F618" s="33">
        <f>F617</f>
        <v>222</v>
      </c>
      <c r="G618" s="33" t="str">
        <f>G617</f>
        <v>200-5170-00</v>
      </c>
      <c r="H618" s="36"/>
      <c r="K618" t="str">
        <f>"""GP Direct"",""Fabrikam, Inc."",""GL20000"",""DEX_ROW_ID"",""12370"""</f>
        <v>"GP Direct","Fabrikam, Inc.","GL20000","DEX_ROW_ID","12370"</v>
      </c>
      <c r="L618" s="15">
        <v>42370</v>
      </c>
      <c r="M618">
        <v>2240</v>
      </c>
      <c r="N618" t="str">
        <f>"Mughal, Salmon"</f>
        <v>Mughal, Salmon</v>
      </c>
      <c r="O618" t="str">
        <f>"10671"</f>
        <v>10671</v>
      </c>
      <c r="P618" t="str">
        <f>"Payroll Computer Checks"</f>
        <v>Payroll Computer Checks</v>
      </c>
      <c r="Q618" s="21"/>
      <c r="R618" s="16">
        <v>44.28</v>
      </c>
      <c r="S618" s="16">
        <v>0</v>
      </c>
      <c r="T618" s="19">
        <f t="shared" si="61"/>
        <v>44.28</v>
      </c>
    </row>
    <row r="619" spans="1:20" x14ac:dyDescent="0.2">
      <c r="A619" s="28" t="s">
        <v>31</v>
      </c>
      <c r="B619" s="33"/>
      <c r="C619" s="33"/>
      <c r="F619" s="33">
        <f>F618</f>
        <v>222</v>
      </c>
      <c r="G619" s="33" t="str">
        <f>G618</f>
        <v>200-5170-00</v>
      </c>
      <c r="H619" s="36"/>
      <c r="K619" t="str">
        <f>"""GP Direct"",""Fabrikam, Inc."",""GL20000"",""DEX_ROW_ID"",""12384"""</f>
        <v>"GP Direct","Fabrikam, Inc.","GL20000","DEX_ROW_ID","12384"</v>
      </c>
      <c r="L619" s="15">
        <v>42370</v>
      </c>
      <c r="M619">
        <v>2241</v>
      </c>
      <c r="N619" t="str">
        <f>"Nagata, Suanne"</f>
        <v>Nagata, Suanne</v>
      </c>
      <c r="O619" t="str">
        <f>"10672"</f>
        <v>10672</v>
      </c>
      <c r="P619" t="str">
        <f>"Payroll Computer Checks"</f>
        <v>Payroll Computer Checks</v>
      </c>
      <c r="Q619" s="21"/>
      <c r="R619" s="16">
        <v>52.3</v>
      </c>
      <c r="S619" s="16">
        <v>0</v>
      </c>
      <c r="T619" s="19">
        <f t="shared" si="61"/>
        <v>52.3</v>
      </c>
    </row>
    <row r="620" spans="1:20" x14ac:dyDescent="0.2">
      <c r="A620" s="28" t="s">
        <v>31</v>
      </c>
      <c r="B620" s="33"/>
      <c r="C620" s="33"/>
      <c r="F620" s="33">
        <f>F619</f>
        <v>222</v>
      </c>
      <c r="G620" s="33" t="str">
        <f>G619</f>
        <v>200-5170-00</v>
      </c>
      <c r="H620" s="36"/>
      <c r="K620" t="str">
        <f>"""GP Direct"",""Fabrikam, Inc."",""GL20000"",""DEX_ROW_ID"",""12393"""</f>
        <v>"GP Direct","Fabrikam, Inc.","GL20000","DEX_ROW_ID","12393"</v>
      </c>
      <c r="L620" s="15">
        <v>42370</v>
      </c>
      <c r="M620">
        <v>2242</v>
      </c>
      <c r="N620" t="str">
        <f>"Reeves, Randy"</f>
        <v>Reeves, Randy</v>
      </c>
      <c r="O620" t="str">
        <f>"10673"</f>
        <v>10673</v>
      </c>
      <c r="P620" t="str">
        <f>"Payroll Computer Checks"</f>
        <v>Payroll Computer Checks</v>
      </c>
      <c r="Q620" s="21"/>
      <c r="R620" s="16">
        <v>67</v>
      </c>
      <c r="S620" s="16">
        <v>0</v>
      </c>
      <c r="T620" s="19">
        <f t="shared" si="61"/>
        <v>67</v>
      </c>
    </row>
    <row r="621" spans="1:20" x14ac:dyDescent="0.2">
      <c r="A621" s="28" t="s">
        <v>31</v>
      </c>
      <c r="B621" s="33"/>
      <c r="C621" s="33"/>
      <c r="F621" s="33">
        <f>F620</f>
        <v>222</v>
      </c>
      <c r="G621" s="33" t="str">
        <f>G620</f>
        <v>200-5170-00</v>
      </c>
      <c r="H621" s="36"/>
      <c r="K621" t="str">
        <f>"""GP Direct"",""Fabrikam, Inc."",""GL20000"",""DEX_ROW_ID"",""12398"""</f>
        <v>"GP Direct","Fabrikam, Inc.","GL20000","DEX_ROW_ID","12398"</v>
      </c>
      <c r="L621" s="15">
        <v>42370</v>
      </c>
      <c r="M621">
        <v>2243</v>
      </c>
      <c r="N621" t="str">
        <f>"Stewart, Jim"</f>
        <v>Stewart, Jim</v>
      </c>
      <c r="O621" t="str">
        <f>"10674"</f>
        <v>10674</v>
      </c>
      <c r="P621" t="str">
        <f>"Payroll Computer Checks"</f>
        <v>Payroll Computer Checks</v>
      </c>
      <c r="Q621" s="21"/>
      <c r="R621" s="16">
        <v>114.13</v>
      </c>
      <c r="S621" s="16">
        <v>0</v>
      </c>
      <c r="T621" s="19">
        <f t="shared" si="61"/>
        <v>114.13</v>
      </c>
    </row>
    <row r="622" spans="1:20" x14ac:dyDescent="0.2">
      <c r="A622" s="28" t="s">
        <v>31</v>
      </c>
      <c r="B622" s="33"/>
      <c r="C622" s="33"/>
      <c r="F622" s="33">
        <f>F621</f>
        <v>222</v>
      </c>
      <c r="G622" s="33" t="str">
        <f>G621</f>
        <v>200-5170-00</v>
      </c>
      <c r="H622" s="36"/>
      <c r="K622" t="str">
        <f>"""GP Direct"",""Fabrikam, Inc."",""GL20000"",""DEX_ROW_ID"",""12409"""</f>
        <v>"GP Direct","Fabrikam, Inc.","GL20000","DEX_ROW_ID","12409"</v>
      </c>
      <c r="L622" s="15">
        <v>42370</v>
      </c>
      <c r="M622">
        <v>2244</v>
      </c>
      <c r="N622" t="str">
        <f>"Tiano, Mike"</f>
        <v>Tiano, Mike</v>
      </c>
      <c r="O622" t="str">
        <f>"10675"</f>
        <v>10675</v>
      </c>
      <c r="P622" t="str">
        <f>"Payroll Computer Checks"</f>
        <v>Payroll Computer Checks</v>
      </c>
      <c r="Q622" s="21"/>
      <c r="R622" s="16">
        <v>75.459999999999994</v>
      </c>
      <c r="S622" s="16">
        <v>0</v>
      </c>
      <c r="T622" s="19">
        <f t="shared" si="61"/>
        <v>75.459999999999994</v>
      </c>
    </row>
    <row r="623" spans="1:20" x14ac:dyDescent="0.2">
      <c r="A623" s="28" t="s">
        <v>31</v>
      </c>
      <c r="B623" s="33"/>
      <c r="C623" s="33"/>
      <c r="F623" s="33">
        <f>F622</f>
        <v>222</v>
      </c>
      <c r="G623" s="33" t="str">
        <f>G622</f>
        <v>200-5170-00</v>
      </c>
      <c r="H623" s="36"/>
      <c r="K623" t="str">
        <f>"""GP Direct"",""Fabrikam, Inc."",""GL20000"",""DEX_ROW_ID"",""12415"""</f>
        <v>"GP Direct","Fabrikam, Inc.","GL20000","DEX_ROW_ID","12415"</v>
      </c>
      <c r="L623" s="15">
        <v>42370</v>
      </c>
      <c r="M623">
        <v>2245</v>
      </c>
      <c r="N623" t="str">
        <f>"Tibbott, Diane"</f>
        <v>Tibbott, Diane</v>
      </c>
      <c r="O623" t="str">
        <f>"10676"</f>
        <v>10676</v>
      </c>
      <c r="P623" t="str">
        <f>"Payroll Computer Checks"</f>
        <v>Payroll Computer Checks</v>
      </c>
      <c r="Q623" s="21"/>
      <c r="R623" s="16">
        <v>56.55</v>
      </c>
      <c r="S623" s="16">
        <v>0</v>
      </c>
      <c r="T623" s="19">
        <f t="shared" si="61"/>
        <v>56.55</v>
      </c>
    </row>
    <row r="624" spans="1:20" x14ac:dyDescent="0.2">
      <c r="A624" s="28" t="s">
        <v>31</v>
      </c>
      <c r="B624" s="33"/>
      <c r="C624" s="33"/>
      <c r="F624" s="33">
        <f>F623</f>
        <v>222</v>
      </c>
      <c r="G624" s="33" t="str">
        <f>G623</f>
        <v>200-5170-00</v>
      </c>
      <c r="H624" s="36"/>
      <c r="K624" t="str">
        <f>"""GP Direct"",""Fabrikam, Inc."",""GL20000"",""DEX_ROW_ID"",""12430"""</f>
        <v>"GP Direct","Fabrikam, Inc.","GL20000","DEX_ROW_ID","12430"</v>
      </c>
      <c r="L624" s="15">
        <v>42370</v>
      </c>
      <c r="M624">
        <v>2246</v>
      </c>
      <c r="N624" t="str">
        <f>"West, Paul"</f>
        <v>West, Paul</v>
      </c>
      <c r="O624" t="str">
        <f>"10677"</f>
        <v>10677</v>
      </c>
      <c r="P624" t="str">
        <f>"Payroll Computer Checks"</f>
        <v>Payroll Computer Checks</v>
      </c>
      <c r="Q624" s="21"/>
      <c r="R624" s="16">
        <v>58.72</v>
      </c>
      <c r="S624" s="16">
        <v>0</v>
      </c>
      <c r="T624" s="19">
        <f t="shared" si="61"/>
        <v>58.72</v>
      </c>
    </row>
    <row r="625" spans="1:20" x14ac:dyDescent="0.2">
      <c r="A625" s="28" t="s">
        <v>31</v>
      </c>
      <c r="B625" s="33"/>
      <c r="C625" s="33"/>
      <c r="F625" s="33">
        <f>F624</f>
        <v>222</v>
      </c>
      <c r="G625" s="33" t="str">
        <f>G624</f>
        <v>200-5170-00</v>
      </c>
      <c r="H625" s="36"/>
      <c r="K625" t="str">
        <f>"""GP Direct"",""Fabrikam, Inc."",""GL20000"",""DEX_ROW_ID"",""12432"""</f>
        <v>"GP Direct","Fabrikam, Inc.","GL20000","DEX_ROW_ID","12432"</v>
      </c>
      <c r="L625" s="15">
        <v>42370</v>
      </c>
      <c r="M625">
        <v>2247</v>
      </c>
      <c r="N625" t="str">
        <f>"Young, Rob"</f>
        <v>Young, Rob</v>
      </c>
      <c r="O625" t="str">
        <f>"10678"</f>
        <v>10678</v>
      </c>
      <c r="P625" t="str">
        <f>"Payroll Computer Checks"</f>
        <v>Payroll Computer Checks</v>
      </c>
      <c r="Q625" s="21"/>
      <c r="R625" s="16">
        <v>49.26</v>
      </c>
      <c r="S625" s="16">
        <v>0</v>
      </c>
      <c r="T625" s="19">
        <f t="shared" si="61"/>
        <v>49.26</v>
      </c>
    </row>
    <row r="626" spans="1:20" x14ac:dyDescent="0.2">
      <c r="A626" s="28" t="s">
        <v>31</v>
      </c>
      <c r="B626" s="33"/>
      <c r="C626" s="33"/>
      <c r="F626" s="33">
        <f>F598</f>
        <v>222</v>
      </c>
      <c r="G626" s="33" t="str">
        <f>G598</f>
        <v>200-5170-00</v>
      </c>
      <c r="H626" s="36"/>
    </row>
    <row r="627" spans="1:20" x14ac:dyDescent="0.2">
      <c r="A627" s="28" t="s">
        <v>31</v>
      </c>
      <c r="I627" s="37" t="str">
        <f>I596&amp;"   "&amp;J596&amp;"         Total:"</f>
        <v>200-5170-00   Payroll Taxes - Accounting         Total:</v>
      </c>
      <c r="J627" s="37"/>
      <c r="K627" s="37"/>
      <c r="L627" s="37"/>
      <c r="M627" s="37"/>
      <c r="N627" s="37"/>
      <c r="O627" s="37"/>
      <c r="P627" s="37"/>
      <c r="Q627" s="37"/>
      <c r="R627" s="37"/>
      <c r="S627" s="37"/>
      <c r="T627" s="23">
        <f t="shared" ref="T627" si="62">SUBTOTAL(9,T597:T626)</f>
        <v>2768.7600000000007</v>
      </c>
    </row>
    <row r="628" spans="1:20" x14ac:dyDescent="0.2">
      <c r="A628" s="28" t="s">
        <v>31</v>
      </c>
    </row>
    <row r="629" spans="1:20" x14ac:dyDescent="0.2">
      <c r="A629" s="28" t="s">
        <v>31</v>
      </c>
      <c r="D629" s="28" t="str">
        <f>"||""Filter"",""GL20000"",""ACTINDX"",""TRXDATE"",""1/1/2016..1/31/2016"",""ACTINDX"",""||""""Filter"""",""""GL00105"""",""""ACTINDX"""",""""ACTNUMBR_1"""",""""*"""",""""ACTNUMBR_2"""",""""*"""",""""ACTNUMBR_3"""",""""*"""","""""""","""""""","""""""","""""""","""""""","""""""","""""""","""""""","""""""","""""""","""""""","""""""","""""""","""""""""","""","""","""","""&amp;""","""","""","""","""","""","""","""","""","""","""","""","""""</f>
        <v>||"Filter","GL20000","ACTINDX","TRXDATE","1/1/2016..1/31/2016","ACTINDX","||""Filter"",""GL00105"",""ACTINDX"",""ACTNUMBR_1"",""*"",""ACTNUMBR_2"",""*"",""ACTNUMBR_3"",""*"","""","""","""","""","""","""","""","""","""","""","""","""","""",""""","","","","","","","","","","","","","","","",""</v>
      </c>
      <c r="E629" s="28" t="str">
        <f>"||""Filter"",""GL30000"",""ACTINDX"",""TRXDATE"",""1/1/2016..1/31/2016"",""ACTINDX"",""||""""Filter"""",""""GL00105"""",""""ACTINDX"""",""""ACTNUMBR_1"""",""""*"""",""""ACTNUMBR_2"""",""""*"""",""""ACTNUMBR_3"""",""""*"""","""""""","""""""","""""""","""""""","""""""","""""""","""""""","""""""","""""""","""""""","""""""","""""""","""""""","""""""""","""","""","""","""&amp;""","""","""","""","""","""","""","""","""","""","""","""","""""</f>
        <v>||"Filter","GL30000","ACTINDX","TRXDATE","1/1/2016..1/31/2016","ACTINDX","||""Filter"",""GL00105"",""ACTINDX"",""ACTNUMBR_1"",""*"",""ACTNUMBR_2"",""*"",""ACTNUMBR_3"",""*"","""","""","""","""","""","""","""","""","""","""","""","""","""",""""","","","","","","","","","","","","","","","",""</v>
      </c>
      <c r="F629" s="28">
        <v>239</v>
      </c>
      <c r="G629" s="28" t="str">
        <f>"300-5130-00"</f>
        <v>300-5130-00</v>
      </c>
      <c r="I629" s="17" t="str">
        <f>G629</f>
        <v>300-5130-00</v>
      </c>
      <c r="J629" s="17" t="str">
        <f>"Commissions - Sales"</f>
        <v>Commissions - Sales</v>
      </c>
      <c r="Q629" s="17"/>
      <c r="R629" s="18"/>
    </row>
    <row r="630" spans="1:20" x14ac:dyDescent="0.2">
      <c r="A630" s="28" t="s">
        <v>31</v>
      </c>
      <c r="B630" s="33"/>
      <c r="C630" s="33"/>
      <c r="F630" s="33">
        <f>F629</f>
        <v>239</v>
      </c>
      <c r="G630" s="33" t="str">
        <f>G629</f>
        <v>300-5130-00</v>
      </c>
      <c r="H630" s="36"/>
      <c r="L630" s="15"/>
      <c r="Q630" s="21"/>
      <c r="R630" s="16"/>
      <c r="S630" s="16">
        <f>IF($K630="",0,-_xll.NF($K630,"CRDTAMNT"))</f>
        <v>0</v>
      </c>
      <c r="T630" s="19">
        <f t="shared" ref="T630:T631" si="63">SUM(R630:S630)</f>
        <v>0</v>
      </c>
    </row>
    <row r="631" spans="1:20" x14ac:dyDescent="0.2">
      <c r="A631" s="28" t="s">
        <v>31</v>
      </c>
      <c r="B631" s="33"/>
      <c r="C631" s="33"/>
      <c r="F631" s="33">
        <f>F630</f>
        <v>239</v>
      </c>
      <c r="G631" s="33" t="str">
        <f>G630</f>
        <v>300-5130-00</v>
      </c>
      <c r="H631" s="36"/>
      <c r="K631" t="str">
        <f>"""GP Direct"",""Fabrikam, Inc."",""GL20000"",""DEX_ROW_ID"",""3845"""</f>
        <v>"GP Direct","Fabrikam, Inc.","GL20000","DEX_ROW_ID","3845"</v>
      </c>
      <c r="L631" s="15">
        <v>42370</v>
      </c>
      <c r="M631">
        <v>951</v>
      </c>
      <c r="N631" t="str">
        <f>"Contoso, Ltd."</f>
        <v>Contoso, Ltd.</v>
      </c>
      <c r="O631" t="str">
        <f>"STDINV2000"</f>
        <v>STDINV2000</v>
      </c>
      <c r="P631" t="str">
        <f>"Sales Transaction Entry"</f>
        <v>Sales Transaction Entry</v>
      </c>
      <c r="Q631" s="21" t="str">
        <f>"Commissions Expense"</f>
        <v>Commissions Expense</v>
      </c>
      <c r="R631" s="16">
        <v>91.49</v>
      </c>
      <c r="S631" s="16">
        <v>0</v>
      </c>
      <c r="T631" s="19">
        <f t="shared" si="63"/>
        <v>91.49</v>
      </c>
    </row>
    <row r="632" spans="1:20" x14ac:dyDescent="0.2">
      <c r="A632" s="28" t="s">
        <v>31</v>
      </c>
      <c r="B632" s="33"/>
      <c r="C632" s="33"/>
      <c r="F632" s="33">
        <f>F631</f>
        <v>239</v>
      </c>
      <c r="G632" s="33" t="str">
        <f>G631</f>
        <v>300-5130-00</v>
      </c>
      <c r="H632" s="36"/>
      <c r="K632" t="str">
        <f>"""GP Direct"",""Fabrikam, Inc."",""GL20000"",""DEX_ROW_ID"",""3853"""</f>
        <v>"GP Direct","Fabrikam, Inc.","GL20000","DEX_ROW_ID","3853"</v>
      </c>
      <c r="L632" s="15">
        <v>42371</v>
      </c>
      <c r="M632">
        <v>953</v>
      </c>
      <c r="N632" t="str">
        <f>"American Science Museum"</f>
        <v>American Science Museum</v>
      </c>
      <c r="O632" t="str">
        <f>"STDINV2001"</f>
        <v>STDINV2001</v>
      </c>
      <c r="P632" t="str">
        <f>"Sales Transaction Entry"</f>
        <v>Sales Transaction Entry</v>
      </c>
      <c r="Q632" s="21" t="str">
        <f>"Commissions Expense"</f>
        <v>Commissions Expense</v>
      </c>
      <c r="R632" s="16">
        <v>34.19</v>
      </c>
      <c r="S632" s="16">
        <v>0</v>
      </c>
      <c r="T632" s="19">
        <f t="shared" ref="T632:T667" si="64">SUM(R632:S632)</f>
        <v>34.19</v>
      </c>
    </row>
    <row r="633" spans="1:20" x14ac:dyDescent="0.2">
      <c r="A633" s="28" t="s">
        <v>31</v>
      </c>
      <c r="B633" s="33"/>
      <c r="C633" s="33"/>
      <c r="F633" s="33">
        <f>F632</f>
        <v>239</v>
      </c>
      <c r="G633" s="33" t="str">
        <f>G632</f>
        <v>300-5130-00</v>
      </c>
      <c r="H633" s="36"/>
      <c r="K633" t="str">
        <f>"""GP Direct"",""Fabrikam, Inc."",""GL20000"",""DEX_ROW_ID"",""3861"""</f>
        <v>"GP Direct","Fabrikam, Inc.","GL20000","DEX_ROW_ID","3861"</v>
      </c>
      <c r="L633" s="15">
        <v>42372</v>
      </c>
      <c r="M633">
        <v>955</v>
      </c>
      <c r="N633" t="str">
        <f>"Aaron Fitz Electrical"</f>
        <v>Aaron Fitz Electrical</v>
      </c>
      <c r="O633" t="str">
        <f>"STDINV2002"</f>
        <v>STDINV2002</v>
      </c>
      <c r="P633" t="str">
        <f>"Sales Transaction Entry"</f>
        <v>Sales Transaction Entry</v>
      </c>
      <c r="Q633" s="21" t="str">
        <f>"Commissions Expense"</f>
        <v>Commissions Expense</v>
      </c>
      <c r="R633" s="16">
        <v>34.19</v>
      </c>
      <c r="S633" s="16">
        <v>0</v>
      </c>
      <c r="T633" s="19">
        <f t="shared" si="64"/>
        <v>34.19</v>
      </c>
    </row>
    <row r="634" spans="1:20" x14ac:dyDescent="0.2">
      <c r="A634" s="28" t="s">
        <v>31</v>
      </c>
      <c r="B634" s="33"/>
      <c r="C634" s="33"/>
      <c r="F634" s="33">
        <f>F633</f>
        <v>239</v>
      </c>
      <c r="G634" s="33" t="str">
        <f>G633</f>
        <v>300-5130-00</v>
      </c>
      <c r="H634" s="36"/>
      <c r="K634" t="str">
        <f>"""GP Direct"",""Fabrikam, Inc."",""GL20000"",""DEX_ROW_ID"",""3869"""</f>
        <v>"GP Direct","Fabrikam, Inc.","GL20000","DEX_ROW_ID","3869"</v>
      </c>
      <c r="L634" s="15">
        <v>42372</v>
      </c>
      <c r="M634">
        <v>957</v>
      </c>
      <c r="N634" t="str">
        <f>"Advanced Paper Co."</f>
        <v>Advanced Paper Co.</v>
      </c>
      <c r="O634" t="str">
        <f>"STDINV2003"</f>
        <v>STDINV2003</v>
      </c>
      <c r="P634" t="str">
        <f>"Sales Transaction Entry"</f>
        <v>Sales Transaction Entry</v>
      </c>
      <c r="Q634" s="21" t="str">
        <f>"Commissions Expense"</f>
        <v>Commissions Expense</v>
      </c>
      <c r="R634" s="16">
        <v>14.39</v>
      </c>
      <c r="S634" s="16">
        <v>0</v>
      </c>
      <c r="T634" s="19">
        <f t="shared" si="64"/>
        <v>14.39</v>
      </c>
    </row>
    <row r="635" spans="1:20" x14ac:dyDescent="0.2">
      <c r="A635" s="28" t="s">
        <v>31</v>
      </c>
      <c r="B635" s="33"/>
      <c r="C635" s="33"/>
      <c r="F635" s="33">
        <f>F634</f>
        <v>239</v>
      </c>
      <c r="G635" s="33" t="str">
        <f>G634</f>
        <v>300-5130-00</v>
      </c>
      <c r="H635" s="36"/>
      <c r="K635" t="str">
        <f>"""GP Direct"",""Fabrikam, Inc."",""GL20000"",""DEX_ROW_ID"",""3877"""</f>
        <v>"GP Direct","Fabrikam, Inc.","GL20000","DEX_ROW_ID","3877"</v>
      </c>
      <c r="L635" s="15">
        <v>42373</v>
      </c>
      <c r="M635">
        <v>959</v>
      </c>
      <c r="N635" t="str">
        <f>"Riverside University"</f>
        <v>Riverside University</v>
      </c>
      <c r="O635" t="str">
        <f>"STDINV2004"</f>
        <v>STDINV2004</v>
      </c>
      <c r="P635" t="str">
        <f>"Sales Transaction Entry"</f>
        <v>Sales Transaction Entry</v>
      </c>
      <c r="Q635" s="21" t="str">
        <f>"Commissions Expense"</f>
        <v>Commissions Expense</v>
      </c>
      <c r="R635" s="16">
        <v>11.4</v>
      </c>
      <c r="S635" s="16">
        <v>0</v>
      </c>
      <c r="T635" s="19">
        <f t="shared" si="64"/>
        <v>11.4</v>
      </c>
    </row>
    <row r="636" spans="1:20" x14ac:dyDescent="0.2">
      <c r="A636" s="28" t="s">
        <v>31</v>
      </c>
      <c r="B636" s="33"/>
      <c r="C636" s="33"/>
      <c r="F636" s="33">
        <f>F635</f>
        <v>239</v>
      </c>
      <c r="G636" s="33" t="str">
        <f>G635</f>
        <v>300-5130-00</v>
      </c>
      <c r="H636" s="36"/>
      <c r="K636" t="str">
        <f>"""GP Direct"",""Fabrikam, Inc."",""GL20000"",""DEX_ROW_ID"",""3885"""</f>
        <v>"GP Direct","Fabrikam, Inc.","GL20000","DEX_ROW_ID","3885"</v>
      </c>
      <c r="L636" s="15">
        <v>42374</v>
      </c>
      <c r="M636">
        <v>961</v>
      </c>
      <c r="N636" t="str">
        <f>"Aaron Fitz Electrical"</f>
        <v>Aaron Fitz Electrical</v>
      </c>
      <c r="O636" t="str">
        <f>"STDINV2005"</f>
        <v>STDINV2005</v>
      </c>
      <c r="P636" t="str">
        <f>"Sales Transaction Entry"</f>
        <v>Sales Transaction Entry</v>
      </c>
      <c r="Q636" s="21" t="str">
        <f>"Commissions Expense"</f>
        <v>Commissions Expense</v>
      </c>
      <c r="R636" s="16">
        <v>28.8</v>
      </c>
      <c r="S636" s="16">
        <v>0</v>
      </c>
      <c r="T636" s="19">
        <f t="shared" si="64"/>
        <v>28.8</v>
      </c>
    </row>
    <row r="637" spans="1:20" x14ac:dyDescent="0.2">
      <c r="A637" s="28" t="s">
        <v>31</v>
      </c>
      <c r="B637" s="33"/>
      <c r="C637" s="33"/>
      <c r="F637" s="33">
        <f>F636</f>
        <v>239</v>
      </c>
      <c r="G637" s="33" t="str">
        <f>G636</f>
        <v>300-5130-00</v>
      </c>
      <c r="H637" s="36"/>
      <c r="K637" t="str">
        <f>"""GP Direct"",""Fabrikam, Inc."",""GL20000"",""DEX_ROW_ID"",""3893"""</f>
        <v>"GP Direct","Fabrikam, Inc.","GL20000","DEX_ROW_ID","3893"</v>
      </c>
      <c r="L637" s="15">
        <v>42374</v>
      </c>
      <c r="M637">
        <v>963</v>
      </c>
      <c r="N637" t="str">
        <f>"Aaron Fitz Electrical"</f>
        <v>Aaron Fitz Electrical</v>
      </c>
      <c r="O637" t="str">
        <f>"STDINV2006"</f>
        <v>STDINV2006</v>
      </c>
      <c r="P637" t="str">
        <f>"Sales Transaction Entry"</f>
        <v>Sales Transaction Entry</v>
      </c>
      <c r="Q637" s="21" t="str">
        <f>"Commissions Expense"</f>
        <v>Commissions Expense</v>
      </c>
      <c r="R637" s="16">
        <v>11.99</v>
      </c>
      <c r="S637" s="16">
        <v>0</v>
      </c>
      <c r="T637" s="19">
        <f t="shared" si="64"/>
        <v>11.99</v>
      </c>
    </row>
    <row r="638" spans="1:20" x14ac:dyDescent="0.2">
      <c r="A638" s="28" t="s">
        <v>31</v>
      </c>
      <c r="B638" s="33"/>
      <c r="C638" s="33"/>
      <c r="F638" s="33">
        <f>F637</f>
        <v>239</v>
      </c>
      <c r="G638" s="33" t="str">
        <f>G637</f>
        <v>300-5130-00</v>
      </c>
      <c r="H638" s="36"/>
      <c r="K638" t="str">
        <f>"""GP Direct"",""Fabrikam, Inc."",""GL20000"",""DEX_ROW_ID"",""3901"""</f>
        <v>"GP Direct","Fabrikam, Inc.","GL20000","DEX_ROW_ID","3901"</v>
      </c>
      <c r="L638" s="15">
        <v>42375</v>
      </c>
      <c r="M638">
        <v>965</v>
      </c>
      <c r="N638" t="str">
        <f>"Plaza One"</f>
        <v>Plaza One</v>
      </c>
      <c r="O638" t="str">
        <f>"STDINV2007"</f>
        <v>STDINV2007</v>
      </c>
      <c r="P638" t="str">
        <f>"Sales Transaction Entry"</f>
        <v>Sales Transaction Entry</v>
      </c>
      <c r="Q638" s="21" t="str">
        <f>"Commissions Expense"</f>
        <v>Commissions Expense</v>
      </c>
      <c r="R638" s="16">
        <v>9</v>
      </c>
      <c r="S638" s="16">
        <v>0</v>
      </c>
      <c r="T638" s="19">
        <f t="shared" si="64"/>
        <v>9</v>
      </c>
    </row>
    <row r="639" spans="1:20" x14ac:dyDescent="0.2">
      <c r="A639" s="28" t="s">
        <v>31</v>
      </c>
      <c r="B639" s="33"/>
      <c r="C639" s="33"/>
      <c r="F639" s="33">
        <f>F638</f>
        <v>239</v>
      </c>
      <c r="G639" s="33" t="str">
        <f>G638</f>
        <v>300-5130-00</v>
      </c>
      <c r="H639" s="36"/>
      <c r="K639" t="str">
        <f>"""GP Direct"",""Fabrikam, Inc."",""GL20000"",""DEX_ROW_ID"",""3909"""</f>
        <v>"GP Direct","Fabrikam, Inc.","GL20000","DEX_ROW_ID","3909"</v>
      </c>
      <c r="L639" s="15">
        <v>42375</v>
      </c>
      <c r="M639">
        <v>967</v>
      </c>
      <c r="N639" t="str">
        <f>"Londonberry Nursing Home"</f>
        <v>Londonberry Nursing Home</v>
      </c>
      <c r="O639" t="str">
        <f>"STDINV2008"</f>
        <v>STDINV2008</v>
      </c>
      <c r="P639" t="str">
        <f>"Sales Transaction Entry"</f>
        <v>Sales Transaction Entry</v>
      </c>
      <c r="Q639" s="21" t="str">
        <f>"Commissions Expense"</f>
        <v>Commissions Expense</v>
      </c>
      <c r="R639" s="16">
        <v>10.8</v>
      </c>
      <c r="S639" s="16">
        <v>0</v>
      </c>
      <c r="T639" s="19">
        <f t="shared" si="64"/>
        <v>10.8</v>
      </c>
    </row>
    <row r="640" spans="1:20" x14ac:dyDescent="0.2">
      <c r="A640" s="28" t="s">
        <v>31</v>
      </c>
      <c r="B640" s="33"/>
      <c r="C640" s="33"/>
      <c r="F640" s="33">
        <f>F639</f>
        <v>239</v>
      </c>
      <c r="G640" s="33" t="str">
        <f>G639</f>
        <v>300-5130-00</v>
      </c>
      <c r="H640" s="36"/>
      <c r="K640" t="str">
        <f>"""GP Direct"",""Fabrikam, Inc."",""GL20000"",""DEX_ROW_ID"",""3917"""</f>
        <v>"GP Direct","Fabrikam, Inc.","GL20000","DEX_ROW_ID","3917"</v>
      </c>
      <c r="L640" s="15">
        <v>42376</v>
      </c>
      <c r="M640">
        <v>969</v>
      </c>
      <c r="N640" t="str">
        <f>"Midland Construction"</f>
        <v>Midland Construction</v>
      </c>
      <c r="O640" t="str">
        <f>"STDINV2009"</f>
        <v>STDINV2009</v>
      </c>
      <c r="P640" t="str">
        <f>"Sales Transaction Entry"</f>
        <v>Sales Transaction Entry</v>
      </c>
      <c r="Q640" s="21" t="str">
        <f>"Commissions Expense"</f>
        <v>Commissions Expense</v>
      </c>
      <c r="R640" s="16">
        <v>1.2</v>
      </c>
      <c r="S640" s="16">
        <v>0</v>
      </c>
      <c r="T640" s="19">
        <f t="shared" si="64"/>
        <v>1.2</v>
      </c>
    </row>
    <row r="641" spans="1:20" x14ac:dyDescent="0.2">
      <c r="A641" s="28" t="s">
        <v>31</v>
      </c>
      <c r="B641" s="33"/>
      <c r="C641" s="33"/>
      <c r="F641" s="33">
        <f>F640</f>
        <v>239</v>
      </c>
      <c r="G641" s="33" t="str">
        <f>G640</f>
        <v>300-5130-00</v>
      </c>
      <c r="H641" s="36"/>
      <c r="K641" t="str">
        <f>"""GP Direct"",""Fabrikam, Inc."",""GL20000"",""DEX_ROW_ID"",""3925"""</f>
        <v>"GP Direct","Fabrikam, Inc.","GL20000","DEX_ROW_ID","3925"</v>
      </c>
      <c r="L641" s="15">
        <v>42376</v>
      </c>
      <c r="M641">
        <v>971</v>
      </c>
      <c r="N641" t="str">
        <f>"Aaron Fitz Electrical"</f>
        <v>Aaron Fitz Electrical</v>
      </c>
      <c r="O641" t="str">
        <f>"STDINV2010"</f>
        <v>STDINV2010</v>
      </c>
      <c r="P641" t="str">
        <f>"Sales Transaction Entry"</f>
        <v>Sales Transaction Entry</v>
      </c>
      <c r="Q641" s="21" t="str">
        <f>"Commissions Expense"</f>
        <v>Commissions Expense</v>
      </c>
      <c r="R641" s="16">
        <v>11.4</v>
      </c>
      <c r="S641" s="16">
        <v>0</v>
      </c>
      <c r="T641" s="19">
        <f t="shared" si="64"/>
        <v>11.4</v>
      </c>
    </row>
    <row r="642" spans="1:20" x14ac:dyDescent="0.2">
      <c r="A642" s="28" t="s">
        <v>31</v>
      </c>
      <c r="B642" s="33"/>
      <c r="C642" s="33"/>
      <c r="F642" s="33">
        <f>F641</f>
        <v>239</v>
      </c>
      <c r="G642" s="33" t="str">
        <f>G641</f>
        <v>300-5130-00</v>
      </c>
      <c r="H642" s="36"/>
      <c r="K642" t="str">
        <f>"""GP Direct"",""Fabrikam, Inc."",""GL20000"",""DEX_ROW_ID"",""3935"""</f>
        <v>"GP Direct","Fabrikam, Inc.","GL20000","DEX_ROW_ID","3935"</v>
      </c>
      <c r="L642" s="15">
        <v>42377</v>
      </c>
      <c r="M642">
        <v>973</v>
      </c>
      <c r="N642" t="str">
        <f>"Aaron Fitz Electrical"</f>
        <v>Aaron Fitz Electrical</v>
      </c>
      <c r="O642" t="str">
        <f>"STDINV2011"</f>
        <v>STDINV2011</v>
      </c>
      <c r="P642" t="str">
        <f>"Sales Transaction Entry"</f>
        <v>Sales Transaction Entry</v>
      </c>
      <c r="Q642" s="21" t="str">
        <f>"Commissions Expense"</f>
        <v>Commissions Expense</v>
      </c>
      <c r="R642" s="16">
        <v>1.49</v>
      </c>
      <c r="S642" s="16">
        <v>0</v>
      </c>
      <c r="T642" s="19">
        <f t="shared" si="64"/>
        <v>1.49</v>
      </c>
    </row>
    <row r="643" spans="1:20" x14ac:dyDescent="0.2">
      <c r="A643" s="28" t="s">
        <v>31</v>
      </c>
      <c r="B643" s="33"/>
      <c r="C643" s="33"/>
      <c r="F643" s="33">
        <f>F642</f>
        <v>239</v>
      </c>
      <c r="G643" s="33" t="str">
        <f>G642</f>
        <v>300-5130-00</v>
      </c>
      <c r="H643" s="36"/>
      <c r="K643" t="str">
        <f>"""GP Direct"",""Fabrikam, Inc."",""GL20000"",""DEX_ROW_ID"",""3945"""</f>
        <v>"GP Direct","Fabrikam, Inc.","GL20000","DEX_ROW_ID","3945"</v>
      </c>
      <c r="L643" s="15">
        <v>42377</v>
      </c>
      <c r="M643">
        <v>975</v>
      </c>
      <c r="N643" t="str">
        <f>"Aaron Fitz Electrical"</f>
        <v>Aaron Fitz Electrical</v>
      </c>
      <c r="O643" t="str">
        <f>"STDINV2012"</f>
        <v>STDINV2012</v>
      </c>
      <c r="P643" t="str">
        <f>"Sales Transaction Entry"</f>
        <v>Sales Transaction Entry</v>
      </c>
      <c r="Q643" s="21" t="str">
        <f>"Commissions Expense"</f>
        <v>Commissions Expense</v>
      </c>
      <c r="R643" s="16">
        <v>1.49</v>
      </c>
      <c r="S643" s="16">
        <v>0</v>
      </c>
      <c r="T643" s="19">
        <f t="shared" si="64"/>
        <v>1.49</v>
      </c>
    </row>
    <row r="644" spans="1:20" x14ac:dyDescent="0.2">
      <c r="A644" s="28" t="s">
        <v>31</v>
      </c>
      <c r="B644" s="33"/>
      <c r="C644" s="33"/>
      <c r="F644" s="33">
        <f>F643</f>
        <v>239</v>
      </c>
      <c r="G644" s="33" t="str">
        <f>G643</f>
        <v>300-5130-00</v>
      </c>
      <c r="H644" s="36"/>
      <c r="K644" t="str">
        <f>"""GP Direct"",""Fabrikam, Inc."",""GL20000"",""DEX_ROW_ID"",""3955"""</f>
        <v>"GP Direct","Fabrikam, Inc.","GL20000","DEX_ROW_ID","3955"</v>
      </c>
      <c r="L644" s="15">
        <v>42378</v>
      </c>
      <c r="M644">
        <v>977</v>
      </c>
      <c r="N644" t="str">
        <f>"ISN Industries"</f>
        <v>ISN Industries</v>
      </c>
      <c r="O644" t="str">
        <f>"STDINV2013"</f>
        <v>STDINV2013</v>
      </c>
      <c r="P644" t="str">
        <f>"Sales Transaction Entry"</f>
        <v>Sales Transaction Entry</v>
      </c>
      <c r="Q644" s="21" t="str">
        <f>"Commissions Expense"</f>
        <v>Commissions Expense</v>
      </c>
      <c r="R644" s="16">
        <v>40.5</v>
      </c>
      <c r="S644" s="16">
        <v>0</v>
      </c>
      <c r="T644" s="19">
        <f t="shared" si="64"/>
        <v>40.5</v>
      </c>
    </row>
    <row r="645" spans="1:20" x14ac:dyDescent="0.2">
      <c r="A645" s="28" t="s">
        <v>31</v>
      </c>
      <c r="B645" s="33"/>
      <c r="C645" s="33"/>
      <c r="F645" s="33">
        <f>F644</f>
        <v>239</v>
      </c>
      <c r="G645" s="33" t="str">
        <f>G644</f>
        <v>300-5130-00</v>
      </c>
      <c r="H645" s="36"/>
      <c r="K645" t="str">
        <f>"""GP Direct"",""Fabrikam, Inc."",""GL20000"",""DEX_ROW_ID"",""3965"""</f>
        <v>"GP Direct","Fabrikam, Inc.","GL20000","DEX_ROW_ID","3965"</v>
      </c>
      <c r="L645" s="15">
        <v>42379</v>
      </c>
      <c r="M645">
        <v>979</v>
      </c>
      <c r="N645" t="str">
        <f>"Contoso, Ltd."</f>
        <v>Contoso, Ltd.</v>
      </c>
      <c r="O645" t="str">
        <f>"STDINV2014"</f>
        <v>STDINV2014</v>
      </c>
      <c r="P645" t="str">
        <f>"Sales Transaction Entry"</f>
        <v>Sales Transaction Entry</v>
      </c>
      <c r="Q645" s="21" t="str">
        <f>"Commissions Expense"</f>
        <v>Commissions Expense</v>
      </c>
      <c r="R645" s="16">
        <v>5.7</v>
      </c>
      <c r="S645" s="16">
        <v>0</v>
      </c>
      <c r="T645" s="19">
        <f t="shared" si="64"/>
        <v>5.7</v>
      </c>
    </row>
    <row r="646" spans="1:20" x14ac:dyDescent="0.2">
      <c r="A646" s="28" t="s">
        <v>31</v>
      </c>
      <c r="B646" s="33"/>
      <c r="C646" s="33"/>
      <c r="F646" s="33">
        <f>F645</f>
        <v>239</v>
      </c>
      <c r="G646" s="33" t="str">
        <f>G645</f>
        <v>300-5130-00</v>
      </c>
      <c r="H646" s="36"/>
      <c r="K646" t="str">
        <f>"""GP Direct"",""Fabrikam, Inc."",""GL20000"",""DEX_ROW_ID"",""3974"""</f>
        <v>"GP Direct","Fabrikam, Inc.","GL20000","DEX_ROW_ID","3974"</v>
      </c>
      <c r="L646" s="15">
        <v>42380</v>
      </c>
      <c r="M646">
        <v>981</v>
      </c>
      <c r="N646" t="str">
        <f>"Vancouver Resort Hotels"</f>
        <v>Vancouver Resort Hotels</v>
      </c>
      <c r="O646" t="str">
        <f>"STDINV2015"</f>
        <v>STDINV2015</v>
      </c>
      <c r="P646" t="str">
        <f>"Sales Transaction Entry"</f>
        <v>Sales Transaction Entry</v>
      </c>
      <c r="Q646" s="21" t="str">
        <f>"Commissions Expense"</f>
        <v>Commissions Expense</v>
      </c>
      <c r="R646" s="16">
        <v>18.3</v>
      </c>
      <c r="S646" s="16">
        <v>0</v>
      </c>
      <c r="T646" s="19">
        <f t="shared" si="64"/>
        <v>18.3</v>
      </c>
    </row>
    <row r="647" spans="1:20" x14ac:dyDescent="0.2">
      <c r="A647" s="28" t="s">
        <v>31</v>
      </c>
      <c r="B647" s="33"/>
      <c r="C647" s="33"/>
      <c r="F647" s="33">
        <f>F646</f>
        <v>239</v>
      </c>
      <c r="G647" s="33" t="str">
        <f>G646</f>
        <v>300-5130-00</v>
      </c>
      <c r="H647" s="36"/>
      <c r="K647" t="str">
        <f>"""GP Direct"",""Fabrikam, Inc."",""GL20000"",""DEX_ROW_ID"",""3984"""</f>
        <v>"GP Direct","Fabrikam, Inc.","GL20000","DEX_ROW_ID","3984"</v>
      </c>
      <c r="L647" s="15">
        <v>42381</v>
      </c>
      <c r="M647">
        <v>983</v>
      </c>
      <c r="N647" t="str">
        <f>"Plaza One"</f>
        <v>Plaza One</v>
      </c>
      <c r="O647" t="str">
        <f>"STDINV2016"</f>
        <v>STDINV2016</v>
      </c>
      <c r="P647" t="str">
        <f>"Sales Transaction Entry"</f>
        <v>Sales Transaction Entry</v>
      </c>
      <c r="Q647" s="21" t="str">
        <f>"Commissions Expense"</f>
        <v>Commissions Expense</v>
      </c>
      <c r="R647" s="16">
        <v>28.49</v>
      </c>
      <c r="S647" s="16">
        <v>0</v>
      </c>
      <c r="T647" s="19">
        <f t="shared" si="64"/>
        <v>28.49</v>
      </c>
    </row>
    <row r="648" spans="1:20" x14ac:dyDescent="0.2">
      <c r="A648" s="28" t="s">
        <v>31</v>
      </c>
      <c r="B648" s="33"/>
      <c r="C648" s="33"/>
      <c r="F648" s="33">
        <f>F647</f>
        <v>239</v>
      </c>
      <c r="G648" s="33" t="str">
        <f>G647</f>
        <v>300-5130-00</v>
      </c>
      <c r="H648" s="36"/>
      <c r="K648" t="str">
        <f>"""GP Direct"",""Fabrikam, Inc."",""GL20000"",""DEX_ROW_ID"",""3994"""</f>
        <v>"GP Direct","Fabrikam, Inc.","GL20000","DEX_ROW_ID","3994"</v>
      </c>
      <c r="L648" s="15">
        <v>42382</v>
      </c>
      <c r="M648">
        <v>985</v>
      </c>
      <c r="N648" t="str">
        <f>"Central Communications LTD"</f>
        <v>Central Communications LTD</v>
      </c>
      <c r="O648" t="str">
        <f>"STDINV2017"</f>
        <v>STDINV2017</v>
      </c>
      <c r="P648" t="str">
        <f>"Sales Transaction Entry"</f>
        <v>Sales Transaction Entry</v>
      </c>
      <c r="Q648" s="21" t="str">
        <f>"Commissions Expense"</f>
        <v>Commissions Expense</v>
      </c>
      <c r="R648" s="16">
        <v>0.9</v>
      </c>
      <c r="S648" s="16">
        <v>0</v>
      </c>
      <c r="T648" s="19">
        <f t="shared" si="64"/>
        <v>0.9</v>
      </c>
    </row>
    <row r="649" spans="1:20" x14ac:dyDescent="0.2">
      <c r="A649" s="28" t="s">
        <v>31</v>
      </c>
      <c r="B649" s="33"/>
      <c r="C649" s="33"/>
      <c r="F649" s="33">
        <f>F648</f>
        <v>239</v>
      </c>
      <c r="G649" s="33" t="str">
        <f>G648</f>
        <v>300-5130-00</v>
      </c>
      <c r="H649" s="36"/>
      <c r="K649" t="str">
        <f>"""GP Direct"",""Fabrikam, Inc."",""GL20000"",""DEX_ROW_ID"",""4003"""</f>
        <v>"GP Direct","Fabrikam, Inc.","GL20000","DEX_ROW_ID","4003"</v>
      </c>
      <c r="L649" s="15">
        <v>42383</v>
      </c>
      <c r="M649">
        <v>987</v>
      </c>
      <c r="N649" t="str">
        <f>"Magnificent Office Images"</f>
        <v>Magnificent Office Images</v>
      </c>
      <c r="O649" t="str">
        <f>"STDINV2018"</f>
        <v>STDINV2018</v>
      </c>
      <c r="P649" t="str">
        <f>"Sales Transaction Entry"</f>
        <v>Sales Transaction Entry</v>
      </c>
      <c r="Q649" s="21" t="str">
        <f>"Commissions Expense"</f>
        <v>Commissions Expense</v>
      </c>
      <c r="R649" s="16">
        <v>21.6</v>
      </c>
      <c r="S649" s="16">
        <v>0</v>
      </c>
      <c r="T649" s="19">
        <f t="shared" si="64"/>
        <v>21.6</v>
      </c>
    </row>
    <row r="650" spans="1:20" x14ac:dyDescent="0.2">
      <c r="A650" s="28" t="s">
        <v>31</v>
      </c>
      <c r="B650" s="33"/>
      <c r="C650" s="33"/>
      <c r="F650" s="33">
        <f>F649</f>
        <v>239</v>
      </c>
      <c r="G650" s="33" t="str">
        <f>G649</f>
        <v>300-5130-00</v>
      </c>
      <c r="H650" s="36"/>
      <c r="K650" t="str">
        <f>"""GP Direct"",""Fabrikam, Inc."",""GL20000"",""DEX_ROW_ID"",""4013"""</f>
        <v>"GP Direct","Fabrikam, Inc.","GL20000","DEX_ROW_ID","4013"</v>
      </c>
      <c r="L650" s="15">
        <v>42384</v>
      </c>
      <c r="M650">
        <v>989</v>
      </c>
      <c r="N650" t="str">
        <f>"Metropolitan Fiber Systems"</f>
        <v>Metropolitan Fiber Systems</v>
      </c>
      <c r="O650" t="str">
        <f>"STDINV2019"</f>
        <v>STDINV2019</v>
      </c>
      <c r="P650" t="str">
        <f>"Sales Transaction Entry"</f>
        <v>Sales Transaction Entry</v>
      </c>
      <c r="Q650" s="21" t="str">
        <f>"Commissions Expense"</f>
        <v>Commissions Expense</v>
      </c>
      <c r="R650" s="16">
        <v>0.9</v>
      </c>
      <c r="S650" s="16">
        <v>0</v>
      </c>
      <c r="T650" s="19">
        <f t="shared" si="64"/>
        <v>0.9</v>
      </c>
    </row>
    <row r="651" spans="1:20" x14ac:dyDescent="0.2">
      <c r="A651" s="28" t="s">
        <v>31</v>
      </c>
      <c r="B651" s="33"/>
      <c r="C651" s="33"/>
      <c r="F651" s="33">
        <f>F650</f>
        <v>239</v>
      </c>
      <c r="G651" s="33" t="str">
        <f>G650</f>
        <v>300-5130-00</v>
      </c>
      <c r="H651" s="36"/>
      <c r="K651" t="str">
        <f>"""GP Direct"",""Fabrikam, Inc."",""GL20000"",""DEX_ROW_ID"",""4021"""</f>
        <v>"GP Direct","Fabrikam, Inc.","GL20000","DEX_ROW_ID","4021"</v>
      </c>
      <c r="L651" s="15">
        <v>42385</v>
      </c>
      <c r="M651">
        <v>991</v>
      </c>
      <c r="N651" t="str">
        <f>"Mahler State University"</f>
        <v>Mahler State University</v>
      </c>
      <c r="O651" t="str">
        <f>"STDINV2020"</f>
        <v>STDINV2020</v>
      </c>
      <c r="P651" t="str">
        <f>"Sales Transaction Entry"</f>
        <v>Sales Transaction Entry</v>
      </c>
      <c r="Q651" s="21" t="str">
        <f>"Commissions Expense"</f>
        <v>Commissions Expense</v>
      </c>
      <c r="R651" s="16">
        <v>360</v>
      </c>
      <c r="S651" s="16">
        <v>0</v>
      </c>
      <c r="T651" s="19">
        <f t="shared" si="64"/>
        <v>360</v>
      </c>
    </row>
    <row r="652" spans="1:20" x14ac:dyDescent="0.2">
      <c r="A652" s="28" t="s">
        <v>31</v>
      </c>
      <c r="B652" s="33"/>
      <c r="C652" s="33"/>
      <c r="F652" s="33">
        <f>F651</f>
        <v>239</v>
      </c>
      <c r="G652" s="33" t="str">
        <f>G651</f>
        <v>300-5130-00</v>
      </c>
      <c r="H652" s="36"/>
      <c r="K652" t="str">
        <f>"""GP Direct"",""Fabrikam, Inc."",""GL20000"",""DEX_ROW_ID"",""4031"""</f>
        <v>"GP Direct","Fabrikam, Inc.","GL20000","DEX_ROW_ID","4031"</v>
      </c>
      <c r="L652" s="15">
        <v>42386</v>
      </c>
      <c r="M652">
        <v>993</v>
      </c>
      <c r="N652" t="str">
        <f>"Lawrence Telemarketing"</f>
        <v>Lawrence Telemarketing</v>
      </c>
      <c r="O652" t="str">
        <f>"STDINV2021"</f>
        <v>STDINV2021</v>
      </c>
      <c r="P652" t="str">
        <f>"Sales Transaction Entry"</f>
        <v>Sales Transaction Entry</v>
      </c>
      <c r="Q652" s="21" t="str">
        <f>"Commissions Expense"</f>
        <v>Commissions Expense</v>
      </c>
      <c r="R652" s="16">
        <v>180</v>
      </c>
      <c r="S652" s="16">
        <v>0</v>
      </c>
      <c r="T652" s="19">
        <f t="shared" si="64"/>
        <v>180</v>
      </c>
    </row>
    <row r="653" spans="1:20" x14ac:dyDescent="0.2">
      <c r="A653" s="28" t="s">
        <v>31</v>
      </c>
      <c r="B653" s="33"/>
      <c r="C653" s="33"/>
      <c r="F653" s="33">
        <f>F652</f>
        <v>239</v>
      </c>
      <c r="G653" s="33" t="str">
        <f>G652</f>
        <v>300-5130-00</v>
      </c>
      <c r="H653" s="36"/>
      <c r="K653" t="str">
        <f>"""GP Direct"",""Fabrikam, Inc."",""GL20000"",""DEX_ROW_ID"",""4039"""</f>
        <v>"GP Direct","Fabrikam, Inc.","GL20000","DEX_ROW_ID","4039"</v>
      </c>
      <c r="L653" s="15">
        <v>42387</v>
      </c>
      <c r="M653">
        <v>995</v>
      </c>
      <c r="N653" t="str">
        <f>"McConnell A.F. B."</f>
        <v>McConnell A.F. B.</v>
      </c>
      <c r="O653" t="str">
        <f>"STDINV2022"</f>
        <v>STDINV2022</v>
      </c>
      <c r="P653" t="str">
        <f>"Sales Transaction Entry"</f>
        <v>Sales Transaction Entry</v>
      </c>
      <c r="Q653" s="21" t="str">
        <f>"Commissions Expense"</f>
        <v>Commissions Expense</v>
      </c>
      <c r="R653" s="16">
        <v>40.5</v>
      </c>
      <c r="S653" s="16">
        <v>0</v>
      </c>
      <c r="T653" s="19">
        <f t="shared" si="64"/>
        <v>40.5</v>
      </c>
    </row>
    <row r="654" spans="1:20" x14ac:dyDescent="0.2">
      <c r="A654" s="28" t="s">
        <v>31</v>
      </c>
      <c r="B654" s="33"/>
      <c r="C654" s="33"/>
      <c r="F654" s="33">
        <f>F653</f>
        <v>239</v>
      </c>
      <c r="G654" s="33" t="str">
        <f>G653</f>
        <v>300-5130-00</v>
      </c>
      <c r="H654" s="36"/>
      <c r="K654" t="str">
        <f>"""GP Direct"",""Fabrikam, Inc."",""GL20000"",""DEX_ROW_ID"",""4049"""</f>
        <v>"GP Direct","Fabrikam, Inc.","GL20000","DEX_ROW_ID","4049"</v>
      </c>
      <c r="L654" s="15">
        <v>42388</v>
      </c>
      <c r="M654">
        <v>997</v>
      </c>
      <c r="N654" t="str">
        <f>"Astor Suites"</f>
        <v>Astor Suites</v>
      </c>
      <c r="O654" t="str">
        <f>"STDINV2023"</f>
        <v>STDINV2023</v>
      </c>
      <c r="P654" t="str">
        <f>"Sales Transaction Entry"</f>
        <v>Sales Transaction Entry</v>
      </c>
      <c r="Q654" s="21" t="str">
        <f>"Commissions Expense"</f>
        <v>Commissions Expense</v>
      </c>
      <c r="R654" s="16">
        <v>0.9</v>
      </c>
      <c r="S654" s="16">
        <v>0</v>
      </c>
      <c r="T654" s="19">
        <f t="shared" si="64"/>
        <v>0.9</v>
      </c>
    </row>
    <row r="655" spans="1:20" x14ac:dyDescent="0.2">
      <c r="A655" s="28" t="s">
        <v>31</v>
      </c>
      <c r="B655" s="33"/>
      <c r="C655" s="33"/>
      <c r="F655" s="33">
        <f>F654</f>
        <v>239</v>
      </c>
      <c r="G655" s="33" t="str">
        <f>G654</f>
        <v>300-5130-00</v>
      </c>
      <c r="H655" s="36"/>
      <c r="K655" t="str">
        <f>"""GP Direct"",""Fabrikam, Inc."",""GL20000"",""DEX_ROW_ID"",""4059"""</f>
        <v>"GP Direct","Fabrikam, Inc.","GL20000","DEX_ROW_ID","4059"</v>
      </c>
      <c r="L655" s="15">
        <v>42390</v>
      </c>
      <c r="M655">
        <v>999</v>
      </c>
      <c r="N655" t="str">
        <f>"Plaza One"</f>
        <v>Plaza One</v>
      </c>
      <c r="O655" t="str">
        <f>"STDINV2024"</f>
        <v>STDINV2024</v>
      </c>
      <c r="P655" t="str">
        <f>"Sales Transaction Entry"</f>
        <v>Sales Transaction Entry</v>
      </c>
      <c r="Q655" s="21" t="str">
        <f>"Commissions Expense"</f>
        <v>Commissions Expense</v>
      </c>
      <c r="R655" s="16">
        <v>22.79</v>
      </c>
      <c r="S655" s="16">
        <v>0</v>
      </c>
      <c r="T655" s="19">
        <f t="shared" si="64"/>
        <v>22.79</v>
      </c>
    </row>
    <row r="656" spans="1:20" x14ac:dyDescent="0.2">
      <c r="A656" s="28" t="s">
        <v>31</v>
      </c>
      <c r="B656" s="33"/>
      <c r="C656" s="33"/>
      <c r="F656" s="33">
        <f>F655</f>
        <v>239</v>
      </c>
      <c r="G656" s="33" t="str">
        <f>G655</f>
        <v>300-5130-00</v>
      </c>
      <c r="H656" s="36"/>
      <c r="K656" t="str">
        <f>"""GP Direct"",""Fabrikam, Inc."",""GL20000"",""DEX_ROW_ID"",""4068"""</f>
        <v>"GP Direct","Fabrikam, Inc.","GL20000","DEX_ROW_ID","4068"</v>
      </c>
      <c r="L656" s="15">
        <v>42391</v>
      </c>
      <c r="M656">
        <v>1001</v>
      </c>
      <c r="N656" t="str">
        <f>"Vancouver Resort Hotels"</f>
        <v>Vancouver Resort Hotels</v>
      </c>
      <c r="O656" t="str">
        <f>"STDINV2025"</f>
        <v>STDINV2025</v>
      </c>
      <c r="P656" t="str">
        <f>"Sales Transaction Entry"</f>
        <v>Sales Transaction Entry</v>
      </c>
      <c r="Q656" s="21" t="str">
        <f>"Commissions Expense"</f>
        <v>Commissions Expense</v>
      </c>
      <c r="R656" s="16">
        <v>719.99</v>
      </c>
      <c r="S656" s="16">
        <v>0</v>
      </c>
      <c r="T656" s="19">
        <f t="shared" si="64"/>
        <v>719.99</v>
      </c>
    </row>
    <row r="657" spans="1:20" x14ac:dyDescent="0.2">
      <c r="A657" s="28" t="s">
        <v>31</v>
      </c>
      <c r="B657" s="33"/>
      <c r="C657" s="33"/>
      <c r="F657" s="33">
        <f>F656</f>
        <v>239</v>
      </c>
      <c r="G657" s="33" t="str">
        <f>G656</f>
        <v>300-5130-00</v>
      </c>
      <c r="H657" s="36"/>
      <c r="K657" t="str">
        <f>"""GP Direct"",""Fabrikam, Inc."",""GL20000"",""DEX_ROW_ID"",""4078"""</f>
        <v>"GP Direct","Fabrikam, Inc.","GL20000","DEX_ROW_ID","4078"</v>
      </c>
      <c r="L657" s="15">
        <v>42392</v>
      </c>
      <c r="M657">
        <v>1003</v>
      </c>
      <c r="N657" t="str">
        <f>"Aaron Fitz Electrical"</f>
        <v>Aaron Fitz Electrical</v>
      </c>
      <c r="O657" t="str">
        <f>"STDINV2026"</f>
        <v>STDINV2026</v>
      </c>
      <c r="P657" t="str">
        <f>"Sales Transaction Entry"</f>
        <v>Sales Transaction Entry</v>
      </c>
      <c r="Q657" s="21" t="str">
        <f>"Commissions Expense"</f>
        <v>Commissions Expense</v>
      </c>
      <c r="R657" s="16">
        <v>3.6</v>
      </c>
      <c r="S657" s="16">
        <v>0</v>
      </c>
      <c r="T657" s="19">
        <f t="shared" si="64"/>
        <v>3.6</v>
      </c>
    </row>
    <row r="658" spans="1:20" x14ac:dyDescent="0.2">
      <c r="A658" s="28" t="s">
        <v>31</v>
      </c>
      <c r="B658" s="33"/>
      <c r="C658" s="33"/>
      <c r="F658" s="33">
        <f>F657</f>
        <v>239</v>
      </c>
      <c r="G658" s="33" t="str">
        <f>G657</f>
        <v>300-5130-00</v>
      </c>
      <c r="H658" s="36"/>
      <c r="K658" t="str">
        <f>"""GP Direct"",""Fabrikam, Inc."",""GL20000"",""DEX_ROW_ID"",""4088"""</f>
        <v>"GP Direct","Fabrikam, Inc.","GL20000","DEX_ROW_ID","4088"</v>
      </c>
      <c r="L658" s="15">
        <v>42393</v>
      </c>
      <c r="M658">
        <v>1005</v>
      </c>
      <c r="N658" t="str">
        <f>"Aaron Fitz Electrical"</f>
        <v>Aaron Fitz Electrical</v>
      </c>
      <c r="O658" t="str">
        <f>"STDINV2027"</f>
        <v>STDINV2027</v>
      </c>
      <c r="P658" t="str">
        <f>"Sales Transaction Entry"</f>
        <v>Sales Transaction Entry</v>
      </c>
      <c r="Q658" s="21" t="str">
        <f>"Commissions Expense"</f>
        <v>Commissions Expense</v>
      </c>
      <c r="R658" s="16">
        <v>3.3</v>
      </c>
      <c r="S658" s="16">
        <v>0</v>
      </c>
      <c r="T658" s="19">
        <f t="shared" si="64"/>
        <v>3.3</v>
      </c>
    </row>
    <row r="659" spans="1:20" x14ac:dyDescent="0.2">
      <c r="A659" s="28" t="s">
        <v>31</v>
      </c>
      <c r="B659" s="33"/>
      <c r="C659" s="33"/>
      <c r="F659" s="33">
        <f>F658</f>
        <v>239</v>
      </c>
      <c r="G659" s="33" t="str">
        <f>G658</f>
        <v>300-5130-00</v>
      </c>
      <c r="H659" s="36"/>
      <c r="K659" t="str">
        <f>"""GP Direct"",""Fabrikam, Inc."",""GL20000"",""DEX_ROW_ID"",""4098"""</f>
        <v>"GP Direct","Fabrikam, Inc.","GL20000","DEX_ROW_ID","4098"</v>
      </c>
      <c r="L659" s="15">
        <v>42394</v>
      </c>
      <c r="M659">
        <v>1007</v>
      </c>
      <c r="N659" t="str">
        <f>"Adam Park Resort"</f>
        <v>Adam Park Resort</v>
      </c>
      <c r="O659" t="str">
        <f>"STDINV2028"</f>
        <v>STDINV2028</v>
      </c>
      <c r="P659" t="str">
        <f>"Sales Transaction Entry"</f>
        <v>Sales Transaction Entry</v>
      </c>
      <c r="Q659" s="21" t="str">
        <f>"Commissions Expense"</f>
        <v>Commissions Expense</v>
      </c>
      <c r="R659" s="16">
        <v>17.989999999999998</v>
      </c>
      <c r="S659" s="16">
        <v>0</v>
      </c>
      <c r="T659" s="19">
        <f t="shared" si="64"/>
        <v>17.989999999999998</v>
      </c>
    </row>
    <row r="660" spans="1:20" x14ac:dyDescent="0.2">
      <c r="A660" s="28" t="s">
        <v>31</v>
      </c>
      <c r="B660" s="33"/>
      <c r="C660" s="33"/>
      <c r="F660" s="33">
        <f>F659</f>
        <v>239</v>
      </c>
      <c r="G660" s="33" t="str">
        <f>G659</f>
        <v>300-5130-00</v>
      </c>
      <c r="H660" s="36"/>
      <c r="K660" t="str">
        <f>"""GP Direct"",""Fabrikam, Inc."",""GL20000"",""DEX_ROW_ID"",""4108"""</f>
        <v>"GP Direct","Fabrikam, Inc.","GL20000","DEX_ROW_ID","4108"</v>
      </c>
      <c r="L660" s="15">
        <v>42395</v>
      </c>
      <c r="M660">
        <v>1009</v>
      </c>
      <c r="N660" t="str">
        <f>"Aaron Fitz Electrical"</f>
        <v>Aaron Fitz Electrical</v>
      </c>
      <c r="O660" t="str">
        <f>"STDINV2029"</f>
        <v>STDINV2029</v>
      </c>
      <c r="P660" t="str">
        <f>"Sales Transaction Entry"</f>
        <v>Sales Transaction Entry</v>
      </c>
      <c r="Q660" s="21" t="str">
        <f>"Commissions Expense"</f>
        <v>Commissions Expense</v>
      </c>
      <c r="R660" s="16">
        <v>17.989999999999998</v>
      </c>
      <c r="S660" s="16">
        <v>0</v>
      </c>
      <c r="T660" s="19">
        <f t="shared" si="64"/>
        <v>17.989999999999998</v>
      </c>
    </row>
    <row r="661" spans="1:20" x14ac:dyDescent="0.2">
      <c r="A661" s="28" t="s">
        <v>31</v>
      </c>
      <c r="B661" s="33"/>
      <c r="C661" s="33"/>
      <c r="F661" s="33">
        <f>F660</f>
        <v>239</v>
      </c>
      <c r="G661" s="33" t="str">
        <f>G660</f>
        <v>300-5130-00</v>
      </c>
      <c r="H661" s="36"/>
      <c r="K661" t="str">
        <f>"""GP Direct"",""Fabrikam, Inc."",""GL20000"",""DEX_ROW_ID"",""4118"""</f>
        <v>"GP Direct","Fabrikam, Inc.","GL20000","DEX_ROW_ID","4118"</v>
      </c>
      <c r="L661" s="15">
        <v>42396</v>
      </c>
      <c r="M661">
        <v>1011</v>
      </c>
      <c r="N661" t="str">
        <f>"Aaron Fitz Electrical"</f>
        <v>Aaron Fitz Electrical</v>
      </c>
      <c r="O661" t="str">
        <f>"STDINV2030"</f>
        <v>STDINV2030</v>
      </c>
      <c r="P661" t="str">
        <f>"Sales Transaction Entry"</f>
        <v>Sales Transaction Entry</v>
      </c>
      <c r="Q661" s="21" t="str">
        <f>"Commissions Expense"</f>
        <v>Commissions Expense</v>
      </c>
      <c r="R661" s="16">
        <v>3.6</v>
      </c>
      <c r="S661" s="16">
        <v>0</v>
      </c>
      <c r="T661" s="19">
        <f t="shared" si="64"/>
        <v>3.6</v>
      </c>
    </row>
    <row r="662" spans="1:20" x14ac:dyDescent="0.2">
      <c r="A662" s="28" t="s">
        <v>31</v>
      </c>
      <c r="B662" s="33"/>
      <c r="C662" s="33"/>
      <c r="F662" s="33">
        <f>F661</f>
        <v>239</v>
      </c>
      <c r="G662" s="33" t="str">
        <f>G661</f>
        <v>300-5130-00</v>
      </c>
      <c r="H662" s="36"/>
      <c r="K662" t="str">
        <f>"""GP Direct"",""Fabrikam, Inc."",""GL20000"",""DEX_ROW_ID"",""4128"""</f>
        <v>"GP Direct","Fabrikam, Inc.","GL20000","DEX_ROW_ID","4128"</v>
      </c>
      <c r="L662" s="15">
        <v>42397</v>
      </c>
      <c r="M662">
        <v>1013</v>
      </c>
      <c r="N662" t="str">
        <f>"Contoso, Ltd."</f>
        <v>Contoso, Ltd.</v>
      </c>
      <c r="O662" t="str">
        <f>"STDINV2031"</f>
        <v>STDINV2031</v>
      </c>
      <c r="P662" t="str">
        <f>"Sales Transaction Entry"</f>
        <v>Sales Transaction Entry</v>
      </c>
      <c r="Q662" s="21" t="str">
        <f>"Commissions Expense"</f>
        <v>Commissions Expense</v>
      </c>
      <c r="R662" s="16">
        <v>8.99</v>
      </c>
      <c r="S662" s="16">
        <v>0</v>
      </c>
      <c r="T662" s="19">
        <f t="shared" si="64"/>
        <v>8.99</v>
      </c>
    </row>
    <row r="663" spans="1:20" x14ac:dyDescent="0.2">
      <c r="A663" s="28" t="s">
        <v>31</v>
      </c>
      <c r="B663" s="33"/>
      <c r="C663" s="33"/>
      <c r="F663" s="33">
        <f>F662</f>
        <v>239</v>
      </c>
      <c r="G663" s="33" t="str">
        <f>G662</f>
        <v>300-5130-00</v>
      </c>
      <c r="H663" s="36"/>
      <c r="K663" t="str">
        <f>"""GP Direct"",""Fabrikam, Inc."",""GL20000"",""DEX_ROW_ID"",""4137"""</f>
        <v>"GP Direct","Fabrikam, Inc.","GL20000","DEX_ROW_ID","4137"</v>
      </c>
      <c r="L663" s="15">
        <v>42398</v>
      </c>
      <c r="M663">
        <v>1015</v>
      </c>
      <c r="N663" t="str">
        <f>"Vancouver Resort Hotels"</f>
        <v>Vancouver Resort Hotels</v>
      </c>
      <c r="O663" t="str">
        <f>"STDINV2032"</f>
        <v>STDINV2032</v>
      </c>
      <c r="P663" t="str">
        <f>"Sales Transaction Entry"</f>
        <v>Sales Transaction Entry</v>
      </c>
      <c r="Q663" s="21" t="str">
        <f>"Commissions Expense"</f>
        <v>Commissions Expense</v>
      </c>
      <c r="R663" s="16">
        <v>1.8</v>
      </c>
      <c r="S663" s="16">
        <v>0</v>
      </c>
      <c r="T663" s="19">
        <f t="shared" si="64"/>
        <v>1.8</v>
      </c>
    </row>
    <row r="664" spans="1:20" x14ac:dyDescent="0.2">
      <c r="A664" s="28" t="s">
        <v>31</v>
      </c>
      <c r="B664" s="33"/>
      <c r="C664" s="33"/>
      <c r="F664" s="33">
        <f>F663</f>
        <v>239</v>
      </c>
      <c r="G664" s="33" t="str">
        <f>G663</f>
        <v>300-5130-00</v>
      </c>
      <c r="H664" s="36"/>
      <c r="K664" t="str">
        <f>"""GP Direct"",""Fabrikam, Inc."",""GL20000"",""DEX_ROW_ID"",""4147"""</f>
        <v>"GP Direct","Fabrikam, Inc.","GL20000","DEX_ROW_ID","4147"</v>
      </c>
      <c r="L664" s="15">
        <v>42399</v>
      </c>
      <c r="M664">
        <v>1017</v>
      </c>
      <c r="N664" t="str">
        <f>"Plaza One"</f>
        <v>Plaza One</v>
      </c>
      <c r="O664" t="str">
        <f>"STDINV2033"</f>
        <v>STDINV2033</v>
      </c>
      <c r="P664" t="str">
        <f>"Sales Transaction Entry"</f>
        <v>Sales Transaction Entry</v>
      </c>
      <c r="Q664" s="21" t="str">
        <f>"Commissions Expense"</f>
        <v>Commissions Expense</v>
      </c>
      <c r="R664" s="16">
        <v>7.2</v>
      </c>
      <c r="S664" s="16">
        <v>0</v>
      </c>
      <c r="T664" s="19">
        <f t="shared" si="64"/>
        <v>7.2</v>
      </c>
    </row>
    <row r="665" spans="1:20" x14ac:dyDescent="0.2">
      <c r="A665" s="28" t="s">
        <v>31</v>
      </c>
      <c r="B665" s="33"/>
      <c r="C665" s="33"/>
      <c r="F665" s="33">
        <f>F664</f>
        <v>239</v>
      </c>
      <c r="G665" s="33" t="str">
        <f>G664</f>
        <v>300-5130-00</v>
      </c>
      <c r="H665" s="36"/>
      <c r="K665" t="str">
        <f>"""GP Direct"",""Fabrikam, Inc."",""GL20000"",""DEX_ROW_ID"",""4157"""</f>
        <v>"GP Direct","Fabrikam, Inc.","GL20000","DEX_ROW_ID","4157"</v>
      </c>
      <c r="L665" s="15">
        <v>42400</v>
      </c>
      <c r="M665">
        <v>1019</v>
      </c>
      <c r="N665" t="str">
        <f>"Central Communications LTD"</f>
        <v>Central Communications LTD</v>
      </c>
      <c r="O665" t="str">
        <f>"STDINV2034"</f>
        <v>STDINV2034</v>
      </c>
      <c r="P665" t="str">
        <f>"Sales Transaction Entry"</f>
        <v>Sales Transaction Entry</v>
      </c>
      <c r="Q665" s="21" t="str">
        <f>"Commissions Expense"</f>
        <v>Commissions Expense</v>
      </c>
      <c r="R665" s="16">
        <v>8.99</v>
      </c>
      <c r="S665" s="16">
        <v>0</v>
      </c>
      <c r="T665" s="19">
        <f t="shared" si="64"/>
        <v>8.99</v>
      </c>
    </row>
    <row r="666" spans="1:20" x14ac:dyDescent="0.2">
      <c r="A666" s="28" t="s">
        <v>31</v>
      </c>
      <c r="B666" s="33"/>
      <c r="C666" s="33"/>
      <c r="F666" s="33">
        <f>F665</f>
        <v>239</v>
      </c>
      <c r="G666" s="33" t="str">
        <f>G665</f>
        <v>300-5130-00</v>
      </c>
      <c r="H666" s="36"/>
      <c r="K666" t="str">
        <f>"""GP Direct"",""Fabrikam, Inc."",""GL20000"",""DEX_ROW_ID"",""4936"""</f>
        <v>"GP Direct","Fabrikam, Inc.","GL20000","DEX_ROW_ID","4936"</v>
      </c>
      <c r="L666" s="15">
        <v>42377</v>
      </c>
      <c r="M666">
        <v>1204</v>
      </c>
      <c r="N666" t="str">
        <f>"Aaron Fitz Electrical"</f>
        <v>Aaron Fitz Electrical</v>
      </c>
      <c r="O666" t="str">
        <f>"STDINV2120"</f>
        <v>STDINV2120</v>
      </c>
      <c r="P666" t="str">
        <f>"Sales Transaction Entry"</f>
        <v>Sales Transaction Entry</v>
      </c>
      <c r="Q666" s="21" t="str">
        <f>"Commissions Expense"</f>
        <v>Commissions Expense</v>
      </c>
      <c r="R666" s="16">
        <v>34.19</v>
      </c>
      <c r="S666" s="16">
        <v>0</v>
      </c>
      <c r="T666" s="19">
        <f t="shared" si="64"/>
        <v>34.19</v>
      </c>
    </row>
    <row r="667" spans="1:20" x14ac:dyDescent="0.2">
      <c r="A667" s="28" t="s">
        <v>31</v>
      </c>
      <c r="B667" s="33"/>
      <c r="C667" s="33"/>
      <c r="F667" s="33">
        <f>F666</f>
        <v>239</v>
      </c>
      <c r="G667" s="33" t="str">
        <f>G666</f>
        <v>300-5130-00</v>
      </c>
      <c r="H667" s="36"/>
      <c r="K667" t="str">
        <f>"""GP Direct"",""Fabrikam, Inc."",""GL20000"",""DEX_ROW_ID"",""4946"""</f>
        <v>"GP Direct","Fabrikam, Inc.","GL20000","DEX_ROW_ID","4946"</v>
      </c>
      <c r="L667" s="15">
        <v>42377</v>
      </c>
      <c r="M667">
        <v>1205</v>
      </c>
      <c r="N667" t="str">
        <f>"Advanced Paper Co."</f>
        <v>Advanced Paper Co.</v>
      </c>
      <c r="O667" t="str">
        <f>"STDINV2121"</f>
        <v>STDINV2121</v>
      </c>
      <c r="P667" t="str">
        <f>"Sales Transaction Entry"</f>
        <v>Sales Transaction Entry</v>
      </c>
      <c r="Q667" s="21" t="str">
        <f>"Commissions Expense"</f>
        <v>Commissions Expense</v>
      </c>
      <c r="R667" s="16">
        <v>7.19</v>
      </c>
      <c r="S667" s="16">
        <v>0</v>
      </c>
      <c r="T667" s="19">
        <f t="shared" si="64"/>
        <v>7.19</v>
      </c>
    </row>
    <row r="668" spans="1:20" x14ac:dyDescent="0.2">
      <c r="A668" s="28" t="s">
        <v>31</v>
      </c>
      <c r="B668" s="33"/>
      <c r="C668" s="33"/>
      <c r="F668" s="33">
        <f>F631</f>
        <v>239</v>
      </c>
      <c r="G668" s="33" t="str">
        <f>G631</f>
        <v>300-5130-00</v>
      </c>
      <c r="H668" s="36"/>
    </row>
    <row r="669" spans="1:20" x14ac:dyDescent="0.2">
      <c r="A669" s="28" t="s">
        <v>31</v>
      </c>
      <c r="I669" s="37" t="str">
        <f>I629&amp;"   "&amp;J629&amp;"         Total:"</f>
        <v>300-5130-00   Commissions - Sales         Total:</v>
      </c>
      <c r="J669" s="37"/>
      <c r="K669" s="37"/>
      <c r="L669" s="37"/>
      <c r="M669" s="37"/>
      <c r="N669" s="37"/>
      <c r="O669" s="37"/>
      <c r="P669" s="37"/>
      <c r="Q669" s="37"/>
      <c r="R669" s="37"/>
      <c r="S669" s="37"/>
      <c r="T669" s="23">
        <f t="shared" ref="T669" si="65">SUBTOTAL(9,T630:T668)</f>
        <v>1817.24</v>
      </c>
    </row>
    <row r="670" spans="1:20" x14ac:dyDescent="0.2">
      <c r="A670" s="28" t="s">
        <v>31</v>
      </c>
    </row>
    <row r="671" spans="1:20" x14ac:dyDescent="0.2">
      <c r="A671" s="28" t="s">
        <v>31</v>
      </c>
      <c r="D671" s="28" t="str">
        <f>"||""Filter"",""GL20000"",""ACTINDX"",""TRXDATE"",""1/1/2016..1/31/2016"",""ACTINDX"",""||""""Filter"""",""""GL00105"""",""""ACTINDX"""",""""ACTNUMBR_1"""",""""*"""",""""ACTNUMBR_2"""",""""*"""",""""ACTNUMBR_3"""",""""*"""","""""""","""""""","""""""","""""""","""""""","""""""","""""""","""""""","""""""","""""""","""""""","""""""","""""""","""""""""","""","""","""","""&amp;""","""","""","""","""","""","""","""","""","""","""","""","""""</f>
        <v>||"Filter","GL20000","ACTINDX","TRXDATE","1/1/2016..1/31/2016","ACTINDX","||""Filter"",""GL00105"",""ACTINDX"",""ACTNUMBR_1"",""*"",""ACTNUMBR_2"",""*"",""ACTNUMBR_3"",""*"","""","""","""","""","""","""","""","""","""","""","""","""","""",""""","","","","","","","","","","","","","","","",""</v>
      </c>
      <c r="E671" s="28" t="str">
        <f>"||""Filter"",""GL30000"",""ACTINDX"",""TRXDATE"",""1/1/2016..1/31/2016"",""ACTINDX"",""||""""Filter"""",""""GL00105"""",""""ACTINDX"""",""""ACTNUMBR_1"""",""""*"""",""""ACTNUMBR_2"""",""""*"""",""""ACTNUMBR_3"""",""""*"""","""""""","""""""","""""""","""""""","""""""","""""""","""""""","""""""","""""""","""""""","""""""","""""""","""""""","""""""""","""","""","""","""&amp;""","""","""","""","""","""","""","""","""","""","""","""","""""</f>
        <v>||"Filter","GL30000","ACTINDX","TRXDATE","1/1/2016..1/31/2016","ACTINDX","||""Filter"",""GL00105"",""ACTINDX"",""ACTNUMBR_1"",""*"",""ACTNUMBR_2"",""*"",""ACTNUMBR_3"",""*"","""","""","""","""","""","""","""","""","""","""","""","""","""",""""","","","","","","","","","","","","","","","",""</v>
      </c>
      <c r="F671" s="28">
        <v>447</v>
      </c>
      <c r="G671" s="28" t="str">
        <f>"000-2111-00"</f>
        <v>000-2111-00</v>
      </c>
      <c r="I671" s="17" t="str">
        <f>G671</f>
        <v>000-2111-00</v>
      </c>
      <c r="J671" s="17" t="str">
        <f>"Accrued Purchases"</f>
        <v>Accrued Purchases</v>
      </c>
      <c r="Q671" s="17"/>
      <c r="R671" s="18"/>
    </row>
    <row r="672" spans="1:20" x14ac:dyDescent="0.2">
      <c r="A672" s="28" t="s">
        <v>31</v>
      </c>
      <c r="B672" s="33"/>
      <c r="C672" s="33"/>
      <c r="F672" s="33">
        <f>F671</f>
        <v>447</v>
      </c>
      <c r="G672" s="33" t="str">
        <f>G671</f>
        <v>000-2111-00</v>
      </c>
      <c r="H672" s="36"/>
      <c r="L672" s="15"/>
      <c r="Q672" s="21"/>
      <c r="R672" s="16"/>
      <c r="S672" s="16">
        <f>IF($K672="",0,-_xll.NF($K672,"CRDTAMNT"))</f>
        <v>0</v>
      </c>
      <c r="T672" s="19">
        <f t="shared" ref="T672:T673" si="66">SUM(R672:S672)</f>
        <v>0</v>
      </c>
    </row>
    <row r="673" spans="1:20" x14ac:dyDescent="0.2">
      <c r="A673" s="28" t="s">
        <v>31</v>
      </c>
      <c r="B673" s="33"/>
      <c r="C673" s="33"/>
      <c r="F673" s="33">
        <f>F672</f>
        <v>447</v>
      </c>
      <c r="G673" s="33" t="str">
        <f>G672</f>
        <v>000-2111-00</v>
      </c>
      <c r="H673" s="36"/>
      <c r="K673" t="str">
        <f>"""GP Direct"",""Fabrikam, Inc."",""GL20000"",""DEX_ROW_ID"",""3550"""</f>
        <v>"GP Direct","Fabrikam, Inc.","GL20000","DEX_ROW_ID","3550"</v>
      </c>
      <c r="L673" s="15">
        <v>42377</v>
      </c>
      <c r="M673">
        <v>825</v>
      </c>
      <c r="N673" t="str">
        <f>"Associated Insurance Inc."</f>
        <v>Associated Insurance Inc.</v>
      </c>
      <c r="O673" t="str">
        <f>"RCT1012"</f>
        <v>RCT1012</v>
      </c>
      <c r="P673" t="str">
        <f>"Receivings Transaction Entry"</f>
        <v>Receivings Transaction Entry</v>
      </c>
      <c r="Q673" s="21" t="str">
        <f>"Accrued Purchases"</f>
        <v>Accrued Purchases</v>
      </c>
      <c r="R673" s="16">
        <v>0</v>
      </c>
      <c r="S673" s="16">
        <v>-50.25</v>
      </c>
      <c r="T673" s="19">
        <f t="shared" si="66"/>
        <v>-50.25</v>
      </c>
    </row>
    <row r="674" spans="1:20" x14ac:dyDescent="0.2">
      <c r="A674" s="28" t="s">
        <v>31</v>
      </c>
      <c r="B674" s="33"/>
      <c r="C674" s="33"/>
      <c r="F674" s="33">
        <f>F673</f>
        <v>447</v>
      </c>
      <c r="G674" s="33" t="str">
        <f>G673</f>
        <v>000-2111-00</v>
      </c>
      <c r="H674" s="36"/>
      <c r="K674" t="str">
        <f>"""GP Direct"",""Fabrikam, Inc."",""GL20000"",""DEX_ROW_ID"",""3552"""</f>
        <v>"GP Direct","Fabrikam, Inc.","GL20000","DEX_ROW_ID","3552"</v>
      </c>
      <c r="L674" s="15">
        <v>42377</v>
      </c>
      <c r="M674">
        <v>826</v>
      </c>
      <c r="N674" t="str">
        <f>"Associated Insurance Inc."</f>
        <v>Associated Insurance Inc.</v>
      </c>
      <c r="O674" t="str">
        <f>"RCT1013"</f>
        <v>RCT1013</v>
      </c>
      <c r="P674" t="str">
        <f>"Purchasing Invoice Entry"</f>
        <v>Purchasing Invoice Entry</v>
      </c>
      <c r="Q674" s="21" t="str">
        <f>"Accrued Purchases"</f>
        <v>Accrued Purchases</v>
      </c>
      <c r="R674" s="16">
        <v>50.25</v>
      </c>
      <c r="S674" s="16">
        <v>0</v>
      </c>
      <c r="T674" s="19">
        <f t="shared" ref="T674:T692" si="67">SUM(R674:S674)</f>
        <v>50.25</v>
      </c>
    </row>
    <row r="675" spans="1:20" x14ac:dyDescent="0.2">
      <c r="A675" s="28" t="s">
        <v>31</v>
      </c>
      <c r="B675" s="33"/>
      <c r="C675" s="33"/>
      <c r="F675" s="33">
        <f>F674</f>
        <v>447</v>
      </c>
      <c r="G675" s="33" t="str">
        <f>G674</f>
        <v>000-2111-00</v>
      </c>
      <c r="H675" s="36"/>
      <c r="K675" t="str">
        <f>"""GP Direct"",""Fabrikam, Inc."",""GL20000"",""DEX_ROW_ID"",""3560"""</f>
        <v>"GP Direct","Fabrikam, Inc.","GL20000","DEX_ROW_ID","3560"</v>
      </c>
      <c r="L675" s="15">
        <v>42377</v>
      </c>
      <c r="M675">
        <v>830</v>
      </c>
      <c r="N675" t="str">
        <f>"Associated Insurance Inc."</f>
        <v>Associated Insurance Inc.</v>
      </c>
      <c r="O675" t="str">
        <f>"RCT1014"</f>
        <v>RCT1014</v>
      </c>
      <c r="P675" t="str">
        <f>"Receivings Transaction Entry"</f>
        <v>Receivings Transaction Entry</v>
      </c>
      <c r="Q675" s="21" t="str">
        <f>"Accrued Purchases"</f>
        <v>Accrued Purchases</v>
      </c>
      <c r="R675" s="16">
        <v>0</v>
      </c>
      <c r="S675" s="16">
        <v>-141.84</v>
      </c>
      <c r="T675" s="19">
        <f t="shared" si="67"/>
        <v>-141.84</v>
      </c>
    </row>
    <row r="676" spans="1:20" x14ac:dyDescent="0.2">
      <c r="A676" s="28" t="s">
        <v>31</v>
      </c>
      <c r="B676" s="33"/>
      <c r="C676" s="33"/>
      <c r="F676" s="33">
        <f>F675</f>
        <v>447</v>
      </c>
      <c r="G676" s="33" t="str">
        <f>G675</f>
        <v>000-2111-00</v>
      </c>
      <c r="H676" s="36"/>
      <c r="K676" t="str">
        <f>"""GP Direct"",""Fabrikam, Inc."",""GL20000"",""DEX_ROW_ID"",""3562"""</f>
        <v>"GP Direct","Fabrikam, Inc.","GL20000","DEX_ROW_ID","3562"</v>
      </c>
      <c r="L676" s="15">
        <v>42378</v>
      </c>
      <c r="M676">
        <v>831</v>
      </c>
      <c r="N676" t="str">
        <f>"Associated Insurance Inc."</f>
        <v>Associated Insurance Inc.</v>
      </c>
      <c r="O676" t="str">
        <f>"RCT1015"</f>
        <v>RCT1015</v>
      </c>
      <c r="P676" t="str">
        <f>"Purchasing Invoice Entry"</f>
        <v>Purchasing Invoice Entry</v>
      </c>
      <c r="Q676" s="21" t="str">
        <f>"Accrued Purchases"</f>
        <v>Accrued Purchases</v>
      </c>
      <c r="R676" s="16">
        <v>141.84</v>
      </c>
      <c r="S676" s="16">
        <v>0</v>
      </c>
      <c r="T676" s="19">
        <f t="shared" si="67"/>
        <v>141.84</v>
      </c>
    </row>
    <row r="677" spans="1:20" x14ac:dyDescent="0.2">
      <c r="A677" s="28" t="s">
        <v>31</v>
      </c>
      <c r="B677" s="33"/>
      <c r="C677" s="33"/>
      <c r="F677" s="33">
        <f>F676</f>
        <v>447</v>
      </c>
      <c r="G677" s="33" t="str">
        <f>G676</f>
        <v>000-2111-00</v>
      </c>
      <c r="H677" s="36"/>
      <c r="K677" t="str">
        <f>"""GP Direct"",""Fabrikam, Inc."",""GL20000"",""DEX_ROW_ID"",""3566"""</f>
        <v>"GP Direct","Fabrikam, Inc.","GL20000","DEX_ROW_ID","3566"</v>
      </c>
      <c r="L677" s="15">
        <v>42381</v>
      </c>
      <c r="M677">
        <v>833</v>
      </c>
      <c r="N677" t="str">
        <f>"Advanced Office Systems"</f>
        <v>Advanced Office Systems</v>
      </c>
      <c r="O677" t="str">
        <f>"RCT1016"</f>
        <v>RCT1016</v>
      </c>
      <c r="P677" t="str">
        <f>"Receivings Transaction Entry"</f>
        <v>Receivings Transaction Entry</v>
      </c>
      <c r="Q677" s="21" t="str">
        <f>"Accrued Purchases"</f>
        <v>Accrued Purchases</v>
      </c>
      <c r="R677" s="16">
        <v>0</v>
      </c>
      <c r="S677" s="16">
        <v>-90.25</v>
      </c>
      <c r="T677" s="19">
        <f t="shared" si="67"/>
        <v>-90.25</v>
      </c>
    </row>
    <row r="678" spans="1:20" x14ac:dyDescent="0.2">
      <c r="A678" s="28" t="s">
        <v>31</v>
      </c>
      <c r="B678" s="33"/>
      <c r="C678" s="33"/>
      <c r="F678" s="33">
        <f>F677</f>
        <v>447</v>
      </c>
      <c r="G678" s="33" t="str">
        <f>G677</f>
        <v>000-2111-00</v>
      </c>
      <c r="H678" s="36"/>
      <c r="K678" t="str">
        <f>"""GP Direct"",""Fabrikam, Inc."",""GL20000"",""DEX_ROW_ID"",""3568"""</f>
        <v>"GP Direct","Fabrikam, Inc.","GL20000","DEX_ROW_ID","3568"</v>
      </c>
      <c r="L678" s="15">
        <v>42382</v>
      </c>
      <c r="M678">
        <v>834</v>
      </c>
      <c r="N678" t="str">
        <f>"Advanced Office Systems"</f>
        <v>Advanced Office Systems</v>
      </c>
      <c r="O678" t="str">
        <f>"RCT1017"</f>
        <v>RCT1017</v>
      </c>
      <c r="P678" t="str">
        <f>"Purchasing Invoice Entry"</f>
        <v>Purchasing Invoice Entry</v>
      </c>
      <c r="Q678" s="21" t="str">
        <f>"Accrued Purchases"</f>
        <v>Accrued Purchases</v>
      </c>
      <c r="R678" s="16">
        <v>90.25</v>
      </c>
      <c r="S678" s="16">
        <v>0</v>
      </c>
      <c r="T678" s="19">
        <f t="shared" si="67"/>
        <v>90.25</v>
      </c>
    </row>
    <row r="679" spans="1:20" x14ac:dyDescent="0.2">
      <c r="A679" s="28" t="s">
        <v>31</v>
      </c>
      <c r="B679" s="33"/>
      <c r="C679" s="33"/>
      <c r="F679" s="33">
        <f>F678</f>
        <v>447</v>
      </c>
      <c r="G679" s="33" t="str">
        <f>G678</f>
        <v>000-2111-00</v>
      </c>
      <c r="H679" s="36"/>
      <c r="K679" t="str">
        <f>"""GP Direct"",""Fabrikam, Inc."",""GL20000"",""DEX_ROW_ID"",""3572"""</f>
        <v>"GP Direct","Fabrikam, Inc.","GL20000","DEX_ROW_ID","3572"</v>
      </c>
      <c r="L679" s="15">
        <v>42385</v>
      </c>
      <c r="M679">
        <v>836</v>
      </c>
      <c r="N679" t="str">
        <f>"Central Cellular, Inc."</f>
        <v>Central Cellular, Inc.</v>
      </c>
      <c r="O679" t="str">
        <f>"RCT1018"</f>
        <v>RCT1018</v>
      </c>
      <c r="P679" t="str">
        <f>"Receivings Transaction Entry"</f>
        <v>Receivings Transaction Entry</v>
      </c>
      <c r="Q679" s="21" t="str">
        <f>"Accrued Purchases"</f>
        <v>Accrued Purchases</v>
      </c>
      <c r="R679" s="16">
        <v>0</v>
      </c>
      <c r="S679" s="16">
        <v>-93.55</v>
      </c>
      <c r="T679" s="19">
        <f t="shared" si="67"/>
        <v>-93.55</v>
      </c>
    </row>
    <row r="680" spans="1:20" x14ac:dyDescent="0.2">
      <c r="A680" s="28" t="s">
        <v>31</v>
      </c>
      <c r="B680" s="33"/>
      <c r="C680" s="33"/>
      <c r="F680" s="33">
        <f>F679</f>
        <v>447</v>
      </c>
      <c r="G680" s="33" t="str">
        <f>G679</f>
        <v>000-2111-00</v>
      </c>
      <c r="H680" s="36"/>
      <c r="K680" t="str">
        <f>"""GP Direct"",""Fabrikam, Inc."",""GL20000"",""DEX_ROW_ID"",""3574"""</f>
        <v>"GP Direct","Fabrikam, Inc.","GL20000","DEX_ROW_ID","3574"</v>
      </c>
      <c r="L680" s="15">
        <v>42386</v>
      </c>
      <c r="M680">
        <v>837</v>
      </c>
      <c r="N680" t="str">
        <f>"Central Cellular, Inc."</f>
        <v>Central Cellular, Inc.</v>
      </c>
      <c r="O680" t="str">
        <f>"RCT1019"</f>
        <v>RCT1019</v>
      </c>
      <c r="P680" t="str">
        <f>"Purchasing Invoice Entry"</f>
        <v>Purchasing Invoice Entry</v>
      </c>
      <c r="Q680" s="21" t="str">
        <f>"Accrued Purchases"</f>
        <v>Accrued Purchases</v>
      </c>
      <c r="R680" s="16">
        <v>93.55</v>
      </c>
      <c r="S680" s="16">
        <v>0</v>
      </c>
      <c r="T680" s="19">
        <f t="shared" si="67"/>
        <v>93.55</v>
      </c>
    </row>
    <row r="681" spans="1:20" x14ac:dyDescent="0.2">
      <c r="A681" s="28" t="s">
        <v>31</v>
      </c>
      <c r="B681" s="33"/>
      <c r="C681" s="33"/>
      <c r="F681" s="33">
        <f>F680</f>
        <v>447</v>
      </c>
      <c r="G681" s="33" t="str">
        <f>G680</f>
        <v>000-2111-00</v>
      </c>
      <c r="H681" s="36"/>
      <c r="K681" t="str">
        <f>"""GP Direct"",""Fabrikam, Inc."",""GL20000"",""DEX_ROW_ID"",""3578"""</f>
        <v>"GP Direct","Fabrikam, Inc.","GL20000","DEX_ROW_ID","3578"</v>
      </c>
      <c r="L681" s="15">
        <v>42389</v>
      </c>
      <c r="M681">
        <v>839</v>
      </c>
      <c r="N681" t="str">
        <f>"Advanced Office Systems"</f>
        <v>Advanced Office Systems</v>
      </c>
      <c r="O681" t="str">
        <f>"RCT1020"</f>
        <v>RCT1020</v>
      </c>
      <c r="P681" t="str">
        <f>"Receivings Transaction Entry"</f>
        <v>Receivings Transaction Entry</v>
      </c>
      <c r="Q681" s="21" t="str">
        <f>"Accrued Purchases"</f>
        <v>Accrued Purchases</v>
      </c>
      <c r="R681" s="16">
        <v>0</v>
      </c>
      <c r="S681" s="16">
        <v>-103.79</v>
      </c>
      <c r="T681" s="19">
        <f t="shared" si="67"/>
        <v>-103.79</v>
      </c>
    </row>
    <row r="682" spans="1:20" x14ac:dyDescent="0.2">
      <c r="A682" s="28" t="s">
        <v>31</v>
      </c>
      <c r="B682" s="33"/>
      <c r="C682" s="33"/>
      <c r="F682" s="33">
        <f>F681</f>
        <v>447</v>
      </c>
      <c r="G682" s="33" t="str">
        <f>G681</f>
        <v>000-2111-00</v>
      </c>
      <c r="H682" s="36"/>
      <c r="K682" t="str">
        <f>"""GP Direct"",""Fabrikam, Inc."",""GL20000"",""DEX_ROW_ID"",""3580"""</f>
        <v>"GP Direct","Fabrikam, Inc.","GL20000","DEX_ROW_ID","3580"</v>
      </c>
      <c r="L682" s="15">
        <v>42390</v>
      </c>
      <c r="M682">
        <v>840</v>
      </c>
      <c r="N682" t="str">
        <f>"Advanced Office Systems"</f>
        <v>Advanced Office Systems</v>
      </c>
      <c r="O682" t="str">
        <f>"RCT1021"</f>
        <v>RCT1021</v>
      </c>
      <c r="P682" t="str">
        <f>"Purchasing Invoice Entry"</f>
        <v>Purchasing Invoice Entry</v>
      </c>
      <c r="Q682" s="21" t="str">
        <f>"Accrued Purchases"</f>
        <v>Accrued Purchases</v>
      </c>
      <c r="R682" s="16">
        <v>103.79</v>
      </c>
      <c r="S682" s="16">
        <v>0</v>
      </c>
      <c r="T682" s="19">
        <f t="shared" si="67"/>
        <v>103.79</v>
      </c>
    </row>
    <row r="683" spans="1:20" x14ac:dyDescent="0.2">
      <c r="A683" s="28" t="s">
        <v>31</v>
      </c>
      <c r="B683" s="33"/>
      <c r="C683" s="33"/>
      <c r="F683" s="33">
        <f>F682</f>
        <v>447</v>
      </c>
      <c r="G683" s="33" t="str">
        <f>G682</f>
        <v>000-2111-00</v>
      </c>
      <c r="H683" s="36"/>
      <c r="K683" t="str">
        <f>"""GP Direct"",""Fabrikam, Inc."",""GL20000"",""DEX_ROW_ID"",""3584"""</f>
        <v>"GP Direct","Fabrikam, Inc.","GL20000","DEX_ROW_ID","3584"</v>
      </c>
      <c r="L683" s="15">
        <v>42391</v>
      </c>
      <c r="M683">
        <v>842</v>
      </c>
      <c r="N683" t="str">
        <f>"Attractive Telephone Co."</f>
        <v>Attractive Telephone Co.</v>
      </c>
      <c r="O683" t="str">
        <f>"RCT1022"</f>
        <v>RCT1022</v>
      </c>
      <c r="P683" t="str">
        <f>"Receivings Transaction Entry"</f>
        <v>Receivings Transaction Entry</v>
      </c>
      <c r="Q683" s="21" t="str">
        <f>"Accrued Purchases"</f>
        <v>Accrued Purchases</v>
      </c>
      <c r="R683" s="16">
        <v>0</v>
      </c>
      <c r="S683" s="16">
        <v>-271.62</v>
      </c>
      <c r="T683" s="19">
        <f t="shared" si="67"/>
        <v>-271.62</v>
      </c>
    </row>
    <row r="684" spans="1:20" x14ac:dyDescent="0.2">
      <c r="A684" s="28" t="s">
        <v>31</v>
      </c>
      <c r="B684" s="33"/>
      <c r="C684" s="33"/>
      <c r="F684" s="33">
        <f>F683</f>
        <v>447</v>
      </c>
      <c r="G684" s="33" t="str">
        <f>G683</f>
        <v>000-2111-00</v>
      </c>
      <c r="H684" s="36"/>
      <c r="K684" t="str">
        <f>"""GP Direct"",""Fabrikam, Inc."",""GL20000"",""DEX_ROW_ID"",""3586"""</f>
        <v>"GP Direct","Fabrikam, Inc.","GL20000","DEX_ROW_ID","3586"</v>
      </c>
      <c r="L684" s="15">
        <v>42392</v>
      </c>
      <c r="M684">
        <v>843</v>
      </c>
      <c r="N684" t="str">
        <f>"Attractive Telephone Co."</f>
        <v>Attractive Telephone Co.</v>
      </c>
      <c r="O684" t="str">
        <f>"RCT1023"</f>
        <v>RCT1023</v>
      </c>
      <c r="P684" t="str">
        <f>"Purchasing Invoice Entry"</f>
        <v>Purchasing Invoice Entry</v>
      </c>
      <c r="Q684" s="21" t="str">
        <f>"Accrued Purchases"</f>
        <v>Accrued Purchases</v>
      </c>
      <c r="R684" s="16">
        <v>271.62</v>
      </c>
      <c r="S684" s="16">
        <v>0</v>
      </c>
      <c r="T684" s="19">
        <f t="shared" si="67"/>
        <v>271.62</v>
      </c>
    </row>
    <row r="685" spans="1:20" x14ac:dyDescent="0.2">
      <c r="A685" s="28" t="s">
        <v>31</v>
      </c>
      <c r="B685" s="33"/>
      <c r="C685" s="33"/>
      <c r="F685" s="33">
        <f>F684</f>
        <v>447</v>
      </c>
      <c r="G685" s="33" t="str">
        <f>G684</f>
        <v>000-2111-00</v>
      </c>
      <c r="H685" s="36"/>
      <c r="K685" t="str">
        <f>"""GP Direct"",""Fabrikam, Inc."",""GL20000"",""DEX_ROW_ID"",""3590"""</f>
        <v>"GP Direct","Fabrikam, Inc.","GL20000","DEX_ROW_ID","3590"</v>
      </c>
      <c r="L685" s="15">
        <v>42393</v>
      </c>
      <c r="M685">
        <v>845</v>
      </c>
      <c r="N685" t="str">
        <f>"Green Lake Wire Company"</f>
        <v>Green Lake Wire Company</v>
      </c>
      <c r="O685" t="str">
        <f>"RCT1024"</f>
        <v>RCT1024</v>
      </c>
      <c r="P685" t="str">
        <f>"Receivings Transaction Entry"</f>
        <v>Receivings Transaction Entry</v>
      </c>
      <c r="Q685" s="21" t="str">
        <f>"Accrued Purchases"</f>
        <v>Accrued Purchases</v>
      </c>
      <c r="R685" s="16">
        <v>0</v>
      </c>
      <c r="S685" s="16">
        <v>-620</v>
      </c>
      <c r="T685" s="19">
        <f t="shared" si="67"/>
        <v>-620</v>
      </c>
    </row>
    <row r="686" spans="1:20" x14ac:dyDescent="0.2">
      <c r="A686" s="28" t="s">
        <v>31</v>
      </c>
      <c r="B686" s="33"/>
      <c r="C686" s="33"/>
      <c r="F686" s="33">
        <f>F685</f>
        <v>447</v>
      </c>
      <c r="G686" s="33" t="str">
        <f>G685</f>
        <v>000-2111-00</v>
      </c>
      <c r="H686" s="36"/>
      <c r="K686" t="str">
        <f>"""GP Direct"",""Fabrikam, Inc."",""GL20000"",""DEX_ROW_ID"",""3593"""</f>
        <v>"GP Direct","Fabrikam, Inc.","GL20000","DEX_ROW_ID","3593"</v>
      </c>
      <c r="L686" s="15">
        <v>42394</v>
      </c>
      <c r="M686">
        <v>846</v>
      </c>
      <c r="N686" t="str">
        <f>"Green Lake Wire Company"</f>
        <v>Green Lake Wire Company</v>
      </c>
      <c r="O686" t="str">
        <f>"RCT1025"</f>
        <v>RCT1025</v>
      </c>
      <c r="P686" t="str">
        <f>"Purchasing Invoice Entry"</f>
        <v>Purchasing Invoice Entry</v>
      </c>
      <c r="Q686" s="21" t="str">
        <f>"Accrued Purchases"</f>
        <v>Accrued Purchases</v>
      </c>
      <c r="R686" s="16">
        <v>620</v>
      </c>
      <c r="S686" s="16">
        <v>0</v>
      </c>
      <c r="T686" s="19">
        <f t="shared" si="67"/>
        <v>620</v>
      </c>
    </row>
    <row r="687" spans="1:20" x14ac:dyDescent="0.2">
      <c r="A687" s="28" t="s">
        <v>31</v>
      </c>
      <c r="B687" s="33"/>
      <c r="C687" s="33"/>
      <c r="F687" s="33">
        <f>F686</f>
        <v>447</v>
      </c>
      <c r="G687" s="33" t="str">
        <f>G686</f>
        <v>000-2111-00</v>
      </c>
      <c r="H687" s="36"/>
      <c r="K687" t="str">
        <f>"""GP Direct"",""Fabrikam, Inc."",""GL20000"",""DEX_ROW_ID"",""3599"""</f>
        <v>"GP Direct","Fabrikam, Inc.","GL20000","DEX_ROW_ID","3599"</v>
      </c>
      <c r="L687" s="15">
        <v>42394</v>
      </c>
      <c r="M687">
        <v>848</v>
      </c>
      <c r="N687" t="str">
        <f>"Fabrikam, Inc."</f>
        <v>Fabrikam, Inc.</v>
      </c>
      <c r="O687" t="str">
        <f>"RCT1026"</f>
        <v>RCT1026</v>
      </c>
      <c r="P687" t="str">
        <f>"Receivings Transaction Entry"</f>
        <v>Receivings Transaction Entry</v>
      </c>
      <c r="Q687" s="21" t="str">
        <f>"Accrued Purchases"</f>
        <v>Accrued Purchases</v>
      </c>
      <c r="R687" s="16">
        <v>0</v>
      </c>
      <c r="S687" s="16">
        <v>-1262.5</v>
      </c>
      <c r="T687" s="19">
        <f t="shared" si="67"/>
        <v>-1262.5</v>
      </c>
    </row>
    <row r="688" spans="1:20" x14ac:dyDescent="0.2">
      <c r="A688" s="28" t="s">
        <v>31</v>
      </c>
      <c r="B688" s="33"/>
      <c r="C688" s="33"/>
      <c r="F688" s="33">
        <f>F687</f>
        <v>447</v>
      </c>
      <c r="G688" s="33" t="str">
        <f>G687</f>
        <v>000-2111-00</v>
      </c>
      <c r="H688" s="36"/>
      <c r="K688" t="str">
        <f>"""GP Direct"",""Fabrikam, Inc."",""GL20000"",""DEX_ROW_ID"",""3601"""</f>
        <v>"GP Direct","Fabrikam, Inc.","GL20000","DEX_ROW_ID","3601"</v>
      </c>
      <c r="L688" s="15">
        <v>42395</v>
      </c>
      <c r="M688">
        <v>849</v>
      </c>
      <c r="N688" t="str">
        <f>"Fabrikam, Inc."</f>
        <v>Fabrikam, Inc.</v>
      </c>
      <c r="O688" t="str">
        <f>"RCT1027"</f>
        <v>RCT1027</v>
      </c>
      <c r="P688" t="str">
        <f>"Purchasing Invoice Entry"</f>
        <v>Purchasing Invoice Entry</v>
      </c>
      <c r="Q688" s="21" t="str">
        <f>"Accrued Purchases"</f>
        <v>Accrued Purchases</v>
      </c>
      <c r="R688" s="16">
        <v>1262.5</v>
      </c>
      <c r="S688" s="16">
        <v>0</v>
      </c>
      <c r="T688" s="19">
        <f t="shared" si="67"/>
        <v>1262.5</v>
      </c>
    </row>
    <row r="689" spans="1:20" x14ac:dyDescent="0.2">
      <c r="A689" s="28" t="s">
        <v>31</v>
      </c>
      <c r="B689" s="33"/>
      <c r="C689" s="33"/>
      <c r="F689" s="33">
        <f>F688</f>
        <v>447</v>
      </c>
      <c r="G689" s="33" t="str">
        <f>G688</f>
        <v>000-2111-00</v>
      </c>
      <c r="H689" s="36"/>
      <c r="K689" t="str">
        <f>"""GP Direct"",""Fabrikam, Inc."",""GL20000"",""DEX_ROW_ID"",""3612"""</f>
        <v>"GP Direct","Fabrikam, Inc.","GL20000","DEX_ROW_ID","3612"</v>
      </c>
      <c r="L689" s="15">
        <v>42397</v>
      </c>
      <c r="M689">
        <v>854</v>
      </c>
      <c r="N689" t="str">
        <f>"ComVex, Inc."</f>
        <v>ComVex, Inc.</v>
      </c>
      <c r="O689" t="str">
        <f>"RCT1030"</f>
        <v>RCT1030</v>
      </c>
      <c r="P689" t="str">
        <f>"Receivings Transaction Entry"</f>
        <v>Receivings Transaction Entry</v>
      </c>
      <c r="Q689" s="21" t="str">
        <f>"Accrued Purchases"</f>
        <v>Accrued Purchases</v>
      </c>
      <c r="R689" s="16">
        <v>0</v>
      </c>
      <c r="S689" s="16">
        <v>-698.45</v>
      </c>
      <c r="T689" s="19">
        <f t="shared" si="67"/>
        <v>-698.45</v>
      </c>
    </row>
    <row r="690" spans="1:20" x14ac:dyDescent="0.2">
      <c r="A690" s="28" t="s">
        <v>31</v>
      </c>
      <c r="B690" s="33"/>
      <c r="C690" s="33"/>
      <c r="F690" s="33">
        <f>F689</f>
        <v>447</v>
      </c>
      <c r="G690" s="33" t="str">
        <f>G689</f>
        <v>000-2111-00</v>
      </c>
      <c r="H690" s="36"/>
      <c r="K690" t="str">
        <f>"""GP Direct"",""Fabrikam, Inc."",""GL20000"",""DEX_ROW_ID"",""3614"""</f>
        <v>"GP Direct","Fabrikam, Inc.","GL20000","DEX_ROW_ID","3614"</v>
      </c>
      <c r="L690" s="15">
        <v>42398</v>
      </c>
      <c r="M690">
        <v>855</v>
      </c>
      <c r="N690" t="str">
        <f>"ComVex, Inc."</f>
        <v>ComVex, Inc.</v>
      </c>
      <c r="O690" t="str">
        <f>"RCT1031"</f>
        <v>RCT1031</v>
      </c>
      <c r="P690" t="str">
        <f>"Purchasing Invoice Entry"</f>
        <v>Purchasing Invoice Entry</v>
      </c>
      <c r="Q690" s="21" t="str">
        <f>"Accrued Purchases"</f>
        <v>Accrued Purchases</v>
      </c>
      <c r="R690" s="16">
        <v>698.45</v>
      </c>
      <c r="S690" s="16">
        <v>0</v>
      </c>
      <c r="T690" s="19">
        <f t="shared" si="67"/>
        <v>698.45</v>
      </c>
    </row>
    <row r="691" spans="1:20" x14ac:dyDescent="0.2">
      <c r="A691" s="28" t="s">
        <v>31</v>
      </c>
      <c r="B691" s="33"/>
      <c r="C691" s="33"/>
      <c r="F691" s="33">
        <f>F690</f>
        <v>447</v>
      </c>
      <c r="G691" s="33" t="str">
        <f>G690</f>
        <v>000-2111-00</v>
      </c>
      <c r="H691" s="36"/>
      <c r="K691" t="str">
        <f>"""GP Direct"",""Fabrikam, Inc."",""GL20000"",""DEX_ROW_ID"",""3618"""</f>
        <v>"GP Direct","Fabrikam, Inc.","GL20000","DEX_ROW_ID","3618"</v>
      </c>
      <c r="L691" s="15">
        <v>42399</v>
      </c>
      <c r="M691">
        <v>857</v>
      </c>
      <c r="N691" t="str">
        <f>"AmericaCharge"</f>
        <v>AmericaCharge</v>
      </c>
      <c r="O691" t="str">
        <f>"RCT1032"</f>
        <v>RCT1032</v>
      </c>
      <c r="P691" t="str">
        <f>"Receivings Transaction Entry"</f>
        <v>Receivings Transaction Entry</v>
      </c>
      <c r="Q691" s="21" t="str">
        <f>"Accrued Purchases"</f>
        <v>Accrued Purchases</v>
      </c>
      <c r="R691" s="16">
        <v>0</v>
      </c>
      <c r="S691" s="16">
        <v>-1858</v>
      </c>
      <c r="T691" s="19">
        <f t="shared" si="67"/>
        <v>-1858</v>
      </c>
    </row>
    <row r="692" spans="1:20" x14ac:dyDescent="0.2">
      <c r="A692" s="28" t="s">
        <v>31</v>
      </c>
      <c r="B692" s="33"/>
      <c r="C692" s="33"/>
      <c r="F692" s="33">
        <f>F691</f>
        <v>447</v>
      </c>
      <c r="G692" s="33" t="str">
        <f>G691</f>
        <v>000-2111-00</v>
      </c>
      <c r="H692" s="36"/>
      <c r="K692" t="str">
        <f>"""GP Direct"",""Fabrikam, Inc."",""GL20000"",""DEX_ROW_ID"",""3620"""</f>
        <v>"GP Direct","Fabrikam, Inc.","GL20000","DEX_ROW_ID","3620"</v>
      </c>
      <c r="L692" s="15">
        <v>42400</v>
      </c>
      <c r="M692">
        <v>858</v>
      </c>
      <c r="N692" t="str">
        <f>"AmericaCharge"</f>
        <v>AmericaCharge</v>
      </c>
      <c r="O692" t="str">
        <f>"RCT1033"</f>
        <v>RCT1033</v>
      </c>
      <c r="P692" t="str">
        <f>"Purchasing Invoice Entry"</f>
        <v>Purchasing Invoice Entry</v>
      </c>
      <c r="Q692" s="21" t="str">
        <f>"Accrued Purchases"</f>
        <v>Accrued Purchases</v>
      </c>
      <c r="R692" s="16">
        <v>1858</v>
      </c>
      <c r="S692" s="16">
        <v>0</v>
      </c>
      <c r="T692" s="19">
        <f t="shared" si="67"/>
        <v>1858</v>
      </c>
    </row>
    <row r="693" spans="1:20" x14ac:dyDescent="0.2">
      <c r="A693" s="28" t="s">
        <v>31</v>
      </c>
      <c r="B693" s="33"/>
      <c r="C693" s="33"/>
      <c r="F693" s="33">
        <f>F673</f>
        <v>447</v>
      </c>
      <c r="G693" s="33" t="str">
        <f>G673</f>
        <v>000-2111-00</v>
      </c>
      <c r="H693" s="36"/>
    </row>
    <row r="694" spans="1:20" x14ac:dyDescent="0.2">
      <c r="A694" s="28" t="s">
        <v>31</v>
      </c>
      <c r="I694" s="37" t="str">
        <f t="shared" ref="I694" si="68">I671&amp;"   "&amp;J671&amp;"         Total:"</f>
        <v>000-2111-00   Accrued Purchases         Total:</v>
      </c>
      <c r="J694" s="37"/>
      <c r="K694" s="37"/>
      <c r="L694" s="37"/>
      <c r="M694" s="37"/>
      <c r="N694" s="37"/>
      <c r="O694" s="37"/>
      <c r="P694" s="37"/>
      <c r="Q694" s="37"/>
      <c r="R694" s="37"/>
      <c r="S694" s="37"/>
      <c r="T694" s="23">
        <f t="shared" ref="T694" si="69">SUBTOTAL(9,T672:T693)</f>
        <v>0</v>
      </c>
    </row>
    <row r="695" spans="1:20" x14ac:dyDescent="0.2">
      <c r="A695" s="28" t="s">
        <v>31</v>
      </c>
    </row>
    <row r="697" spans="1:20" ht="15.75" thickBot="1" x14ac:dyDescent="0.3">
      <c r="I697" s="38" t="s">
        <v>28</v>
      </c>
      <c r="J697" s="38"/>
      <c r="K697" s="38"/>
      <c r="L697" s="38"/>
      <c r="M697" s="38"/>
      <c r="N697" s="38"/>
      <c r="O697" s="38"/>
      <c r="P697" s="38"/>
      <c r="Q697" s="38"/>
      <c r="R697" s="38"/>
      <c r="S697" s="38"/>
      <c r="T697" s="24">
        <f>SUBTOTAL(9,T16:T696)</f>
        <v>-2.0463630789890885E-11</v>
      </c>
    </row>
    <row r="698" spans="1:20" ht="13.5" thickTop="1" x14ac:dyDescent="0.2"/>
  </sheetData>
  <mergeCells count="27">
    <mergeCell ref="I627:S627"/>
    <mergeCell ref="I669:S669"/>
    <mergeCell ref="I694:S694"/>
    <mergeCell ref="I697:S697"/>
    <mergeCell ref="I47:S47"/>
    <mergeCell ref="I6:K6"/>
    <mergeCell ref="I7:M7"/>
    <mergeCell ref="I89:S89"/>
    <mergeCell ref="I136:S136"/>
    <mergeCell ref="I147:S147"/>
    <mergeCell ref="I162:S162"/>
    <mergeCell ref="I168:S168"/>
    <mergeCell ref="I210:S210"/>
    <mergeCell ref="I275:S275"/>
    <mergeCell ref="I308:S308"/>
    <mergeCell ref="I341:S341"/>
    <mergeCell ref="I243:S243"/>
    <mergeCell ref="I366:S366"/>
    <mergeCell ref="I391:S391"/>
    <mergeCell ref="I400:S400"/>
    <mergeCell ref="I411:S411"/>
    <mergeCell ref="I424:S424"/>
    <mergeCell ref="I452:S452"/>
    <mergeCell ref="I495:S495"/>
    <mergeCell ref="I528:S528"/>
    <mergeCell ref="I561:S561"/>
    <mergeCell ref="I594:S594"/>
  </mergeCells>
  <phoneticPr fontId="6" type="noConversion"/>
  <pageMargins left="0.75" right="0.75" top="1" bottom="1" header="0.5" footer="0.5"/>
  <pageSetup scale="34"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heetViews>
  <sheetFormatPr defaultRowHeight="12.75" x14ac:dyDescent="0.2"/>
  <sheetData>
    <row r="1" spans="1:13" x14ac:dyDescent="0.2">
      <c r="A1" s="20" t="s">
        <v>6680</v>
      </c>
      <c r="I1" s="20" t="s">
        <v>0</v>
      </c>
      <c r="K1" s="20" t="s">
        <v>1</v>
      </c>
      <c r="M1" s="20" t="s">
        <v>2</v>
      </c>
    </row>
    <row r="8" spans="1:13" x14ac:dyDescent="0.2">
      <c r="J8" s="20" t="s">
        <v>3</v>
      </c>
    </row>
    <row r="11" spans="1:13" x14ac:dyDescent="0.2">
      <c r="A11" s="20" t="s">
        <v>4</v>
      </c>
      <c r="I11" s="20" t="s">
        <v>5</v>
      </c>
      <c r="K11" s="20" t="s">
        <v>5967</v>
      </c>
    </row>
    <row r="13" spans="1:13" x14ac:dyDescent="0.2">
      <c r="A13" s="20" t="s">
        <v>4</v>
      </c>
      <c r="I13" s="20" t="s">
        <v>6</v>
      </c>
      <c r="K13" s="20" t="s">
        <v>6251</v>
      </c>
    </row>
    <row r="15" spans="1:13" x14ac:dyDescent="0.2">
      <c r="A15" s="20" t="s">
        <v>4</v>
      </c>
      <c r="I15" s="20" t="s">
        <v>9</v>
      </c>
      <c r="K15" s="20" t="s">
        <v>6658</v>
      </c>
      <c r="M15" s="20" t="s">
        <v>5680</v>
      </c>
    </row>
    <row r="17" spans="1:13" x14ac:dyDescent="0.2">
      <c r="A17" s="20" t="s">
        <v>4</v>
      </c>
      <c r="I17" s="20" t="s">
        <v>8</v>
      </c>
      <c r="K17" s="20" t="s">
        <v>6658</v>
      </c>
      <c r="M17" s="20" t="s">
        <v>5681</v>
      </c>
    </row>
    <row r="19" spans="1:13" x14ac:dyDescent="0.2">
      <c r="A19" s="20" t="s">
        <v>4</v>
      </c>
      <c r="I19" s="20" t="s">
        <v>7</v>
      </c>
      <c r="K19" s="20" t="s">
        <v>6658</v>
      </c>
      <c r="M19" s="20" t="s">
        <v>5682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heetViews>
  <sheetFormatPr defaultRowHeight="12.75" x14ac:dyDescent="0.2"/>
  <sheetData>
    <row r="1" spans="1:13" x14ac:dyDescent="0.2">
      <c r="A1" s="20" t="s">
        <v>6680</v>
      </c>
      <c r="I1" s="20" t="s">
        <v>0</v>
      </c>
      <c r="K1" s="20" t="s">
        <v>1</v>
      </c>
      <c r="M1" s="20" t="s">
        <v>2</v>
      </c>
    </row>
    <row r="8" spans="1:13" x14ac:dyDescent="0.2">
      <c r="J8" s="20" t="s">
        <v>3</v>
      </c>
    </row>
    <row r="11" spans="1:13" x14ac:dyDescent="0.2">
      <c r="A11" s="20" t="s">
        <v>4</v>
      </c>
      <c r="I11" s="20" t="s">
        <v>5</v>
      </c>
      <c r="K11" s="20" t="s">
        <v>5967</v>
      </c>
    </row>
    <row r="13" spans="1:13" x14ac:dyDescent="0.2">
      <c r="A13" s="20" t="s">
        <v>4</v>
      </c>
      <c r="I13" s="20" t="s">
        <v>6</v>
      </c>
      <c r="K13" s="20" t="s">
        <v>6251</v>
      </c>
    </row>
    <row r="15" spans="1:13" x14ac:dyDescent="0.2">
      <c r="A15" s="20" t="s">
        <v>4</v>
      </c>
      <c r="I15" s="20" t="s">
        <v>9</v>
      </c>
      <c r="K15" s="20" t="s">
        <v>6658</v>
      </c>
      <c r="M15" s="20" t="s">
        <v>5680</v>
      </c>
    </row>
    <row r="17" spans="1:13" x14ac:dyDescent="0.2">
      <c r="A17" s="20" t="s">
        <v>4</v>
      </c>
      <c r="I17" s="20" t="s">
        <v>8</v>
      </c>
      <c r="K17" s="20" t="s">
        <v>6658</v>
      </c>
      <c r="M17" s="20" t="s">
        <v>5681</v>
      </c>
    </row>
    <row r="19" spans="1:13" x14ac:dyDescent="0.2">
      <c r="A19" s="20" t="s">
        <v>4</v>
      </c>
      <c r="I19" s="20" t="s">
        <v>7</v>
      </c>
      <c r="K19" s="20" t="s">
        <v>6658</v>
      </c>
      <c r="M19" s="20" t="s">
        <v>5682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heetViews>
  <sheetFormatPr defaultRowHeight="12.75" x14ac:dyDescent="0.2"/>
  <sheetData>
    <row r="1" spans="1:20" x14ac:dyDescent="0.2">
      <c r="A1" s="20" t="s">
        <v>6681</v>
      </c>
      <c r="B1" s="20" t="s">
        <v>20</v>
      </c>
      <c r="C1" s="20" t="s">
        <v>20</v>
      </c>
      <c r="D1" s="20" t="s">
        <v>20</v>
      </c>
      <c r="E1" s="20" t="s">
        <v>20</v>
      </c>
      <c r="F1" s="20" t="s">
        <v>20</v>
      </c>
      <c r="G1" s="20" t="s">
        <v>20</v>
      </c>
      <c r="I1" s="20" t="s">
        <v>18</v>
      </c>
      <c r="J1" s="20" t="s">
        <v>18</v>
      </c>
      <c r="K1" s="20" t="s">
        <v>20</v>
      </c>
      <c r="L1" s="20" t="s">
        <v>18</v>
      </c>
      <c r="M1" s="20" t="s">
        <v>18</v>
      </c>
      <c r="N1" s="20" t="s">
        <v>18</v>
      </c>
      <c r="O1" s="20" t="s">
        <v>18</v>
      </c>
      <c r="P1" s="20" t="s">
        <v>18</v>
      </c>
      <c r="Q1" s="20" t="s">
        <v>18</v>
      </c>
      <c r="R1" s="20" t="s">
        <v>18</v>
      </c>
      <c r="S1" s="20" t="s">
        <v>18</v>
      </c>
      <c r="T1" s="20" t="s">
        <v>18</v>
      </c>
    </row>
    <row r="2" spans="1:20" x14ac:dyDescent="0.2">
      <c r="A2" s="20" t="s">
        <v>20</v>
      </c>
      <c r="B2" s="20" t="s">
        <v>5</v>
      </c>
      <c r="C2" s="20" t="s">
        <v>6659</v>
      </c>
    </row>
    <row r="3" spans="1:20" x14ac:dyDescent="0.2">
      <c r="A3" s="20" t="s">
        <v>20</v>
      </c>
      <c r="B3" s="20" t="s">
        <v>6</v>
      </c>
      <c r="C3" s="20" t="s">
        <v>6660</v>
      </c>
    </row>
    <row r="4" spans="1:20" x14ac:dyDescent="0.2">
      <c r="A4" s="20" t="s">
        <v>20</v>
      </c>
      <c r="B4" s="20" t="s">
        <v>10</v>
      </c>
      <c r="C4" s="20" t="s">
        <v>6661</v>
      </c>
    </row>
    <row r="5" spans="1:20" x14ac:dyDescent="0.2">
      <c r="B5" s="20" t="s">
        <v>9</v>
      </c>
      <c r="C5" s="20" t="s">
        <v>6662</v>
      </c>
    </row>
    <row r="6" spans="1:20" x14ac:dyDescent="0.2">
      <c r="B6" s="20" t="s">
        <v>8</v>
      </c>
      <c r="C6" s="20" t="s">
        <v>6663</v>
      </c>
      <c r="I6" s="20" t="s">
        <v>27</v>
      </c>
    </row>
    <row r="7" spans="1:20" x14ac:dyDescent="0.2">
      <c r="B7" s="20" t="s">
        <v>7</v>
      </c>
      <c r="C7" s="20" t="s">
        <v>6664</v>
      </c>
      <c r="I7" s="20" t="s">
        <v>30</v>
      </c>
    </row>
    <row r="8" spans="1:20" x14ac:dyDescent="0.2">
      <c r="B8" s="20" t="s">
        <v>21</v>
      </c>
      <c r="C8" s="20" t="s">
        <v>29</v>
      </c>
    </row>
    <row r="9" spans="1:20" x14ac:dyDescent="0.2">
      <c r="B9" s="20" t="s">
        <v>26</v>
      </c>
      <c r="C9" s="20" t="s">
        <v>5683</v>
      </c>
      <c r="I9" s="20" t="s">
        <v>1057</v>
      </c>
      <c r="J9" s="20" t="s">
        <v>5684</v>
      </c>
    </row>
    <row r="10" spans="1:20" x14ac:dyDescent="0.2">
      <c r="I10" s="20" t="s">
        <v>1058</v>
      </c>
      <c r="J10" s="20" t="s">
        <v>5685</v>
      </c>
    </row>
    <row r="11" spans="1:20" x14ac:dyDescent="0.2">
      <c r="I11" s="20" t="s">
        <v>1059</v>
      </c>
      <c r="J11" s="20" t="s">
        <v>5686</v>
      </c>
      <c r="R11" s="20" t="s">
        <v>11</v>
      </c>
      <c r="S11" s="20" t="s">
        <v>1041</v>
      </c>
    </row>
    <row r="14" spans="1:20" x14ac:dyDescent="0.2">
      <c r="I14" s="20" t="s">
        <v>12</v>
      </c>
      <c r="J14" s="20" t="s">
        <v>19</v>
      </c>
      <c r="L14" s="20" t="s">
        <v>13</v>
      </c>
      <c r="M14" s="20" t="s">
        <v>14</v>
      </c>
      <c r="N14" s="20" t="s">
        <v>15</v>
      </c>
      <c r="O14" s="20" t="s">
        <v>22</v>
      </c>
      <c r="P14" s="20" t="s">
        <v>16</v>
      </c>
      <c r="Q14" s="20" t="s">
        <v>17</v>
      </c>
      <c r="R14" s="20" t="s">
        <v>23</v>
      </c>
      <c r="S14" s="20" t="s">
        <v>24</v>
      </c>
      <c r="T14" s="20" t="s">
        <v>25</v>
      </c>
    </row>
    <row r="16" spans="1:20" x14ac:dyDescent="0.2">
      <c r="D16" s="20" t="s">
        <v>5687</v>
      </c>
      <c r="E16" s="20" t="s">
        <v>5688</v>
      </c>
      <c r="F16" s="20" t="s">
        <v>5689</v>
      </c>
      <c r="G16" s="20" t="s">
        <v>5690</v>
      </c>
      <c r="I16" s="20" t="s">
        <v>71</v>
      </c>
      <c r="J16" s="20" t="s">
        <v>1077</v>
      </c>
    </row>
    <row r="17" spans="6:20" x14ac:dyDescent="0.2">
      <c r="F17" s="20" t="s">
        <v>72</v>
      </c>
      <c r="G17" s="20" t="s">
        <v>71</v>
      </c>
      <c r="K17" s="20" t="s">
        <v>5691</v>
      </c>
      <c r="L17" s="20" t="s">
        <v>1078</v>
      </c>
      <c r="M17" s="20" t="s">
        <v>1079</v>
      </c>
      <c r="N17" s="20" t="s">
        <v>1080</v>
      </c>
      <c r="O17" s="20" t="s">
        <v>1081</v>
      </c>
      <c r="P17" s="20" t="s">
        <v>1082</v>
      </c>
      <c r="Q17" s="20" t="s">
        <v>1083</v>
      </c>
      <c r="R17" s="20" t="s">
        <v>1084</v>
      </c>
      <c r="S17" s="20" t="s">
        <v>1085</v>
      </c>
      <c r="T17" s="20" t="s">
        <v>1086</v>
      </c>
    </row>
    <row r="18" spans="6:20" x14ac:dyDescent="0.2">
      <c r="F18" s="20" t="s">
        <v>73</v>
      </c>
      <c r="G18" s="20" t="s">
        <v>74</v>
      </c>
      <c r="K18" s="20" t="s">
        <v>5692</v>
      </c>
      <c r="L18" s="20" t="s">
        <v>1087</v>
      </c>
      <c r="M18" s="20" t="s">
        <v>1088</v>
      </c>
      <c r="N18" s="20" t="s">
        <v>1089</v>
      </c>
      <c r="O18" s="20" t="s">
        <v>1090</v>
      </c>
      <c r="P18" s="20" t="s">
        <v>1091</v>
      </c>
      <c r="Q18" s="20" t="s">
        <v>1092</v>
      </c>
      <c r="R18" s="20" t="s">
        <v>1093</v>
      </c>
      <c r="S18" s="20" t="s">
        <v>1105</v>
      </c>
      <c r="T18" s="20" t="s">
        <v>1094</v>
      </c>
    </row>
    <row r="19" spans="6:20" x14ac:dyDescent="0.2">
      <c r="F19" s="20" t="s">
        <v>75</v>
      </c>
      <c r="G19" s="20" t="s">
        <v>76</v>
      </c>
    </row>
    <row r="20" spans="6:20" x14ac:dyDescent="0.2">
      <c r="I20" s="20" t="s">
        <v>1095</v>
      </c>
      <c r="T20" s="20" t="s">
        <v>1096</v>
      </c>
    </row>
    <row r="23" spans="6:20" x14ac:dyDescent="0.2">
      <c r="I23" s="20" t="s">
        <v>28</v>
      </c>
      <c r="T23" s="20" t="s">
        <v>1097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heetViews>
  <sheetFormatPr defaultRowHeight="12.75" x14ac:dyDescent="0.2"/>
  <sheetData>
    <row r="1" spans="1:20" x14ac:dyDescent="0.2">
      <c r="A1" s="20" t="s">
        <v>6681</v>
      </c>
      <c r="B1" s="20" t="s">
        <v>20</v>
      </c>
      <c r="C1" s="20" t="s">
        <v>20</v>
      </c>
      <c r="D1" s="20" t="s">
        <v>20</v>
      </c>
      <c r="E1" s="20" t="s">
        <v>20</v>
      </c>
      <c r="F1" s="20" t="s">
        <v>20</v>
      </c>
      <c r="G1" s="20" t="s">
        <v>20</v>
      </c>
      <c r="I1" s="20" t="s">
        <v>18</v>
      </c>
      <c r="J1" s="20" t="s">
        <v>18</v>
      </c>
      <c r="K1" s="20" t="s">
        <v>20</v>
      </c>
      <c r="L1" s="20" t="s">
        <v>18</v>
      </c>
      <c r="M1" s="20" t="s">
        <v>18</v>
      </c>
      <c r="N1" s="20" t="s">
        <v>18</v>
      </c>
      <c r="O1" s="20" t="s">
        <v>18</v>
      </c>
      <c r="P1" s="20" t="s">
        <v>18</v>
      </c>
      <c r="Q1" s="20" t="s">
        <v>18</v>
      </c>
      <c r="R1" s="20" t="s">
        <v>18</v>
      </c>
      <c r="S1" s="20" t="s">
        <v>18</v>
      </c>
      <c r="T1" s="20" t="s">
        <v>18</v>
      </c>
    </row>
    <row r="2" spans="1:20" x14ac:dyDescent="0.2">
      <c r="A2" s="20" t="s">
        <v>20</v>
      </c>
      <c r="B2" s="20" t="s">
        <v>5</v>
      </c>
      <c r="C2" s="20" t="s">
        <v>6659</v>
      </c>
    </row>
    <row r="3" spans="1:20" x14ac:dyDescent="0.2">
      <c r="A3" s="20" t="s">
        <v>20</v>
      </c>
      <c r="B3" s="20" t="s">
        <v>6</v>
      </c>
      <c r="C3" s="20" t="s">
        <v>6660</v>
      </c>
    </row>
    <row r="4" spans="1:20" x14ac:dyDescent="0.2">
      <c r="A4" s="20" t="s">
        <v>20</v>
      </c>
      <c r="B4" s="20" t="s">
        <v>10</v>
      </c>
      <c r="C4" s="20" t="s">
        <v>6661</v>
      </c>
    </row>
    <row r="5" spans="1:20" x14ac:dyDescent="0.2">
      <c r="B5" s="20" t="s">
        <v>9</v>
      </c>
      <c r="C5" s="20" t="s">
        <v>6662</v>
      </c>
    </row>
    <row r="6" spans="1:20" x14ac:dyDescent="0.2">
      <c r="B6" s="20" t="s">
        <v>8</v>
      </c>
      <c r="C6" s="20" t="s">
        <v>6663</v>
      </c>
      <c r="I6" s="20" t="s">
        <v>27</v>
      </c>
    </row>
    <row r="7" spans="1:20" x14ac:dyDescent="0.2">
      <c r="B7" s="20" t="s">
        <v>7</v>
      </c>
      <c r="C7" s="20" t="s">
        <v>6664</v>
      </c>
      <c r="I7" s="20" t="s">
        <v>30</v>
      </c>
    </row>
    <row r="8" spans="1:20" x14ac:dyDescent="0.2">
      <c r="B8" s="20" t="s">
        <v>21</v>
      </c>
      <c r="C8" s="20" t="s">
        <v>29</v>
      </c>
    </row>
    <row r="9" spans="1:20" x14ac:dyDescent="0.2">
      <c r="B9" s="20" t="s">
        <v>26</v>
      </c>
      <c r="C9" s="20" t="s">
        <v>5683</v>
      </c>
      <c r="I9" s="20" t="s">
        <v>1057</v>
      </c>
      <c r="J9" s="20" t="s">
        <v>6679</v>
      </c>
    </row>
    <row r="10" spans="1:20" x14ac:dyDescent="0.2">
      <c r="I10" s="20" t="s">
        <v>1058</v>
      </c>
      <c r="J10" s="20" t="s">
        <v>6679</v>
      </c>
    </row>
    <row r="11" spans="1:20" x14ac:dyDescent="0.2">
      <c r="I11" s="20" t="s">
        <v>1059</v>
      </c>
      <c r="J11" s="20" t="s">
        <v>6679</v>
      </c>
      <c r="R11" s="20" t="s">
        <v>11</v>
      </c>
      <c r="S11" s="20" t="s">
        <v>1041</v>
      </c>
    </row>
    <row r="14" spans="1:20" x14ac:dyDescent="0.2">
      <c r="I14" s="20" t="s">
        <v>12</v>
      </c>
      <c r="J14" s="20" t="s">
        <v>19</v>
      </c>
      <c r="L14" s="20" t="s">
        <v>13</v>
      </c>
      <c r="M14" s="20" t="s">
        <v>14</v>
      </c>
      <c r="N14" s="20" t="s">
        <v>15</v>
      </c>
      <c r="O14" s="20" t="s">
        <v>22</v>
      </c>
      <c r="P14" s="20" t="s">
        <v>16</v>
      </c>
      <c r="Q14" s="20" t="s">
        <v>17</v>
      </c>
      <c r="R14" s="20" t="s">
        <v>23</v>
      </c>
      <c r="S14" s="20" t="s">
        <v>24</v>
      </c>
      <c r="T14" s="20" t="s">
        <v>25</v>
      </c>
    </row>
    <row r="16" spans="1:20" x14ac:dyDescent="0.2">
      <c r="D16" s="20" t="s">
        <v>5687</v>
      </c>
      <c r="E16" s="20" t="s">
        <v>5688</v>
      </c>
      <c r="F16" s="20" t="s">
        <v>5689</v>
      </c>
      <c r="G16" s="20" t="s">
        <v>5690</v>
      </c>
      <c r="I16" s="20" t="s">
        <v>71</v>
      </c>
      <c r="J16" s="20" t="s">
        <v>1077</v>
      </c>
    </row>
    <row r="17" spans="6:20" x14ac:dyDescent="0.2">
      <c r="F17" s="20" t="s">
        <v>72</v>
      </c>
      <c r="G17" s="20" t="s">
        <v>71</v>
      </c>
      <c r="K17" s="20" t="s">
        <v>5691</v>
      </c>
      <c r="L17" s="20" t="s">
        <v>1078</v>
      </c>
      <c r="M17" s="20" t="s">
        <v>1079</v>
      </c>
      <c r="N17" s="20" t="s">
        <v>1080</v>
      </c>
      <c r="O17" s="20" t="s">
        <v>1081</v>
      </c>
      <c r="P17" s="20" t="s">
        <v>1082</v>
      </c>
      <c r="Q17" s="20" t="s">
        <v>1083</v>
      </c>
      <c r="R17" s="20" t="s">
        <v>1084</v>
      </c>
      <c r="S17" s="20" t="s">
        <v>1085</v>
      </c>
      <c r="T17" s="20" t="s">
        <v>1086</v>
      </c>
    </row>
    <row r="18" spans="6:20" x14ac:dyDescent="0.2">
      <c r="F18" s="20" t="s">
        <v>73</v>
      </c>
      <c r="G18" s="20" t="s">
        <v>74</v>
      </c>
      <c r="K18" s="20" t="s">
        <v>5692</v>
      </c>
      <c r="L18" s="20" t="s">
        <v>1087</v>
      </c>
      <c r="M18" s="20" t="s">
        <v>1088</v>
      </c>
      <c r="N18" s="20" t="s">
        <v>1089</v>
      </c>
      <c r="O18" s="20" t="s">
        <v>1090</v>
      </c>
      <c r="P18" s="20" t="s">
        <v>1091</v>
      </c>
      <c r="Q18" s="20" t="s">
        <v>1092</v>
      </c>
      <c r="R18" s="20" t="s">
        <v>1093</v>
      </c>
      <c r="S18" s="20" t="s">
        <v>1105</v>
      </c>
      <c r="T18" s="20" t="s">
        <v>1094</v>
      </c>
    </row>
    <row r="19" spans="6:20" x14ac:dyDescent="0.2">
      <c r="F19" s="20" t="s">
        <v>75</v>
      </c>
      <c r="G19" s="20" t="s">
        <v>76</v>
      </c>
    </row>
    <row r="20" spans="6:20" x14ac:dyDescent="0.2">
      <c r="I20" s="20" t="s">
        <v>1095</v>
      </c>
      <c r="T20" s="20" t="s">
        <v>1096</v>
      </c>
    </row>
    <row r="23" spans="6:20" x14ac:dyDescent="0.2">
      <c r="I23" s="20" t="s">
        <v>28</v>
      </c>
      <c r="T23" s="20" t="s">
        <v>1097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heetViews>
  <sheetFormatPr defaultRowHeight="12.75" x14ac:dyDescent="0.2"/>
  <sheetData>
    <row r="1" spans="1:13" x14ac:dyDescent="0.2">
      <c r="A1" s="20" t="s">
        <v>6683</v>
      </c>
      <c r="I1" s="20" t="s">
        <v>0</v>
      </c>
      <c r="K1" s="20" t="s">
        <v>1</v>
      </c>
      <c r="M1" s="20" t="s">
        <v>2</v>
      </c>
    </row>
    <row r="8" spans="1:13" x14ac:dyDescent="0.2">
      <c r="J8" s="20" t="s">
        <v>3</v>
      </c>
    </row>
    <row r="11" spans="1:13" x14ac:dyDescent="0.2">
      <c r="A11" s="20" t="s">
        <v>4</v>
      </c>
      <c r="I11" s="20" t="s">
        <v>5</v>
      </c>
      <c r="K11" s="20" t="s">
        <v>5967</v>
      </c>
    </row>
    <row r="13" spans="1:13" x14ac:dyDescent="0.2">
      <c r="A13" s="20" t="s">
        <v>4</v>
      </c>
      <c r="I13" s="20" t="s">
        <v>6</v>
      </c>
      <c r="K13" s="20" t="s">
        <v>6251</v>
      </c>
    </row>
    <row r="15" spans="1:13" x14ac:dyDescent="0.2">
      <c r="A15" s="20" t="s">
        <v>4</v>
      </c>
      <c r="I15" s="20" t="s">
        <v>9</v>
      </c>
      <c r="K15" s="20" t="s">
        <v>6658</v>
      </c>
      <c r="M15" s="20" t="s">
        <v>5680</v>
      </c>
    </row>
    <row r="17" spans="1:13" x14ac:dyDescent="0.2">
      <c r="A17" s="20" t="s">
        <v>4</v>
      </c>
      <c r="I17" s="20" t="s">
        <v>8</v>
      </c>
      <c r="K17" s="20" t="s">
        <v>6658</v>
      </c>
      <c r="M17" s="20" t="s">
        <v>5681</v>
      </c>
    </row>
    <row r="19" spans="1:13" x14ac:dyDescent="0.2">
      <c r="A19" s="20" t="s">
        <v>4</v>
      </c>
      <c r="I19" s="20" t="s">
        <v>7</v>
      </c>
      <c r="K19" s="20" t="s">
        <v>6658</v>
      </c>
      <c r="M19" s="20" t="s">
        <v>5682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7"/>
  <sheetViews>
    <sheetView workbookViewId="0"/>
  </sheetViews>
  <sheetFormatPr defaultRowHeight="12.75" x14ac:dyDescent="0.2"/>
  <sheetData>
    <row r="1" spans="1:20" x14ac:dyDescent="0.2">
      <c r="A1" s="20" t="s">
        <v>7221</v>
      </c>
      <c r="B1" s="20" t="s">
        <v>20</v>
      </c>
      <c r="C1" s="20" t="s">
        <v>20</v>
      </c>
      <c r="D1" s="20" t="s">
        <v>20</v>
      </c>
      <c r="E1" s="20" t="s">
        <v>20</v>
      </c>
      <c r="F1" s="20" t="s">
        <v>20</v>
      </c>
      <c r="G1" s="20" t="s">
        <v>20</v>
      </c>
      <c r="I1" s="20" t="s">
        <v>18</v>
      </c>
      <c r="J1" s="20" t="s">
        <v>18</v>
      </c>
      <c r="K1" s="20" t="s">
        <v>20</v>
      </c>
      <c r="L1" s="20" t="s">
        <v>18</v>
      </c>
      <c r="M1" s="20" t="s">
        <v>18</v>
      </c>
      <c r="N1" s="20" t="s">
        <v>18</v>
      </c>
      <c r="O1" s="20" t="s">
        <v>18</v>
      </c>
      <c r="P1" s="20" t="s">
        <v>18</v>
      </c>
      <c r="Q1" s="20" t="s">
        <v>18</v>
      </c>
      <c r="R1" s="20" t="s">
        <v>18</v>
      </c>
      <c r="S1" s="20" t="s">
        <v>18</v>
      </c>
      <c r="T1" s="20" t="s">
        <v>18</v>
      </c>
    </row>
    <row r="2" spans="1:20" x14ac:dyDescent="0.2">
      <c r="A2" s="20" t="s">
        <v>20</v>
      </c>
      <c r="B2" s="20" t="s">
        <v>5</v>
      </c>
      <c r="C2" s="20" t="s">
        <v>6659</v>
      </c>
    </row>
    <row r="3" spans="1:20" x14ac:dyDescent="0.2">
      <c r="A3" s="20" t="s">
        <v>20</v>
      </c>
      <c r="B3" s="20" t="s">
        <v>6</v>
      </c>
      <c r="C3" s="20" t="s">
        <v>6660</v>
      </c>
    </row>
    <row r="4" spans="1:20" x14ac:dyDescent="0.2">
      <c r="A4" s="20" t="s">
        <v>20</v>
      </c>
      <c r="B4" s="20" t="s">
        <v>10</v>
      </c>
      <c r="C4" s="20" t="s">
        <v>6661</v>
      </c>
    </row>
    <row r="5" spans="1:20" x14ac:dyDescent="0.2">
      <c r="B5" s="20" t="s">
        <v>9</v>
      </c>
      <c r="C5" s="20" t="s">
        <v>6662</v>
      </c>
    </row>
    <row r="6" spans="1:20" x14ac:dyDescent="0.2">
      <c r="B6" s="20" t="s">
        <v>8</v>
      </c>
      <c r="C6" s="20" t="s">
        <v>6663</v>
      </c>
      <c r="I6" s="20" t="s">
        <v>27</v>
      </c>
    </row>
    <row r="7" spans="1:20" x14ac:dyDescent="0.2">
      <c r="B7" s="20" t="s">
        <v>7</v>
      </c>
      <c r="C7" s="20" t="s">
        <v>6664</v>
      </c>
      <c r="I7" s="20" t="s">
        <v>30</v>
      </c>
    </row>
    <row r="8" spans="1:20" x14ac:dyDescent="0.2">
      <c r="B8" s="20" t="s">
        <v>21</v>
      </c>
      <c r="C8" s="20" t="s">
        <v>29</v>
      </c>
    </row>
    <row r="9" spans="1:20" x14ac:dyDescent="0.2">
      <c r="B9" s="20" t="s">
        <v>26</v>
      </c>
      <c r="C9" s="20" t="s">
        <v>5683</v>
      </c>
      <c r="I9" s="20" t="s">
        <v>1057</v>
      </c>
      <c r="J9" s="20" t="s">
        <v>5684</v>
      </c>
    </row>
    <row r="10" spans="1:20" x14ac:dyDescent="0.2">
      <c r="I10" s="20" t="s">
        <v>1058</v>
      </c>
      <c r="J10" s="20" t="s">
        <v>5685</v>
      </c>
    </row>
    <row r="11" spans="1:20" x14ac:dyDescent="0.2">
      <c r="I11" s="20" t="s">
        <v>1059</v>
      </c>
      <c r="J11" s="20" t="s">
        <v>5686</v>
      </c>
      <c r="R11" s="20" t="s">
        <v>11</v>
      </c>
      <c r="S11" s="20" t="s">
        <v>1041</v>
      </c>
    </row>
    <row r="14" spans="1:20" x14ac:dyDescent="0.2">
      <c r="I14" s="20" t="s">
        <v>12</v>
      </c>
      <c r="J14" s="20" t="s">
        <v>19</v>
      </c>
      <c r="L14" s="20" t="s">
        <v>13</v>
      </c>
      <c r="M14" s="20" t="s">
        <v>14</v>
      </c>
      <c r="N14" s="20" t="s">
        <v>15</v>
      </c>
      <c r="O14" s="20" t="s">
        <v>22</v>
      </c>
      <c r="P14" s="20" t="s">
        <v>16</v>
      </c>
      <c r="Q14" s="20" t="s">
        <v>17</v>
      </c>
      <c r="R14" s="20" t="s">
        <v>23</v>
      </c>
      <c r="S14" s="20" t="s">
        <v>24</v>
      </c>
      <c r="T14" s="20" t="s">
        <v>25</v>
      </c>
    </row>
    <row r="16" spans="1:20" x14ac:dyDescent="0.2">
      <c r="D16" s="20" t="s">
        <v>5687</v>
      </c>
      <c r="E16" s="20" t="s">
        <v>5688</v>
      </c>
      <c r="F16" s="20" t="s">
        <v>5689</v>
      </c>
      <c r="G16" s="20" t="s">
        <v>5690</v>
      </c>
      <c r="I16" s="20" t="s">
        <v>71</v>
      </c>
      <c r="J16" s="20" t="s">
        <v>1077</v>
      </c>
    </row>
    <row r="17" spans="1:20" x14ac:dyDescent="0.2">
      <c r="F17" s="20" t="s">
        <v>72</v>
      </c>
      <c r="G17" s="20" t="s">
        <v>71</v>
      </c>
      <c r="K17" s="20" t="s">
        <v>5691</v>
      </c>
      <c r="L17" s="20" t="s">
        <v>1078</v>
      </c>
      <c r="M17" s="20" t="s">
        <v>1079</v>
      </c>
      <c r="N17" s="20" t="s">
        <v>1080</v>
      </c>
      <c r="O17" s="20" t="s">
        <v>1081</v>
      </c>
      <c r="P17" s="20" t="s">
        <v>1082</v>
      </c>
      <c r="Q17" s="20" t="s">
        <v>1083</v>
      </c>
      <c r="R17" s="20" t="s">
        <v>1084</v>
      </c>
      <c r="S17" s="20" t="s">
        <v>1085</v>
      </c>
      <c r="T17" s="20" t="s">
        <v>1086</v>
      </c>
    </row>
    <row r="18" spans="1:20" x14ac:dyDescent="0.2">
      <c r="F18" s="20" t="s">
        <v>73</v>
      </c>
      <c r="G18" s="20" t="s">
        <v>74</v>
      </c>
      <c r="K18" s="20" t="s">
        <v>5692</v>
      </c>
      <c r="L18" s="20" t="s">
        <v>1087</v>
      </c>
      <c r="M18" s="20" t="s">
        <v>1088</v>
      </c>
      <c r="N18" s="20" t="s">
        <v>1089</v>
      </c>
      <c r="O18" s="20" t="s">
        <v>1090</v>
      </c>
      <c r="P18" s="20" t="s">
        <v>1091</v>
      </c>
      <c r="Q18" s="20" t="s">
        <v>1092</v>
      </c>
      <c r="R18" s="20" t="s">
        <v>1093</v>
      </c>
      <c r="S18" s="20" t="s">
        <v>1105</v>
      </c>
      <c r="T18" s="20" t="s">
        <v>1094</v>
      </c>
    </row>
    <row r="19" spans="1:20" x14ac:dyDescent="0.2">
      <c r="A19" s="20" t="s">
        <v>31</v>
      </c>
      <c r="F19" s="20" t="s">
        <v>75</v>
      </c>
      <c r="G19" s="20" t="s">
        <v>76</v>
      </c>
      <c r="K19" s="20" t="s">
        <v>6685</v>
      </c>
      <c r="L19" s="20" t="s">
        <v>1098</v>
      </c>
      <c r="M19" s="20" t="s">
        <v>1099</v>
      </c>
      <c r="N19" s="20" t="s">
        <v>1100</v>
      </c>
      <c r="O19" s="20" t="s">
        <v>1101</v>
      </c>
      <c r="P19" s="20" t="s">
        <v>1102</v>
      </c>
      <c r="Q19" s="20" t="s">
        <v>1103</v>
      </c>
      <c r="R19" s="20" t="s">
        <v>1104</v>
      </c>
      <c r="S19" s="20" t="s">
        <v>1114</v>
      </c>
      <c r="T19" s="20" t="s">
        <v>1106</v>
      </c>
    </row>
    <row r="20" spans="1:20" x14ac:dyDescent="0.2">
      <c r="A20" s="20" t="s">
        <v>31</v>
      </c>
      <c r="F20" s="20" t="s">
        <v>77</v>
      </c>
      <c r="G20" s="20" t="s">
        <v>78</v>
      </c>
      <c r="K20" s="20" t="s">
        <v>6686</v>
      </c>
      <c r="L20" s="20" t="s">
        <v>1107</v>
      </c>
      <c r="M20" s="20" t="s">
        <v>1108</v>
      </c>
      <c r="N20" s="20" t="s">
        <v>1109</v>
      </c>
      <c r="O20" s="20" t="s">
        <v>1110</v>
      </c>
      <c r="P20" s="20" t="s">
        <v>1111</v>
      </c>
      <c r="Q20" s="20" t="s">
        <v>1112</v>
      </c>
      <c r="R20" s="20" t="s">
        <v>1113</v>
      </c>
      <c r="S20" s="20" t="s">
        <v>1123</v>
      </c>
      <c r="T20" s="20" t="s">
        <v>1115</v>
      </c>
    </row>
    <row r="21" spans="1:20" x14ac:dyDescent="0.2">
      <c r="A21" s="20" t="s">
        <v>31</v>
      </c>
      <c r="F21" s="20" t="s">
        <v>79</v>
      </c>
      <c r="G21" s="20" t="s">
        <v>80</v>
      </c>
      <c r="K21" s="20" t="s">
        <v>6687</v>
      </c>
      <c r="L21" s="20" t="s">
        <v>1116</v>
      </c>
      <c r="M21" s="20" t="s">
        <v>1117</v>
      </c>
      <c r="N21" s="20" t="s">
        <v>1118</v>
      </c>
      <c r="O21" s="20" t="s">
        <v>1119</v>
      </c>
      <c r="P21" s="20" t="s">
        <v>1120</v>
      </c>
      <c r="Q21" s="20" t="s">
        <v>1121</v>
      </c>
      <c r="R21" s="20" t="s">
        <v>1122</v>
      </c>
      <c r="S21" s="20" t="s">
        <v>1132</v>
      </c>
      <c r="T21" s="20" t="s">
        <v>1124</v>
      </c>
    </row>
    <row r="22" spans="1:20" x14ac:dyDescent="0.2">
      <c r="A22" s="20" t="s">
        <v>31</v>
      </c>
      <c r="F22" s="20" t="s">
        <v>81</v>
      </c>
      <c r="G22" s="20" t="s">
        <v>82</v>
      </c>
      <c r="K22" s="20" t="s">
        <v>6688</v>
      </c>
      <c r="L22" s="20" t="s">
        <v>1125</v>
      </c>
      <c r="M22" s="20" t="s">
        <v>1126</v>
      </c>
      <c r="N22" s="20" t="s">
        <v>1127</v>
      </c>
      <c r="O22" s="20" t="s">
        <v>1128</v>
      </c>
      <c r="P22" s="20" t="s">
        <v>1129</v>
      </c>
      <c r="Q22" s="20" t="s">
        <v>1130</v>
      </c>
      <c r="R22" s="20" t="s">
        <v>1131</v>
      </c>
      <c r="S22" s="20" t="s">
        <v>1141</v>
      </c>
      <c r="T22" s="20" t="s">
        <v>1133</v>
      </c>
    </row>
    <row r="23" spans="1:20" x14ac:dyDescent="0.2">
      <c r="A23" s="20" t="s">
        <v>31</v>
      </c>
      <c r="F23" s="20" t="s">
        <v>83</v>
      </c>
      <c r="G23" s="20" t="s">
        <v>84</v>
      </c>
      <c r="K23" s="20" t="s">
        <v>6689</v>
      </c>
      <c r="L23" s="20" t="s">
        <v>1134</v>
      </c>
      <c r="M23" s="20" t="s">
        <v>1135</v>
      </c>
      <c r="N23" s="20" t="s">
        <v>1136</v>
      </c>
      <c r="O23" s="20" t="s">
        <v>1137</v>
      </c>
      <c r="P23" s="20" t="s">
        <v>1138</v>
      </c>
      <c r="Q23" s="20" t="s">
        <v>1139</v>
      </c>
      <c r="R23" s="20" t="s">
        <v>1140</v>
      </c>
      <c r="S23" s="20" t="s">
        <v>1150</v>
      </c>
      <c r="T23" s="20" t="s">
        <v>1142</v>
      </c>
    </row>
    <row r="24" spans="1:20" x14ac:dyDescent="0.2">
      <c r="A24" s="20" t="s">
        <v>31</v>
      </c>
      <c r="F24" s="20" t="s">
        <v>85</v>
      </c>
      <c r="G24" s="20" t="s">
        <v>86</v>
      </c>
      <c r="K24" s="20" t="s">
        <v>6690</v>
      </c>
      <c r="L24" s="20" t="s">
        <v>1143</v>
      </c>
      <c r="M24" s="20" t="s">
        <v>1144</v>
      </c>
      <c r="N24" s="20" t="s">
        <v>1145</v>
      </c>
      <c r="O24" s="20" t="s">
        <v>1146</v>
      </c>
      <c r="P24" s="20" t="s">
        <v>1147</v>
      </c>
      <c r="Q24" s="20" t="s">
        <v>1148</v>
      </c>
      <c r="R24" s="20" t="s">
        <v>1149</v>
      </c>
      <c r="S24" s="20" t="s">
        <v>1159</v>
      </c>
      <c r="T24" s="20" t="s">
        <v>1151</v>
      </c>
    </row>
    <row r="25" spans="1:20" x14ac:dyDescent="0.2">
      <c r="A25" s="20" t="s">
        <v>31</v>
      </c>
      <c r="F25" s="20" t="s">
        <v>87</v>
      </c>
      <c r="G25" s="20" t="s">
        <v>88</v>
      </c>
      <c r="K25" s="20" t="s">
        <v>6691</v>
      </c>
      <c r="L25" s="20" t="s">
        <v>1152</v>
      </c>
      <c r="M25" s="20" t="s">
        <v>1153</v>
      </c>
      <c r="N25" s="20" t="s">
        <v>1154</v>
      </c>
      <c r="O25" s="20" t="s">
        <v>1155</v>
      </c>
      <c r="P25" s="20" t="s">
        <v>1156</v>
      </c>
      <c r="Q25" s="20" t="s">
        <v>1157</v>
      </c>
      <c r="R25" s="20" t="s">
        <v>1158</v>
      </c>
      <c r="S25" s="20" t="s">
        <v>1168</v>
      </c>
      <c r="T25" s="20" t="s">
        <v>1160</v>
      </c>
    </row>
    <row r="26" spans="1:20" x14ac:dyDescent="0.2">
      <c r="A26" s="20" t="s">
        <v>31</v>
      </c>
      <c r="F26" s="20" t="s">
        <v>89</v>
      </c>
      <c r="G26" s="20" t="s">
        <v>90</v>
      </c>
      <c r="K26" s="20" t="s">
        <v>6692</v>
      </c>
      <c r="L26" s="20" t="s">
        <v>1161</v>
      </c>
      <c r="M26" s="20" t="s">
        <v>1162</v>
      </c>
      <c r="N26" s="20" t="s">
        <v>1163</v>
      </c>
      <c r="O26" s="20" t="s">
        <v>1164</v>
      </c>
      <c r="P26" s="20" t="s">
        <v>1165</v>
      </c>
      <c r="Q26" s="20" t="s">
        <v>1166</v>
      </c>
      <c r="R26" s="20" t="s">
        <v>1167</v>
      </c>
      <c r="S26" s="20" t="s">
        <v>1177</v>
      </c>
      <c r="T26" s="20" t="s">
        <v>1169</v>
      </c>
    </row>
    <row r="27" spans="1:20" x14ac:dyDescent="0.2">
      <c r="A27" s="20" t="s">
        <v>31</v>
      </c>
      <c r="F27" s="20" t="s">
        <v>91</v>
      </c>
      <c r="G27" s="20" t="s">
        <v>92</v>
      </c>
      <c r="K27" s="20" t="s">
        <v>6693</v>
      </c>
      <c r="L27" s="20" t="s">
        <v>1170</v>
      </c>
      <c r="M27" s="20" t="s">
        <v>1171</v>
      </c>
      <c r="N27" s="20" t="s">
        <v>1172</v>
      </c>
      <c r="O27" s="20" t="s">
        <v>1173</v>
      </c>
      <c r="P27" s="20" t="s">
        <v>1174</v>
      </c>
      <c r="Q27" s="20" t="s">
        <v>1175</v>
      </c>
      <c r="R27" s="20" t="s">
        <v>1176</v>
      </c>
      <c r="S27" s="20" t="s">
        <v>1186</v>
      </c>
      <c r="T27" s="20" t="s">
        <v>1178</v>
      </c>
    </row>
    <row r="28" spans="1:20" x14ac:dyDescent="0.2">
      <c r="A28" s="20" t="s">
        <v>31</v>
      </c>
      <c r="F28" s="20" t="s">
        <v>93</v>
      </c>
      <c r="G28" s="20" t="s">
        <v>94</v>
      </c>
      <c r="K28" s="20" t="s">
        <v>6694</v>
      </c>
      <c r="L28" s="20" t="s">
        <v>1179</v>
      </c>
      <c r="M28" s="20" t="s">
        <v>1180</v>
      </c>
      <c r="N28" s="20" t="s">
        <v>1181</v>
      </c>
      <c r="O28" s="20" t="s">
        <v>1182</v>
      </c>
      <c r="P28" s="20" t="s">
        <v>1183</v>
      </c>
      <c r="Q28" s="20" t="s">
        <v>1184</v>
      </c>
      <c r="R28" s="20" t="s">
        <v>1185</v>
      </c>
      <c r="S28" s="20" t="s">
        <v>1195</v>
      </c>
      <c r="T28" s="20" t="s">
        <v>1187</v>
      </c>
    </row>
    <row r="29" spans="1:20" x14ac:dyDescent="0.2">
      <c r="A29" s="20" t="s">
        <v>31</v>
      </c>
      <c r="F29" s="20" t="s">
        <v>95</v>
      </c>
      <c r="G29" s="20" t="s">
        <v>96</v>
      </c>
      <c r="K29" s="20" t="s">
        <v>6695</v>
      </c>
      <c r="L29" s="20" t="s">
        <v>1188</v>
      </c>
      <c r="M29" s="20" t="s">
        <v>1189</v>
      </c>
      <c r="N29" s="20" t="s">
        <v>1190</v>
      </c>
      <c r="O29" s="20" t="s">
        <v>1191</v>
      </c>
      <c r="P29" s="20" t="s">
        <v>1192</v>
      </c>
      <c r="Q29" s="20" t="s">
        <v>1193</v>
      </c>
      <c r="R29" s="20" t="s">
        <v>1194</v>
      </c>
      <c r="S29" s="20" t="s">
        <v>1204</v>
      </c>
      <c r="T29" s="20" t="s">
        <v>1196</v>
      </c>
    </row>
    <row r="30" spans="1:20" x14ac:dyDescent="0.2">
      <c r="A30" s="20" t="s">
        <v>31</v>
      </c>
      <c r="F30" s="20" t="s">
        <v>97</v>
      </c>
      <c r="G30" s="20" t="s">
        <v>98</v>
      </c>
      <c r="K30" s="20" t="s">
        <v>6696</v>
      </c>
      <c r="L30" s="20" t="s">
        <v>1197</v>
      </c>
      <c r="M30" s="20" t="s">
        <v>1198</v>
      </c>
      <c r="N30" s="20" t="s">
        <v>1199</v>
      </c>
      <c r="O30" s="20" t="s">
        <v>1200</v>
      </c>
      <c r="P30" s="20" t="s">
        <v>1201</v>
      </c>
      <c r="Q30" s="20" t="s">
        <v>1202</v>
      </c>
      <c r="R30" s="20" t="s">
        <v>1203</v>
      </c>
      <c r="S30" s="20" t="s">
        <v>1213</v>
      </c>
      <c r="T30" s="20" t="s">
        <v>1205</v>
      </c>
    </row>
    <row r="31" spans="1:20" x14ac:dyDescent="0.2">
      <c r="A31" s="20" t="s">
        <v>31</v>
      </c>
      <c r="F31" s="20" t="s">
        <v>99</v>
      </c>
      <c r="G31" s="20" t="s">
        <v>100</v>
      </c>
      <c r="K31" s="20" t="s">
        <v>6697</v>
      </c>
      <c r="L31" s="20" t="s">
        <v>1206</v>
      </c>
      <c r="M31" s="20" t="s">
        <v>1207</v>
      </c>
      <c r="N31" s="20" t="s">
        <v>1208</v>
      </c>
      <c r="O31" s="20" t="s">
        <v>1209</v>
      </c>
      <c r="P31" s="20" t="s">
        <v>1210</v>
      </c>
      <c r="Q31" s="20" t="s">
        <v>1211</v>
      </c>
      <c r="R31" s="20" t="s">
        <v>1212</v>
      </c>
      <c r="S31" s="20" t="s">
        <v>1222</v>
      </c>
      <c r="T31" s="20" t="s">
        <v>1214</v>
      </c>
    </row>
    <row r="32" spans="1:20" x14ac:dyDescent="0.2">
      <c r="A32" s="20" t="s">
        <v>31</v>
      </c>
      <c r="F32" s="20" t="s">
        <v>101</v>
      </c>
      <c r="G32" s="20" t="s">
        <v>102</v>
      </c>
      <c r="K32" s="20" t="s">
        <v>6698</v>
      </c>
      <c r="L32" s="20" t="s">
        <v>1215</v>
      </c>
      <c r="M32" s="20" t="s">
        <v>1216</v>
      </c>
      <c r="N32" s="20" t="s">
        <v>1217</v>
      </c>
      <c r="O32" s="20" t="s">
        <v>1218</v>
      </c>
      <c r="P32" s="20" t="s">
        <v>1219</v>
      </c>
      <c r="Q32" s="20" t="s">
        <v>1220</v>
      </c>
      <c r="R32" s="20" t="s">
        <v>1221</v>
      </c>
      <c r="S32" s="20" t="s">
        <v>1231</v>
      </c>
      <c r="T32" s="20" t="s">
        <v>1223</v>
      </c>
    </row>
    <row r="33" spans="1:20" x14ac:dyDescent="0.2">
      <c r="A33" s="20" t="s">
        <v>31</v>
      </c>
      <c r="F33" s="20" t="s">
        <v>103</v>
      </c>
      <c r="G33" s="20" t="s">
        <v>104</v>
      </c>
      <c r="K33" s="20" t="s">
        <v>6699</v>
      </c>
      <c r="L33" s="20" t="s">
        <v>1224</v>
      </c>
      <c r="M33" s="20" t="s">
        <v>1225</v>
      </c>
      <c r="N33" s="20" t="s">
        <v>1226</v>
      </c>
      <c r="O33" s="20" t="s">
        <v>1227</v>
      </c>
      <c r="P33" s="20" t="s">
        <v>1228</v>
      </c>
      <c r="Q33" s="20" t="s">
        <v>1229</v>
      </c>
      <c r="R33" s="20" t="s">
        <v>1230</v>
      </c>
      <c r="S33" s="20" t="s">
        <v>1240</v>
      </c>
      <c r="T33" s="20" t="s">
        <v>1232</v>
      </c>
    </row>
    <row r="34" spans="1:20" x14ac:dyDescent="0.2">
      <c r="A34" s="20" t="s">
        <v>31</v>
      </c>
      <c r="F34" s="20" t="s">
        <v>105</v>
      </c>
      <c r="G34" s="20" t="s">
        <v>106</v>
      </c>
      <c r="K34" s="20" t="s">
        <v>6700</v>
      </c>
      <c r="L34" s="20" t="s">
        <v>1233</v>
      </c>
      <c r="M34" s="20" t="s">
        <v>1234</v>
      </c>
      <c r="N34" s="20" t="s">
        <v>1235</v>
      </c>
      <c r="O34" s="20" t="s">
        <v>1236</v>
      </c>
      <c r="P34" s="20" t="s">
        <v>1237</v>
      </c>
      <c r="Q34" s="20" t="s">
        <v>1238</v>
      </c>
      <c r="R34" s="20" t="s">
        <v>1239</v>
      </c>
      <c r="S34" s="20" t="s">
        <v>1249</v>
      </c>
      <c r="T34" s="20" t="s">
        <v>1241</v>
      </c>
    </row>
    <row r="35" spans="1:20" x14ac:dyDescent="0.2">
      <c r="A35" s="20" t="s">
        <v>31</v>
      </c>
      <c r="F35" s="20" t="s">
        <v>107</v>
      </c>
      <c r="G35" s="20" t="s">
        <v>108</v>
      </c>
      <c r="K35" s="20" t="s">
        <v>6701</v>
      </c>
      <c r="L35" s="20" t="s">
        <v>1242</v>
      </c>
      <c r="M35" s="20" t="s">
        <v>1243</v>
      </c>
      <c r="N35" s="20" t="s">
        <v>1244</v>
      </c>
      <c r="O35" s="20" t="s">
        <v>1245</v>
      </c>
      <c r="P35" s="20" t="s">
        <v>1246</v>
      </c>
      <c r="Q35" s="20" t="s">
        <v>1247</v>
      </c>
      <c r="R35" s="20" t="s">
        <v>1248</v>
      </c>
      <c r="S35" s="20" t="s">
        <v>1258</v>
      </c>
      <c r="T35" s="20" t="s">
        <v>1250</v>
      </c>
    </row>
    <row r="36" spans="1:20" x14ac:dyDescent="0.2">
      <c r="A36" s="20" t="s">
        <v>31</v>
      </c>
      <c r="F36" s="20" t="s">
        <v>109</v>
      </c>
      <c r="G36" s="20" t="s">
        <v>110</v>
      </c>
      <c r="K36" s="20" t="s">
        <v>6702</v>
      </c>
      <c r="L36" s="20" t="s">
        <v>1251</v>
      </c>
      <c r="M36" s="20" t="s">
        <v>1252</v>
      </c>
      <c r="N36" s="20" t="s">
        <v>1253</v>
      </c>
      <c r="O36" s="20" t="s">
        <v>1254</v>
      </c>
      <c r="P36" s="20" t="s">
        <v>1255</v>
      </c>
      <c r="Q36" s="20" t="s">
        <v>1256</v>
      </c>
      <c r="R36" s="20" t="s">
        <v>1257</v>
      </c>
      <c r="S36" s="20" t="s">
        <v>1267</v>
      </c>
      <c r="T36" s="20" t="s">
        <v>1259</v>
      </c>
    </row>
    <row r="37" spans="1:20" x14ac:dyDescent="0.2">
      <c r="A37" s="20" t="s">
        <v>31</v>
      </c>
      <c r="F37" s="20" t="s">
        <v>111</v>
      </c>
      <c r="G37" s="20" t="s">
        <v>112</v>
      </c>
      <c r="K37" s="20" t="s">
        <v>6703</v>
      </c>
      <c r="L37" s="20" t="s">
        <v>1260</v>
      </c>
      <c r="M37" s="20" t="s">
        <v>1261</v>
      </c>
      <c r="N37" s="20" t="s">
        <v>1262</v>
      </c>
      <c r="O37" s="20" t="s">
        <v>1263</v>
      </c>
      <c r="P37" s="20" t="s">
        <v>1264</v>
      </c>
      <c r="Q37" s="20" t="s">
        <v>1265</v>
      </c>
      <c r="R37" s="20" t="s">
        <v>1266</v>
      </c>
      <c r="S37" s="20" t="s">
        <v>1276</v>
      </c>
      <c r="T37" s="20" t="s">
        <v>1268</v>
      </c>
    </row>
    <row r="38" spans="1:20" x14ac:dyDescent="0.2">
      <c r="A38" s="20" t="s">
        <v>31</v>
      </c>
      <c r="F38" s="20" t="s">
        <v>113</v>
      </c>
      <c r="G38" s="20" t="s">
        <v>114</v>
      </c>
      <c r="K38" s="20" t="s">
        <v>6704</v>
      </c>
      <c r="L38" s="20" t="s">
        <v>1269</v>
      </c>
      <c r="M38" s="20" t="s">
        <v>1270</v>
      </c>
      <c r="N38" s="20" t="s">
        <v>1271</v>
      </c>
      <c r="O38" s="20" t="s">
        <v>1272</v>
      </c>
      <c r="P38" s="20" t="s">
        <v>1273</v>
      </c>
      <c r="Q38" s="20" t="s">
        <v>1274</v>
      </c>
      <c r="R38" s="20" t="s">
        <v>1275</v>
      </c>
      <c r="S38" s="20" t="s">
        <v>1285</v>
      </c>
      <c r="T38" s="20" t="s">
        <v>1277</v>
      </c>
    </row>
    <row r="39" spans="1:20" x14ac:dyDescent="0.2">
      <c r="A39" s="20" t="s">
        <v>31</v>
      </c>
      <c r="F39" s="20" t="s">
        <v>115</v>
      </c>
      <c r="G39" s="20" t="s">
        <v>116</v>
      </c>
      <c r="K39" s="20" t="s">
        <v>6705</v>
      </c>
      <c r="L39" s="20" t="s">
        <v>1278</v>
      </c>
      <c r="M39" s="20" t="s">
        <v>1279</v>
      </c>
      <c r="N39" s="20" t="s">
        <v>1280</v>
      </c>
      <c r="O39" s="20" t="s">
        <v>1281</v>
      </c>
      <c r="P39" s="20" t="s">
        <v>1282</v>
      </c>
      <c r="Q39" s="20" t="s">
        <v>1283</v>
      </c>
      <c r="R39" s="20" t="s">
        <v>1284</v>
      </c>
      <c r="S39" s="20" t="s">
        <v>1294</v>
      </c>
      <c r="T39" s="20" t="s">
        <v>1286</v>
      </c>
    </row>
    <row r="40" spans="1:20" x14ac:dyDescent="0.2">
      <c r="A40" s="20" t="s">
        <v>31</v>
      </c>
      <c r="F40" s="20" t="s">
        <v>117</v>
      </c>
      <c r="G40" s="20" t="s">
        <v>118</v>
      </c>
      <c r="K40" s="20" t="s">
        <v>6706</v>
      </c>
      <c r="L40" s="20" t="s">
        <v>1287</v>
      </c>
      <c r="M40" s="20" t="s">
        <v>1288</v>
      </c>
      <c r="N40" s="20" t="s">
        <v>1289</v>
      </c>
      <c r="O40" s="20" t="s">
        <v>1290</v>
      </c>
      <c r="P40" s="20" t="s">
        <v>1291</v>
      </c>
      <c r="Q40" s="20" t="s">
        <v>1292</v>
      </c>
      <c r="R40" s="20" t="s">
        <v>1293</v>
      </c>
      <c r="S40" s="20" t="s">
        <v>1303</v>
      </c>
      <c r="T40" s="20" t="s">
        <v>1295</v>
      </c>
    </row>
    <row r="41" spans="1:20" x14ac:dyDescent="0.2">
      <c r="A41" s="20" t="s">
        <v>31</v>
      </c>
      <c r="F41" s="20" t="s">
        <v>119</v>
      </c>
      <c r="G41" s="20" t="s">
        <v>120</v>
      </c>
      <c r="K41" s="20" t="s">
        <v>6707</v>
      </c>
      <c r="L41" s="20" t="s">
        <v>1296</v>
      </c>
      <c r="M41" s="20" t="s">
        <v>1297</v>
      </c>
      <c r="N41" s="20" t="s">
        <v>1298</v>
      </c>
      <c r="O41" s="20" t="s">
        <v>1299</v>
      </c>
      <c r="P41" s="20" t="s">
        <v>1300</v>
      </c>
      <c r="Q41" s="20" t="s">
        <v>1301</v>
      </c>
      <c r="R41" s="20" t="s">
        <v>1302</v>
      </c>
      <c r="S41" s="20" t="s">
        <v>1312</v>
      </c>
      <c r="T41" s="20" t="s">
        <v>1304</v>
      </c>
    </row>
    <row r="42" spans="1:20" x14ac:dyDescent="0.2">
      <c r="A42" s="20" t="s">
        <v>31</v>
      </c>
      <c r="F42" s="20" t="s">
        <v>121</v>
      </c>
      <c r="G42" s="20" t="s">
        <v>122</v>
      </c>
      <c r="K42" s="20" t="s">
        <v>6708</v>
      </c>
      <c r="L42" s="20" t="s">
        <v>1305</v>
      </c>
      <c r="M42" s="20" t="s">
        <v>1306</v>
      </c>
      <c r="N42" s="20" t="s">
        <v>1307</v>
      </c>
      <c r="O42" s="20" t="s">
        <v>1308</v>
      </c>
      <c r="P42" s="20" t="s">
        <v>1309</v>
      </c>
      <c r="Q42" s="20" t="s">
        <v>1310</v>
      </c>
      <c r="R42" s="20" t="s">
        <v>1311</v>
      </c>
      <c r="S42" s="20" t="s">
        <v>1321</v>
      </c>
      <c r="T42" s="20" t="s">
        <v>1313</v>
      </c>
    </row>
    <row r="43" spans="1:20" x14ac:dyDescent="0.2">
      <c r="A43" s="20" t="s">
        <v>31</v>
      </c>
      <c r="F43" s="20" t="s">
        <v>123</v>
      </c>
      <c r="G43" s="20" t="s">
        <v>124</v>
      </c>
      <c r="K43" s="20" t="s">
        <v>6709</v>
      </c>
      <c r="L43" s="20" t="s">
        <v>1314</v>
      </c>
      <c r="M43" s="20" t="s">
        <v>1315</v>
      </c>
      <c r="N43" s="20" t="s">
        <v>1316</v>
      </c>
      <c r="O43" s="20" t="s">
        <v>1317</v>
      </c>
      <c r="P43" s="20" t="s">
        <v>1318</v>
      </c>
      <c r="Q43" s="20" t="s">
        <v>1319</v>
      </c>
      <c r="R43" s="20" t="s">
        <v>1320</v>
      </c>
      <c r="S43" s="20" t="s">
        <v>1330</v>
      </c>
      <c r="T43" s="20" t="s">
        <v>1322</v>
      </c>
    </row>
    <row r="44" spans="1:20" x14ac:dyDescent="0.2">
      <c r="A44" s="20" t="s">
        <v>31</v>
      </c>
      <c r="F44" s="20" t="s">
        <v>125</v>
      </c>
      <c r="G44" s="20" t="s">
        <v>126</v>
      </c>
      <c r="K44" s="20" t="s">
        <v>6710</v>
      </c>
      <c r="L44" s="20" t="s">
        <v>1323</v>
      </c>
      <c r="M44" s="20" t="s">
        <v>1324</v>
      </c>
      <c r="N44" s="20" t="s">
        <v>1325</v>
      </c>
      <c r="O44" s="20" t="s">
        <v>1326</v>
      </c>
      <c r="P44" s="20" t="s">
        <v>1327</v>
      </c>
      <c r="Q44" s="20" t="s">
        <v>1328</v>
      </c>
      <c r="R44" s="20" t="s">
        <v>1329</v>
      </c>
      <c r="S44" s="20" t="s">
        <v>1339</v>
      </c>
      <c r="T44" s="20" t="s">
        <v>1331</v>
      </c>
    </row>
    <row r="45" spans="1:20" x14ac:dyDescent="0.2">
      <c r="A45" s="20" t="s">
        <v>31</v>
      </c>
      <c r="F45" s="20" t="s">
        <v>127</v>
      </c>
      <c r="G45" s="20" t="s">
        <v>128</v>
      </c>
      <c r="K45" s="20" t="s">
        <v>6711</v>
      </c>
      <c r="L45" s="20" t="s">
        <v>1332</v>
      </c>
      <c r="M45" s="20" t="s">
        <v>1333</v>
      </c>
      <c r="N45" s="20" t="s">
        <v>1334</v>
      </c>
      <c r="O45" s="20" t="s">
        <v>1335</v>
      </c>
      <c r="P45" s="20" t="s">
        <v>1336</v>
      </c>
      <c r="Q45" s="20" t="s">
        <v>1337</v>
      </c>
      <c r="R45" s="20" t="s">
        <v>1338</v>
      </c>
      <c r="S45" s="20" t="s">
        <v>6631</v>
      </c>
      <c r="T45" s="20" t="s">
        <v>1340</v>
      </c>
    </row>
    <row r="46" spans="1:20" x14ac:dyDescent="0.2">
      <c r="F46" s="20" t="s">
        <v>75</v>
      </c>
      <c r="G46" s="20" t="s">
        <v>76</v>
      </c>
    </row>
    <row r="47" spans="1:20" x14ac:dyDescent="0.2">
      <c r="I47" s="20" t="s">
        <v>1095</v>
      </c>
      <c r="T47" s="20" t="s">
        <v>6252</v>
      </c>
    </row>
    <row r="49" spans="1:20" x14ac:dyDescent="0.2">
      <c r="A49" s="20" t="s">
        <v>31</v>
      </c>
      <c r="D49" s="20" t="s">
        <v>5687</v>
      </c>
      <c r="E49" s="20" t="s">
        <v>5688</v>
      </c>
      <c r="F49" s="20" t="s">
        <v>6058</v>
      </c>
      <c r="G49" s="20" t="s">
        <v>6253</v>
      </c>
      <c r="I49" s="20" t="s">
        <v>130</v>
      </c>
      <c r="J49" s="20" t="s">
        <v>6254</v>
      </c>
    </row>
    <row r="50" spans="1:20" x14ac:dyDescent="0.2">
      <c r="A50" s="20" t="s">
        <v>31</v>
      </c>
      <c r="F50" s="20" t="s">
        <v>129</v>
      </c>
      <c r="G50" s="20" t="s">
        <v>130</v>
      </c>
      <c r="K50" s="20" t="s">
        <v>6255</v>
      </c>
      <c r="L50" s="20" t="s">
        <v>1341</v>
      </c>
      <c r="M50" s="20" t="s">
        <v>1342</v>
      </c>
      <c r="N50" s="20" t="s">
        <v>1343</v>
      </c>
      <c r="O50" s="20" t="s">
        <v>1344</v>
      </c>
      <c r="P50" s="20" t="s">
        <v>1345</v>
      </c>
      <c r="Q50" s="20" t="s">
        <v>1346</v>
      </c>
      <c r="R50" s="20" t="s">
        <v>1347</v>
      </c>
      <c r="S50" s="20" t="s">
        <v>1356</v>
      </c>
      <c r="T50" s="20" t="s">
        <v>1348</v>
      </c>
    </row>
    <row r="51" spans="1:20" x14ac:dyDescent="0.2">
      <c r="A51" s="20" t="s">
        <v>31</v>
      </c>
      <c r="F51" s="20" t="s">
        <v>131</v>
      </c>
      <c r="G51" s="20" t="s">
        <v>132</v>
      </c>
      <c r="K51" s="20" t="s">
        <v>6256</v>
      </c>
      <c r="L51" s="20" t="s">
        <v>1349</v>
      </c>
      <c r="M51" s="20" t="s">
        <v>1350</v>
      </c>
      <c r="N51" s="20" t="s">
        <v>1351</v>
      </c>
      <c r="O51" s="20" t="s">
        <v>1352</v>
      </c>
      <c r="P51" s="20" t="s">
        <v>1353</v>
      </c>
      <c r="Q51" s="20" t="s">
        <v>1354</v>
      </c>
      <c r="R51" s="20" t="s">
        <v>1355</v>
      </c>
      <c r="S51" s="20" t="s">
        <v>1365</v>
      </c>
      <c r="T51" s="20" t="s">
        <v>1357</v>
      </c>
    </row>
    <row r="52" spans="1:20" x14ac:dyDescent="0.2">
      <c r="A52" s="20" t="s">
        <v>31</v>
      </c>
      <c r="F52" s="20" t="s">
        <v>133</v>
      </c>
      <c r="G52" s="20" t="s">
        <v>134</v>
      </c>
      <c r="K52" s="20" t="s">
        <v>6712</v>
      </c>
      <c r="L52" s="20" t="s">
        <v>1358</v>
      </c>
      <c r="M52" s="20" t="s">
        <v>1359</v>
      </c>
      <c r="N52" s="20" t="s">
        <v>1360</v>
      </c>
      <c r="O52" s="20" t="s">
        <v>1361</v>
      </c>
      <c r="P52" s="20" t="s">
        <v>1362</v>
      </c>
      <c r="Q52" s="20" t="s">
        <v>1363</v>
      </c>
      <c r="R52" s="20" t="s">
        <v>1364</v>
      </c>
      <c r="S52" s="20" t="s">
        <v>1374</v>
      </c>
      <c r="T52" s="20" t="s">
        <v>1366</v>
      </c>
    </row>
    <row r="53" spans="1:20" x14ac:dyDescent="0.2">
      <c r="A53" s="20" t="s">
        <v>31</v>
      </c>
      <c r="F53" s="20" t="s">
        <v>135</v>
      </c>
      <c r="G53" s="20" t="s">
        <v>136</v>
      </c>
      <c r="K53" s="20" t="s">
        <v>6713</v>
      </c>
      <c r="L53" s="20" t="s">
        <v>1367</v>
      </c>
      <c r="M53" s="20" t="s">
        <v>1368</v>
      </c>
      <c r="N53" s="20" t="s">
        <v>1369</v>
      </c>
      <c r="O53" s="20" t="s">
        <v>1370</v>
      </c>
      <c r="P53" s="20" t="s">
        <v>1371</v>
      </c>
      <c r="Q53" s="20" t="s">
        <v>1372</v>
      </c>
      <c r="R53" s="20" t="s">
        <v>1373</v>
      </c>
      <c r="S53" s="20" t="s">
        <v>1383</v>
      </c>
      <c r="T53" s="20" t="s">
        <v>1375</v>
      </c>
    </row>
    <row r="54" spans="1:20" x14ac:dyDescent="0.2">
      <c r="A54" s="20" t="s">
        <v>31</v>
      </c>
      <c r="F54" s="20" t="s">
        <v>137</v>
      </c>
      <c r="G54" s="20" t="s">
        <v>138</v>
      </c>
      <c r="K54" s="20" t="s">
        <v>6714</v>
      </c>
      <c r="L54" s="20" t="s">
        <v>1376</v>
      </c>
      <c r="M54" s="20" t="s">
        <v>1377</v>
      </c>
      <c r="N54" s="20" t="s">
        <v>1378</v>
      </c>
      <c r="O54" s="20" t="s">
        <v>1379</v>
      </c>
      <c r="P54" s="20" t="s">
        <v>1380</v>
      </c>
      <c r="Q54" s="20" t="s">
        <v>1381</v>
      </c>
      <c r="R54" s="20" t="s">
        <v>1382</v>
      </c>
      <c r="S54" s="20" t="s">
        <v>1392</v>
      </c>
      <c r="T54" s="20" t="s">
        <v>1384</v>
      </c>
    </row>
    <row r="55" spans="1:20" x14ac:dyDescent="0.2">
      <c r="A55" s="20" t="s">
        <v>31</v>
      </c>
      <c r="F55" s="20" t="s">
        <v>139</v>
      </c>
      <c r="G55" s="20" t="s">
        <v>140</v>
      </c>
      <c r="K55" s="20" t="s">
        <v>6715</v>
      </c>
      <c r="L55" s="20" t="s">
        <v>1385</v>
      </c>
      <c r="M55" s="20" t="s">
        <v>1386</v>
      </c>
      <c r="N55" s="20" t="s">
        <v>1387</v>
      </c>
      <c r="O55" s="20" t="s">
        <v>1388</v>
      </c>
      <c r="P55" s="20" t="s">
        <v>1389</v>
      </c>
      <c r="Q55" s="20" t="s">
        <v>1390</v>
      </c>
      <c r="R55" s="20" t="s">
        <v>1391</v>
      </c>
      <c r="S55" s="20" t="s">
        <v>1401</v>
      </c>
      <c r="T55" s="20" t="s">
        <v>1393</v>
      </c>
    </row>
    <row r="56" spans="1:20" x14ac:dyDescent="0.2">
      <c r="A56" s="20" t="s">
        <v>31</v>
      </c>
      <c r="F56" s="20" t="s">
        <v>141</v>
      </c>
      <c r="G56" s="20" t="s">
        <v>142</v>
      </c>
      <c r="K56" s="20" t="s">
        <v>6716</v>
      </c>
      <c r="L56" s="20" t="s">
        <v>1394</v>
      </c>
      <c r="M56" s="20" t="s">
        <v>1395</v>
      </c>
      <c r="N56" s="20" t="s">
        <v>1396</v>
      </c>
      <c r="O56" s="20" t="s">
        <v>1397</v>
      </c>
      <c r="P56" s="20" t="s">
        <v>1398</v>
      </c>
      <c r="Q56" s="20" t="s">
        <v>1399</v>
      </c>
      <c r="R56" s="20" t="s">
        <v>1400</v>
      </c>
      <c r="S56" s="20" t="s">
        <v>1410</v>
      </c>
      <c r="T56" s="20" t="s">
        <v>1402</v>
      </c>
    </row>
    <row r="57" spans="1:20" x14ac:dyDescent="0.2">
      <c r="A57" s="20" t="s">
        <v>31</v>
      </c>
      <c r="F57" s="20" t="s">
        <v>143</v>
      </c>
      <c r="G57" s="20" t="s">
        <v>144</v>
      </c>
      <c r="K57" s="20" t="s">
        <v>6717</v>
      </c>
      <c r="L57" s="20" t="s">
        <v>1403</v>
      </c>
      <c r="M57" s="20" t="s">
        <v>1404</v>
      </c>
      <c r="N57" s="20" t="s">
        <v>1405</v>
      </c>
      <c r="O57" s="20" t="s">
        <v>1406</v>
      </c>
      <c r="P57" s="20" t="s">
        <v>1407</v>
      </c>
      <c r="Q57" s="20" t="s">
        <v>1408</v>
      </c>
      <c r="R57" s="20" t="s">
        <v>1409</v>
      </c>
      <c r="S57" s="20" t="s">
        <v>1419</v>
      </c>
      <c r="T57" s="20" t="s">
        <v>1411</v>
      </c>
    </row>
    <row r="58" spans="1:20" x14ac:dyDescent="0.2">
      <c r="A58" s="20" t="s">
        <v>31</v>
      </c>
      <c r="F58" s="20" t="s">
        <v>145</v>
      </c>
      <c r="G58" s="20" t="s">
        <v>146</v>
      </c>
      <c r="K58" s="20" t="s">
        <v>6718</v>
      </c>
      <c r="L58" s="20" t="s">
        <v>1412</v>
      </c>
      <c r="M58" s="20" t="s">
        <v>1413</v>
      </c>
      <c r="N58" s="20" t="s">
        <v>1414</v>
      </c>
      <c r="O58" s="20" t="s">
        <v>1415</v>
      </c>
      <c r="P58" s="20" t="s">
        <v>1416</v>
      </c>
      <c r="Q58" s="20" t="s">
        <v>1417</v>
      </c>
      <c r="R58" s="20" t="s">
        <v>1418</v>
      </c>
      <c r="S58" s="20" t="s">
        <v>1428</v>
      </c>
      <c r="T58" s="20" t="s">
        <v>1420</v>
      </c>
    </row>
    <row r="59" spans="1:20" x14ac:dyDescent="0.2">
      <c r="A59" s="20" t="s">
        <v>31</v>
      </c>
      <c r="F59" s="20" t="s">
        <v>147</v>
      </c>
      <c r="G59" s="20" t="s">
        <v>148</v>
      </c>
      <c r="K59" s="20" t="s">
        <v>6719</v>
      </c>
      <c r="L59" s="20" t="s">
        <v>1421</v>
      </c>
      <c r="M59" s="20" t="s">
        <v>1422</v>
      </c>
      <c r="N59" s="20" t="s">
        <v>1423</v>
      </c>
      <c r="O59" s="20" t="s">
        <v>1424</v>
      </c>
      <c r="P59" s="20" t="s">
        <v>1425</v>
      </c>
      <c r="Q59" s="20" t="s">
        <v>1426</v>
      </c>
      <c r="R59" s="20" t="s">
        <v>1427</v>
      </c>
      <c r="S59" s="20" t="s">
        <v>1437</v>
      </c>
      <c r="T59" s="20" t="s">
        <v>1429</v>
      </c>
    </row>
    <row r="60" spans="1:20" x14ac:dyDescent="0.2">
      <c r="A60" s="20" t="s">
        <v>31</v>
      </c>
      <c r="F60" s="20" t="s">
        <v>149</v>
      </c>
      <c r="G60" s="20" t="s">
        <v>150</v>
      </c>
      <c r="K60" s="20" t="s">
        <v>6720</v>
      </c>
      <c r="L60" s="20" t="s">
        <v>1430</v>
      </c>
      <c r="M60" s="20" t="s">
        <v>1431</v>
      </c>
      <c r="N60" s="20" t="s">
        <v>1432</v>
      </c>
      <c r="O60" s="20" t="s">
        <v>1433</v>
      </c>
      <c r="P60" s="20" t="s">
        <v>1434</v>
      </c>
      <c r="Q60" s="20" t="s">
        <v>1435</v>
      </c>
      <c r="R60" s="20" t="s">
        <v>1436</v>
      </c>
      <c r="S60" s="20" t="s">
        <v>1446</v>
      </c>
      <c r="T60" s="20" t="s">
        <v>1438</v>
      </c>
    </row>
    <row r="61" spans="1:20" x14ac:dyDescent="0.2">
      <c r="A61" s="20" t="s">
        <v>31</v>
      </c>
      <c r="F61" s="20" t="s">
        <v>151</v>
      </c>
      <c r="G61" s="20" t="s">
        <v>152</v>
      </c>
      <c r="K61" s="20" t="s">
        <v>6721</v>
      </c>
      <c r="L61" s="20" t="s">
        <v>1439</v>
      </c>
      <c r="M61" s="20" t="s">
        <v>1440</v>
      </c>
      <c r="N61" s="20" t="s">
        <v>1441</v>
      </c>
      <c r="O61" s="20" t="s">
        <v>1442</v>
      </c>
      <c r="P61" s="20" t="s">
        <v>1443</v>
      </c>
      <c r="Q61" s="20" t="s">
        <v>1444</v>
      </c>
      <c r="R61" s="20" t="s">
        <v>1445</v>
      </c>
      <c r="S61" s="20" t="s">
        <v>1455</v>
      </c>
      <c r="T61" s="20" t="s">
        <v>1447</v>
      </c>
    </row>
    <row r="62" spans="1:20" x14ac:dyDescent="0.2">
      <c r="A62" s="20" t="s">
        <v>31</v>
      </c>
      <c r="F62" s="20" t="s">
        <v>153</v>
      </c>
      <c r="G62" s="20" t="s">
        <v>154</v>
      </c>
      <c r="K62" s="20" t="s">
        <v>6722</v>
      </c>
      <c r="L62" s="20" t="s">
        <v>1448</v>
      </c>
      <c r="M62" s="20" t="s">
        <v>1449</v>
      </c>
      <c r="N62" s="20" t="s">
        <v>1450</v>
      </c>
      <c r="O62" s="20" t="s">
        <v>1451</v>
      </c>
      <c r="P62" s="20" t="s">
        <v>1452</v>
      </c>
      <c r="Q62" s="20" t="s">
        <v>1453</v>
      </c>
      <c r="R62" s="20" t="s">
        <v>1454</v>
      </c>
      <c r="S62" s="20" t="s">
        <v>1464</v>
      </c>
      <c r="T62" s="20" t="s">
        <v>1456</v>
      </c>
    </row>
    <row r="63" spans="1:20" x14ac:dyDescent="0.2">
      <c r="A63" s="20" t="s">
        <v>31</v>
      </c>
      <c r="F63" s="20" t="s">
        <v>155</v>
      </c>
      <c r="G63" s="20" t="s">
        <v>156</v>
      </c>
      <c r="K63" s="20" t="s">
        <v>6723</v>
      </c>
      <c r="L63" s="20" t="s">
        <v>1457</v>
      </c>
      <c r="M63" s="20" t="s">
        <v>1458</v>
      </c>
      <c r="N63" s="20" t="s">
        <v>1459</v>
      </c>
      <c r="O63" s="20" t="s">
        <v>1460</v>
      </c>
      <c r="P63" s="20" t="s">
        <v>1461</v>
      </c>
      <c r="Q63" s="20" t="s">
        <v>1462</v>
      </c>
      <c r="R63" s="20" t="s">
        <v>1463</v>
      </c>
      <c r="S63" s="20" t="s">
        <v>1473</v>
      </c>
      <c r="T63" s="20" t="s">
        <v>1465</v>
      </c>
    </row>
    <row r="64" spans="1:20" x14ac:dyDescent="0.2">
      <c r="A64" s="20" t="s">
        <v>31</v>
      </c>
      <c r="F64" s="20" t="s">
        <v>157</v>
      </c>
      <c r="G64" s="20" t="s">
        <v>158</v>
      </c>
      <c r="K64" s="20" t="s">
        <v>6724</v>
      </c>
      <c r="L64" s="20" t="s">
        <v>1466</v>
      </c>
      <c r="M64" s="20" t="s">
        <v>1467</v>
      </c>
      <c r="N64" s="20" t="s">
        <v>1468</v>
      </c>
      <c r="O64" s="20" t="s">
        <v>1469</v>
      </c>
      <c r="P64" s="20" t="s">
        <v>1470</v>
      </c>
      <c r="Q64" s="20" t="s">
        <v>1471</v>
      </c>
      <c r="R64" s="20" t="s">
        <v>1472</v>
      </c>
      <c r="S64" s="20" t="s">
        <v>1482</v>
      </c>
      <c r="T64" s="20" t="s">
        <v>1474</v>
      </c>
    </row>
    <row r="65" spans="1:20" x14ac:dyDescent="0.2">
      <c r="A65" s="20" t="s">
        <v>31</v>
      </c>
      <c r="F65" s="20" t="s">
        <v>159</v>
      </c>
      <c r="G65" s="20" t="s">
        <v>160</v>
      </c>
      <c r="K65" s="20" t="s">
        <v>6725</v>
      </c>
      <c r="L65" s="20" t="s">
        <v>1475</v>
      </c>
      <c r="M65" s="20" t="s">
        <v>1476</v>
      </c>
      <c r="N65" s="20" t="s">
        <v>1477</v>
      </c>
      <c r="O65" s="20" t="s">
        <v>1478</v>
      </c>
      <c r="P65" s="20" t="s">
        <v>1479</v>
      </c>
      <c r="Q65" s="20" t="s">
        <v>1480</v>
      </c>
      <c r="R65" s="20" t="s">
        <v>1481</v>
      </c>
      <c r="S65" s="20" t="s">
        <v>1491</v>
      </c>
      <c r="T65" s="20" t="s">
        <v>1483</v>
      </c>
    </row>
    <row r="66" spans="1:20" x14ac:dyDescent="0.2">
      <c r="A66" s="20" t="s">
        <v>31</v>
      </c>
      <c r="F66" s="20" t="s">
        <v>161</v>
      </c>
      <c r="G66" s="20" t="s">
        <v>162</v>
      </c>
      <c r="K66" s="20" t="s">
        <v>6726</v>
      </c>
      <c r="L66" s="20" t="s">
        <v>1484</v>
      </c>
      <c r="M66" s="20" t="s">
        <v>1485</v>
      </c>
      <c r="N66" s="20" t="s">
        <v>1486</v>
      </c>
      <c r="O66" s="20" t="s">
        <v>1487</v>
      </c>
      <c r="P66" s="20" t="s">
        <v>1488</v>
      </c>
      <c r="Q66" s="20" t="s">
        <v>1489</v>
      </c>
      <c r="R66" s="20" t="s">
        <v>1490</v>
      </c>
      <c r="S66" s="20" t="s">
        <v>1500</v>
      </c>
      <c r="T66" s="20" t="s">
        <v>1492</v>
      </c>
    </row>
    <row r="67" spans="1:20" x14ac:dyDescent="0.2">
      <c r="A67" s="20" t="s">
        <v>31</v>
      </c>
      <c r="F67" s="20" t="s">
        <v>163</v>
      </c>
      <c r="G67" s="20" t="s">
        <v>164</v>
      </c>
      <c r="K67" s="20" t="s">
        <v>6727</v>
      </c>
      <c r="L67" s="20" t="s">
        <v>1493</v>
      </c>
      <c r="M67" s="20" t="s">
        <v>1494</v>
      </c>
      <c r="N67" s="20" t="s">
        <v>1495</v>
      </c>
      <c r="O67" s="20" t="s">
        <v>1496</v>
      </c>
      <c r="P67" s="20" t="s">
        <v>1497</v>
      </c>
      <c r="Q67" s="20" t="s">
        <v>1498</v>
      </c>
      <c r="R67" s="20" t="s">
        <v>1499</v>
      </c>
      <c r="S67" s="20" t="s">
        <v>1509</v>
      </c>
      <c r="T67" s="20" t="s">
        <v>1501</v>
      </c>
    </row>
    <row r="68" spans="1:20" x14ac:dyDescent="0.2">
      <c r="A68" s="20" t="s">
        <v>31</v>
      </c>
      <c r="F68" s="20" t="s">
        <v>165</v>
      </c>
      <c r="G68" s="20" t="s">
        <v>166</v>
      </c>
      <c r="K68" s="20" t="s">
        <v>6728</v>
      </c>
      <c r="L68" s="20" t="s">
        <v>1502</v>
      </c>
      <c r="M68" s="20" t="s">
        <v>1503</v>
      </c>
      <c r="N68" s="20" t="s">
        <v>1504</v>
      </c>
      <c r="O68" s="20" t="s">
        <v>1505</v>
      </c>
      <c r="P68" s="20" t="s">
        <v>1506</v>
      </c>
      <c r="Q68" s="20" t="s">
        <v>1507</v>
      </c>
      <c r="R68" s="20" t="s">
        <v>1508</v>
      </c>
      <c r="S68" s="20" t="s">
        <v>1518</v>
      </c>
      <c r="T68" s="20" t="s">
        <v>1510</v>
      </c>
    </row>
    <row r="69" spans="1:20" x14ac:dyDescent="0.2">
      <c r="A69" s="20" t="s">
        <v>31</v>
      </c>
      <c r="F69" s="20" t="s">
        <v>167</v>
      </c>
      <c r="G69" s="20" t="s">
        <v>168</v>
      </c>
      <c r="K69" s="20" t="s">
        <v>6729</v>
      </c>
      <c r="L69" s="20" t="s">
        <v>1511</v>
      </c>
      <c r="M69" s="20" t="s">
        <v>1512</v>
      </c>
      <c r="N69" s="20" t="s">
        <v>1513</v>
      </c>
      <c r="O69" s="20" t="s">
        <v>1514</v>
      </c>
      <c r="P69" s="20" t="s">
        <v>1515</v>
      </c>
      <c r="Q69" s="20" t="s">
        <v>1516</v>
      </c>
      <c r="R69" s="20" t="s">
        <v>1517</v>
      </c>
      <c r="S69" s="20" t="s">
        <v>1527</v>
      </c>
      <c r="T69" s="20" t="s">
        <v>1519</v>
      </c>
    </row>
    <row r="70" spans="1:20" x14ac:dyDescent="0.2">
      <c r="A70" s="20" t="s">
        <v>31</v>
      </c>
      <c r="F70" s="20" t="s">
        <v>169</v>
      </c>
      <c r="G70" s="20" t="s">
        <v>170</v>
      </c>
      <c r="K70" s="20" t="s">
        <v>6730</v>
      </c>
      <c r="L70" s="20" t="s">
        <v>1520</v>
      </c>
      <c r="M70" s="20" t="s">
        <v>1521</v>
      </c>
      <c r="N70" s="20" t="s">
        <v>1522</v>
      </c>
      <c r="O70" s="20" t="s">
        <v>1523</v>
      </c>
      <c r="P70" s="20" t="s">
        <v>1524</v>
      </c>
      <c r="Q70" s="20" t="s">
        <v>1525</v>
      </c>
      <c r="R70" s="20" t="s">
        <v>1526</v>
      </c>
      <c r="S70" s="20" t="s">
        <v>1536</v>
      </c>
      <c r="T70" s="20" t="s">
        <v>1528</v>
      </c>
    </row>
    <row r="71" spans="1:20" x14ac:dyDescent="0.2">
      <c r="A71" s="20" t="s">
        <v>31</v>
      </c>
      <c r="F71" s="20" t="s">
        <v>171</v>
      </c>
      <c r="G71" s="20" t="s">
        <v>172</v>
      </c>
      <c r="K71" s="20" t="s">
        <v>6731</v>
      </c>
      <c r="L71" s="20" t="s">
        <v>1529</v>
      </c>
      <c r="M71" s="20" t="s">
        <v>1530</v>
      </c>
      <c r="N71" s="20" t="s">
        <v>1531</v>
      </c>
      <c r="O71" s="20" t="s">
        <v>1532</v>
      </c>
      <c r="P71" s="20" t="s">
        <v>1533</v>
      </c>
      <c r="Q71" s="20" t="s">
        <v>1534</v>
      </c>
      <c r="R71" s="20" t="s">
        <v>1535</v>
      </c>
      <c r="S71" s="20" t="s">
        <v>1545</v>
      </c>
      <c r="T71" s="20" t="s">
        <v>1537</v>
      </c>
    </row>
    <row r="72" spans="1:20" x14ac:dyDescent="0.2">
      <c r="A72" s="20" t="s">
        <v>31</v>
      </c>
      <c r="F72" s="20" t="s">
        <v>173</v>
      </c>
      <c r="G72" s="20" t="s">
        <v>174</v>
      </c>
      <c r="K72" s="20" t="s">
        <v>6732</v>
      </c>
      <c r="L72" s="20" t="s">
        <v>1538</v>
      </c>
      <c r="M72" s="20" t="s">
        <v>1539</v>
      </c>
      <c r="N72" s="20" t="s">
        <v>1540</v>
      </c>
      <c r="O72" s="20" t="s">
        <v>1541</v>
      </c>
      <c r="P72" s="20" t="s">
        <v>1542</v>
      </c>
      <c r="Q72" s="20" t="s">
        <v>1543</v>
      </c>
      <c r="R72" s="20" t="s">
        <v>1544</v>
      </c>
      <c r="S72" s="20" t="s">
        <v>1554</v>
      </c>
      <c r="T72" s="20" t="s">
        <v>1546</v>
      </c>
    </row>
    <row r="73" spans="1:20" x14ac:dyDescent="0.2">
      <c r="A73" s="20" t="s">
        <v>31</v>
      </c>
      <c r="F73" s="20" t="s">
        <v>175</v>
      </c>
      <c r="G73" s="20" t="s">
        <v>176</v>
      </c>
      <c r="K73" s="20" t="s">
        <v>6733</v>
      </c>
      <c r="L73" s="20" t="s">
        <v>1547</v>
      </c>
      <c r="M73" s="20" t="s">
        <v>1548</v>
      </c>
      <c r="N73" s="20" t="s">
        <v>1549</v>
      </c>
      <c r="O73" s="20" t="s">
        <v>1550</v>
      </c>
      <c r="P73" s="20" t="s">
        <v>1551</v>
      </c>
      <c r="Q73" s="20" t="s">
        <v>1552</v>
      </c>
      <c r="R73" s="20" t="s">
        <v>1553</v>
      </c>
      <c r="S73" s="20" t="s">
        <v>1563</v>
      </c>
      <c r="T73" s="20" t="s">
        <v>1555</v>
      </c>
    </row>
    <row r="74" spans="1:20" x14ac:dyDescent="0.2">
      <c r="A74" s="20" t="s">
        <v>31</v>
      </c>
      <c r="F74" s="20" t="s">
        <v>177</v>
      </c>
      <c r="G74" s="20" t="s">
        <v>178</v>
      </c>
      <c r="K74" s="20" t="s">
        <v>6734</v>
      </c>
      <c r="L74" s="20" t="s">
        <v>1556</v>
      </c>
      <c r="M74" s="20" t="s">
        <v>1557</v>
      </c>
      <c r="N74" s="20" t="s">
        <v>1558</v>
      </c>
      <c r="O74" s="20" t="s">
        <v>1559</v>
      </c>
      <c r="P74" s="20" t="s">
        <v>1560</v>
      </c>
      <c r="Q74" s="20" t="s">
        <v>1561</v>
      </c>
      <c r="R74" s="20" t="s">
        <v>1562</v>
      </c>
      <c r="S74" s="20" t="s">
        <v>1572</v>
      </c>
      <c r="T74" s="20" t="s">
        <v>1564</v>
      </c>
    </row>
    <row r="75" spans="1:20" x14ac:dyDescent="0.2">
      <c r="A75" s="20" t="s">
        <v>31</v>
      </c>
      <c r="F75" s="20" t="s">
        <v>179</v>
      </c>
      <c r="G75" s="20" t="s">
        <v>180</v>
      </c>
      <c r="K75" s="20" t="s">
        <v>6735</v>
      </c>
      <c r="L75" s="20" t="s">
        <v>1565</v>
      </c>
      <c r="M75" s="20" t="s">
        <v>1566</v>
      </c>
      <c r="N75" s="20" t="s">
        <v>1567</v>
      </c>
      <c r="O75" s="20" t="s">
        <v>1568</v>
      </c>
      <c r="P75" s="20" t="s">
        <v>1569</v>
      </c>
      <c r="Q75" s="20" t="s">
        <v>1570</v>
      </c>
      <c r="R75" s="20" t="s">
        <v>1571</v>
      </c>
      <c r="S75" s="20" t="s">
        <v>5702</v>
      </c>
      <c r="T75" s="20" t="s">
        <v>1573</v>
      </c>
    </row>
    <row r="76" spans="1:20" x14ac:dyDescent="0.2">
      <c r="A76" s="20" t="s">
        <v>31</v>
      </c>
      <c r="F76" s="20" t="s">
        <v>5693</v>
      </c>
      <c r="G76" s="20" t="s">
        <v>5694</v>
      </c>
      <c r="K76" s="20" t="s">
        <v>6736</v>
      </c>
      <c r="L76" s="20" t="s">
        <v>5695</v>
      </c>
      <c r="M76" s="20" t="s">
        <v>5696</v>
      </c>
      <c r="N76" s="20" t="s">
        <v>5697</v>
      </c>
      <c r="O76" s="20" t="s">
        <v>5698</v>
      </c>
      <c r="P76" s="20" t="s">
        <v>5699</v>
      </c>
      <c r="Q76" s="20" t="s">
        <v>5700</v>
      </c>
      <c r="R76" s="20" t="s">
        <v>5701</v>
      </c>
      <c r="S76" s="20" t="s">
        <v>5713</v>
      </c>
      <c r="T76" s="20" t="s">
        <v>5703</v>
      </c>
    </row>
    <row r="77" spans="1:20" x14ac:dyDescent="0.2">
      <c r="A77" s="20" t="s">
        <v>31</v>
      </c>
      <c r="F77" s="20" t="s">
        <v>5704</v>
      </c>
      <c r="G77" s="20" t="s">
        <v>5705</v>
      </c>
      <c r="K77" s="20" t="s">
        <v>6737</v>
      </c>
      <c r="L77" s="20" t="s">
        <v>5706</v>
      </c>
      <c r="M77" s="20" t="s">
        <v>5707</v>
      </c>
      <c r="N77" s="20" t="s">
        <v>5708</v>
      </c>
      <c r="O77" s="20" t="s">
        <v>5709</v>
      </c>
      <c r="P77" s="20" t="s">
        <v>5710</v>
      </c>
      <c r="Q77" s="20" t="s">
        <v>5711</v>
      </c>
      <c r="R77" s="20" t="s">
        <v>5712</v>
      </c>
      <c r="S77" s="20" t="s">
        <v>5724</v>
      </c>
      <c r="T77" s="20" t="s">
        <v>5714</v>
      </c>
    </row>
    <row r="78" spans="1:20" x14ac:dyDescent="0.2">
      <c r="A78" s="20" t="s">
        <v>31</v>
      </c>
      <c r="F78" s="20" t="s">
        <v>5715</v>
      </c>
      <c r="G78" s="20" t="s">
        <v>5716</v>
      </c>
      <c r="K78" s="20" t="s">
        <v>6738</v>
      </c>
      <c r="L78" s="20" t="s">
        <v>5717</v>
      </c>
      <c r="M78" s="20" t="s">
        <v>5718</v>
      </c>
      <c r="N78" s="20" t="s">
        <v>5719</v>
      </c>
      <c r="O78" s="20" t="s">
        <v>5720</v>
      </c>
      <c r="P78" s="20" t="s">
        <v>5721</v>
      </c>
      <c r="Q78" s="20" t="s">
        <v>5722</v>
      </c>
      <c r="R78" s="20" t="s">
        <v>5723</v>
      </c>
      <c r="S78" s="20" t="s">
        <v>5735</v>
      </c>
      <c r="T78" s="20" t="s">
        <v>5725</v>
      </c>
    </row>
    <row r="79" spans="1:20" x14ac:dyDescent="0.2">
      <c r="A79" s="20" t="s">
        <v>31</v>
      </c>
      <c r="F79" s="20" t="s">
        <v>5726</v>
      </c>
      <c r="G79" s="20" t="s">
        <v>5727</v>
      </c>
      <c r="K79" s="20" t="s">
        <v>6739</v>
      </c>
      <c r="L79" s="20" t="s">
        <v>5728</v>
      </c>
      <c r="M79" s="20" t="s">
        <v>5729</v>
      </c>
      <c r="N79" s="20" t="s">
        <v>5730</v>
      </c>
      <c r="O79" s="20" t="s">
        <v>5731</v>
      </c>
      <c r="P79" s="20" t="s">
        <v>5732</v>
      </c>
      <c r="Q79" s="20" t="s">
        <v>5733</v>
      </c>
      <c r="R79" s="20" t="s">
        <v>5734</v>
      </c>
      <c r="S79" s="20" t="s">
        <v>5737</v>
      </c>
      <c r="T79" s="20" t="s">
        <v>5736</v>
      </c>
    </row>
    <row r="80" spans="1:20" x14ac:dyDescent="0.2">
      <c r="A80" s="20" t="s">
        <v>31</v>
      </c>
      <c r="F80" s="20" t="s">
        <v>181</v>
      </c>
      <c r="G80" s="20" t="s">
        <v>182</v>
      </c>
      <c r="K80" s="20" t="s">
        <v>6740</v>
      </c>
      <c r="L80" s="20" t="s">
        <v>1574</v>
      </c>
      <c r="M80" s="20" t="s">
        <v>1575</v>
      </c>
      <c r="N80" s="20" t="s">
        <v>1576</v>
      </c>
      <c r="O80" s="20" t="s">
        <v>1577</v>
      </c>
      <c r="P80" s="20" t="s">
        <v>1578</v>
      </c>
      <c r="Q80" s="20" t="s">
        <v>1579</v>
      </c>
      <c r="R80" s="20" t="s">
        <v>1580</v>
      </c>
      <c r="S80" s="20" t="s">
        <v>1581</v>
      </c>
      <c r="T80" s="20" t="s">
        <v>1582</v>
      </c>
    </row>
    <row r="81" spans="1:20" x14ac:dyDescent="0.2">
      <c r="A81" s="20" t="s">
        <v>31</v>
      </c>
      <c r="F81" s="20" t="s">
        <v>183</v>
      </c>
      <c r="G81" s="20" t="s">
        <v>184</v>
      </c>
      <c r="K81" s="20" t="s">
        <v>6741</v>
      </c>
      <c r="L81" s="20" t="s">
        <v>1583</v>
      </c>
      <c r="M81" s="20" t="s">
        <v>1584</v>
      </c>
      <c r="N81" s="20" t="s">
        <v>1585</v>
      </c>
      <c r="O81" s="20" t="s">
        <v>1586</v>
      </c>
      <c r="P81" s="20" t="s">
        <v>1587</v>
      </c>
      <c r="Q81" s="20" t="s">
        <v>1588</v>
      </c>
      <c r="R81" s="20" t="s">
        <v>1589</v>
      </c>
      <c r="S81" s="20" t="s">
        <v>1598</v>
      </c>
      <c r="T81" s="20" t="s">
        <v>1590</v>
      </c>
    </row>
    <row r="82" spans="1:20" x14ac:dyDescent="0.2">
      <c r="A82" s="20" t="s">
        <v>31</v>
      </c>
      <c r="F82" s="20" t="s">
        <v>185</v>
      </c>
      <c r="G82" s="20" t="s">
        <v>186</v>
      </c>
      <c r="K82" s="20" t="s">
        <v>6742</v>
      </c>
      <c r="L82" s="20" t="s">
        <v>1591</v>
      </c>
      <c r="M82" s="20" t="s">
        <v>1592</v>
      </c>
      <c r="N82" s="20" t="s">
        <v>1593</v>
      </c>
      <c r="O82" s="20" t="s">
        <v>1594</v>
      </c>
      <c r="P82" s="20" t="s">
        <v>1595</v>
      </c>
      <c r="Q82" s="20" t="s">
        <v>1596</v>
      </c>
      <c r="R82" s="20" t="s">
        <v>1597</v>
      </c>
      <c r="S82" s="20" t="s">
        <v>1607</v>
      </c>
      <c r="T82" s="20" t="s">
        <v>1599</v>
      </c>
    </row>
    <row r="83" spans="1:20" x14ac:dyDescent="0.2">
      <c r="A83" s="20" t="s">
        <v>31</v>
      </c>
      <c r="F83" s="20" t="s">
        <v>187</v>
      </c>
      <c r="G83" s="20" t="s">
        <v>188</v>
      </c>
      <c r="K83" s="20" t="s">
        <v>6743</v>
      </c>
      <c r="L83" s="20" t="s">
        <v>1600</v>
      </c>
      <c r="M83" s="20" t="s">
        <v>1601</v>
      </c>
      <c r="N83" s="20" t="s">
        <v>1602</v>
      </c>
      <c r="O83" s="20" t="s">
        <v>1603</v>
      </c>
      <c r="P83" s="20" t="s">
        <v>1604</v>
      </c>
      <c r="Q83" s="20" t="s">
        <v>1605</v>
      </c>
      <c r="R83" s="20" t="s">
        <v>1606</v>
      </c>
      <c r="S83" s="20" t="s">
        <v>1616</v>
      </c>
      <c r="T83" s="20" t="s">
        <v>1608</v>
      </c>
    </row>
    <row r="84" spans="1:20" x14ac:dyDescent="0.2">
      <c r="A84" s="20" t="s">
        <v>31</v>
      </c>
      <c r="F84" s="20" t="s">
        <v>189</v>
      </c>
      <c r="G84" s="20" t="s">
        <v>190</v>
      </c>
      <c r="K84" s="20" t="s">
        <v>6744</v>
      </c>
      <c r="L84" s="20" t="s">
        <v>1609</v>
      </c>
      <c r="M84" s="20" t="s">
        <v>1610</v>
      </c>
      <c r="N84" s="20" t="s">
        <v>1611</v>
      </c>
      <c r="O84" s="20" t="s">
        <v>1612</v>
      </c>
      <c r="P84" s="20" t="s">
        <v>1613</v>
      </c>
      <c r="Q84" s="20" t="s">
        <v>1614</v>
      </c>
      <c r="R84" s="20" t="s">
        <v>1615</v>
      </c>
      <c r="S84" s="20" t="s">
        <v>1625</v>
      </c>
      <c r="T84" s="20" t="s">
        <v>1617</v>
      </c>
    </row>
    <row r="85" spans="1:20" x14ac:dyDescent="0.2">
      <c r="A85" s="20" t="s">
        <v>31</v>
      </c>
      <c r="F85" s="20" t="s">
        <v>191</v>
      </c>
      <c r="G85" s="20" t="s">
        <v>192</v>
      </c>
      <c r="K85" s="20" t="s">
        <v>6745</v>
      </c>
      <c r="L85" s="20" t="s">
        <v>1618</v>
      </c>
      <c r="M85" s="20" t="s">
        <v>1619</v>
      </c>
      <c r="N85" s="20" t="s">
        <v>1620</v>
      </c>
      <c r="O85" s="20" t="s">
        <v>1621</v>
      </c>
      <c r="P85" s="20" t="s">
        <v>1622</v>
      </c>
      <c r="Q85" s="20" t="s">
        <v>1623</v>
      </c>
      <c r="R85" s="20" t="s">
        <v>1624</v>
      </c>
      <c r="S85" s="20" t="s">
        <v>1634</v>
      </c>
      <c r="T85" s="20" t="s">
        <v>1626</v>
      </c>
    </row>
    <row r="86" spans="1:20" x14ac:dyDescent="0.2">
      <c r="A86" s="20" t="s">
        <v>31</v>
      </c>
      <c r="F86" s="20" t="s">
        <v>193</v>
      </c>
      <c r="G86" s="20" t="s">
        <v>194</v>
      </c>
      <c r="K86" s="20" t="s">
        <v>6746</v>
      </c>
      <c r="L86" s="20" t="s">
        <v>1627</v>
      </c>
      <c r="M86" s="20" t="s">
        <v>1628</v>
      </c>
      <c r="N86" s="20" t="s">
        <v>1629</v>
      </c>
      <c r="O86" s="20" t="s">
        <v>1630</v>
      </c>
      <c r="P86" s="20" t="s">
        <v>1631</v>
      </c>
      <c r="Q86" s="20" t="s">
        <v>1632</v>
      </c>
      <c r="R86" s="20" t="s">
        <v>1633</v>
      </c>
      <c r="S86" s="20" t="s">
        <v>1643</v>
      </c>
      <c r="T86" s="20" t="s">
        <v>1635</v>
      </c>
    </row>
    <row r="87" spans="1:20" x14ac:dyDescent="0.2">
      <c r="A87" s="20" t="s">
        <v>31</v>
      </c>
      <c r="F87" s="20" t="s">
        <v>195</v>
      </c>
      <c r="G87" s="20" t="s">
        <v>196</v>
      </c>
      <c r="K87" s="20" t="s">
        <v>6747</v>
      </c>
      <c r="L87" s="20" t="s">
        <v>1636</v>
      </c>
      <c r="M87" s="20" t="s">
        <v>1637</v>
      </c>
      <c r="N87" s="20" t="s">
        <v>1638</v>
      </c>
      <c r="O87" s="20" t="s">
        <v>1639</v>
      </c>
      <c r="P87" s="20" t="s">
        <v>1640</v>
      </c>
      <c r="Q87" s="20" t="s">
        <v>1641</v>
      </c>
      <c r="R87" s="20" t="s">
        <v>1642</v>
      </c>
      <c r="S87" s="20" t="s">
        <v>6632</v>
      </c>
      <c r="T87" s="20" t="s">
        <v>1644</v>
      </c>
    </row>
    <row r="88" spans="1:20" x14ac:dyDescent="0.2">
      <c r="A88" s="20" t="s">
        <v>31</v>
      </c>
      <c r="F88" s="20" t="s">
        <v>133</v>
      </c>
      <c r="G88" s="20" t="s">
        <v>134</v>
      </c>
    </row>
    <row r="89" spans="1:20" x14ac:dyDescent="0.2">
      <c r="A89" s="20" t="s">
        <v>31</v>
      </c>
      <c r="I89" s="20" t="s">
        <v>6257</v>
      </c>
      <c r="T89" s="20" t="s">
        <v>6258</v>
      </c>
    </row>
    <row r="90" spans="1:20" x14ac:dyDescent="0.2">
      <c r="A90" s="20" t="s">
        <v>31</v>
      </c>
    </row>
    <row r="91" spans="1:20" x14ac:dyDescent="0.2">
      <c r="A91" s="20" t="s">
        <v>31</v>
      </c>
      <c r="D91" s="20" t="s">
        <v>5687</v>
      </c>
      <c r="E91" s="20" t="s">
        <v>5688</v>
      </c>
      <c r="F91" s="20" t="s">
        <v>6137</v>
      </c>
      <c r="G91" s="20" t="s">
        <v>6259</v>
      </c>
      <c r="I91" s="20" t="s">
        <v>198</v>
      </c>
      <c r="J91" s="20" t="s">
        <v>6260</v>
      </c>
    </row>
    <row r="92" spans="1:20" x14ac:dyDescent="0.2">
      <c r="A92" s="20" t="s">
        <v>31</v>
      </c>
      <c r="F92" s="20" t="s">
        <v>197</v>
      </c>
      <c r="G92" s="20" t="s">
        <v>198</v>
      </c>
      <c r="K92" s="20" t="s">
        <v>6261</v>
      </c>
      <c r="L92" s="20" t="s">
        <v>1645</v>
      </c>
      <c r="M92" s="20" t="s">
        <v>1646</v>
      </c>
      <c r="N92" s="20" t="s">
        <v>1647</v>
      </c>
      <c r="O92" s="20" t="s">
        <v>1648</v>
      </c>
      <c r="P92" s="20" t="s">
        <v>1649</v>
      </c>
      <c r="Q92" s="20" t="s">
        <v>1650</v>
      </c>
      <c r="R92" s="20" t="s">
        <v>1651</v>
      </c>
      <c r="S92" s="20" t="s">
        <v>1660</v>
      </c>
      <c r="T92" s="20" t="s">
        <v>1652</v>
      </c>
    </row>
    <row r="93" spans="1:20" x14ac:dyDescent="0.2">
      <c r="A93" s="20" t="s">
        <v>31</v>
      </c>
      <c r="F93" s="20" t="s">
        <v>199</v>
      </c>
      <c r="G93" s="20" t="s">
        <v>200</v>
      </c>
      <c r="K93" s="20" t="s">
        <v>6262</v>
      </c>
      <c r="L93" s="20" t="s">
        <v>1653</v>
      </c>
      <c r="M93" s="20" t="s">
        <v>1654</v>
      </c>
      <c r="N93" s="20" t="s">
        <v>1655</v>
      </c>
      <c r="O93" s="20" t="s">
        <v>1656</v>
      </c>
      <c r="P93" s="20" t="s">
        <v>1657</v>
      </c>
      <c r="Q93" s="20" t="s">
        <v>1658</v>
      </c>
      <c r="R93" s="20" t="s">
        <v>1659</v>
      </c>
      <c r="S93" s="20" t="s">
        <v>1669</v>
      </c>
      <c r="T93" s="20" t="s">
        <v>1661</v>
      </c>
    </row>
    <row r="94" spans="1:20" x14ac:dyDescent="0.2">
      <c r="A94" s="20" t="s">
        <v>31</v>
      </c>
      <c r="F94" s="20" t="s">
        <v>201</v>
      </c>
      <c r="G94" s="20" t="s">
        <v>202</v>
      </c>
      <c r="K94" s="20" t="s">
        <v>6748</v>
      </c>
      <c r="L94" s="20" t="s">
        <v>1662</v>
      </c>
      <c r="M94" s="20" t="s">
        <v>1663</v>
      </c>
      <c r="N94" s="20" t="s">
        <v>1664</v>
      </c>
      <c r="O94" s="20" t="s">
        <v>1665</v>
      </c>
      <c r="P94" s="20" t="s">
        <v>1666</v>
      </c>
      <c r="Q94" s="20" t="s">
        <v>1667</v>
      </c>
      <c r="R94" s="20" t="s">
        <v>1668</v>
      </c>
      <c r="S94" s="20" t="s">
        <v>1678</v>
      </c>
      <c r="T94" s="20" t="s">
        <v>1670</v>
      </c>
    </row>
    <row r="95" spans="1:20" x14ac:dyDescent="0.2">
      <c r="A95" s="20" t="s">
        <v>31</v>
      </c>
      <c r="F95" s="20" t="s">
        <v>203</v>
      </c>
      <c r="G95" s="20" t="s">
        <v>204</v>
      </c>
      <c r="K95" s="20" t="s">
        <v>6749</v>
      </c>
      <c r="L95" s="20" t="s">
        <v>1671</v>
      </c>
      <c r="M95" s="20" t="s">
        <v>1672</v>
      </c>
      <c r="N95" s="20" t="s">
        <v>1673</v>
      </c>
      <c r="O95" s="20" t="s">
        <v>1674</v>
      </c>
      <c r="P95" s="20" t="s">
        <v>1675</v>
      </c>
      <c r="Q95" s="20" t="s">
        <v>1676</v>
      </c>
      <c r="R95" s="20" t="s">
        <v>1677</v>
      </c>
      <c r="S95" s="20" t="s">
        <v>1687</v>
      </c>
      <c r="T95" s="20" t="s">
        <v>1679</v>
      </c>
    </row>
    <row r="96" spans="1:20" x14ac:dyDescent="0.2">
      <c r="A96" s="20" t="s">
        <v>31</v>
      </c>
      <c r="F96" s="20" t="s">
        <v>205</v>
      </c>
      <c r="G96" s="20" t="s">
        <v>206</v>
      </c>
      <c r="K96" s="20" t="s">
        <v>6750</v>
      </c>
      <c r="L96" s="20" t="s">
        <v>1680</v>
      </c>
      <c r="M96" s="20" t="s">
        <v>1681</v>
      </c>
      <c r="N96" s="20" t="s">
        <v>1682</v>
      </c>
      <c r="O96" s="20" t="s">
        <v>1683</v>
      </c>
      <c r="P96" s="20" t="s">
        <v>1684</v>
      </c>
      <c r="Q96" s="20" t="s">
        <v>1685</v>
      </c>
      <c r="R96" s="20" t="s">
        <v>1686</v>
      </c>
      <c r="S96" s="20" t="s">
        <v>1696</v>
      </c>
      <c r="T96" s="20" t="s">
        <v>1688</v>
      </c>
    </row>
    <row r="97" spans="1:20" x14ac:dyDescent="0.2">
      <c r="A97" s="20" t="s">
        <v>31</v>
      </c>
      <c r="F97" s="20" t="s">
        <v>207</v>
      </c>
      <c r="G97" s="20" t="s">
        <v>208</v>
      </c>
      <c r="K97" s="20" t="s">
        <v>6751</v>
      </c>
      <c r="L97" s="20" t="s">
        <v>1689</v>
      </c>
      <c r="M97" s="20" t="s">
        <v>1690</v>
      </c>
      <c r="N97" s="20" t="s">
        <v>1691</v>
      </c>
      <c r="O97" s="20" t="s">
        <v>1692</v>
      </c>
      <c r="P97" s="20" t="s">
        <v>1693</v>
      </c>
      <c r="Q97" s="20" t="s">
        <v>1694</v>
      </c>
      <c r="R97" s="20" t="s">
        <v>1695</v>
      </c>
      <c r="S97" s="20" t="s">
        <v>1705</v>
      </c>
      <c r="T97" s="20" t="s">
        <v>1697</v>
      </c>
    </row>
    <row r="98" spans="1:20" x14ac:dyDescent="0.2">
      <c r="A98" s="20" t="s">
        <v>31</v>
      </c>
      <c r="F98" s="20" t="s">
        <v>209</v>
      </c>
      <c r="G98" s="20" t="s">
        <v>210</v>
      </c>
      <c r="K98" s="20" t="s">
        <v>6752</v>
      </c>
      <c r="L98" s="20" t="s">
        <v>1698</v>
      </c>
      <c r="M98" s="20" t="s">
        <v>1699</v>
      </c>
      <c r="N98" s="20" t="s">
        <v>1700</v>
      </c>
      <c r="O98" s="20" t="s">
        <v>1701</v>
      </c>
      <c r="P98" s="20" t="s">
        <v>1702</v>
      </c>
      <c r="Q98" s="20" t="s">
        <v>1703</v>
      </c>
      <c r="R98" s="20" t="s">
        <v>1704</v>
      </c>
      <c r="S98" s="20" t="s">
        <v>1714</v>
      </c>
      <c r="T98" s="20" t="s">
        <v>1706</v>
      </c>
    </row>
    <row r="99" spans="1:20" x14ac:dyDescent="0.2">
      <c r="A99" s="20" t="s">
        <v>31</v>
      </c>
      <c r="F99" s="20" t="s">
        <v>211</v>
      </c>
      <c r="G99" s="20" t="s">
        <v>212</v>
      </c>
      <c r="K99" s="20" t="s">
        <v>6753</v>
      </c>
      <c r="L99" s="20" t="s">
        <v>1707</v>
      </c>
      <c r="M99" s="20" t="s">
        <v>1708</v>
      </c>
      <c r="N99" s="20" t="s">
        <v>1709</v>
      </c>
      <c r="O99" s="20" t="s">
        <v>1710</v>
      </c>
      <c r="P99" s="20" t="s">
        <v>1711</v>
      </c>
      <c r="Q99" s="20" t="s">
        <v>1712</v>
      </c>
      <c r="R99" s="20" t="s">
        <v>1713</v>
      </c>
      <c r="S99" s="20" t="s">
        <v>1723</v>
      </c>
      <c r="T99" s="20" t="s">
        <v>1715</v>
      </c>
    </row>
    <row r="100" spans="1:20" x14ac:dyDescent="0.2">
      <c r="A100" s="20" t="s">
        <v>31</v>
      </c>
      <c r="F100" s="20" t="s">
        <v>213</v>
      </c>
      <c r="G100" s="20" t="s">
        <v>214</v>
      </c>
      <c r="K100" s="20" t="s">
        <v>6754</v>
      </c>
      <c r="L100" s="20" t="s">
        <v>1716</v>
      </c>
      <c r="M100" s="20" t="s">
        <v>1717</v>
      </c>
      <c r="N100" s="20" t="s">
        <v>1718</v>
      </c>
      <c r="O100" s="20" t="s">
        <v>1719</v>
      </c>
      <c r="P100" s="20" t="s">
        <v>1720</v>
      </c>
      <c r="Q100" s="20" t="s">
        <v>1721</v>
      </c>
      <c r="R100" s="20" t="s">
        <v>1722</v>
      </c>
      <c r="S100" s="20" t="s">
        <v>1732</v>
      </c>
      <c r="T100" s="20" t="s">
        <v>1724</v>
      </c>
    </row>
    <row r="101" spans="1:20" x14ac:dyDescent="0.2">
      <c r="A101" s="20" t="s">
        <v>31</v>
      </c>
      <c r="F101" s="20" t="s">
        <v>215</v>
      </c>
      <c r="G101" s="20" t="s">
        <v>216</v>
      </c>
      <c r="K101" s="20" t="s">
        <v>6755</v>
      </c>
      <c r="L101" s="20" t="s">
        <v>1725</v>
      </c>
      <c r="M101" s="20" t="s">
        <v>1726</v>
      </c>
      <c r="N101" s="20" t="s">
        <v>1727</v>
      </c>
      <c r="O101" s="20" t="s">
        <v>1728</v>
      </c>
      <c r="P101" s="20" t="s">
        <v>1729</v>
      </c>
      <c r="Q101" s="20" t="s">
        <v>1730</v>
      </c>
      <c r="R101" s="20" t="s">
        <v>1731</v>
      </c>
      <c r="S101" s="20" t="s">
        <v>1741</v>
      </c>
      <c r="T101" s="20" t="s">
        <v>1733</v>
      </c>
    </row>
    <row r="102" spans="1:20" x14ac:dyDescent="0.2">
      <c r="A102" s="20" t="s">
        <v>31</v>
      </c>
      <c r="F102" s="20" t="s">
        <v>217</v>
      </c>
      <c r="G102" s="20" t="s">
        <v>218</v>
      </c>
      <c r="K102" s="20" t="s">
        <v>6756</v>
      </c>
      <c r="L102" s="20" t="s">
        <v>1734</v>
      </c>
      <c r="M102" s="20" t="s">
        <v>1735</v>
      </c>
      <c r="N102" s="20" t="s">
        <v>1736</v>
      </c>
      <c r="O102" s="20" t="s">
        <v>1737</v>
      </c>
      <c r="P102" s="20" t="s">
        <v>1738</v>
      </c>
      <c r="Q102" s="20" t="s">
        <v>1739</v>
      </c>
      <c r="R102" s="20" t="s">
        <v>1740</v>
      </c>
      <c r="S102" s="20" t="s">
        <v>1750</v>
      </c>
      <c r="T102" s="20" t="s">
        <v>1742</v>
      </c>
    </row>
    <row r="103" spans="1:20" x14ac:dyDescent="0.2">
      <c r="A103" s="20" t="s">
        <v>31</v>
      </c>
      <c r="F103" s="20" t="s">
        <v>219</v>
      </c>
      <c r="G103" s="20" t="s">
        <v>220</v>
      </c>
      <c r="K103" s="20" t="s">
        <v>6757</v>
      </c>
      <c r="L103" s="20" t="s">
        <v>1743</v>
      </c>
      <c r="M103" s="20" t="s">
        <v>1744</v>
      </c>
      <c r="N103" s="20" t="s">
        <v>1745</v>
      </c>
      <c r="O103" s="20" t="s">
        <v>1746</v>
      </c>
      <c r="P103" s="20" t="s">
        <v>1747</v>
      </c>
      <c r="Q103" s="20" t="s">
        <v>1748</v>
      </c>
      <c r="R103" s="20" t="s">
        <v>1749</v>
      </c>
      <c r="S103" s="20" t="s">
        <v>1759</v>
      </c>
      <c r="T103" s="20" t="s">
        <v>1751</v>
      </c>
    </row>
    <row r="104" spans="1:20" x14ac:dyDescent="0.2">
      <c r="A104" s="20" t="s">
        <v>31</v>
      </c>
      <c r="F104" s="20" t="s">
        <v>221</v>
      </c>
      <c r="G104" s="20" t="s">
        <v>222</v>
      </c>
      <c r="K104" s="20" t="s">
        <v>6758</v>
      </c>
      <c r="L104" s="20" t="s">
        <v>1752</v>
      </c>
      <c r="M104" s="20" t="s">
        <v>1753</v>
      </c>
      <c r="N104" s="20" t="s">
        <v>1754</v>
      </c>
      <c r="O104" s="20" t="s">
        <v>1755</v>
      </c>
      <c r="P104" s="20" t="s">
        <v>1756</v>
      </c>
      <c r="Q104" s="20" t="s">
        <v>1757</v>
      </c>
      <c r="R104" s="20" t="s">
        <v>1758</v>
      </c>
      <c r="S104" s="20" t="s">
        <v>1768</v>
      </c>
      <c r="T104" s="20" t="s">
        <v>1760</v>
      </c>
    </row>
    <row r="105" spans="1:20" x14ac:dyDescent="0.2">
      <c r="A105" s="20" t="s">
        <v>31</v>
      </c>
      <c r="F105" s="20" t="s">
        <v>223</v>
      </c>
      <c r="G105" s="20" t="s">
        <v>224</v>
      </c>
      <c r="K105" s="20" t="s">
        <v>6759</v>
      </c>
      <c r="L105" s="20" t="s">
        <v>1761</v>
      </c>
      <c r="M105" s="20" t="s">
        <v>1762</v>
      </c>
      <c r="N105" s="20" t="s">
        <v>1763</v>
      </c>
      <c r="O105" s="20" t="s">
        <v>1764</v>
      </c>
      <c r="P105" s="20" t="s">
        <v>1765</v>
      </c>
      <c r="Q105" s="20" t="s">
        <v>1766</v>
      </c>
      <c r="R105" s="20" t="s">
        <v>1767</v>
      </c>
      <c r="S105" s="20" t="s">
        <v>1777</v>
      </c>
      <c r="T105" s="20" t="s">
        <v>1769</v>
      </c>
    </row>
    <row r="106" spans="1:20" x14ac:dyDescent="0.2">
      <c r="A106" s="20" t="s">
        <v>31</v>
      </c>
      <c r="F106" s="20" t="s">
        <v>225</v>
      </c>
      <c r="G106" s="20" t="s">
        <v>226</v>
      </c>
      <c r="K106" s="20" t="s">
        <v>6760</v>
      </c>
      <c r="L106" s="20" t="s">
        <v>1770</v>
      </c>
      <c r="M106" s="20" t="s">
        <v>1771</v>
      </c>
      <c r="N106" s="20" t="s">
        <v>1772</v>
      </c>
      <c r="O106" s="20" t="s">
        <v>1773</v>
      </c>
      <c r="P106" s="20" t="s">
        <v>1774</v>
      </c>
      <c r="Q106" s="20" t="s">
        <v>1775</v>
      </c>
      <c r="R106" s="20" t="s">
        <v>1776</v>
      </c>
      <c r="S106" s="20" t="s">
        <v>1786</v>
      </c>
      <c r="T106" s="20" t="s">
        <v>1778</v>
      </c>
    </row>
    <row r="107" spans="1:20" x14ac:dyDescent="0.2">
      <c r="A107" s="20" t="s">
        <v>31</v>
      </c>
      <c r="F107" s="20" t="s">
        <v>227</v>
      </c>
      <c r="G107" s="20" t="s">
        <v>228</v>
      </c>
      <c r="K107" s="20" t="s">
        <v>6761</v>
      </c>
      <c r="L107" s="20" t="s">
        <v>1779</v>
      </c>
      <c r="M107" s="20" t="s">
        <v>1780</v>
      </c>
      <c r="N107" s="20" t="s">
        <v>1781</v>
      </c>
      <c r="O107" s="20" t="s">
        <v>1782</v>
      </c>
      <c r="P107" s="20" t="s">
        <v>1783</v>
      </c>
      <c r="Q107" s="20" t="s">
        <v>1784</v>
      </c>
      <c r="R107" s="20" t="s">
        <v>1785</v>
      </c>
      <c r="S107" s="20" t="s">
        <v>1795</v>
      </c>
      <c r="T107" s="20" t="s">
        <v>1787</v>
      </c>
    </row>
    <row r="108" spans="1:20" x14ac:dyDescent="0.2">
      <c r="A108" s="20" t="s">
        <v>31</v>
      </c>
      <c r="F108" s="20" t="s">
        <v>229</v>
      </c>
      <c r="G108" s="20" t="s">
        <v>230</v>
      </c>
      <c r="K108" s="20" t="s">
        <v>6762</v>
      </c>
      <c r="L108" s="20" t="s">
        <v>1788</v>
      </c>
      <c r="M108" s="20" t="s">
        <v>1789</v>
      </c>
      <c r="N108" s="20" t="s">
        <v>1790</v>
      </c>
      <c r="O108" s="20" t="s">
        <v>1791</v>
      </c>
      <c r="P108" s="20" t="s">
        <v>1792</v>
      </c>
      <c r="Q108" s="20" t="s">
        <v>1793</v>
      </c>
      <c r="R108" s="20" t="s">
        <v>1794</v>
      </c>
      <c r="S108" s="20" t="s">
        <v>1804</v>
      </c>
      <c r="T108" s="20" t="s">
        <v>1796</v>
      </c>
    </row>
    <row r="109" spans="1:20" x14ac:dyDescent="0.2">
      <c r="A109" s="20" t="s">
        <v>31</v>
      </c>
      <c r="F109" s="20" t="s">
        <v>231</v>
      </c>
      <c r="G109" s="20" t="s">
        <v>232</v>
      </c>
      <c r="K109" s="20" t="s">
        <v>6763</v>
      </c>
      <c r="L109" s="20" t="s">
        <v>1797</v>
      </c>
      <c r="M109" s="20" t="s">
        <v>1798</v>
      </c>
      <c r="N109" s="20" t="s">
        <v>1799</v>
      </c>
      <c r="O109" s="20" t="s">
        <v>1800</v>
      </c>
      <c r="P109" s="20" t="s">
        <v>1801</v>
      </c>
      <c r="Q109" s="20" t="s">
        <v>1802</v>
      </c>
      <c r="R109" s="20" t="s">
        <v>1803</v>
      </c>
      <c r="S109" s="20" t="s">
        <v>1813</v>
      </c>
      <c r="T109" s="20" t="s">
        <v>1805</v>
      </c>
    </row>
    <row r="110" spans="1:20" x14ac:dyDescent="0.2">
      <c r="A110" s="20" t="s">
        <v>31</v>
      </c>
      <c r="F110" s="20" t="s">
        <v>233</v>
      </c>
      <c r="G110" s="20" t="s">
        <v>234</v>
      </c>
      <c r="K110" s="20" t="s">
        <v>6764</v>
      </c>
      <c r="L110" s="20" t="s">
        <v>1806</v>
      </c>
      <c r="M110" s="20" t="s">
        <v>1807</v>
      </c>
      <c r="N110" s="20" t="s">
        <v>1808</v>
      </c>
      <c r="O110" s="20" t="s">
        <v>1809</v>
      </c>
      <c r="P110" s="20" t="s">
        <v>1810</v>
      </c>
      <c r="Q110" s="20" t="s">
        <v>1811</v>
      </c>
      <c r="R110" s="20" t="s">
        <v>1812</v>
      </c>
      <c r="S110" s="20" t="s">
        <v>1822</v>
      </c>
      <c r="T110" s="20" t="s">
        <v>1814</v>
      </c>
    </row>
    <row r="111" spans="1:20" x14ac:dyDescent="0.2">
      <c r="A111" s="20" t="s">
        <v>31</v>
      </c>
      <c r="F111" s="20" t="s">
        <v>235</v>
      </c>
      <c r="G111" s="20" t="s">
        <v>236</v>
      </c>
      <c r="K111" s="20" t="s">
        <v>6765</v>
      </c>
      <c r="L111" s="20" t="s">
        <v>1815</v>
      </c>
      <c r="M111" s="20" t="s">
        <v>1816</v>
      </c>
      <c r="N111" s="20" t="s">
        <v>1817</v>
      </c>
      <c r="O111" s="20" t="s">
        <v>1818</v>
      </c>
      <c r="P111" s="20" t="s">
        <v>1819</v>
      </c>
      <c r="Q111" s="20" t="s">
        <v>1820</v>
      </c>
      <c r="R111" s="20" t="s">
        <v>1821</v>
      </c>
      <c r="S111" s="20" t="s">
        <v>1831</v>
      </c>
      <c r="T111" s="20" t="s">
        <v>1823</v>
      </c>
    </row>
    <row r="112" spans="1:20" x14ac:dyDescent="0.2">
      <c r="A112" s="20" t="s">
        <v>31</v>
      </c>
      <c r="F112" s="20" t="s">
        <v>237</v>
      </c>
      <c r="G112" s="20" t="s">
        <v>238</v>
      </c>
      <c r="K112" s="20" t="s">
        <v>6766</v>
      </c>
      <c r="L112" s="20" t="s">
        <v>1824</v>
      </c>
      <c r="M112" s="20" t="s">
        <v>1825</v>
      </c>
      <c r="N112" s="20" t="s">
        <v>1826</v>
      </c>
      <c r="O112" s="20" t="s">
        <v>1827</v>
      </c>
      <c r="P112" s="20" t="s">
        <v>1828</v>
      </c>
      <c r="Q112" s="20" t="s">
        <v>1829</v>
      </c>
      <c r="R112" s="20" t="s">
        <v>1830</v>
      </c>
      <c r="S112" s="20" t="s">
        <v>5977</v>
      </c>
      <c r="T112" s="20" t="s">
        <v>1832</v>
      </c>
    </row>
    <row r="113" spans="1:20" x14ac:dyDescent="0.2">
      <c r="A113" s="20" t="s">
        <v>31</v>
      </c>
      <c r="F113" s="20" t="s">
        <v>5968</v>
      </c>
      <c r="G113" s="20" t="s">
        <v>5969</v>
      </c>
      <c r="K113" s="20" t="s">
        <v>6767</v>
      </c>
      <c r="L113" s="20" t="s">
        <v>5970</v>
      </c>
      <c r="M113" s="20" t="s">
        <v>5971</v>
      </c>
      <c r="N113" s="20" t="s">
        <v>5972</v>
      </c>
      <c r="O113" s="20" t="s">
        <v>5973</v>
      </c>
      <c r="P113" s="20" t="s">
        <v>5974</v>
      </c>
      <c r="Q113" s="20" t="s">
        <v>5975</v>
      </c>
      <c r="R113" s="20" t="s">
        <v>5976</v>
      </c>
      <c r="S113" s="20" t="s">
        <v>5988</v>
      </c>
      <c r="T113" s="20" t="s">
        <v>5978</v>
      </c>
    </row>
    <row r="114" spans="1:20" x14ac:dyDescent="0.2">
      <c r="A114" s="20" t="s">
        <v>31</v>
      </c>
      <c r="F114" s="20" t="s">
        <v>5979</v>
      </c>
      <c r="G114" s="20" t="s">
        <v>5980</v>
      </c>
      <c r="K114" s="20" t="s">
        <v>6768</v>
      </c>
      <c r="L114" s="20" t="s">
        <v>5981</v>
      </c>
      <c r="M114" s="20" t="s">
        <v>5982</v>
      </c>
      <c r="N114" s="20" t="s">
        <v>5983</v>
      </c>
      <c r="O114" s="20" t="s">
        <v>5984</v>
      </c>
      <c r="P114" s="20" t="s">
        <v>5985</v>
      </c>
      <c r="Q114" s="20" t="s">
        <v>5986</v>
      </c>
      <c r="R114" s="20" t="s">
        <v>5987</v>
      </c>
      <c r="S114" s="20" t="s">
        <v>5999</v>
      </c>
      <c r="T114" s="20" t="s">
        <v>5989</v>
      </c>
    </row>
    <row r="115" spans="1:20" x14ac:dyDescent="0.2">
      <c r="A115" s="20" t="s">
        <v>31</v>
      </c>
      <c r="F115" s="20" t="s">
        <v>5990</v>
      </c>
      <c r="G115" s="20" t="s">
        <v>5991</v>
      </c>
      <c r="K115" s="20" t="s">
        <v>6769</v>
      </c>
      <c r="L115" s="20" t="s">
        <v>5992</v>
      </c>
      <c r="M115" s="20" t="s">
        <v>5993</v>
      </c>
      <c r="N115" s="20" t="s">
        <v>5994</v>
      </c>
      <c r="O115" s="20" t="s">
        <v>5995</v>
      </c>
      <c r="P115" s="20" t="s">
        <v>5996</v>
      </c>
      <c r="Q115" s="20" t="s">
        <v>5997</v>
      </c>
      <c r="R115" s="20" t="s">
        <v>5998</v>
      </c>
      <c r="S115" s="20" t="s">
        <v>6010</v>
      </c>
      <c r="T115" s="20" t="s">
        <v>6000</v>
      </c>
    </row>
    <row r="116" spans="1:20" x14ac:dyDescent="0.2">
      <c r="A116" s="20" t="s">
        <v>31</v>
      </c>
      <c r="F116" s="20" t="s">
        <v>6001</v>
      </c>
      <c r="G116" s="20" t="s">
        <v>6002</v>
      </c>
      <c r="K116" s="20" t="s">
        <v>6770</v>
      </c>
      <c r="L116" s="20" t="s">
        <v>6003</v>
      </c>
      <c r="M116" s="20" t="s">
        <v>6004</v>
      </c>
      <c r="N116" s="20" t="s">
        <v>6005</v>
      </c>
      <c r="O116" s="20" t="s">
        <v>6006</v>
      </c>
      <c r="P116" s="20" t="s">
        <v>6007</v>
      </c>
      <c r="Q116" s="20" t="s">
        <v>6008</v>
      </c>
      <c r="R116" s="20" t="s">
        <v>6009</v>
      </c>
      <c r="S116" s="20" t="s">
        <v>6012</v>
      </c>
      <c r="T116" s="20" t="s">
        <v>6011</v>
      </c>
    </row>
    <row r="117" spans="1:20" x14ac:dyDescent="0.2">
      <c r="A117" s="20" t="s">
        <v>31</v>
      </c>
      <c r="F117" s="20" t="s">
        <v>239</v>
      </c>
      <c r="G117" s="20" t="s">
        <v>240</v>
      </c>
      <c r="K117" s="20" t="s">
        <v>6771</v>
      </c>
      <c r="L117" s="20" t="s">
        <v>1833</v>
      </c>
      <c r="M117" s="20" t="s">
        <v>1834</v>
      </c>
      <c r="N117" s="20" t="s">
        <v>1835</v>
      </c>
      <c r="O117" s="20" t="s">
        <v>1836</v>
      </c>
      <c r="P117" s="20" t="s">
        <v>1837</v>
      </c>
      <c r="Q117" s="20" t="s">
        <v>1838</v>
      </c>
      <c r="R117" s="20" t="s">
        <v>1839</v>
      </c>
      <c r="S117" s="20" t="s">
        <v>1848</v>
      </c>
      <c r="T117" s="20" t="s">
        <v>1840</v>
      </c>
    </row>
    <row r="118" spans="1:20" x14ac:dyDescent="0.2">
      <c r="A118" s="20" t="s">
        <v>31</v>
      </c>
      <c r="F118" s="20" t="s">
        <v>241</v>
      </c>
      <c r="G118" s="20" t="s">
        <v>242</v>
      </c>
      <c r="K118" s="20" t="s">
        <v>6772</v>
      </c>
      <c r="L118" s="20" t="s">
        <v>1841</v>
      </c>
      <c r="M118" s="20" t="s">
        <v>1842</v>
      </c>
      <c r="N118" s="20" t="s">
        <v>1843</v>
      </c>
      <c r="O118" s="20" t="s">
        <v>1844</v>
      </c>
      <c r="P118" s="20" t="s">
        <v>1845</v>
      </c>
      <c r="Q118" s="20" t="s">
        <v>1846</v>
      </c>
      <c r="R118" s="20" t="s">
        <v>1847</v>
      </c>
      <c r="S118" s="20" t="s">
        <v>6272</v>
      </c>
      <c r="T118" s="20" t="s">
        <v>1849</v>
      </c>
    </row>
    <row r="119" spans="1:20" x14ac:dyDescent="0.2">
      <c r="A119" s="20" t="s">
        <v>31</v>
      </c>
      <c r="F119" s="20" t="s">
        <v>6263</v>
      </c>
      <c r="G119" s="20" t="s">
        <v>6264</v>
      </c>
      <c r="K119" s="20" t="s">
        <v>6773</v>
      </c>
      <c r="L119" s="20" t="s">
        <v>6265</v>
      </c>
      <c r="M119" s="20" t="s">
        <v>6266</v>
      </c>
      <c r="N119" s="20" t="s">
        <v>6267</v>
      </c>
      <c r="O119" s="20" t="s">
        <v>6268</v>
      </c>
      <c r="P119" s="20" t="s">
        <v>6269</v>
      </c>
      <c r="Q119" s="20" t="s">
        <v>6270</v>
      </c>
      <c r="R119" s="20" t="s">
        <v>6271</v>
      </c>
      <c r="S119" s="20" t="s">
        <v>6283</v>
      </c>
      <c r="T119" s="20" t="s">
        <v>6273</v>
      </c>
    </row>
    <row r="120" spans="1:20" x14ac:dyDescent="0.2">
      <c r="A120" s="20" t="s">
        <v>31</v>
      </c>
      <c r="F120" s="20" t="s">
        <v>6274</v>
      </c>
      <c r="G120" s="20" t="s">
        <v>6275</v>
      </c>
      <c r="K120" s="20" t="s">
        <v>6774</v>
      </c>
      <c r="L120" s="20" t="s">
        <v>6276</v>
      </c>
      <c r="M120" s="20" t="s">
        <v>6277</v>
      </c>
      <c r="N120" s="20" t="s">
        <v>6278</v>
      </c>
      <c r="O120" s="20" t="s">
        <v>6279</v>
      </c>
      <c r="P120" s="20" t="s">
        <v>6280</v>
      </c>
      <c r="Q120" s="20" t="s">
        <v>6281</v>
      </c>
      <c r="R120" s="20" t="s">
        <v>6282</v>
      </c>
      <c r="S120" s="20" t="s">
        <v>6294</v>
      </c>
      <c r="T120" s="20" t="s">
        <v>6284</v>
      </c>
    </row>
    <row r="121" spans="1:20" x14ac:dyDescent="0.2">
      <c r="A121" s="20" t="s">
        <v>31</v>
      </c>
      <c r="F121" s="20" t="s">
        <v>6285</v>
      </c>
      <c r="G121" s="20" t="s">
        <v>6286</v>
      </c>
      <c r="K121" s="20" t="s">
        <v>6775</v>
      </c>
      <c r="L121" s="20" t="s">
        <v>6287</v>
      </c>
      <c r="M121" s="20" t="s">
        <v>6288</v>
      </c>
      <c r="N121" s="20" t="s">
        <v>6289</v>
      </c>
      <c r="O121" s="20" t="s">
        <v>6290</v>
      </c>
      <c r="P121" s="20" t="s">
        <v>6291</v>
      </c>
      <c r="Q121" s="20" t="s">
        <v>6292</v>
      </c>
      <c r="R121" s="20" t="s">
        <v>6293</v>
      </c>
      <c r="S121" s="20" t="s">
        <v>6305</v>
      </c>
      <c r="T121" s="20" t="s">
        <v>6295</v>
      </c>
    </row>
    <row r="122" spans="1:20" x14ac:dyDescent="0.2">
      <c r="A122" s="20" t="s">
        <v>31</v>
      </c>
      <c r="F122" s="20" t="s">
        <v>6296</v>
      </c>
      <c r="G122" s="20" t="s">
        <v>6297</v>
      </c>
      <c r="K122" s="20" t="s">
        <v>6776</v>
      </c>
      <c r="L122" s="20" t="s">
        <v>6298</v>
      </c>
      <c r="M122" s="20" t="s">
        <v>6299</v>
      </c>
      <c r="N122" s="20" t="s">
        <v>6300</v>
      </c>
      <c r="O122" s="20" t="s">
        <v>6301</v>
      </c>
      <c r="P122" s="20" t="s">
        <v>6302</v>
      </c>
      <c r="Q122" s="20" t="s">
        <v>6303</v>
      </c>
      <c r="R122" s="20" t="s">
        <v>6304</v>
      </c>
      <c r="S122" s="20" t="s">
        <v>6307</v>
      </c>
      <c r="T122" s="20" t="s">
        <v>6306</v>
      </c>
    </row>
    <row r="123" spans="1:20" x14ac:dyDescent="0.2">
      <c r="A123" s="20" t="s">
        <v>31</v>
      </c>
      <c r="F123" s="20" t="s">
        <v>243</v>
      </c>
      <c r="G123" s="20" t="s">
        <v>244</v>
      </c>
      <c r="K123" s="20" t="s">
        <v>6777</v>
      </c>
      <c r="L123" s="20" t="s">
        <v>1850</v>
      </c>
      <c r="M123" s="20" t="s">
        <v>1851</v>
      </c>
      <c r="N123" s="20" t="s">
        <v>1852</v>
      </c>
      <c r="O123" s="20" t="s">
        <v>1853</v>
      </c>
      <c r="P123" s="20" t="s">
        <v>1854</v>
      </c>
      <c r="Q123" s="20" t="s">
        <v>1855</v>
      </c>
      <c r="R123" s="20" t="s">
        <v>1856</v>
      </c>
      <c r="S123" s="20" t="s">
        <v>1865</v>
      </c>
      <c r="T123" s="20" t="s">
        <v>1857</v>
      </c>
    </row>
    <row r="124" spans="1:20" x14ac:dyDescent="0.2">
      <c r="A124" s="20" t="s">
        <v>31</v>
      </c>
      <c r="F124" s="20" t="s">
        <v>245</v>
      </c>
      <c r="G124" s="20" t="s">
        <v>246</v>
      </c>
      <c r="K124" s="20" t="s">
        <v>6778</v>
      </c>
      <c r="L124" s="20" t="s">
        <v>1858</v>
      </c>
      <c r="M124" s="20" t="s">
        <v>1859</v>
      </c>
      <c r="N124" s="20" t="s">
        <v>1860</v>
      </c>
      <c r="O124" s="20" t="s">
        <v>1861</v>
      </c>
      <c r="P124" s="20" t="s">
        <v>1862</v>
      </c>
      <c r="Q124" s="20" t="s">
        <v>1863</v>
      </c>
      <c r="R124" s="20" t="s">
        <v>1864</v>
      </c>
      <c r="S124" s="20" t="s">
        <v>1874</v>
      </c>
      <c r="T124" s="20" t="s">
        <v>1866</v>
      </c>
    </row>
    <row r="125" spans="1:20" x14ac:dyDescent="0.2">
      <c r="A125" s="20" t="s">
        <v>31</v>
      </c>
      <c r="F125" s="20" t="s">
        <v>1042</v>
      </c>
      <c r="G125" s="20" t="s">
        <v>1043</v>
      </c>
      <c r="K125" s="20" t="s">
        <v>6779</v>
      </c>
      <c r="L125" s="20" t="s">
        <v>1867</v>
      </c>
      <c r="M125" s="20" t="s">
        <v>1868</v>
      </c>
      <c r="N125" s="20" t="s">
        <v>1869</v>
      </c>
      <c r="O125" s="20" t="s">
        <v>1870</v>
      </c>
      <c r="P125" s="20" t="s">
        <v>1871</v>
      </c>
      <c r="Q125" s="20" t="s">
        <v>1872</v>
      </c>
      <c r="R125" s="20" t="s">
        <v>1873</v>
      </c>
      <c r="S125" s="20" t="s">
        <v>1883</v>
      </c>
      <c r="T125" s="20" t="s">
        <v>1875</v>
      </c>
    </row>
    <row r="126" spans="1:20" x14ac:dyDescent="0.2">
      <c r="A126" s="20" t="s">
        <v>31</v>
      </c>
      <c r="F126" s="20" t="s">
        <v>1044</v>
      </c>
      <c r="G126" s="20" t="s">
        <v>1045</v>
      </c>
      <c r="K126" s="20" t="s">
        <v>6780</v>
      </c>
      <c r="L126" s="20" t="s">
        <v>1876</v>
      </c>
      <c r="M126" s="20" t="s">
        <v>1877</v>
      </c>
      <c r="N126" s="20" t="s">
        <v>1878</v>
      </c>
      <c r="O126" s="20" t="s">
        <v>1879</v>
      </c>
      <c r="P126" s="20" t="s">
        <v>1880</v>
      </c>
      <c r="Q126" s="20" t="s">
        <v>1881</v>
      </c>
      <c r="R126" s="20" t="s">
        <v>1882</v>
      </c>
      <c r="S126" s="20" t="s">
        <v>1892</v>
      </c>
      <c r="T126" s="20" t="s">
        <v>1884</v>
      </c>
    </row>
    <row r="127" spans="1:20" x14ac:dyDescent="0.2">
      <c r="A127" s="20" t="s">
        <v>31</v>
      </c>
      <c r="F127" s="20" t="s">
        <v>1046</v>
      </c>
      <c r="G127" s="20" t="s">
        <v>1047</v>
      </c>
      <c r="K127" s="20" t="s">
        <v>6781</v>
      </c>
      <c r="L127" s="20" t="s">
        <v>1885</v>
      </c>
      <c r="M127" s="20" t="s">
        <v>1886</v>
      </c>
      <c r="N127" s="20" t="s">
        <v>1887</v>
      </c>
      <c r="O127" s="20" t="s">
        <v>1888</v>
      </c>
      <c r="P127" s="20" t="s">
        <v>1889</v>
      </c>
      <c r="Q127" s="20" t="s">
        <v>1890</v>
      </c>
      <c r="R127" s="20" t="s">
        <v>1891</v>
      </c>
      <c r="S127" s="20" t="s">
        <v>1901</v>
      </c>
      <c r="T127" s="20" t="s">
        <v>1893</v>
      </c>
    </row>
    <row r="128" spans="1:20" x14ac:dyDescent="0.2">
      <c r="A128" s="20" t="s">
        <v>31</v>
      </c>
      <c r="F128" s="20" t="s">
        <v>66</v>
      </c>
      <c r="G128" s="20" t="s">
        <v>65</v>
      </c>
      <c r="K128" s="20" t="s">
        <v>6782</v>
      </c>
      <c r="L128" s="20" t="s">
        <v>1894</v>
      </c>
      <c r="M128" s="20" t="s">
        <v>1895</v>
      </c>
      <c r="N128" s="20" t="s">
        <v>1896</v>
      </c>
      <c r="O128" s="20" t="s">
        <v>1897</v>
      </c>
      <c r="P128" s="20" t="s">
        <v>1898</v>
      </c>
      <c r="Q128" s="20" t="s">
        <v>1899</v>
      </c>
      <c r="R128" s="20" t="s">
        <v>1900</v>
      </c>
      <c r="S128" s="20" t="s">
        <v>1910</v>
      </c>
      <c r="T128" s="20" t="s">
        <v>1902</v>
      </c>
    </row>
    <row r="129" spans="1:20" x14ac:dyDescent="0.2">
      <c r="A129" s="20" t="s">
        <v>31</v>
      </c>
      <c r="F129" s="20" t="s">
        <v>248</v>
      </c>
      <c r="G129" s="20" t="s">
        <v>247</v>
      </c>
      <c r="K129" s="20" t="s">
        <v>6783</v>
      </c>
      <c r="L129" s="20" t="s">
        <v>1903</v>
      </c>
      <c r="M129" s="20" t="s">
        <v>1904</v>
      </c>
      <c r="N129" s="20" t="s">
        <v>1905</v>
      </c>
      <c r="O129" s="20" t="s">
        <v>1906</v>
      </c>
      <c r="P129" s="20" t="s">
        <v>1907</v>
      </c>
      <c r="Q129" s="20" t="s">
        <v>1908</v>
      </c>
      <c r="R129" s="20" t="s">
        <v>1909</v>
      </c>
      <c r="S129" s="20" t="s">
        <v>1919</v>
      </c>
      <c r="T129" s="20" t="s">
        <v>1911</v>
      </c>
    </row>
    <row r="130" spans="1:20" x14ac:dyDescent="0.2">
      <c r="A130" s="20" t="s">
        <v>31</v>
      </c>
      <c r="F130" s="20" t="s">
        <v>249</v>
      </c>
      <c r="G130" s="20" t="s">
        <v>250</v>
      </c>
      <c r="K130" s="20" t="s">
        <v>6784</v>
      </c>
      <c r="L130" s="20" t="s">
        <v>1912</v>
      </c>
      <c r="M130" s="20" t="s">
        <v>1913</v>
      </c>
      <c r="N130" s="20" t="s">
        <v>1914</v>
      </c>
      <c r="O130" s="20" t="s">
        <v>1915</v>
      </c>
      <c r="P130" s="20" t="s">
        <v>1916</v>
      </c>
      <c r="Q130" s="20" t="s">
        <v>1917</v>
      </c>
      <c r="R130" s="20" t="s">
        <v>1918</v>
      </c>
      <c r="S130" s="20" t="s">
        <v>1928</v>
      </c>
      <c r="T130" s="20" t="s">
        <v>1920</v>
      </c>
    </row>
    <row r="131" spans="1:20" x14ac:dyDescent="0.2">
      <c r="A131" s="20" t="s">
        <v>31</v>
      </c>
      <c r="F131" s="20" t="s">
        <v>251</v>
      </c>
      <c r="G131" s="20" t="s">
        <v>252</v>
      </c>
      <c r="K131" s="20" t="s">
        <v>6785</v>
      </c>
      <c r="L131" s="20" t="s">
        <v>1921</v>
      </c>
      <c r="M131" s="20" t="s">
        <v>1922</v>
      </c>
      <c r="N131" s="20" t="s">
        <v>1923</v>
      </c>
      <c r="O131" s="20" t="s">
        <v>1924</v>
      </c>
      <c r="P131" s="20" t="s">
        <v>1925</v>
      </c>
      <c r="Q131" s="20" t="s">
        <v>1926</v>
      </c>
      <c r="R131" s="20" t="s">
        <v>1927</v>
      </c>
      <c r="S131" s="20" t="s">
        <v>1937</v>
      </c>
      <c r="T131" s="20" t="s">
        <v>1929</v>
      </c>
    </row>
    <row r="132" spans="1:20" x14ac:dyDescent="0.2">
      <c r="A132" s="20" t="s">
        <v>31</v>
      </c>
      <c r="F132" s="20" t="s">
        <v>253</v>
      </c>
      <c r="G132" s="20" t="s">
        <v>254</v>
      </c>
      <c r="K132" s="20" t="s">
        <v>6786</v>
      </c>
      <c r="L132" s="20" t="s">
        <v>1930</v>
      </c>
      <c r="M132" s="20" t="s">
        <v>1931</v>
      </c>
      <c r="N132" s="20" t="s">
        <v>1932</v>
      </c>
      <c r="O132" s="20" t="s">
        <v>1933</v>
      </c>
      <c r="P132" s="20" t="s">
        <v>1934</v>
      </c>
      <c r="Q132" s="20" t="s">
        <v>1935</v>
      </c>
      <c r="R132" s="20" t="s">
        <v>1936</v>
      </c>
      <c r="S132" s="20" t="s">
        <v>1946</v>
      </c>
      <c r="T132" s="20" t="s">
        <v>1938</v>
      </c>
    </row>
    <row r="133" spans="1:20" x14ac:dyDescent="0.2">
      <c r="A133" s="20" t="s">
        <v>31</v>
      </c>
      <c r="F133" s="20" t="s">
        <v>255</v>
      </c>
      <c r="G133" s="20" t="s">
        <v>256</v>
      </c>
      <c r="K133" s="20" t="s">
        <v>6787</v>
      </c>
      <c r="L133" s="20" t="s">
        <v>1939</v>
      </c>
      <c r="M133" s="20" t="s">
        <v>1940</v>
      </c>
      <c r="N133" s="20" t="s">
        <v>1941</v>
      </c>
      <c r="O133" s="20" t="s">
        <v>1942</v>
      </c>
      <c r="P133" s="20" t="s">
        <v>1943</v>
      </c>
      <c r="Q133" s="20" t="s">
        <v>1944</v>
      </c>
      <c r="R133" s="20" t="s">
        <v>1945</v>
      </c>
      <c r="S133" s="20" t="s">
        <v>1955</v>
      </c>
      <c r="T133" s="20" t="s">
        <v>1947</v>
      </c>
    </row>
    <row r="134" spans="1:20" x14ac:dyDescent="0.2">
      <c r="A134" s="20" t="s">
        <v>31</v>
      </c>
      <c r="F134" s="20" t="s">
        <v>257</v>
      </c>
      <c r="G134" s="20" t="s">
        <v>258</v>
      </c>
      <c r="K134" s="20" t="s">
        <v>6788</v>
      </c>
      <c r="L134" s="20" t="s">
        <v>1948</v>
      </c>
      <c r="M134" s="20" t="s">
        <v>1949</v>
      </c>
      <c r="N134" s="20" t="s">
        <v>1950</v>
      </c>
      <c r="O134" s="20" t="s">
        <v>1951</v>
      </c>
      <c r="P134" s="20" t="s">
        <v>1952</v>
      </c>
      <c r="Q134" s="20" t="s">
        <v>1953</v>
      </c>
      <c r="R134" s="20" t="s">
        <v>1954</v>
      </c>
      <c r="S134" s="20" t="s">
        <v>6633</v>
      </c>
      <c r="T134" s="20" t="s">
        <v>1956</v>
      </c>
    </row>
    <row r="135" spans="1:20" x14ac:dyDescent="0.2">
      <c r="A135" s="20" t="s">
        <v>31</v>
      </c>
      <c r="F135" s="20" t="s">
        <v>201</v>
      </c>
      <c r="G135" s="20" t="s">
        <v>202</v>
      </c>
    </row>
    <row r="136" spans="1:20" x14ac:dyDescent="0.2">
      <c r="A136" s="20" t="s">
        <v>31</v>
      </c>
      <c r="I136" s="20" t="s">
        <v>6308</v>
      </c>
      <c r="T136" s="20" t="s">
        <v>6309</v>
      </c>
    </row>
    <row r="137" spans="1:20" x14ac:dyDescent="0.2">
      <c r="A137" s="20" t="s">
        <v>31</v>
      </c>
    </row>
    <row r="138" spans="1:20" x14ac:dyDescent="0.2">
      <c r="A138" s="20" t="s">
        <v>31</v>
      </c>
      <c r="D138" s="20" t="s">
        <v>5687</v>
      </c>
      <c r="E138" s="20" t="s">
        <v>5688</v>
      </c>
      <c r="F138" s="20" t="s">
        <v>6193</v>
      </c>
      <c r="G138" s="20" t="s">
        <v>6310</v>
      </c>
      <c r="I138" s="20" t="s">
        <v>260</v>
      </c>
      <c r="J138" s="20" t="s">
        <v>6311</v>
      </c>
    </row>
    <row r="139" spans="1:20" x14ac:dyDescent="0.2">
      <c r="A139" s="20" t="s">
        <v>31</v>
      </c>
      <c r="F139" s="20" t="s">
        <v>259</v>
      </c>
      <c r="G139" s="20" t="s">
        <v>260</v>
      </c>
      <c r="K139" s="20" t="s">
        <v>6312</v>
      </c>
      <c r="L139" s="20" t="s">
        <v>1957</v>
      </c>
      <c r="M139" s="20" t="s">
        <v>1958</v>
      </c>
      <c r="N139" s="20" t="s">
        <v>1959</v>
      </c>
      <c r="O139" s="20" t="s">
        <v>1960</v>
      </c>
      <c r="P139" s="20" t="s">
        <v>1961</v>
      </c>
      <c r="Q139" s="20" t="s">
        <v>1962</v>
      </c>
      <c r="R139" s="20" t="s">
        <v>1963</v>
      </c>
      <c r="S139" s="20" t="s">
        <v>1972</v>
      </c>
      <c r="T139" s="20" t="s">
        <v>1964</v>
      </c>
    </row>
    <row r="140" spans="1:20" x14ac:dyDescent="0.2">
      <c r="A140" s="20" t="s">
        <v>31</v>
      </c>
      <c r="F140" s="20" t="s">
        <v>261</v>
      </c>
      <c r="G140" s="20" t="s">
        <v>262</v>
      </c>
      <c r="K140" s="20" t="s">
        <v>6313</v>
      </c>
      <c r="L140" s="20" t="s">
        <v>1965</v>
      </c>
      <c r="M140" s="20" t="s">
        <v>1966</v>
      </c>
      <c r="N140" s="20" t="s">
        <v>1967</v>
      </c>
      <c r="O140" s="20" t="s">
        <v>1968</v>
      </c>
      <c r="P140" s="20" t="s">
        <v>1969</v>
      </c>
      <c r="Q140" s="20" t="s">
        <v>1970</v>
      </c>
      <c r="R140" s="20" t="s">
        <v>1971</v>
      </c>
      <c r="S140" s="20" t="s">
        <v>1981</v>
      </c>
      <c r="T140" s="20" t="s">
        <v>1973</v>
      </c>
    </row>
    <row r="141" spans="1:20" x14ac:dyDescent="0.2">
      <c r="A141" s="20" t="s">
        <v>31</v>
      </c>
      <c r="F141" s="20" t="s">
        <v>263</v>
      </c>
      <c r="G141" s="20" t="s">
        <v>264</v>
      </c>
      <c r="K141" s="20" t="s">
        <v>6789</v>
      </c>
      <c r="L141" s="20" t="s">
        <v>1974</v>
      </c>
      <c r="M141" s="20" t="s">
        <v>1975</v>
      </c>
      <c r="N141" s="20" t="s">
        <v>1976</v>
      </c>
      <c r="O141" s="20" t="s">
        <v>1977</v>
      </c>
      <c r="P141" s="20" t="s">
        <v>1978</v>
      </c>
      <c r="Q141" s="20" t="s">
        <v>1979</v>
      </c>
      <c r="R141" s="20" t="s">
        <v>1980</v>
      </c>
      <c r="S141" s="20" t="s">
        <v>1990</v>
      </c>
      <c r="T141" s="20" t="s">
        <v>1982</v>
      </c>
    </row>
    <row r="142" spans="1:20" x14ac:dyDescent="0.2">
      <c r="A142" s="20" t="s">
        <v>31</v>
      </c>
      <c r="F142" s="20" t="s">
        <v>265</v>
      </c>
      <c r="G142" s="20" t="s">
        <v>266</v>
      </c>
      <c r="K142" s="20" t="s">
        <v>6790</v>
      </c>
      <c r="L142" s="20" t="s">
        <v>1983</v>
      </c>
      <c r="M142" s="20" t="s">
        <v>1984</v>
      </c>
      <c r="N142" s="20" t="s">
        <v>1985</v>
      </c>
      <c r="O142" s="20" t="s">
        <v>1986</v>
      </c>
      <c r="P142" s="20" t="s">
        <v>1987</v>
      </c>
      <c r="Q142" s="20" t="s">
        <v>1988</v>
      </c>
      <c r="R142" s="20" t="s">
        <v>1989</v>
      </c>
      <c r="S142" s="20" t="s">
        <v>1999</v>
      </c>
      <c r="T142" s="20" t="s">
        <v>1991</v>
      </c>
    </row>
    <row r="143" spans="1:20" x14ac:dyDescent="0.2">
      <c r="A143" s="20" t="s">
        <v>31</v>
      </c>
      <c r="F143" s="20" t="s">
        <v>267</v>
      </c>
      <c r="G143" s="20" t="s">
        <v>268</v>
      </c>
      <c r="K143" s="20" t="s">
        <v>6791</v>
      </c>
      <c r="L143" s="20" t="s">
        <v>1992</v>
      </c>
      <c r="M143" s="20" t="s">
        <v>1993</v>
      </c>
      <c r="N143" s="20" t="s">
        <v>1994</v>
      </c>
      <c r="O143" s="20" t="s">
        <v>1995</v>
      </c>
      <c r="P143" s="20" t="s">
        <v>1996</v>
      </c>
      <c r="Q143" s="20" t="s">
        <v>1997</v>
      </c>
      <c r="R143" s="20" t="s">
        <v>1998</v>
      </c>
      <c r="S143" s="20" t="s">
        <v>2008</v>
      </c>
      <c r="T143" s="20" t="s">
        <v>2000</v>
      </c>
    </row>
    <row r="144" spans="1:20" x14ac:dyDescent="0.2">
      <c r="A144" s="20" t="s">
        <v>31</v>
      </c>
      <c r="F144" s="20" t="s">
        <v>269</v>
      </c>
      <c r="G144" s="20" t="s">
        <v>270</v>
      </c>
      <c r="K144" s="20" t="s">
        <v>6792</v>
      </c>
      <c r="L144" s="20" t="s">
        <v>2001</v>
      </c>
      <c r="M144" s="20" t="s">
        <v>2002</v>
      </c>
      <c r="N144" s="20" t="s">
        <v>2003</v>
      </c>
      <c r="O144" s="20" t="s">
        <v>2004</v>
      </c>
      <c r="P144" s="20" t="s">
        <v>2005</v>
      </c>
      <c r="Q144" s="20" t="s">
        <v>2006</v>
      </c>
      <c r="R144" s="20" t="s">
        <v>2007</v>
      </c>
      <c r="S144" s="20" t="s">
        <v>2017</v>
      </c>
      <c r="T144" s="20" t="s">
        <v>2009</v>
      </c>
    </row>
    <row r="145" spans="1:20" x14ac:dyDescent="0.2">
      <c r="A145" s="20" t="s">
        <v>31</v>
      </c>
      <c r="F145" s="20" t="s">
        <v>271</v>
      </c>
      <c r="G145" s="20" t="s">
        <v>272</v>
      </c>
      <c r="K145" s="20" t="s">
        <v>6793</v>
      </c>
      <c r="L145" s="20" t="s">
        <v>2010</v>
      </c>
      <c r="M145" s="20" t="s">
        <v>2011</v>
      </c>
      <c r="N145" s="20" t="s">
        <v>2012</v>
      </c>
      <c r="O145" s="20" t="s">
        <v>2013</v>
      </c>
      <c r="P145" s="20" t="s">
        <v>2014</v>
      </c>
      <c r="Q145" s="20" t="s">
        <v>2015</v>
      </c>
      <c r="R145" s="20" t="s">
        <v>2016</v>
      </c>
      <c r="S145" s="20" t="s">
        <v>6634</v>
      </c>
      <c r="T145" s="20" t="s">
        <v>2018</v>
      </c>
    </row>
    <row r="146" spans="1:20" x14ac:dyDescent="0.2">
      <c r="A146" s="20" t="s">
        <v>31</v>
      </c>
      <c r="F146" s="20" t="s">
        <v>263</v>
      </c>
      <c r="G146" s="20" t="s">
        <v>264</v>
      </c>
    </row>
    <row r="147" spans="1:20" x14ac:dyDescent="0.2">
      <c r="A147" s="20" t="s">
        <v>31</v>
      </c>
      <c r="I147" s="20" t="s">
        <v>6314</v>
      </c>
      <c r="T147" s="20" t="s">
        <v>6315</v>
      </c>
    </row>
    <row r="148" spans="1:20" x14ac:dyDescent="0.2">
      <c r="A148" s="20" t="s">
        <v>31</v>
      </c>
    </row>
    <row r="149" spans="1:20" x14ac:dyDescent="0.2">
      <c r="A149" s="20" t="s">
        <v>31</v>
      </c>
      <c r="D149" s="20" t="s">
        <v>5687</v>
      </c>
      <c r="E149" s="20" t="s">
        <v>5688</v>
      </c>
      <c r="F149" s="20" t="s">
        <v>6194</v>
      </c>
      <c r="G149" s="20" t="s">
        <v>6316</v>
      </c>
      <c r="I149" s="20" t="s">
        <v>274</v>
      </c>
      <c r="J149" s="20" t="s">
        <v>6317</v>
      </c>
    </row>
    <row r="150" spans="1:20" x14ac:dyDescent="0.2">
      <c r="A150" s="20" t="s">
        <v>31</v>
      </c>
      <c r="F150" s="20" t="s">
        <v>273</v>
      </c>
      <c r="G150" s="20" t="s">
        <v>274</v>
      </c>
      <c r="K150" s="20" t="s">
        <v>6318</v>
      </c>
      <c r="L150" s="20" t="s">
        <v>2019</v>
      </c>
      <c r="M150" s="20" t="s">
        <v>2020</v>
      </c>
      <c r="N150" s="20" t="s">
        <v>2021</v>
      </c>
      <c r="O150" s="20" t="s">
        <v>2022</v>
      </c>
      <c r="P150" s="20" t="s">
        <v>2023</v>
      </c>
      <c r="Q150" s="20" t="s">
        <v>2024</v>
      </c>
      <c r="R150" s="20" t="s">
        <v>2025</v>
      </c>
      <c r="S150" s="20" t="s">
        <v>2034</v>
      </c>
      <c r="T150" s="20" t="s">
        <v>2026</v>
      </c>
    </row>
    <row r="151" spans="1:20" x14ac:dyDescent="0.2">
      <c r="A151" s="20" t="s">
        <v>31</v>
      </c>
      <c r="F151" s="20" t="s">
        <v>275</v>
      </c>
      <c r="G151" s="20" t="s">
        <v>276</v>
      </c>
      <c r="K151" s="20" t="s">
        <v>6319</v>
      </c>
      <c r="L151" s="20" t="s">
        <v>2027</v>
      </c>
      <c r="M151" s="20" t="s">
        <v>2028</v>
      </c>
      <c r="N151" s="20" t="s">
        <v>2029</v>
      </c>
      <c r="O151" s="20" t="s">
        <v>2030</v>
      </c>
      <c r="P151" s="20" t="s">
        <v>2031</v>
      </c>
      <c r="Q151" s="20" t="s">
        <v>2032</v>
      </c>
      <c r="R151" s="20" t="s">
        <v>2033</v>
      </c>
      <c r="S151" s="20" t="s">
        <v>2043</v>
      </c>
      <c r="T151" s="20" t="s">
        <v>2035</v>
      </c>
    </row>
    <row r="152" spans="1:20" x14ac:dyDescent="0.2">
      <c r="A152" s="20" t="s">
        <v>31</v>
      </c>
      <c r="F152" s="20" t="s">
        <v>277</v>
      </c>
      <c r="G152" s="20" t="s">
        <v>278</v>
      </c>
      <c r="K152" s="20" t="s">
        <v>6794</v>
      </c>
      <c r="L152" s="20" t="s">
        <v>2036</v>
      </c>
      <c r="M152" s="20" t="s">
        <v>2037</v>
      </c>
      <c r="N152" s="20" t="s">
        <v>2038</v>
      </c>
      <c r="O152" s="20" t="s">
        <v>2039</v>
      </c>
      <c r="P152" s="20" t="s">
        <v>2040</v>
      </c>
      <c r="Q152" s="20" t="s">
        <v>2041</v>
      </c>
      <c r="R152" s="20" t="s">
        <v>2042</v>
      </c>
      <c r="S152" s="20" t="s">
        <v>2052</v>
      </c>
      <c r="T152" s="20" t="s">
        <v>2044</v>
      </c>
    </row>
    <row r="153" spans="1:20" x14ac:dyDescent="0.2">
      <c r="A153" s="20" t="s">
        <v>31</v>
      </c>
      <c r="F153" s="20" t="s">
        <v>279</v>
      </c>
      <c r="G153" s="20" t="s">
        <v>280</v>
      </c>
      <c r="K153" s="20" t="s">
        <v>6795</v>
      </c>
      <c r="L153" s="20" t="s">
        <v>2045</v>
      </c>
      <c r="M153" s="20" t="s">
        <v>2046</v>
      </c>
      <c r="N153" s="20" t="s">
        <v>2047</v>
      </c>
      <c r="O153" s="20" t="s">
        <v>2048</v>
      </c>
      <c r="P153" s="20" t="s">
        <v>2049</v>
      </c>
      <c r="Q153" s="20" t="s">
        <v>2050</v>
      </c>
      <c r="R153" s="20" t="s">
        <v>2051</v>
      </c>
      <c r="S153" s="20" t="s">
        <v>2061</v>
      </c>
      <c r="T153" s="20" t="s">
        <v>2053</v>
      </c>
    </row>
    <row r="154" spans="1:20" x14ac:dyDescent="0.2">
      <c r="A154" s="20" t="s">
        <v>31</v>
      </c>
      <c r="F154" s="20" t="s">
        <v>281</v>
      </c>
      <c r="G154" s="20" t="s">
        <v>282</v>
      </c>
      <c r="K154" s="20" t="s">
        <v>6796</v>
      </c>
      <c r="L154" s="20" t="s">
        <v>2054</v>
      </c>
      <c r="M154" s="20" t="s">
        <v>2055</v>
      </c>
      <c r="N154" s="20" t="s">
        <v>2056</v>
      </c>
      <c r="O154" s="20" t="s">
        <v>2057</v>
      </c>
      <c r="P154" s="20" t="s">
        <v>2058</v>
      </c>
      <c r="Q154" s="20" t="s">
        <v>2059</v>
      </c>
      <c r="R154" s="20" t="s">
        <v>2060</v>
      </c>
      <c r="S154" s="20" t="s">
        <v>2070</v>
      </c>
      <c r="T154" s="20" t="s">
        <v>2062</v>
      </c>
    </row>
    <row r="155" spans="1:20" x14ac:dyDescent="0.2">
      <c r="A155" s="20" t="s">
        <v>31</v>
      </c>
      <c r="F155" s="20" t="s">
        <v>283</v>
      </c>
      <c r="G155" s="20" t="s">
        <v>284</v>
      </c>
      <c r="K155" s="20" t="s">
        <v>6797</v>
      </c>
      <c r="L155" s="20" t="s">
        <v>2063</v>
      </c>
      <c r="M155" s="20" t="s">
        <v>2064</v>
      </c>
      <c r="N155" s="20" t="s">
        <v>2065</v>
      </c>
      <c r="O155" s="20" t="s">
        <v>2066</v>
      </c>
      <c r="P155" s="20" t="s">
        <v>2067</v>
      </c>
      <c r="Q155" s="20" t="s">
        <v>2068</v>
      </c>
      <c r="R155" s="20" t="s">
        <v>2069</v>
      </c>
      <c r="S155" s="20" t="s">
        <v>2079</v>
      </c>
      <c r="T155" s="20" t="s">
        <v>2071</v>
      </c>
    </row>
    <row r="156" spans="1:20" x14ac:dyDescent="0.2">
      <c r="A156" s="20" t="s">
        <v>31</v>
      </c>
      <c r="F156" s="20" t="s">
        <v>285</v>
      </c>
      <c r="G156" s="20" t="s">
        <v>286</v>
      </c>
      <c r="K156" s="20" t="s">
        <v>6798</v>
      </c>
      <c r="L156" s="20" t="s">
        <v>2072</v>
      </c>
      <c r="M156" s="20" t="s">
        <v>2073</v>
      </c>
      <c r="N156" s="20" t="s">
        <v>2074</v>
      </c>
      <c r="O156" s="20" t="s">
        <v>2075</v>
      </c>
      <c r="P156" s="20" t="s">
        <v>2076</v>
      </c>
      <c r="Q156" s="20" t="s">
        <v>2077</v>
      </c>
      <c r="R156" s="20" t="s">
        <v>2078</v>
      </c>
      <c r="S156" s="20" t="s">
        <v>2088</v>
      </c>
      <c r="T156" s="20" t="s">
        <v>2080</v>
      </c>
    </row>
    <row r="157" spans="1:20" x14ac:dyDescent="0.2">
      <c r="A157" s="20" t="s">
        <v>31</v>
      </c>
      <c r="F157" s="20" t="s">
        <v>287</v>
      </c>
      <c r="G157" s="20" t="s">
        <v>288</v>
      </c>
      <c r="K157" s="20" t="s">
        <v>6799</v>
      </c>
      <c r="L157" s="20" t="s">
        <v>2081</v>
      </c>
      <c r="M157" s="20" t="s">
        <v>2082</v>
      </c>
      <c r="N157" s="20" t="s">
        <v>2083</v>
      </c>
      <c r="O157" s="20" t="s">
        <v>2084</v>
      </c>
      <c r="P157" s="20" t="s">
        <v>2085</v>
      </c>
      <c r="Q157" s="20" t="s">
        <v>2086</v>
      </c>
      <c r="R157" s="20" t="s">
        <v>2087</v>
      </c>
      <c r="S157" s="20" t="s">
        <v>2097</v>
      </c>
      <c r="T157" s="20" t="s">
        <v>2089</v>
      </c>
    </row>
    <row r="158" spans="1:20" x14ac:dyDescent="0.2">
      <c r="A158" s="20" t="s">
        <v>31</v>
      </c>
      <c r="F158" s="20" t="s">
        <v>289</v>
      </c>
      <c r="G158" s="20" t="s">
        <v>290</v>
      </c>
      <c r="K158" s="20" t="s">
        <v>6800</v>
      </c>
      <c r="L158" s="20" t="s">
        <v>2090</v>
      </c>
      <c r="M158" s="20" t="s">
        <v>2091</v>
      </c>
      <c r="N158" s="20" t="s">
        <v>2092</v>
      </c>
      <c r="O158" s="20" t="s">
        <v>2093</v>
      </c>
      <c r="P158" s="20" t="s">
        <v>2094</v>
      </c>
      <c r="Q158" s="20" t="s">
        <v>2095</v>
      </c>
      <c r="R158" s="20" t="s">
        <v>2096</v>
      </c>
      <c r="S158" s="20" t="s">
        <v>2106</v>
      </c>
      <c r="T158" s="20" t="s">
        <v>2098</v>
      </c>
    </row>
    <row r="159" spans="1:20" x14ac:dyDescent="0.2">
      <c r="A159" s="20" t="s">
        <v>31</v>
      </c>
      <c r="F159" s="20" t="s">
        <v>291</v>
      </c>
      <c r="G159" s="20" t="s">
        <v>292</v>
      </c>
      <c r="K159" s="20" t="s">
        <v>6801</v>
      </c>
      <c r="L159" s="20" t="s">
        <v>2099</v>
      </c>
      <c r="M159" s="20" t="s">
        <v>2100</v>
      </c>
      <c r="N159" s="20" t="s">
        <v>2101</v>
      </c>
      <c r="O159" s="20" t="s">
        <v>2102</v>
      </c>
      <c r="P159" s="20" t="s">
        <v>2103</v>
      </c>
      <c r="Q159" s="20" t="s">
        <v>2104</v>
      </c>
      <c r="R159" s="20" t="s">
        <v>2105</v>
      </c>
      <c r="S159" s="20" t="s">
        <v>2115</v>
      </c>
      <c r="T159" s="20" t="s">
        <v>2107</v>
      </c>
    </row>
    <row r="160" spans="1:20" x14ac:dyDescent="0.2">
      <c r="A160" s="20" t="s">
        <v>31</v>
      </c>
      <c r="F160" s="20" t="s">
        <v>293</v>
      </c>
      <c r="G160" s="20" t="s">
        <v>294</v>
      </c>
      <c r="K160" s="20" t="s">
        <v>6802</v>
      </c>
      <c r="L160" s="20" t="s">
        <v>2108</v>
      </c>
      <c r="M160" s="20" t="s">
        <v>2109</v>
      </c>
      <c r="N160" s="20" t="s">
        <v>2110</v>
      </c>
      <c r="O160" s="20" t="s">
        <v>2111</v>
      </c>
      <c r="P160" s="20" t="s">
        <v>2112</v>
      </c>
      <c r="Q160" s="20" t="s">
        <v>2113</v>
      </c>
      <c r="R160" s="20" t="s">
        <v>2114</v>
      </c>
      <c r="S160" s="20" t="s">
        <v>6635</v>
      </c>
      <c r="T160" s="20" t="s">
        <v>2116</v>
      </c>
    </row>
    <row r="161" spans="1:20" x14ac:dyDescent="0.2">
      <c r="A161" s="20" t="s">
        <v>31</v>
      </c>
      <c r="F161" s="20" t="s">
        <v>277</v>
      </c>
      <c r="G161" s="20" t="s">
        <v>278</v>
      </c>
    </row>
    <row r="162" spans="1:20" x14ac:dyDescent="0.2">
      <c r="A162" s="20" t="s">
        <v>31</v>
      </c>
      <c r="I162" s="20" t="s">
        <v>6320</v>
      </c>
      <c r="T162" s="20" t="s">
        <v>6321</v>
      </c>
    </row>
    <row r="163" spans="1:20" x14ac:dyDescent="0.2">
      <c r="A163" s="20" t="s">
        <v>31</v>
      </c>
    </row>
    <row r="164" spans="1:20" x14ac:dyDescent="0.2">
      <c r="A164" s="20" t="s">
        <v>31</v>
      </c>
      <c r="D164" s="20" t="s">
        <v>5687</v>
      </c>
      <c r="E164" s="20" t="s">
        <v>5688</v>
      </c>
      <c r="F164" s="20" t="s">
        <v>6240</v>
      </c>
      <c r="G164" s="20" t="s">
        <v>6322</v>
      </c>
      <c r="I164" s="20" t="s">
        <v>296</v>
      </c>
      <c r="J164" s="20" t="s">
        <v>6323</v>
      </c>
    </row>
    <row r="165" spans="1:20" x14ac:dyDescent="0.2">
      <c r="A165" s="20" t="s">
        <v>31</v>
      </c>
      <c r="F165" s="20" t="s">
        <v>295</v>
      </c>
      <c r="G165" s="20" t="s">
        <v>296</v>
      </c>
      <c r="K165" s="20" t="s">
        <v>6324</v>
      </c>
      <c r="L165" s="20" t="s">
        <v>2117</v>
      </c>
      <c r="M165" s="20" t="s">
        <v>2118</v>
      </c>
      <c r="N165" s="20" t="s">
        <v>2119</v>
      </c>
      <c r="O165" s="20" t="s">
        <v>2120</v>
      </c>
      <c r="P165" s="20" t="s">
        <v>2121</v>
      </c>
      <c r="Q165" s="20" t="s">
        <v>2122</v>
      </c>
      <c r="R165" s="20" t="s">
        <v>2123</v>
      </c>
      <c r="S165" s="20" t="s">
        <v>2132</v>
      </c>
      <c r="T165" s="20" t="s">
        <v>2124</v>
      </c>
    </row>
    <row r="166" spans="1:20" x14ac:dyDescent="0.2">
      <c r="A166" s="20" t="s">
        <v>31</v>
      </c>
      <c r="F166" s="20" t="s">
        <v>297</v>
      </c>
      <c r="G166" s="20" t="s">
        <v>298</v>
      </c>
      <c r="K166" s="20" t="s">
        <v>6325</v>
      </c>
      <c r="L166" s="20" t="s">
        <v>2125</v>
      </c>
      <c r="M166" s="20" t="s">
        <v>2126</v>
      </c>
      <c r="N166" s="20" t="s">
        <v>2127</v>
      </c>
      <c r="O166" s="20" t="s">
        <v>2128</v>
      </c>
      <c r="P166" s="20" t="s">
        <v>2129</v>
      </c>
      <c r="Q166" s="20" t="s">
        <v>2130</v>
      </c>
      <c r="R166" s="20" t="s">
        <v>2131</v>
      </c>
      <c r="S166" s="20" t="s">
        <v>6636</v>
      </c>
      <c r="T166" s="20" t="s">
        <v>2133</v>
      </c>
    </row>
    <row r="167" spans="1:20" x14ac:dyDescent="0.2">
      <c r="A167" s="20" t="s">
        <v>31</v>
      </c>
      <c r="F167" s="20" t="s">
        <v>299</v>
      </c>
      <c r="G167" s="20" t="s">
        <v>300</v>
      </c>
    </row>
    <row r="168" spans="1:20" x14ac:dyDescent="0.2">
      <c r="A168" s="20" t="s">
        <v>31</v>
      </c>
      <c r="I168" s="20" t="s">
        <v>6326</v>
      </c>
      <c r="T168" s="20" t="s">
        <v>6327</v>
      </c>
    </row>
    <row r="169" spans="1:20" x14ac:dyDescent="0.2">
      <c r="A169" s="20" t="s">
        <v>31</v>
      </c>
    </row>
    <row r="170" spans="1:20" x14ac:dyDescent="0.2">
      <c r="A170" s="20" t="s">
        <v>31</v>
      </c>
      <c r="D170" s="20" t="s">
        <v>5687</v>
      </c>
      <c r="E170" s="20" t="s">
        <v>5688</v>
      </c>
      <c r="F170" s="20" t="s">
        <v>6241</v>
      </c>
      <c r="G170" s="20" t="s">
        <v>6328</v>
      </c>
      <c r="I170" s="20" t="s">
        <v>302</v>
      </c>
      <c r="J170" s="20" t="s">
        <v>6329</v>
      </c>
    </row>
    <row r="171" spans="1:20" x14ac:dyDescent="0.2">
      <c r="A171" s="20" t="s">
        <v>31</v>
      </c>
      <c r="F171" s="20" t="s">
        <v>301</v>
      </c>
      <c r="G171" s="20" t="s">
        <v>302</v>
      </c>
      <c r="K171" s="20" t="s">
        <v>6330</v>
      </c>
      <c r="L171" s="20" t="s">
        <v>2134</v>
      </c>
      <c r="M171" s="20" t="s">
        <v>2135</v>
      </c>
      <c r="N171" s="20" t="s">
        <v>2136</v>
      </c>
      <c r="O171" s="20" t="s">
        <v>2137</v>
      </c>
      <c r="P171" s="20" t="s">
        <v>2138</v>
      </c>
      <c r="Q171" s="20" t="s">
        <v>2139</v>
      </c>
      <c r="R171" s="20" t="s">
        <v>2140</v>
      </c>
      <c r="S171" s="20" t="s">
        <v>2149</v>
      </c>
      <c r="T171" s="20" t="s">
        <v>2141</v>
      </c>
    </row>
    <row r="172" spans="1:20" x14ac:dyDescent="0.2">
      <c r="A172" s="20" t="s">
        <v>31</v>
      </c>
      <c r="F172" s="20" t="s">
        <v>303</v>
      </c>
      <c r="G172" s="20" t="s">
        <v>304</v>
      </c>
      <c r="K172" s="20" t="s">
        <v>6331</v>
      </c>
      <c r="L172" s="20" t="s">
        <v>2142</v>
      </c>
      <c r="M172" s="20" t="s">
        <v>2143</v>
      </c>
      <c r="N172" s="20" t="s">
        <v>2144</v>
      </c>
      <c r="O172" s="20" t="s">
        <v>2145</v>
      </c>
      <c r="P172" s="20" t="s">
        <v>2146</v>
      </c>
      <c r="Q172" s="20" t="s">
        <v>2147</v>
      </c>
      <c r="R172" s="20" t="s">
        <v>2148</v>
      </c>
      <c r="S172" s="20" t="s">
        <v>2158</v>
      </c>
      <c r="T172" s="20" t="s">
        <v>2150</v>
      </c>
    </row>
    <row r="173" spans="1:20" x14ac:dyDescent="0.2">
      <c r="A173" s="20" t="s">
        <v>31</v>
      </c>
      <c r="F173" s="20" t="s">
        <v>305</v>
      </c>
      <c r="G173" s="20" t="s">
        <v>306</v>
      </c>
      <c r="K173" s="20" t="s">
        <v>6803</v>
      </c>
      <c r="L173" s="20" t="s">
        <v>2151</v>
      </c>
      <c r="M173" s="20" t="s">
        <v>2152</v>
      </c>
      <c r="N173" s="20" t="s">
        <v>2153</v>
      </c>
      <c r="O173" s="20" t="s">
        <v>2154</v>
      </c>
      <c r="P173" s="20" t="s">
        <v>2155</v>
      </c>
      <c r="Q173" s="20" t="s">
        <v>2156</v>
      </c>
      <c r="R173" s="20" t="s">
        <v>2157</v>
      </c>
      <c r="S173" s="20" t="s">
        <v>2167</v>
      </c>
      <c r="T173" s="20" t="s">
        <v>2159</v>
      </c>
    </row>
    <row r="174" spans="1:20" x14ac:dyDescent="0.2">
      <c r="A174" s="20" t="s">
        <v>31</v>
      </c>
      <c r="F174" s="20" t="s">
        <v>307</v>
      </c>
      <c r="G174" s="20" t="s">
        <v>308</v>
      </c>
      <c r="K174" s="20" t="s">
        <v>6804</v>
      </c>
      <c r="L174" s="20" t="s">
        <v>2160</v>
      </c>
      <c r="M174" s="20" t="s">
        <v>2161</v>
      </c>
      <c r="N174" s="20" t="s">
        <v>2162</v>
      </c>
      <c r="O174" s="20" t="s">
        <v>2163</v>
      </c>
      <c r="P174" s="20" t="s">
        <v>2164</v>
      </c>
      <c r="Q174" s="20" t="s">
        <v>2165</v>
      </c>
      <c r="R174" s="20" t="s">
        <v>2166</v>
      </c>
      <c r="S174" s="20" t="s">
        <v>2176</v>
      </c>
      <c r="T174" s="20" t="s">
        <v>2168</v>
      </c>
    </row>
    <row r="175" spans="1:20" x14ac:dyDescent="0.2">
      <c r="A175" s="20" t="s">
        <v>31</v>
      </c>
      <c r="F175" s="20" t="s">
        <v>309</v>
      </c>
      <c r="G175" s="20" t="s">
        <v>310</v>
      </c>
      <c r="K175" s="20" t="s">
        <v>6805</v>
      </c>
      <c r="L175" s="20" t="s">
        <v>2169</v>
      </c>
      <c r="M175" s="20" t="s">
        <v>2170</v>
      </c>
      <c r="N175" s="20" t="s">
        <v>2171</v>
      </c>
      <c r="O175" s="20" t="s">
        <v>2172</v>
      </c>
      <c r="P175" s="20" t="s">
        <v>2173</v>
      </c>
      <c r="Q175" s="20" t="s">
        <v>2174</v>
      </c>
      <c r="R175" s="20" t="s">
        <v>2175</v>
      </c>
      <c r="S175" s="20" t="s">
        <v>5747</v>
      </c>
      <c r="T175" s="20" t="s">
        <v>2177</v>
      </c>
    </row>
    <row r="176" spans="1:20" x14ac:dyDescent="0.2">
      <c r="A176" s="20" t="s">
        <v>31</v>
      </c>
      <c r="F176" s="20" t="s">
        <v>5738</v>
      </c>
      <c r="G176" s="20" t="s">
        <v>5739</v>
      </c>
      <c r="K176" s="20" t="s">
        <v>6806</v>
      </c>
      <c r="L176" s="20" t="s">
        <v>5740</v>
      </c>
      <c r="M176" s="20" t="s">
        <v>5741</v>
      </c>
      <c r="N176" s="20" t="s">
        <v>5742</v>
      </c>
      <c r="O176" s="20" t="s">
        <v>5743</v>
      </c>
      <c r="P176" s="20" t="s">
        <v>5744</v>
      </c>
      <c r="Q176" s="20" t="s">
        <v>5745</v>
      </c>
      <c r="R176" s="20" t="s">
        <v>5746</v>
      </c>
      <c r="S176" s="20" t="s">
        <v>5758</v>
      </c>
      <c r="T176" s="20" t="s">
        <v>5748</v>
      </c>
    </row>
    <row r="177" spans="1:20" x14ac:dyDescent="0.2">
      <c r="A177" s="20" t="s">
        <v>31</v>
      </c>
      <c r="F177" s="20" t="s">
        <v>5749</v>
      </c>
      <c r="G177" s="20" t="s">
        <v>5750</v>
      </c>
      <c r="K177" s="20" t="s">
        <v>6807</v>
      </c>
      <c r="L177" s="20" t="s">
        <v>5751</v>
      </c>
      <c r="M177" s="20" t="s">
        <v>5752</v>
      </c>
      <c r="N177" s="20" t="s">
        <v>5753</v>
      </c>
      <c r="O177" s="20" t="s">
        <v>5754</v>
      </c>
      <c r="P177" s="20" t="s">
        <v>5755</v>
      </c>
      <c r="Q177" s="20" t="s">
        <v>5756</v>
      </c>
      <c r="R177" s="20" t="s">
        <v>5757</v>
      </c>
      <c r="S177" s="20" t="s">
        <v>5769</v>
      </c>
      <c r="T177" s="20" t="s">
        <v>5759</v>
      </c>
    </row>
    <row r="178" spans="1:20" x14ac:dyDescent="0.2">
      <c r="A178" s="20" t="s">
        <v>31</v>
      </c>
      <c r="F178" s="20" t="s">
        <v>5760</v>
      </c>
      <c r="G178" s="20" t="s">
        <v>5761</v>
      </c>
      <c r="K178" s="20" t="s">
        <v>6808</v>
      </c>
      <c r="L178" s="20" t="s">
        <v>5762</v>
      </c>
      <c r="M178" s="20" t="s">
        <v>5763</v>
      </c>
      <c r="N178" s="20" t="s">
        <v>5764</v>
      </c>
      <c r="O178" s="20" t="s">
        <v>5765</v>
      </c>
      <c r="P178" s="20" t="s">
        <v>5766</v>
      </c>
      <c r="Q178" s="20" t="s">
        <v>5767</v>
      </c>
      <c r="R178" s="20" t="s">
        <v>5768</v>
      </c>
      <c r="S178" s="20" t="s">
        <v>5780</v>
      </c>
      <c r="T178" s="20" t="s">
        <v>5770</v>
      </c>
    </row>
    <row r="179" spans="1:20" x14ac:dyDescent="0.2">
      <c r="A179" s="20" t="s">
        <v>31</v>
      </c>
      <c r="F179" s="20" t="s">
        <v>5771</v>
      </c>
      <c r="G179" s="20" t="s">
        <v>5772</v>
      </c>
      <c r="K179" s="20" t="s">
        <v>6809</v>
      </c>
      <c r="L179" s="20" t="s">
        <v>5773</v>
      </c>
      <c r="M179" s="20" t="s">
        <v>5774</v>
      </c>
      <c r="N179" s="20" t="s">
        <v>5775</v>
      </c>
      <c r="O179" s="20" t="s">
        <v>5776</v>
      </c>
      <c r="P179" s="20" t="s">
        <v>5777</v>
      </c>
      <c r="Q179" s="20" t="s">
        <v>5778</v>
      </c>
      <c r="R179" s="20" t="s">
        <v>5779</v>
      </c>
      <c r="S179" s="20" t="s">
        <v>5782</v>
      </c>
      <c r="T179" s="20" t="s">
        <v>5781</v>
      </c>
    </row>
    <row r="180" spans="1:20" x14ac:dyDescent="0.2">
      <c r="A180" s="20" t="s">
        <v>31</v>
      </c>
      <c r="F180" s="20" t="s">
        <v>311</v>
      </c>
      <c r="G180" s="20" t="s">
        <v>312</v>
      </c>
      <c r="K180" s="20" t="s">
        <v>6810</v>
      </c>
      <c r="L180" s="20" t="s">
        <v>2178</v>
      </c>
      <c r="M180" s="20" t="s">
        <v>2179</v>
      </c>
      <c r="N180" s="20" t="s">
        <v>2180</v>
      </c>
      <c r="O180" s="20" t="s">
        <v>2181</v>
      </c>
      <c r="P180" s="20" t="s">
        <v>2182</v>
      </c>
      <c r="Q180" s="20" t="s">
        <v>2183</v>
      </c>
      <c r="R180" s="20" t="s">
        <v>2184</v>
      </c>
      <c r="S180" s="20" t="s">
        <v>2185</v>
      </c>
      <c r="T180" s="20" t="s">
        <v>2186</v>
      </c>
    </row>
    <row r="181" spans="1:20" x14ac:dyDescent="0.2">
      <c r="A181" s="20" t="s">
        <v>31</v>
      </c>
      <c r="F181" s="20" t="s">
        <v>313</v>
      </c>
      <c r="G181" s="20" t="s">
        <v>314</v>
      </c>
      <c r="K181" s="20" t="s">
        <v>6811</v>
      </c>
      <c r="L181" s="20" t="s">
        <v>2187</v>
      </c>
      <c r="M181" s="20" t="s">
        <v>2188</v>
      </c>
      <c r="N181" s="20" t="s">
        <v>2189</v>
      </c>
      <c r="O181" s="20" t="s">
        <v>2190</v>
      </c>
      <c r="P181" s="20" t="s">
        <v>2191</v>
      </c>
      <c r="Q181" s="20" t="s">
        <v>2192</v>
      </c>
      <c r="R181" s="20" t="s">
        <v>2193</v>
      </c>
      <c r="S181" s="20" t="s">
        <v>2202</v>
      </c>
      <c r="T181" s="20" t="s">
        <v>2194</v>
      </c>
    </row>
    <row r="182" spans="1:20" x14ac:dyDescent="0.2">
      <c r="A182" s="20" t="s">
        <v>31</v>
      </c>
      <c r="F182" s="20" t="s">
        <v>315</v>
      </c>
      <c r="G182" s="20" t="s">
        <v>316</v>
      </c>
      <c r="K182" s="20" t="s">
        <v>6812</v>
      </c>
      <c r="L182" s="20" t="s">
        <v>2195</v>
      </c>
      <c r="M182" s="20" t="s">
        <v>2196</v>
      </c>
      <c r="N182" s="20" t="s">
        <v>2197</v>
      </c>
      <c r="O182" s="20" t="s">
        <v>2198</v>
      </c>
      <c r="P182" s="20" t="s">
        <v>2199</v>
      </c>
      <c r="Q182" s="20" t="s">
        <v>2200</v>
      </c>
      <c r="R182" s="20" t="s">
        <v>2201</v>
      </c>
      <c r="S182" s="20" t="s">
        <v>2211</v>
      </c>
      <c r="T182" s="20" t="s">
        <v>2203</v>
      </c>
    </row>
    <row r="183" spans="1:20" x14ac:dyDescent="0.2">
      <c r="A183" s="20" t="s">
        <v>31</v>
      </c>
      <c r="F183" s="20" t="s">
        <v>317</v>
      </c>
      <c r="G183" s="20" t="s">
        <v>318</v>
      </c>
      <c r="K183" s="20" t="s">
        <v>6813</v>
      </c>
      <c r="L183" s="20" t="s">
        <v>2204</v>
      </c>
      <c r="M183" s="20" t="s">
        <v>2205</v>
      </c>
      <c r="N183" s="20" t="s">
        <v>2206</v>
      </c>
      <c r="O183" s="20" t="s">
        <v>2207</v>
      </c>
      <c r="P183" s="20" t="s">
        <v>2208</v>
      </c>
      <c r="Q183" s="20" t="s">
        <v>2209</v>
      </c>
      <c r="R183" s="20" t="s">
        <v>2210</v>
      </c>
      <c r="S183" s="20" t="s">
        <v>2220</v>
      </c>
      <c r="T183" s="20" t="s">
        <v>2212</v>
      </c>
    </row>
    <row r="184" spans="1:20" x14ac:dyDescent="0.2">
      <c r="A184" s="20" t="s">
        <v>31</v>
      </c>
      <c r="F184" s="20" t="s">
        <v>319</v>
      </c>
      <c r="G184" s="20" t="s">
        <v>320</v>
      </c>
      <c r="K184" s="20" t="s">
        <v>6814</v>
      </c>
      <c r="L184" s="20" t="s">
        <v>2213</v>
      </c>
      <c r="M184" s="20" t="s">
        <v>2214</v>
      </c>
      <c r="N184" s="20" t="s">
        <v>2215</v>
      </c>
      <c r="O184" s="20" t="s">
        <v>2216</v>
      </c>
      <c r="P184" s="20" t="s">
        <v>2217</v>
      </c>
      <c r="Q184" s="20" t="s">
        <v>2218</v>
      </c>
      <c r="R184" s="20" t="s">
        <v>2219</v>
      </c>
      <c r="S184" s="20" t="s">
        <v>2229</v>
      </c>
      <c r="T184" s="20" t="s">
        <v>2221</v>
      </c>
    </row>
    <row r="185" spans="1:20" x14ac:dyDescent="0.2">
      <c r="A185" s="20" t="s">
        <v>31</v>
      </c>
      <c r="F185" s="20" t="s">
        <v>321</v>
      </c>
      <c r="G185" s="20" t="s">
        <v>322</v>
      </c>
      <c r="K185" s="20" t="s">
        <v>6815</v>
      </c>
      <c r="L185" s="20" t="s">
        <v>2222</v>
      </c>
      <c r="M185" s="20" t="s">
        <v>2223</v>
      </c>
      <c r="N185" s="20" t="s">
        <v>2224</v>
      </c>
      <c r="O185" s="20" t="s">
        <v>2225</v>
      </c>
      <c r="P185" s="20" t="s">
        <v>2226</v>
      </c>
      <c r="Q185" s="20" t="s">
        <v>2227</v>
      </c>
      <c r="R185" s="20" t="s">
        <v>2228</v>
      </c>
      <c r="S185" s="20" t="s">
        <v>2238</v>
      </c>
      <c r="T185" s="20" t="s">
        <v>2230</v>
      </c>
    </row>
    <row r="186" spans="1:20" x14ac:dyDescent="0.2">
      <c r="A186" s="20" t="s">
        <v>31</v>
      </c>
      <c r="F186" s="20" t="s">
        <v>323</v>
      </c>
      <c r="G186" s="20" t="s">
        <v>324</v>
      </c>
      <c r="K186" s="20" t="s">
        <v>6816</v>
      </c>
      <c r="L186" s="20" t="s">
        <v>2231</v>
      </c>
      <c r="M186" s="20" t="s">
        <v>2232</v>
      </c>
      <c r="N186" s="20" t="s">
        <v>2233</v>
      </c>
      <c r="O186" s="20" t="s">
        <v>2234</v>
      </c>
      <c r="P186" s="20" t="s">
        <v>2235</v>
      </c>
      <c r="Q186" s="20" t="s">
        <v>2236</v>
      </c>
      <c r="R186" s="20" t="s">
        <v>2237</v>
      </c>
      <c r="S186" s="20" t="s">
        <v>2247</v>
      </c>
      <c r="T186" s="20" t="s">
        <v>2239</v>
      </c>
    </row>
    <row r="187" spans="1:20" x14ac:dyDescent="0.2">
      <c r="A187" s="20" t="s">
        <v>31</v>
      </c>
      <c r="F187" s="20" t="s">
        <v>325</v>
      </c>
      <c r="G187" s="20" t="s">
        <v>326</v>
      </c>
      <c r="K187" s="20" t="s">
        <v>6817</v>
      </c>
      <c r="L187" s="20" t="s">
        <v>2240</v>
      </c>
      <c r="M187" s="20" t="s">
        <v>2241</v>
      </c>
      <c r="N187" s="20" t="s">
        <v>2242</v>
      </c>
      <c r="O187" s="20" t="s">
        <v>2243</v>
      </c>
      <c r="P187" s="20" t="s">
        <v>2244</v>
      </c>
      <c r="Q187" s="20" t="s">
        <v>2245</v>
      </c>
      <c r="R187" s="20" t="s">
        <v>2246</v>
      </c>
      <c r="S187" s="20" t="s">
        <v>2256</v>
      </c>
      <c r="T187" s="20" t="s">
        <v>2248</v>
      </c>
    </row>
    <row r="188" spans="1:20" x14ac:dyDescent="0.2">
      <c r="A188" s="20" t="s">
        <v>31</v>
      </c>
      <c r="F188" s="20" t="s">
        <v>327</v>
      </c>
      <c r="G188" s="20" t="s">
        <v>328</v>
      </c>
      <c r="K188" s="20" t="s">
        <v>6818</v>
      </c>
      <c r="L188" s="20" t="s">
        <v>2249</v>
      </c>
      <c r="M188" s="20" t="s">
        <v>2250</v>
      </c>
      <c r="N188" s="20" t="s">
        <v>2251</v>
      </c>
      <c r="O188" s="20" t="s">
        <v>2252</v>
      </c>
      <c r="P188" s="20" t="s">
        <v>2253</v>
      </c>
      <c r="Q188" s="20" t="s">
        <v>2254</v>
      </c>
      <c r="R188" s="20" t="s">
        <v>2255</v>
      </c>
      <c r="S188" s="20" t="s">
        <v>2265</v>
      </c>
      <c r="T188" s="20" t="s">
        <v>2257</v>
      </c>
    </row>
    <row r="189" spans="1:20" x14ac:dyDescent="0.2">
      <c r="A189" s="20" t="s">
        <v>31</v>
      </c>
      <c r="F189" s="20" t="s">
        <v>329</v>
      </c>
      <c r="G189" s="20" t="s">
        <v>330</v>
      </c>
      <c r="K189" s="20" t="s">
        <v>6819</v>
      </c>
      <c r="L189" s="20" t="s">
        <v>2258</v>
      </c>
      <c r="M189" s="20" t="s">
        <v>2259</v>
      </c>
      <c r="N189" s="20" t="s">
        <v>2260</v>
      </c>
      <c r="O189" s="20" t="s">
        <v>2261</v>
      </c>
      <c r="P189" s="20" t="s">
        <v>2262</v>
      </c>
      <c r="Q189" s="20" t="s">
        <v>2263</v>
      </c>
      <c r="R189" s="20" t="s">
        <v>2264</v>
      </c>
      <c r="S189" s="20" t="s">
        <v>2274</v>
      </c>
      <c r="T189" s="20" t="s">
        <v>2266</v>
      </c>
    </row>
    <row r="190" spans="1:20" x14ac:dyDescent="0.2">
      <c r="A190" s="20" t="s">
        <v>31</v>
      </c>
      <c r="F190" s="20" t="s">
        <v>331</v>
      </c>
      <c r="G190" s="20" t="s">
        <v>332</v>
      </c>
      <c r="K190" s="20" t="s">
        <v>6820</v>
      </c>
      <c r="L190" s="20" t="s">
        <v>2267</v>
      </c>
      <c r="M190" s="20" t="s">
        <v>2268</v>
      </c>
      <c r="N190" s="20" t="s">
        <v>2269</v>
      </c>
      <c r="O190" s="20" t="s">
        <v>2270</v>
      </c>
      <c r="P190" s="20" t="s">
        <v>2271</v>
      </c>
      <c r="Q190" s="20" t="s">
        <v>2272</v>
      </c>
      <c r="R190" s="20" t="s">
        <v>2273</v>
      </c>
      <c r="S190" s="20" t="s">
        <v>2283</v>
      </c>
      <c r="T190" s="20" t="s">
        <v>2275</v>
      </c>
    </row>
    <row r="191" spans="1:20" x14ac:dyDescent="0.2">
      <c r="A191" s="20" t="s">
        <v>31</v>
      </c>
      <c r="F191" s="20" t="s">
        <v>333</v>
      </c>
      <c r="G191" s="20" t="s">
        <v>334</v>
      </c>
      <c r="K191" s="20" t="s">
        <v>6821</v>
      </c>
      <c r="L191" s="20" t="s">
        <v>2276</v>
      </c>
      <c r="M191" s="20" t="s">
        <v>2277</v>
      </c>
      <c r="N191" s="20" t="s">
        <v>2278</v>
      </c>
      <c r="O191" s="20" t="s">
        <v>2279</v>
      </c>
      <c r="P191" s="20" t="s">
        <v>2280</v>
      </c>
      <c r="Q191" s="20" t="s">
        <v>2281</v>
      </c>
      <c r="R191" s="20" t="s">
        <v>2282</v>
      </c>
      <c r="S191" s="20" t="s">
        <v>2292</v>
      </c>
      <c r="T191" s="20" t="s">
        <v>2284</v>
      </c>
    </row>
    <row r="192" spans="1:20" x14ac:dyDescent="0.2">
      <c r="A192" s="20" t="s">
        <v>31</v>
      </c>
      <c r="F192" s="20" t="s">
        <v>335</v>
      </c>
      <c r="G192" s="20" t="s">
        <v>336</v>
      </c>
      <c r="K192" s="20" t="s">
        <v>6822</v>
      </c>
      <c r="L192" s="20" t="s">
        <v>2285</v>
      </c>
      <c r="M192" s="20" t="s">
        <v>2286</v>
      </c>
      <c r="N192" s="20" t="s">
        <v>2287</v>
      </c>
      <c r="O192" s="20" t="s">
        <v>2288</v>
      </c>
      <c r="P192" s="20" t="s">
        <v>2289</v>
      </c>
      <c r="Q192" s="20" t="s">
        <v>2290</v>
      </c>
      <c r="R192" s="20" t="s">
        <v>2291</v>
      </c>
      <c r="S192" s="20" t="s">
        <v>2301</v>
      </c>
      <c r="T192" s="20" t="s">
        <v>2293</v>
      </c>
    </row>
    <row r="193" spans="1:20" x14ac:dyDescent="0.2">
      <c r="A193" s="20" t="s">
        <v>31</v>
      </c>
      <c r="F193" s="20" t="s">
        <v>337</v>
      </c>
      <c r="G193" s="20" t="s">
        <v>338</v>
      </c>
      <c r="K193" s="20" t="s">
        <v>6823</v>
      </c>
      <c r="L193" s="20" t="s">
        <v>2294</v>
      </c>
      <c r="M193" s="20" t="s">
        <v>2295</v>
      </c>
      <c r="N193" s="20" t="s">
        <v>2296</v>
      </c>
      <c r="O193" s="20" t="s">
        <v>2297</v>
      </c>
      <c r="P193" s="20" t="s">
        <v>2298</v>
      </c>
      <c r="Q193" s="20" t="s">
        <v>2299</v>
      </c>
      <c r="R193" s="20" t="s">
        <v>2300</v>
      </c>
      <c r="S193" s="20" t="s">
        <v>2310</v>
      </c>
      <c r="T193" s="20" t="s">
        <v>2302</v>
      </c>
    </row>
    <row r="194" spans="1:20" x14ac:dyDescent="0.2">
      <c r="A194" s="20" t="s">
        <v>31</v>
      </c>
      <c r="F194" s="20" t="s">
        <v>339</v>
      </c>
      <c r="G194" s="20" t="s">
        <v>340</v>
      </c>
      <c r="K194" s="20" t="s">
        <v>6824</v>
      </c>
      <c r="L194" s="20" t="s">
        <v>2303</v>
      </c>
      <c r="M194" s="20" t="s">
        <v>2304</v>
      </c>
      <c r="N194" s="20" t="s">
        <v>2305</v>
      </c>
      <c r="O194" s="20" t="s">
        <v>2306</v>
      </c>
      <c r="P194" s="20" t="s">
        <v>2307</v>
      </c>
      <c r="Q194" s="20" t="s">
        <v>2308</v>
      </c>
      <c r="R194" s="20" t="s">
        <v>2309</v>
      </c>
      <c r="S194" s="20" t="s">
        <v>2319</v>
      </c>
      <c r="T194" s="20" t="s">
        <v>2311</v>
      </c>
    </row>
    <row r="195" spans="1:20" x14ac:dyDescent="0.2">
      <c r="A195" s="20" t="s">
        <v>31</v>
      </c>
      <c r="F195" s="20" t="s">
        <v>341</v>
      </c>
      <c r="G195" s="20" t="s">
        <v>342</v>
      </c>
      <c r="K195" s="20" t="s">
        <v>6825</v>
      </c>
      <c r="L195" s="20" t="s">
        <v>2312</v>
      </c>
      <c r="M195" s="20" t="s">
        <v>2313</v>
      </c>
      <c r="N195" s="20" t="s">
        <v>2314</v>
      </c>
      <c r="O195" s="20" t="s">
        <v>2315</v>
      </c>
      <c r="P195" s="20" t="s">
        <v>2316</v>
      </c>
      <c r="Q195" s="20" t="s">
        <v>2317</v>
      </c>
      <c r="R195" s="20" t="s">
        <v>2318</v>
      </c>
      <c r="S195" s="20" t="s">
        <v>2328</v>
      </c>
      <c r="T195" s="20" t="s">
        <v>2320</v>
      </c>
    </row>
    <row r="196" spans="1:20" x14ac:dyDescent="0.2">
      <c r="A196" s="20" t="s">
        <v>31</v>
      </c>
      <c r="F196" s="20" t="s">
        <v>343</v>
      </c>
      <c r="G196" s="20" t="s">
        <v>344</v>
      </c>
      <c r="K196" s="20" t="s">
        <v>6826</v>
      </c>
      <c r="L196" s="20" t="s">
        <v>2321</v>
      </c>
      <c r="M196" s="20" t="s">
        <v>2322</v>
      </c>
      <c r="N196" s="20" t="s">
        <v>2323</v>
      </c>
      <c r="O196" s="20" t="s">
        <v>2324</v>
      </c>
      <c r="P196" s="20" t="s">
        <v>2325</v>
      </c>
      <c r="Q196" s="20" t="s">
        <v>2326</v>
      </c>
      <c r="R196" s="20" t="s">
        <v>2327</v>
      </c>
      <c r="S196" s="20" t="s">
        <v>2337</v>
      </c>
      <c r="T196" s="20" t="s">
        <v>2329</v>
      </c>
    </row>
    <row r="197" spans="1:20" x14ac:dyDescent="0.2">
      <c r="A197" s="20" t="s">
        <v>31</v>
      </c>
      <c r="F197" s="20" t="s">
        <v>345</v>
      </c>
      <c r="G197" s="20" t="s">
        <v>346</v>
      </c>
      <c r="K197" s="20" t="s">
        <v>6827</v>
      </c>
      <c r="L197" s="20" t="s">
        <v>2330</v>
      </c>
      <c r="M197" s="20" t="s">
        <v>2331</v>
      </c>
      <c r="N197" s="20" t="s">
        <v>2332</v>
      </c>
      <c r="O197" s="20" t="s">
        <v>2333</v>
      </c>
      <c r="P197" s="20" t="s">
        <v>2334</v>
      </c>
      <c r="Q197" s="20" t="s">
        <v>2335</v>
      </c>
      <c r="R197" s="20" t="s">
        <v>2336</v>
      </c>
      <c r="S197" s="20" t="s">
        <v>2346</v>
      </c>
      <c r="T197" s="20" t="s">
        <v>2338</v>
      </c>
    </row>
    <row r="198" spans="1:20" x14ac:dyDescent="0.2">
      <c r="A198" s="20" t="s">
        <v>31</v>
      </c>
      <c r="F198" s="20" t="s">
        <v>347</v>
      </c>
      <c r="G198" s="20" t="s">
        <v>348</v>
      </c>
      <c r="K198" s="20" t="s">
        <v>6828</v>
      </c>
      <c r="L198" s="20" t="s">
        <v>2339</v>
      </c>
      <c r="M198" s="20" t="s">
        <v>2340</v>
      </c>
      <c r="N198" s="20" t="s">
        <v>2341</v>
      </c>
      <c r="O198" s="20" t="s">
        <v>2342</v>
      </c>
      <c r="P198" s="20" t="s">
        <v>2343</v>
      </c>
      <c r="Q198" s="20" t="s">
        <v>2344</v>
      </c>
      <c r="R198" s="20" t="s">
        <v>2345</v>
      </c>
      <c r="S198" s="20" t="s">
        <v>2355</v>
      </c>
      <c r="T198" s="20" t="s">
        <v>2347</v>
      </c>
    </row>
    <row r="199" spans="1:20" x14ac:dyDescent="0.2">
      <c r="A199" s="20" t="s">
        <v>31</v>
      </c>
      <c r="F199" s="20" t="s">
        <v>349</v>
      </c>
      <c r="G199" s="20" t="s">
        <v>350</v>
      </c>
      <c r="K199" s="20" t="s">
        <v>6829</v>
      </c>
      <c r="L199" s="20" t="s">
        <v>2348</v>
      </c>
      <c r="M199" s="20" t="s">
        <v>2349</v>
      </c>
      <c r="N199" s="20" t="s">
        <v>2350</v>
      </c>
      <c r="O199" s="20" t="s">
        <v>2351</v>
      </c>
      <c r="P199" s="20" t="s">
        <v>2352</v>
      </c>
      <c r="Q199" s="20" t="s">
        <v>2353</v>
      </c>
      <c r="R199" s="20" t="s">
        <v>2354</v>
      </c>
      <c r="S199" s="20" t="s">
        <v>2364</v>
      </c>
      <c r="T199" s="20" t="s">
        <v>2356</v>
      </c>
    </row>
    <row r="200" spans="1:20" x14ac:dyDescent="0.2">
      <c r="A200" s="20" t="s">
        <v>31</v>
      </c>
      <c r="F200" s="20" t="s">
        <v>351</v>
      </c>
      <c r="G200" s="20" t="s">
        <v>352</v>
      </c>
      <c r="K200" s="20" t="s">
        <v>6830</v>
      </c>
      <c r="L200" s="20" t="s">
        <v>2357</v>
      </c>
      <c r="M200" s="20" t="s">
        <v>2358</v>
      </c>
      <c r="N200" s="20" t="s">
        <v>2359</v>
      </c>
      <c r="O200" s="20" t="s">
        <v>2360</v>
      </c>
      <c r="P200" s="20" t="s">
        <v>2361</v>
      </c>
      <c r="Q200" s="20" t="s">
        <v>2362</v>
      </c>
      <c r="R200" s="20" t="s">
        <v>2363</v>
      </c>
      <c r="S200" s="20" t="s">
        <v>2373</v>
      </c>
      <c r="T200" s="20" t="s">
        <v>2365</v>
      </c>
    </row>
    <row r="201" spans="1:20" x14ac:dyDescent="0.2">
      <c r="A201" s="20" t="s">
        <v>31</v>
      </c>
      <c r="F201" s="20" t="s">
        <v>353</v>
      </c>
      <c r="G201" s="20" t="s">
        <v>354</v>
      </c>
      <c r="K201" s="20" t="s">
        <v>6831</v>
      </c>
      <c r="L201" s="20" t="s">
        <v>2366</v>
      </c>
      <c r="M201" s="20" t="s">
        <v>2367</v>
      </c>
      <c r="N201" s="20" t="s">
        <v>2368</v>
      </c>
      <c r="O201" s="20" t="s">
        <v>2369</v>
      </c>
      <c r="P201" s="20" t="s">
        <v>2370</v>
      </c>
      <c r="Q201" s="20" t="s">
        <v>2371</v>
      </c>
      <c r="R201" s="20" t="s">
        <v>2372</v>
      </c>
      <c r="S201" s="20" t="s">
        <v>6022</v>
      </c>
      <c r="T201" s="20" t="s">
        <v>2374</v>
      </c>
    </row>
    <row r="202" spans="1:20" x14ac:dyDescent="0.2">
      <c r="A202" s="20" t="s">
        <v>31</v>
      </c>
      <c r="F202" s="20" t="s">
        <v>6013</v>
      </c>
      <c r="G202" s="20" t="s">
        <v>6014</v>
      </c>
      <c r="K202" s="20" t="s">
        <v>6832</v>
      </c>
      <c r="L202" s="20" t="s">
        <v>6015</v>
      </c>
      <c r="M202" s="20" t="s">
        <v>6016</v>
      </c>
      <c r="N202" s="20" t="s">
        <v>6017</v>
      </c>
      <c r="O202" s="20" t="s">
        <v>6018</v>
      </c>
      <c r="P202" s="20" t="s">
        <v>6019</v>
      </c>
      <c r="Q202" s="20" t="s">
        <v>6020</v>
      </c>
      <c r="R202" s="20" t="s">
        <v>6021</v>
      </c>
      <c r="S202" s="20" t="s">
        <v>6033</v>
      </c>
      <c r="T202" s="20" t="s">
        <v>6023</v>
      </c>
    </row>
    <row r="203" spans="1:20" x14ac:dyDescent="0.2">
      <c r="A203" s="20" t="s">
        <v>31</v>
      </c>
      <c r="F203" s="20" t="s">
        <v>6024</v>
      </c>
      <c r="G203" s="20" t="s">
        <v>6025</v>
      </c>
      <c r="K203" s="20" t="s">
        <v>6833</v>
      </c>
      <c r="L203" s="20" t="s">
        <v>6026</v>
      </c>
      <c r="M203" s="20" t="s">
        <v>6027</v>
      </c>
      <c r="N203" s="20" t="s">
        <v>6028</v>
      </c>
      <c r="O203" s="20" t="s">
        <v>6029</v>
      </c>
      <c r="P203" s="20" t="s">
        <v>6030</v>
      </c>
      <c r="Q203" s="20" t="s">
        <v>6031</v>
      </c>
      <c r="R203" s="20" t="s">
        <v>6032</v>
      </c>
      <c r="S203" s="20" t="s">
        <v>6044</v>
      </c>
      <c r="T203" s="20" t="s">
        <v>6034</v>
      </c>
    </row>
    <row r="204" spans="1:20" x14ac:dyDescent="0.2">
      <c r="A204" s="20" t="s">
        <v>31</v>
      </c>
      <c r="F204" s="20" t="s">
        <v>6035</v>
      </c>
      <c r="G204" s="20" t="s">
        <v>6036</v>
      </c>
      <c r="K204" s="20" t="s">
        <v>6834</v>
      </c>
      <c r="L204" s="20" t="s">
        <v>6037</v>
      </c>
      <c r="M204" s="20" t="s">
        <v>6038</v>
      </c>
      <c r="N204" s="20" t="s">
        <v>6039</v>
      </c>
      <c r="O204" s="20" t="s">
        <v>6040</v>
      </c>
      <c r="P204" s="20" t="s">
        <v>6041</v>
      </c>
      <c r="Q204" s="20" t="s">
        <v>6042</v>
      </c>
      <c r="R204" s="20" t="s">
        <v>6043</v>
      </c>
      <c r="S204" s="20" t="s">
        <v>6055</v>
      </c>
      <c r="T204" s="20" t="s">
        <v>6045</v>
      </c>
    </row>
    <row r="205" spans="1:20" x14ac:dyDescent="0.2">
      <c r="A205" s="20" t="s">
        <v>31</v>
      </c>
      <c r="F205" s="20" t="s">
        <v>6046</v>
      </c>
      <c r="G205" s="20" t="s">
        <v>6047</v>
      </c>
      <c r="K205" s="20" t="s">
        <v>6835</v>
      </c>
      <c r="L205" s="20" t="s">
        <v>6048</v>
      </c>
      <c r="M205" s="20" t="s">
        <v>6049</v>
      </c>
      <c r="N205" s="20" t="s">
        <v>6050</v>
      </c>
      <c r="O205" s="20" t="s">
        <v>6051</v>
      </c>
      <c r="P205" s="20" t="s">
        <v>6052</v>
      </c>
      <c r="Q205" s="20" t="s">
        <v>6053</v>
      </c>
      <c r="R205" s="20" t="s">
        <v>6054</v>
      </c>
      <c r="S205" s="20" t="s">
        <v>6057</v>
      </c>
      <c r="T205" s="20" t="s">
        <v>6056</v>
      </c>
    </row>
    <row r="206" spans="1:20" x14ac:dyDescent="0.2">
      <c r="A206" s="20" t="s">
        <v>31</v>
      </c>
      <c r="F206" s="20" t="s">
        <v>355</v>
      </c>
      <c r="G206" s="20" t="s">
        <v>356</v>
      </c>
      <c r="K206" s="20" t="s">
        <v>6836</v>
      </c>
      <c r="L206" s="20" t="s">
        <v>2375</v>
      </c>
      <c r="M206" s="20" t="s">
        <v>2376</v>
      </c>
      <c r="N206" s="20" t="s">
        <v>2377</v>
      </c>
      <c r="O206" s="20" t="s">
        <v>2378</v>
      </c>
      <c r="P206" s="20" t="s">
        <v>2379</v>
      </c>
      <c r="Q206" s="20" t="s">
        <v>2380</v>
      </c>
      <c r="R206" s="20" t="s">
        <v>2381</v>
      </c>
      <c r="S206" s="20" t="s">
        <v>2390</v>
      </c>
      <c r="T206" s="20" t="s">
        <v>2382</v>
      </c>
    </row>
    <row r="207" spans="1:20" x14ac:dyDescent="0.2">
      <c r="A207" s="20" t="s">
        <v>31</v>
      </c>
      <c r="F207" s="20" t="s">
        <v>357</v>
      </c>
      <c r="G207" s="20" t="s">
        <v>358</v>
      </c>
      <c r="K207" s="20" t="s">
        <v>6837</v>
      </c>
      <c r="L207" s="20" t="s">
        <v>2383</v>
      </c>
      <c r="M207" s="20" t="s">
        <v>2384</v>
      </c>
      <c r="N207" s="20" t="s">
        <v>2385</v>
      </c>
      <c r="O207" s="20" t="s">
        <v>2386</v>
      </c>
      <c r="P207" s="20" t="s">
        <v>2387</v>
      </c>
      <c r="Q207" s="20" t="s">
        <v>2388</v>
      </c>
      <c r="R207" s="20" t="s">
        <v>2389</v>
      </c>
      <c r="S207" s="20" t="s">
        <v>6341</v>
      </c>
      <c r="T207" s="20" t="s">
        <v>2391</v>
      </c>
    </row>
    <row r="208" spans="1:20" x14ac:dyDescent="0.2">
      <c r="A208" s="20" t="s">
        <v>31</v>
      </c>
      <c r="F208" s="20" t="s">
        <v>6332</v>
      </c>
      <c r="G208" s="20" t="s">
        <v>6333</v>
      </c>
      <c r="K208" s="20" t="s">
        <v>6838</v>
      </c>
      <c r="L208" s="20" t="s">
        <v>6334</v>
      </c>
      <c r="M208" s="20" t="s">
        <v>6335</v>
      </c>
      <c r="N208" s="20" t="s">
        <v>6336</v>
      </c>
      <c r="O208" s="20" t="s">
        <v>6337</v>
      </c>
      <c r="P208" s="20" t="s">
        <v>6338</v>
      </c>
      <c r="Q208" s="20" t="s">
        <v>6339</v>
      </c>
      <c r="R208" s="20" t="s">
        <v>6340</v>
      </c>
      <c r="S208" s="20" t="s">
        <v>6637</v>
      </c>
      <c r="T208" s="20" t="s">
        <v>6342</v>
      </c>
    </row>
    <row r="209" spans="1:20" x14ac:dyDescent="0.2">
      <c r="A209" s="20" t="s">
        <v>31</v>
      </c>
      <c r="F209" s="20" t="s">
        <v>305</v>
      </c>
      <c r="G209" s="20" t="s">
        <v>306</v>
      </c>
    </row>
    <row r="210" spans="1:20" x14ac:dyDescent="0.2">
      <c r="A210" s="20" t="s">
        <v>31</v>
      </c>
      <c r="I210" s="20" t="s">
        <v>6343</v>
      </c>
      <c r="T210" s="20" t="s">
        <v>6344</v>
      </c>
    </row>
    <row r="211" spans="1:20" x14ac:dyDescent="0.2">
      <c r="A211" s="20" t="s">
        <v>31</v>
      </c>
    </row>
    <row r="212" spans="1:20" x14ac:dyDescent="0.2">
      <c r="A212" s="20" t="s">
        <v>31</v>
      </c>
      <c r="D212" s="20" t="s">
        <v>5687</v>
      </c>
      <c r="E212" s="20" t="s">
        <v>5688</v>
      </c>
      <c r="F212" s="20" t="s">
        <v>55</v>
      </c>
      <c r="G212" s="20" t="s">
        <v>6345</v>
      </c>
      <c r="I212" s="20" t="s">
        <v>360</v>
      </c>
      <c r="J212" s="20" t="s">
        <v>6346</v>
      </c>
    </row>
    <row r="213" spans="1:20" x14ac:dyDescent="0.2">
      <c r="A213" s="20" t="s">
        <v>31</v>
      </c>
      <c r="F213" s="20" t="s">
        <v>359</v>
      </c>
      <c r="G213" s="20" t="s">
        <v>360</v>
      </c>
      <c r="K213" s="20" t="s">
        <v>6347</v>
      </c>
      <c r="L213" s="20" t="s">
        <v>2392</v>
      </c>
      <c r="M213" s="20" t="s">
        <v>2393</v>
      </c>
      <c r="N213" s="20" t="s">
        <v>2394</v>
      </c>
      <c r="O213" s="20" t="s">
        <v>2395</v>
      </c>
      <c r="P213" s="20" t="s">
        <v>2396</v>
      </c>
      <c r="Q213" s="20" t="s">
        <v>2397</v>
      </c>
      <c r="R213" s="20" t="s">
        <v>2398</v>
      </c>
      <c r="S213" s="20" t="s">
        <v>2407</v>
      </c>
      <c r="T213" s="20" t="s">
        <v>2399</v>
      </c>
    </row>
    <row r="214" spans="1:20" x14ac:dyDescent="0.2">
      <c r="A214" s="20" t="s">
        <v>31</v>
      </c>
      <c r="F214" s="20" t="s">
        <v>361</v>
      </c>
      <c r="G214" s="20" t="s">
        <v>362</v>
      </c>
      <c r="K214" s="20" t="s">
        <v>6348</v>
      </c>
      <c r="L214" s="20" t="s">
        <v>2400</v>
      </c>
      <c r="M214" s="20" t="s">
        <v>2401</v>
      </c>
      <c r="N214" s="20" t="s">
        <v>2402</v>
      </c>
      <c r="O214" s="20" t="s">
        <v>2403</v>
      </c>
      <c r="P214" s="20" t="s">
        <v>2404</v>
      </c>
      <c r="Q214" s="20" t="s">
        <v>2405</v>
      </c>
      <c r="R214" s="20" t="s">
        <v>2406</v>
      </c>
      <c r="S214" s="20" t="s">
        <v>2416</v>
      </c>
      <c r="T214" s="20" t="s">
        <v>2408</v>
      </c>
    </row>
    <row r="215" spans="1:20" x14ac:dyDescent="0.2">
      <c r="A215" s="20" t="s">
        <v>31</v>
      </c>
      <c r="F215" s="20" t="s">
        <v>363</v>
      </c>
      <c r="G215" s="20" t="s">
        <v>364</v>
      </c>
      <c r="K215" s="20" t="s">
        <v>6839</v>
      </c>
      <c r="L215" s="20" t="s">
        <v>2409</v>
      </c>
      <c r="M215" s="20" t="s">
        <v>2410</v>
      </c>
      <c r="N215" s="20" t="s">
        <v>2411</v>
      </c>
      <c r="O215" s="20" t="s">
        <v>2412</v>
      </c>
      <c r="P215" s="20" t="s">
        <v>2413</v>
      </c>
      <c r="Q215" s="20" t="s">
        <v>2414</v>
      </c>
      <c r="R215" s="20" t="s">
        <v>2415</v>
      </c>
      <c r="S215" s="20" t="s">
        <v>2425</v>
      </c>
      <c r="T215" s="20" t="s">
        <v>2417</v>
      </c>
    </row>
    <row r="216" spans="1:20" x14ac:dyDescent="0.2">
      <c r="A216" s="20" t="s">
        <v>31</v>
      </c>
      <c r="F216" s="20" t="s">
        <v>365</v>
      </c>
      <c r="G216" s="20" t="s">
        <v>366</v>
      </c>
      <c r="K216" s="20" t="s">
        <v>6840</v>
      </c>
      <c r="L216" s="20" t="s">
        <v>2418</v>
      </c>
      <c r="M216" s="20" t="s">
        <v>2419</v>
      </c>
      <c r="N216" s="20" t="s">
        <v>2420</v>
      </c>
      <c r="O216" s="20" t="s">
        <v>2421</v>
      </c>
      <c r="P216" s="20" t="s">
        <v>2422</v>
      </c>
      <c r="Q216" s="20" t="s">
        <v>2423</v>
      </c>
      <c r="R216" s="20" t="s">
        <v>2424</v>
      </c>
      <c r="S216" s="20" t="s">
        <v>2434</v>
      </c>
      <c r="T216" s="20" t="s">
        <v>2426</v>
      </c>
    </row>
    <row r="217" spans="1:20" x14ac:dyDescent="0.2">
      <c r="A217" s="20" t="s">
        <v>31</v>
      </c>
      <c r="F217" s="20" t="s">
        <v>367</v>
      </c>
      <c r="G217" s="20" t="s">
        <v>368</v>
      </c>
      <c r="K217" s="20" t="s">
        <v>6841</v>
      </c>
      <c r="L217" s="20" t="s">
        <v>2427</v>
      </c>
      <c r="M217" s="20" t="s">
        <v>2428</v>
      </c>
      <c r="N217" s="20" t="s">
        <v>2429</v>
      </c>
      <c r="O217" s="20" t="s">
        <v>2430</v>
      </c>
      <c r="P217" s="20" t="s">
        <v>2431</v>
      </c>
      <c r="Q217" s="20" t="s">
        <v>2432</v>
      </c>
      <c r="R217" s="20" t="s">
        <v>2433</v>
      </c>
      <c r="S217" s="20" t="s">
        <v>2443</v>
      </c>
      <c r="T217" s="20" t="s">
        <v>2435</v>
      </c>
    </row>
    <row r="218" spans="1:20" x14ac:dyDescent="0.2">
      <c r="A218" s="20" t="s">
        <v>31</v>
      </c>
      <c r="F218" s="20" t="s">
        <v>369</v>
      </c>
      <c r="G218" s="20" t="s">
        <v>370</v>
      </c>
      <c r="K218" s="20" t="s">
        <v>6842</v>
      </c>
      <c r="L218" s="20" t="s">
        <v>2436</v>
      </c>
      <c r="M218" s="20" t="s">
        <v>2437</v>
      </c>
      <c r="N218" s="20" t="s">
        <v>2438</v>
      </c>
      <c r="O218" s="20" t="s">
        <v>2439</v>
      </c>
      <c r="P218" s="20" t="s">
        <v>2440</v>
      </c>
      <c r="Q218" s="20" t="s">
        <v>2441</v>
      </c>
      <c r="R218" s="20" t="s">
        <v>2442</v>
      </c>
      <c r="S218" s="20" t="s">
        <v>2452</v>
      </c>
      <c r="T218" s="20" t="s">
        <v>2444</v>
      </c>
    </row>
    <row r="219" spans="1:20" x14ac:dyDescent="0.2">
      <c r="A219" s="20" t="s">
        <v>31</v>
      </c>
      <c r="F219" s="20" t="s">
        <v>371</v>
      </c>
      <c r="G219" s="20" t="s">
        <v>372</v>
      </c>
      <c r="K219" s="20" t="s">
        <v>6843</v>
      </c>
      <c r="L219" s="20" t="s">
        <v>2445</v>
      </c>
      <c r="M219" s="20" t="s">
        <v>2446</v>
      </c>
      <c r="N219" s="20" t="s">
        <v>2447</v>
      </c>
      <c r="O219" s="20" t="s">
        <v>2448</v>
      </c>
      <c r="P219" s="20" t="s">
        <v>2449</v>
      </c>
      <c r="Q219" s="20" t="s">
        <v>2450</v>
      </c>
      <c r="R219" s="20" t="s">
        <v>2451</v>
      </c>
      <c r="S219" s="20" t="s">
        <v>2461</v>
      </c>
      <c r="T219" s="20" t="s">
        <v>2453</v>
      </c>
    </row>
    <row r="220" spans="1:20" x14ac:dyDescent="0.2">
      <c r="A220" s="20" t="s">
        <v>31</v>
      </c>
      <c r="F220" s="20" t="s">
        <v>373</v>
      </c>
      <c r="G220" s="20" t="s">
        <v>374</v>
      </c>
      <c r="K220" s="20" t="s">
        <v>6844</v>
      </c>
      <c r="L220" s="20" t="s">
        <v>2454</v>
      </c>
      <c r="M220" s="20" t="s">
        <v>2455</v>
      </c>
      <c r="N220" s="20" t="s">
        <v>2456</v>
      </c>
      <c r="O220" s="20" t="s">
        <v>2457</v>
      </c>
      <c r="P220" s="20" t="s">
        <v>2458</v>
      </c>
      <c r="Q220" s="20" t="s">
        <v>2459</v>
      </c>
      <c r="R220" s="20" t="s">
        <v>2460</v>
      </c>
      <c r="S220" s="20" t="s">
        <v>2470</v>
      </c>
      <c r="T220" s="20" t="s">
        <v>2462</v>
      </c>
    </row>
    <row r="221" spans="1:20" x14ac:dyDescent="0.2">
      <c r="A221" s="20" t="s">
        <v>31</v>
      </c>
      <c r="F221" s="20" t="s">
        <v>375</v>
      </c>
      <c r="G221" s="20" t="s">
        <v>376</v>
      </c>
      <c r="K221" s="20" t="s">
        <v>6845</v>
      </c>
      <c r="L221" s="20" t="s">
        <v>2463</v>
      </c>
      <c r="M221" s="20" t="s">
        <v>2464</v>
      </c>
      <c r="N221" s="20" t="s">
        <v>2465</v>
      </c>
      <c r="O221" s="20" t="s">
        <v>2466</v>
      </c>
      <c r="P221" s="20" t="s">
        <v>2467</v>
      </c>
      <c r="Q221" s="20" t="s">
        <v>2468</v>
      </c>
      <c r="R221" s="20" t="s">
        <v>2469</v>
      </c>
      <c r="S221" s="20" t="s">
        <v>2479</v>
      </c>
      <c r="T221" s="20" t="s">
        <v>2471</v>
      </c>
    </row>
    <row r="222" spans="1:20" x14ac:dyDescent="0.2">
      <c r="A222" s="20" t="s">
        <v>31</v>
      </c>
      <c r="F222" s="20" t="s">
        <v>377</v>
      </c>
      <c r="G222" s="20" t="s">
        <v>378</v>
      </c>
      <c r="K222" s="20" t="s">
        <v>6846</v>
      </c>
      <c r="L222" s="20" t="s">
        <v>2472</v>
      </c>
      <c r="M222" s="20" t="s">
        <v>2473</v>
      </c>
      <c r="N222" s="20" t="s">
        <v>2474</v>
      </c>
      <c r="O222" s="20" t="s">
        <v>2475</v>
      </c>
      <c r="P222" s="20" t="s">
        <v>2476</v>
      </c>
      <c r="Q222" s="20" t="s">
        <v>2477</v>
      </c>
      <c r="R222" s="20" t="s">
        <v>2478</v>
      </c>
      <c r="S222" s="20" t="s">
        <v>2488</v>
      </c>
      <c r="T222" s="20" t="s">
        <v>2480</v>
      </c>
    </row>
    <row r="223" spans="1:20" x14ac:dyDescent="0.2">
      <c r="A223" s="20" t="s">
        <v>31</v>
      </c>
      <c r="F223" s="20" t="s">
        <v>379</v>
      </c>
      <c r="G223" s="20" t="s">
        <v>380</v>
      </c>
      <c r="K223" s="20" t="s">
        <v>6847</v>
      </c>
      <c r="L223" s="20" t="s">
        <v>2481</v>
      </c>
      <c r="M223" s="20" t="s">
        <v>2482</v>
      </c>
      <c r="N223" s="20" t="s">
        <v>2483</v>
      </c>
      <c r="O223" s="20" t="s">
        <v>2484</v>
      </c>
      <c r="P223" s="20" t="s">
        <v>2485</v>
      </c>
      <c r="Q223" s="20" t="s">
        <v>2486</v>
      </c>
      <c r="R223" s="20" t="s">
        <v>2487</v>
      </c>
      <c r="S223" s="20" t="s">
        <v>2497</v>
      </c>
      <c r="T223" s="20" t="s">
        <v>2489</v>
      </c>
    </row>
    <row r="224" spans="1:20" x14ac:dyDescent="0.2">
      <c r="A224" s="20" t="s">
        <v>31</v>
      </c>
      <c r="F224" s="20" t="s">
        <v>381</v>
      </c>
      <c r="G224" s="20" t="s">
        <v>382</v>
      </c>
      <c r="K224" s="20" t="s">
        <v>6848</v>
      </c>
      <c r="L224" s="20" t="s">
        <v>2490</v>
      </c>
      <c r="M224" s="20" t="s">
        <v>2491</v>
      </c>
      <c r="N224" s="20" t="s">
        <v>2492</v>
      </c>
      <c r="O224" s="20" t="s">
        <v>2493</v>
      </c>
      <c r="P224" s="20" t="s">
        <v>2494</v>
      </c>
      <c r="Q224" s="20" t="s">
        <v>2495</v>
      </c>
      <c r="R224" s="20" t="s">
        <v>2496</v>
      </c>
      <c r="S224" s="20" t="s">
        <v>2506</v>
      </c>
      <c r="T224" s="20" t="s">
        <v>2498</v>
      </c>
    </row>
    <row r="225" spans="1:20" x14ac:dyDescent="0.2">
      <c r="A225" s="20" t="s">
        <v>31</v>
      </c>
      <c r="F225" s="20" t="s">
        <v>383</v>
      </c>
      <c r="G225" s="20" t="s">
        <v>384</v>
      </c>
      <c r="K225" s="20" t="s">
        <v>6849</v>
      </c>
      <c r="L225" s="20" t="s">
        <v>2499</v>
      </c>
      <c r="M225" s="20" t="s">
        <v>2500</v>
      </c>
      <c r="N225" s="20" t="s">
        <v>2501</v>
      </c>
      <c r="O225" s="20" t="s">
        <v>2502</v>
      </c>
      <c r="P225" s="20" t="s">
        <v>2503</v>
      </c>
      <c r="Q225" s="20" t="s">
        <v>2504</v>
      </c>
      <c r="R225" s="20" t="s">
        <v>2505</v>
      </c>
      <c r="S225" s="20" t="s">
        <v>2515</v>
      </c>
      <c r="T225" s="20" t="s">
        <v>2507</v>
      </c>
    </row>
    <row r="226" spans="1:20" x14ac:dyDescent="0.2">
      <c r="A226" s="20" t="s">
        <v>31</v>
      </c>
      <c r="F226" s="20" t="s">
        <v>385</v>
      </c>
      <c r="G226" s="20" t="s">
        <v>386</v>
      </c>
      <c r="K226" s="20" t="s">
        <v>6850</v>
      </c>
      <c r="L226" s="20" t="s">
        <v>2508</v>
      </c>
      <c r="M226" s="20" t="s">
        <v>2509</v>
      </c>
      <c r="N226" s="20" t="s">
        <v>2510</v>
      </c>
      <c r="O226" s="20" t="s">
        <v>2511</v>
      </c>
      <c r="P226" s="20" t="s">
        <v>2512</v>
      </c>
      <c r="Q226" s="20" t="s">
        <v>2513</v>
      </c>
      <c r="R226" s="20" t="s">
        <v>2514</v>
      </c>
      <c r="S226" s="20" t="s">
        <v>2524</v>
      </c>
      <c r="T226" s="20" t="s">
        <v>2516</v>
      </c>
    </row>
    <row r="227" spans="1:20" x14ac:dyDescent="0.2">
      <c r="A227" s="20" t="s">
        <v>31</v>
      </c>
      <c r="F227" s="20" t="s">
        <v>387</v>
      </c>
      <c r="G227" s="20" t="s">
        <v>388</v>
      </c>
      <c r="K227" s="20" t="s">
        <v>6851</v>
      </c>
      <c r="L227" s="20" t="s">
        <v>2517</v>
      </c>
      <c r="M227" s="20" t="s">
        <v>2518</v>
      </c>
      <c r="N227" s="20" t="s">
        <v>2519</v>
      </c>
      <c r="O227" s="20" t="s">
        <v>2520</v>
      </c>
      <c r="P227" s="20" t="s">
        <v>2521</v>
      </c>
      <c r="Q227" s="20" t="s">
        <v>2522</v>
      </c>
      <c r="R227" s="20" t="s">
        <v>2523</v>
      </c>
      <c r="S227" s="20" t="s">
        <v>2533</v>
      </c>
      <c r="T227" s="20" t="s">
        <v>2525</v>
      </c>
    </row>
    <row r="228" spans="1:20" x14ac:dyDescent="0.2">
      <c r="A228" s="20" t="s">
        <v>31</v>
      </c>
      <c r="F228" s="20" t="s">
        <v>389</v>
      </c>
      <c r="G228" s="20" t="s">
        <v>390</v>
      </c>
      <c r="K228" s="20" t="s">
        <v>6852</v>
      </c>
      <c r="L228" s="20" t="s">
        <v>2526</v>
      </c>
      <c r="M228" s="20" t="s">
        <v>2527</v>
      </c>
      <c r="N228" s="20" t="s">
        <v>2528</v>
      </c>
      <c r="O228" s="20" t="s">
        <v>2529</v>
      </c>
      <c r="P228" s="20" t="s">
        <v>2530</v>
      </c>
      <c r="Q228" s="20" t="s">
        <v>2531</v>
      </c>
      <c r="R228" s="20" t="s">
        <v>2532</v>
      </c>
      <c r="S228" s="20" t="s">
        <v>2542</v>
      </c>
      <c r="T228" s="20" t="s">
        <v>2534</v>
      </c>
    </row>
    <row r="229" spans="1:20" x14ac:dyDescent="0.2">
      <c r="A229" s="20" t="s">
        <v>31</v>
      </c>
      <c r="F229" s="20" t="s">
        <v>391</v>
      </c>
      <c r="G229" s="20" t="s">
        <v>392</v>
      </c>
      <c r="K229" s="20" t="s">
        <v>6853</v>
      </c>
      <c r="L229" s="20" t="s">
        <v>2535</v>
      </c>
      <c r="M229" s="20" t="s">
        <v>2536</v>
      </c>
      <c r="N229" s="20" t="s">
        <v>2537</v>
      </c>
      <c r="O229" s="20" t="s">
        <v>2538</v>
      </c>
      <c r="P229" s="20" t="s">
        <v>2539</v>
      </c>
      <c r="Q229" s="20" t="s">
        <v>2540</v>
      </c>
      <c r="R229" s="20" t="s">
        <v>2541</v>
      </c>
      <c r="S229" s="20" t="s">
        <v>2551</v>
      </c>
      <c r="T229" s="20" t="s">
        <v>2543</v>
      </c>
    </row>
    <row r="230" spans="1:20" x14ac:dyDescent="0.2">
      <c r="A230" s="20" t="s">
        <v>31</v>
      </c>
      <c r="F230" s="20" t="s">
        <v>393</v>
      </c>
      <c r="G230" s="20" t="s">
        <v>394</v>
      </c>
      <c r="K230" s="20" t="s">
        <v>6854</v>
      </c>
      <c r="L230" s="20" t="s">
        <v>2544</v>
      </c>
      <c r="M230" s="20" t="s">
        <v>2545</v>
      </c>
      <c r="N230" s="20" t="s">
        <v>2546</v>
      </c>
      <c r="O230" s="20" t="s">
        <v>2547</v>
      </c>
      <c r="P230" s="20" t="s">
        <v>2548</v>
      </c>
      <c r="Q230" s="20" t="s">
        <v>2549</v>
      </c>
      <c r="R230" s="20" t="s">
        <v>2550</v>
      </c>
      <c r="S230" s="20" t="s">
        <v>6358</v>
      </c>
      <c r="T230" s="20" t="s">
        <v>2552</v>
      </c>
    </row>
    <row r="231" spans="1:20" x14ac:dyDescent="0.2">
      <c r="A231" s="20" t="s">
        <v>31</v>
      </c>
      <c r="F231" s="20" t="s">
        <v>6349</v>
      </c>
      <c r="G231" s="20" t="s">
        <v>6350</v>
      </c>
      <c r="K231" s="20" t="s">
        <v>6855</v>
      </c>
      <c r="L231" s="20" t="s">
        <v>6351</v>
      </c>
      <c r="M231" s="20" t="s">
        <v>6352</v>
      </c>
      <c r="N231" s="20" t="s">
        <v>6353</v>
      </c>
      <c r="O231" s="20" t="s">
        <v>6354</v>
      </c>
      <c r="P231" s="20" t="s">
        <v>6355</v>
      </c>
      <c r="Q231" s="20" t="s">
        <v>6356</v>
      </c>
      <c r="R231" s="20" t="s">
        <v>6357</v>
      </c>
      <c r="S231" s="20" t="s">
        <v>6369</v>
      </c>
      <c r="T231" s="20" t="s">
        <v>6359</v>
      </c>
    </row>
    <row r="232" spans="1:20" x14ac:dyDescent="0.2">
      <c r="A232" s="20" t="s">
        <v>31</v>
      </c>
      <c r="F232" s="20" t="s">
        <v>6360</v>
      </c>
      <c r="G232" s="20" t="s">
        <v>6361</v>
      </c>
      <c r="K232" s="20" t="s">
        <v>6856</v>
      </c>
      <c r="L232" s="20" t="s">
        <v>6362</v>
      </c>
      <c r="M232" s="20" t="s">
        <v>6363</v>
      </c>
      <c r="N232" s="20" t="s">
        <v>6364</v>
      </c>
      <c r="O232" s="20" t="s">
        <v>6365</v>
      </c>
      <c r="P232" s="20" t="s">
        <v>6366</v>
      </c>
      <c r="Q232" s="20" t="s">
        <v>6367</v>
      </c>
      <c r="R232" s="20" t="s">
        <v>6368</v>
      </c>
      <c r="S232" s="20" t="s">
        <v>6380</v>
      </c>
      <c r="T232" s="20" t="s">
        <v>6370</v>
      </c>
    </row>
    <row r="233" spans="1:20" x14ac:dyDescent="0.2">
      <c r="A233" s="20" t="s">
        <v>31</v>
      </c>
      <c r="F233" s="20" t="s">
        <v>6371</v>
      </c>
      <c r="G233" s="20" t="s">
        <v>6372</v>
      </c>
      <c r="K233" s="20" t="s">
        <v>6857</v>
      </c>
      <c r="L233" s="20" t="s">
        <v>6373</v>
      </c>
      <c r="M233" s="20" t="s">
        <v>6374</v>
      </c>
      <c r="N233" s="20" t="s">
        <v>6375</v>
      </c>
      <c r="O233" s="20" t="s">
        <v>6376</v>
      </c>
      <c r="P233" s="20" t="s">
        <v>6377</v>
      </c>
      <c r="Q233" s="20" t="s">
        <v>6378</v>
      </c>
      <c r="R233" s="20" t="s">
        <v>6379</v>
      </c>
      <c r="S233" s="20" t="s">
        <v>6391</v>
      </c>
      <c r="T233" s="20" t="s">
        <v>6381</v>
      </c>
    </row>
    <row r="234" spans="1:20" x14ac:dyDescent="0.2">
      <c r="A234" s="20" t="s">
        <v>31</v>
      </c>
      <c r="F234" s="20" t="s">
        <v>6382</v>
      </c>
      <c r="G234" s="20" t="s">
        <v>6383</v>
      </c>
      <c r="K234" s="20" t="s">
        <v>6858</v>
      </c>
      <c r="L234" s="20" t="s">
        <v>6384</v>
      </c>
      <c r="M234" s="20" t="s">
        <v>6385</v>
      </c>
      <c r="N234" s="20" t="s">
        <v>6386</v>
      </c>
      <c r="O234" s="20" t="s">
        <v>6387</v>
      </c>
      <c r="P234" s="20" t="s">
        <v>6388</v>
      </c>
      <c r="Q234" s="20" t="s">
        <v>6389</v>
      </c>
      <c r="R234" s="20" t="s">
        <v>6390</v>
      </c>
      <c r="S234" s="20" t="s">
        <v>6393</v>
      </c>
      <c r="T234" s="20" t="s">
        <v>6392</v>
      </c>
    </row>
    <row r="235" spans="1:20" x14ac:dyDescent="0.2">
      <c r="A235" s="20" t="s">
        <v>31</v>
      </c>
      <c r="F235" s="20" t="s">
        <v>395</v>
      </c>
      <c r="G235" s="20" t="s">
        <v>396</v>
      </c>
      <c r="K235" s="20" t="s">
        <v>6859</v>
      </c>
      <c r="L235" s="20" t="s">
        <v>2553</v>
      </c>
      <c r="M235" s="20" t="s">
        <v>2554</v>
      </c>
      <c r="N235" s="20" t="s">
        <v>2555</v>
      </c>
      <c r="O235" s="20" t="s">
        <v>2556</v>
      </c>
      <c r="P235" s="20" t="s">
        <v>2557</v>
      </c>
      <c r="Q235" s="20" t="s">
        <v>2558</v>
      </c>
      <c r="R235" s="20" t="s">
        <v>2559</v>
      </c>
      <c r="S235" s="20" t="s">
        <v>2568</v>
      </c>
      <c r="T235" s="20" t="s">
        <v>2560</v>
      </c>
    </row>
    <row r="236" spans="1:20" x14ac:dyDescent="0.2">
      <c r="A236" s="20" t="s">
        <v>31</v>
      </c>
      <c r="F236" s="20" t="s">
        <v>397</v>
      </c>
      <c r="G236" s="20" t="s">
        <v>398</v>
      </c>
      <c r="K236" s="20" t="s">
        <v>6860</v>
      </c>
      <c r="L236" s="20" t="s">
        <v>2561</v>
      </c>
      <c r="M236" s="20" t="s">
        <v>2562</v>
      </c>
      <c r="N236" s="20" t="s">
        <v>2563</v>
      </c>
      <c r="O236" s="20" t="s">
        <v>2564</v>
      </c>
      <c r="P236" s="20" t="s">
        <v>2565</v>
      </c>
      <c r="Q236" s="20" t="s">
        <v>2566</v>
      </c>
      <c r="R236" s="20" t="s">
        <v>2567</v>
      </c>
      <c r="S236" s="20" t="s">
        <v>2577</v>
      </c>
      <c r="T236" s="20" t="s">
        <v>2569</v>
      </c>
    </row>
    <row r="237" spans="1:20" x14ac:dyDescent="0.2">
      <c r="A237" s="20" t="s">
        <v>31</v>
      </c>
      <c r="F237" s="20" t="s">
        <v>399</v>
      </c>
      <c r="G237" s="20" t="s">
        <v>400</v>
      </c>
      <c r="K237" s="20" t="s">
        <v>6861</v>
      </c>
      <c r="L237" s="20" t="s">
        <v>2570</v>
      </c>
      <c r="M237" s="20" t="s">
        <v>2571</v>
      </c>
      <c r="N237" s="20" t="s">
        <v>2572</v>
      </c>
      <c r="O237" s="20" t="s">
        <v>2573</v>
      </c>
      <c r="P237" s="20" t="s">
        <v>2574</v>
      </c>
      <c r="Q237" s="20" t="s">
        <v>2575</v>
      </c>
      <c r="R237" s="20" t="s">
        <v>2576</v>
      </c>
      <c r="S237" s="20" t="s">
        <v>2586</v>
      </c>
      <c r="T237" s="20" t="s">
        <v>2578</v>
      </c>
    </row>
    <row r="238" spans="1:20" x14ac:dyDescent="0.2">
      <c r="A238" s="20" t="s">
        <v>31</v>
      </c>
      <c r="F238" s="20" t="s">
        <v>401</v>
      </c>
      <c r="G238" s="20" t="s">
        <v>402</v>
      </c>
      <c r="K238" s="20" t="s">
        <v>6862</v>
      </c>
      <c r="L238" s="20" t="s">
        <v>2579</v>
      </c>
      <c r="M238" s="20" t="s">
        <v>2580</v>
      </c>
      <c r="N238" s="20" t="s">
        <v>2581</v>
      </c>
      <c r="O238" s="20" t="s">
        <v>2582</v>
      </c>
      <c r="P238" s="20" t="s">
        <v>2583</v>
      </c>
      <c r="Q238" s="20" t="s">
        <v>2584</v>
      </c>
      <c r="R238" s="20" t="s">
        <v>2585</v>
      </c>
      <c r="S238" s="20" t="s">
        <v>2595</v>
      </c>
      <c r="T238" s="20" t="s">
        <v>2587</v>
      </c>
    </row>
    <row r="239" spans="1:20" x14ac:dyDescent="0.2">
      <c r="A239" s="20" t="s">
        <v>31</v>
      </c>
      <c r="F239" s="20" t="s">
        <v>403</v>
      </c>
      <c r="G239" s="20" t="s">
        <v>404</v>
      </c>
      <c r="K239" s="20" t="s">
        <v>6863</v>
      </c>
      <c r="L239" s="20" t="s">
        <v>2588</v>
      </c>
      <c r="M239" s="20" t="s">
        <v>2589</v>
      </c>
      <c r="N239" s="20" t="s">
        <v>2590</v>
      </c>
      <c r="O239" s="20" t="s">
        <v>2591</v>
      </c>
      <c r="P239" s="20" t="s">
        <v>2592</v>
      </c>
      <c r="Q239" s="20" t="s">
        <v>2593</v>
      </c>
      <c r="R239" s="20" t="s">
        <v>2594</v>
      </c>
      <c r="S239" s="20" t="s">
        <v>2604</v>
      </c>
      <c r="T239" s="20" t="s">
        <v>2596</v>
      </c>
    </row>
    <row r="240" spans="1:20" x14ac:dyDescent="0.2">
      <c r="A240" s="20" t="s">
        <v>31</v>
      </c>
      <c r="F240" s="20" t="s">
        <v>405</v>
      </c>
      <c r="G240" s="20" t="s">
        <v>406</v>
      </c>
      <c r="K240" s="20" t="s">
        <v>6864</v>
      </c>
      <c r="L240" s="20" t="s">
        <v>2597</v>
      </c>
      <c r="M240" s="20" t="s">
        <v>2598</v>
      </c>
      <c r="N240" s="20" t="s">
        <v>2599</v>
      </c>
      <c r="O240" s="20" t="s">
        <v>2600</v>
      </c>
      <c r="P240" s="20" t="s">
        <v>2601</v>
      </c>
      <c r="Q240" s="20" t="s">
        <v>2602</v>
      </c>
      <c r="R240" s="20" t="s">
        <v>2603</v>
      </c>
      <c r="S240" s="20" t="s">
        <v>2613</v>
      </c>
      <c r="T240" s="20" t="s">
        <v>2605</v>
      </c>
    </row>
    <row r="241" spans="1:20" x14ac:dyDescent="0.2">
      <c r="A241" s="20" t="s">
        <v>31</v>
      </c>
      <c r="F241" s="20" t="s">
        <v>407</v>
      </c>
      <c r="G241" s="20" t="s">
        <v>408</v>
      </c>
      <c r="K241" s="20" t="s">
        <v>6865</v>
      </c>
      <c r="L241" s="20" t="s">
        <v>2606</v>
      </c>
      <c r="M241" s="20" t="s">
        <v>2607</v>
      </c>
      <c r="N241" s="20" t="s">
        <v>2608</v>
      </c>
      <c r="O241" s="20" t="s">
        <v>2609</v>
      </c>
      <c r="P241" s="20" t="s">
        <v>2610</v>
      </c>
      <c r="Q241" s="20" t="s">
        <v>2611</v>
      </c>
      <c r="R241" s="20" t="s">
        <v>2612</v>
      </c>
      <c r="S241" s="20" t="s">
        <v>6638</v>
      </c>
      <c r="T241" s="20" t="s">
        <v>2614</v>
      </c>
    </row>
    <row r="242" spans="1:20" x14ac:dyDescent="0.2">
      <c r="A242" s="20" t="s">
        <v>31</v>
      </c>
      <c r="F242" s="20" t="s">
        <v>363</v>
      </c>
      <c r="G242" s="20" t="s">
        <v>364</v>
      </c>
    </row>
    <row r="243" spans="1:20" x14ac:dyDescent="0.2">
      <c r="A243" s="20" t="s">
        <v>31</v>
      </c>
      <c r="I243" s="20" t="s">
        <v>6394</v>
      </c>
      <c r="T243" s="20" t="s">
        <v>6395</v>
      </c>
    </row>
    <row r="244" spans="1:20" x14ac:dyDescent="0.2">
      <c r="A244" s="20" t="s">
        <v>31</v>
      </c>
    </row>
    <row r="245" spans="1:20" x14ac:dyDescent="0.2">
      <c r="A245" s="20" t="s">
        <v>31</v>
      </c>
      <c r="D245" s="20" t="s">
        <v>5687</v>
      </c>
      <c r="E245" s="20" t="s">
        <v>5688</v>
      </c>
      <c r="F245" s="20" t="s">
        <v>56</v>
      </c>
      <c r="G245" s="20" t="s">
        <v>6396</v>
      </c>
      <c r="I245" s="20" t="s">
        <v>410</v>
      </c>
      <c r="J245" s="20" t="s">
        <v>6397</v>
      </c>
    </row>
    <row r="246" spans="1:20" x14ac:dyDescent="0.2">
      <c r="A246" s="20" t="s">
        <v>31</v>
      </c>
      <c r="F246" s="20" t="s">
        <v>409</v>
      </c>
      <c r="G246" s="20" t="s">
        <v>410</v>
      </c>
      <c r="K246" s="20" t="s">
        <v>6398</v>
      </c>
      <c r="L246" s="20" t="s">
        <v>2615</v>
      </c>
      <c r="M246" s="20" t="s">
        <v>2616</v>
      </c>
      <c r="N246" s="20" t="s">
        <v>2617</v>
      </c>
      <c r="O246" s="20" t="s">
        <v>2618</v>
      </c>
      <c r="P246" s="20" t="s">
        <v>2619</v>
      </c>
      <c r="Q246" s="20" t="s">
        <v>2620</v>
      </c>
      <c r="R246" s="20" t="s">
        <v>2621</v>
      </c>
      <c r="S246" s="20" t="s">
        <v>2630</v>
      </c>
      <c r="T246" s="20" t="s">
        <v>2622</v>
      </c>
    </row>
    <row r="247" spans="1:20" x14ac:dyDescent="0.2">
      <c r="A247" s="20" t="s">
        <v>31</v>
      </c>
      <c r="F247" s="20" t="s">
        <v>411</v>
      </c>
      <c r="G247" s="20" t="s">
        <v>412</v>
      </c>
      <c r="K247" s="20" t="s">
        <v>6399</v>
      </c>
      <c r="L247" s="20" t="s">
        <v>2623</v>
      </c>
      <c r="M247" s="20" t="s">
        <v>2624</v>
      </c>
      <c r="N247" s="20" t="s">
        <v>2625</v>
      </c>
      <c r="O247" s="20" t="s">
        <v>2626</v>
      </c>
      <c r="P247" s="20" t="s">
        <v>2627</v>
      </c>
      <c r="Q247" s="20" t="s">
        <v>2628</v>
      </c>
      <c r="R247" s="20" t="s">
        <v>2629</v>
      </c>
      <c r="S247" s="20" t="s">
        <v>2639</v>
      </c>
      <c r="T247" s="20" t="s">
        <v>2631</v>
      </c>
    </row>
    <row r="248" spans="1:20" x14ac:dyDescent="0.2">
      <c r="A248" s="20" t="s">
        <v>31</v>
      </c>
      <c r="F248" s="20" t="s">
        <v>413</v>
      </c>
      <c r="G248" s="20" t="s">
        <v>414</v>
      </c>
      <c r="K248" s="20" t="s">
        <v>6866</v>
      </c>
      <c r="L248" s="20" t="s">
        <v>2632</v>
      </c>
      <c r="M248" s="20" t="s">
        <v>2633</v>
      </c>
      <c r="N248" s="20" t="s">
        <v>2634</v>
      </c>
      <c r="O248" s="20" t="s">
        <v>2635</v>
      </c>
      <c r="P248" s="20" t="s">
        <v>2636</v>
      </c>
      <c r="Q248" s="20" t="s">
        <v>2637</v>
      </c>
      <c r="R248" s="20" t="s">
        <v>2638</v>
      </c>
      <c r="S248" s="20" t="s">
        <v>2648</v>
      </c>
      <c r="T248" s="20" t="s">
        <v>2640</v>
      </c>
    </row>
    <row r="249" spans="1:20" x14ac:dyDescent="0.2">
      <c r="A249" s="20" t="s">
        <v>31</v>
      </c>
      <c r="F249" s="20" t="s">
        <v>415</v>
      </c>
      <c r="G249" s="20" t="s">
        <v>416</v>
      </c>
      <c r="K249" s="20" t="s">
        <v>6867</v>
      </c>
      <c r="L249" s="20" t="s">
        <v>2641</v>
      </c>
      <c r="M249" s="20" t="s">
        <v>2642</v>
      </c>
      <c r="N249" s="20" t="s">
        <v>2643</v>
      </c>
      <c r="O249" s="20" t="s">
        <v>2644</v>
      </c>
      <c r="P249" s="20" t="s">
        <v>2645</v>
      </c>
      <c r="Q249" s="20" t="s">
        <v>2646</v>
      </c>
      <c r="R249" s="20" t="s">
        <v>2647</v>
      </c>
      <c r="S249" s="20" t="s">
        <v>2657</v>
      </c>
      <c r="T249" s="20" t="s">
        <v>2649</v>
      </c>
    </row>
    <row r="250" spans="1:20" x14ac:dyDescent="0.2">
      <c r="A250" s="20" t="s">
        <v>31</v>
      </c>
      <c r="F250" s="20" t="s">
        <v>417</v>
      </c>
      <c r="G250" s="20" t="s">
        <v>418</v>
      </c>
      <c r="K250" s="20" t="s">
        <v>6868</v>
      </c>
      <c r="L250" s="20" t="s">
        <v>2650</v>
      </c>
      <c r="M250" s="20" t="s">
        <v>2651</v>
      </c>
      <c r="N250" s="20" t="s">
        <v>2652</v>
      </c>
      <c r="O250" s="20" t="s">
        <v>2653</v>
      </c>
      <c r="P250" s="20" t="s">
        <v>2654</v>
      </c>
      <c r="Q250" s="20" t="s">
        <v>2655</v>
      </c>
      <c r="R250" s="20" t="s">
        <v>2656</v>
      </c>
      <c r="S250" s="20" t="s">
        <v>2666</v>
      </c>
      <c r="T250" s="20" t="s">
        <v>2658</v>
      </c>
    </row>
    <row r="251" spans="1:20" x14ac:dyDescent="0.2">
      <c r="A251" s="20" t="s">
        <v>31</v>
      </c>
      <c r="F251" s="20" t="s">
        <v>419</v>
      </c>
      <c r="G251" s="20" t="s">
        <v>420</v>
      </c>
      <c r="K251" s="20" t="s">
        <v>6869</v>
      </c>
      <c r="L251" s="20" t="s">
        <v>2659</v>
      </c>
      <c r="M251" s="20" t="s">
        <v>2660</v>
      </c>
      <c r="N251" s="20" t="s">
        <v>2661</v>
      </c>
      <c r="O251" s="20" t="s">
        <v>2662</v>
      </c>
      <c r="P251" s="20" t="s">
        <v>2663</v>
      </c>
      <c r="Q251" s="20" t="s">
        <v>2664</v>
      </c>
      <c r="R251" s="20" t="s">
        <v>2665</v>
      </c>
      <c r="S251" s="20" t="s">
        <v>2675</v>
      </c>
      <c r="T251" s="20" t="s">
        <v>2667</v>
      </c>
    </row>
    <row r="252" spans="1:20" x14ac:dyDescent="0.2">
      <c r="A252" s="20" t="s">
        <v>31</v>
      </c>
      <c r="F252" s="20" t="s">
        <v>421</v>
      </c>
      <c r="G252" s="20" t="s">
        <v>422</v>
      </c>
      <c r="K252" s="20" t="s">
        <v>6870</v>
      </c>
      <c r="L252" s="20" t="s">
        <v>2668</v>
      </c>
      <c r="M252" s="20" t="s">
        <v>2669</v>
      </c>
      <c r="N252" s="20" t="s">
        <v>2670</v>
      </c>
      <c r="O252" s="20" t="s">
        <v>2671</v>
      </c>
      <c r="P252" s="20" t="s">
        <v>2672</v>
      </c>
      <c r="Q252" s="20" t="s">
        <v>2673</v>
      </c>
      <c r="R252" s="20" t="s">
        <v>2674</v>
      </c>
      <c r="S252" s="20" t="s">
        <v>2684</v>
      </c>
      <c r="T252" s="20" t="s">
        <v>2676</v>
      </c>
    </row>
    <row r="253" spans="1:20" x14ac:dyDescent="0.2">
      <c r="A253" s="20" t="s">
        <v>31</v>
      </c>
      <c r="F253" s="20" t="s">
        <v>423</v>
      </c>
      <c r="G253" s="20" t="s">
        <v>424</v>
      </c>
      <c r="K253" s="20" t="s">
        <v>6871</v>
      </c>
      <c r="L253" s="20" t="s">
        <v>2677</v>
      </c>
      <c r="M253" s="20" t="s">
        <v>2678</v>
      </c>
      <c r="N253" s="20" t="s">
        <v>2679</v>
      </c>
      <c r="O253" s="20" t="s">
        <v>2680</v>
      </c>
      <c r="P253" s="20" t="s">
        <v>2681</v>
      </c>
      <c r="Q253" s="20" t="s">
        <v>2682</v>
      </c>
      <c r="R253" s="20" t="s">
        <v>2683</v>
      </c>
      <c r="S253" s="20" t="s">
        <v>2693</v>
      </c>
      <c r="T253" s="20" t="s">
        <v>2685</v>
      </c>
    </row>
    <row r="254" spans="1:20" x14ac:dyDescent="0.2">
      <c r="A254" s="20" t="s">
        <v>31</v>
      </c>
      <c r="F254" s="20" t="s">
        <v>425</v>
      </c>
      <c r="G254" s="20" t="s">
        <v>426</v>
      </c>
      <c r="K254" s="20" t="s">
        <v>6872</v>
      </c>
      <c r="L254" s="20" t="s">
        <v>2686</v>
      </c>
      <c r="M254" s="20" t="s">
        <v>2687</v>
      </c>
      <c r="N254" s="20" t="s">
        <v>2688</v>
      </c>
      <c r="O254" s="20" t="s">
        <v>2689</v>
      </c>
      <c r="P254" s="20" t="s">
        <v>2690</v>
      </c>
      <c r="Q254" s="20" t="s">
        <v>2691</v>
      </c>
      <c r="R254" s="20" t="s">
        <v>2692</v>
      </c>
      <c r="S254" s="20" t="s">
        <v>2702</v>
      </c>
      <c r="T254" s="20" t="s">
        <v>2694</v>
      </c>
    </row>
    <row r="255" spans="1:20" x14ac:dyDescent="0.2">
      <c r="A255" s="20" t="s">
        <v>31</v>
      </c>
      <c r="F255" s="20" t="s">
        <v>427</v>
      </c>
      <c r="G255" s="20" t="s">
        <v>428</v>
      </c>
      <c r="K255" s="20" t="s">
        <v>6873</v>
      </c>
      <c r="L255" s="20" t="s">
        <v>2695</v>
      </c>
      <c r="M255" s="20" t="s">
        <v>2696</v>
      </c>
      <c r="N255" s="20" t="s">
        <v>2697</v>
      </c>
      <c r="O255" s="20" t="s">
        <v>2698</v>
      </c>
      <c r="P255" s="20" t="s">
        <v>2699</v>
      </c>
      <c r="Q255" s="20" t="s">
        <v>2700</v>
      </c>
      <c r="R255" s="20" t="s">
        <v>2701</v>
      </c>
      <c r="S255" s="20" t="s">
        <v>2711</v>
      </c>
      <c r="T255" s="20" t="s">
        <v>2703</v>
      </c>
    </row>
    <row r="256" spans="1:20" x14ac:dyDescent="0.2">
      <c r="A256" s="20" t="s">
        <v>31</v>
      </c>
      <c r="F256" s="20" t="s">
        <v>429</v>
      </c>
      <c r="G256" s="20" t="s">
        <v>430</v>
      </c>
      <c r="K256" s="20" t="s">
        <v>6874</v>
      </c>
      <c r="L256" s="20" t="s">
        <v>2704</v>
      </c>
      <c r="M256" s="20" t="s">
        <v>2705</v>
      </c>
      <c r="N256" s="20" t="s">
        <v>2706</v>
      </c>
      <c r="O256" s="20" t="s">
        <v>2707</v>
      </c>
      <c r="P256" s="20" t="s">
        <v>2708</v>
      </c>
      <c r="Q256" s="20" t="s">
        <v>2709</v>
      </c>
      <c r="R256" s="20" t="s">
        <v>2710</v>
      </c>
      <c r="S256" s="20" t="s">
        <v>2720</v>
      </c>
      <c r="T256" s="20" t="s">
        <v>2712</v>
      </c>
    </row>
    <row r="257" spans="1:20" x14ac:dyDescent="0.2">
      <c r="A257" s="20" t="s">
        <v>31</v>
      </c>
      <c r="F257" s="20" t="s">
        <v>431</v>
      </c>
      <c r="G257" s="20" t="s">
        <v>432</v>
      </c>
      <c r="K257" s="20" t="s">
        <v>6875</v>
      </c>
      <c r="L257" s="20" t="s">
        <v>2713</v>
      </c>
      <c r="M257" s="20" t="s">
        <v>2714</v>
      </c>
      <c r="N257" s="20" t="s">
        <v>2715</v>
      </c>
      <c r="O257" s="20" t="s">
        <v>2716</v>
      </c>
      <c r="P257" s="20" t="s">
        <v>2717</v>
      </c>
      <c r="Q257" s="20" t="s">
        <v>2718</v>
      </c>
      <c r="R257" s="20" t="s">
        <v>2719</v>
      </c>
      <c r="S257" s="20" t="s">
        <v>2729</v>
      </c>
      <c r="T257" s="20" t="s">
        <v>2721</v>
      </c>
    </row>
    <row r="258" spans="1:20" x14ac:dyDescent="0.2">
      <c r="A258" s="20" t="s">
        <v>31</v>
      </c>
      <c r="F258" s="20" t="s">
        <v>433</v>
      </c>
      <c r="G258" s="20" t="s">
        <v>434</v>
      </c>
      <c r="K258" s="20" t="s">
        <v>6876</v>
      </c>
      <c r="L258" s="20" t="s">
        <v>2722</v>
      </c>
      <c r="M258" s="20" t="s">
        <v>2723</v>
      </c>
      <c r="N258" s="20" t="s">
        <v>2724</v>
      </c>
      <c r="O258" s="20" t="s">
        <v>2725</v>
      </c>
      <c r="P258" s="20" t="s">
        <v>2726</v>
      </c>
      <c r="Q258" s="20" t="s">
        <v>2727</v>
      </c>
      <c r="R258" s="20" t="s">
        <v>2728</v>
      </c>
      <c r="S258" s="20" t="s">
        <v>2738</v>
      </c>
      <c r="T258" s="20" t="s">
        <v>2730</v>
      </c>
    </row>
    <row r="259" spans="1:20" x14ac:dyDescent="0.2">
      <c r="A259" s="20" t="s">
        <v>31</v>
      </c>
      <c r="F259" s="20" t="s">
        <v>435</v>
      </c>
      <c r="G259" s="20" t="s">
        <v>436</v>
      </c>
      <c r="K259" s="20" t="s">
        <v>6877</v>
      </c>
      <c r="L259" s="20" t="s">
        <v>2731</v>
      </c>
      <c r="M259" s="20" t="s">
        <v>2732</v>
      </c>
      <c r="N259" s="20" t="s">
        <v>2733</v>
      </c>
      <c r="O259" s="20" t="s">
        <v>2734</v>
      </c>
      <c r="P259" s="20" t="s">
        <v>2735</v>
      </c>
      <c r="Q259" s="20" t="s">
        <v>2736</v>
      </c>
      <c r="R259" s="20" t="s">
        <v>2737</v>
      </c>
      <c r="S259" s="20" t="s">
        <v>2747</v>
      </c>
      <c r="T259" s="20" t="s">
        <v>2739</v>
      </c>
    </row>
    <row r="260" spans="1:20" x14ac:dyDescent="0.2">
      <c r="A260" s="20" t="s">
        <v>31</v>
      </c>
      <c r="F260" s="20" t="s">
        <v>1060</v>
      </c>
      <c r="G260" s="20" t="s">
        <v>1061</v>
      </c>
      <c r="K260" s="20" t="s">
        <v>6878</v>
      </c>
      <c r="L260" s="20" t="s">
        <v>2740</v>
      </c>
      <c r="M260" s="20" t="s">
        <v>2741</v>
      </c>
      <c r="N260" s="20" t="s">
        <v>2742</v>
      </c>
      <c r="O260" s="20" t="s">
        <v>2743</v>
      </c>
      <c r="P260" s="20" t="s">
        <v>2744</v>
      </c>
      <c r="Q260" s="20" t="s">
        <v>2745</v>
      </c>
      <c r="R260" s="20" t="s">
        <v>2746</v>
      </c>
      <c r="S260" s="20" t="s">
        <v>2756</v>
      </c>
      <c r="T260" s="20" t="s">
        <v>2748</v>
      </c>
    </row>
    <row r="261" spans="1:20" x14ac:dyDescent="0.2">
      <c r="A261" s="20" t="s">
        <v>31</v>
      </c>
      <c r="F261" s="20" t="s">
        <v>1062</v>
      </c>
      <c r="G261" s="20" t="s">
        <v>1063</v>
      </c>
      <c r="K261" s="20" t="s">
        <v>6879</v>
      </c>
      <c r="L261" s="20" t="s">
        <v>2749</v>
      </c>
      <c r="M261" s="20" t="s">
        <v>2750</v>
      </c>
      <c r="N261" s="20" t="s">
        <v>2751</v>
      </c>
      <c r="O261" s="20" t="s">
        <v>2752</v>
      </c>
      <c r="P261" s="20" t="s">
        <v>2753</v>
      </c>
      <c r="Q261" s="20" t="s">
        <v>2754</v>
      </c>
      <c r="R261" s="20" t="s">
        <v>2755</v>
      </c>
      <c r="S261" s="20" t="s">
        <v>2765</v>
      </c>
      <c r="T261" s="20" t="s">
        <v>2757</v>
      </c>
    </row>
    <row r="262" spans="1:20" x14ac:dyDescent="0.2">
      <c r="A262" s="20" t="s">
        <v>31</v>
      </c>
      <c r="F262" s="20" t="s">
        <v>1064</v>
      </c>
      <c r="G262" s="20" t="s">
        <v>1065</v>
      </c>
      <c r="K262" s="20" t="s">
        <v>6880</v>
      </c>
      <c r="L262" s="20" t="s">
        <v>2758</v>
      </c>
      <c r="M262" s="20" t="s">
        <v>2759</v>
      </c>
      <c r="N262" s="20" t="s">
        <v>2760</v>
      </c>
      <c r="O262" s="20" t="s">
        <v>2761</v>
      </c>
      <c r="P262" s="20" t="s">
        <v>2762</v>
      </c>
      <c r="Q262" s="20" t="s">
        <v>2763</v>
      </c>
      <c r="R262" s="20" t="s">
        <v>2764</v>
      </c>
      <c r="S262" s="20" t="s">
        <v>2774</v>
      </c>
      <c r="T262" s="20" t="s">
        <v>2766</v>
      </c>
    </row>
    <row r="263" spans="1:20" x14ac:dyDescent="0.2">
      <c r="A263" s="20" t="s">
        <v>31</v>
      </c>
      <c r="F263" s="20" t="s">
        <v>1066</v>
      </c>
      <c r="G263" s="20" t="s">
        <v>1067</v>
      </c>
      <c r="K263" s="20" t="s">
        <v>6881</v>
      </c>
      <c r="L263" s="20" t="s">
        <v>2767</v>
      </c>
      <c r="M263" s="20" t="s">
        <v>2768</v>
      </c>
      <c r="N263" s="20" t="s">
        <v>2769</v>
      </c>
      <c r="O263" s="20" t="s">
        <v>2770</v>
      </c>
      <c r="P263" s="20" t="s">
        <v>2771</v>
      </c>
      <c r="Q263" s="20" t="s">
        <v>2772</v>
      </c>
      <c r="R263" s="20" t="s">
        <v>2773</v>
      </c>
      <c r="S263" s="20" t="s">
        <v>2783</v>
      </c>
      <c r="T263" s="20" t="s">
        <v>2775</v>
      </c>
    </row>
    <row r="264" spans="1:20" x14ac:dyDescent="0.2">
      <c r="A264" s="20" t="s">
        <v>31</v>
      </c>
      <c r="F264" s="20" t="s">
        <v>437</v>
      </c>
      <c r="G264" s="20" t="s">
        <v>438</v>
      </c>
      <c r="K264" s="20" t="s">
        <v>6882</v>
      </c>
      <c r="L264" s="20" t="s">
        <v>2776</v>
      </c>
      <c r="M264" s="20" t="s">
        <v>2777</v>
      </c>
      <c r="N264" s="20" t="s">
        <v>2778</v>
      </c>
      <c r="O264" s="20" t="s">
        <v>2779</v>
      </c>
      <c r="P264" s="20" t="s">
        <v>2780</v>
      </c>
      <c r="Q264" s="20" t="s">
        <v>2781</v>
      </c>
      <c r="R264" s="20" t="s">
        <v>2782</v>
      </c>
      <c r="S264" s="20" t="s">
        <v>2792</v>
      </c>
      <c r="T264" s="20" t="s">
        <v>2784</v>
      </c>
    </row>
    <row r="265" spans="1:20" x14ac:dyDescent="0.2">
      <c r="A265" s="20" t="s">
        <v>31</v>
      </c>
      <c r="F265" s="20" t="s">
        <v>439</v>
      </c>
      <c r="G265" s="20" t="s">
        <v>440</v>
      </c>
      <c r="K265" s="20" t="s">
        <v>6883</v>
      </c>
      <c r="L265" s="20" t="s">
        <v>2785</v>
      </c>
      <c r="M265" s="20" t="s">
        <v>2786</v>
      </c>
      <c r="N265" s="20" t="s">
        <v>2787</v>
      </c>
      <c r="O265" s="20" t="s">
        <v>2788</v>
      </c>
      <c r="P265" s="20" t="s">
        <v>2789</v>
      </c>
      <c r="Q265" s="20" t="s">
        <v>2790</v>
      </c>
      <c r="R265" s="20" t="s">
        <v>2791</v>
      </c>
      <c r="S265" s="20" t="s">
        <v>2801</v>
      </c>
      <c r="T265" s="20" t="s">
        <v>2793</v>
      </c>
    </row>
    <row r="266" spans="1:20" x14ac:dyDescent="0.2">
      <c r="A266" s="20" t="s">
        <v>31</v>
      </c>
      <c r="F266" s="20" t="s">
        <v>441</v>
      </c>
      <c r="G266" s="20" t="s">
        <v>442</v>
      </c>
      <c r="K266" s="20" t="s">
        <v>6884</v>
      </c>
      <c r="L266" s="20" t="s">
        <v>2794</v>
      </c>
      <c r="M266" s="20" t="s">
        <v>2795</v>
      </c>
      <c r="N266" s="20" t="s">
        <v>2796</v>
      </c>
      <c r="O266" s="20" t="s">
        <v>2797</v>
      </c>
      <c r="P266" s="20" t="s">
        <v>2798</v>
      </c>
      <c r="Q266" s="20" t="s">
        <v>2799</v>
      </c>
      <c r="R266" s="20" t="s">
        <v>2800</v>
      </c>
      <c r="S266" s="20" t="s">
        <v>2810</v>
      </c>
      <c r="T266" s="20" t="s">
        <v>2802</v>
      </c>
    </row>
    <row r="267" spans="1:20" x14ac:dyDescent="0.2">
      <c r="A267" s="20" t="s">
        <v>31</v>
      </c>
      <c r="F267" s="20" t="s">
        <v>443</v>
      </c>
      <c r="G267" s="20" t="s">
        <v>444</v>
      </c>
      <c r="K267" s="20" t="s">
        <v>6885</v>
      </c>
      <c r="L267" s="20" t="s">
        <v>2803</v>
      </c>
      <c r="M267" s="20" t="s">
        <v>2804</v>
      </c>
      <c r="N267" s="20" t="s">
        <v>2805</v>
      </c>
      <c r="O267" s="20" t="s">
        <v>2806</v>
      </c>
      <c r="P267" s="20" t="s">
        <v>2807</v>
      </c>
      <c r="Q267" s="20" t="s">
        <v>2808</v>
      </c>
      <c r="R267" s="20" t="s">
        <v>2809</v>
      </c>
      <c r="S267" s="20" t="s">
        <v>2819</v>
      </c>
      <c r="T267" s="20" t="s">
        <v>2811</v>
      </c>
    </row>
    <row r="268" spans="1:20" x14ac:dyDescent="0.2">
      <c r="A268" s="20" t="s">
        <v>31</v>
      </c>
      <c r="F268" s="20" t="s">
        <v>445</v>
      </c>
      <c r="G268" s="20" t="s">
        <v>446</v>
      </c>
      <c r="K268" s="20" t="s">
        <v>6886</v>
      </c>
      <c r="L268" s="20" t="s">
        <v>2812</v>
      </c>
      <c r="M268" s="20" t="s">
        <v>2813</v>
      </c>
      <c r="N268" s="20" t="s">
        <v>2814</v>
      </c>
      <c r="O268" s="20" t="s">
        <v>2815</v>
      </c>
      <c r="P268" s="20" t="s">
        <v>2816</v>
      </c>
      <c r="Q268" s="20" t="s">
        <v>2817</v>
      </c>
      <c r="R268" s="20" t="s">
        <v>2818</v>
      </c>
      <c r="S268" s="20" t="s">
        <v>2828</v>
      </c>
      <c r="T268" s="20" t="s">
        <v>2820</v>
      </c>
    </row>
    <row r="269" spans="1:20" x14ac:dyDescent="0.2">
      <c r="A269" s="20" t="s">
        <v>31</v>
      </c>
      <c r="F269" s="20" t="s">
        <v>447</v>
      </c>
      <c r="G269" s="20" t="s">
        <v>448</v>
      </c>
      <c r="K269" s="20" t="s">
        <v>6887</v>
      </c>
      <c r="L269" s="20" t="s">
        <v>2821</v>
      </c>
      <c r="M269" s="20" t="s">
        <v>2822</v>
      </c>
      <c r="N269" s="20" t="s">
        <v>2823</v>
      </c>
      <c r="O269" s="20" t="s">
        <v>2824</v>
      </c>
      <c r="P269" s="20" t="s">
        <v>2825</v>
      </c>
      <c r="Q269" s="20" t="s">
        <v>2826</v>
      </c>
      <c r="R269" s="20" t="s">
        <v>2827</v>
      </c>
      <c r="S269" s="20" t="s">
        <v>2837</v>
      </c>
      <c r="T269" s="20" t="s">
        <v>2829</v>
      </c>
    </row>
    <row r="270" spans="1:20" x14ac:dyDescent="0.2">
      <c r="A270" s="20" t="s">
        <v>31</v>
      </c>
      <c r="F270" s="20" t="s">
        <v>449</v>
      </c>
      <c r="G270" s="20" t="s">
        <v>450</v>
      </c>
      <c r="K270" s="20" t="s">
        <v>6888</v>
      </c>
      <c r="L270" s="20" t="s">
        <v>2830</v>
      </c>
      <c r="M270" s="20" t="s">
        <v>2831</v>
      </c>
      <c r="N270" s="20" t="s">
        <v>2832</v>
      </c>
      <c r="O270" s="20" t="s">
        <v>2833</v>
      </c>
      <c r="P270" s="20" t="s">
        <v>2834</v>
      </c>
      <c r="Q270" s="20" t="s">
        <v>2835</v>
      </c>
      <c r="R270" s="20" t="s">
        <v>2836</v>
      </c>
      <c r="S270" s="20" t="s">
        <v>2846</v>
      </c>
      <c r="T270" s="20" t="s">
        <v>2838</v>
      </c>
    </row>
    <row r="271" spans="1:20" x14ac:dyDescent="0.2">
      <c r="A271" s="20" t="s">
        <v>31</v>
      </c>
      <c r="F271" s="20" t="s">
        <v>451</v>
      </c>
      <c r="G271" s="20" t="s">
        <v>452</v>
      </c>
      <c r="K271" s="20" t="s">
        <v>6889</v>
      </c>
      <c r="L271" s="20" t="s">
        <v>2839</v>
      </c>
      <c r="M271" s="20" t="s">
        <v>2840</v>
      </c>
      <c r="N271" s="20" t="s">
        <v>2841</v>
      </c>
      <c r="O271" s="20" t="s">
        <v>2842</v>
      </c>
      <c r="P271" s="20" t="s">
        <v>2843</v>
      </c>
      <c r="Q271" s="20" t="s">
        <v>2844</v>
      </c>
      <c r="R271" s="20" t="s">
        <v>2845</v>
      </c>
      <c r="S271" s="20" t="s">
        <v>2855</v>
      </c>
      <c r="T271" s="20" t="s">
        <v>2847</v>
      </c>
    </row>
    <row r="272" spans="1:20" x14ac:dyDescent="0.2">
      <c r="A272" s="20" t="s">
        <v>31</v>
      </c>
      <c r="F272" s="20" t="s">
        <v>453</v>
      </c>
      <c r="G272" s="20" t="s">
        <v>454</v>
      </c>
      <c r="K272" s="20" t="s">
        <v>6890</v>
      </c>
      <c r="L272" s="20" t="s">
        <v>2848</v>
      </c>
      <c r="M272" s="20" t="s">
        <v>2849</v>
      </c>
      <c r="N272" s="20" t="s">
        <v>2850</v>
      </c>
      <c r="O272" s="20" t="s">
        <v>2851</v>
      </c>
      <c r="P272" s="20" t="s">
        <v>2852</v>
      </c>
      <c r="Q272" s="20" t="s">
        <v>2853</v>
      </c>
      <c r="R272" s="20" t="s">
        <v>2854</v>
      </c>
      <c r="S272" s="20" t="s">
        <v>2864</v>
      </c>
      <c r="T272" s="20" t="s">
        <v>2856</v>
      </c>
    </row>
    <row r="273" spans="1:20" x14ac:dyDescent="0.2">
      <c r="A273" s="20" t="s">
        <v>31</v>
      </c>
      <c r="F273" s="20" t="s">
        <v>455</v>
      </c>
      <c r="G273" s="20" t="s">
        <v>456</v>
      </c>
      <c r="K273" s="20" t="s">
        <v>6891</v>
      </c>
      <c r="L273" s="20" t="s">
        <v>2857</v>
      </c>
      <c r="M273" s="20" t="s">
        <v>2858</v>
      </c>
      <c r="N273" s="20" t="s">
        <v>2859</v>
      </c>
      <c r="O273" s="20" t="s">
        <v>2860</v>
      </c>
      <c r="P273" s="20" t="s">
        <v>2861</v>
      </c>
      <c r="Q273" s="20" t="s">
        <v>2862</v>
      </c>
      <c r="R273" s="20" t="s">
        <v>2863</v>
      </c>
      <c r="S273" s="20" t="s">
        <v>6639</v>
      </c>
      <c r="T273" s="20" t="s">
        <v>2865</v>
      </c>
    </row>
    <row r="274" spans="1:20" x14ac:dyDescent="0.2">
      <c r="A274" s="20" t="s">
        <v>31</v>
      </c>
      <c r="F274" s="20" t="s">
        <v>413</v>
      </c>
      <c r="G274" s="20" t="s">
        <v>414</v>
      </c>
    </row>
    <row r="275" spans="1:20" x14ac:dyDescent="0.2">
      <c r="A275" s="20" t="s">
        <v>31</v>
      </c>
      <c r="I275" s="20" t="s">
        <v>6400</v>
      </c>
      <c r="T275" s="20" t="s">
        <v>6401</v>
      </c>
    </row>
    <row r="276" spans="1:20" x14ac:dyDescent="0.2">
      <c r="A276" s="20" t="s">
        <v>31</v>
      </c>
    </row>
    <row r="277" spans="1:20" x14ac:dyDescent="0.2">
      <c r="A277" s="20" t="s">
        <v>31</v>
      </c>
      <c r="D277" s="20" t="s">
        <v>5687</v>
      </c>
      <c r="E277" s="20" t="s">
        <v>5688</v>
      </c>
      <c r="F277" s="20" t="s">
        <v>59</v>
      </c>
      <c r="G277" s="20" t="s">
        <v>6402</v>
      </c>
      <c r="I277" s="20" t="s">
        <v>458</v>
      </c>
      <c r="J277" s="20" t="s">
        <v>6403</v>
      </c>
    </row>
    <row r="278" spans="1:20" x14ac:dyDescent="0.2">
      <c r="A278" s="20" t="s">
        <v>31</v>
      </c>
      <c r="F278" s="20" t="s">
        <v>457</v>
      </c>
      <c r="G278" s="20" t="s">
        <v>458</v>
      </c>
      <c r="K278" s="20" t="s">
        <v>6404</v>
      </c>
      <c r="L278" s="20" t="s">
        <v>2866</v>
      </c>
      <c r="M278" s="20" t="s">
        <v>2867</v>
      </c>
      <c r="N278" s="20" t="s">
        <v>2868</v>
      </c>
      <c r="O278" s="20" t="s">
        <v>2869</v>
      </c>
      <c r="P278" s="20" t="s">
        <v>2870</v>
      </c>
      <c r="Q278" s="20" t="s">
        <v>2871</v>
      </c>
      <c r="R278" s="20" t="s">
        <v>2872</v>
      </c>
      <c r="S278" s="20" t="s">
        <v>2881</v>
      </c>
      <c r="T278" s="20" t="s">
        <v>2873</v>
      </c>
    </row>
    <row r="279" spans="1:20" x14ac:dyDescent="0.2">
      <c r="A279" s="20" t="s">
        <v>31</v>
      </c>
      <c r="F279" s="20" t="s">
        <v>459</v>
      </c>
      <c r="G279" s="20" t="s">
        <v>460</v>
      </c>
      <c r="K279" s="20" t="s">
        <v>6405</v>
      </c>
      <c r="L279" s="20" t="s">
        <v>2874</v>
      </c>
      <c r="M279" s="20" t="s">
        <v>2875</v>
      </c>
      <c r="N279" s="20" t="s">
        <v>2876</v>
      </c>
      <c r="O279" s="20" t="s">
        <v>2877</v>
      </c>
      <c r="P279" s="20" t="s">
        <v>2878</v>
      </c>
      <c r="Q279" s="20" t="s">
        <v>2879</v>
      </c>
      <c r="R279" s="20" t="s">
        <v>2880</v>
      </c>
      <c r="S279" s="20" t="s">
        <v>2890</v>
      </c>
      <c r="T279" s="20" t="s">
        <v>2882</v>
      </c>
    </row>
    <row r="280" spans="1:20" x14ac:dyDescent="0.2">
      <c r="A280" s="20" t="s">
        <v>31</v>
      </c>
      <c r="F280" s="20" t="s">
        <v>461</v>
      </c>
      <c r="G280" s="20" t="s">
        <v>462</v>
      </c>
      <c r="K280" s="20" t="s">
        <v>6892</v>
      </c>
      <c r="L280" s="20" t="s">
        <v>2883</v>
      </c>
      <c r="M280" s="20" t="s">
        <v>2884</v>
      </c>
      <c r="N280" s="20" t="s">
        <v>2885</v>
      </c>
      <c r="O280" s="20" t="s">
        <v>2886</v>
      </c>
      <c r="P280" s="20" t="s">
        <v>2887</v>
      </c>
      <c r="Q280" s="20" t="s">
        <v>2888</v>
      </c>
      <c r="R280" s="20" t="s">
        <v>2889</v>
      </c>
      <c r="S280" s="20" t="s">
        <v>2899</v>
      </c>
      <c r="T280" s="20" t="s">
        <v>2891</v>
      </c>
    </row>
    <row r="281" spans="1:20" x14ac:dyDescent="0.2">
      <c r="A281" s="20" t="s">
        <v>31</v>
      </c>
      <c r="F281" s="20" t="s">
        <v>463</v>
      </c>
      <c r="G281" s="20" t="s">
        <v>464</v>
      </c>
      <c r="K281" s="20" t="s">
        <v>6893</v>
      </c>
      <c r="L281" s="20" t="s">
        <v>2892</v>
      </c>
      <c r="M281" s="20" t="s">
        <v>2893</v>
      </c>
      <c r="N281" s="20" t="s">
        <v>2894</v>
      </c>
      <c r="O281" s="20" t="s">
        <v>2895</v>
      </c>
      <c r="P281" s="20" t="s">
        <v>2896</v>
      </c>
      <c r="Q281" s="20" t="s">
        <v>2897</v>
      </c>
      <c r="R281" s="20" t="s">
        <v>2898</v>
      </c>
      <c r="S281" s="20" t="s">
        <v>2908</v>
      </c>
      <c r="T281" s="20" t="s">
        <v>2900</v>
      </c>
    </row>
    <row r="282" spans="1:20" x14ac:dyDescent="0.2">
      <c r="A282" s="20" t="s">
        <v>31</v>
      </c>
      <c r="F282" s="20" t="s">
        <v>465</v>
      </c>
      <c r="G282" s="20" t="s">
        <v>466</v>
      </c>
      <c r="K282" s="20" t="s">
        <v>6894</v>
      </c>
      <c r="L282" s="20" t="s">
        <v>2901</v>
      </c>
      <c r="M282" s="20" t="s">
        <v>2902</v>
      </c>
      <c r="N282" s="20" t="s">
        <v>2903</v>
      </c>
      <c r="O282" s="20" t="s">
        <v>2904</v>
      </c>
      <c r="P282" s="20" t="s">
        <v>2905</v>
      </c>
      <c r="Q282" s="20" t="s">
        <v>2906</v>
      </c>
      <c r="R282" s="20" t="s">
        <v>2907</v>
      </c>
      <c r="S282" s="20" t="s">
        <v>2917</v>
      </c>
      <c r="T282" s="20" t="s">
        <v>2909</v>
      </c>
    </row>
    <row r="283" spans="1:20" x14ac:dyDescent="0.2">
      <c r="A283" s="20" t="s">
        <v>31</v>
      </c>
      <c r="F283" s="20" t="s">
        <v>467</v>
      </c>
      <c r="G283" s="20" t="s">
        <v>468</v>
      </c>
      <c r="K283" s="20" t="s">
        <v>6895</v>
      </c>
      <c r="L283" s="20" t="s">
        <v>2910</v>
      </c>
      <c r="M283" s="20" t="s">
        <v>2911</v>
      </c>
      <c r="N283" s="20" t="s">
        <v>2912</v>
      </c>
      <c r="O283" s="20" t="s">
        <v>2913</v>
      </c>
      <c r="P283" s="20" t="s">
        <v>2914</v>
      </c>
      <c r="Q283" s="20" t="s">
        <v>2915</v>
      </c>
      <c r="R283" s="20" t="s">
        <v>2916</v>
      </c>
      <c r="S283" s="20" t="s">
        <v>2926</v>
      </c>
      <c r="T283" s="20" t="s">
        <v>2918</v>
      </c>
    </row>
    <row r="284" spans="1:20" x14ac:dyDescent="0.2">
      <c r="A284" s="20" t="s">
        <v>31</v>
      </c>
      <c r="F284" s="20" t="s">
        <v>469</v>
      </c>
      <c r="G284" s="20" t="s">
        <v>470</v>
      </c>
      <c r="K284" s="20" t="s">
        <v>6896</v>
      </c>
      <c r="L284" s="20" t="s">
        <v>2919</v>
      </c>
      <c r="M284" s="20" t="s">
        <v>2920</v>
      </c>
      <c r="N284" s="20" t="s">
        <v>2921</v>
      </c>
      <c r="O284" s="20" t="s">
        <v>2922</v>
      </c>
      <c r="P284" s="20" t="s">
        <v>2923</v>
      </c>
      <c r="Q284" s="20" t="s">
        <v>2924</v>
      </c>
      <c r="R284" s="20" t="s">
        <v>2925</v>
      </c>
      <c r="S284" s="20" t="s">
        <v>2935</v>
      </c>
      <c r="T284" s="20" t="s">
        <v>2927</v>
      </c>
    </row>
    <row r="285" spans="1:20" x14ac:dyDescent="0.2">
      <c r="A285" s="20" t="s">
        <v>31</v>
      </c>
      <c r="F285" s="20" t="s">
        <v>471</v>
      </c>
      <c r="G285" s="20" t="s">
        <v>472</v>
      </c>
      <c r="K285" s="20" t="s">
        <v>6897</v>
      </c>
      <c r="L285" s="20" t="s">
        <v>2928</v>
      </c>
      <c r="M285" s="20" t="s">
        <v>2929</v>
      </c>
      <c r="N285" s="20" t="s">
        <v>2930</v>
      </c>
      <c r="O285" s="20" t="s">
        <v>2931</v>
      </c>
      <c r="P285" s="20" t="s">
        <v>2932</v>
      </c>
      <c r="Q285" s="20" t="s">
        <v>2933</v>
      </c>
      <c r="R285" s="20" t="s">
        <v>2934</v>
      </c>
      <c r="S285" s="20" t="s">
        <v>2944</v>
      </c>
      <c r="T285" s="20" t="s">
        <v>2936</v>
      </c>
    </row>
    <row r="286" spans="1:20" x14ac:dyDescent="0.2">
      <c r="A286" s="20" t="s">
        <v>31</v>
      </c>
      <c r="F286" s="20" t="s">
        <v>473</v>
      </c>
      <c r="G286" s="20" t="s">
        <v>474</v>
      </c>
      <c r="K286" s="20" t="s">
        <v>6898</v>
      </c>
      <c r="L286" s="20" t="s">
        <v>2937</v>
      </c>
      <c r="M286" s="20" t="s">
        <v>2938</v>
      </c>
      <c r="N286" s="20" t="s">
        <v>2939</v>
      </c>
      <c r="O286" s="20" t="s">
        <v>2940</v>
      </c>
      <c r="P286" s="20" t="s">
        <v>2941</v>
      </c>
      <c r="Q286" s="20" t="s">
        <v>2942</v>
      </c>
      <c r="R286" s="20" t="s">
        <v>2943</v>
      </c>
      <c r="S286" s="20" t="s">
        <v>2953</v>
      </c>
      <c r="T286" s="20" t="s">
        <v>2945</v>
      </c>
    </row>
    <row r="287" spans="1:20" x14ac:dyDescent="0.2">
      <c r="A287" s="20" t="s">
        <v>31</v>
      </c>
      <c r="F287" s="20" t="s">
        <v>475</v>
      </c>
      <c r="G287" s="20" t="s">
        <v>476</v>
      </c>
      <c r="K287" s="20" t="s">
        <v>6899</v>
      </c>
      <c r="L287" s="20" t="s">
        <v>2946</v>
      </c>
      <c r="M287" s="20" t="s">
        <v>2947</v>
      </c>
      <c r="N287" s="20" t="s">
        <v>2948</v>
      </c>
      <c r="O287" s="20" t="s">
        <v>2949</v>
      </c>
      <c r="P287" s="20" t="s">
        <v>2950</v>
      </c>
      <c r="Q287" s="20" t="s">
        <v>2951</v>
      </c>
      <c r="R287" s="20" t="s">
        <v>2952</v>
      </c>
      <c r="S287" s="20" t="s">
        <v>2962</v>
      </c>
      <c r="T287" s="20" t="s">
        <v>2954</v>
      </c>
    </row>
    <row r="288" spans="1:20" x14ac:dyDescent="0.2">
      <c r="A288" s="20" t="s">
        <v>31</v>
      </c>
      <c r="F288" s="20" t="s">
        <v>477</v>
      </c>
      <c r="G288" s="20" t="s">
        <v>478</v>
      </c>
      <c r="K288" s="20" t="s">
        <v>6900</v>
      </c>
      <c r="L288" s="20" t="s">
        <v>2955</v>
      </c>
      <c r="M288" s="20" t="s">
        <v>2956</v>
      </c>
      <c r="N288" s="20" t="s">
        <v>2957</v>
      </c>
      <c r="O288" s="20" t="s">
        <v>2958</v>
      </c>
      <c r="P288" s="20" t="s">
        <v>2959</v>
      </c>
      <c r="Q288" s="20" t="s">
        <v>2960</v>
      </c>
      <c r="R288" s="20" t="s">
        <v>2961</v>
      </c>
      <c r="S288" s="20" t="s">
        <v>2971</v>
      </c>
      <c r="T288" s="20" t="s">
        <v>2963</v>
      </c>
    </row>
    <row r="289" spans="1:20" x14ac:dyDescent="0.2">
      <c r="A289" s="20" t="s">
        <v>31</v>
      </c>
      <c r="F289" s="20" t="s">
        <v>479</v>
      </c>
      <c r="G289" s="20" t="s">
        <v>480</v>
      </c>
      <c r="K289" s="20" t="s">
        <v>6901</v>
      </c>
      <c r="L289" s="20" t="s">
        <v>2964</v>
      </c>
      <c r="M289" s="20" t="s">
        <v>2965</v>
      </c>
      <c r="N289" s="20" t="s">
        <v>2966</v>
      </c>
      <c r="O289" s="20" t="s">
        <v>2967</v>
      </c>
      <c r="P289" s="20" t="s">
        <v>2968</v>
      </c>
      <c r="Q289" s="20" t="s">
        <v>2969</v>
      </c>
      <c r="R289" s="20" t="s">
        <v>2970</v>
      </c>
      <c r="S289" s="20" t="s">
        <v>2980</v>
      </c>
      <c r="T289" s="20" t="s">
        <v>2972</v>
      </c>
    </row>
    <row r="290" spans="1:20" x14ac:dyDescent="0.2">
      <c r="A290" s="20" t="s">
        <v>31</v>
      </c>
      <c r="F290" s="20" t="s">
        <v>481</v>
      </c>
      <c r="G290" s="20" t="s">
        <v>482</v>
      </c>
      <c r="K290" s="20" t="s">
        <v>6902</v>
      </c>
      <c r="L290" s="20" t="s">
        <v>2973</v>
      </c>
      <c r="M290" s="20" t="s">
        <v>2974</v>
      </c>
      <c r="N290" s="20" t="s">
        <v>2975</v>
      </c>
      <c r="O290" s="20" t="s">
        <v>2976</v>
      </c>
      <c r="P290" s="20" t="s">
        <v>2977</v>
      </c>
      <c r="Q290" s="20" t="s">
        <v>2978</v>
      </c>
      <c r="R290" s="20" t="s">
        <v>2979</v>
      </c>
      <c r="S290" s="20" t="s">
        <v>2989</v>
      </c>
      <c r="T290" s="20" t="s">
        <v>2981</v>
      </c>
    </row>
    <row r="291" spans="1:20" x14ac:dyDescent="0.2">
      <c r="A291" s="20" t="s">
        <v>31</v>
      </c>
      <c r="F291" s="20" t="s">
        <v>483</v>
      </c>
      <c r="G291" s="20" t="s">
        <v>484</v>
      </c>
      <c r="K291" s="20" t="s">
        <v>6903</v>
      </c>
      <c r="L291" s="20" t="s">
        <v>2982</v>
      </c>
      <c r="M291" s="20" t="s">
        <v>2983</v>
      </c>
      <c r="N291" s="20" t="s">
        <v>2984</v>
      </c>
      <c r="O291" s="20" t="s">
        <v>2985</v>
      </c>
      <c r="P291" s="20" t="s">
        <v>2986</v>
      </c>
      <c r="Q291" s="20" t="s">
        <v>2987</v>
      </c>
      <c r="R291" s="20" t="s">
        <v>2988</v>
      </c>
      <c r="S291" s="20" t="s">
        <v>2998</v>
      </c>
      <c r="T291" s="20" t="s">
        <v>2990</v>
      </c>
    </row>
    <row r="292" spans="1:20" x14ac:dyDescent="0.2">
      <c r="A292" s="20" t="s">
        <v>31</v>
      </c>
      <c r="F292" s="20" t="s">
        <v>485</v>
      </c>
      <c r="G292" s="20" t="s">
        <v>486</v>
      </c>
      <c r="K292" s="20" t="s">
        <v>6904</v>
      </c>
      <c r="L292" s="20" t="s">
        <v>2991</v>
      </c>
      <c r="M292" s="20" t="s">
        <v>2992</v>
      </c>
      <c r="N292" s="20" t="s">
        <v>2993</v>
      </c>
      <c r="O292" s="20" t="s">
        <v>2994</v>
      </c>
      <c r="P292" s="20" t="s">
        <v>2995</v>
      </c>
      <c r="Q292" s="20" t="s">
        <v>2996</v>
      </c>
      <c r="R292" s="20" t="s">
        <v>2997</v>
      </c>
      <c r="S292" s="20" t="s">
        <v>3007</v>
      </c>
      <c r="T292" s="20" t="s">
        <v>2999</v>
      </c>
    </row>
    <row r="293" spans="1:20" x14ac:dyDescent="0.2">
      <c r="A293" s="20" t="s">
        <v>31</v>
      </c>
      <c r="F293" s="20" t="s">
        <v>487</v>
      </c>
      <c r="G293" s="20" t="s">
        <v>488</v>
      </c>
      <c r="K293" s="20" t="s">
        <v>6905</v>
      </c>
      <c r="L293" s="20" t="s">
        <v>3000</v>
      </c>
      <c r="M293" s="20" t="s">
        <v>3001</v>
      </c>
      <c r="N293" s="20" t="s">
        <v>3002</v>
      </c>
      <c r="O293" s="20" t="s">
        <v>3003</v>
      </c>
      <c r="P293" s="20" t="s">
        <v>3004</v>
      </c>
      <c r="Q293" s="20" t="s">
        <v>3005</v>
      </c>
      <c r="R293" s="20" t="s">
        <v>3006</v>
      </c>
      <c r="S293" s="20" t="s">
        <v>3016</v>
      </c>
      <c r="T293" s="20" t="s">
        <v>3008</v>
      </c>
    </row>
    <row r="294" spans="1:20" x14ac:dyDescent="0.2">
      <c r="A294" s="20" t="s">
        <v>31</v>
      </c>
      <c r="F294" s="20" t="s">
        <v>489</v>
      </c>
      <c r="G294" s="20" t="s">
        <v>490</v>
      </c>
      <c r="K294" s="20" t="s">
        <v>6906</v>
      </c>
      <c r="L294" s="20" t="s">
        <v>3009</v>
      </c>
      <c r="M294" s="20" t="s">
        <v>3010</v>
      </c>
      <c r="N294" s="20" t="s">
        <v>3011</v>
      </c>
      <c r="O294" s="20" t="s">
        <v>3012</v>
      </c>
      <c r="P294" s="20" t="s">
        <v>3013</v>
      </c>
      <c r="Q294" s="20" t="s">
        <v>3014</v>
      </c>
      <c r="R294" s="20" t="s">
        <v>3015</v>
      </c>
      <c r="S294" s="20" t="s">
        <v>3025</v>
      </c>
      <c r="T294" s="20" t="s">
        <v>3017</v>
      </c>
    </row>
    <row r="295" spans="1:20" x14ac:dyDescent="0.2">
      <c r="A295" s="20" t="s">
        <v>31</v>
      </c>
      <c r="F295" s="20" t="s">
        <v>491</v>
      </c>
      <c r="G295" s="20" t="s">
        <v>492</v>
      </c>
      <c r="K295" s="20" t="s">
        <v>6907</v>
      </c>
      <c r="L295" s="20" t="s">
        <v>3018</v>
      </c>
      <c r="M295" s="20" t="s">
        <v>3019</v>
      </c>
      <c r="N295" s="20" t="s">
        <v>3020</v>
      </c>
      <c r="O295" s="20" t="s">
        <v>3021</v>
      </c>
      <c r="P295" s="20" t="s">
        <v>3022</v>
      </c>
      <c r="Q295" s="20" t="s">
        <v>3023</v>
      </c>
      <c r="R295" s="20" t="s">
        <v>3024</v>
      </c>
      <c r="S295" s="20" t="s">
        <v>3034</v>
      </c>
      <c r="T295" s="20" t="s">
        <v>3026</v>
      </c>
    </row>
    <row r="296" spans="1:20" x14ac:dyDescent="0.2">
      <c r="A296" s="20" t="s">
        <v>31</v>
      </c>
      <c r="F296" s="20" t="s">
        <v>493</v>
      </c>
      <c r="G296" s="20" t="s">
        <v>494</v>
      </c>
      <c r="K296" s="20" t="s">
        <v>6908</v>
      </c>
      <c r="L296" s="20" t="s">
        <v>3027</v>
      </c>
      <c r="M296" s="20" t="s">
        <v>3028</v>
      </c>
      <c r="N296" s="20" t="s">
        <v>3029</v>
      </c>
      <c r="O296" s="20" t="s">
        <v>3030</v>
      </c>
      <c r="P296" s="20" t="s">
        <v>3031</v>
      </c>
      <c r="Q296" s="20" t="s">
        <v>3032</v>
      </c>
      <c r="R296" s="20" t="s">
        <v>3033</v>
      </c>
      <c r="S296" s="20" t="s">
        <v>3043</v>
      </c>
      <c r="T296" s="20" t="s">
        <v>3035</v>
      </c>
    </row>
    <row r="297" spans="1:20" x14ac:dyDescent="0.2">
      <c r="A297" s="20" t="s">
        <v>31</v>
      </c>
      <c r="F297" s="20" t="s">
        <v>495</v>
      </c>
      <c r="G297" s="20" t="s">
        <v>496</v>
      </c>
      <c r="K297" s="20" t="s">
        <v>6909</v>
      </c>
      <c r="L297" s="20" t="s">
        <v>3036</v>
      </c>
      <c r="M297" s="20" t="s">
        <v>3037</v>
      </c>
      <c r="N297" s="20" t="s">
        <v>3038</v>
      </c>
      <c r="O297" s="20" t="s">
        <v>3039</v>
      </c>
      <c r="P297" s="20" t="s">
        <v>3040</v>
      </c>
      <c r="Q297" s="20" t="s">
        <v>3041</v>
      </c>
      <c r="R297" s="20" t="s">
        <v>3042</v>
      </c>
      <c r="S297" s="20" t="s">
        <v>3052</v>
      </c>
      <c r="T297" s="20" t="s">
        <v>3044</v>
      </c>
    </row>
    <row r="298" spans="1:20" x14ac:dyDescent="0.2">
      <c r="A298" s="20" t="s">
        <v>31</v>
      </c>
      <c r="F298" s="20" t="s">
        <v>497</v>
      </c>
      <c r="G298" s="20" t="s">
        <v>498</v>
      </c>
      <c r="K298" s="20" t="s">
        <v>6910</v>
      </c>
      <c r="L298" s="20" t="s">
        <v>3045</v>
      </c>
      <c r="M298" s="20" t="s">
        <v>3046</v>
      </c>
      <c r="N298" s="20" t="s">
        <v>3047</v>
      </c>
      <c r="O298" s="20" t="s">
        <v>3048</v>
      </c>
      <c r="P298" s="20" t="s">
        <v>3049</v>
      </c>
      <c r="Q298" s="20" t="s">
        <v>3050</v>
      </c>
      <c r="R298" s="20" t="s">
        <v>3051</v>
      </c>
      <c r="S298" s="20" t="s">
        <v>3061</v>
      </c>
      <c r="T298" s="20" t="s">
        <v>3053</v>
      </c>
    </row>
    <row r="299" spans="1:20" x14ac:dyDescent="0.2">
      <c r="A299" s="20" t="s">
        <v>31</v>
      </c>
      <c r="F299" s="20" t="s">
        <v>499</v>
      </c>
      <c r="G299" s="20" t="s">
        <v>500</v>
      </c>
      <c r="K299" s="20" t="s">
        <v>6911</v>
      </c>
      <c r="L299" s="20" t="s">
        <v>3054</v>
      </c>
      <c r="M299" s="20" t="s">
        <v>3055</v>
      </c>
      <c r="N299" s="20" t="s">
        <v>3056</v>
      </c>
      <c r="O299" s="20" t="s">
        <v>3057</v>
      </c>
      <c r="P299" s="20" t="s">
        <v>3058</v>
      </c>
      <c r="Q299" s="20" t="s">
        <v>3059</v>
      </c>
      <c r="R299" s="20" t="s">
        <v>3060</v>
      </c>
      <c r="S299" s="20" t="s">
        <v>3070</v>
      </c>
      <c r="T299" s="20" t="s">
        <v>3062</v>
      </c>
    </row>
    <row r="300" spans="1:20" x14ac:dyDescent="0.2">
      <c r="A300" s="20" t="s">
        <v>31</v>
      </c>
      <c r="F300" s="20" t="s">
        <v>501</v>
      </c>
      <c r="G300" s="20" t="s">
        <v>502</v>
      </c>
      <c r="K300" s="20" t="s">
        <v>6912</v>
      </c>
      <c r="L300" s="20" t="s">
        <v>3063</v>
      </c>
      <c r="M300" s="20" t="s">
        <v>3064</v>
      </c>
      <c r="N300" s="20" t="s">
        <v>3065</v>
      </c>
      <c r="O300" s="20" t="s">
        <v>3066</v>
      </c>
      <c r="P300" s="20" t="s">
        <v>3067</v>
      </c>
      <c r="Q300" s="20" t="s">
        <v>3068</v>
      </c>
      <c r="R300" s="20" t="s">
        <v>3069</v>
      </c>
      <c r="S300" s="20" t="s">
        <v>3079</v>
      </c>
      <c r="T300" s="20" t="s">
        <v>3071</v>
      </c>
    </row>
    <row r="301" spans="1:20" x14ac:dyDescent="0.2">
      <c r="A301" s="20" t="s">
        <v>31</v>
      </c>
      <c r="F301" s="20" t="s">
        <v>503</v>
      </c>
      <c r="G301" s="20" t="s">
        <v>504</v>
      </c>
      <c r="K301" s="20" t="s">
        <v>6913</v>
      </c>
      <c r="L301" s="20" t="s">
        <v>3072</v>
      </c>
      <c r="M301" s="20" t="s">
        <v>3073</v>
      </c>
      <c r="N301" s="20" t="s">
        <v>3074</v>
      </c>
      <c r="O301" s="20" t="s">
        <v>3075</v>
      </c>
      <c r="P301" s="20" t="s">
        <v>3076</v>
      </c>
      <c r="Q301" s="20" t="s">
        <v>3077</v>
      </c>
      <c r="R301" s="20" t="s">
        <v>3078</v>
      </c>
      <c r="S301" s="20" t="s">
        <v>6068</v>
      </c>
      <c r="T301" s="20" t="s">
        <v>3080</v>
      </c>
    </row>
    <row r="302" spans="1:20" x14ac:dyDescent="0.2">
      <c r="A302" s="20" t="s">
        <v>31</v>
      </c>
      <c r="F302" s="20" t="s">
        <v>6059</v>
      </c>
      <c r="G302" s="20" t="s">
        <v>6060</v>
      </c>
      <c r="K302" s="20" t="s">
        <v>6914</v>
      </c>
      <c r="L302" s="20" t="s">
        <v>6061</v>
      </c>
      <c r="M302" s="20" t="s">
        <v>6062</v>
      </c>
      <c r="N302" s="20" t="s">
        <v>6063</v>
      </c>
      <c r="O302" s="20" t="s">
        <v>6064</v>
      </c>
      <c r="P302" s="20" t="s">
        <v>6065</v>
      </c>
      <c r="Q302" s="20" t="s">
        <v>6066</v>
      </c>
      <c r="R302" s="20" t="s">
        <v>6067</v>
      </c>
      <c r="S302" s="20" t="s">
        <v>6079</v>
      </c>
      <c r="T302" s="20" t="s">
        <v>6069</v>
      </c>
    </row>
    <row r="303" spans="1:20" x14ac:dyDescent="0.2">
      <c r="A303" s="20" t="s">
        <v>31</v>
      </c>
      <c r="F303" s="20" t="s">
        <v>6070</v>
      </c>
      <c r="G303" s="20" t="s">
        <v>6071</v>
      </c>
      <c r="K303" s="20" t="s">
        <v>6915</v>
      </c>
      <c r="L303" s="20" t="s">
        <v>6072</v>
      </c>
      <c r="M303" s="20" t="s">
        <v>6073</v>
      </c>
      <c r="N303" s="20" t="s">
        <v>6074</v>
      </c>
      <c r="O303" s="20" t="s">
        <v>6075</v>
      </c>
      <c r="P303" s="20" t="s">
        <v>6076</v>
      </c>
      <c r="Q303" s="20" t="s">
        <v>6077</v>
      </c>
      <c r="R303" s="20" t="s">
        <v>6078</v>
      </c>
      <c r="S303" s="20" t="s">
        <v>6090</v>
      </c>
      <c r="T303" s="20" t="s">
        <v>6080</v>
      </c>
    </row>
    <row r="304" spans="1:20" x14ac:dyDescent="0.2">
      <c r="A304" s="20" t="s">
        <v>31</v>
      </c>
      <c r="F304" s="20" t="s">
        <v>6081</v>
      </c>
      <c r="G304" s="20" t="s">
        <v>6082</v>
      </c>
      <c r="K304" s="20" t="s">
        <v>6916</v>
      </c>
      <c r="L304" s="20" t="s">
        <v>6083</v>
      </c>
      <c r="M304" s="20" t="s">
        <v>6084</v>
      </c>
      <c r="N304" s="20" t="s">
        <v>6085</v>
      </c>
      <c r="O304" s="20" t="s">
        <v>6086</v>
      </c>
      <c r="P304" s="20" t="s">
        <v>6087</v>
      </c>
      <c r="Q304" s="20" t="s">
        <v>6088</v>
      </c>
      <c r="R304" s="20" t="s">
        <v>6089</v>
      </c>
      <c r="S304" s="20" t="s">
        <v>6101</v>
      </c>
      <c r="T304" s="20" t="s">
        <v>6091</v>
      </c>
    </row>
    <row r="305" spans="1:20" x14ac:dyDescent="0.2">
      <c r="A305" s="20" t="s">
        <v>31</v>
      </c>
      <c r="F305" s="20" t="s">
        <v>6092</v>
      </c>
      <c r="G305" s="20" t="s">
        <v>6093</v>
      </c>
      <c r="K305" s="20" t="s">
        <v>6917</v>
      </c>
      <c r="L305" s="20" t="s">
        <v>6094</v>
      </c>
      <c r="M305" s="20" t="s">
        <v>6095</v>
      </c>
      <c r="N305" s="20" t="s">
        <v>6096</v>
      </c>
      <c r="O305" s="20" t="s">
        <v>6097</v>
      </c>
      <c r="P305" s="20" t="s">
        <v>6098</v>
      </c>
      <c r="Q305" s="20" t="s">
        <v>6099</v>
      </c>
      <c r="R305" s="20" t="s">
        <v>6100</v>
      </c>
      <c r="S305" s="20" t="s">
        <v>6103</v>
      </c>
      <c r="T305" s="20" t="s">
        <v>6102</v>
      </c>
    </row>
    <row r="306" spans="1:20" x14ac:dyDescent="0.2">
      <c r="A306" s="20" t="s">
        <v>31</v>
      </c>
      <c r="F306" s="20" t="s">
        <v>5784</v>
      </c>
      <c r="G306" s="20" t="s">
        <v>5783</v>
      </c>
      <c r="K306" s="20" t="s">
        <v>6918</v>
      </c>
      <c r="L306" s="20" t="s">
        <v>5785</v>
      </c>
      <c r="M306" s="20" t="s">
        <v>5786</v>
      </c>
      <c r="N306" s="20" t="s">
        <v>5787</v>
      </c>
      <c r="O306" s="20" t="s">
        <v>5788</v>
      </c>
      <c r="P306" s="20" t="s">
        <v>5789</v>
      </c>
      <c r="Q306" s="20" t="s">
        <v>5790</v>
      </c>
      <c r="R306" s="20" t="s">
        <v>5791</v>
      </c>
      <c r="S306" s="20" t="s">
        <v>6640</v>
      </c>
      <c r="T306" s="20" t="s">
        <v>5792</v>
      </c>
    </row>
    <row r="307" spans="1:20" x14ac:dyDescent="0.2">
      <c r="A307" s="20" t="s">
        <v>31</v>
      </c>
      <c r="F307" s="20" t="s">
        <v>461</v>
      </c>
      <c r="G307" s="20" t="s">
        <v>462</v>
      </c>
    </row>
    <row r="308" spans="1:20" x14ac:dyDescent="0.2">
      <c r="A308" s="20" t="s">
        <v>31</v>
      </c>
      <c r="I308" s="20" t="s">
        <v>6406</v>
      </c>
      <c r="T308" s="20" t="s">
        <v>6407</v>
      </c>
    </row>
    <row r="309" spans="1:20" x14ac:dyDescent="0.2">
      <c r="A309" s="20" t="s">
        <v>31</v>
      </c>
    </row>
    <row r="310" spans="1:20" x14ac:dyDescent="0.2">
      <c r="A310" s="20" t="s">
        <v>31</v>
      </c>
      <c r="D310" s="20" t="s">
        <v>5687</v>
      </c>
      <c r="E310" s="20" t="s">
        <v>5688</v>
      </c>
      <c r="F310" s="20" t="s">
        <v>60</v>
      </c>
      <c r="G310" s="20" t="s">
        <v>6408</v>
      </c>
      <c r="I310" s="20" t="s">
        <v>506</v>
      </c>
      <c r="J310" s="20" t="s">
        <v>6409</v>
      </c>
    </row>
    <row r="311" spans="1:20" x14ac:dyDescent="0.2">
      <c r="A311" s="20" t="s">
        <v>31</v>
      </c>
      <c r="F311" s="20" t="s">
        <v>505</v>
      </c>
      <c r="G311" s="20" t="s">
        <v>506</v>
      </c>
      <c r="K311" s="20" t="s">
        <v>6410</v>
      </c>
      <c r="L311" s="20" t="s">
        <v>3081</v>
      </c>
      <c r="M311" s="20" t="s">
        <v>3082</v>
      </c>
      <c r="N311" s="20" t="s">
        <v>3083</v>
      </c>
      <c r="O311" s="20" t="s">
        <v>3084</v>
      </c>
      <c r="P311" s="20" t="s">
        <v>3085</v>
      </c>
      <c r="Q311" s="20" t="s">
        <v>3086</v>
      </c>
      <c r="R311" s="20" t="s">
        <v>3087</v>
      </c>
      <c r="S311" s="20" t="s">
        <v>3096</v>
      </c>
      <c r="T311" s="20" t="s">
        <v>3088</v>
      </c>
    </row>
    <row r="312" spans="1:20" x14ac:dyDescent="0.2">
      <c r="A312" s="20" t="s">
        <v>31</v>
      </c>
      <c r="F312" s="20" t="s">
        <v>507</v>
      </c>
      <c r="G312" s="20" t="s">
        <v>508</v>
      </c>
      <c r="K312" s="20" t="s">
        <v>6411</v>
      </c>
      <c r="L312" s="20" t="s">
        <v>3089</v>
      </c>
      <c r="M312" s="20" t="s">
        <v>3090</v>
      </c>
      <c r="N312" s="20" t="s">
        <v>3091</v>
      </c>
      <c r="O312" s="20" t="s">
        <v>3092</v>
      </c>
      <c r="P312" s="20" t="s">
        <v>3093</v>
      </c>
      <c r="Q312" s="20" t="s">
        <v>3094</v>
      </c>
      <c r="R312" s="20" t="s">
        <v>3095</v>
      </c>
      <c r="S312" s="20" t="s">
        <v>3105</v>
      </c>
      <c r="T312" s="20" t="s">
        <v>3097</v>
      </c>
    </row>
    <row r="313" spans="1:20" x14ac:dyDescent="0.2">
      <c r="A313" s="20" t="s">
        <v>31</v>
      </c>
      <c r="F313" s="20" t="s">
        <v>509</v>
      </c>
      <c r="G313" s="20" t="s">
        <v>510</v>
      </c>
      <c r="K313" s="20" t="s">
        <v>6919</v>
      </c>
      <c r="L313" s="20" t="s">
        <v>3098</v>
      </c>
      <c r="M313" s="20" t="s">
        <v>3099</v>
      </c>
      <c r="N313" s="20" t="s">
        <v>3100</v>
      </c>
      <c r="O313" s="20" t="s">
        <v>3101</v>
      </c>
      <c r="P313" s="20" t="s">
        <v>3102</v>
      </c>
      <c r="Q313" s="20" t="s">
        <v>3103</v>
      </c>
      <c r="R313" s="20" t="s">
        <v>3104</v>
      </c>
      <c r="S313" s="20" t="s">
        <v>3114</v>
      </c>
      <c r="T313" s="20" t="s">
        <v>3106</v>
      </c>
    </row>
    <row r="314" spans="1:20" x14ac:dyDescent="0.2">
      <c r="A314" s="20" t="s">
        <v>31</v>
      </c>
      <c r="F314" s="20" t="s">
        <v>511</v>
      </c>
      <c r="G314" s="20" t="s">
        <v>512</v>
      </c>
      <c r="K314" s="20" t="s">
        <v>6920</v>
      </c>
      <c r="L314" s="20" t="s">
        <v>3107</v>
      </c>
      <c r="M314" s="20" t="s">
        <v>3108</v>
      </c>
      <c r="N314" s="20" t="s">
        <v>3109</v>
      </c>
      <c r="O314" s="20" t="s">
        <v>3110</v>
      </c>
      <c r="P314" s="20" t="s">
        <v>3111</v>
      </c>
      <c r="Q314" s="20" t="s">
        <v>3112</v>
      </c>
      <c r="R314" s="20" t="s">
        <v>3113</v>
      </c>
      <c r="S314" s="20" t="s">
        <v>3123</v>
      </c>
      <c r="T314" s="20" t="s">
        <v>3115</v>
      </c>
    </row>
    <row r="315" spans="1:20" x14ac:dyDescent="0.2">
      <c r="A315" s="20" t="s">
        <v>31</v>
      </c>
      <c r="F315" s="20" t="s">
        <v>513</v>
      </c>
      <c r="G315" s="20" t="s">
        <v>514</v>
      </c>
      <c r="K315" s="20" t="s">
        <v>6921</v>
      </c>
      <c r="L315" s="20" t="s">
        <v>3116</v>
      </c>
      <c r="M315" s="20" t="s">
        <v>3117</v>
      </c>
      <c r="N315" s="20" t="s">
        <v>3118</v>
      </c>
      <c r="O315" s="20" t="s">
        <v>3119</v>
      </c>
      <c r="P315" s="20" t="s">
        <v>3120</v>
      </c>
      <c r="Q315" s="20" t="s">
        <v>3121</v>
      </c>
      <c r="R315" s="20" t="s">
        <v>3122</v>
      </c>
      <c r="S315" s="20" t="s">
        <v>3132</v>
      </c>
      <c r="T315" s="20" t="s">
        <v>3124</v>
      </c>
    </row>
    <row r="316" spans="1:20" x14ac:dyDescent="0.2">
      <c r="A316" s="20" t="s">
        <v>31</v>
      </c>
      <c r="F316" s="20" t="s">
        <v>515</v>
      </c>
      <c r="G316" s="20" t="s">
        <v>516</v>
      </c>
      <c r="K316" s="20" t="s">
        <v>6922</v>
      </c>
      <c r="L316" s="20" t="s">
        <v>3125</v>
      </c>
      <c r="M316" s="20" t="s">
        <v>3126</v>
      </c>
      <c r="N316" s="20" t="s">
        <v>3127</v>
      </c>
      <c r="O316" s="20" t="s">
        <v>3128</v>
      </c>
      <c r="P316" s="20" t="s">
        <v>3129</v>
      </c>
      <c r="Q316" s="20" t="s">
        <v>3130</v>
      </c>
      <c r="R316" s="20" t="s">
        <v>3131</v>
      </c>
      <c r="S316" s="20" t="s">
        <v>3141</v>
      </c>
      <c r="T316" s="20" t="s">
        <v>3133</v>
      </c>
    </row>
    <row r="317" spans="1:20" x14ac:dyDescent="0.2">
      <c r="A317" s="20" t="s">
        <v>31</v>
      </c>
      <c r="F317" s="20" t="s">
        <v>517</v>
      </c>
      <c r="G317" s="20" t="s">
        <v>518</v>
      </c>
      <c r="K317" s="20" t="s">
        <v>6923</v>
      </c>
      <c r="L317" s="20" t="s">
        <v>3134</v>
      </c>
      <c r="M317" s="20" t="s">
        <v>3135</v>
      </c>
      <c r="N317" s="20" t="s">
        <v>3136</v>
      </c>
      <c r="O317" s="20" t="s">
        <v>3137</v>
      </c>
      <c r="P317" s="20" t="s">
        <v>3138</v>
      </c>
      <c r="Q317" s="20" t="s">
        <v>3139</v>
      </c>
      <c r="R317" s="20" t="s">
        <v>3140</v>
      </c>
      <c r="S317" s="20" t="s">
        <v>3150</v>
      </c>
      <c r="T317" s="20" t="s">
        <v>3142</v>
      </c>
    </row>
    <row r="318" spans="1:20" x14ac:dyDescent="0.2">
      <c r="A318" s="20" t="s">
        <v>31</v>
      </c>
      <c r="F318" s="20" t="s">
        <v>519</v>
      </c>
      <c r="G318" s="20" t="s">
        <v>520</v>
      </c>
      <c r="K318" s="20" t="s">
        <v>6924</v>
      </c>
      <c r="L318" s="20" t="s">
        <v>3143</v>
      </c>
      <c r="M318" s="20" t="s">
        <v>3144</v>
      </c>
      <c r="N318" s="20" t="s">
        <v>3145</v>
      </c>
      <c r="O318" s="20" t="s">
        <v>3146</v>
      </c>
      <c r="P318" s="20" t="s">
        <v>3147</v>
      </c>
      <c r="Q318" s="20" t="s">
        <v>3148</v>
      </c>
      <c r="R318" s="20" t="s">
        <v>3149</v>
      </c>
      <c r="S318" s="20" t="s">
        <v>3159</v>
      </c>
      <c r="T318" s="20" t="s">
        <v>3151</v>
      </c>
    </row>
    <row r="319" spans="1:20" x14ac:dyDescent="0.2">
      <c r="A319" s="20" t="s">
        <v>31</v>
      </c>
      <c r="F319" s="20" t="s">
        <v>521</v>
      </c>
      <c r="G319" s="20" t="s">
        <v>522</v>
      </c>
      <c r="K319" s="20" t="s">
        <v>6925</v>
      </c>
      <c r="L319" s="20" t="s">
        <v>3152</v>
      </c>
      <c r="M319" s="20" t="s">
        <v>3153</v>
      </c>
      <c r="N319" s="20" t="s">
        <v>3154</v>
      </c>
      <c r="O319" s="20" t="s">
        <v>3155</v>
      </c>
      <c r="P319" s="20" t="s">
        <v>3156</v>
      </c>
      <c r="Q319" s="20" t="s">
        <v>3157</v>
      </c>
      <c r="R319" s="20" t="s">
        <v>3158</v>
      </c>
      <c r="S319" s="20" t="s">
        <v>3168</v>
      </c>
      <c r="T319" s="20" t="s">
        <v>3160</v>
      </c>
    </row>
    <row r="320" spans="1:20" x14ac:dyDescent="0.2">
      <c r="A320" s="20" t="s">
        <v>31</v>
      </c>
      <c r="F320" s="20" t="s">
        <v>523</v>
      </c>
      <c r="G320" s="20" t="s">
        <v>524</v>
      </c>
      <c r="K320" s="20" t="s">
        <v>6926</v>
      </c>
      <c r="L320" s="20" t="s">
        <v>3161</v>
      </c>
      <c r="M320" s="20" t="s">
        <v>3162</v>
      </c>
      <c r="N320" s="20" t="s">
        <v>3163</v>
      </c>
      <c r="O320" s="20" t="s">
        <v>3164</v>
      </c>
      <c r="P320" s="20" t="s">
        <v>3165</v>
      </c>
      <c r="Q320" s="20" t="s">
        <v>3166</v>
      </c>
      <c r="R320" s="20" t="s">
        <v>3167</v>
      </c>
      <c r="S320" s="20" t="s">
        <v>3177</v>
      </c>
      <c r="T320" s="20" t="s">
        <v>3169</v>
      </c>
    </row>
    <row r="321" spans="1:20" x14ac:dyDescent="0.2">
      <c r="A321" s="20" t="s">
        <v>31</v>
      </c>
      <c r="F321" s="20" t="s">
        <v>525</v>
      </c>
      <c r="G321" s="20" t="s">
        <v>526</v>
      </c>
      <c r="K321" s="20" t="s">
        <v>6927</v>
      </c>
      <c r="L321" s="20" t="s">
        <v>3170</v>
      </c>
      <c r="M321" s="20" t="s">
        <v>3171</v>
      </c>
      <c r="N321" s="20" t="s">
        <v>3172</v>
      </c>
      <c r="O321" s="20" t="s">
        <v>3173</v>
      </c>
      <c r="P321" s="20" t="s">
        <v>3174</v>
      </c>
      <c r="Q321" s="20" t="s">
        <v>3175</v>
      </c>
      <c r="R321" s="20" t="s">
        <v>3176</v>
      </c>
      <c r="S321" s="20" t="s">
        <v>3186</v>
      </c>
      <c r="T321" s="20" t="s">
        <v>3178</v>
      </c>
    </row>
    <row r="322" spans="1:20" x14ac:dyDescent="0.2">
      <c r="A322" s="20" t="s">
        <v>31</v>
      </c>
      <c r="F322" s="20" t="s">
        <v>527</v>
      </c>
      <c r="G322" s="20" t="s">
        <v>528</v>
      </c>
      <c r="K322" s="20" t="s">
        <v>6928</v>
      </c>
      <c r="L322" s="20" t="s">
        <v>3179</v>
      </c>
      <c r="M322" s="20" t="s">
        <v>3180</v>
      </c>
      <c r="N322" s="20" t="s">
        <v>3181</v>
      </c>
      <c r="O322" s="20" t="s">
        <v>3182</v>
      </c>
      <c r="P322" s="20" t="s">
        <v>3183</v>
      </c>
      <c r="Q322" s="20" t="s">
        <v>3184</v>
      </c>
      <c r="R322" s="20" t="s">
        <v>3185</v>
      </c>
      <c r="S322" s="20" t="s">
        <v>3195</v>
      </c>
      <c r="T322" s="20" t="s">
        <v>3187</v>
      </c>
    </row>
    <row r="323" spans="1:20" x14ac:dyDescent="0.2">
      <c r="A323" s="20" t="s">
        <v>31</v>
      </c>
      <c r="F323" s="20" t="s">
        <v>529</v>
      </c>
      <c r="G323" s="20" t="s">
        <v>530</v>
      </c>
      <c r="K323" s="20" t="s">
        <v>6929</v>
      </c>
      <c r="L323" s="20" t="s">
        <v>3188</v>
      </c>
      <c r="M323" s="20" t="s">
        <v>3189</v>
      </c>
      <c r="N323" s="20" t="s">
        <v>3190</v>
      </c>
      <c r="O323" s="20" t="s">
        <v>3191</v>
      </c>
      <c r="P323" s="20" t="s">
        <v>3192</v>
      </c>
      <c r="Q323" s="20" t="s">
        <v>3193</v>
      </c>
      <c r="R323" s="20" t="s">
        <v>3194</v>
      </c>
      <c r="S323" s="20" t="s">
        <v>3204</v>
      </c>
      <c r="T323" s="20" t="s">
        <v>3196</v>
      </c>
    </row>
    <row r="324" spans="1:20" x14ac:dyDescent="0.2">
      <c r="A324" s="20" t="s">
        <v>31</v>
      </c>
      <c r="F324" s="20" t="s">
        <v>531</v>
      </c>
      <c r="G324" s="20" t="s">
        <v>532</v>
      </c>
      <c r="K324" s="20" t="s">
        <v>6930</v>
      </c>
      <c r="L324" s="20" t="s">
        <v>3197</v>
      </c>
      <c r="M324" s="20" t="s">
        <v>3198</v>
      </c>
      <c r="N324" s="20" t="s">
        <v>3199</v>
      </c>
      <c r="O324" s="20" t="s">
        <v>3200</v>
      </c>
      <c r="P324" s="20" t="s">
        <v>3201</v>
      </c>
      <c r="Q324" s="20" t="s">
        <v>3202</v>
      </c>
      <c r="R324" s="20" t="s">
        <v>3203</v>
      </c>
      <c r="S324" s="20" t="s">
        <v>3213</v>
      </c>
      <c r="T324" s="20" t="s">
        <v>3205</v>
      </c>
    </row>
    <row r="325" spans="1:20" x14ac:dyDescent="0.2">
      <c r="A325" s="20" t="s">
        <v>31</v>
      </c>
      <c r="F325" s="20" t="s">
        <v>533</v>
      </c>
      <c r="G325" s="20" t="s">
        <v>534</v>
      </c>
      <c r="K325" s="20" t="s">
        <v>6931</v>
      </c>
      <c r="L325" s="20" t="s">
        <v>3206</v>
      </c>
      <c r="M325" s="20" t="s">
        <v>3207</v>
      </c>
      <c r="N325" s="20" t="s">
        <v>3208</v>
      </c>
      <c r="O325" s="20" t="s">
        <v>3209</v>
      </c>
      <c r="P325" s="20" t="s">
        <v>3210</v>
      </c>
      <c r="Q325" s="20" t="s">
        <v>3211</v>
      </c>
      <c r="R325" s="20" t="s">
        <v>3212</v>
      </c>
      <c r="S325" s="20" t="s">
        <v>3222</v>
      </c>
      <c r="T325" s="20" t="s">
        <v>3214</v>
      </c>
    </row>
    <row r="326" spans="1:20" x14ac:dyDescent="0.2">
      <c r="A326" s="20" t="s">
        <v>31</v>
      </c>
      <c r="F326" s="20" t="s">
        <v>535</v>
      </c>
      <c r="G326" s="20" t="s">
        <v>536</v>
      </c>
      <c r="K326" s="20" t="s">
        <v>6932</v>
      </c>
      <c r="L326" s="20" t="s">
        <v>3215</v>
      </c>
      <c r="M326" s="20" t="s">
        <v>3216</v>
      </c>
      <c r="N326" s="20" t="s">
        <v>3217</v>
      </c>
      <c r="O326" s="20" t="s">
        <v>3218</v>
      </c>
      <c r="P326" s="20" t="s">
        <v>3219</v>
      </c>
      <c r="Q326" s="20" t="s">
        <v>3220</v>
      </c>
      <c r="R326" s="20" t="s">
        <v>3221</v>
      </c>
      <c r="S326" s="20" t="s">
        <v>3231</v>
      </c>
      <c r="T326" s="20" t="s">
        <v>3223</v>
      </c>
    </row>
    <row r="327" spans="1:20" x14ac:dyDescent="0.2">
      <c r="A327" s="20" t="s">
        <v>31</v>
      </c>
      <c r="F327" s="20" t="s">
        <v>537</v>
      </c>
      <c r="G327" s="20" t="s">
        <v>538</v>
      </c>
      <c r="K327" s="20" t="s">
        <v>6933</v>
      </c>
      <c r="L327" s="20" t="s">
        <v>3224</v>
      </c>
      <c r="M327" s="20" t="s">
        <v>3225</v>
      </c>
      <c r="N327" s="20" t="s">
        <v>3226</v>
      </c>
      <c r="O327" s="20" t="s">
        <v>3227</v>
      </c>
      <c r="P327" s="20" t="s">
        <v>3228</v>
      </c>
      <c r="Q327" s="20" t="s">
        <v>3229</v>
      </c>
      <c r="R327" s="20" t="s">
        <v>3230</v>
      </c>
      <c r="S327" s="20" t="s">
        <v>3240</v>
      </c>
      <c r="T327" s="20" t="s">
        <v>3232</v>
      </c>
    </row>
    <row r="328" spans="1:20" x14ac:dyDescent="0.2">
      <c r="A328" s="20" t="s">
        <v>31</v>
      </c>
      <c r="F328" s="20" t="s">
        <v>539</v>
      </c>
      <c r="G328" s="20" t="s">
        <v>540</v>
      </c>
      <c r="K328" s="20" t="s">
        <v>6934</v>
      </c>
      <c r="L328" s="20" t="s">
        <v>3233</v>
      </c>
      <c r="M328" s="20" t="s">
        <v>3234</v>
      </c>
      <c r="N328" s="20" t="s">
        <v>3235</v>
      </c>
      <c r="O328" s="20" t="s">
        <v>3236</v>
      </c>
      <c r="P328" s="20" t="s">
        <v>3237</v>
      </c>
      <c r="Q328" s="20" t="s">
        <v>3238</v>
      </c>
      <c r="R328" s="20" t="s">
        <v>3239</v>
      </c>
      <c r="S328" s="20" t="s">
        <v>3249</v>
      </c>
      <c r="T328" s="20" t="s">
        <v>3241</v>
      </c>
    </row>
    <row r="329" spans="1:20" x14ac:dyDescent="0.2">
      <c r="A329" s="20" t="s">
        <v>31</v>
      </c>
      <c r="F329" s="20" t="s">
        <v>541</v>
      </c>
      <c r="G329" s="20" t="s">
        <v>542</v>
      </c>
      <c r="K329" s="20" t="s">
        <v>6935</v>
      </c>
      <c r="L329" s="20" t="s">
        <v>3242</v>
      </c>
      <c r="M329" s="20" t="s">
        <v>3243</v>
      </c>
      <c r="N329" s="20" t="s">
        <v>3244</v>
      </c>
      <c r="O329" s="20" t="s">
        <v>3245</v>
      </c>
      <c r="P329" s="20" t="s">
        <v>3246</v>
      </c>
      <c r="Q329" s="20" t="s">
        <v>3247</v>
      </c>
      <c r="R329" s="20" t="s">
        <v>3248</v>
      </c>
      <c r="S329" s="20" t="s">
        <v>3258</v>
      </c>
      <c r="T329" s="20" t="s">
        <v>3250</v>
      </c>
    </row>
    <row r="330" spans="1:20" x14ac:dyDescent="0.2">
      <c r="A330" s="20" t="s">
        <v>31</v>
      </c>
      <c r="F330" s="20" t="s">
        <v>543</v>
      </c>
      <c r="G330" s="20" t="s">
        <v>544</v>
      </c>
      <c r="K330" s="20" t="s">
        <v>6936</v>
      </c>
      <c r="L330" s="20" t="s">
        <v>3251</v>
      </c>
      <c r="M330" s="20" t="s">
        <v>3252</v>
      </c>
      <c r="N330" s="20" t="s">
        <v>3253</v>
      </c>
      <c r="O330" s="20" t="s">
        <v>3254</v>
      </c>
      <c r="P330" s="20" t="s">
        <v>3255</v>
      </c>
      <c r="Q330" s="20" t="s">
        <v>3256</v>
      </c>
      <c r="R330" s="20" t="s">
        <v>3257</v>
      </c>
      <c r="S330" s="20" t="s">
        <v>3267</v>
      </c>
      <c r="T330" s="20" t="s">
        <v>3259</v>
      </c>
    </row>
    <row r="331" spans="1:20" x14ac:dyDescent="0.2">
      <c r="A331" s="20" t="s">
        <v>31</v>
      </c>
      <c r="F331" s="20" t="s">
        <v>545</v>
      </c>
      <c r="G331" s="20" t="s">
        <v>546</v>
      </c>
      <c r="K331" s="20" t="s">
        <v>6937</v>
      </c>
      <c r="L331" s="20" t="s">
        <v>3260</v>
      </c>
      <c r="M331" s="20" t="s">
        <v>3261</v>
      </c>
      <c r="N331" s="20" t="s">
        <v>3262</v>
      </c>
      <c r="O331" s="20" t="s">
        <v>3263</v>
      </c>
      <c r="P331" s="20" t="s">
        <v>3264</v>
      </c>
      <c r="Q331" s="20" t="s">
        <v>3265</v>
      </c>
      <c r="R331" s="20" t="s">
        <v>3266</v>
      </c>
      <c r="S331" s="20" t="s">
        <v>3276</v>
      </c>
      <c r="T331" s="20" t="s">
        <v>3268</v>
      </c>
    </row>
    <row r="332" spans="1:20" x14ac:dyDescent="0.2">
      <c r="A332" s="20" t="s">
        <v>31</v>
      </c>
      <c r="F332" s="20" t="s">
        <v>547</v>
      </c>
      <c r="G332" s="20" t="s">
        <v>548</v>
      </c>
      <c r="K332" s="20" t="s">
        <v>6938</v>
      </c>
      <c r="L332" s="20" t="s">
        <v>3269</v>
      </c>
      <c r="M332" s="20" t="s">
        <v>3270</v>
      </c>
      <c r="N332" s="20" t="s">
        <v>3271</v>
      </c>
      <c r="O332" s="20" t="s">
        <v>3272</v>
      </c>
      <c r="P332" s="20" t="s">
        <v>3273</v>
      </c>
      <c r="Q332" s="20" t="s">
        <v>3274</v>
      </c>
      <c r="R332" s="20" t="s">
        <v>3275</v>
      </c>
      <c r="S332" s="20" t="s">
        <v>3285</v>
      </c>
      <c r="T332" s="20" t="s">
        <v>3277</v>
      </c>
    </row>
    <row r="333" spans="1:20" x14ac:dyDescent="0.2">
      <c r="A333" s="20" t="s">
        <v>31</v>
      </c>
      <c r="F333" s="20" t="s">
        <v>549</v>
      </c>
      <c r="G333" s="20" t="s">
        <v>550</v>
      </c>
      <c r="K333" s="20" t="s">
        <v>6939</v>
      </c>
      <c r="L333" s="20" t="s">
        <v>3278</v>
      </c>
      <c r="M333" s="20" t="s">
        <v>3279</v>
      </c>
      <c r="N333" s="20" t="s">
        <v>3280</v>
      </c>
      <c r="O333" s="20" t="s">
        <v>3281</v>
      </c>
      <c r="P333" s="20" t="s">
        <v>3282</v>
      </c>
      <c r="Q333" s="20" t="s">
        <v>3283</v>
      </c>
      <c r="R333" s="20" t="s">
        <v>3284</v>
      </c>
      <c r="S333" s="20" t="s">
        <v>3294</v>
      </c>
      <c r="T333" s="20" t="s">
        <v>3286</v>
      </c>
    </row>
    <row r="334" spans="1:20" x14ac:dyDescent="0.2">
      <c r="A334" s="20" t="s">
        <v>31</v>
      </c>
      <c r="F334" s="20" t="s">
        <v>551</v>
      </c>
      <c r="G334" s="20" t="s">
        <v>552</v>
      </c>
      <c r="K334" s="20" t="s">
        <v>6940</v>
      </c>
      <c r="L334" s="20" t="s">
        <v>3287</v>
      </c>
      <c r="M334" s="20" t="s">
        <v>3288</v>
      </c>
      <c r="N334" s="20" t="s">
        <v>3289</v>
      </c>
      <c r="O334" s="20" t="s">
        <v>3290</v>
      </c>
      <c r="P334" s="20" t="s">
        <v>3291</v>
      </c>
      <c r="Q334" s="20" t="s">
        <v>3292</v>
      </c>
      <c r="R334" s="20" t="s">
        <v>3293</v>
      </c>
      <c r="S334" s="20" t="s">
        <v>3303</v>
      </c>
      <c r="T334" s="20" t="s">
        <v>3295</v>
      </c>
    </row>
    <row r="335" spans="1:20" x14ac:dyDescent="0.2">
      <c r="A335" s="20" t="s">
        <v>31</v>
      </c>
      <c r="F335" s="20" t="s">
        <v>553</v>
      </c>
      <c r="G335" s="20" t="s">
        <v>554</v>
      </c>
      <c r="K335" s="20" t="s">
        <v>6941</v>
      </c>
      <c r="L335" s="20" t="s">
        <v>3296</v>
      </c>
      <c r="M335" s="20" t="s">
        <v>3297</v>
      </c>
      <c r="N335" s="20" t="s">
        <v>3298</v>
      </c>
      <c r="O335" s="20" t="s">
        <v>3299</v>
      </c>
      <c r="P335" s="20" t="s">
        <v>3300</v>
      </c>
      <c r="Q335" s="20" t="s">
        <v>3301</v>
      </c>
      <c r="R335" s="20" t="s">
        <v>3302</v>
      </c>
      <c r="S335" s="20" t="s">
        <v>3312</v>
      </c>
      <c r="T335" s="20" t="s">
        <v>3304</v>
      </c>
    </row>
    <row r="336" spans="1:20" x14ac:dyDescent="0.2">
      <c r="A336" s="20" t="s">
        <v>31</v>
      </c>
      <c r="F336" s="20" t="s">
        <v>555</v>
      </c>
      <c r="G336" s="20" t="s">
        <v>556</v>
      </c>
      <c r="K336" s="20" t="s">
        <v>6942</v>
      </c>
      <c r="L336" s="20" t="s">
        <v>3305</v>
      </c>
      <c r="M336" s="20" t="s">
        <v>3306</v>
      </c>
      <c r="N336" s="20" t="s">
        <v>3307</v>
      </c>
      <c r="O336" s="20" t="s">
        <v>3308</v>
      </c>
      <c r="P336" s="20" t="s">
        <v>3309</v>
      </c>
      <c r="Q336" s="20" t="s">
        <v>3310</v>
      </c>
      <c r="R336" s="20" t="s">
        <v>3311</v>
      </c>
      <c r="S336" s="20" t="s">
        <v>3321</v>
      </c>
      <c r="T336" s="20" t="s">
        <v>3313</v>
      </c>
    </row>
    <row r="337" spans="1:20" x14ac:dyDescent="0.2">
      <c r="A337" s="20" t="s">
        <v>31</v>
      </c>
      <c r="F337" s="20" t="s">
        <v>557</v>
      </c>
      <c r="G337" s="20" t="s">
        <v>558</v>
      </c>
      <c r="K337" s="20" t="s">
        <v>6943</v>
      </c>
      <c r="L337" s="20" t="s">
        <v>3314</v>
      </c>
      <c r="M337" s="20" t="s">
        <v>3315</v>
      </c>
      <c r="N337" s="20" t="s">
        <v>3316</v>
      </c>
      <c r="O337" s="20" t="s">
        <v>3317</v>
      </c>
      <c r="P337" s="20" t="s">
        <v>3318</v>
      </c>
      <c r="Q337" s="20" t="s">
        <v>3319</v>
      </c>
      <c r="R337" s="20" t="s">
        <v>3320</v>
      </c>
      <c r="S337" s="20" t="s">
        <v>3330</v>
      </c>
      <c r="T337" s="20" t="s">
        <v>3322</v>
      </c>
    </row>
    <row r="338" spans="1:20" x14ac:dyDescent="0.2">
      <c r="A338" s="20" t="s">
        <v>31</v>
      </c>
      <c r="F338" s="20" t="s">
        <v>559</v>
      </c>
      <c r="G338" s="20" t="s">
        <v>560</v>
      </c>
      <c r="K338" s="20" t="s">
        <v>6944</v>
      </c>
      <c r="L338" s="20" t="s">
        <v>3323</v>
      </c>
      <c r="M338" s="20" t="s">
        <v>3324</v>
      </c>
      <c r="N338" s="20" t="s">
        <v>3325</v>
      </c>
      <c r="O338" s="20" t="s">
        <v>3326</v>
      </c>
      <c r="P338" s="20" t="s">
        <v>3327</v>
      </c>
      <c r="Q338" s="20" t="s">
        <v>3328</v>
      </c>
      <c r="R338" s="20" t="s">
        <v>3329</v>
      </c>
      <c r="S338" s="20" t="s">
        <v>3339</v>
      </c>
      <c r="T338" s="20" t="s">
        <v>3331</v>
      </c>
    </row>
    <row r="339" spans="1:20" x14ac:dyDescent="0.2">
      <c r="A339" s="20" t="s">
        <v>31</v>
      </c>
      <c r="F339" s="20" t="s">
        <v>561</v>
      </c>
      <c r="G339" s="20" t="s">
        <v>562</v>
      </c>
      <c r="K339" s="20" t="s">
        <v>6945</v>
      </c>
      <c r="L339" s="20" t="s">
        <v>3332</v>
      </c>
      <c r="M339" s="20" t="s">
        <v>3333</v>
      </c>
      <c r="N339" s="20" t="s">
        <v>3334</v>
      </c>
      <c r="O339" s="20" t="s">
        <v>3335</v>
      </c>
      <c r="P339" s="20" t="s">
        <v>3336</v>
      </c>
      <c r="Q339" s="20" t="s">
        <v>3337</v>
      </c>
      <c r="R339" s="20" t="s">
        <v>3338</v>
      </c>
      <c r="S339" s="20" t="s">
        <v>6641</v>
      </c>
      <c r="T339" s="20" t="s">
        <v>3340</v>
      </c>
    </row>
    <row r="340" spans="1:20" x14ac:dyDescent="0.2">
      <c r="A340" s="20" t="s">
        <v>31</v>
      </c>
      <c r="F340" s="20" t="s">
        <v>509</v>
      </c>
      <c r="G340" s="20" t="s">
        <v>510</v>
      </c>
    </row>
    <row r="341" spans="1:20" x14ac:dyDescent="0.2">
      <c r="A341" s="20" t="s">
        <v>31</v>
      </c>
      <c r="I341" s="20" t="s">
        <v>6412</v>
      </c>
      <c r="T341" s="20" t="s">
        <v>6413</v>
      </c>
    </row>
    <row r="342" spans="1:20" x14ac:dyDescent="0.2">
      <c r="A342" s="20" t="s">
        <v>31</v>
      </c>
    </row>
    <row r="343" spans="1:20" x14ac:dyDescent="0.2">
      <c r="A343" s="20" t="s">
        <v>31</v>
      </c>
      <c r="D343" s="20" t="s">
        <v>5687</v>
      </c>
      <c r="E343" s="20" t="s">
        <v>5688</v>
      </c>
      <c r="F343" s="20" t="s">
        <v>6242</v>
      </c>
      <c r="G343" s="20" t="s">
        <v>6414</v>
      </c>
      <c r="I343" s="20" t="s">
        <v>564</v>
      </c>
      <c r="J343" s="20" t="s">
        <v>6415</v>
      </c>
    </row>
    <row r="344" spans="1:20" x14ac:dyDescent="0.2">
      <c r="A344" s="20" t="s">
        <v>31</v>
      </c>
      <c r="F344" s="20" t="s">
        <v>563</v>
      </c>
      <c r="G344" s="20" t="s">
        <v>564</v>
      </c>
      <c r="K344" s="20" t="s">
        <v>6416</v>
      </c>
      <c r="L344" s="20" t="s">
        <v>3341</v>
      </c>
      <c r="M344" s="20" t="s">
        <v>3342</v>
      </c>
      <c r="N344" s="20" t="s">
        <v>3343</v>
      </c>
      <c r="O344" s="20" t="s">
        <v>3344</v>
      </c>
      <c r="P344" s="20" t="s">
        <v>3345</v>
      </c>
      <c r="Q344" s="20" t="s">
        <v>3346</v>
      </c>
      <c r="R344" s="20" t="s">
        <v>3347</v>
      </c>
      <c r="S344" s="20" t="s">
        <v>3356</v>
      </c>
      <c r="T344" s="20" t="s">
        <v>3348</v>
      </c>
    </row>
    <row r="345" spans="1:20" x14ac:dyDescent="0.2">
      <c r="A345" s="20" t="s">
        <v>31</v>
      </c>
      <c r="F345" s="20" t="s">
        <v>565</v>
      </c>
      <c r="G345" s="20" t="s">
        <v>566</v>
      </c>
      <c r="K345" s="20" t="s">
        <v>6417</v>
      </c>
      <c r="L345" s="20" t="s">
        <v>3349</v>
      </c>
      <c r="M345" s="20" t="s">
        <v>3350</v>
      </c>
      <c r="N345" s="20" t="s">
        <v>3351</v>
      </c>
      <c r="O345" s="20" t="s">
        <v>3352</v>
      </c>
      <c r="P345" s="20" t="s">
        <v>3353</v>
      </c>
      <c r="Q345" s="20" t="s">
        <v>3354</v>
      </c>
      <c r="R345" s="20" t="s">
        <v>3355</v>
      </c>
      <c r="S345" s="20" t="s">
        <v>3365</v>
      </c>
      <c r="T345" s="20" t="s">
        <v>3357</v>
      </c>
    </row>
    <row r="346" spans="1:20" x14ac:dyDescent="0.2">
      <c r="A346" s="20" t="s">
        <v>31</v>
      </c>
      <c r="F346" s="20" t="s">
        <v>567</v>
      </c>
      <c r="G346" s="20" t="s">
        <v>568</v>
      </c>
      <c r="K346" s="20" t="s">
        <v>6946</v>
      </c>
      <c r="L346" s="20" t="s">
        <v>3358</v>
      </c>
      <c r="M346" s="20" t="s">
        <v>3359</v>
      </c>
      <c r="N346" s="20" t="s">
        <v>3360</v>
      </c>
      <c r="O346" s="20" t="s">
        <v>3361</v>
      </c>
      <c r="P346" s="20" t="s">
        <v>3362</v>
      </c>
      <c r="Q346" s="20" t="s">
        <v>3363</v>
      </c>
      <c r="R346" s="20" t="s">
        <v>3364</v>
      </c>
      <c r="S346" s="20" t="s">
        <v>3374</v>
      </c>
      <c r="T346" s="20" t="s">
        <v>3366</v>
      </c>
    </row>
    <row r="347" spans="1:20" x14ac:dyDescent="0.2">
      <c r="A347" s="20" t="s">
        <v>31</v>
      </c>
      <c r="F347" s="20" t="s">
        <v>569</v>
      </c>
      <c r="G347" s="20" t="s">
        <v>570</v>
      </c>
      <c r="K347" s="20" t="s">
        <v>6947</v>
      </c>
      <c r="L347" s="20" t="s">
        <v>3367</v>
      </c>
      <c r="M347" s="20" t="s">
        <v>3368</v>
      </c>
      <c r="N347" s="20" t="s">
        <v>3369</v>
      </c>
      <c r="O347" s="20" t="s">
        <v>3370</v>
      </c>
      <c r="P347" s="20" t="s">
        <v>3371</v>
      </c>
      <c r="Q347" s="20" t="s">
        <v>3372</v>
      </c>
      <c r="R347" s="20" t="s">
        <v>3373</v>
      </c>
      <c r="S347" s="20" t="s">
        <v>3383</v>
      </c>
      <c r="T347" s="20" t="s">
        <v>3375</v>
      </c>
    </row>
    <row r="348" spans="1:20" x14ac:dyDescent="0.2">
      <c r="A348" s="20" t="s">
        <v>31</v>
      </c>
      <c r="F348" s="20" t="s">
        <v>571</v>
      </c>
      <c r="G348" s="20" t="s">
        <v>572</v>
      </c>
      <c r="K348" s="20" t="s">
        <v>6948</v>
      </c>
      <c r="L348" s="20" t="s">
        <v>3376</v>
      </c>
      <c r="M348" s="20" t="s">
        <v>3377</v>
      </c>
      <c r="N348" s="20" t="s">
        <v>3378</v>
      </c>
      <c r="O348" s="20" t="s">
        <v>3379</v>
      </c>
      <c r="P348" s="20" t="s">
        <v>3380</v>
      </c>
      <c r="Q348" s="20" t="s">
        <v>3381</v>
      </c>
      <c r="R348" s="20" t="s">
        <v>3382</v>
      </c>
      <c r="S348" s="20" t="s">
        <v>3392</v>
      </c>
      <c r="T348" s="20" t="s">
        <v>3384</v>
      </c>
    </row>
    <row r="349" spans="1:20" x14ac:dyDescent="0.2">
      <c r="A349" s="20" t="s">
        <v>31</v>
      </c>
      <c r="F349" s="20" t="s">
        <v>573</v>
      </c>
      <c r="G349" s="20" t="s">
        <v>574</v>
      </c>
      <c r="K349" s="20" t="s">
        <v>6949</v>
      </c>
      <c r="L349" s="20" t="s">
        <v>3385</v>
      </c>
      <c r="M349" s="20" t="s">
        <v>3386</v>
      </c>
      <c r="N349" s="20" t="s">
        <v>3387</v>
      </c>
      <c r="O349" s="20" t="s">
        <v>3388</v>
      </c>
      <c r="P349" s="20" t="s">
        <v>3389</v>
      </c>
      <c r="Q349" s="20" t="s">
        <v>3390</v>
      </c>
      <c r="R349" s="20" t="s">
        <v>3391</v>
      </c>
      <c r="S349" s="20" t="s">
        <v>3401</v>
      </c>
      <c r="T349" s="20" t="s">
        <v>3393</v>
      </c>
    </row>
    <row r="350" spans="1:20" x14ac:dyDescent="0.2">
      <c r="A350" s="20" t="s">
        <v>31</v>
      </c>
      <c r="F350" s="20" t="s">
        <v>575</v>
      </c>
      <c r="G350" s="20" t="s">
        <v>576</v>
      </c>
      <c r="K350" s="20" t="s">
        <v>6950</v>
      </c>
      <c r="L350" s="20" t="s">
        <v>3394</v>
      </c>
      <c r="M350" s="20" t="s">
        <v>3395</v>
      </c>
      <c r="N350" s="20" t="s">
        <v>3396</v>
      </c>
      <c r="O350" s="20" t="s">
        <v>3397</v>
      </c>
      <c r="P350" s="20" t="s">
        <v>3398</v>
      </c>
      <c r="Q350" s="20" t="s">
        <v>3399</v>
      </c>
      <c r="R350" s="20" t="s">
        <v>3400</v>
      </c>
      <c r="S350" s="20" t="s">
        <v>3410</v>
      </c>
      <c r="T350" s="20" t="s">
        <v>3402</v>
      </c>
    </row>
    <row r="351" spans="1:20" x14ac:dyDescent="0.2">
      <c r="A351" s="20" t="s">
        <v>31</v>
      </c>
      <c r="F351" s="20" t="s">
        <v>577</v>
      </c>
      <c r="G351" s="20" t="s">
        <v>578</v>
      </c>
      <c r="K351" s="20" t="s">
        <v>6951</v>
      </c>
      <c r="L351" s="20" t="s">
        <v>3403</v>
      </c>
      <c r="M351" s="20" t="s">
        <v>3404</v>
      </c>
      <c r="N351" s="20" t="s">
        <v>3405</v>
      </c>
      <c r="O351" s="20" t="s">
        <v>3406</v>
      </c>
      <c r="P351" s="20" t="s">
        <v>3407</v>
      </c>
      <c r="Q351" s="20" t="s">
        <v>3408</v>
      </c>
      <c r="R351" s="20" t="s">
        <v>3409</v>
      </c>
      <c r="S351" s="20" t="s">
        <v>3419</v>
      </c>
      <c r="T351" s="20" t="s">
        <v>3411</v>
      </c>
    </row>
    <row r="352" spans="1:20" x14ac:dyDescent="0.2">
      <c r="A352" s="20" t="s">
        <v>31</v>
      </c>
      <c r="F352" s="20" t="s">
        <v>579</v>
      </c>
      <c r="G352" s="20" t="s">
        <v>580</v>
      </c>
      <c r="K352" s="20" t="s">
        <v>6952</v>
      </c>
      <c r="L352" s="20" t="s">
        <v>3412</v>
      </c>
      <c r="M352" s="20" t="s">
        <v>3413</v>
      </c>
      <c r="N352" s="20" t="s">
        <v>3414</v>
      </c>
      <c r="O352" s="20" t="s">
        <v>3415</v>
      </c>
      <c r="P352" s="20" t="s">
        <v>3416</v>
      </c>
      <c r="Q352" s="20" t="s">
        <v>3417</v>
      </c>
      <c r="R352" s="20" t="s">
        <v>3418</v>
      </c>
      <c r="S352" s="20" t="s">
        <v>3428</v>
      </c>
      <c r="T352" s="20" t="s">
        <v>3420</v>
      </c>
    </row>
    <row r="353" spans="1:20" x14ac:dyDescent="0.2">
      <c r="A353" s="20" t="s">
        <v>31</v>
      </c>
      <c r="F353" s="20" t="s">
        <v>581</v>
      </c>
      <c r="G353" s="20" t="s">
        <v>582</v>
      </c>
      <c r="K353" s="20" t="s">
        <v>6953</v>
      </c>
      <c r="L353" s="20" t="s">
        <v>3421</v>
      </c>
      <c r="M353" s="20" t="s">
        <v>3422</v>
      </c>
      <c r="N353" s="20" t="s">
        <v>3423</v>
      </c>
      <c r="O353" s="20" t="s">
        <v>3424</v>
      </c>
      <c r="P353" s="20" t="s">
        <v>3425</v>
      </c>
      <c r="Q353" s="20" t="s">
        <v>3426</v>
      </c>
      <c r="R353" s="20" t="s">
        <v>3427</v>
      </c>
      <c r="S353" s="20" t="s">
        <v>3437</v>
      </c>
      <c r="T353" s="20" t="s">
        <v>3429</v>
      </c>
    </row>
    <row r="354" spans="1:20" x14ac:dyDescent="0.2">
      <c r="A354" s="20" t="s">
        <v>31</v>
      </c>
      <c r="F354" s="20" t="s">
        <v>583</v>
      </c>
      <c r="G354" s="20" t="s">
        <v>584</v>
      </c>
      <c r="K354" s="20" t="s">
        <v>6954</v>
      </c>
      <c r="L354" s="20" t="s">
        <v>3430</v>
      </c>
      <c r="M354" s="20" t="s">
        <v>3431</v>
      </c>
      <c r="N354" s="20" t="s">
        <v>3432</v>
      </c>
      <c r="O354" s="20" t="s">
        <v>3433</v>
      </c>
      <c r="P354" s="20" t="s">
        <v>3434</v>
      </c>
      <c r="Q354" s="20" t="s">
        <v>3435</v>
      </c>
      <c r="R354" s="20" t="s">
        <v>3436</v>
      </c>
      <c r="S354" s="20" t="s">
        <v>3446</v>
      </c>
      <c r="T354" s="20" t="s">
        <v>3438</v>
      </c>
    </row>
    <row r="355" spans="1:20" x14ac:dyDescent="0.2">
      <c r="A355" s="20" t="s">
        <v>31</v>
      </c>
      <c r="F355" s="20" t="s">
        <v>585</v>
      </c>
      <c r="G355" s="20" t="s">
        <v>586</v>
      </c>
      <c r="K355" s="20" t="s">
        <v>6955</v>
      </c>
      <c r="L355" s="20" t="s">
        <v>3439</v>
      </c>
      <c r="M355" s="20" t="s">
        <v>3440</v>
      </c>
      <c r="N355" s="20" t="s">
        <v>3441</v>
      </c>
      <c r="O355" s="20" t="s">
        <v>3442</v>
      </c>
      <c r="P355" s="20" t="s">
        <v>3443</v>
      </c>
      <c r="Q355" s="20" t="s">
        <v>3444</v>
      </c>
      <c r="R355" s="20" t="s">
        <v>3445</v>
      </c>
      <c r="S355" s="20" t="s">
        <v>3455</v>
      </c>
      <c r="T355" s="20" t="s">
        <v>3447</v>
      </c>
    </row>
    <row r="356" spans="1:20" x14ac:dyDescent="0.2">
      <c r="A356" s="20" t="s">
        <v>31</v>
      </c>
      <c r="F356" s="20" t="s">
        <v>587</v>
      </c>
      <c r="G356" s="20" t="s">
        <v>588</v>
      </c>
      <c r="K356" s="20" t="s">
        <v>6956</v>
      </c>
      <c r="L356" s="20" t="s">
        <v>3448</v>
      </c>
      <c r="M356" s="20" t="s">
        <v>3449</v>
      </c>
      <c r="N356" s="20" t="s">
        <v>3450</v>
      </c>
      <c r="O356" s="20" t="s">
        <v>3451</v>
      </c>
      <c r="P356" s="20" t="s">
        <v>3452</v>
      </c>
      <c r="Q356" s="20" t="s">
        <v>3453</v>
      </c>
      <c r="R356" s="20" t="s">
        <v>3454</v>
      </c>
      <c r="S356" s="20" t="s">
        <v>3464</v>
      </c>
      <c r="T356" s="20" t="s">
        <v>3456</v>
      </c>
    </row>
    <row r="357" spans="1:20" x14ac:dyDescent="0.2">
      <c r="A357" s="20" t="s">
        <v>31</v>
      </c>
      <c r="F357" s="20" t="s">
        <v>589</v>
      </c>
      <c r="G357" s="20" t="s">
        <v>590</v>
      </c>
      <c r="K357" s="20" t="s">
        <v>6957</v>
      </c>
      <c r="L357" s="20" t="s">
        <v>3457</v>
      </c>
      <c r="M357" s="20" t="s">
        <v>3458</v>
      </c>
      <c r="N357" s="20" t="s">
        <v>3459</v>
      </c>
      <c r="O357" s="20" t="s">
        <v>3460</v>
      </c>
      <c r="P357" s="20" t="s">
        <v>3461</v>
      </c>
      <c r="Q357" s="20" t="s">
        <v>3462</v>
      </c>
      <c r="R357" s="20" t="s">
        <v>3463</v>
      </c>
      <c r="S357" s="20" t="s">
        <v>3473</v>
      </c>
      <c r="T357" s="20" t="s">
        <v>3465</v>
      </c>
    </row>
    <row r="358" spans="1:20" x14ac:dyDescent="0.2">
      <c r="A358" s="20" t="s">
        <v>31</v>
      </c>
      <c r="F358" s="20" t="s">
        <v>591</v>
      </c>
      <c r="G358" s="20" t="s">
        <v>592</v>
      </c>
      <c r="K358" s="20" t="s">
        <v>6958</v>
      </c>
      <c r="L358" s="20" t="s">
        <v>3466</v>
      </c>
      <c r="M358" s="20" t="s">
        <v>3467</v>
      </c>
      <c r="N358" s="20" t="s">
        <v>3468</v>
      </c>
      <c r="O358" s="20" t="s">
        <v>3469</v>
      </c>
      <c r="P358" s="20" t="s">
        <v>3470</v>
      </c>
      <c r="Q358" s="20" t="s">
        <v>3471</v>
      </c>
      <c r="R358" s="20" t="s">
        <v>3472</v>
      </c>
      <c r="S358" s="20" t="s">
        <v>3482</v>
      </c>
      <c r="T358" s="20" t="s">
        <v>3474</v>
      </c>
    </row>
    <row r="359" spans="1:20" x14ac:dyDescent="0.2">
      <c r="A359" s="20" t="s">
        <v>31</v>
      </c>
      <c r="F359" s="20" t="s">
        <v>593</v>
      </c>
      <c r="G359" s="20" t="s">
        <v>594</v>
      </c>
      <c r="K359" s="20" t="s">
        <v>6959</v>
      </c>
      <c r="L359" s="20" t="s">
        <v>3475</v>
      </c>
      <c r="M359" s="20" t="s">
        <v>3476</v>
      </c>
      <c r="N359" s="20" t="s">
        <v>3477</v>
      </c>
      <c r="O359" s="20" t="s">
        <v>3478</v>
      </c>
      <c r="P359" s="20" t="s">
        <v>3479</v>
      </c>
      <c r="Q359" s="20" t="s">
        <v>3480</v>
      </c>
      <c r="R359" s="20" t="s">
        <v>3481</v>
      </c>
      <c r="S359" s="20" t="s">
        <v>3491</v>
      </c>
      <c r="T359" s="20" t="s">
        <v>3483</v>
      </c>
    </row>
    <row r="360" spans="1:20" x14ac:dyDescent="0.2">
      <c r="A360" s="20" t="s">
        <v>31</v>
      </c>
      <c r="F360" s="20" t="s">
        <v>595</v>
      </c>
      <c r="G360" s="20" t="s">
        <v>596</v>
      </c>
      <c r="K360" s="20" t="s">
        <v>6960</v>
      </c>
      <c r="L360" s="20" t="s">
        <v>3484</v>
      </c>
      <c r="M360" s="20" t="s">
        <v>3485</v>
      </c>
      <c r="N360" s="20" t="s">
        <v>3486</v>
      </c>
      <c r="O360" s="20" t="s">
        <v>3487</v>
      </c>
      <c r="P360" s="20" t="s">
        <v>3488</v>
      </c>
      <c r="Q360" s="20" t="s">
        <v>3489</v>
      </c>
      <c r="R360" s="20" t="s">
        <v>3490</v>
      </c>
      <c r="S360" s="20" t="s">
        <v>3500</v>
      </c>
      <c r="T360" s="20" t="s">
        <v>3492</v>
      </c>
    </row>
    <row r="361" spans="1:20" x14ac:dyDescent="0.2">
      <c r="A361" s="20" t="s">
        <v>31</v>
      </c>
      <c r="F361" s="20" t="s">
        <v>597</v>
      </c>
      <c r="G361" s="20" t="s">
        <v>598</v>
      </c>
      <c r="K361" s="20" t="s">
        <v>6961</v>
      </c>
      <c r="L361" s="20" t="s">
        <v>3493</v>
      </c>
      <c r="M361" s="20" t="s">
        <v>3494</v>
      </c>
      <c r="N361" s="20" t="s">
        <v>3495</v>
      </c>
      <c r="O361" s="20" t="s">
        <v>3496</v>
      </c>
      <c r="P361" s="20" t="s">
        <v>3497</v>
      </c>
      <c r="Q361" s="20" t="s">
        <v>3498</v>
      </c>
      <c r="R361" s="20" t="s">
        <v>3499</v>
      </c>
      <c r="S361" s="20" t="s">
        <v>3509</v>
      </c>
      <c r="T361" s="20" t="s">
        <v>3501</v>
      </c>
    </row>
    <row r="362" spans="1:20" x14ac:dyDescent="0.2">
      <c r="A362" s="20" t="s">
        <v>31</v>
      </c>
      <c r="F362" s="20" t="s">
        <v>599</v>
      </c>
      <c r="G362" s="20" t="s">
        <v>600</v>
      </c>
      <c r="K362" s="20" t="s">
        <v>6962</v>
      </c>
      <c r="L362" s="20" t="s">
        <v>3502</v>
      </c>
      <c r="M362" s="20" t="s">
        <v>3503</v>
      </c>
      <c r="N362" s="20" t="s">
        <v>3504</v>
      </c>
      <c r="O362" s="20" t="s">
        <v>3505</v>
      </c>
      <c r="P362" s="20" t="s">
        <v>3506</v>
      </c>
      <c r="Q362" s="20" t="s">
        <v>3507</v>
      </c>
      <c r="R362" s="20" t="s">
        <v>3508</v>
      </c>
      <c r="S362" s="20" t="s">
        <v>3518</v>
      </c>
      <c r="T362" s="20" t="s">
        <v>3510</v>
      </c>
    </row>
    <row r="363" spans="1:20" x14ac:dyDescent="0.2">
      <c r="A363" s="20" t="s">
        <v>31</v>
      </c>
      <c r="F363" s="20" t="s">
        <v>601</v>
      </c>
      <c r="G363" s="20" t="s">
        <v>602</v>
      </c>
      <c r="K363" s="20" t="s">
        <v>6963</v>
      </c>
      <c r="L363" s="20" t="s">
        <v>3511</v>
      </c>
      <c r="M363" s="20" t="s">
        <v>3512</v>
      </c>
      <c r="N363" s="20" t="s">
        <v>3513</v>
      </c>
      <c r="O363" s="20" t="s">
        <v>3514</v>
      </c>
      <c r="P363" s="20" t="s">
        <v>3515</v>
      </c>
      <c r="Q363" s="20" t="s">
        <v>3516</v>
      </c>
      <c r="R363" s="20" t="s">
        <v>3517</v>
      </c>
      <c r="S363" s="20" t="s">
        <v>3527</v>
      </c>
      <c r="T363" s="20" t="s">
        <v>3519</v>
      </c>
    </row>
    <row r="364" spans="1:20" x14ac:dyDescent="0.2">
      <c r="A364" s="20" t="s">
        <v>31</v>
      </c>
      <c r="F364" s="20" t="s">
        <v>603</v>
      </c>
      <c r="G364" s="20" t="s">
        <v>604</v>
      </c>
      <c r="K364" s="20" t="s">
        <v>6964</v>
      </c>
      <c r="L364" s="20" t="s">
        <v>3520</v>
      </c>
      <c r="M364" s="20" t="s">
        <v>3521</v>
      </c>
      <c r="N364" s="20" t="s">
        <v>3522</v>
      </c>
      <c r="O364" s="20" t="s">
        <v>3523</v>
      </c>
      <c r="P364" s="20" t="s">
        <v>3524</v>
      </c>
      <c r="Q364" s="20" t="s">
        <v>3525</v>
      </c>
      <c r="R364" s="20" t="s">
        <v>3526</v>
      </c>
      <c r="S364" s="20" t="s">
        <v>6642</v>
      </c>
      <c r="T364" s="20" t="s">
        <v>3528</v>
      </c>
    </row>
    <row r="365" spans="1:20" x14ac:dyDescent="0.2">
      <c r="A365" s="20" t="s">
        <v>31</v>
      </c>
      <c r="F365" s="20" t="s">
        <v>567</v>
      </c>
      <c r="G365" s="20" t="s">
        <v>568</v>
      </c>
    </row>
    <row r="366" spans="1:20" x14ac:dyDescent="0.2">
      <c r="A366" s="20" t="s">
        <v>31</v>
      </c>
      <c r="I366" s="20" t="s">
        <v>6418</v>
      </c>
      <c r="T366" s="20" t="s">
        <v>6419</v>
      </c>
    </row>
    <row r="367" spans="1:20" x14ac:dyDescent="0.2">
      <c r="A367" s="20" t="s">
        <v>31</v>
      </c>
    </row>
    <row r="368" spans="1:20" x14ac:dyDescent="0.2">
      <c r="A368" s="20" t="s">
        <v>31</v>
      </c>
      <c r="D368" s="20" t="s">
        <v>5687</v>
      </c>
      <c r="E368" s="20" t="s">
        <v>5688</v>
      </c>
      <c r="F368" s="20" t="s">
        <v>6243</v>
      </c>
      <c r="G368" s="20" t="s">
        <v>6420</v>
      </c>
      <c r="I368" s="20" t="s">
        <v>606</v>
      </c>
      <c r="J368" s="20" t="s">
        <v>6421</v>
      </c>
    </row>
    <row r="369" spans="1:20" x14ac:dyDescent="0.2">
      <c r="A369" s="20" t="s">
        <v>31</v>
      </c>
      <c r="F369" s="20" t="s">
        <v>605</v>
      </c>
      <c r="G369" s="20" t="s">
        <v>606</v>
      </c>
      <c r="K369" s="20" t="s">
        <v>6422</v>
      </c>
      <c r="L369" s="20" t="s">
        <v>3529</v>
      </c>
      <c r="M369" s="20" t="s">
        <v>3530</v>
      </c>
      <c r="N369" s="20" t="s">
        <v>3531</v>
      </c>
      <c r="O369" s="20" t="s">
        <v>3532</v>
      </c>
      <c r="P369" s="20" t="s">
        <v>3533</v>
      </c>
      <c r="Q369" s="20" t="s">
        <v>3534</v>
      </c>
      <c r="R369" s="20" t="s">
        <v>3535</v>
      </c>
      <c r="S369" s="20" t="s">
        <v>3544</v>
      </c>
      <c r="T369" s="20" t="s">
        <v>3536</v>
      </c>
    </row>
    <row r="370" spans="1:20" x14ac:dyDescent="0.2">
      <c r="A370" s="20" t="s">
        <v>31</v>
      </c>
      <c r="F370" s="20" t="s">
        <v>607</v>
      </c>
      <c r="G370" s="20" t="s">
        <v>608</v>
      </c>
      <c r="K370" s="20" t="s">
        <v>6423</v>
      </c>
      <c r="L370" s="20" t="s">
        <v>3537</v>
      </c>
      <c r="M370" s="20" t="s">
        <v>3538</v>
      </c>
      <c r="N370" s="20" t="s">
        <v>3539</v>
      </c>
      <c r="O370" s="20" t="s">
        <v>3540</v>
      </c>
      <c r="P370" s="20" t="s">
        <v>3541</v>
      </c>
      <c r="Q370" s="20" t="s">
        <v>3542</v>
      </c>
      <c r="R370" s="20" t="s">
        <v>3543</v>
      </c>
      <c r="S370" s="20" t="s">
        <v>3553</v>
      </c>
      <c r="T370" s="20" t="s">
        <v>3545</v>
      </c>
    </row>
    <row r="371" spans="1:20" x14ac:dyDescent="0.2">
      <c r="A371" s="20" t="s">
        <v>31</v>
      </c>
      <c r="F371" s="20" t="s">
        <v>609</v>
      </c>
      <c r="G371" s="20" t="s">
        <v>610</v>
      </c>
      <c r="K371" s="20" t="s">
        <v>6965</v>
      </c>
      <c r="L371" s="20" t="s">
        <v>3546</v>
      </c>
      <c r="M371" s="20" t="s">
        <v>3547</v>
      </c>
      <c r="N371" s="20" t="s">
        <v>3548</v>
      </c>
      <c r="O371" s="20" t="s">
        <v>3549</v>
      </c>
      <c r="P371" s="20" t="s">
        <v>3550</v>
      </c>
      <c r="Q371" s="20" t="s">
        <v>3551</v>
      </c>
      <c r="R371" s="20" t="s">
        <v>3552</v>
      </c>
      <c r="S371" s="20" t="s">
        <v>3562</v>
      </c>
      <c r="T371" s="20" t="s">
        <v>3554</v>
      </c>
    </row>
    <row r="372" spans="1:20" x14ac:dyDescent="0.2">
      <c r="A372" s="20" t="s">
        <v>31</v>
      </c>
      <c r="F372" s="20" t="s">
        <v>611</v>
      </c>
      <c r="G372" s="20" t="s">
        <v>612</v>
      </c>
      <c r="K372" s="20" t="s">
        <v>6966</v>
      </c>
      <c r="L372" s="20" t="s">
        <v>3555</v>
      </c>
      <c r="M372" s="20" t="s">
        <v>3556</v>
      </c>
      <c r="N372" s="20" t="s">
        <v>3557</v>
      </c>
      <c r="O372" s="20" t="s">
        <v>3558</v>
      </c>
      <c r="P372" s="20" t="s">
        <v>3559</v>
      </c>
      <c r="Q372" s="20" t="s">
        <v>3560</v>
      </c>
      <c r="R372" s="20" t="s">
        <v>3561</v>
      </c>
      <c r="S372" s="20" t="s">
        <v>3571</v>
      </c>
      <c r="T372" s="20" t="s">
        <v>3563</v>
      </c>
    </row>
    <row r="373" spans="1:20" x14ac:dyDescent="0.2">
      <c r="A373" s="20" t="s">
        <v>31</v>
      </c>
      <c r="F373" s="20" t="s">
        <v>613</v>
      </c>
      <c r="G373" s="20" t="s">
        <v>614</v>
      </c>
      <c r="K373" s="20" t="s">
        <v>6967</v>
      </c>
      <c r="L373" s="20" t="s">
        <v>3564</v>
      </c>
      <c r="M373" s="20" t="s">
        <v>3565</v>
      </c>
      <c r="N373" s="20" t="s">
        <v>3566</v>
      </c>
      <c r="O373" s="20" t="s">
        <v>3567</v>
      </c>
      <c r="P373" s="20" t="s">
        <v>3568</v>
      </c>
      <c r="Q373" s="20" t="s">
        <v>3569</v>
      </c>
      <c r="R373" s="20" t="s">
        <v>3570</v>
      </c>
      <c r="S373" s="20" t="s">
        <v>3580</v>
      </c>
      <c r="T373" s="20" t="s">
        <v>3572</v>
      </c>
    </row>
    <row r="374" spans="1:20" x14ac:dyDescent="0.2">
      <c r="A374" s="20" t="s">
        <v>31</v>
      </c>
      <c r="F374" s="20" t="s">
        <v>615</v>
      </c>
      <c r="G374" s="20" t="s">
        <v>616</v>
      </c>
      <c r="K374" s="20" t="s">
        <v>6968</v>
      </c>
      <c r="L374" s="20" t="s">
        <v>3573</v>
      </c>
      <c r="M374" s="20" t="s">
        <v>3574</v>
      </c>
      <c r="N374" s="20" t="s">
        <v>3575</v>
      </c>
      <c r="O374" s="20" t="s">
        <v>3576</v>
      </c>
      <c r="P374" s="20" t="s">
        <v>3577</v>
      </c>
      <c r="Q374" s="20" t="s">
        <v>3578</v>
      </c>
      <c r="R374" s="20" t="s">
        <v>3579</v>
      </c>
      <c r="S374" s="20" t="s">
        <v>3589</v>
      </c>
      <c r="T374" s="20" t="s">
        <v>3581</v>
      </c>
    </row>
    <row r="375" spans="1:20" x14ac:dyDescent="0.2">
      <c r="A375" s="20" t="s">
        <v>31</v>
      </c>
      <c r="F375" s="20" t="s">
        <v>617</v>
      </c>
      <c r="G375" s="20" t="s">
        <v>618</v>
      </c>
      <c r="K375" s="20" t="s">
        <v>6969</v>
      </c>
      <c r="L375" s="20" t="s">
        <v>3582</v>
      </c>
      <c r="M375" s="20" t="s">
        <v>3583</v>
      </c>
      <c r="N375" s="20" t="s">
        <v>3584</v>
      </c>
      <c r="O375" s="20" t="s">
        <v>3585</v>
      </c>
      <c r="P375" s="20" t="s">
        <v>3586</v>
      </c>
      <c r="Q375" s="20" t="s">
        <v>3587</v>
      </c>
      <c r="R375" s="20" t="s">
        <v>3588</v>
      </c>
      <c r="S375" s="20" t="s">
        <v>3598</v>
      </c>
      <c r="T375" s="20" t="s">
        <v>3590</v>
      </c>
    </row>
    <row r="376" spans="1:20" x14ac:dyDescent="0.2">
      <c r="A376" s="20" t="s">
        <v>31</v>
      </c>
      <c r="F376" s="20" t="s">
        <v>619</v>
      </c>
      <c r="G376" s="20" t="s">
        <v>620</v>
      </c>
      <c r="K376" s="20" t="s">
        <v>6970</v>
      </c>
      <c r="L376" s="20" t="s">
        <v>3591</v>
      </c>
      <c r="M376" s="20" t="s">
        <v>3592</v>
      </c>
      <c r="N376" s="20" t="s">
        <v>3593</v>
      </c>
      <c r="O376" s="20" t="s">
        <v>3594</v>
      </c>
      <c r="P376" s="20" t="s">
        <v>3595</v>
      </c>
      <c r="Q376" s="20" t="s">
        <v>3596</v>
      </c>
      <c r="R376" s="20" t="s">
        <v>3597</v>
      </c>
      <c r="S376" s="20" t="s">
        <v>3607</v>
      </c>
      <c r="T376" s="20" t="s">
        <v>3599</v>
      </c>
    </row>
    <row r="377" spans="1:20" x14ac:dyDescent="0.2">
      <c r="A377" s="20" t="s">
        <v>31</v>
      </c>
      <c r="F377" s="20" t="s">
        <v>621</v>
      </c>
      <c r="G377" s="20" t="s">
        <v>622</v>
      </c>
      <c r="K377" s="20" t="s">
        <v>6971</v>
      </c>
      <c r="L377" s="20" t="s">
        <v>3600</v>
      </c>
      <c r="M377" s="20" t="s">
        <v>3601</v>
      </c>
      <c r="N377" s="20" t="s">
        <v>3602</v>
      </c>
      <c r="O377" s="20" t="s">
        <v>3603</v>
      </c>
      <c r="P377" s="20" t="s">
        <v>3604</v>
      </c>
      <c r="Q377" s="20" t="s">
        <v>3605</v>
      </c>
      <c r="R377" s="20" t="s">
        <v>3606</v>
      </c>
      <c r="S377" s="20" t="s">
        <v>3616</v>
      </c>
      <c r="T377" s="20" t="s">
        <v>3608</v>
      </c>
    </row>
    <row r="378" spans="1:20" x14ac:dyDescent="0.2">
      <c r="A378" s="20" t="s">
        <v>31</v>
      </c>
      <c r="F378" s="20" t="s">
        <v>623</v>
      </c>
      <c r="G378" s="20" t="s">
        <v>624</v>
      </c>
      <c r="K378" s="20" t="s">
        <v>6972</v>
      </c>
      <c r="L378" s="20" t="s">
        <v>3609</v>
      </c>
      <c r="M378" s="20" t="s">
        <v>3610</v>
      </c>
      <c r="N378" s="20" t="s">
        <v>3611</v>
      </c>
      <c r="O378" s="20" t="s">
        <v>3612</v>
      </c>
      <c r="P378" s="20" t="s">
        <v>3613</v>
      </c>
      <c r="Q378" s="20" t="s">
        <v>3614</v>
      </c>
      <c r="R378" s="20" t="s">
        <v>3615</v>
      </c>
      <c r="S378" s="20" t="s">
        <v>3625</v>
      </c>
      <c r="T378" s="20" t="s">
        <v>3617</v>
      </c>
    </row>
    <row r="379" spans="1:20" x14ac:dyDescent="0.2">
      <c r="A379" s="20" t="s">
        <v>31</v>
      </c>
      <c r="F379" s="20" t="s">
        <v>625</v>
      </c>
      <c r="G379" s="20" t="s">
        <v>626</v>
      </c>
      <c r="K379" s="20" t="s">
        <v>6973</v>
      </c>
      <c r="L379" s="20" t="s">
        <v>3618</v>
      </c>
      <c r="M379" s="20" t="s">
        <v>3619</v>
      </c>
      <c r="N379" s="20" t="s">
        <v>3620</v>
      </c>
      <c r="O379" s="20" t="s">
        <v>3621</v>
      </c>
      <c r="P379" s="20" t="s">
        <v>3622</v>
      </c>
      <c r="Q379" s="20" t="s">
        <v>3623</v>
      </c>
      <c r="R379" s="20" t="s">
        <v>3624</v>
      </c>
      <c r="S379" s="20" t="s">
        <v>3634</v>
      </c>
      <c r="T379" s="20" t="s">
        <v>3626</v>
      </c>
    </row>
    <row r="380" spans="1:20" x14ac:dyDescent="0.2">
      <c r="A380" s="20" t="s">
        <v>31</v>
      </c>
      <c r="F380" s="20" t="s">
        <v>627</v>
      </c>
      <c r="G380" s="20" t="s">
        <v>628</v>
      </c>
      <c r="K380" s="20" t="s">
        <v>6974</v>
      </c>
      <c r="L380" s="20" t="s">
        <v>3627</v>
      </c>
      <c r="M380" s="20" t="s">
        <v>3628</v>
      </c>
      <c r="N380" s="20" t="s">
        <v>3629</v>
      </c>
      <c r="O380" s="20" t="s">
        <v>3630</v>
      </c>
      <c r="P380" s="20" t="s">
        <v>3631</v>
      </c>
      <c r="Q380" s="20" t="s">
        <v>3632</v>
      </c>
      <c r="R380" s="20" t="s">
        <v>3633</v>
      </c>
      <c r="S380" s="20" t="s">
        <v>3643</v>
      </c>
      <c r="T380" s="20" t="s">
        <v>3635</v>
      </c>
    </row>
    <row r="381" spans="1:20" x14ac:dyDescent="0.2">
      <c r="A381" s="20" t="s">
        <v>31</v>
      </c>
      <c r="F381" s="20" t="s">
        <v>629</v>
      </c>
      <c r="G381" s="20" t="s">
        <v>630</v>
      </c>
      <c r="K381" s="20" t="s">
        <v>6975</v>
      </c>
      <c r="L381" s="20" t="s">
        <v>3636</v>
      </c>
      <c r="M381" s="20" t="s">
        <v>3637</v>
      </c>
      <c r="N381" s="20" t="s">
        <v>3638</v>
      </c>
      <c r="O381" s="20" t="s">
        <v>3639</v>
      </c>
      <c r="P381" s="20" t="s">
        <v>3640</v>
      </c>
      <c r="Q381" s="20" t="s">
        <v>3641</v>
      </c>
      <c r="R381" s="20" t="s">
        <v>3642</v>
      </c>
      <c r="S381" s="20" t="s">
        <v>3652</v>
      </c>
      <c r="T381" s="20" t="s">
        <v>3644</v>
      </c>
    </row>
    <row r="382" spans="1:20" x14ac:dyDescent="0.2">
      <c r="A382" s="20" t="s">
        <v>31</v>
      </c>
      <c r="F382" s="20" t="s">
        <v>631</v>
      </c>
      <c r="G382" s="20" t="s">
        <v>632</v>
      </c>
      <c r="K382" s="20" t="s">
        <v>6976</v>
      </c>
      <c r="L382" s="20" t="s">
        <v>3645</v>
      </c>
      <c r="M382" s="20" t="s">
        <v>3646</v>
      </c>
      <c r="N382" s="20" t="s">
        <v>3647</v>
      </c>
      <c r="O382" s="20" t="s">
        <v>3648</v>
      </c>
      <c r="P382" s="20" t="s">
        <v>3649</v>
      </c>
      <c r="Q382" s="20" t="s">
        <v>3650</v>
      </c>
      <c r="R382" s="20" t="s">
        <v>3651</v>
      </c>
      <c r="S382" s="20" t="s">
        <v>3661</v>
      </c>
      <c r="T382" s="20" t="s">
        <v>3653</v>
      </c>
    </row>
    <row r="383" spans="1:20" x14ac:dyDescent="0.2">
      <c r="A383" s="20" t="s">
        <v>31</v>
      </c>
      <c r="F383" s="20" t="s">
        <v>633</v>
      </c>
      <c r="G383" s="20" t="s">
        <v>634</v>
      </c>
      <c r="K383" s="20" t="s">
        <v>6977</v>
      </c>
      <c r="L383" s="20" t="s">
        <v>3654</v>
      </c>
      <c r="M383" s="20" t="s">
        <v>3655</v>
      </c>
      <c r="N383" s="20" t="s">
        <v>3656</v>
      </c>
      <c r="O383" s="20" t="s">
        <v>3657</v>
      </c>
      <c r="P383" s="20" t="s">
        <v>3658</v>
      </c>
      <c r="Q383" s="20" t="s">
        <v>3659</v>
      </c>
      <c r="R383" s="20" t="s">
        <v>3660</v>
      </c>
      <c r="S383" s="20" t="s">
        <v>3670</v>
      </c>
      <c r="T383" s="20" t="s">
        <v>3662</v>
      </c>
    </row>
    <row r="384" spans="1:20" x14ac:dyDescent="0.2">
      <c r="A384" s="20" t="s">
        <v>31</v>
      </c>
      <c r="F384" s="20" t="s">
        <v>635</v>
      </c>
      <c r="G384" s="20" t="s">
        <v>636</v>
      </c>
      <c r="K384" s="20" t="s">
        <v>6978</v>
      </c>
      <c r="L384" s="20" t="s">
        <v>3663</v>
      </c>
      <c r="M384" s="20" t="s">
        <v>3664</v>
      </c>
      <c r="N384" s="20" t="s">
        <v>3665</v>
      </c>
      <c r="O384" s="20" t="s">
        <v>3666</v>
      </c>
      <c r="P384" s="20" t="s">
        <v>3667</v>
      </c>
      <c r="Q384" s="20" t="s">
        <v>3668</v>
      </c>
      <c r="R384" s="20" t="s">
        <v>3669</v>
      </c>
      <c r="S384" s="20" t="s">
        <v>3679</v>
      </c>
      <c r="T384" s="20" t="s">
        <v>3671</v>
      </c>
    </row>
    <row r="385" spans="1:20" x14ac:dyDescent="0.2">
      <c r="A385" s="20" t="s">
        <v>31</v>
      </c>
      <c r="F385" s="20" t="s">
        <v>637</v>
      </c>
      <c r="G385" s="20" t="s">
        <v>638</v>
      </c>
      <c r="K385" s="20" t="s">
        <v>6979</v>
      </c>
      <c r="L385" s="20" t="s">
        <v>3672</v>
      </c>
      <c r="M385" s="20" t="s">
        <v>3673</v>
      </c>
      <c r="N385" s="20" t="s">
        <v>3674</v>
      </c>
      <c r="O385" s="20" t="s">
        <v>3675</v>
      </c>
      <c r="P385" s="20" t="s">
        <v>3676</v>
      </c>
      <c r="Q385" s="20" t="s">
        <v>3677</v>
      </c>
      <c r="R385" s="20" t="s">
        <v>3678</v>
      </c>
      <c r="S385" s="20" t="s">
        <v>3688</v>
      </c>
      <c r="T385" s="20" t="s">
        <v>3680</v>
      </c>
    </row>
    <row r="386" spans="1:20" x14ac:dyDescent="0.2">
      <c r="A386" s="20" t="s">
        <v>31</v>
      </c>
      <c r="F386" s="20" t="s">
        <v>639</v>
      </c>
      <c r="G386" s="20" t="s">
        <v>640</v>
      </c>
      <c r="K386" s="20" t="s">
        <v>6980</v>
      </c>
      <c r="L386" s="20" t="s">
        <v>3681</v>
      </c>
      <c r="M386" s="20" t="s">
        <v>3682</v>
      </c>
      <c r="N386" s="20" t="s">
        <v>3683</v>
      </c>
      <c r="O386" s="20" t="s">
        <v>3684</v>
      </c>
      <c r="P386" s="20" t="s">
        <v>3685</v>
      </c>
      <c r="Q386" s="20" t="s">
        <v>3686</v>
      </c>
      <c r="R386" s="20" t="s">
        <v>3687</v>
      </c>
      <c r="S386" s="20" t="s">
        <v>3697</v>
      </c>
      <c r="T386" s="20" t="s">
        <v>3689</v>
      </c>
    </row>
    <row r="387" spans="1:20" x14ac:dyDescent="0.2">
      <c r="A387" s="20" t="s">
        <v>31</v>
      </c>
      <c r="F387" s="20" t="s">
        <v>641</v>
      </c>
      <c r="G387" s="20" t="s">
        <v>642</v>
      </c>
      <c r="K387" s="20" t="s">
        <v>6981</v>
      </c>
      <c r="L387" s="20" t="s">
        <v>3690</v>
      </c>
      <c r="M387" s="20" t="s">
        <v>3691</v>
      </c>
      <c r="N387" s="20" t="s">
        <v>3692</v>
      </c>
      <c r="O387" s="20" t="s">
        <v>3693</v>
      </c>
      <c r="P387" s="20" t="s">
        <v>3694</v>
      </c>
      <c r="Q387" s="20" t="s">
        <v>3695</v>
      </c>
      <c r="R387" s="20" t="s">
        <v>3696</v>
      </c>
      <c r="S387" s="20" t="s">
        <v>3706</v>
      </c>
      <c r="T387" s="20" t="s">
        <v>3698</v>
      </c>
    </row>
    <row r="388" spans="1:20" x14ac:dyDescent="0.2">
      <c r="A388" s="20" t="s">
        <v>31</v>
      </c>
      <c r="F388" s="20" t="s">
        <v>643</v>
      </c>
      <c r="G388" s="20" t="s">
        <v>644</v>
      </c>
      <c r="K388" s="20" t="s">
        <v>6982</v>
      </c>
      <c r="L388" s="20" t="s">
        <v>3699</v>
      </c>
      <c r="M388" s="20" t="s">
        <v>3700</v>
      </c>
      <c r="N388" s="20" t="s">
        <v>3701</v>
      </c>
      <c r="O388" s="20" t="s">
        <v>3702</v>
      </c>
      <c r="P388" s="20" t="s">
        <v>3703</v>
      </c>
      <c r="Q388" s="20" t="s">
        <v>3704</v>
      </c>
      <c r="R388" s="20" t="s">
        <v>3705</v>
      </c>
      <c r="S388" s="20" t="s">
        <v>3715</v>
      </c>
      <c r="T388" s="20" t="s">
        <v>3707</v>
      </c>
    </row>
    <row r="389" spans="1:20" x14ac:dyDescent="0.2">
      <c r="A389" s="20" t="s">
        <v>31</v>
      </c>
      <c r="F389" s="20" t="s">
        <v>645</v>
      </c>
      <c r="G389" s="20" t="s">
        <v>646</v>
      </c>
      <c r="K389" s="20" t="s">
        <v>6983</v>
      </c>
      <c r="L389" s="20" t="s">
        <v>3708</v>
      </c>
      <c r="M389" s="20" t="s">
        <v>3709</v>
      </c>
      <c r="N389" s="20" t="s">
        <v>3710</v>
      </c>
      <c r="O389" s="20" t="s">
        <v>3711</v>
      </c>
      <c r="P389" s="20" t="s">
        <v>3712</v>
      </c>
      <c r="Q389" s="20" t="s">
        <v>3713</v>
      </c>
      <c r="R389" s="20" t="s">
        <v>3714</v>
      </c>
      <c r="S389" s="20" t="s">
        <v>6643</v>
      </c>
      <c r="T389" s="20" t="s">
        <v>3716</v>
      </c>
    </row>
    <row r="390" spans="1:20" x14ac:dyDescent="0.2">
      <c r="A390" s="20" t="s">
        <v>31</v>
      </c>
      <c r="F390" s="20" t="s">
        <v>609</v>
      </c>
      <c r="G390" s="20" t="s">
        <v>610</v>
      </c>
    </row>
    <row r="391" spans="1:20" x14ac:dyDescent="0.2">
      <c r="A391" s="20" t="s">
        <v>31</v>
      </c>
      <c r="I391" s="20" t="s">
        <v>6424</v>
      </c>
      <c r="T391" s="20" t="s">
        <v>6425</v>
      </c>
    </row>
    <row r="392" spans="1:20" x14ac:dyDescent="0.2">
      <c r="A392" s="20" t="s">
        <v>31</v>
      </c>
    </row>
    <row r="393" spans="1:20" x14ac:dyDescent="0.2">
      <c r="A393" s="20" t="s">
        <v>31</v>
      </c>
      <c r="D393" s="20" t="s">
        <v>5687</v>
      </c>
      <c r="E393" s="20" t="s">
        <v>5688</v>
      </c>
      <c r="F393" s="20" t="s">
        <v>6244</v>
      </c>
      <c r="G393" s="20" t="s">
        <v>6426</v>
      </c>
      <c r="I393" s="20" t="s">
        <v>648</v>
      </c>
      <c r="J393" s="20" t="s">
        <v>6427</v>
      </c>
    </row>
    <row r="394" spans="1:20" x14ac:dyDescent="0.2">
      <c r="A394" s="20" t="s">
        <v>31</v>
      </c>
      <c r="F394" s="20" t="s">
        <v>647</v>
      </c>
      <c r="G394" s="20" t="s">
        <v>648</v>
      </c>
      <c r="K394" s="20" t="s">
        <v>6428</v>
      </c>
      <c r="L394" s="20" t="s">
        <v>3717</v>
      </c>
      <c r="M394" s="20" t="s">
        <v>3718</v>
      </c>
      <c r="N394" s="20" t="s">
        <v>3719</v>
      </c>
      <c r="O394" s="20" t="s">
        <v>3720</v>
      </c>
      <c r="P394" s="20" t="s">
        <v>3721</v>
      </c>
      <c r="Q394" s="20" t="s">
        <v>3722</v>
      </c>
      <c r="R394" s="20" t="s">
        <v>3723</v>
      </c>
      <c r="S394" s="20" t="s">
        <v>3732</v>
      </c>
      <c r="T394" s="20" t="s">
        <v>3724</v>
      </c>
    </row>
    <row r="395" spans="1:20" x14ac:dyDescent="0.2">
      <c r="A395" s="20" t="s">
        <v>31</v>
      </c>
      <c r="F395" s="20" t="s">
        <v>649</v>
      </c>
      <c r="G395" s="20" t="s">
        <v>650</v>
      </c>
      <c r="K395" s="20" t="s">
        <v>6429</v>
      </c>
      <c r="L395" s="20" t="s">
        <v>3725</v>
      </c>
      <c r="M395" s="20" t="s">
        <v>3726</v>
      </c>
      <c r="N395" s="20" t="s">
        <v>3727</v>
      </c>
      <c r="O395" s="20" t="s">
        <v>3728</v>
      </c>
      <c r="P395" s="20" t="s">
        <v>3729</v>
      </c>
      <c r="Q395" s="20" t="s">
        <v>3730</v>
      </c>
      <c r="R395" s="20" t="s">
        <v>3731</v>
      </c>
      <c r="S395" s="20" t="s">
        <v>3741</v>
      </c>
      <c r="T395" s="20" t="s">
        <v>3733</v>
      </c>
    </row>
    <row r="396" spans="1:20" x14ac:dyDescent="0.2">
      <c r="A396" s="20" t="s">
        <v>31</v>
      </c>
      <c r="F396" s="20" t="s">
        <v>651</v>
      </c>
      <c r="G396" s="20" t="s">
        <v>652</v>
      </c>
      <c r="K396" s="20" t="s">
        <v>6984</v>
      </c>
      <c r="L396" s="20" t="s">
        <v>3734</v>
      </c>
      <c r="M396" s="20" t="s">
        <v>3735</v>
      </c>
      <c r="N396" s="20" t="s">
        <v>3736</v>
      </c>
      <c r="O396" s="20" t="s">
        <v>3737</v>
      </c>
      <c r="P396" s="20" t="s">
        <v>3738</v>
      </c>
      <c r="Q396" s="20" t="s">
        <v>3739</v>
      </c>
      <c r="R396" s="20" t="s">
        <v>3740</v>
      </c>
      <c r="S396" s="20" t="s">
        <v>3750</v>
      </c>
      <c r="T396" s="20" t="s">
        <v>3742</v>
      </c>
    </row>
    <row r="397" spans="1:20" x14ac:dyDescent="0.2">
      <c r="A397" s="20" t="s">
        <v>31</v>
      </c>
      <c r="F397" s="20" t="s">
        <v>653</v>
      </c>
      <c r="G397" s="20" t="s">
        <v>654</v>
      </c>
      <c r="K397" s="20" t="s">
        <v>6985</v>
      </c>
      <c r="L397" s="20" t="s">
        <v>3743</v>
      </c>
      <c r="M397" s="20" t="s">
        <v>3744</v>
      </c>
      <c r="N397" s="20" t="s">
        <v>3745</v>
      </c>
      <c r="O397" s="20" t="s">
        <v>3746</v>
      </c>
      <c r="P397" s="20" t="s">
        <v>3747</v>
      </c>
      <c r="Q397" s="20" t="s">
        <v>3748</v>
      </c>
      <c r="R397" s="20" t="s">
        <v>3749</v>
      </c>
      <c r="S397" s="20" t="s">
        <v>3759</v>
      </c>
      <c r="T397" s="20" t="s">
        <v>3751</v>
      </c>
    </row>
    <row r="398" spans="1:20" x14ac:dyDescent="0.2">
      <c r="A398" s="20" t="s">
        <v>31</v>
      </c>
      <c r="F398" s="20" t="s">
        <v>1068</v>
      </c>
      <c r="G398" s="20" t="s">
        <v>1069</v>
      </c>
      <c r="K398" s="20" t="s">
        <v>6986</v>
      </c>
      <c r="L398" s="20" t="s">
        <v>3752</v>
      </c>
      <c r="M398" s="20" t="s">
        <v>3753</v>
      </c>
      <c r="N398" s="20" t="s">
        <v>3754</v>
      </c>
      <c r="O398" s="20" t="s">
        <v>3755</v>
      </c>
      <c r="P398" s="20" t="s">
        <v>3756</v>
      </c>
      <c r="Q398" s="20" t="s">
        <v>3757</v>
      </c>
      <c r="R398" s="20" t="s">
        <v>3758</v>
      </c>
      <c r="S398" s="20" t="s">
        <v>6644</v>
      </c>
      <c r="T398" s="20" t="s">
        <v>3760</v>
      </c>
    </row>
    <row r="399" spans="1:20" x14ac:dyDescent="0.2">
      <c r="A399" s="20" t="s">
        <v>31</v>
      </c>
      <c r="F399" s="20" t="s">
        <v>651</v>
      </c>
      <c r="G399" s="20" t="s">
        <v>652</v>
      </c>
    </row>
    <row r="400" spans="1:20" x14ac:dyDescent="0.2">
      <c r="A400" s="20" t="s">
        <v>31</v>
      </c>
      <c r="I400" s="20" t="s">
        <v>6430</v>
      </c>
      <c r="T400" s="20" t="s">
        <v>6431</v>
      </c>
    </row>
    <row r="401" spans="1:20" x14ac:dyDescent="0.2">
      <c r="A401" s="20" t="s">
        <v>31</v>
      </c>
    </row>
    <row r="402" spans="1:20" x14ac:dyDescent="0.2">
      <c r="A402" s="20" t="s">
        <v>31</v>
      </c>
      <c r="D402" s="20" t="s">
        <v>5687</v>
      </c>
      <c r="E402" s="20" t="s">
        <v>5688</v>
      </c>
      <c r="F402" s="20" t="s">
        <v>6245</v>
      </c>
      <c r="G402" s="20" t="s">
        <v>6432</v>
      </c>
      <c r="I402" s="20" t="s">
        <v>6105</v>
      </c>
      <c r="J402" s="20" t="s">
        <v>6433</v>
      </c>
    </row>
    <row r="403" spans="1:20" x14ac:dyDescent="0.2">
      <c r="A403" s="20" t="s">
        <v>31</v>
      </c>
      <c r="F403" s="20" t="s">
        <v>6104</v>
      </c>
      <c r="G403" s="20" t="s">
        <v>6105</v>
      </c>
      <c r="K403" s="20" t="s">
        <v>6434</v>
      </c>
      <c r="L403" s="20" t="s">
        <v>6106</v>
      </c>
      <c r="M403" s="20" t="s">
        <v>6107</v>
      </c>
      <c r="N403" s="20" t="s">
        <v>6108</v>
      </c>
      <c r="O403" s="20" t="s">
        <v>6109</v>
      </c>
      <c r="P403" s="20" t="s">
        <v>6110</v>
      </c>
      <c r="Q403" s="20" t="s">
        <v>6111</v>
      </c>
      <c r="R403" s="20" t="s">
        <v>6112</v>
      </c>
      <c r="S403" s="20" t="s">
        <v>6123</v>
      </c>
      <c r="T403" s="20" t="s">
        <v>6113</v>
      </c>
    </row>
    <row r="404" spans="1:20" x14ac:dyDescent="0.2">
      <c r="A404" s="20" t="s">
        <v>31</v>
      </c>
      <c r="F404" s="20" t="s">
        <v>6114</v>
      </c>
      <c r="G404" s="20" t="s">
        <v>6115</v>
      </c>
      <c r="K404" s="20" t="s">
        <v>6435</v>
      </c>
      <c r="L404" s="20" t="s">
        <v>6116</v>
      </c>
      <c r="M404" s="20" t="s">
        <v>6117</v>
      </c>
      <c r="N404" s="20" t="s">
        <v>6118</v>
      </c>
      <c r="O404" s="20" t="s">
        <v>6119</v>
      </c>
      <c r="P404" s="20" t="s">
        <v>6120</v>
      </c>
      <c r="Q404" s="20" t="s">
        <v>6121</v>
      </c>
      <c r="R404" s="20" t="s">
        <v>6122</v>
      </c>
      <c r="S404" s="20" t="s">
        <v>6134</v>
      </c>
      <c r="T404" s="20" t="s">
        <v>6124</v>
      </c>
    </row>
    <row r="405" spans="1:20" x14ac:dyDescent="0.2">
      <c r="A405" s="20" t="s">
        <v>31</v>
      </c>
      <c r="F405" s="20" t="s">
        <v>6125</v>
      </c>
      <c r="G405" s="20" t="s">
        <v>6126</v>
      </c>
      <c r="K405" s="20" t="s">
        <v>6987</v>
      </c>
      <c r="L405" s="20" t="s">
        <v>6127</v>
      </c>
      <c r="M405" s="20" t="s">
        <v>6128</v>
      </c>
      <c r="N405" s="20" t="s">
        <v>6129</v>
      </c>
      <c r="O405" s="20" t="s">
        <v>6130</v>
      </c>
      <c r="P405" s="20" t="s">
        <v>6131</v>
      </c>
      <c r="Q405" s="20" t="s">
        <v>6132</v>
      </c>
      <c r="R405" s="20" t="s">
        <v>6133</v>
      </c>
      <c r="S405" s="20" t="s">
        <v>6136</v>
      </c>
      <c r="T405" s="20" t="s">
        <v>6135</v>
      </c>
    </row>
    <row r="406" spans="1:20" x14ac:dyDescent="0.2">
      <c r="A406" s="20" t="s">
        <v>31</v>
      </c>
      <c r="F406" s="20" t="s">
        <v>1070</v>
      </c>
      <c r="G406" s="20" t="s">
        <v>1071</v>
      </c>
      <c r="K406" s="20" t="s">
        <v>6988</v>
      </c>
      <c r="L406" s="20" t="s">
        <v>3761</v>
      </c>
      <c r="M406" s="20" t="s">
        <v>3762</v>
      </c>
      <c r="N406" s="20" t="s">
        <v>3763</v>
      </c>
      <c r="O406" s="20" t="s">
        <v>3764</v>
      </c>
      <c r="P406" s="20" t="s">
        <v>3765</v>
      </c>
      <c r="Q406" s="20" t="s">
        <v>3766</v>
      </c>
      <c r="R406" s="20" t="s">
        <v>3767</v>
      </c>
      <c r="S406" s="20" t="s">
        <v>3776</v>
      </c>
      <c r="T406" s="20" t="s">
        <v>3768</v>
      </c>
    </row>
    <row r="407" spans="1:20" x14ac:dyDescent="0.2">
      <c r="A407" s="20" t="s">
        <v>31</v>
      </c>
      <c r="F407" s="20" t="s">
        <v>1072</v>
      </c>
      <c r="G407" s="20" t="s">
        <v>1073</v>
      </c>
      <c r="K407" s="20" t="s">
        <v>6989</v>
      </c>
      <c r="L407" s="20" t="s">
        <v>3769</v>
      </c>
      <c r="M407" s="20" t="s">
        <v>3770</v>
      </c>
      <c r="N407" s="20" t="s">
        <v>3771</v>
      </c>
      <c r="O407" s="20" t="s">
        <v>3772</v>
      </c>
      <c r="P407" s="20" t="s">
        <v>3773</v>
      </c>
      <c r="Q407" s="20" t="s">
        <v>3774</v>
      </c>
      <c r="R407" s="20" t="s">
        <v>3775</v>
      </c>
      <c r="S407" s="20" t="s">
        <v>3785</v>
      </c>
      <c r="T407" s="20" t="s">
        <v>3777</v>
      </c>
    </row>
    <row r="408" spans="1:20" x14ac:dyDescent="0.2">
      <c r="A408" s="20" t="s">
        <v>31</v>
      </c>
      <c r="F408" s="20" t="s">
        <v>1074</v>
      </c>
      <c r="G408" s="20" t="s">
        <v>1075</v>
      </c>
      <c r="K408" s="20" t="s">
        <v>6990</v>
      </c>
      <c r="L408" s="20" t="s">
        <v>3778</v>
      </c>
      <c r="M408" s="20" t="s">
        <v>3779</v>
      </c>
      <c r="N408" s="20" t="s">
        <v>3780</v>
      </c>
      <c r="O408" s="20" t="s">
        <v>3781</v>
      </c>
      <c r="P408" s="20" t="s">
        <v>3782</v>
      </c>
      <c r="Q408" s="20" t="s">
        <v>3783</v>
      </c>
      <c r="R408" s="20" t="s">
        <v>3784</v>
      </c>
      <c r="S408" s="20" t="s">
        <v>3794</v>
      </c>
      <c r="T408" s="20" t="s">
        <v>3786</v>
      </c>
    </row>
    <row r="409" spans="1:20" x14ac:dyDescent="0.2">
      <c r="A409" s="20" t="s">
        <v>31</v>
      </c>
      <c r="F409" s="20" t="s">
        <v>655</v>
      </c>
      <c r="G409" s="20" t="s">
        <v>656</v>
      </c>
      <c r="K409" s="20" t="s">
        <v>6991</v>
      </c>
      <c r="L409" s="20" t="s">
        <v>3787</v>
      </c>
      <c r="M409" s="20" t="s">
        <v>3788</v>
      </c>
      <c r="N409" s="20" t="s">
        <v>3789</v>
      </c>
      <c r="O409" s="20" t="s">
        <v>3790</v>
      </c>
      <c r="P409" s="20" t="s">
        <v>3791</v>
      </c>
      <c r="Q409" s="20" t="s">
        <v>3792</v>
      </c>
      <c r="R409" s="20" t="s">
        <v>3793</v>
      </c>
      <c r="S409" s="20" t="s">
        <v>6645</v>
      </c>
      <c r="T409" s="20" t="s">
        <v>3795</v>
      </c>
    </row>
    <row r="410" spans="1:20" x14ac:dyDescent="0.2">
      <c r="A410" s="20" t="s">
        <v>31</v>
      </c>
      <c r="F410" s="20" t="s">
        <v>6125</v>
      </c>
      <c r="G410" s="20" t="s">
        <v>6126</v>
      </c>
    </row>
    <row r="411" spans="1:20" x14ac:dyDescent="0.2">
      <c r="A411" s="20" t="s">
        <v>31</v>
      </c>
      <c r="I411" s="20" t="s">
        <v>6436</v>
      </c>
      <c r="T411" s="20" t="s">
        <v>6437</v>
      </c>
    </row>
    <row r="412" spans="1:20" x14ac:dyDescent="0.2">
      <c r="A412" s="20" t="s">
        <v>31</v>
      </c>
    </row>
    <row r="413" spans="1:20" x14ac:dyDescent="0.2">
      <c r="A413" s="20" t="s">
        <v>31</v>
      </c>
      <c r="D413" s="20" t="s">
        <v>5687</v>
      </c>
      <c r="E413" s="20" t="s">
        <v>5688</v>
      </c>
      <c r="F413" s="20" t="s">
        <v>6246</v>
      </c>
      <c r="G413" s="20" t="s">
        <v>6438</v>
      </c>
      <c r="I413" s="20" t="s">
        <v>5794</v>
      </c>
      <c r="J413" s="20" t="s">
        <v>6439</v>
      </c>
    </row>
    <row r="414" spans="1:20" x14ac:dyDescent="0.2">
      <c r="A414" s="20" t="s">
        <v>31</v>
      </c>
      <c r="F414" s="20" t="s">
        <v>5793</v>
      </c>
      <c r="G414" s="20" t="s">
        <v>5794</v>
      </c>
      <c r="K414" s="20" t="s">
        <v>6440</v>
      </c>
      <c r="L414" s="20" t="s">
        <v>5795</v>
      </c>
      <c r="M414" s="20" t="s">
        <v>5796</v>
      </c>
      <c r="N414" s="20" t="s">
        <v>5797</v>
      </c>
      <c r="O414" s="20" t="s">
        <v>5798</v>
      </c>
      <c r="P414" s="20" t="s">
        <v>5799</v>
      </c>
      <c r="Q414" s="20" t="s">
        <v>5800</v>
      </c>
      <c r="R414" s="20" t="s">
        <v>5801</v>
      </c>
      <c r="S414" s="20" t="s">
        <v>5803</v>
      </c>
      <c r="T414" s="20" t="s">
        <v>5802</v>
      </c>
    </row>
    <row r="415" spans="1:20" x14ac:dyDescent="0.2">
      <c r="A415" s="20" t="s">
        <v>31</v>
      </c>
      <c r="F415" s="20" t="s">
        <v>657</v>
      </c>
      <c r="G415" s="20" t="s">
        <v>658</v>
      </c>
      <c r="K415" s="20" t="s">
        <v>6441</v>
      </c>
      <c r="L415" s="20" t="s">
        <v>3796</v>
      </c>
      <c r="M415" s="20" t="s">
        <v>3797</v>
      </c>
      <c r="N415" s="20" t="s">
        <v>3798</v>
      </c>
      <c r="O415" s="20" t="s">
        <v>3799</v>
      </c>
      <c r="P415" s="20" t="s">
        <v>3800</v>
      </c>
      <c r="Q415" s="20" t="s">
        <v>3801</v>
      </c>
      <c r="R415" s="20" t="s">
        <v>3802</v>
      </c>
      <c r="S415" s="20" t="s">
        <v>3803</v>
      </c>
      <c r="T415" s="20" t="s">
        <v>3804</v>
      </c>
    </row>
    <row r="416" spans="1:20" x14ac:dyDescent="0.2">
      <c r="A416" s="20" t="s">
        <v>31</v>
      </c>
      <c r="F416" s="20" t="s">
        <v>659</v>
      </c>
      <c r="G416" s="20" t="s">
        <v>660</v>
      </c>
      <c r="K416" s="20" t="s">
        <v>6992</v>
      </c>
      <c r="L416" s="20" t="s">
        <v>3805</v>
      </c>
      <c r="M416" s="20" t="s">
        <v>3806</v>
      </c>
      <c r="N416" s="20" t="s">
        <v>3807</v>
      </c>
      <c r="O416" s="20" t="s">
        <v>3808</v>
      </c>
      <c r="P416" s="20" t="s">
        <v>3809</v>
      </c>
      <c r="Q416" s="20" t="s">
        <v>3810</v>
      </c>
      <c r="R416" s="20" t="s">
        <v>3811</v>
      </c>
      <c r="S416" s="20" t="s">
        <v>3820</v>
      </c>
      <c r="T416" s="20" t="s">
        <v>3812</v>
      </c>
    </row>
    <row r="417" spans="1:20" x14ac:dyDescent="0.2">
      <c r="A417" s="20" t="s">
        <v>31</v>
      </c>
      <c r="F417" s="20" t="s">
        <v>661</v>
      </c>
      <c r="G417" s="20" t="s">
        <v>662</v>
      </c>
      <c r="K417" s="20" t="s">
        <v>6993</v>
      </c>
      <c r="L417" s="20" t="s">
        <v>3813</v>
      </c>
      <c r="M417" s="20" t="s">
        <v>3814</v>
      </c>
      <c r="N417" s="20" t="s">
        <v>3815</v>
      </c>
      <c r="O417" s="20" t="s">
        <v>3816</v>
      </c>
      <c r="P417" s="20" t="s">
        <v>3817</v>
      </c>
      <c r="Q417" s="20" t="s">
        <v>3818</v>
      </c>
      <c r="R417" s="20" t="s">
        <v>3819</v>
      </c>
      <c r="S417" s="20" t="s">
        <v>3829</v>
      </c>
      <c r="T417" s="20" t="s">
        <v>3821</v>
      </c>
    </row>
    <row r="418" spans="1:20" x14ac:dyDescent="0.2">
      <c r="A418" s="20" t="s">
        <v>31</v>
      </c>
      <c r="F418" s="20" t="s">
        <v>663</v>
      </c>
      <c r="G418" s="20" t="s">
        <v>664</v>
      </c>
      <c r="K418" s="20" t="s">
        <v>6994</v>
      </c>
      <c r="L418" s="20" t="s">
        <v>3822</v>
      </c>
      <c r="M418" s="20" t="s">
        <v>3823</v>
      </c>
      <c r="N418" s="20" t="s">
        <v>3824</v>
      </c>
      <c r="O418" s="20" t="s">
        <v>3825</v>
      </c>
      <c r="P418" s="20" t="s">
        <v>3826</v>
      </c>
      <c r="Q418" s="20" t="s">
        <v>3827</v>
      </c>
      <c r="R418" s="20" t="s">
        <v>3828</v>
      </c>
      <c r="S418" s="20" t="s">
        <v>3838</v>
      </c>
      <c r="T418" s="20" t="s">
        <v>3830</v>
      </c>
    </row>
    <row r="419" spans="1:20" x14ac:dyDescent="0.2">
      <c r="A419" s="20" t="s">
        <v>31</v>
      </c>
      <c r="F419" s="20" t="s">
        <v>665</v>
      </c>
      <c r="G419" s="20" t="s">
        <v>666</v>
      </c>
      <c r="K419" s="20" t="s">
        <v>6995</v>
      </c>
      <c r="L419" s="20" t="s">
        <v>3831</v>
      </c>
      <c r="M419" s="20" t="s">
        <v>3832</v>
      </c>
      <c r="N419" s="20" t="s">
        <v>3833</v>
      </c>
      <c r="O419" s="20" t="s">
        <v>3834</v>
      </c>
      <c r="P419" s="20" t="s">
        <v>3835</v>
      </c>
      <c r="Q419" s="20" t="s">
        <v>3836</v>
      </c>
      <c r="R419" s="20" t="s">
        <v>3837</v>
      </c>
      <c r="S419" s="20" t="s">
        <v>3847</v>
      </c>
      <c r="T419" s="20" t="s">
        <v>3839</v>
      </c>
    </row>
    <row r="420" spans="1:20" x14ac:dyDescent="0.2">
      <c r="A420" s="20" t="s">
        <v>31</v>
      </c>
      <c r="F420" s="20" t="s">
        <v>667</v>
      </c>
      <c r="G420" s="20" t="s">
        <v>668</v>
      </c>
      <c r="K420" s="20" t="s">
        <v>6996</v>
      </c>
      <c r="L420" s="20" t="s">
        <v>3840</v>
      </c>
      <c r="M420" s="20" t="s">
        <v>3841</v>
      </c>
      <c r="N420" s="20" t="s">
        <v>3842</v>
      </c>
      <c r="O420" s="20" t="s">
        <v>3843</v>
      </c>
      <c r="P420" s="20" t="s">
        <v>3844</v>
      </c>
      <c r="Q420" s="20" t="s">
        <v>3845</v>
      </c>
      <c r="R420" s="20" t="s">
        <v>3846</v>
      </c>
      <c r="S420" s="20" t="s">
        <v>3856</v>
      </c>
      <c r="T420" s="20" t="s">
        <v>3848</v>
      </c>
    </row>
    <row r="421" spans="1:20" x14ac:dyDescent="0.2">
      <c r="A421" s="20" t="s">
        <v>31</v>
      </c>
      <c r="F421" s="20" t="s">
        <v>669</v>
      </c>
      <c r="G421" s="20" t="s">
        <v>670</v>
      </c>
      <c r="K421" s="20" t="s">
        <v>6997</v>
      </c>
      <c r="L421" s="20" t="s">
        <v>3849</v>
      </c>
      <c r="M421" s="20" t="s">
        <v>3850</v>
      </c>
      <c r="N421" s="20" t="s">
        <v>3851</v>
      </c>
      <c r="O421" s="20" t="s">
        <v>3852</v>
      </c>
      <c r="P421" s="20" t="s">
        <v>3853</v>
      </c>
      <c r="Q421" s="20" t="s">
        <v>3854</v>
      </c>
      <c r="R421" s="20" t="s">
        <v>3855</v>
      </c>
      <c r="S421" s="20" t="s">
        <v>3865</v>
      </c>
      <c r="T421" s="20" t="s">
        <v>3857</v>
      </c>
    </row>
    <row r="422" spans="1:20" x14ac:dyDescent="0.2">
      <c r="A422" s="20" t="s">
        <v>31</v>
      </c>
      <c r="F422" s="20" t="s">
        <v>671</v>
      </c>
      <c r="G422" s="20" t="s">
        <v>672</v>
      </c>
      <c r="K422" s="20" t="s">
        <v>6998</v>
      </c>
      <c r="L422" s="20" t="s">
        <v>3858</v>
      </c>
      <c r="M422" s="20" t="s">
        <v>3859</v>
      </c>
      <c r="N422" s="20" t="s">
        <v>3860</v>
      </c>
      <c r="O422" s="20" t="s">
        <v>3861</v>
      </c>
      <c r="P422" s="20" t="s">
        <v>3862</v>
      </c>
      <c r="Q422" s="20" t="s">
        <v>3863</v>
      </c>
      <c r="R422" s="20" t="s">
        <v>3864</v>
      </c>
      <c r="S422" s="20" t="s">
        <v>6646</v>
      </c>
      <c r="T422" s="20" t="s">
        <v>3866</v>
      </c>
    </row>
    <row r="423" spans="1:20" x14ac:dyDescent="0.2">
      <c r="A423" s="20" t="s">
        <v>31</v>
      </c>
      <c r="F423" s="20" t="s">
        <v>659</v>
      </c>
      <c r="G423" s="20" t="s">
        <v>660</v>
      </c>
    </row>
    <row r="424" spans="1:20" x14ac:dyDescent="0.2">
      <c r="A424" s="20" t="s">
        <v>31</v>
      </c>
      <c r="I424" s="20" t="s">
        <v>6442</v>
      </c>
      <c r="T424" s="20" t="s">
        <v>6443</v>
      </c>
    </row>
    <row r="425" spans="1:20" x14ac:dyDescent="0.2">
      <c r="A425" s="20" t="s">
        <v>31</v>
      </c>
    </row>
    <row r="426" spans="1:20" x14ac:dyDescent="0.2">
      <c r="A426" s="20" t="s">
        <v>31</v>
      </c>
      <c r="D426" s="20" t="s">
        <v>5687</v>
      </c>
      <c r="E426" s="20" t="s">
        <v>5688</v>
      </c>
      <c r="F426" s="20" t="s">
        <v>6247</v>
      </c>
      <c r="G426" s="20" t="s">
        <v>6444</v>
      </c>
      <c r="I426" s="20" t="s">
        <v>674</v>
      </c>
      <c r="J426" s="20" t="s">
        <v>6445</v>
      </c>
    </row>
    <row r="427" spans="1:20" x14ac:dyDescent="0.2">
      <c r="A427" s="20" t="s">
        <v>31</v>
      </c>
      <c r="F427" s="20" t="s">
        <v>673</v>
      </c>
      <c r="G427" s="20" t="s">
        <v>674</v>
      </c>
      <c r="K427" s="20" t="s">
        <v>6446</v>
      </c>
      <c r="L427" s="20" t="s">
        <v>3867</v>
      </c>
      <c r="M427" s="20" t="s">
        <v>3868</v>
      </c>
      <c r="N427" s="20" t="s">
        <v>3869</v>
      </c>
      <c r="O427" s="20" t="s">
        <v>3870</v>
      </c>
      <c r="P427" s="20" t="s">
        <v>3871</v>
      </c>
      <c r="Q427" s="20" t="s">
        <v>3872</v>
      </c>
      <c r="R427" s="20" t="s">
        <v>3873</v>
      </c>
      <c r="S427" s="20" t="s">
        <v>3874</v>
      </c>
      <c r="T427" s="20" t="s">
        <v>3875</v>
      </c>
    </row>
    <row r="428" spans="1:20" x14ac:dyDescent="0.2">
      <c r="A428" s="20" t="s">
        <v>31</v>
      </c>
      <c r="F428" s="20" t="s">
        <v>675</v>
      </c>
      <c r="G428" s="20" t="s">
        <v>676</v>
      </c>
      <c r="K428" s="20" t="s">
        <v>6447</v>
      </c>
      <c r="L428" s="20" t="s">
        <v>3876</v>
      </c>
      <c r="M428" s="20" t="s">
        <v>3877</v>
      </c>
      <c r="N428" s="20" t="s">
        <v>3878</v>
      </c>
      <c r="O428" s="20" t="s">
        <v>3879</v>
      </c>
      <c r="P428" s="20" t="s">
        <v>3880</v>
      </c>
      <c r="Q428" s="20" t="s">
        <v>3881</v>
      </c>
      <c r="R428" s="20" t="s">
        <v>3882</v>
      </c>
      <c r="S428" s="20" t="s">
        <v>3891</v>
      </c>
      <c r="T428" s="20" t="s">
        <v>3883</v>
      </c>
    </row>
    <row r="429" spans="1:20" x14ac:dyDescent="0.2">
      <c r="A429" s="20" t="s">
        <v>31</v>
      </c>
      <c r="F429" s="20" t="s">
        <v>677</v>
      </c>
      <c r="G429" s="20" t="s">
        <v>678</v>
      </c>
      <c r="K429" s="20" t="s">
        <v>6999</v>
      </c>
      <c r="L429" s="20" t="s">
        <v>3884</v>
      </c>
      <c r="M429" s="20" t="s">
        <v>3885</v>
      </c>
      <c r="N429" s="20" t="s">
        <v>3886</v>
      </c>
      <c r="O429" s="20" t="s">
        <v>3887</v>
      </c>
      <c r="P429" s="20" t="s">
        <v>3888</v>
      </c>
      <c r="Q429" s="20" t="s">
        <v>3889</v>
      </c>
      <c r="R429" s="20" t="s">
        <v>3890</v>
      </c>
      <c r="S429" s="20" t="s">
        <v>3900</v>
      </c>
      <c r="T429" s="20" t="s">
        <v>3892</v>
      </c>
    </row>
    <row r="430" spans="1:20" x14ac:dyDescent="0.2">
      <c r="A430" s="20" t="s">
        <v>31</v>
      </c>
      <c r="F430" s="20" t="s">
        <v>679</v>
      </c>
      <c r="G430" s="20" t="s">
        <v>680</v>
      </c>
      <c r="K430" s="20" t="s">
        <v>7000</v>
      </c>
      <c r="L430" s="20" t="s">
        <v>3893</v>
      </c>
      <c r="M430" s="20" t="s">
        <v>3894</v>
      </c>
      <c r="N430" s="20" t="s">
        <v>3895</v>
      </c>
      <c r="O430" s="20" t="s">
        <v>3896</v>
      </c>
      <c r="P430" s="20" t="s">
        <v>3897</v>
      </c>
      <c r="Q430" s="20" t="s">
        <v>3898</v>
      </c>
      <c r="R430" s="20" t="s">
        <v>3899</v>
      </c>
      <c r="S430" s="20" t="s">
        <v>3909</v>
      </c>
      <c r="T430" s="20" t="s">
        <v>3901</v>
      </c>
    </row>
    <row r="431" spans="1:20" x14ac:dyDescent="0.2">
      <c r="A431" s="20" t="s">
        <v>31</v>
      </c>
      <c r="F431" s="20" t="s">
        <v>681</v>
      </c>
      <c r="G431" s="20" t="s">
        <v>682</v>
      </c>
      <c r="K431" s="20" t="s">
        <v>7001</v>
      </c>
      <c r="L431" s="20" t="s">
        <v>3902</v>
      </c>
      <c r="M431" s="20" t="s">
        <v>3903</v>
      </c>
      <c r="N431" s="20" t="s">
        <v>3904</v>
      </c>
      <c r="O431" s="20" t="s">
        <v>3905</v>
      </c>
      <c r="P431" s="20" t="s">
        <v>3906</v>
      </c>
      <c r="Q431" s="20" t="s">
        <v>3907</v>
      </c>
      <c r="R431" s="20" t="s">
        <v>3908</v>
      </c>
      <c r="S431" s="20" t="s">
        <v>3918</v>
      </c>
      <c r="T431" s="20" t="s">
        <v>3910</v>
      </c>
    </row>
    <row r="432" spans="1:20" x14ac:dyDescent="0.2">
      <c r="A432" s="20" t="s">
        <v>31</v>
      </c>
      <c r="F432" s="20" t="s">
        <v>683</v>
      </c>
      <c r="G432" s="20" t="s">
        <v>684</v>
      </c>
      <c r="K432" s="20" t="s">
        <v>7002</v>
      </c>
      <c r="L432" s="20" t="s">
        <v>3911</v>
      </c>
      <c r="M432" s="20" t="s">
        <v>3912</v>
      </c>
      <c r="N432" s="20" t="s">
        <v>3913</v>
      </c>
      <c r="O432" s="20" t="s">
        <v>3914</v>
      </c>
      <c r="P432" s="20" t="s">
        <v>3915</v>
      </c>
      <c r="Q432" s="20" t="s">
        <v>3916</v>
      </c>
      <c r="R432" s="20" t="s">
        <v>3917</v>
      </c>
      <c r="S432" s="20" t="s">
        <v>3927</v>
      </c>
      <c r="T432" s="20" t="s">
        <v>3919</v>
      </c>
    </row>
    <row r="433" spans="1:20" x14ac:dyDescent="0.2">
      <c r="A433" s="20" t="s">
        <v>31</v>
      </c>
      <c r="F433" s="20" t="s">
        <v>685</v>
      </c>
      <c r="G433" s="20" t="s">
        <v>686</v>
      </c>
      <c r="K433" s="20" t="s">
        <v>7003</v>
      </c>
      <c r="L433" s="20" t="s">
        <v>3920</v>
      </c>
      <c r="M433" s="20" t="s">
        <v>3921</v>
      </c>
      <c r="N433" s="20" t="s">
        <v>3922</v>
      </c>
      <c r="O433" s="20" t="s">
        <v>3923</v>
      </c>
      <c r="P433" s="20" t="s">
        <v>3924</v>
      </c>
      <c r="Q433" s="20" t="s">
        <v>3925</v>
      </c>
      <c r="R433" s="20" t="s">
        <v>3926</v>
      </c>
      <c r="S433" s="20" t="s">
        <v>3936</v>
      </c>
      <c r="T433" s="20" t="s">
        <v>3928</v>
      </c>
    </row>
    <row r="434" spans="1:20" x14ac:dyDescent="0.2">
      <c r="A434" s="20" t="s">
        <v>31</v>
      </c>
      <c r="F434" s="20" t="s">
        <v>687</v>
      </c>
      <c r="G434" s="20" t="s">
        <v>688</v>
      </c>
      <c r="K434" s="20" t="s">
        <v>7004</v>
      </c>
      <c r="L434" s="20" t="s">
        <v>3929</v>
      </c>
      <c r="M434" s="20" t="s">
        <v>3930</v>
      </c>
      <c r="N434" s="20" t="s">
        <v>3931</v>
      </c>
      <c r="O434" s="20" t="s">
        <v>3932</v>
      </c>
      <c r="P434" s="20" t="s">
        <v>3933</v>
      </c>
      <c r="Q434" s="20" t="s">
        <v>3934</v>
      </c>
      <c r="R434" s="20" t="s">
        <v>3935</v>
      </c>
      <c r="S434" s="20" t="s">
        <v>3945</v>
      </c>
      <c r="T434" s="20" t="s">
        <v>3937</v>
      </c>
    </row>
    <row r="435" spans="1:20" x14ac:dyDescent="0.2">
      <c r="A435" s="20" t="s">
        <v>31</v>
      </c>
      <c r="F435" s="20" t="s">
        <v>689</v>
      </c>
      <c r="G435" s="20" t="s">
        <v>690</v>
      </c>
      <c r="K435" s="20" t="s">
        <v>7005</v>
      </c>
      <c r="L435" s="20" t="s">
        <v>3938</v>
      </c>
      <c r="M435" s="20" t="s">
        <v>3939</v>
      </c>
      <c r="N435" s="20" t="s">
        <v>3940</v>
      </c>
      <c r="O435" s="20" t="s">
        <v>3941</v>
      </c>
      <c r="P435" s="20" t="s">
        <v>3942</v>
      </c>
      <c r="Q435" s="20" t="s">
        <v>3943</v>
      </c>
      <c r="R435" s="20" t="s">
        <v>3944</v>
      </c>
      <c r="S435" s="20" t="s">
        <v>3954</v>
      </c>
      <c r="T435" s="20" t="s">
        <v>3946</v>
      </c>
    </row>
    <row r="436" spans="1:20" x14ac:dyDescent="0.2">
      <c r="A436" s="20" t="s">
        <v>31</v>
      </c>
      <c r="F436" s="20" t="s">
        <v>691</v>
      </c>
      <c r="G436" s="20" t="s">
        <v>692</v>
      </c>
      <c r="K436" s="20" t="s">
        <v>7006</v>
      </c>
      <c r="L436" s="20" t="s">
        <v>3947</v>
      </c>
      <c r="M436" s="20" t="s">
        <v>3948</v>
      </c>
      <c r="N436" s="20" t="s">
        <v>3949</v>
      </c>
      <c r="O436" s="20" t="s">
        <v>3950</v>
      </c>
      <c r="P436" s="20" t="s">
        <v>3951</v>
      </c>
      <c r="Q436" s="20" t="s">
        <v>3952</v>
      </c>
      <c r="R436" s="20" t="s">
        <v>3953</v>
      </c>
      <c r="S436" s="20" t="s">
        <v>3963</v>
      </c>
      <c r="T436" s="20" t="s">
        <v>3955</v>
      </c>
    </row>
    <row r="437" spans="1:20" x14ac:dyDescent="0.2">
      <c r="A437" s="20" t="s">
        <v>31</v>
      </c>
      <c r="F437" s="20" t="s">
        <v>693</v>
      </c>
      <c r="G437" s="20" t="s">
        <v>694</v>
      </c>
      <c r="K437" s="20" t="s">
        <v>7007</v>
      </c>
      <c r="L437" s="20" t="s">
        <v>3956</v>
      </c>
      <c r="M437" s="20" t="s">
        <v>3957</v>
      </c>
      <c r="N437" s="20" t="s">
        <v>3958</v>
      </c>
      <c r="O437" s="20" t="s">
        <v>3959</v>
      </c>
      <c r="P437" s="20" t="s">
        <v>3960</v>
      </c>
      <c r="Q437" s="20" t="s">
        <v>3961</v>
      </c>
      <c r="R437" s="20" t="s">
        <v>3962</v>
      </c>
      <c r="S437" s="20" t="s">
        <v>3972</v>
      </c>
      <c r="T437" s="20" t="s">
        <v>3964</v>
      </c>
    </row>
    <row r="438" spans="1:20" x14ac:dyDescent="0.2">
      <c r="A438" s="20" t="s">
        <v>31</v>
      </c>
      <c r="F438" s="20" t="s">
        <v>695</v>
      </c>
      <c r="G438" s="20" t="s">
        <v>696</v>
      </c>
      <c r="K438" s="20" t="s">
        <v>7008</v>
      </c>
      <c r="L438" s="20" t="s">
        <v>3965</v>
      </c>
      <c r="M438" s="20" t="s">
        <v>3966</v>
      </c>
      <c r="N438" s="20" t="s">
        <v>3967</v>
      </c>
      <c r="O438" s="20" t="s">
        <v>3968</v>
      </c>
      <c r="P438" s="20" t="s">
        <v>3969</v>
      </c>
      <c r="Q438" s="20" t="s">
        <v>3970</v>
      </c>
      <c r="R438" s="20" t="s">
        <v>3971</v>
      </c>
      <c r="S438" s="20" t="s">
        <v>3981</v>
      </c>
      <c r="T438" s="20" t="s">
        <v>3973</v>
      </c>
    </row>
    <row r="439" spans="1:20" x14ac:dyDescent="0.2">
      <c r="A439" s="20" t="s">
        <v>31</v>
      </c>
      <c r="F439" s="20" t="s">
        <v>697</v>
      </c>
      <c r="G439" s="20" t="s">
        <v>698</v>
      </c>
      <c r="K439" s="20" t="s">
        <v>7009</v>
      </c>
      <c r="L439" s="20" t="s">
        <v>3974</v>
      </c>
      <c r="M439" s="20" t="s">
        <v>3975</v>
      </c>
      <c r="N439" s="20" t="s">
        <v>3976</v>
      </c>
      <c r="O439" s="20" t="s">
        <v>3977</v>
      </c>
      <c r="P439" s="20" t="s">
        <v>3978</v>
      </c>
      <c r="Q439" s="20" t="s">
        <v>3979</v>
      </c>
      <c r="R439" s="20" t="s">
        <v>3980</v>
      </c>
      <c r="S439" s="20" t="s">
        <v>3990</v>
      </c>
      <c r="T439" s="20" t="s">
        <v>3982</v>
      </c>
    </row>
    <row r="440" spans="1:20" x14ac:dyDescent="0.2">
      <c r="A440" s="20" t="s">
        <v>31</v>
      </c>
      <c r="F440" s="20" t="s">
        <v>699</v>
      </c>
      <c r="G440" s="20" t="s">
        <v>700</v>
      </c>
      <c r="K440" s="20" t="s">
        <v>7010</v>
      </c>
      <c r="L440" s="20" t="s">
        <v>3983</v>
      </c>
      <c r="M440" s="20" t="s">
        <v>3984</v>
      </c>
      <c r="N440" s="20" t="s">
        <v>3985</v>
      </c>
      <c r="O440" s="20" t="s">
        <v>3986</v>
      </c>
      <c r="P440" s="20" t="s">
        <v>3987</v>
      </c>
      <c r="Q440" s="20" t="s">
        <v>3988</v>
      </c>
      <c r="R440" s="20" t="s">
        <v>3989</v>
      </c>
      <c r="S440" s="20" t="s">
        <v>3999</v>
      </c>
      <c r="T440" s="20" t="s">
        <v>3991</v>
      </c>
    </row>
    <row r="441" spans="1:20" x14ac:dyDescent="0.2">
      <c r="A441" s="20" t="s">
        <v>31</v>
      </c>
      <c r="F441" s="20" t="s">
        <v>701</v>
      </c>
      <c r="G441" s="20" t="s">
        <v>702</v>
      </c>
      <c r="K441" s="20" t="s">
        <v>7011</v>
      </c>
      <c r="L441" s="20" t="s">
        <v>3992</v>
      </c>
      <c r="M441" s="20" t="s">
        <v>3993</v>
      </c>
      <c r="N441" s="20" t="s">
        <v>3994</v>
      </c>
      <c r="O441" s="20" t="s">
        <v>3995</v>
      </c>
      <c r="P441" s="20" t="s">
        <v>3996</v>
      </c>
      <c r="Q441" s="20" t="s">
        <v>3997</v>
      </c>
      <c r="R441" s="20" t="s">
        <v>3998</v>
      </c>
      <c r="S441" s="20" t="s">
        <v>4008</v>
      </c>
      <c r="T441" s="20" t="s">
        <v>4000</v>
      </c>
    </row>
    <row r="442" spans="1:20" x14ac:dyDescent="0.2">
      <c r="A442" s="20" t="s">
        <v>31</v>
      </c>
      <c r="F442" s="20" t="s">
        <v>703</v>
      </c>
      <c r="G442" s="20" t="s">
        <v>704</v>
      </c>
      <c r="K442" s="20" t="s">
        <v>7012</v>
      </c>
      <c r="L442" s="20" t="s">
        <v>4001</v>
      </c>
      <c r="M442" s="20" t="s">
        <v>4002</v>
      </c>
      <c r="N442" s="20" t="s">
        <v>4003</v>
      </c>
      <c r="O442" s="20" t="s">
        <v>4004</v>
      </c>
      <c r="P442" s="20" t="s">
        <v>4005</v>
      </c>
      <c r="Q442" s="20" t="s">
        <v>4006</v>
      </c>
      <c r="R442" s="20" t="s">
        <v>4007</v>
      </c>
      <c r="S442" s="20" t="s">
        <v>4017</v>
      </c>
      <c r="T442" s="20" t="s">
        <v>4009</v>
      </c>
    </row>
    <row r="443" spans="1:20" x14ac:dyDescent="0.2">
      <c r="A443" s="20" t="s">
        <v>31</v>
      </c>
      <c r="F443" s="20" t="s">
        <v>705</v>
      </c>
      <c r="G443" s="20" t="s">
        <v>706</v>
      </c>
      <c r="K443" s="20" t="s">
        <v>7013</v>
      </c>
      <c r="L443" s="20" t="s">
        <v>4010</v>
      </c>
      <c r="M443" s="20" t="s">
        <v>4011</v>
      </c>
      <c r="N443" s="20" t="s">
        <v>4012</v>
      </c>
      <c r="O443" s="20" t="s">
        <v>4013</v>
      </c>
      <c r="P443" s="20" t="s">
        <v>4014</v>
      </c>
      <c r="Q443" s="20" t="s">
        <v>4015</v>
      </c>
      <c r="R443" s="20" t="s">
        <v>4016</v>
      </c>
      <c r="S443" s="20" t="s">
        <v>4026</v>
      </c>
      <c r="T443" s="20" t="s">
        <v>4018</v>
      </c>
    </row>
    <row r="444" spans="1:20" x14ac:dyDescent="0.2">
      <c r="A444" s="20" t="s">
        <v>31</v>
      </c>
      <c r="F444" s="20" t="s">
        <v>707</v>
      </c>
      <c r="G444" s="20" t="s">
        <v>708</v>
      </c>
      <c r="K444" s="20" t="s">
        <v>7014</v>
      </c>
      <c r="L444" s="20" t="s">
        <v>4019</v>
      </c>
      <c r="M444" s="20" t="s">
        <v>4020</v>
      </c>
      <c r="N444" s="20" t="s">
        <v>4021</v>
      </c>
      <c r="O444" s="20" t="s">
        <v>4022</v>
      </c>
      <c r="P444" s="20" t="s">
        <v>4023</v>
      </c>
      <c r="Q444" s="20" t="s">
        <v>4024</v>
      </c>
      <c r="R444" s="20" t="s">
        <v>4025</v>
      </c>
      <c r="S444" s="20" t="s">
        <v>4035</v>
      </c>
      <c r="T444" s="20" t="s">
        <v>4027</v>
      </c>
    </row>
    <row r="445" spans="1:20" x14ac:dyDescent="0.2">
      <c r="A445" s="20" t="s">
        <v>31</v>
      </c>
      <c r="F445" s="20" t="s">
        <v>709</v>
      </c>
      <c r="G445" s="20" t="s">
        <v>710</v>
      </c>
      <c r="K445" s="20" t="s">
        <v>7015</v>
      </c>
      <c r="L445" s="20" t="s">
        <v>4028</v>
      </c>
      <c r="M445" s="20" t="s">
        <v>4029</v>
      </c>
      <c r="N445" s="20" t="s">
        <v>4030</v>
      </c>
      <c r="O445" s="20" t="s">
        <v>4031</v>
      </c>
      <c r="P445" s="20" t="s">
        <v>4032</v>
      </c>
      <c r="Q445" s="20" t="s">
        <v>4033</v>
      </c>
      <c r="R445" s="20" t="s">
        <v>4034</v>
      </c>
      <c r="S445" s="20" t="s">
        <v>4044</v>
      </c>
      <c r="T445" s="20" t="s">
        <v>4036</v>
      </c>
    </row>
    <row r="446" spans="1:20" x14ac:dyDescent="0.2">
      <c r="A446" s="20" t="s">
        <v>31</v>
      </c>
      <c r="F446" s="20" t="s">
        <v>711</v>
      </c>
      <c r="G446" s="20" t="s">
        <v>712</v>
      </c>
      <c r="K446" s="20" t="s">
        <v>7016</v>
      </c>
      <c r="L446" s="20" t="s">
        <v>4037</v>
      </c>
      <c r="M446" s="20" t="s">
        <v>4038</v>
      </c>
      <c r="N446" s="20" t="s">
        <v>4039</v>
      </c>
      <c r="O446" s="20" t="s">
        <v>4040</v>
      </c>
      <c r="P446" s="20" t="s">
        <v>4041</v>
      </c>
      <c r="Q446" s="20" t="s">
        <v>4042</v>
      </c>
      <c r="R446" s="20" t="s">
        <v>4043</v>
      </c>
      <c r="S446" s="20" t="s">
        <v>4053</v>
      </c>
      <c r="T446" s="20" t="s">
        <v>4045</v>
      </c>
    </row>
    <row r="447" spans="1:20" x14ac:dyDescent="0.2">
      <c r="A447" s="20" t="s">
        <v>31</v>
      </c>
      <c r="F447" s="20" t="s">
        <v>713</v>
      </c>
      <c r="G447" s="20" t="s">
        <v>714</v>
      </c>
      <c r="K447" s="20" t="s">
        <v>7017</v>
      </c>
      <c r="L447" s="20" t="s">
        <v>4046</v>
      </c>
      <c r="M447" s="20" t="s">
        <v>4047</v>
      </c>
      <c r="N447" s="20" t="s">
        <v>4048</v>
      </c>
      <c r="O447" s="20" t="s">
        <v>4049</v>
      </c>
      <c r="P447" s="20" t="s">
        <v>4050</v>
      </c>
      <c r="Q447" s="20" t="s">
        <v>4051</v>
      </c>
      <c r="R447" s="20" t="s">
        <v>4052</v>
      </c>
      <c r="S447" s="20" t="s">
        <v>4062</v>
      </c>
      <c r="T447" s="20" t="s">
        <v>4054</v>
      </c>
    </row>
    <row r="448" spans="1:20" x14ac:dyDescent="0.2">
      <c r="A448" s="20" t="s">
        <v>31</v>
      </c>
      <c r="F448" s="20" t="s">
        <v>715</v>
      </c>
      <c r="G448" s="20" t="s">
        <v>716</v>
      </c>
      <c r="K448" s="20" t="s">
        <v>7018</v>
      </c>
      <c r="L448" s="20" t="s">
        <v>4055</v>
      </c>
      <c r="M448" s="20" t="s">
        <v>4056</v>
      </c>
      <c r="N448" s="20" t="s">
        <v>4057</v>
      </c>
      <c r="O448" s="20" t="s">
        <v>4058</v>
      </c>
      <c r="P448" s="20" t="s">
        <v>4059</v>
      </c>
      <c r="Q448" s="20" t="s">
        <v>4060</v>
      </c>
      <c r="R448" s="20" t="s">
        <v>4061</v>
      </c>
      <c r="S448" s="20" t="s">
        <v>4071</v>
      </c>
      <c r="T448" s="20" t="s">
        <v>4063</v>
      </c>
    </row>
    <row r="449" spans="1:20" x14ac:dyDescent="0.2">
      <c r="A449" s="20" t="s">
        <v>31</v>
      </c>
      <c r="F449" s="20" t="s">
        <v>717</v>
      </c>
      <c r="G449" s="20" t="s">
        <v>718</v>
      </c>
      <c r="K449" s="20" t="s">
        <v>7019</v>
      </c>
      <c r="L449" s="20" t="s">
        <v>4064</v>
      </c>
      <c r="M449" s="20" t="s">
        <v>4065</v>
      </c>
      <c r="N449" s="20" t="s">
        <v>4066</v>
      </c>
      <c r="O449" s="20" t="s">
        <v>4067</v>
      </c>
      <c r="P449" s="20" t="s">
        <v>4068</v>
      </c>
      <c r="Q449" s="20" t="s">
        <v>4069</v>
      </c>
      <c r="R449" s="20" t="s">
        <v>4070</v>
      </c>
      <c r="S449" s="20" t="s">
        <v>4080</v>
      </c>
      <c r="T449" s="20" t="s">
        <v>4072</v>
      </c>
    </row>
    <row r="450" spans="1:20" x14ac:dyDescent="0.2">
      <c r="A450" s="20" t="s">
        <v>31</v>
      </c>
      <c r="F450" s="20" t="s">
        <v>719</v>
      </c>
      <c r="G450" s="20" t="s">
        <v>720</v>
      </c>
      <c r="K450" s="20" t="s">
        <v>7020</v>
      </c>
      <c r="L450" s="20" t="s">
        <v>4073</v>
      </c>
      <c r="M450" s="20" t="s">
        <v>4074</v>
      </c>
      <c r="N450" s="20" t="s">
        <v>4075</v>
      </c>
      <c r="O450" s="20" t="s">
        <v>4076</v>
      </c>
      <c r="P450" s="20" t="s">
        <v>4077</v>
      </c>
      <c r="Q450" s="20" t="s">
        <v>4078</v>
      </c>
      <c r="R450" s="20" t="s">
        <v>4079</v>
      </c>
      <c r="S450" s="20" t="s">
        <v>6647</v>
      </c>
      <c r="T450" s="20" t="s">
        <v>4081</v>
      </c>
    </row>
    <row r="451" spans="1:20" x14ac:dyDescent="0.2">
      <c r="A451" s="20" t="s">
        <v>31</v>
      </c>
      <c r="F451" s="20" t="s">
        <v>677</v>
      </c>
      <c r="G451" s="20" t="s">
        <v>678</v>
      </c>
    </row>
    <row r="452" spans="1:20" x14ac:dyDescent="0.2">
      <c r="A452" s="20" t="s">
        <v>31</v>
      </c>
      <c r="I452" s="20" t="s">
        <v>6448</v>
      </c>
      <c r="T452" s="20" t="s">
        <v>6449</v>
      </c>
    </row>
    <row r="453" spans="1:20" x14ac:dyDescent="0.2">
      <c r="A453" s="20" t="s">
        <v>31</v>
      </c>
    </row>
    <row r="454" spans="1:20" x14ac:dyDescent="0.2">
      <c r="A454" s="20" t="s">
        <v>31</v>
      </c>
      <c r="D454" s="20" t="s">
        <v>5687</v>
      </c>
      <c r="E454" s="20" t="s">
        <v>5688</v>
      </c>
      <c r="F454" s="20" t="s">
        <v>6248</v>
      </c>
      <c r="G454" s="20" t="s">
        <v>6450</v>
      </c>
      <c r="I454" s="20" t="s">
        <v>722</v>
      </c>
      <c r="J454" s="20" t="s">
        <v>6451</v>
      </c>
    </row>
    <row r="455" spans="1:20" x14ac:dyDescent="0.2">
      <c r="A455" s="20" t="s">
        <v>31</v>
      </c>
      <c r="F455" s="20" t="s">
        <v>721</v>
      </c>
      <c r="G455" s="20" t="s">
        <v>722</v>
      </c>
      <c r="K455" s="20" t="s">
        <v>6452</v>
      </c>
      <c r="L455" s="20" t="s">
        <v>4082</v>
      </c>
      <c r="M455" s="20" t="s">
        <v>4083</v>
      </c>
      <c r="N455" s="20" t="s">
        <v>4084</v>
      </c>
      <c r="O455" s="20" t="s">
        <v>4085</v>
      </c>
      <c r="P455" s="20" t="s">
        <v>4086</v>
      </c>
      <c r="Q455" s="20" t="s">
        <v>4087</v>
      </c>
      <c r="R455" s="20" t="s">
        <v>4088</v>
      </c>
      <c r="S455" s="20" t="s">
        <v>4097</v>
      </c>
      <c r="T455" s="20" t="s">
        <v>4089</v>
      </c>
    </row>
    <row r="456" spans="1:20" x14ac:dyDescent="0.2">
      <c r="A456" s="20" t="s">
        <v>31</v>
      </c>
      <c r="F456" s="20" t="s">
        <v>723</v>
      </c>
      <c r="G456" s="20" t="s">
        <v>724</v>
      </c>
      <c r="K456" s="20" t="s">
        <v>6453</v>
      </c>
      <c r="L456" s="20" t="s">
        <v>4090</v>
      </c>
      <c r="M456" s="20" t="s">
        <v>4091</v>
      </c>
      <c r="N456" s="20" t="s">
        <v>4092</v>
      </c>
      <c r="O456" s="20" t="s">
        <v>4093</v>
      </c>
      <c r="P456" s="20" t="s">
        <v>4094</v>
      </c>
      <c r="Q456" s="20" t="s">
        <v>4095</v>
      </c>
      <c r="R456" s="20" t="s">
        <v>4096</v>
      </c>
      <c r="S456" s="20" t="s">
        <v>4106</v>
      </c>
      <c r="T456" s="20" t="s">
        <v>4098</v>
      </c>
    </row>
    <row r="457" spans="1:20" x14ac:dyDescent="0.2">
      <c r="A457" s="20" t="s">
        <v>31</v>
      </c>
      <c r="F457" s="20" t="s">
        <v>725</v>
      </c>
      <c r="G457" s="20" t="s">
        <v>726</v>
      </c>
      <c r="K457" s="20" t="s">
        <v>7021</v>
      </c>
      <c r="L457" s="20" t="s">
        <v>4099</v>
      </c>
      <c r="M457" s="20" t="s">
        <v>4100</v>
      </c>
      <c r="N457" s="20" t="s">
        <v>4101</v>
      </c>
      <c r="O457" s="20" t="s">
        <v>4102</v>
      </c>
      <c r="P457" s="20" t="s">
        <v>4103</v>
      </c>
      <c r="Q457" s="20" t="s">
        <v>4104</v>
      </c>
      <c r="R457" s="20" t="s">
        <v>4105</v>
      </c>
      <c r="S457" s="20" t="s">
        <v>4115</v>
      </c>
      <c r="T457" s="20" t="s">
        <v>4107</v>
      </c>
    </row>
    <row r="458" spans="1:20" x14ac:dyDescent="0.2">
      <c r="A458" s="20" t="s">
        <v>31</v>
      </c>
      <c r="F458" s="20" t="s">
        <v>727</v>
      </c>
      <c r="G458" s="20" t="s">
        <v>728</v>
      </c>
      <c r="K458" s="20" t="s">
        <v>7022</v>
      </c>
      <c r="L458" s="20" t="s">
        <v>4108</v>
      </c>
      <c r="M458" s="20" t="s">
        <v>4109</v>
      </c>
      <c r="N458" s="20" t="s">
        <v>4110</v>
      </c>
      <c r="O458" s="20" t="s">
        <v>4111</v>
      </c>
      <c r="P458" s="20" t="s">
        <v>4112</v>
      </c>
      <c r="Q458" s="20" t="s">
        <v>4113</v>
      </c>
      <c r="R458" s="20" t="s">
        <v>4114</v>
      </c>
      <c r="S458" s="20" t="s">
        <v>4124</v>
      </c>
      <c r="T458" s="20" t="s">
        <v>4116</v>
      </c>
    </row>
    <row r="459" spans="1:20" x14ac:dyDescent="0.2">
      <c r="A459" s="20" t="s">
        <v>31</v>
      </c>
      <c r="F459" s="20" t="s">
        <v>729</v>
      </c>
      <c r="G459" s="20" t="s">
        <v>730</v>
      </c>
      <c r="K459" s="20" t="s">
        <v>7023</v>
      </c>
      <c r="L459" s="20" t="s">
        <v>4117</v>
      </c>
      <c r="M459" s="20" t="s">
        <v>4118</v>
      </c>
      <c r="N459" s="20" t="s">
        <v>4119</v>
      </c>
      <c r="O459" s="20" t="s">
        <v>4120</v>
      </c>
      <c r="P459" s="20" t="s">
        <v>4121</v>
      </c>
      <c r="Q459" s="20" t="s">
        <v>4122</v>
      </c>
      <c r="R459" s="20" t="s">
        <v>4123</v>
      </c>
      <c r="S459" s="20" t="s">
        <v>4133</v>
      </c>
      <c r="T459" s="20" t="s">
        <v>4125</v>
      </c>
    </row>
    <row r="460" spans="1:20" x14ac:dyDescent="0.2">
      <c r="A460" s="20" t="s">
        <v>31</v>
      </c>
      <c r="F460" s="20" t="s">
        <v>731</v>
      </c>
      <c r="G460" s="20" t="s">
        <v>732</v>
      </c>
      <c r="K460" s="20" t="s">
        <v>7024</v>
      </c>
      <c r="L460" s="20" t="s">
        <v>4126</v>
      </c>
      <c r="M460" s="20" t="s">
        <v>4127</v>
      </c>
      <c r="N460" s="20" t="s">
        <v>4128</v>
      </c>
      <c r="O460" s="20" t="s">
        <v>4129</v>
      </c>
      <c r="P460" s="20" t="s">
        <v>4130</v>
      </c>
      <c r="Q460" s="20" t="s">
        <v>4131</v>
      </c>
      <c r="R460" s="20" t="s">
        <v>4132</v>
      </c>
      <c r="S460" s="20" t="s">
        <v>4142</v>
      </c>
      <c r="T460" s="20" t="s">
        <v>4134</v>
      </c>
    </row>
    <row r="461" spans="1:20" x14ac:dyDescent="0.2">
      <c r="A461" s="20" t="s">
        <v>31</v>
      </c>
      <c r="F461" s="20" t="s">
        <v>733</v>
      </c>
      <c r="G461" s="20" t="s">
        <v>734</v>
      </c>
      <c r="K461" s="20" t="s">
        <v>7025</v>
      </c>
      <c r="L461" s="20" t="s">
        <v>4135</v>
      </c>
      <c r="M461" s="20" t="s">
        <v>4136</v>
      </c>
      <c r="N461" s="20" t="s">
        <v>4137</v>
      </c>
      <c r="O461" s="20" t="s">
        <v>4138</v>
      </c>
      <c r="P461" s="20" t="s">
        <v>4139</v>
      </c>
      <c r="Q461" s="20" t="s">
        <v>4140</v>
      </c>
      <c r="R461" s="20" t="s">
        <v>4141</v>
      </c>
      <c r="S461" s="20" t="s">
        <v>4151</v>
      </c>
      <c r="T461" s="20" t="s">
        <v>4143</v>
      </c>
    </row>
    <row r="462" spans="1:20" x14ac:dyDescent="0.2">
      <c r="A462" s="20" t="s">
        <v>31</v>
      </c>
      <c r="F462" s="20" t="s">
        <v>735</v>
      </c>
      <c r="G462" s="20" t="s">
        <v>736</v>
      </c>
      <c r="K462" s="20" t="s">
        <v>7026</v>
      </c>
      <c r="L462" s="20" t="s">
        <v>4144</v>
      </c>
      <c r="M462" s="20" t="s">
        <v>4145</v>
      </c>
      <c r="N462" s="20" t="s">
        <v>4146</v>
      </c>
      <c r="O462" s="20" t="s">
        <v>4147</v>
      </c>
      <c r="P462" s="20" t="s">
        <v>4148</v>
      </c>
      <c r="Q462" s="20" t="s">
        <v>4149</v>
      </c>
      <c r="R462" s="20" t="s">
        <v>4150</v>
      </c>
      <c r="S462" s="20" t="s">
        <v>4160</v>
      </c>
      <c r="T462" s="20" t="s">
        <v>4152</v>
      </c>
    </row>
    <row r="463" spans="1:20" x14ac:dyDescent="0.2">
      <c r="A463" s="20" t="s">
        <v>31</v>
      </c>
      <c r="F463" s="20" t="s">
        <v>737</v>
      </c>
      <c r="G463" s="20" t="s">
        <v>738</v>
      </c>
      <c r="K463" s="20" t="s">
        <v>7027</v>
      </c>
      <c r="L463" s="20" t="s">
        <v>4153</v>
      </c>
      <c r="M463" s="20" t="s">
        <v>4154</v>
      </c>
      <c r="N463" s="20" t="s">
        <v>4155</v>
      </c>
      <c r="O463" s="20" t="s">
        <v>4156</v>
      </c>
      <c r="P463" s="20" t="s">
        <v>4157</v>
      </c>
      <c r="Q463" s="20" t="s">
        <v>4158</v>
      </c>
      <c r="R463" s="20" t="s">
        <v>4159</v>
      </c>
      <c r="S463" s="20" t="s">
        <v>4169</v>
      </c>
      <c r="T463" s="20" t="s">
        <v>4161</v>
      </c>
    </row>
    <row r="464" spans="1:20" x14ac:dyDescent="0.2">
      <c r="A464" s="20" t="s">
        <v>31</v>
      </c>
      <c r="F464" s="20" t="s">
        <v>739</v>
      </c>
      <c r="G464" s="20" t="s">
        <v>740</v>
      </c>
      <c r="K464" s="20" t="s">
        <v>7028</v>
      </c>
      <c r="L464" s="20" t="s">
        <v>4162</v>
      </c>
      <c r="M464" s="20" t="s">
        <v>4163</v>
      </c>
      <c r="N464" s="20" t="s">
        <v>4164</v>
      </c>
      <c r="O464" s="20" t="s">
        <v>4165</v>
      </c>
      <c r="P464" s="20" t="s">
        <v>4166</v>
      </c>
      <c r="Q464" s="20" t="s">
        <v>4167</v>
      </c>
      <c r="R464" s="20" t="s">
        <v>4168</v>
      </c>
      <c r="S464" s="20" t="s">
        <v>4178</v>
      </c>
      <c r="T464" s="20" t="s">
        <v>4170</v>
      </c>
    </row>
    <row r="465" spans="1:20" x14ac:dyDescent="0.2">
      <c r="A465" s="20" t="s">
        <v>31</v>
      </c>
      <c r="F465" s="20" t="s">
        <v>741</v>
      </c>
      <c r="G465" s="20" t="s">
        <v>742</v>
      </c>
      <c r="K465" s="20" t="s">
        <v>7029</v>
      </c>
      <c r="L465" s="20" t="s">
        <v>4171</v>
      </c>
      <c r="M465" s="20" t="s">
        <v>4172</v>
      </c>
      <c r="N465" s="20" t="s">
        <v>4173</v>
      </c>
      <c r="O465" s="20" t="s">
        <v>4174</v>
      </c>
      <c r="P465" s="20" t="s">
        <v>4175</v>
      </c>
      <c r="Q465" s="20" t="s">
        <v>4176</v>
      </c>
      <c r="R465" s="20" t="s">
        <v>4177</v>
      </c>
      <c r="S465" s="20" t="s">
        <v>4187</v>
      </c>
      <c r="T465" s="20" t="s">
        <v>4179</v>
      </c>
    </row>
    <row r="466" spans="1:20" x14ac:dyDescent="0.2">
      <c r="A466" s="20" t="s">
        <v>31</v>
      </c>
      <c r="F466" s="20" t="s">
        <v>743</v>
      </c>
      <c r="G466" s="20" t="s">
        <v>744</v>
      </c>
      <c r="K466" s="20" t="s">
        <v>7030</v>
      </c>
      <c r="L466" s="20" t="s">
        <v>4180</v>
      </c>
      <c r="M466" s="20" t="s">
        <v>4181</v>
      </c>
      <c r="N466" s="20" t="s">
        <v>4182</v>
      </c>
      <c r="O466" s="20" t="s">
        <v>4183</v>
      </c>
      <c r="P466" s="20" t="s">
        <v>4184</v>
      </c>
      <c r="Q466" s="20" t="s">
        <v>4185</v>
      </c>
      <c r="R466" s="20" t="s">
        <v>4186</v>
      </c>
      <c r="S466" s="20" t="s">
        <v>4196</v>
      </c>
      <c r="T466" s="20" t="s">
        <v>4188</v>
      </c>
    </row>
    <row r="467" spans="1:20" x14ac:dyDescent="0.2">
      <c r="A467" s="20" t="s">
        <v>31</v>
      </c>
      <c r="F467" s="20" t="s">
        <v>745</v>
      </c>
      <c r="G467" s="20" t="s">
        <v>746</v>
      </c>
      <c r="K467" s="20" t="s">
        <v>7031</v>
      </c>
      <c r="L467" s="20" t="s">
        <v>4189</v>
      </c>
      <c r="M467" s="20" t="s">
        <v>4190</v>
      </c>
      <c r="N467" s="20" t="s">
        <v>4191</v>
      </c>
      <c r="O467" s="20" t="s">
        <v>4192</v>
      </c>
      <c r="P467" s="20" t="s">
        <v>4193</v>
      </c>
      <c r="Q467" s="20" t="s">
        <v>4194</v>
      </c>
      <c r="R467" s="20" t="s">
        <v>4195</v>
      </c>
      <c r="S467" s="20" t="s">
        <v>4205</v>
      </c>
      <c r="T467" s="20" t="s">
        <v>4197</v>
      </c>
    </row>
    <row r="468" spans="1:20" x14ac:dyDescent="0.2">
      <c r="A468" s="20" t="s">
        <v>31</v>
      </c>
      <c r="F468" s="20" t="s">
        <v>747</v>
      </c>
      <c r="G468" s="20" t="s">
        <v>748</v>
      </c>
      <c r="K468" s="20" t="s">
        <v>7032</v>
      </c>
      <c r="L468" s="20" t="s">
        <v>4198</v>
      </c>
      <c r="M468" s="20" t="s">
        <v>4199</v>
      </c>
      <c r="N468" s="20" t="s">
        <v>4200</v>
      </c>
      <c r="O468" s="20" t="s">
        <v>4201</v>
      </c>
      <c r="P468" s="20" t="s">
        <v>4202</v>
      </c>
      <c r="Q468" s="20" t="s">
        <v>4203</v>
      </c>
      <c r="R468" s="20" t="s">
        <v>4204</v>
      </c>
      <c r="S468" s="20" t="s">
        <v>4214</v>
      </c>
      <c r="T468" s="20" t="s">
        <v>4206</v>
      </c>
    </row>
    <row r="469" spans="1:20" x14ac:dyDescent="0.2">
      <c r="A469" s="20" t="s">
        <v>31</v>
      </c>
      <c r="F469" s="20" t="s">
        <v>749</v>
      </c>
      <c r="G469" s="20" t="s">
        <v>750</v>
      </c>
      <c r="K469" s="20" t="s">
        <v>7033</v>
      </c>
      <c r="L469" s="20" t="s">
        <v>4207</v>
      </c>
      <c r="M469" s="20" t="s">
        <v>4208</v>
      </c>
      <c r="N469" s="20" t="s">
        <v>4209</v>
      </c>
      <c r="O469" s="20" t="s">
        <v>4210</v>
      </c>
      <c r="P469" s="20" t="s">
        <v>4211</v>
      </c>
      <c r="Q469" s="20" t="s">
        <v>4212</v>
      </c>
      <c r="R469" s="20" t="s">
        <v>4213</v>
      </c>
      <c r="S469" s="20" t="s">
        <v>4223</v>
      </c>
      <c r="T469" s="20" t="s">
        <v>4215</v>
      </c>
    </row>
    <row r="470" spans="1:20" x14ac:dyDescent="0.2">
      <c r="A470" s="20" t="s">
        <v>31</v>
      </c>
      <c r="F470" s="20" t="s">
        <v>751</v>
      </c>
      <c r="G470" s="20" t="s">
        <v>752</v>
      </c>
      <c r="K470" s="20" t="s">
        <v>7034</v>
      </c>
      <c r="L470" s="20" t="s">
        <v>4216</v>
      </c>
      <c r="M470" s="20" t="s">
        <v>4217</v>
      </c>
      <c r="N470" s="20" t="s">
        <v>4218</v>
      </c>
      <c r="O470" s="20" t="s">
        <v>4219</v>
      </c>
      <c r="P470" s="20" t="s">
        <v>4220</v>
      </c>
      <c r="Q470" s="20" t="s">
        <v>4221</v>
      </c>
      <c r="R470" s="20" t="s">
        <v>4222</v>
      </c>
      <c r="S470" s="20" t="s">
        <v>6463</v>
      </c>
      <c r="T470" s="20" t="s">
        <v>4224</v>
      </c>
    </row>
    <row r="471" spans="1:20" x14ac:dyDescent="0.2">
      <c r="A471" s="20" t="s">
        <v>31</v>
      </c>
      <c r="F471" s="20" t="s">
        <v>6454</v>
      </c>
      <c r="G471" s="20" t="s">
        <v>6455</v>
      </c>
      <c r="K471" s="20" t="s">
        <v>7035</v>
      </c>
      <c r="L471" s="20" t="s">
        <v>6456</v>
      </c>
      <c r="M471" s="20" t="s">
        <v>6457</v>
      </c>
      <c r="N471" s="20" t="s">
        <v>6458</v>
      </c>
      <c r="O471" s="20" t="s">
        <v>6459</v>
      </c>
      <c r="P471" s="20" t="s">
        <v>6460</v>
      </c>
      <c r="Q471" s="20" t="s">
        <v>6461</v>
      </c>
      <c r="R471" s="20" t="s">
        <v>6462</v>
      </c>
      <c r="S471" s="20" t="s">
        <v>6474</v>
      </c>
      <c r="T471" s="20" t="s">
        <v>6464</v>
      </c>
    </row>
    <row r="472" spans="1:20" x14ac:dyDescent="0.2">
      <c r="A472" s="20" t="s">
        <v>31</v>
      </c>
      <c r="F472" s="20" t="s">
        <v>6465</v>
      </c>
      <c r="G472" s="20" t="s">
        <v>6466</v>
      </c>
      <c r="K472" s="20" t="s">
        <v>7036</v>
      </c>
      <c r="L472" s="20" t="s">
        <v>6467</v>
      </c>
      <c r="M472" s="20" t="s">
        <v>6468</v>
      </c>
      <c r="N472" s="20" t="s">
        <v>6469</v>
      </c>
      <c r="O472" s="20" t="s">
        <v>6470</v>
      </c>
      <c r="P472" s="20" t="s">
        <v>6471</v>
      </c>
      <c r="Q472" s="20" t="s">
        <v>6472</v>
      </c>
      <c r="R472" s="20" t="s">
        <v>6473</v>
      </c>
      <c r="S472" s="20" t="s">
        <v>6485</v>
      </c>
      <c r="T472" s="20" t="s">
        <v>6475</v>
      </c>
    </row>
    <row r="473" spans="1:20" x14ac:dyDescent="0.2">
      <c r="A473" s="20" t="s">
        <v>31</v>
      </c>
      <c r="F473" s="20" t="s">
        <v>6476</v>
      </c>
      <c r="G473" s="20" t="s">
        <v>6477</v>
      </c>
      <c r="K473" s="20" t="s">
        <v>7037</v>
      </c>
      <c r="L473" s="20" t="s">
        <v>6478</v>
      </c>
      <c r="M473" s="20" t="s">
        <v>6479</v>
      </c>
      <c r="N473" s="20" t="s">
        <v>6480</v>
      </c>
      <c r="O473" s="20" t="s">
        <v>6481</v>
      </c>
      <c r="P473" s="20" t="s">
        <v>6482</v>
      </c>
      <c r="Q473" s="20" t="s">
        <v>6483</v>
      </c>
      <c r="R473" s="20" t="s">
        <v>6484</v>
      </c>
      <c r="S473" s="20" t="s">
        <v>6496</v>
      </c>
      <c r="T473" s="20" t="s">
        <v>6486</v>
      </c>
    </row>
    <row r="474" spans="1:20" x14ac:dyDescent="0.2">
      <c r="A474" s="20" t="s">
        <v>31</v>
      </c>
      <c r="F474" s="20" t="s">
        <v>6487</v>
      </c>
      <c r="G474" s="20" t="s">
        <v>6488</v>
      </c>
      <c r="K474" s="20" t="s">
        <v>7038</v>
      </c>
      <c r="L474" s="20" t="s">
        <v>6489</v>
      </c>
      <c r="M474" s="20" t="s">
        <v>6490</v>
      </c>
      <c r="N474" s="20" t="s">
        <v>6491</v>
      </c>
      <c r="O474" s="20" t="s">
        <v>6492</v>
      </c>
      <c r="P474" s="20" t="s">
        <v>6493</v>
      </c>
      <c r="Q474" s="20" t="s">
        <v>6494</v>
      </c>
      <c r="R474" s="20" t="s">
        <v>6495</v>
      </c>
      <c r="S474" s="20" t="s">
        <v>6498</v>
      </c>
      <c r="T474" s="20" t="s">
        <v>6497</v>
      </c>
    </row>
    <row r="475" spans="1:20" x14ac:dyDescent="0.2">
      <c r="A475" s="20" t="s">
        <v>31</v>
      </c>
      <c r="F475" s="20" t="s">
        <v>5804</v>
      </c>
      <c r="G475" s="20" t="s">
        <v>5805</v>
      </c>
      <c r="K475" s="20" t="s">
        <v>7039</v>
      </c>
      <c r="L475" s="20" t="s">
        <v>5806</v>
      </c>
      <c r="M475" s="20" t="s">
        <v>5807</v>
      </c>
      <c r="N475" s="20" t="s">
        <v>5808</v>
      </c>
      <c r="O475" s="20" t="s">
        <v>5809</v>
      </c>
      <c r="P475" s="20" t="s">
        <v>5810</v>
      </c>
      <c r="Q475" s="20" t="s">
        <v>5811</v>
      </c>
      <c r="R475" s="20" t="s">
        <v>5812</v>
      </c>
      <c r="S475" s="20" t="s">
        <v>5823</v>
      </c>
      <c r="T475" s="20" t="s">
        <v>5813</v>
      </c>
    </row>
    <row r="476" spans="1:20" x14ac:dyDescent="0.2">
      <c r="A476" s="20" t="s">
        <v>31</v>
      </c>
      <c r="F476" s="20" t="s">
        <v>5814</v>
      </c>
      <c r="G476" s="20" t="s">
        <v>5815</v>
      </c>
      <c r="K476" s="20" t="s">
        <v>7040</v>
      </c>
      <c r="L476" s="20" t="s">
        <v>5816</v>
      </c>
      <c r="M476" s="20" t="s">
        <v>5817</v>
      </c>
      <c r="N476" s="20" t="s">
        <v>5818</v>
      </c>
      <c r="O476" s="20" t="s">
        <v>5819</v>
      </c>
      <c r="P476" s="20" t="s">
        <v>5820</v>
      </c>
      <c r="Q476" s="20" t="s">
        <v>5821</v>
      </c>
      <c r="R476" s="20" t="s">
        <v>5822</v>
      </c>
      <c r="S476" s="20" t="s">
        <v>5825</v>
      </c>
      <c r="T476" s="20" t="s">
        <v>5824</v>
      </c>
    </row>
    <row r="477" spans="1:20" x14ac:dyDescent="0.2">
      <c r="A477" s="20" t="s">
        <v>31</v>
      </c>
      <c r="F477" s="20" t="s">
        <v>753</v>
      </c>
      <c r="G477" s="20" t="s">
        <v>754</v>
      </c>
      <c r="K477" s="20" t="s">
        <v>7041</v>
      </c>
      <c r="L477" s="20" t="s">
        <v>4225</v>
      </c>
      <c r="M477" s="20" t="s">
        <v>4226</v>
      </c>
      <c r="N477" s="20" t="s">
        <v>4227</v>
      </c>
      <c r="O477" s="20" t="s">
        <v>4228</v>
      </c>
      <c r="P477" s="20" t="s">
        <v>4229</v>
      </c>
      <c r="Q477" s="20" t="s">
        <v>4230</v>
      </c>
      <c r="R477" s="20" t="s">
        <v>4231</v>
      </c>
      <c r="S477" s="20" t="s">
        <v>4232</v>
      </c>
      <c r="T477" s="20" t="s">
        <v>4233</v>
      </c>
    </row>
    <row r="478" spans="1:20" x14ac:dyDescent="0.2">
      <c r="A478" s="20" t="s">
        <v>31</v>
      </c>
      <c r="F478" s="20" t="s">
        <v>755</v>
      </c>
      <c r="G478" s="20" t="s">
        <v>756</v>
      </c>
      <c r="K478" s="20" t="s">
        <v>7042</v>
      </c>
      <c r="L478" s="20" t="s">
        <v>4234</v>
      </c>
      <c r="M478" s="20" t="s">
        <v>4235</v>
      </c>
      <c r="N478" s="20" t="s">
        <v>4236</v>
      </c>
      <c r="O478" s="20" t="s">
        <v>4237</v>
      </c>
      <c r="P478" s="20" t="s">
        <v>4238</v>
      </c>
      <c r="Q478" s="20" t="s">
        <v>4239</v>
      </c>
      <c r="R478" s="20" t="s">
        <v>4240</v>
      </c>
      <c r="S478" s="20" t="s">
        <v>4249</v>
      </c>
      <c r="T478" s="20" t="s">
        <v>4241</v>
      </c>
    </row>
    <row r="479" spans="1:20" x14ac:dyDescent="0.2">
      <c r="A479" s="20" t="s">
        <v>31</v>
      </c>
      <c r="F479" s="20" t="s">
        <v>757</v>
      </c>
      <c r="G479" s="20" t="s">
        <v>758</v>
      </c>
      <c r="K479" s="20" t="s">
        <v>7043</v>
      </c>
      <c r="L479" s="20" t="s">
        <v>4242</v>
      </c>
      <c r="M479" s="20" t="s">
        <v>4243</v>
      </c>
      <c r="N479" s="20" t="s">
        <v>4244</v>
      </c>
      <c r="O479" s="20" t="s">
        <v>4245</v>
      </c>
      <c r="P479" s="20" t="s">
        <v>4246</v>
      </c>
      <c r="Q479" s="20" t="s">
        <v>4247</v>
      </c>
      <c r="R479" s="20" t="s">
        <v>4248</v>
      </c>
      <c r="S479" s="20" t="s">
        <v>4258</v>
      </c>
      <c r="T479" s="20" t="s">
        <v>4250</v>
      </c>
    </row>
    <row r="480" spans="1:20" x14ac:dyDescent="0.2">
      <c r="A480" s="20" t="s">
        <v>31</v>
      </c>
      <c r="F480" s="20" t="s">
        <v>759</v>
      </c>
      <c r="G480" s="20" t="s">
        <v>760</v>
      </c>
      <c r="K480" s="20" t="s">
        <v>7044</v>
      </c>
      <c r="L480" s="20" t="s">
        <v>4251</v>
      </c>
      <c r="M480" s="20" t="s">
        <v>4252</v>
      </c>
      <c r="N480" s="20" t="s">
        <v>4253</v>
      </c>
      <c r="O480" s="20" t="s">
        <v>4254</v>
      </c>
      <c r="P480" s="20" t="s">
        <v>4255</v>
      </c>
      <c r="Q480" s="20" t="s">
        <v>4256</v>
      </c>
      <c r="R480" s="20" t="s">
        <v>4257</v>
      </c>
      <c r="S480" s="20" t="s">
        <v>4267</v>
      </c>
      <c r="T480" s="20" t="s">
        <v>4259</v>
      </c>
    </row>
    <row r="481" spans="1:20" x14ac:dyDescent="0.2">
      <c r="A481" s="20" t="s">
        <v>31</v>
      </c>
      <c r="F481" s="20" t="s">
        <v>761</v>
      </c>
      <c r="G481" s="20" t="s">
        <v>762</v>
      </c>
      <c r="K481" s="20" t="s">
        <v>7045</v>
      </c>
      <c r="L481" s="20" t="s">
        <v>4260</v>
      </c>
      <c r="M481" s="20" t="s">
        <v>4261</v>
      </c>
      <c r="N481" s="20" t="s">
        <v>4262</v>
      </c>
      <c r="O481" s="20" t="s">
        <v>4263</v>
      </c>
      <c r="P481" s="20" t="s">
        <v>4264</v>
      </c>
      <c r="Q481" s="20" t="s">
        <v>4265</v>
      </c>
      <c r="R481" s="20" t="s">
        <v>4266</v>
      </c>
      <c r="S481" s="20" t="s">
        <v>5835</v>
      </c>
      <c r="T481" s="20" t="s">
        <v>4268</v>
      </c>
    </row>
    <row r="482" spans="1:20" x14ac:dyDescent="0.2">
      <c r="A482" s="20" t="s">
        <v>31</v>
      </c>
      <c r="F482" s="20" t="s">
        <v>5826</v>
      </c>
      <c r="G482" s="20" t="s">
        <v>5827</v>
      </c>
      <c r="K482" s="20" t="s">
        <v>7046</v>
      </c>
      <c r="L482" s="20" t="s">
        <v>5828</v>
      </c>
      <c r="M482" s="20" t="s">
        <v>5829</v>
      </c>
      <c r="N482" s="20" t="s">
        <v>5830</v>
      </c>
      <c r="O482" s="20" t="s">
        <v>5831</v>
      </c>
      <c r="P482" s="20" t="s">
        <v>5832</v>
      </c>
      <c r="Q482" s="20" t="s">
        <v>5833</v>
      </c>
      <c r="R482" s="20" t="s">
        <v>5834</v>
      </c>
      <c r="S482" s="20" t="s">
        <v>5846</v>
      </c>
      <c r="T482" s="20" t="s">
        <v>5836</v>
      </c>
    </row>
    <row r="483" spans="1:20" x14ac:dyDescent="0.2">
      <c r="A483" s="20" t="s">
        <v>31</v>
      </c>
      <c r="F483" s="20" t="s">
        <v>5837</v>
      </c>
      <c r="G483" s="20" t="s">
        <v>5838</v>
      </c>
      <c r="K483" s="20" t="s">
        <v>7047</v>
      </c>
      <c r="L483" s="20" t="s">
        <v>5839</v>
      </c>
      <c r="M483" s="20" t="s">
        <v>5840</v>
      </c>
      <c r="N483" s="20" t="s">
        <v>5841</v>
      </c>
      <c r="O483" s="20" t="s">
        <v>5842</v>
      </c>
      <c r="P483" s="20" t="s">
        <v>5843</v>
      </c>
      <c r="Q483" s="20" t="s">
        <v>5844</v>
      </c>
      <c r="R483" s="20" t="s">
        <v>5845</v>
      </c>
      <c r="S483" s="20" t="s">
        <v>5857</v>
      </c>
      <c r="T483" s="20" t="s">
        <v>5847</v>
      </c>
    </row>
    <row r="484" spans="1:20" x14ac:dyDescent="0.2">
      <c r="A484" s="20" t="s">
        <v>31</v>
      </c>
      <c r="F484" s="20" t="s">
        <v>5848</v>
      </c>
      <c r="G484" s="20" t="s">
        <v>5849</v>
      </c>
      <c r="K484" s="20" t="s">
        <v>7048</v>
      </c>
      <c r="L484" s="20" t="s">
        <v>5850</v>
      </c>
      <c r="M484" s="20" t="s">
        <v>5851</v>
      </c>
      <c r="N484" s="20" t="s">
        <v>5852</v>
      </c>
      <c r="O484" s="20" t="s">
        <v>5853</v>
      </c>
      <c r="P484" s="20" t="s">
        <v>5854</v>
      </c>
      <c r="Q484" s="20" t="s">
        <v>5855</v>
      </c>
      <c r="R484" s="20" t="s">
        <v>5856</v>
      </c>
      <c r="S484" s="20" t="s">
        <v>5868</v>
      </c>
      <c r="T484" s="20" t="s">
        <v>5858</v>
      </c>
    </row>
    <row r="485" spans="1:20" x14ac:dyDescent="0.2">
      <c r="A485" s="20" t="s">
        <v>31</v>
      </c>
      <c r="F485" s="20" t="s">
        <v>5859</v>
      </c>
      <c r="G485" s="20" t="s">
        <v>5860</v>
      </c>
      <c r="K485" s="20" t="s">
        <v>7049</v>
      </c>
      <c r="L485" s="20" t="s">
        <v>5861</v>
      </c>
      <c r="M485" s="20" t="s">
        <v>5862</v>
      </c>
      <c r="N485" s="20" t="s">
        <v>5863</v>
      </c>
      <c r="O485" s="20" t="s">
        <v>5864</v>
      </c>
      <c r="P485" s="20" t="s">
        <v>5865</v>
      </c>
      <c r="Q485" s="20" t="s">
        <v>5866</v>
      </c>
      <c r="R485" s="20" t="s">
        <v>5867</v>
      </c>
      <c r="S485" s="20" t="s">
        <v>5870</v>
      </c>
      <c r="T485" s="20" t="s">
        <v>5869</v>
      </c>
    </row>
    <row r="486" spans="1:20" x14ac:dyDescent="0.2">
      <c r="A486" s="20" t="s">
        <v>31</v>
      </c>
      <c r="F486" s="20" t="s">
        <v>763</v>
      </c>
      <c r="G486" s="20" t="s">
        <v>764</v>
      </c>
      <c r="K486" s="20" t="s">
        <v>7050</v>
      </c>
      <c r="L486" s="20" t="s">
        <v>4269</v>
      </c>
      <c r="M486" s="20" t="s">
        <v>4270</v>
      </c>
      <c r="N486" s="20" t="s">
        <v>4271</v>
      </c>
      <c r="O486" s="20" t="s">
        <v>4272</v>
      </c>
      <c r="P486" s="20" t="s">
        <v>4273</v>
      </c>
      <c r="Q486" s="20" t="s">
        <v>4274</v>
      </c>
      <c r="R486" s="20" t="s">
        <v>4275</v>
      </c>
      <c r="S486" s="20" t="s">
        <v>4276</v>
      </c>
      <c r="T486" s="20" t="s">
        <v>4277</v>
      </c>
    </row>
    <row r="487" spans="1:20" x14ac:dyDescent="0.2">
      <c r="A487" s="20" t="s">
        <v>31</v>
      </c>
      <c r="F487" s="20" t="s">
        <v>1048</v>
      </c>
      <c r="G487" s="20" t="s">
        <v>1049</v>
      </c>
      <c r="K487" s="20" t="s">
        <v>7051</v>
      </c>
      <c r="L487" s="20" t="s">
        <v>4278</v>
      </c>
      <c r="M487" s="20" t="s">
        <v>4279</v>
      </c>
      <c r="N487" s="20" t="s">
        <v>4280</v>
      </c>
      <c r="O487" s="20" t="s">
        <v>4281</v>
      </c>
      <c r="P487" s="20" t="s">
        <v>4282</v>
      </c>
      <c r="Q487" s="20" t="s">
        <v>4283</v>
      </c>
      <c r="R487" s="20" t="s">
        <v>4284</v>
      </c>
      <c r="S487" s="20" t="s">
        <v>4293</v>
      </c>
      <c r="T487" s="20" t="s">
        <v>4285</v>
      </c>
    </row>
    <row r="488" spans="1:20" x14ac:dyDescent="0.2">
      <c r="A488" s="20" t="s">
        <v>31</v>
      </c>
      <c r="F488" s="20" t="s">
        <v>1050</v>
      </c>
      <c r="G488" s="20" t="s">
        <v>1051</v>
      </c>
      <c r="K488" s="20" t="s">
        <v>7052</v>
      </c>
      <c r="L488" s="20" t="s">
        <v>4286</v>
      </c>
      <c r="M488" s="20" t="s">
        <v>4287</v>
      </c>
      <c r="N488" s="20" t="s">
        <v>4288</v>
      </c>
      <c r="O488" s="20" t="s">
        <v>4289</v>
      </c>
      <c r="P488" s="20" t="s">
        <v>4290</v>
      </c>
      <c r="Q488" s="20" t="s">
        <v>4291</v>
      </c>
      <c r="R488" s="20" t="s">
        <v>4292</v>
      </c>
      <c r="S488" s="20" t="s">
        <v>4302</v>
      </c>
      <c r="T488" s="20" t="s">
        <v>4294</v>
      </c>
    </row>
    <row r="489" spans="1:20" x14ac:dyDescent="0.2">
      <c r="A489" s="20" t="s">
        <v>31</v>
      </c>
      <c r="F489" s="20" t="s">
        <v>1052</v>
      </c>
      <c r="G489" s="20" t="s">
        <v>1053</v>
      </c>
      <c r="K489" s="20" t="s">
        <v>7053</v>
      </c>
      <c r="L489" s="20" t="s">
        <v>4295</v>
      </c>
      <c r="M489" s="20" t="s">
        <v>4296</v>
      </c>
      <c r="N489" s="20" t="s">
        <v>4297</v>
      </c>
      <c r="O489" s="20" t="s">
        <v>4298</v>
      </c>
      <c r="P489" s="20" t="s">
        <v>4299</v>
      </c>
      <c r="Q489" s="20" t="s">
        <v>4300</v>
      </c>
      <c r="R489" s="20" t="s">
        <v>4301</v>
      </c>
      <c r="S489" s="20" t="s">
        <v>4311</v>
      </c>
      <c r="T489" s="20" t="s">
        <v>4303</v>
      </c>
    </row>
    <row r="490" spans="1:20" x14ac:dyDescent="0.2">
      <c r="A490" s="20" t="s">
        <v>31</v>
      </c>
      <c r="F490" s="20" t="s">
        <v>68</v>
      </c>
      <c r="G490" s="20" t="s">
        <v>67</v>
      </c>
      <c r="K490" s="20" t="s">
        <v>7054</v>
      </c>
      <c r="L490" s="20" t="s">
        <v>4304</v>
      </c>
      <c r="M490" s="20" t="s">
        <v>4305</v>
      </c>
      <c r="N490" s="20" t="s">
        <v>4306</v>
      </c>
      <c r="O490" s="20" t="s">
        <v>4307</v>
      </c>
      <c r="P490" s="20" t="s">
        <v>4308</v>
      </c>
      <c r="Q490" s="20" t="s">
        <v>4309</v>
      </c>
      <c r="R490" s="20" t="s">
        <v>4310</v>
      </c>
      <c r="S490" s="20" t="s">
        <v>6147</v>
      </c>
      <c r="T490" s="20" t="s">
        <v>4312</v>
      </c>
    </row>
    <row r="491" spans="1:20" x14ac:dyDescent="0.2">
      <c r="A491" s="20" t="s">
        <v>31</v>
      </c>
      <c r="F491" s="20" t="s">
        <v>6138</v>
      </c>
      <c r="G491" s="20" t="s">
        <v>6139</v>
      </c>
      <c r="K491" s="20" t="s">
        <v>7055</v>
      </c>
      <c r="L491" s="20" t="s">
        <v>6140</v>
      </c>
      <c r="M491" s="20" t="s">
        <v>6141</v>
      </c>
      <c r="N491" s="20" t="s">
        <v>6142</v>
      </c>
      <c r="O491" s="20" t="s">
        <v>6143</v>
      </c>
      <c r="P491" s="20" t="s">
        <v>6144</v>
      </c>
      <c r="Q491" s="20" t="s">
        <v>6145</v>
      </c>
      <c r="R491" s="20" t="s">
        <v>6146</v>
      </c>
      <c r="S491" s="20" t="s">
        <v>6158</v>
      </c>
      <c r="T491" s="20" t="s">
        <v>6148</v>
      </c>
    </row>
    <row r="492" spans="1:20" x14ac:dyDescent="0.2">
      <c r="A492" s="20" t="s">
        <v>31</v>
      </c>
      <c r="F492" s="20" t="s">
        <v>6149</v>
      </c>
      <c r="G492" s="20" t="s">
        <v>6150</v>
      </c>
      <c r="K492" s="20" t="s">
        <v>7056</v>
      </c>
      <c r="L492" s="20" t="s">
        <v>6151</v>
      </c>
      <c r="M492" s="20" t="s">
        <v>6152</v>
      </c>
      <c r="N492" s="20" t="s">
        <v>6153</v>
      </c>
      <c r="O492" s="20" t="s">
        <v>6154</v>
      </c>
      <c r="P492" s="20" t="s">
        <v>6155</v>
      </c>
      <c r="Q492" s="20" t="s">
        <v>6156</v>
      </c>
      <c r="R492" s="20" t="s">
        <v>6157</v>
      </c>
      <c r="S492" s="20" t="s">
        <v>6169</v>
      </c>
      <c r="T492" s="20" t="s">
        <v>6159</v>
      </c>
    </row>
    <row r="493" spans="1:20" x14ac:dyDescent="0.2">
      <c r="A493" s="20" t="s">
        <v>31</v>
      </c>
      <c r="F493" s="20" t="s">
        <v>6160</v>
      </c>
      <c r="G493" s="20" t="s">
        <v>6161</v>
      </c>
      <c r="K493" s="20" t="s">
        <v>7057</v>
      </c>
      <c r="L493" s="20" t="s">
        <v>6162</v>
      </c>
      <c r="M493" s="20" t="s">
        <v>6163</v>
      </c>
      <c r="N493" s="20" t="s">
        <v>6164</v>
      </c>
      <c r="O493" s="20" t="s">
        <v>6165</v>
      </c>
      <c r="P493" s="20" t="s">
        <v>6166</v>
      </c>
      <c r="Q493" s="20" t="s">
        <v>6167</v>
      </c>
      <c r="R493" s="20" t="s">
        <v>6168</v>
      </c>
      <c r="S493" s="20" t="s">
        <v>6648</v>
      </c>
      <c r="T493" s="20" t="s">
        <v>6170</v>
      </c>
    </row>
    <row r="494" spans="1:20" x14ac:dyDescent="0.2">
      <c r="A494" s="20" t="s">
        <v>31</v>
      </c>
      <c r="F494" s="20" t="s">
        <v>725</v>
      </c>
      <c r="G494" s="20" t="s">
        <v>726</v>
      </c>
    </row>
    <row r="495" spans="1:20" x14ac:dyDescent="0.2">
      <c r="A495" s="20" t="s">
        <v>31</v>
      </c>
      <c r="I495" s="20" t="s">
        <v>6499</v>
      </c>
      <c r="T495" s="20" t="s">
        <v>6500</v>
      </c>
    </row>
    <row r="496" spans="1:20" x14ac:dyDescent="0.2">
      <c r="A496" s="20" t="s">
        <v>31</v>
      </c>
    </row>
    <row r="497" spans="1:20" x14ac:dyDescent="0.2">
      <c r="A497" s="20" t="s">
        <v>31</v>
      </c>
      <c r="D497" s="20" t="s">
        <v>5687</v>
      </c>
      <c r="E497" s="20" t="s">
        <v>5688</v>
      </c>
      <c r="F497" s="20" t="s">
        <v>61</v>
      </c>
      <c r="G497" s="20" t="s">
        <v>6501</v>
      </c>
      <c r="I497" s="20" t="s">
        <v>766</v>
      </c>
      <c r="J497" s="20" t="s">
        <v>6502</v>
      </c>
    </row>
    <row r="498" spans="1:20" x14ac:dyDescent="0.2">
      <c r="A498" s="20" t="s">
        <v>31</v>
      </c>
      <c r="F498" s="20" t="s">
        <v>765</v>
      </c>
      <c r="G498" s="20" t="s">
        <v>766</v>
      </c>
      <c r="K498" s="20" t="s">
        <v>6503</v>
      </c>
      <c r="L498" s="20" t="s">
        <v>4313</v>
      </c>
      <c r="M498" s="20" t="s">
        <v>4314</v>
      </c>
      <c r="N498" s="20" t="s">
        <v>4315</v>
      </c>
      <c r="O498" s="20" t="s">
        <v>4316</v>
      </c>
      <c r="P498" s="20" t="s">
        <v>4317</v>
      </c>
      <c r="Q498" s="20" t="s">
        <v>4318</v>
      </c>
      <c r="R498" s="20" t="s">
        <v>4319</v>
      </c>
      <c r="S498" s="20" t="s">
        <v>4328</v>
      </c>
      <c r="T498" s="20" t="s">
        <v>4320</v>
      </c>
    </row>
    <row r="499" spans="1:20" x14ac:dyDescent="0.2">
      <c r="A499" s="20" t="s">
        <v>31</v>
      </c>
      <c r="F499" s="20" t="s">
        <v>767</v>
      </c>
      <c r="G499" s="20" t="s">
        <v>768</v>
      </c>
      <c r="K499" s="20" t="s">
        <v>6504</v>
      </c>
      <c r="L499" s="20" t="s">
        <v>4321</v>
      </c>
      <c r="M499" s="20" t="s">
        <v>4322</v>
      </c>
      <c r="N499" s="20" t="s">
        <v>4323</v>
      </c>
      <c r="O499" s="20" t="s">
        <v>4324</v>
      </c>
      <c r="P499" s="20" t="s">
        <v>4325</v>
      </c>
      <c r="Q499" s="20" t="s">
        <v>4326</v>
      </c>
      <c r="R499" s="20" t="s">
        <v>4327</v>
      </c>
      <c r="S499" s="20" t="s">
        <v>4337</v>
      </c>
      <c r="T499" s="20" t="s">
        <v>4329</v>
      </c>
    </row>
    <row r="500" spans="1:20" x14ac:dyDescent="0.2">
      <c r="A500" s="20" t="s">
        <v>31</v>
      </c>
      <c r="F500" s="20" t="s">
        <v>769</v>
      </c>
      <c r="G500" s="20" t="s">
        <v>770</v>
      </c>
      <c r="K500" s="20" t="s">
        <v>7058</v>
      </c>
      <c r="L500" s="20" t="s">
        <v>4330</v>
      </c>
      <c r="M500" s="20" t="s">
        <v>4331</v>
      </c>
      <c r="N500" s="20" t="s">
        <v>4332</v>
      </c>
      <c r="O500" s="20" t="s">
        <v>4333</v>
      </c>
      <c r="P500" s="20" t="s">
        <v>4334</v>
      </c>
      <c r="Q500" s="20" t="s">
        <v>4335</v>
      </c>
      <c r="R500" s="20" t="s">
        <v>4336</v>
      </c>
      <c r="S500" s="20" t="s">
        <v>4346</v>
      </c>
      <c r="T500" s="20" t="s">
        <v>4338</v>
      </c>
    </row>
    <row r="501" spans="1:20" x14ac:dyDescent="0.2">
      <c r="A501" s="20" t="s">
        <v>31</v>
      </c>
      <c r="F501" s="20" t="s">
        <v>771</v>
      </c>
      <c r="G501" s="20" t="s">
        <v>772</v>
      </c>
      <c r="K501" s="20" t="s">
        <v>7059</v>
      </c>
      <c r="L501" s="20" t="s">
        <v>4339</v>
      </c>
      <c r="M501" s="20" t="s">
        <v>4340</v>
      </c>
      <c r="N501" s="20" t="s">
        <v>4341</v>
      </c>
      <c r="O501" s="20" t="s">
        <v>4342</v>
      </c>
      <c r="P501" s="20" t="s">
        <v>4343</v>
      </c>
      <c r="Q501" s="20" t="s">
        <v>4344</v>
      </c>
      <c r="R501" s="20" t="s">
        <v>4345</v>
      </c>
      <c r="S501" s="20" t="s">
        <v>4355</v>
      </c>
      <c r="T501" s="20" t="s">
        <v>4347</v>
      </c>
    </row>
    <row r="502" spans="1:20" x14ac:dyDescent="0.2">
      <c r="A502" s="20" t="s">
        <v>31</v>
      </c>
      <c r="F502" s="20" t="s">
        <v>773</v>
      </c>
      <c r="G502" s="20" t="s">
        <v>774</v>
      </c>
      <c r="K502" s="20" t="s">
        <v>7060</v>
      </c>
      <c r="L502" s="20" t="s">
        <v>4348</v>
      </c>
      <c r="M502" s="20" t="s">
        <v>4349</v>
      </c>
      <c r="N502" s="20" t="s">
        <v>4350</v>
      </c>
      <c r="O502" s="20" t="s">
        <v>4351</v>
      </c>
      <c r="P502" s="20" t="s">
        <v>4352</v>
      </c>
      <c r="Q502" s="20" t="s">
        <v>4353</v>
      </c>
      <c r="R502" s="20" t="s">
        <v>4354</v>
      </c>
      <c r="S502" s="20" t="s">
        <v>4364</v>
      </c>
      <c r="T502" s="20" t="s">
        <v>4356</v>
      </c>
    </row>
    <row r="503" spans="1:20" x14ac:dyDescent="0.2">
      <c r="A503" s="20" t="s">
        <v>31</v>
      </c>
      <c r="F503" s="20" t="s">
        <v>775</v>
      </c>
      <c r="G503" s="20" t="s">
        <v>776</v>
      </c>
      <c r="K503" s="20" t="s">
        <v>7061</v>
      </c>
      <c r="L503" s="20" t="s">
        <v>4357</v>
      </c>
      <c r="M503" s="20" t="s">
        <v>4358</v>
      </c>
      <c r="N503" s="20" t="s">
        <v>4359</v>
      </c>
      <c r="O503" s="20" t="s">
        <v>4360</v>
      </c>
      <c r="P503" s="20" t="s">
        <v>4361</v>
      </c>
      <c r="Q503" s="20" t="s">
        <v>4362</v>
      </c>
      <c r="R503" s="20" t="s">
        <v>4363</v>
      </c>
      <c r="S503" s="20" t="s">
        <v>4373</v>
      </c>
      <c r="T503" s="20" t="s">
        <v>4365</v>
      </c>
    </row>
    <row r="504" spans="1:20" x14ac:dyDescent="0.2">
      <c r="A504" s="20" t="s">
        <v>31</v>
      </c>
      <c r="F504" s="20" t="s">
        <v>777</v>
      </c>
      <c r="G504" s="20" t="s">
        <v>778</v>
      </c>
      <c r="K504" s="20" t="s">
        <v>7062</v>
      </c>
      <c r="L504" s="20" t="s">
        <v>4366</v>
      </c>
      <c r="M504" s="20" t="s">
        <v>4367</v>
      </c>
      <c r="N504" s="20" t="s">
        <v>4368</v>
      </c>
      <c r="O504" s="20" t="s">
        <v>4369</v>
      </c>
      <c r="P504" s="20" t="s">
        <v>4370</v>
      </c>
      <c r="Q504" s="20" t="s">
        <v>4371</v>
      </c>
      <c r="R504" s="20" t="s">
        <v>4372</v>
      </c>
      <c r="S504" s="20" t="s">
        <v>4382</v>
      </c>
      <c r="T504" s="20" t="s">
        <v>4374</v>
      </c>
    </row>
    <row r="505" spans="1:20" x14ac:dyDescent="0.2">
      <c r="A505" s="20" t="s">
        <v>31</v>
      </c>
      <c r="F505" s="20" t="s">
        <v>779</v>
      </c>
      <c r="G505" s="20" t="s">
        <v>780</v>
      </c>
      <c r="K505" s="20" t="s">
        <v>7063</v>
      </c>
      <c r="L505" s="20" t="s">
        <v>4375</v>
      </c>
      <c r="M505" s="20" t="s">
        <v>4376</v>
      </c>
      <c r="N505" s="20" t="s">
        <v>4377</v>
      </c>
      <c r="O505" s="20" t="s">
        <v>4378</v>
      </c>
      <c r="P505" s="20" t="s">
        <v>4379</v>
      </c>
      <c r="Q505" s="20" t="s">
        <v>4380</v>
      </c>
      <c r="R505" s="20" t="s">
        <v>4381</v>
      </c>
      <c r="S505" s="20" t="s">
        <v>4391</v>
      </c>
      <c r="T505" s="20" t="s">
        <v>4383</v>
      </c>
    </row>
    <row r="506" spans="1:20" x14ac:dyDescent="0.2">
      <c r="A506" s="20" t="s">
        <v>31</v>
      </c>
      <c r="F506" s="20" t="s">
        <v>781</v>
      </c>
      <c r="G506" s="20" t="s">
        <v>782</v>
      </c>
      <c r="K506" s="20" t="s">
        <v>7064</v>
      </c>
      <c r="L506" s="20" t="s">
        <v>4384</v>
      </c>
      <c r="M506" s="20" t="s">
        <v>4385</v>
      </c>
      <c r="N506" s="20" t="s">
        <v>4386</v>
      </c>
      <c r="O506" s="20" t="s">
        <v>4387</v>
      </c>
      <c r="P506" s="20" t="s">
        <v>4388</v>
      </c>
      <c r="Q506" s="20" t="s">
        <v>4389</v>
      </c>
      <c r="R506" s="20" t="s">
        <v>4390</v>
      </c>
      <c r="S506" s="20" t="s">
        <v>4400</v>
      </c>
      <c r="T506" s="20" t="s">
        <v>4392</v>
      </c>
    </row>
    <row r="507" spans="1:20" x14ac:dyDescent="0.2">
      <c r="A507" s="20" t="s">
        <v>31</v>
      </c>
      <c r="F507" s="20" t="s">
        <v>783</v>
      </c>
      <c r="G507" s="20" t="s">
        <v>784</v>
      </c>
      <c r="K507" s="20" t="s">
        <v>7065</v>
      </c>
      <c r="L507" s="20" t="s">
        <v>4393</v>
      </c>
      <c r="M507" s="20" t="s">
        <v>4394</v>
      </c>
      <c r="N507" s="20" t="s">
        <v>4395</v>
      </c>
      <c r="O507" s="20" t="s">
        <v>4396</v>
      </c>
      <c r="P507" s="20" t="s">
        <v>4397</v>
      </c>
      <c r="Q507" s="20" t="s">
        <v>4398</v>
      </c>
      <c r="R507" s="20" t="s">
        <v>4399</v>
      </c>
      <c r="S507" s="20" t="s">
        <v>4409</v>
      </c>
      <c r="T507" s="20" t="s">
        <v>4401</v>
      </c>
    </row>
    <row r="508" spans="1:20" x14ac:dyDescent="0.2">
      <c r="A508" s="20" t="s">
        <v>31</v>
      </c>
      <c r="F508" s="20" t="s">
        <v>785</v>
      </c>
      <c r="G508" s="20" t="s">
        <v>786</v>
      </c>
      <c r="K508" s="20" t="s">
        <v>7066</v>
      </c>
      <c r="L508" s="20" t="s">
        <v>4402</v>
      </c>
      <c r="M508" s="20" t="s">
        <v>4403</v>
      </c>
      <c r="N508" s="20" t="s">
        <v>4404</v>
      </c>
      <c r="O508" s="20" t="s">
        <v>4405</v>
      </c>
      <c r="P508" s="20" t="s">
        <v>4406</v>
      </c>
      <c r="Q508" s="20" t="s">
        <v>4407</v>
      </c>
      <c r="R508" s="20" t="s">
        <v>4408</v>
      </c>
      <c r="S508" s="20" t="s">
        <v>4418</v>
      </c>
      <c r="T508" s="20" t="s">
        <v>4410</v>
      </c>
    </row>
    <row r="509" spans="1:20" x14ac:dyDescent="0.2">
      <c r="A509" s="20" t="s">
        <v>31</v>
      </c>
      <c r="F509" s="20" t="s">
        <v>787</v>
      </c>
      <c r="G509" s="20" t="s">
        <v>788</v>
      </c>
      <c r="K509" s="20" t="s">
        <v>7067</v>
      </c>
      <c r="L509" s="20" t="s">
        <v>4411</v>
      </c>
      <c r="M509" s="20" t="s">
        <v>4412</v>
      </c>
      <c r="N509" s="20" t="s">
        <v>4413</v>
      </c>
      <c r="O509" s="20" t="s">
        <v>4414</v>
      </c>
      <c r="P509" s="20" t="s">
        <v>4415</v>
      </c>
      <c r="Q509" s="20" t="s">
        <v>4416</v>
      </c>
      <c r="R509" s="20" t="s">
        <v>4417</v>
      </c>
      <c r="S509" s="20" t="s">
        <v>4427</v>
      </c>
      <c r="T509" s="20" t="s">
        <v>4419</v>
      </c>
    </row>
    <row r="510" spans="1:20" x14ac:dyDescent="0.2">
      <c r="A510" s="20" t="s">
        <v>31</v>
      </c>
      <c r="F510" s="20" t="s">
        <v>789</v>
      </c>
      <c r="G510" s="20" t="s">
        <v>790</v>
      </c>
      <c r="K510" s="20" t="s">
        <v>7068</v>
      </c>
      <c r="L510" s="20" t="s">
        <v>4420</v>
      </c>
      <c r="M510" s="20" t="s">
        <v>4421</v>
      </c>
      <c r="N510" s="20" t="s">
        <v>4422</v>
      </c>
      <c r="O510" s="20" t="s">
        <v>4423</v>
      </c>
      <c r="P510" s="20" t="s">
        <v>4424</v>
      </c>
      <c r="Q510" s="20" t="s">
        <v>4425</v>
      </c>
      <c r="R510" s="20" t="s">
        <v>4426</v>
      </c>
      <c r="S510" s="20" t="s">
        <v>4436</v>
      </c>
      <c r="T510" s="20" t="s">
        <v>4428</v>
      </c>
    </row>
    <row r="511" spans="1:20" x14ac:dyDescent="0.2">
      <c r="A511" s="20" t="s">
        <v>31</v>
      </c>
      <c r="F511" s="20" t="s">
        <v>791</v>
      </c>
      <c r="G511" s="20" t="s">
        <v>792</v>
      </c>
      <c r="K511" s="20" t="s">
        <v>7069</v>
      </c>
      <c r="L511" s="20" t="s">
        <v>4429</v>
      </c>
      <c r="M511" s="20" t="s">
        <v>4430</v>
      </c>
      <c r="N511" s="20" t="s">
        <v>4431</v>
      </c>
      <c r="O511" s="20" t="s">
        <v>4432</v>
      </c>
      <c r="P511" s="20" t="s">
        <v>4433</v>
      </c>
      <c r="Q511" s="20" t="s">
        <v>4434</v>
      </c>
      <c r="R511" s="20" t="s">
        <v>4435</v>
      </c>
      <c r="S511" s="20" t="s">
        <v>4445</v>
      </c>
      <c r="T511" s="20" t="s">
        <v>4437</v>
      </c>
    </row>
    <row r="512" spans="1:20" x14ac:dyDescent="0.2">
      <c r="A512" s="20" t="s">
        <v>31</v>
      </c>
      <c r="F512" s="20" t="s">
        <v>793</v>
      </c>
      <c r="G512" s="20" t="s">
        <v>794</v>
      </c>
      <c r="K512" s="20" t="s">
        <v>7070</v>
      </c>
      <c r="L512" s="20" t="s">
        <v>4438</v>
      </c>
      <c r="M512" s="20" t="s">
        <v>4439</v>
      </c>
      <c r="N512" s="20" t="s">
        <v>4440</v>
      </c>
      <c r="O512" s="20" t="s">
        <v>4441</v>
      </c>
      <c r="P512" s="20" t="s">
        <v>4442</v>
      </c>
      <c r="Q512" s="20" t="s">
        <v>4443</v>
      </c>
      <c r="R512" s="20" t="s">
        <v>4444</v>
      </c>
      <c r="S512" s="20" t="s">
        <v>4454</v>
      </c>
      <c r="T512" s="20" t="s">
        <v>4446</v>
      </c>
    </row>
    <row r="513" spans="1:20" x14ac:dyDescent="0.2">
      <c r="A513" s="20" t="s">
        <v>31</v>
      </c>
      <c r="F513" s="20" t="s">
        <v>795</v>
      </c>
      <c r="G513" s="20" t="s">
        <v>796</v>
      </c>
      <c r="K513" s="20" t="s">
        <v>7071</v>
      </c>
      <c r="L513" s="20" t="s">
        <v>4447</v>
      </c>
      <c r="M513" s="20" t="s">
        <v>4448</v>
      </c>
      <c r="N513" s="20" t="s">
        <v>4449</v>
      </c>
      <c r="O513" s="20" t="s">
        <v>4450</v>
      </c>
      <c r="P513" s="20" t="s">
        <v>4451</v>
      </c>
      <c r="Q513" s="20" t="s">
        <v>4452</v>
      </c>
      <c r="R513" s="20" t="s">
        <v>4453</v>
      </c>
      <c r="S513" s="20" t="s">
        <v>4463</v>
      </c>
      <c r="T513" s="20" t="s">
        <v>4455</v>
      </c>
    </row>
    <row r="514" spans="1:20" x14ac:dyDescent="0.2">
      <c r="A514" s="20" t="s">
        <v>31</v>
      </c>
      <c r="F514" s="20" t="s">
        <v>797</v>
      </c>
      <c r="G514" s="20" t="s">
        <v>798</v>
      </c>
      <c r="K514" s="20" t="s">
        <v>7072</v>
      </c>
      <c r="L514" s="20" t="s">
        <v>4456</v>
      </c>
      <c r="M514" s="20" t="s">
        <v>4457</v>
      </c>
      <c r="N514" s="20" t="s">
        <v>4458</v>
      </c>
      <c r="O514" s="20" t="s">
        <v>4459</v>
      </c>
      <c r="P514" s="20" t="s">
        <v>4460</v>
      </c>
      <c r="Q514" s="20" t="s">
        <v>4461</v>
      </c>
      <c r="R514" s="20" t="s">
        <v>4462</v>
      </c>
      <c r="S514" s="20" t="s">
        <v>4472</v>
      </c>
      <c r="T514" s="20" t="s">
        <v>4464</v>
      </c>
    </row>
    <row r="515" spans="1:20" x14ac:dyDescent="0.2">
      <c r="A515" s="20" t="s">
        <v>31</v>
      </c>
      <c r="F515" s="20" t="s">
        <v>799</v>
      </c>
      <c r="G515" s="20" t="s">
        <v>800</v>
      </c>
      <c r="K515" s="20" t="s">
        <v>7073</v>
      </c>
      <c r="L515" s="20" t="s">
        <v>4465</v>
      </c>
      <c r="M515" s="20" t="s">
        <v>4466</v>
      </c>
      <c r="N515" s="20" t="s">
        <v>4467</v>
      </c>
      <c r="O515" s="20" t="s">
        <v>4468</v>
      </c>
      <c r="P515" s="20" t="s">
        <v>4469</v>
      </c>
      <c r="Q515" s="20" t="s">
        <v>4470</v>
      </c>
      <c r="R515" s="20" t="s">
        <v>4471</v>
      </c>
      <c r="S515" s="20" t="s">
        <v>4481</v>
      </c>
      <c r="T515" s="20" t="s">
        <v>4473</v>
      </c>
    </row>
    <row r="516" spans="1:20" x14ac:dyDescent="0.2">
      <c r="A516" s="20" t="s">
        <v>31</v>
      </c>
      <c r="F516" s="20" t="s">
        <v>801</v>
      </c>
      <c r="G516" s="20" t="s">
        <v>802</v>
      </c>
      <c r="K516" s="20" t="s">
        <v>7074</v>
      </c>
      <c r="L516" s="20" t="s">
        <v>4474</v>
      </c>
      <c r="M516" s="20" t="s">
        <v>4475</v>
      </c>
      <c r="N516" s="20" t="s">
        <v>4476</v>
      </c>
      <c r="O516" s="20" t="s">
        <v>4477</v>
      </c>
      <c r="P516" s="20" t="s">
        <v>4478</v>
      </c>
      <c r="Q516" s="20" t="s">
        <v>4479</v>
      </c>
      <c r="R516" s="20" t="s">
        <v>4480</v>
      </c>
      <c r="S516" s="20" t="s">
        <v>4490</v>
      </c>
      <c r="T516" s="20" t="s">
        <v>4482</v>
      </c>
    </row>
    <row r="517" spans="1:20" x14ac:dyDescent="0.2">
      <c r="A517" s="20" t="s">
        <v>31</v>
      </c>
      <c r="F517" s="20" t="s">
        <v>803</v>
      </c>
      <c r="G517" s="20" t="s">
        <v>804</v>
      </c>
      <c r="K517" s="20" t="s">
        <v>7075</v>
      </c>
      <c r="L517" s="20" t="s">
        <v>4483</v>
      </c>
      <c r="M517" s="20" t="s">
        <v>4484</v>
      </c>
      <c r="N517" s="20" t="s">
        <v>4485</v>
      </c>
      <c r="O517" s="20" t="s">
        <v>4486</v>
      </c>
      <c r="P517" s="20" t="s">
        <v>4487</v>
      </c>
      <c r="Q517" s="20" t="s">
        <v>4488</v>
      </c>
      <c r="R517" s="20" t="s">
        <v>4489</v>
      </c>
      <c r="S517" s="20" t="s">
        <v>4499</v>
      </c>
      <c r="T517" s="20" t="s">
        <v>4491</v>
      </c>
    </row>
    <row r="518" spans="1:20" x14ac:dyDescent="0.2">
      <c r="A518" s="20" t="s">
        <v>31</v>
      </c>
      <c r="F518" s="20" t="s">
        <v>805</v>
      </c>
      <c r="G518" s="20" t="s">
        <v>806</v>
      </c>
      <c r="K518" s="20" t="s">
        <v>7076</v>
      </c>
      <c r="L518" s="20" t="s">
        <v>4492</v>
      </c>
      <c r="M518" s="20" t="s">
        <v>4493</v>
      </c>
      <c r="N518" s="20" t="s">
        <v>4494</v>
      </c>
      <c r="O518" s="20" t="s">
        <v>4495</v>
      </c>
      <c r="P518" s="20" t="s">
        <v>4496</v>
      </c>
      <c r="Q518" s="20" t="s">
        <v>4497</v>
      </c>
      <c r="R518" s="20" t="s">
        <v>4498</v>
      </c>
      <c r="S518" s="20" t="s">
        <v>4508</v>
      </c>
      <c r="T518" s="20" t="s">
        <v>4500</v>
      </c>
    </row>
    <row r="519" spans="1:20" x14ac:dyDescent="0.2">
      <c r="A519" s="20" t="s">
        <v>31</v>
      </c>
      <c r="F519" s="20" t="s">
        <v>807</v>
      </c>
      <c r="G519" s="20" t="s">
        <v>808</v>
      </c>
      <c r="K519" s="20" t="s">
        <v>7077</v>
      </c>
      <c r="L519" s="20" t="s">
        <v>4501</v>
      </c>
      <c r="M519" s="20" t="s">
        <v>4502</v>
      </c>
      <c r="N519" s="20" t="s">
        <v>4503</v>
      </c>
      <c r="O519" s="20" t="s">
        <v>4504</v>
      </c>
      <c r="P519" s="20" t="s">
        <v>4505</v>
      </c>
      <c r="Q519" s="20" t="s">
        <v>4506</v>
      </c>
      <c r="R519" s="20" t="s">
        <v>4507</v>
      </c>
      <c r="S519" s="20" t="s">
        <v>4517</v>
      </c>
      <c r="T519" s="20" t="s">
        <v>4509</v>
      </c>
    </row>
    <row r="520" spans="1:20" x14ac:dyDescent="0.2">
      <c r="A520" s="20" t="s">
        <v>31</v>
      </c>
      <c r="F520" s="20" t="s">
        <v>809</v>
      </c>
      <c r="G520" s="20" t="s">
        <v>810</v>
      </c>
      <c r="K520" s="20" t="s">
        <v>7078</v>
      </c>
      <c r="L520" s="20" t="s">
        <v>4510</v>
      </c>
      <c r="M520" s="20" t="s">
        <v>4511</v>
      </c>
      <c r="N520" s="20" t="s">
        <v>4512</v>
      </c>
      <c r="O520" s="20" t="s">
        <v>4513</v>
      </c>
      <c r="P520" s="20" t="s">
        <v>4514</v>
      </c>
      <c r="Q520" s="20" t="s">
        <v>4515</v>
      </c>
      <c r="R520" s="20" t="s">
        <v>4516</v>
      </c>
      <c r="S520" s="20" t="s">
        <v>4526</v>
      </c>
      <c r="T520" s="20" t="s">
        <v>4518</v>
      </c>
    </row>
    <row r="521" spans="1:20" x14ac:dyDescent="0.2">
      <c r="A521" s="20" t="s">
        <v>31</v>
      </c>
      <c r="F521" s="20" t="s">
        <v>811</v>
      </c>
      <c r="G521" s="20" t="s">
        <v>812</v>
      </c>
      <c r="K521" s="20" t="s">
        <v>7079</v>
      </c>
      <c r="L521" s="20" t="s">
        <v>4519</v>
      </c>
      <c r="M521" s="20" t="s">
        <v>4520</v>
      </c>
      <c r="N521" s="20" t="s">
        <v>4521</v>
      </c>
      <c r="O521" s="20" t="s">
        <v>4522</v>
      </c>
      <c r="P521" s="20" t="s">
        <v>4523</v>
      </c>
      <c r="Q521" s="20" t="s">
        <v>4524</v>
      </c>
      <c r="R521" s="20" t="s">
        <v>4525</v>
      </c>
      <c r="S521" s="20" t="s">
        <v>4535</v>
      </c>
      <c r="T521" s="20" t="s">
        <v>4527</v>
      </c>
    </row>
    <row r="522" spans="1:20" x14ac:dyDescent="0.2">
      <c r="A522" s="20" t="s">
        <v>31</v>
      </c>
      <c r="F522" s="20" t="s">
        <v>813</v>
      </c>
      <c r="G522" s="20" t="s">
        <v>814</v>
      </c>
      <c r="K522" s="20" t="s">
        <v>7080</v>
      </c>
      <c r="L522" s="20" t="s">
        <v>4528</v>
      </c>
      <c r="M522" s="20" t="s">
        <v>4529</v>
      </c>
      <c r="N522" s="20" t="s">
        <v>4530</v>
      </c>
      <c r="O522" s="20" t="s">
        <v>4531</v>
      </c>
      <c r="P522" s="20" t="s">
        <v>4532</v>
      </c>
      <c r="Q522" s="20" t="s">
        <v>4533</v>
      </c>
      <c r="R522" s="20" t="s">
        <v>4534</v>
      </c>
      <c r="S522" s="20" t="s">
        <v>4544</v>
      </c>
      <c r="T522" s="20" t="s">
        <v>4536</v>
      </c>
    </row>
    <row r="523" spans="1:20" x14ac:dyDescent="0.2">
      <c r="A523" s="20" t="s">
        <v>31</v>
      </c>
      <c r="F523" s="20" t="s">
        <v>815</v>
      </c>
      <c r="G523" s="20" t="s">
        <v>816</v>
      </c>
      <c r="K523" s="20" t="s">
        <v>7081</v>
      </c>
      <c r="L523" s="20" t="s">
        <v>4537</v>
      </c>
      <c r="M523" s="20" t="s">
        <v>4538</v>
      </c>
      <c r="N523" s="20" t="s">
        <v>4539</v>
      </c>
      <c r="O523" s="20" t="s">
        <v>4540</v>
      </c>
      <c r="P523" s="20" t="s">
        <v>4541</v>
      </c>
      <c r="Q523" s="20" t="s">
        <v>4542</v>
      </c>
      <c r="R523" s="20" t="s">
        <v>4543</v>
      </c>
      <c r="S523" s="20" t="s">
        <v>4553</v>
      </c>
      <c r="T523" s="20" t="s">
        <v>4545</v>
      </c>
    </row>
    <row r="524" spans="1:20" x14ac:dyDescent="0.2">
      <c r="A524" s="20" t="s">
        <v>31</v>
      </c>
      <c r="F524" s="20" t="s">
        <v>817</v>
      </c>
      <c r="G524" s="20" t="s">
        <v>818</v>
      </c>
      <c r="K524" s="20" t="s">
        <v>7082</v>
      </c>
      <c r="L524" s="20" t="s">
        <v>4546</v>
      </c>
      <c r="M524" s="20" t="s">
        <v>4547</v>
      </c>
      <c r="N524" s="20" t="s">
        <v>4548</v>
      </c>
      <c r="O524" s="20" t="s">
        <v>4549</v>
      </c>
      <c r="P524" s="20" t="s">
        <v>4550</v>
      </c>
      <c r="Q524" s="20" t="s">
        <v>4551</v>
      </c>
      <c r="R524" s="20" t="s">
        <v>4552</v>
      </c>
      <c r="S524" s="20" t="s">
        <v>4562</v>
      </c>
      <c r="T524" s="20" t="s">
        <v>4554</v>
      </c>
    </row>
    <row r="525" spans="1:20" x14ac:dyDescent="0.2">
      <c r="A525" s="20" t="s">
        <v>31</v>
      </c>
      <c r="F525" s="20" t="s">
        <v>819</v>
      </c>
      <c r="G525" s="20" t="s">
        <v>820</v>
      </c>
      <c r="K525" s="20" t="s">
        <v>7083</v>
      </c>
      <c r="L525" s="20" t="s">
        <v>4555</v>
      </c>
      <c r="M525" s="20" t="s">
        <v>4556</v>
      </c>
      <c r="N525" s="20" t="s">
        <v>4557</v>
      </c>
      <c r="O525" s="20" t="s">
        <v>4558</v>
      </c>
      <c r="P525" s="20" t="s">
        <v>4559</v>
      </c>
      <c r="Q525" s="20" t="s">
        <v>4560</v>
      </c>
      <c r="R525" s="20" t="s">
        <v>4561</v>
      </c>
      <c r="S525" s="20" t="s">
        <v>4571</v>
      </c>
      <c r="T525" s="20" t="s">
        <v>4563</v>
      </c>
    </row>
    <row r="526" spans="1:20" x14ac:dyDescent="0.2">
      <c r="A526" s="20" t="s">
        <v>31</v>
      </c>
      <c r="F526" s="20" t="s">
        <v>821</v>
      </c>
      <c r="G526" s="20" t="s">
        <v>822</v>
      </c>
      <c r="K526" s="20" t="s">
        <v>7084</v>
      </c>
      <c r="L526" s="20" t="s">
        <v>4564</v>
      </c>
      <c r="M526" s="20" t="s">
        <v>4565</v>
      </c>
      <c r="N526" s="20" t="s">
        <v>4566</v>
      </c>
      <c r="O526" s="20" t="s">
        <v>4567</v>
      </c>
      <c r="P526" s="20" t="s">
        <v>4568</v>
      </c>
      <c r="Q526" s="20" t="s">
        <v>4569</v>
      </c>
      <c r="R526" s="20" t="s">
        <v>4570</v>
      </c>
      <c r="S526" s="20" t="s">
        <v>6649</v>
      </c>
      <c r="T526" s="20" t="s">
        <v>4572</v>
      </c>
    </row>
    <row r="527" spans="1:20" x14ac:dyDescent="0.2">
      <c r="A527" s="20" t="s">
        <v>31</v>
      </c>
      <c r="F527" s="20" t="s">
        <v>769</v>
      </c>
      <c r="G527" s="20" t="s">
        <v>770</v>
      </c>
    </row>
    <row r="528" spans="1:20" x14ac:dyDescent="0.2">
      <c r="A528" s="20" t="s">
        <v>31</v>
      </c>
      <c r="I528" s="20" t="s">
        <v>6505</v>
      </c>
      <c r="T528" s="20" t="s">
        <v>6506</v>
      </c>
    </row>
    <row r="529" spans="1:20" x14ac:dyDescent="0.2">
      <c r="A529" s="20" t="s">
        <v>31</v>
      </c>
    </row>
    <row r="530" spans="1:20" x14ac:dyDescent="0.2">
      <c r="A530" s="20" t="s">
        <v>31</v>
      </c>
      <c r="D530" s="20" t="s">
        <v>5687</v>
      </c>
      <c r="E530" s="20" t="s">
        <v>5688</v>
      </c>
      <c r="F530" s="20" t="s">
        <v>62</v>
      </c>
      <c r="G530" s="20" t="s">
        <v>6507</v>
      </c>
      <c r="I530" s="20" t="s">
        <v>824</v>
      </c>
      <c r="J530" s="20" t="s">
        <v>6508</v>
      </c>
    </row>
    <row r="531" spans="1:20" x14ac:dyDescent="0.2">
      <c r="A531" s="20" t="s">
        <v>31</v>
      </c>
      <c r="F531" s="20" t="s">
        <v>823</v>
      </c>
      <c r="G531" s="20" t="s">
        <v>824</v>
      </c>
      <c r="K531" s="20" t="s">
        <v>6509</v>
      </c>
      <c r="L531" s="20" t="s">
        <v>4573</v>
      </c>
      <c r="M531" s="20" t="s">
        <v>4574</v>
      </c>
      <c r="N531" s="20" t="s">
        <v>4575</v>
      </c>
      <c r="O531" s="20" t="s">
        <v>4576</v>
      </c>
      <c r="P531" s="20" t="s">
        <v>4577</v>
      </c>
      <c r="Q531" s="20" t="s">
        <v>4578</v>
      </c>
      <c r="R531" s="20" t="s">
        <v>4579</v>
      </c>
      <c r="S531" s="20" t="s">
        <v>4588</v>
      </c>
      <c r="T531" s="20" t="s">
        <v>4580</v>
      </c>
    </row>
    <row r="532" spans="1:20" x14ac:dyDescent="0.2">
      <c r="A532" s="20" t="s">
        <v>31</v>
      </c>
      <c r="F532" s="20" t="s">
        <v>825</v>
      </c>
      <c r="G532" s="20" t="s">
        <v>32</v>
      </c>
      <c r="K532" s="20" t="s">
        <v>6510</v>
      </c>
      <c r="L532" s="20" t="s">
        <v>4581</v>
      </c>
      <c r="M532" s="20" t="s">
        <v>4582</v>
      </c>
      <c r="N532" s="20" t="s">
        <v>4583</v>
      </c>
      <c r="O532" s="20" t="s">
        <v>4584</v>
      </c>
      <c r="P532" s="20" t="s">
        <v>4585</v>
      </c>
      <c r="Q532" s="20" t="s">
        <v>4586</v>
      </c>
      <c r="R532" s="20" t="s">
        <v>4587</v>
      </c>
      <c r="S532" s="20" t="s">
        <v>4597</v>
      </c>
      <c r="T532" s="20" t="s">
        <v>4589</v>
      </c>
    </row>
    <row r="533" spans="1:20" x14ac:dyDescent="0.2">
      <c r="A533" s="20" t="s">
        <v>31</v>
      </c>
      <c r="F533" s="20" t="s">
        <v>826</v>
      </c>
      <c r="G533" s="20" t="s">
        <v>827</v>
      </c>
      <c r="K533" s="20" t="s">
        <v>7085</v>
      </c>
      <c r="L533" s="20" t="s">
        <v>4590</v>
      </c>
      <c r="M533" s="20" t="s">
        <v>4591</v>
      </c>
      <c r="N533" s="20" t="s">
        <v>4592</v>
      </c>
      <c r="O533" s="20" t="s">
        <v>4593</v>
      </c>
      <c r="P533" s="20" t="s">
        <v>4594</v>
      </c>
      <c r="Q533" s="20" t="s">
        <v>4595</v>
      </c>
      <c r="R533" s="20" t="s">
        <v>4596</v>
      </c>
      <c r="S533" s="20" t="s">
        <v>4606</v>
      </c>
      <c r="T533" s="20" t="s">
        <v>4598</v>
      </c>
    </row>
    <row r="534" spans="1:20" x14ac:dyDescent="0.2">
      <c r="A534" s="20" t="s">
        <v>31</v>
      </c>
      <c r="F534" s="20" t="s">
        <v>828</v>
      </c>
      <c r="G534" s="20" t="s">
        <v>829</v>
      </c>
      <c r="K534" s="20" t="s">
        <v>7086</v>
      </c>
      <c r="L534" s="20" t="s">
        <v>4599</v>
      </c>
      <c r="M534" s="20" t="s">
        <v>4600</v>
      </c>
      <c r="N534" s="20" t="s">
        <v>4601</v>
      </c>
      <c r="O534" s="20" t="s">
        <v>4602</v>
      </c>
      <c r="P534" s="20" t="s">
        <v>4603</v>
      </c>
      <c r="Q534" s="20" t="s">
        <v>4604</v>
      </c>
      <c r="R534" s="20" t="s">
        <v>4605</v>
      </c>
      <c r="S534" s="20" t="s">
        <v>4615</v>
      </c>
      <c r="T534" s="20" t="s">
        <v>4607</v>
      </c>
    </row>
    <row r="535" spans="1:20" x14ac:dyDescent="0.2">
      <c r="A535" s="20" t="s">
        <v>31</v>
      </c>
      <c r="F535" s="20" t="s">
        <v>830</v>
      </c>
      <c r="G535" s="20" t="s">
        <v>831</v>
      </c>
      <c r="K535" s="20" t="s">
        <v>7087</v>
      </c>
      <c r="L535" s="20" t="s">
        <v>4608</v>
      </c>
      <c r="M535" s="20" t="s">
        <v>4609</v>
      </c>
      <c r="N535" s="20" t="s">
        <v>4610</v>
      </c>
      <c r="O535" s="20" t="s">
        <v>4611</v>
      </c>
      <c r="P535" s="20" t="s">
        <v>4612</v>
      </c>
      <c r="Q535" s="20" t="s">
        <v>4613</v>
      </c>
      <c r="R535" s="20" t="s">
        <v>4614</v>
      </c>
      <c r="S535" s="20" t="s">
        <v>4624</v>
      </c>
      <c r="T535" s="20" t="s">
        <v>4616</v>
      </c>
    </row>
    <row r="536" spans="1:20" x14ac:dyDescent="0.2">
      <c r="A536" s="20" t="s">
        <v>31</v>
      </c>
      <c r="F536" s="20" t="s">
        <v>832</v>
      </c>
      <c r="G536" s="20" t="s">
        <v>833</v>
      </c>
      <c r="K536" s="20" t="s">
        <v>7088</v>
      </c>
      <c r="L536" s="20" t="s">
        <v>4617</v>
      </c>
      <c r="M536" s="20" t="s">
        <v>4618</v>
      </c>
      <c r="N536" s="20" t="s">
        <v>4619</v>
      </c>
      <c r="O536" s="20" t="s">
        <v>4620</v>
      </c>
      <c r="P536" s="20" t="s">
        <v>4621</v>
      </c>
      <c r="Q536" s="20" t="s">
        <v>4622</v>
      </c>
      <c r="R536" s="20" t="s">
        <v>4623</v>
      </c>
      <c r="S536" s="20" t="s">
        <v>4633</v>
      </c>
      <c r="T536" s="20" t="s">
        <v>4625</v>
      </c>
    </row>
    <row r="537" spans="1:20" x14ac:dyDescent="0.2">
      <c r="A537" s="20" t="s">
        <v>31</v>
      </c>
      <c r="F537" s="20" t="s">
        <v>834</v>
      </c>
      <c r="G537" s="20" t="s">
        <v>33</v>
      </c>
      <c r="K537" s="20" t="s">
        <v>7089</v>
      </c>
      <c r="L537" s="20" t="s">
        <v>4626</v>
      </c>
      <c r="M537" s="20" t="s">
        <v>4627</v>
      </c>
      <c r="N537" s="20" t="s">
        <v>4628</v>
      </c>
      <c r="O537" s="20" t="s">
        <v>4629</v>
      </c>
      <c r="P537" s="20" t="s">
        <v>4630</v>
      </c>
      <c r="Q537" s="20" t="s">
        <v>4631</v>
      </c>
      <c r="R537" s="20" t="s">
        <v>4632</v>
      </c>
      <c r="S537" s="20" t="s">
        <v>4642</v>
      </c>
      <c r="T537" s="20" t="s">
        <v>4634</v>
      </c>
    </row>
    <row r="538" spans="1:20" x14ac:dyDescent="0.2">
      <c r="A538" s="20" t="s">
        <v>31</v>
      </c>
      <c r="F538" s="20" t="s">
        <v>835</v>
      </c>
      <c r="G538" s="20" t="s">
        <v>836</v>
      </c>
      <c r="K538" s="20" t="s">
        <v>7090</v>
      </c>
      <c r="L538" s="20" t="s">
        <v>4635</v>
      </c>
      <c r="M538" s="20" t="s">
        <v>4636</v>
      </c>
      <c r="N538" s="20" t="s">
        <v>4637</v>
      </c>
      <c r="O538" s="20" t="s">
        <v>4638</v>
      </c>
      <c r="P538" s="20" t="s">
        <v>4639</v>
      </c>
      <c r="Q538" s="20" t="s">
        <v>4640</v>
      </c>
      <c r="R538" s="20" t="s">
        <v>4641</v>
      </c>
      <c r="S538" s="20" t="s">
        <v>4651</v>
      </c>
      <c r="T538" s="20" t="s">
        <v>4643</v>
      </c>
    </row>
    <row r="539" spans="1:20" x14ac:dyDescent="0.2">
      <c r="A539" s="20" t="s">
        <v>31</v>
      </c>
      <c r="F539" s="20" t="s">
        <v>837</v>
      </c>
      <c r="G539" s="20" t="s">
        <v>838</v>
      </c>
      <c r="K539" s="20" t="s">
        <v>7091</v>
      </c>
      <c r="L539" s="20" t="s">
        <v>4644</v>
      </c>
      <c r="M539" s="20" t="s">
        <v>4645</v>
      </c>
      <c r="N539" s="20" t="s">
        <v>4646</v>
      </c>
      <c r="O539" s="20" t="s">
        <v>4647</v>
      </c>
      <c r="P539" s="20" t="s">
        <v>4648</v>
      </c>
      <c r="Q539" s="20" t="s">
        <v>4649</v>
      </c>
      <c r="R539" s="20" t="s">
        <v>4650</v>
      </c>
      <c r="S539" s="20" t="s">
        <v>4660</v>
      </c>
      <c r="T539" s="20" t="s">
        <v>4652</v>
      </c>
    </row>
    <row r="540" spans="1:20" x14ac:dyDescent="0.2">
      <c r="A540" s="20" t="s">
        <v>31</v>
      </c>
      <c r="F540" s="20" t="s">
        <v>839</v>
      </c>
      <c r="G540" s="20" t="s">
        <v>840</v>
      </c>
      <c r="K540" s="20" t="s">
        <v>7092</v>
      </c>
      <c r="L540" s="20" t="s">
        <v>4653</v>
      </c>
      <c r="M540" s="20" t="s">
        <v>4654</v>
      </c>
      <c r="N540" s="20" t="s">
        <v>4655</v>
      </c>
      <c r="O540" s="20" t="s">
        <v>4656</v>
      </c>
      <c r="P540" s="20" t="s">
        <v>4657</v>
      </c>
      <c r="Q540" s="20" t="s">
        <v>4658</v>
      </c>
      <c r="R540" s="20" t="s">
        <v>4659</v>
      </c>
      <c r="S540" s="20" t="s">
        <v>4669</v>
      </c>
      <c r="T540" s="20" t="s">
        <v>4661</v>
      </c>
    </row>
    <row r="541" spans="1:20" x14ac:dyDescent="0.2">
      <c r="A541" s="20" t="s">
        <v>31</v>
      </c>
      <c r="F541" s="20" t="s">
        <v>841</v>
      </c>
      <c r="G541" s="20" t="s">
        <v>842</v>
      </c>
      <c r="K541" s="20" t="s">
        <v>7093</v>
      </c>
      <c r="L541" s="20" t="s">
        <v>4662</v>
      </c>
      <c r="M541" s="20" t="s">
        <v>4663</v>
      </c>
      <c r="N541" s="20" t="s">
        <v>4664</v>
      </c>
      <c r="O541" s="20" t="s">
        <v>4665</v>
      </c>
      <c r="P541" s="20" t="s">
        <v>4666</v>
      </c>
      <c r="Q541" s="20" t="s">
        <v>4667</v>
      </c>
      <c r="R541" s="20" t="s">
        <v>4668</v>
      </c>
      <c r="S541" s="20" t="s">
        <v>4678</v>
      </c>
      <c r="T541" s="20" t="s">
        <v>4670</v>
      </c>
    </row>
    <row r="542" spans="1:20" x14ac:dyDescent="0.2">
      <c r="A542" s="20" t="s">
        <v>31</v>
      </c>
      <c r="F542" s="20" t="s">
        <v>843</v>
      </c>
      <c r="G542" s="20" t="s">
        <v>34</v>
      </c>
      <c r="K542" s="20" t="s">
        <v>7094</v>
      </c>
      <c r="L542" s="20" t="s">
        <v>4671</v>
      </c>
      <c r="M542" s="20" t="s">
        <v>4672</v>
      </c>
      <c r="N542" s="20" t="s">
        <v>4673</v>
      </c>
      <c r="O542" s="20" t="s">
        <v>4674</v>
      </c>
      <c r="P542" s="20" t="s">
        <v>4675</v>
      </c>
      <c r="Q542" s="20" t="s">
        <v>4676</v>
      </c>
      <c r="R542" s="20" t="s">
        <v>4677</v>
      </c>
      <c r="S542" s="20" t="s">
        <v>4687</v>
      </c>
      <c r="T542" s="20" t="s">
        <v>4679</v>
      </c>
    </row>
    <row r="543" spans="1:20" x14ac:dyDescent="0.2">
      <c r="A543" s="20" t="s">
        <v>31</v>
      </c>
      <c r="F543" s="20" t="s">
        <v>844</v>
      </c>
      <c r="G543" s="20" t="s">
        <v>845</v>
      </c>
      <c r="K543" s="20" t="s">
        <v>7095</v>
      </c>
      <c r="L543" s="20" t="s">
        <v>4680</v>
      </c>
      <c r="M543" s="20" t="s">
        <v>4681</v>
      </c>
      <c r="N543" s="20" t="s">
        <v>4682</v>
      </c>
      <c r="O543" s="20" t="s">
        <v>4683</v>
      </c>
      <c r="P543" s="20" t="s">
        <v>4684</v>
      </c>
      <c r="Q543" s="20" t="s">
        <v>4685</v>
      </c>
      <c r="R543" s="20" t="s">
        <v>4686</v>
      </c>
      <c r="S543" s="20" t="s">
        <v>4696</v>
      </c>
      <c r="T543" s="20" t="s">
        <v>4688</v>
      </c>
    </row>
    <row r="544" spans="1:20" x14ac:dyDescent="0.2">
      <c r="A544" s="20" t="s">
        <v>31</v>
      </c>
      <c r="F544" s="20" t="s">
        <v>846</v>
      </c>
      <c r="G544" s="20" t="s">
        <v>847</v>
      </c>
      <c r="K544" s="20" t="s">
        <v>7096</v>
      </c>
      <c r="L544" s="20" t="s">
        <v>4689</v>
      </c>
      <c r="M544" s="20" t="s">
        <v>4690</v>
      </c>
      <c r="N544" s="20" t="s">
        <v>4691</v>
      </c>
      <c r="O544" s="20" t="s">
        <v>4692</v>
      </c>
      <c r="P544" s="20" t="s">
        <v>4693</v>
      </c>
      <c r="Q544" s="20" t="s">
        <v>4694</v>
      </c>
      <c r="R544" s="20" t="s">
        <v>4695</v>
      </c>
      <c r="S544" s="20" t="s">
        <v>4705</v>
      </c>
      <c r="T544" s="20" t="s">
        <v>4697</v>
      </c>
    </row>
    <row r="545" spans="1:20" x14ac:dyDescent="0.2">
      <c r="A545" s="20" t="s">
        <v>31</v>
      </c>
      <c r="F545" s="20" t="s">
        <v>848</v>
      </c>
      <c r="G545" s="20" t="s">
        <v>849</v>
      </c>
      <c r="K545" s="20" t="s">
        <v>7097</v>
      </c>
      <c r="L545" s="20" t="s">
        <v>4698</v>
      </c>
      <c r="M545" s="20" t="s">
        <v>4699</v>
      </c>
      <c r="N545" s="20" t="s">
        <v>4700</v>
      </c>
      <c r="O545" s="20" t="s">
        <v>4701</v>
      </c>
      <c r="P545" s="20" t="s">
        <v>4702</v>
      </c>
      <c r="Q545" s="20" t="s">
        <v>4703</v>
      </c>
      <c r="R545" s="20" t="s">
        <v>4704</v>
      </c>
      <c r="S545" s="20" t="s">
        <v>4714</v>
      </c>
      <c r="T545" s="20" t="s">
        <v>4706</v>
      </c>
    </row>
    <row r="546" spans="1:20" x14ac:dyDescent="0.2">
      <c r="A546" s="20" t="s">
        <v>31</v>
      </c>
      <c r="F546" s="20" t="s">
        <v>850</v>
      </c>
      <c r="G546" s="20" t="s">
        <v>851</v>
      </c>
      <c r="K546" s="20" t="s">
        <v>7098</v>
      </c>
      <c r="L546" s="20" t="s">
        <v>4707</v>
      </c>
      <c r="M546" s="20" t="s">
        <v>4708</v>
      </c>
      <c r="N546" s="20" t="s">
        <v>4709</v>
      </c>
      <c r="O546" s="20" t="s">
        <v>4710</v>
      </c>
      <c r="P546" s="20" t="s">
        <v>4711</v>
      </c>
      <c r="Q546" s="20" t="s">
        <v>4712</v>
      </c>
      <c r="R546" s="20" t="s">
        <v>4713</v>
      </c>
      <c r="S546" s="20" t="s">
        <v>4723</v>
      </c>
      <c r="T546" s="20" t="s">
        <v>4715</v>
      </c>
    </row>
    <row r="547" spans="1:20" x14ac:dyDescent="0.2">
      <c r="A547" s="20" t="s">
        <v>31</v>
      </c>
      <c r="F547" s="20" t="s">
        <v>852</v>
      </c>
      <c r="G547" s="20" t="s">
        <v>35</v>
      </c>
      <c r="K547" s="20" t="s">
        <v>7099</v>
      </c>
      <c r="L547" s="20" t="s">
        <v>4716</v>
      </c>
      <c r="M547" s="20" t="s">
        <v>4717</v>
      </c>
      <c r="N547" s="20" t="s">
        <v>4718</v>
      </c>
      <c r="O547" s="20" t="s">
        <v>4719</v>
      </c>
      <c r="P547" s="20" t="s">
        <v>4720</v>
      </c>
      <c r="Q547" s="20" t="s">
        <v>4721</v>
      </c>
      <c r="R547" s="20" t="s">
        <v>4722</v>
      </c>
      <c r="S547" s="20" t="s">
        <v>4732</v>
      </c>
      <c r="T547" s="20" t="s">
        <v>4724</v>
      </c>
    </row>
    <row r="548" spans="1:20" x14ac:dyDescent="0.2">
      <c r="A548" s="20" t="s">
        <v>31</v>
      </c>
      <c r="F548" s="20" t="s">
        <v>853</v>
      </c>
      <c r="G548" s="20" t="s">
        <v>854</v>
      </c>
      <c r="K548" s="20" t="s">
        <v>7100</v>
      </c>
      <c r="L548" s="20" t="s">
        <v>4725</v>
      </c>
      <c r="M548" s="20" t="s">
        <v>4726</v>
      </c>
      <c r="N548" s="20" t="s">
        <v>4727</v>
      </c>
      <c r="O548" s="20" t="s">
        <v>4728</v>
      </c>
      <c r="P548" s="20" t="s">
        <v>4729</v>
      </c>
      <c r="Q548" s="20" t="s">
        <v>4730</v>
      </c>
      <c r="R548" s="20" t="s">
        <v>4731</v>
      </c>
      <c r="S548" s="20" t="s">
        <v>4741</v>
      </c>
      <c r="T548" s="20" t="s">
        <v>4733</v>
      </c>
    </row>
    <row r="549" spans="1:20" x14ac:dyDescent="0.2">
      <c r="A549" s="20" t="s">
        <v>31</v>
      </c>
      <c r="F549" s="20" t="s">
        <v>855</v>
      </c>
      <c r="G549" s="20" t="s">
        <v>856</v>
      </c>
      <c r="K549" s="20" t="s">
        <v>7101</v>
      </c>
      <c r="L549" s="20" t="s">
        <v>4734</v>
      </c>
      <c r="M549" s="20" t="s">
        <v>4735</v>
      </c>
      <c r="N549" s="20" t="s">
        <v>4736</v>
      </c>
      <c r="O549" s="20" t="s">
        <v>4737</v>
      </c>
      <c r="P549" s="20" t="s">
        <v>4738</v>
      </c>
      <c r="Q549" s="20" t="s">
        <v>4739</v>
      </c>
      <c r="R549" s="20" t="s">
        <v>4740</v>
      </c>
      <c r="S549" s="20" t="s">
        <v>4750</v>
      </c>
      <c r="T549" s="20" t="s">
        <v>4742</v>
      </c>
    </row>
    <row r="550" spans="1:20" x14ac:dyDescent="0.2">
      <c r="A550" s="20" t="s">
        <v>31</v>
      </c>
      <c r="F550" s="20" t="s">
        <v>857</v>
      </c>
      <c r="G550" s="20" t="s">
        <v>858</v>
      </c>
      <c r="K550" s="20" t="s">
        <v>7102</v>
      </c>
      <c r="L550" s="20" t="s">
        <v>4743</v>
      </c>
      <c r="M550" s="20" t="s">
        <v>4744</v>
      </c>
      <c r="N550" s="20" t="s">
        <v>4745</v>
      </c>
      <c r="O550" s="20" t="s">
        <v>4746</v>
      </c>
      <c r="P550" s="20" t="s">
        <v>4747</v>
      </c>
      <c r="Q550" s="20" t="s">
        <v>4748</v>
      </c>
      <c r="R550" s="20" t="s">
        <v>4749</v>
      </c>
      <c r="S550" s="20" t="s">
        <v>4759</v>
      </c>
      <c r="T550" s="20" t="s">
        <v>4751</v>
      </c>
    </row>
    <row r="551" spans="1:20" x14ac:dyDescent="0.2">
      <c r="A551" s="20" t="s">
        <v>31</v>
      </c>
      <c r="F551" s="20" t="s">
        <v>859</v>
      </c>
      <c r="G551" s="20" t="s">
        <v>860</v>
      </c>
      <c r="K551" s="20" t="s">
        <v>7103</v>
      </c>
      <c r="L551" s="20" t="s">
        <v>4752</v>
      </c>
      <c r="M551" s="20" t="s">
        <v>4753</v>
      </c>
      <c r="N551" s="20" t="s">
        <v>4754</v>
      </c>
      <c r="O551" s="20" t="s">
        <v>4755</v>
      </c>
      <c r="P551" s="20" t="s">
        <v>4756</v>
      </c>
      <c r="Q551" s="20" t="s">
        <v>4757</v>
      </c>
      <c r="R551" s="20" t="s">
        <v>4758</v>
      </c>
      <c r="S551" s="20" t="s">
        <v>4768</v>
      </c>
      <c r="T551" s="20" t="s">
        <v>4760</v>
      </c>
    </row>
    <row r="552" spans="1:20" x14ac:dyDescent="0.2">
      <c r="A552" s="20" t="s">
        <v>31</v>
      </c>
      <c r="F552" s="20" t="s">
        <v>861</v>
      </c>
      <c r="G552" s="20" t="s">
        <v>36</v>
      </c>
      <c r="K552" s="20" t="s">
        <v>7104</v>
      </c>
      <c r="L552" s="20" t="s">
        <v>4761</v>
      </c>
      <c r="M552" s="20" t="s">
        <v>4762</v>
      </c>
      <c r="N552" s="20" t="s">
        <v>4763</v>
      </c>
      <c r="O552" s="20" t="s">
        <v>4764</v>
      </c>
      <c r="P552" s="20" t="s">
        <v>4765</v>
      </c>
      <c r="Q552" s="20" t="s">
        <v>4766</v>
      </c>
      <c r="R552" s="20" t="s">
        <v>4767</v>
      </c>
      <c r="S552" s="20" t="s">
        <v>4777</v>
      </c>
      <c r="T552" s="20" t="s">
        <v>4769</v>
      </c>
    </row>
    <row r="553" spans="1:20" x14ac:dyDescent="0.2">
      <c r="A553" s="20" t="s">
        <v>31</v>
      </c>
      <c r="F553" s="20" t="s">
        <v>862</v>
      </c>
      <c r="G553" s="20" t="s">
        <v>863</v>
      </c>
      <c r="K553" s="20" t="s">
        <v>7105</v>
      </c>
      <c r="L553" s="20" t="s">
        <v>4770</v>
      </c>
      <c r="M553" s="20" t="s">
        <v>4771</v>
      </c>
      <c r="N553" s="20" t="s">
        <v>4772</v>
      </c>
      <c r="O553" s="20" t="s">
        <v>4773</v>
      </c>
      <c r="P553" s="20" t="s">
        <v>4774</v>
      </c>
      <c r="Q553" s="20" t="s">
        <v>4775</v>
      </c>
      <c r="R553" s="20" t="s">
        <v>4776</v>
      </c>
      <c r="S553" s="20" t="s">
        <v>4786</v>
      </c>
      <c r="T553" s="20" t="s">
        <v>4778</v>
      </c>
    </row>
    <row r="554" spans="1:20" x14ac:dyDescent="0.2">
      <c r="A554" s="20" t="s">
        <v>31</v>
      </c>
      <c r="F554" s="20" t="s">
        <v>864</v>
      </c>
      <c r="G554" s="20" t="s">
        <v>865</v>
      </c>
      <c r="K554" s="20" t="s">
        <v>7106</v>
      </c>
      <c r="L554" s="20" t="s">
        <v>4779</v>
      </c>
      <c r="M554" s="20" t="s">
        <v>4780</v>
      </c>
      <c r="N554" s="20" t="s">
        <v>4781</v>
      </c>
      <c r="O554" s="20" t="s">
        <v>4782</v>
      </c>
      <c r="P554" s="20" t="s">
        <v>4783</v>
      </c>
      <c r="Q554" s="20" t="s">
        <v>4784</v>
      </c>
      <c r="R554" s="20" t="s">
        <v>4785</v>
      </c>
      <c r="S554" s="20" t="s">
        <v>4795</v>
      </c>
      <c r="T554" s="20" t="s">
        <v>4787</v>
      </c>
    </row>
    <row r="555" spans="1:20" x14ac:dyDescent="0.2">
      <c r="A555" s="20" t="s">
        <v>31</v>
      </c>
      <c r="F555" s="20" t="s">
        <v>866</v>
      </c>
      <c r="G555" s="20" t="s">
        <v>867</v>
      </c>
      <c r="K555" s="20" t="s">
        <v>7107</v>
      </c>
      <c r="L555" s="20" t="s">
        <v>4788</v>
      </c>
      <c r="M555" s="20" t="s">
        <v>4789</v>
      </c>
      <c r="N555" s="20" t="s">
        <v>4790</v>
      </c>
      <c r="O555" s="20" t="s">
        <v>4791</v>
      </c>
      <c r="P555" s="20" t="s">
        <v>4792</v>
      </c>
      <c r="Q555" s="20" t="s">
        <v>4793</v>
      </c>
      <c r="R555" s="20" t="s">
        <v>4794</v>
      </c>
      <c r="S555" s="20" t="s">
        <v>4804</v>
      </c>
      <c r="T555" s="20" t="s">
        <v>4796</v>
      </c>
    </row>
    <row r="556" spans="1:20" x14ac:dyDescent="0.2">
      <c r="A556" s="20" t="s">
        <v>31</v>
      </c>
      <c r="F556" s="20" t="s">
        <v>868</v>
      </c>
      <c r="G556" s="20" t="s">
        <v>869</v>
      </c>
      <c r="K556" s="20" t="s">
        <v>7108</v>
      </c>
      <c r="L556" s="20" t="s">
        <v>4797</v>
      </c>
      <c r="M556" s="20" t="s">
        <v>4798</v>
      </c>
      <c r="N556" s="20" t="s">
        <v>4799</v>
      </c>
      <c r="O556" s="20" t="s">
        <v>4800</v>
      </c>
      <c r="P556" s="20" t="s">
        <v>4801</v>
      </c>
      <c r="Q556" s="20" t="s">
        <v>4802</v>
      </c>
      <c r="R556" s="20" t="s">
        <v>4803</v>
      </c>
      <c r="S556" s="20" t="s">
        <v>4813</v>
      </c>
      <c r="T556" s="20" t="s">
        <v>4805</v>
      </c>
    </row>
    <row r="557" spans="1:20" x14ac:dyDescent="0.2">
      <c r="A557" s="20" t="s">
        <v>31</v>
      </c>
      <c r="F557" s="20" t="s">
        <v>870</v>
      </c>
      <c r="G557" s="20" t="s">
        <v>37</v>
      </c>
      <c r="K557" s="20" t="s">
        <v>7109</v>
      </c>
      <c r="L557" s="20" t="s">
        <v>4806</v>
      </c>
      <c r="M557" s="20" t="s">
        <v>4807</v>
      </c>
      <c r="N557" s="20" t="s">
        <v>4808</v>
      </c>
      <c r="O557" s="20" t="s">
        <v>4809</v>
      </c>
      <c r="P557" s="20" t="s">
        <v>4810</v>
      </c>
      <c r="Q557" s="20" t="s">
        <v>4811</v>
      </c>
      <c r="R557" s="20" t="s">
        <v>4812</v>
      </c>
      <c r="S557" s="20" t="s">
        <v>4822</v>
      </c>
      <c r="T557" s="20" t="s">
        <v>4814</v>
      </c>
    </row>
    <row r="558" spans="1:20" x14ac:dyDescent="0.2">
      <c r="A558" s="20" t="s">
        <v>31</v>
      </c>
      <c r="F558" s="20" t="s">
        <v>871</v>
      </c>
      <c r="G558" s="20" t="s">
        <v>872</v>
      </c>
      <c r="K558" s="20" t="s">
        <v>7110</v>
      </c>
      <c r="L558" s="20" t="s">
        <v>4815</v>
      </c>
      <c r="M558" s="20" t="s">
        <v>4816</v>
      </c>
      <c r="N558" s="20" t="s">
        <v>4817</v>
      </c>
      <c r="O558" s="20" t="s">
        <v>4818</v>
      </c>
      <c r="P558" s="20" t="s">
        <v>4819</v>
      </c>
      <c r="Q558" s="20" t="s">
        <v>4820</v>
      </c>
      <c r="R558" s="20" t="s">
        <v>4821</v>
      </c>
      <c r="S558" s="20" t="s">
        <v>4831</v>
      </c>
      <c r="T558" s="20" t="s">
        <v>4823</v>
      </c>
    </row>
    <row r="559" spans="1:20" x14ac:dyDescent="0.2">
      <c r="A559" s="20" t="s">
        <v>31</v>
      </c>
      <c r="F559" s="20" t="s">
        <v>873</v>
      </c>
      <c r="G559" s="20" t="s">
        <v>874</v>
      </c>
      <c r="K559" s="20" t="s">
        <v>7111</v>
      </c>
      <c r="L559" s="20" t="s">
        <v>4824</v>
      </c>
      <c r="M559" s="20" t="s">
        <v>4825</v>
      </c>
      <c r="N559" s="20" t="s">
        <v>4826</v>
      </c>
      <c r="O559" s="20" t="s">
        <v>4827</v>
      </c>
      <c r="P559" s="20" t="s">
        <v>4828</v>
      </c>
      <c r="Q559" s="20" t="s">
        <v>4829</v>
      </c>
      <c r="R559" s="20" t="s">
        <v>4830</v>
      </c>
      <c r="S559" s="20" t="s">
        <v>6650</v>
      </c>
      <c r="T559" s="20" t="s">
        <v>4832</v>
      </c>
    </row>
    <row r="560" spans="1:20" x14ac:dyDescent="0.2">
      <c r="A560" s="20" t="s">
        <v>31</v>
      </c>
      <c r="F560" s="20" t="s">
        <v>826</v>
      </c>
      <c r="G560" s="20" t="s">
        <v>827</v>
      </c>
    </row>
    <row r="561" spans="1:20" x14ac:dyDescent="0.2">
      <c r="A561" s="20" t="s">
        <v>31</v>
      </c>
      <c r="I561" s="20" t="s">
        <v>6511</v>
      </c>
      <c r="T561" s="20" t="s">
        <v>6512</v>
      </c>
    </row>
    <row r="562" spans="1:20" x14ac:dyDescent="0.2">
      <c r="A562" s="20" t="s">
        <v>31</v>
      </c>
    </row>
    <row r="563" spans="1:20" x14ac:dyDescent="0.2">
      <c r="A563" s="20" t="s">
        <v>31</v>
      </c>
      <c r="D563" s="20" t="s">
        <v>5687</v>
      </c>
      <c r="E563" s="20" t="s">
        <v>5688</v>
      </c>
      <c r="F563" s="20" t="s">
        <v>63</v>
      </c>
      <c r="G563" s="20" t="s">
        <v>6513</v>
      </c>
      <c r="I563" s="20" t="s">
        <v>876</v>
      </c>
      <c r="J563" s="20" t="s">
        <v>6514</v>
      </c>
    </row>
    <row r="564" spans="1:20" x14ac:dyDescent="0.2">
      <c r="A564" s="20" t="s">
        <v>31</v>
      </c>
      <c r="F564" s="20" t="s">
        <v>875</v>
      </c>
      <c r="G564" s="20" t="s">
        <v>876</v>
      </c>
      <c r="K564" s="20" t="s">
        <v>6515</v>
      </c>
      <c r="L564" s="20" t="s">
        <v>4833</v>
      </c>
      <c r="M564" s="20" t="s">
        <v>4834</v>
      </c>
      <c r="N564" s="20" t="s">
        <v>4835</v>
      </c>
      <c r="O564" s="20" t="s">
        <v>4836</v>
      </c>
      <c r="P564" s="20" t="s">
        <v>4837</v>
      </c>
      <c r="Q564" s="20" t="s">
        <v>4838</v>
      </c>
      <c r="R564" s="20" t="s">
        <v>4839</v>
      </c>
      <c r="S564" s="20" t="s">
        <v>4848</v>
      </c>
      <c r="T564" s="20" t="s">
        <v>4840</v>
      </c>
    </row>
    <row r="565" spans="1:20" x14ac:dyDescent="0.2">
      <c r="A565" s="20" t="s">
        <v>31</v>
      </c>
      <c r="F565" s="20" t="s">
        <v>877</v>
      </c>
      <c r="G565" s="20" t="s">
        <v>878</v>
      </c>
      <c r="K565" s="20" t="s">
        <v>6516</v>
      </c>
      <c r="L565" s="20" t="s">
        <v>4841</v>
      </c>
      <c r="M565" s="20" t="s">
        <v>4842</v>
      </c>
      <c r="N565" s="20" t="s">
        <v>4843</v>
      </c>
      <c r="O565" s="20" t="s">
        <v>4844</v>
      </c>
      <c r="P565" s="20" t="s">
        <v>4845</v>
      </c>
      <c r="Q565" s="20" t="s">
        <v>4846</v>
      </c>
      <c r="R565" s="20" t="s">
        <v>4847</v>
      </c>
      <c r="S565" s="20" t="s">
        <v>4857</v>
      </c>
      <c r="T565" s="20" t="s">
        <v>4849</v>
      </c>
    </row>
    <row r="566" spans="1:20" x14ac:dyDescent="0.2">
      <c r="A566" s="20" t="s">
        <v>31</v>
      </c>
      <c r="F566" s="20" t="s">
        <v>879</v>
      </c>
      <c r="G566" s="20" t="s">
        <v>880</v>
      </c>
      <c r="K566" s="20" t="s">
        <v>7112</v>
      </c>
      <c r="L566" s="20" t="s">
        <v>4850</v>
      </c>
      <c r="M566" s="20" t="s">
        <v>4851</v>
      </c>
      <c r="N566" s="20" t="s">
        <v>4852</v>
      </c>
      <c r="O566" s="20" t="s">
        <v>4853</v>
      </c>
      <c r="P566" s="20" t="s">
        <v>4854</v>
      </c>
      <c r="Q566" s="20" t="s">
        <v>4855</v>
      </c>
      <c r="R566" s="20" t="s">
        <v>4856</v>
      </c>
      <c r="S566" s="20" t="s">
        <v>5880</v>
      </c>
      <c r="T566" s="20" t="s">
        <v>4858</v>
      </c>
    </row>
    <row r="567" spans="1:20" x14ac:dyDescent="0.2">
      <c r="A567" s="20" t="s">
        <v>31</v>
      </c>
      <c r="F567" s="20" t="s">
        <v>5871</v>
      </c>
      <c r="G567" s="20" t="s">
        <v>5872</v>
      </c>
      <c r="K567" s="20" t="s">
        <v>7113</v>
      </c>
      <c r="L567" s="20" t="s">
        <v>5873</v>
      </c>
      <c r="M567" s="20" t="s">
        <v>5874</v>
      </c>
      <c r="N567" s="20" t="s">
        <v>5875</v>
      </c>
      <c r="O567" s="20" t="s">
        <v>5876</v>
      </c>
      <c r="P567" s="20" t="s">
        <v>5877</v>
      </c>
      <c r="Q567" s="20" t="s">
        <v>5878</v>
      </c>
      <c r="R567" s="20" t="s">
        <v>5879</v>
      </c>
      <c r="S567" s="20" t="s">
        <v>5891</v>
      </c>
      <c r="T567" s="20" t="s">
        <v>5881</v>
      </c>
    </row>
    <row r="568" spans="1:20" x14ac:dyDescent="0.2">
      <c r="A568" s="20" t="s">
        <v>31</v>
      </c>
      <c r="F568" s="20" t="s">
        <v>5882</v>
      </c>
      <c r="G568" s="20" t="s">
        <v>5883</v>
      </c>
      <c r="K568" s="20" t="s">
        <v>7114</v>
      </c>
      <c r="L568" s="20" t="s">
        <v>5884</v>
      </c>
      <c r="M568" s="20" t="s">
        <v>5885</v>
      </c>
      <c r="N568" s="20" t="s">
        <v>5886</v>
      </c>
      <c r="O568" s="20" t="s">
        <v>5887</v>
      </c>
      <c r="P568" s="20" t="s">
        <v>5888</v>
      </c>
      <c r="Q568" s="20" t="s">
        <v>5889</v>
      </c>
      <c r="R568" s="20" t="s">
        <v>5890</v>
      </c>
      <c r="S568" s="20" t="s">
        <v>5902</v>
      </c>
      <c r="T568" s="20" t="s">
        <v>5892</v>
      </c>
    </row>
    <row r="569" spans="1:20" x14ac:dyDescent="0.2">
      <c r="A569" s="20" t="s">
        <v>31</v>
      </c>
      <c r="F569" s="20" t="s">
        <v>5893</v>
      </c>
      <c r="G569" s="20" t="s">
        <v>5894</v>
      </c>
      <c r="K569" s="20" t="s">
        <v>7115</v>
      </c>
      <c r="L569" s="20" t="s">
        <v>5895</v>
      </c>
      <c r="M569" s="20" t="s">
        <v>5896</v>
      </c>
      <c r="N569" s="20" t="s">
        <v>5897</v>
      </c>
      <c r="O569" s="20" t="s">
        <v>5898</v>
      </c>
      <c r="P569" s="20" t="s">
        <v>5899</v>
      </c>
      <c r="Q569" s="20" t="s">
        <v>5900</v>
      </c>
      <c r="R569" s="20" t="s">
        <v>5901</v>
      </c>
      <c r="S569" s="20" t="s">
        <v>5913</v>
      </c>
      <c r="T569" s="20" t="s">
        <v>5903</v>
      </c>
    </row>
    <row r="570" spans="1:20" x14ac:dyDescent="0.2">
      <c r="A570" s="20" t="s">
        <v>31</v>
      </c>
      <c r="F570" s="20" t="s">
        <v>5904</v>
      </c>
      <c r="G570" s="20" t="s">
        <v>5905</v>
      </c>
      <c r="K570" s="20" t="s">
        <v>7116</v>
      </c>
      <c r="L570" s="20" t="s">
        <v>5906</v>
      </c>
      <c r="M570" s="20" t="s">
        <v>5907</v>
      </c>
      <c r="N570" s="20" t="s">
        <v>5908</v>
      </c>
      <c r="O570" s="20" t="s">
        <v>5909</v>
      </c>
      <c r="P570" s="20" t="s">
        <v>5910</v>
      </c>
      <c r="Q570" s="20" t="s">
        <v>5911</v>
      </c>
      <c r="R570" s="20" t="s">
        <v>5912</v>
      </c>
      <c r="S570" s="20" t="s">
        <v>5915</v>
      </c>
      <c r="T570" s="20" t="s">
        <v>5914</v>
      </c>
    </row>
    <row r="571" spans="1:20" x14ac:dyDescent="0.2">
      <c r="A571" s="20" t="s">
        <v>31</v>
      </c>
      <c r="F571" s="20" t="s">
        <v>881</v>
      </c>
      <c r="G571" s="20" t="s">
        <v>882</v>
      </c>
      <c r="K571" s="20" t="s">
        <v>7117</v>
      </c>
      <c r="L571" s="20" t="s">
        <v>4859</v>
      </c>
      <c r="M571" s="20" t="s">
        <v>4860</v>
      </c>
      <c r="N571" s="20" t="s">
        <v>4861</v>
      </c>
      <c r="O571" s="20" t="s">
        <v>4862</v>
      </c>
      <c r="P571" s="20" t="s">
        <v>4863</v>
      </c>
      <c r="Q571" s="20" t="s">
        <v>4864</v>
      </c>
      <c r="R571" s="20" t="s">
        <v>4865</v>
      </c>
      <c r="S571" s="20" t="s">
        <v>4866</v>
      </c>
      <c r="T571" s="20" t="s">
        <v>4867</v>
      </c>
    </row>
    <row r="572" spans="1:20" x14ac:dyDescent="0.2">
      <c r="A572" s="20" t="s">
        <v>31</v>
      </c>
      <c r="F572" s="20" t="s">
        <v>883</v>
      </c>
      <c r="G572" s="20" t="s">
        <v>38</v>
      </c>
      <c r="K572" s="20" t="s">
        <v>7118</v>
      </c>
      <c r="L572" s="20" t="s">
        <v>4868</v>
      </c>
      <c r="M572" s="20" t="s">
        <v>4869</v>
      </c>
      <c r="N572" s="20" t="s">
        <v>4870</v>
      </c>
      <c r="O572" s="20" t="s">
        <v>4871</v>
      </c>
      <c r="P572" s="20" t="s">
        <v>4872</v>
      </c>
      <c r="Q572" s="20" t="s">
        <v>4873</v>
      </c>
      <c r="R572" s="20" t="s">
        <v>4874</v>
      </c>
      <c r="S572" s="20" t="s">
        <v>4883</v>
      </c>
      <c r="T572" s="20" t="s">
        <v>4875</v>
      </c>
    </row>
    <row r="573" spans="1:20" x14ac:dyDescent="0.2">
      <c r="A573" s="20" t="s">
        <v>31</v>
      </c>
      <c r="F573" s="20" t="s">
        <v>884</v>
      </c>
      <c r="G573" s="20" t="s">
        <v>885</v>
      </c>
      <c r="K573" s="20" t="s">
        <v>7119</v>
      </c>
      <c r="L573" s="20" t="s">
        <v>4876</v>
      </c>
      <c r="M573" s="20" t="s">
        <v>4877</v>
      </c>
      <c r="N573" s="20" t="s">
        <v>4878</v>
      </c>
      <c r="O573" s="20" t="s">
        <v>4879</v>
      </c>
      <c r="P573" s="20" t="s">
        <v>4880</v>
      </c>
      <c r="Q573" s="20" t="s">
        <v>4881</v>
      </c>
      <c r="R573" s="20" t="s">
        <v>4882</v>
      </c>
      <c r="S573" s="20" t="s">
        <v>4892</v>
      </c>
      <c r="T573" s="20" t="s">
        <v>4884</v>
      </c>
    </row>
    <row r="574" spans="1:20" x14ac:dyDescent="0.2">
      <c r="A574" s="20" t="s">
        <v>31</v>
      </c>
      <c r="F574" s="20" t="s">
        <v>886</v>
      </c>
      <c r="G574" s="20" t="s">
        <v>887</v>
      </c>
      <c r="K574" s="20" t="s">
        <v>7120</v>
      </c>
      <c r="L574" s="20" t="s">
        <v>4885</v>
      </c>
      <c r="M574" s="20" t="s">
        <v>4886</v>
      </c>
      <c r="N574" s="20" t="s">
        <v>4887</v>
      </c>
      <c r="O574" s="20" t="s">
        <v>4888</v>
      </c>
      <c r="P574" s="20" t="s">
        <v>4889</v>
      </c>
      <c r="Q574" s="20" t="s">
        <v>4890</v>
      </c>
      <c r="R574" s="20" t="s">
        <v>4891</v>
      </c>
      <c r="S574" s="20" t="s">
        <v>4901</v>
      </c>
      <c r="T574" s="20" t="s">
        <v>4893</v>
      </c>
    </row>
    <row r="575" spans="1:20" x14ac:dyDescent="0.2">
      <c r="A575" s="20" t="s">
        <v>31</v>
      </c>
      <c r="F575" s="20" t="s">
        <v>888</v>
      </c>
      <c r="G575" s="20" t="s">
        <v>889</v>
      </c>
      <c r="K575" s="20" t="s">
        <v>7121</v>
      </c>
      <c r="L575" s="20" t="s">
        <v>4894</v>
      </c>
      <c r="M575" s="20" t="s">
        <v>4895</v>
      </c>
      <c r="N575" s="20" t="s">
        <v>4896</v>
      </c>
      <c r="O575" s="20" t="s">
        <v>4897</v>
      </c>
      <c r="P575" s="20" t="s">
        <v>4898</v>
      </c>
      <c r="Q575" s="20" t="s">
        <v>4899</v>
      </c>
      <c r="R575" s="20" t="s">
        <v>4900</v>
      </c>
      <c r="S575" s="20" t="s">
        <v>4910</v>
      </c>
      <c r="T575" s="20" t="s">
        <v>4902</v>
      </c>
    </row>
    <row r="576" spans="1:20" x14ac:dyDescent="0.2">
      <c r="A576" s="20" t="s">
        <v>31</v>
      </c>
      <c r="F576" s="20" t="s">
        <v>890</v>
      </c>
      <c r="G576" s="20" t="s">
        <v>891</v>
      </c>
      <c r="K576" s="20" t="s">
        <v>7122</v>
      </c>
      <c r="L576" s="20" t="s">
        <v>4903</v>
      </c>
      <c r="M576" s="20" t="s">
        <v>4904</v>
      </c>
      <c r="N576" s="20" t="s">
        <v>4905</v>
      </c>
      <c r="O576" s="20" t="s">
        <v>4906</v>
      </c>
      <c r="P576" s="20" t="s">
        <v>4907</v>
      </c>
      <c r="Q576" s="20" t="s">
        <v>4908</v>
      </c>
      <c r="R576" s="20" t="s">
        <v>4909</v>
      </c>
      <c r="S576" s="20" t="s">
        <v>4919</v>
      </c>
      <c r="T576" s="20" t="s">
        <v>4911</v>
      </c>
    </row>
    <row r="577" spans="1:20" x14ac:dyDescent="0.2">
      <c r="A577" s="20" t="s">
        <v>31</v>
      </c>
      <c r="F577" s="20" t="s">
        <v>892</v>
      </c>
      <c r="G577" s="20" t="s">
        <v>39</v>
      </c>
      <c r="K577" s="20" t="s">
        <v>7123</v>
      </c>
      <c r="L577" s="20" t="s">
        <v>4912</v>
      </c>
      <c r="M577" s="20" t="s">
        <v>4913</v>
      </c>
      <c r="N577" s="20" t="s">
        <v>4914</v>
      </c>
      <c r="O577" s="20" t="s">
        <v>4915</v>
      </c>
      <c r="P577" s="20" t="s">
        <v>4916</v>
      </c>
      <c r="Q577" s="20" t="s">
        <v>4917</v>
      </c>
      <c r="R577" s="20" t="s">
        <v>4918</v>
      </c>
      <c r="S577" s="20" t="s">
        <v>4928</v>
      </c>
      <c r="T577" s="20" t="s">
        <v>4920</v>
      </c>
    </row>
    <row r="578" spans="1:20" x14ac:dyDescent="0.2">
      <c r="A578" s="20" t="s">
        <v>31</v>
      </c>
      <c r="F578" s="20" t="s">
        <v>893</v>
      </c>
      <c r="G578" s="20" t="s">
        <v>894</v>
      </c>
      <c r="K578" s="20" t="s">
        <v>7124</v>
      </c>
      <c r="L578" s="20" t="s">
        <v>4921</v>
      </c>
      <c r="M578" s="20" t="s">
        <v>4922</v>
      </c>
      <c r="N578" s="20" t="s">
        <v>4923</v>
      </c>
      <c r="O578" s="20" t="s">
        <v>4924</v>
      </c>
      <c r="P578" s="20" t="s">
        <v>4925</v>
      </c>
      <c r="Q578" s="20" t="s">
        <v>4926</v>
      </c>
      <c r="R578" s="20" t="s">
        <v>4927</v>
      </c>
      <c r="S578" s="20" t="s">
        <v>4937</v>
      </c>
      <c r="T578" s="20" t="s">
        <v>4929</v>
      </c>
    </row>
    <row r="579" spans="1:20" x14ac:dyDescent="0.2">
      <c r="A579" s="20" t="s">
        <v>31</v>
      </c>
      <c r="F579" s="20" t="s">
        <v>895</v>
      </c>
      <c r="G579" s="20" t="s">
        <v>896</v>
      </c>
      <c r="K579" s="20" t="s">
        <v>7125</v>
      </c>
      <c r="L579" s="20" t="s">
        <v>4930</v>
      </c>
      <c r="M579" s="20" t="s">
        <v>4931</v>
      </c>
      <c r="N579" s="20" t="s">
        <v>4932</v>
      </c>
      <c r="O579" s="20" t="s">
        <v>4933</v>
      </c>
      <c r="P579" s="20" t="s">
        <v>4934</v>
      </c>
      <c r="Q579" s="20" t="s">
        <v>4935</v>
      </c>
      <c r="R579" s="20" t="s">
        <v>4936</v>
      </c>
      <c r="S579" s="20" t="s">
        <v>4946</v>
      </c>
      <c r="T579" s="20" t="s">
        <v>4938</v>
      </c>
    </row>
    <row r="580" spans="1:20" x14ac:dyDescent="0.2">
      <c r="A580" s="20" t="s">
        <v>31</v>
      </c>
      <c r="F580" s="20" t="s">
        <v>897</v>
      </c>
      <c r="G580" s="20" t="s">
        <v>898</v>
      </c>
      <c r="K580" s="20" t="s">
        <v>7126</v>
      </c>
      <c r="L580" s="20" t="s">
        <v>4939</v>
      </c>
      <c r="M580" s="20" t="s">
        <v>4940</v>
      </c>
      <c r="N580" s="20" t="s">
        <v>4941</v>
      </c>
      <c r="O580" s="20" t="s">
        <v>4942</v>
      </c>
      <c r="P580" s="20" t="s">
        <v>4943</v>
      </c>
      <c r="Q580" s="20" t="s">
        <v>4944</v>
      </c>
      <c r="R580" s="20" t="s">
        <v>4945</v>
      </c>
      <c r="S580" s="20" t="s">
        <v>4955</v>
      </c>
      <c r="T580" s="20" t="s">
        <v>4947</v>
      </c>
    </row>
    <row r="581" spans="1:20" x14ac:dyDescent="0.2">
      <c r="A581" s="20" t="s">
        <v>31</v>
      </c>
      <c r="F581" s="20" t="s">
        <v>899</v>
      </c>
      <c r="G581" s="20" t="s">
        <v>900</v>
      </c>
      <c r="K581" s="20" t="s">
        <v>7127</v>
      </c>
      <c r="L581" s="20" t="s">
        <v>4948</v>
      </c>
      <c r="M581" s="20" t="s">
        <v>4949</v>
      </c>
      <c r="N581" s="20" t="s">
        <v>4950</v>
      </c>
      <c r="O581" s="20" t="s">
        <v>4951</v>
      </c>
      <c r="P581" s="20" t="s">
        <v>4952</v>
      </c>
      <c r="Q581" s="20" t="s">
        <v>4953</v>
      </c>
      <c r="R581" s="20" t="s">
        <v>4954</v>
      </c>
      <c r="S581" s="20" t="s">
        <v>4964</v>
      </c>
      <c r="T581" s="20" t="s">
        <v>4956</v>
      </c>
    </row>
    <row r="582" spans="1:20" x14ac:dyDescent="0.2">
      <c r="A582" s="20" t="s">
        <v>31</v>
      </c>
      <c r="F582" s="20" t="s">
        <v>901</v>
      </c>
      <c r="G582" s="20" t="s">
        <v>40</v>
      </c>
      <c r="K582" s="20" t="s">
        <v>7128</v>
      </c>
      <c r="L582" s="20" t="s">
        <v>4957</v>
      </c>
      <c r="M582" s="20" t="s">
        <v>4958</v>
      </c>
      <c r="N582" s="20" t="s">
        <v>4959</v>
      </c>
      <c r="O582" s="20" t="s">
        <v>4960</v>
      </c>
      <c r="P582" s="20" t="s">
        <v>4961</v>
      </c>
      <c r="Q582" s="20" t="s">
        <v>4962</v>
      </c>
      <c r="R582" s="20" t="s">
        <v>4963</v>
      </c>
      <c r="S582" s="20" t="s">
        <v>4973</v>
      </c>
      <c r="T582" s="20" t="s">
        <v>4965</v>
      </c>
    </row>
    <row r="583" spans="1:20" x14ac:dyDescent="0.2">
      <c r="A583" s="20" t="s">
        <v>31</v>
      </c>
      <c r="F583" s="20" t="s">
        <v>902</v>
      </c>
      <c r="G583" s="20" t="s">
        <v>903</v>
      </c>
      <c r="K583" s="20" t="s">
        <v>7129</v>
      </c>
      <c r="L583" s="20" t="s">
        <v>4966</v>
      </c>
      <c r="M583" s="20" t="s">
        <v>4967</v>
      </c>
      <c r="N583" s="20" t="s">
        <v>4968</v>
      </c>
      <c r="O583" s="20" t="s">
        <v>4969</v>
      </c>
      <c r="P583" s="20" t="s">
        <v>4970</v>
      </c>
      <c r="Q583" s="20" t="s">
        <v>4971</v>
      </c>
      <c r="R583" s="20" t="s">
        <v>4972</v>
      </c>
      <c r="S583" s="20" t="s">
        <v>4982</v>
      </c>
      <c r="T583" s="20" t="s">
        <v>4974</v>
      </c>
    </row>
    <row r="584" spans="1:20" x14ac:dyDescent="0.2">
      <c r="A584" s="20" t="s">
        <v>31</v>
      </c>
      <c r="F584" s="20" t="s">
        <v>904</v>
      </c>
      <c r="G584" s="20" t="s">
        <v>905</v>
      </c>
      <c r="K584" s="20" t="s">
        <v>7130</v>
      </c>
      <c r="L584" s="20" t="s">
        <v>4975</v>
      </c>
      <c r="M584" s="20" t="s">
        <v>4976</v>
      </c>
      <c r="N584" s="20" t="s">
        <v>4977</v>
      </c>
      <c r="O584" s="20" t="s">
        <v>4978</v>
      </c>
      <c r="P584" s="20" t="s">
        <v>4979</v>
      </c>
      <c r="Q584" s="20" t="s">
        <v>4980</v>
      </c>
      <c r="R584" s="20" t="s">
        <v>4981</v>
      </c>
      <c r="S584" s="20" t="s">
        <v>4991</v>
      </c>
      <c r="T584" s="20" t="s">
        <v>4983</v>
      </c>
    </row>
    <row r="585" spans="1:20" x14ac:dyDescent="0.2">
      <c r="A585" s="20" t="s">
        <v>31</v>
      </c>
      <c r="F585" s="20" t="s">
        <v>906</v>
      </c>
      <c r="G585" s="20" t="s">
        <v>907</v>
      </c>
      <c r="K585" s="20" t="s">
        <v>7131</v>
      </c>
      <c r="L585" s="20" t="s">
        <v>4984</v>
      </c>
      <c r="M585" s="20" t="s">
        <v>4985</v>
      </c>
      <c r="N585" s="20" t="s">
        <v>4986</v>
      </c>
      <c r="O585" s="20" t="s">
        <v>4987</v>
      </c>
      <c r="P585" s="20" t="s">
        <v>4988</v>
      </c>
      <c r="Q585" s="20" t="s">
        <v>4989</v>
      </c>
      <c r="R585" s="20" t="s">
        <v>4990</v>
      </c>
      <c r="S585" s="20" t="s">
        <v>5000</v>
      </c>
      <c r="T585" s="20" t="s">
        <v>4992</v>
      </c>
    </row>
    <row r="586" spans="1:20" x14ac:dyDescent="0.2">
      <c r="A586" s="20" t="s">
        <v>31</v>
      </c>
      <c r="F586" s="20" t="s">
        <v>908</v>
      </c>
      <c r="G586" s="20" t="s">
        <v>909</v>
      </c>
      <c r="K586" s="20" t="s">
        <v>7132</v>
      </c>
      <c r="L586" s="20" t="s">
        <v>4993</v>
      </c>
      <c r="M586" s="20" t="s">
        <v>4994</v>
      </c>
      <c r="N586" s="20" t="s">
        <v>4995</v>
      </c>
      <c r="O586" s="20" t="s">
        <v>4996</v>
      </c>
      <c r="P586" s="20" t="s">
        <v>4997</v>
      </c>
      <c r="Q586" s="20" t="s">
        <v>4998</v>
      </c>
      <c r="R586" s="20" t="s">
        <v>4999</v>
      </c>
      <c r="S586" s="20" t="s">
        <v>5009</v>
      </c>
      <c r="T586" s="20" t="s">
        <v>5001</v>
      </c>
    </row>
    <row r="587" spans="1:20" x14ac:dyDescent="0.2">
      <c r="A587" s="20" t="s">
        <v>31</v>
      </c>
      <c r="F587" s="20" t="s">
        <v>910</v>
      </c>
      <c r="G587" s="20" t="s">
        <v>41</v>
      </c>
      <c r="K587" s="20" t="s">
        <v>7133</v>
      </c>
      <c r="L587" s="20" t="s">
        <v>5002</v>
      </c>
      <c r="M587" s="20" t="s">
        <v>5003</v>
      </c>
      <c r="N587" s="20" t="s">
        <v>5004</v>
      </c>
      <c r="O587" s="20" t="s">
        <v>5005</v>
      </c>
      <c r="P587" s="20" t="s">
        <v>5006</v>
      </c>
      <c r="Q587" s="20" t="s">
        <v>5007</v>
      </c>
      <c r="R587" s="20" t="s">
        <v>5008</v>
      </c>
      <c r="S587" s="20" t="s">
        <v>5018</v>
      </c>
      <c r="T587" s="20" t="s">
        <v>5010</v>
      </c>
    </row>
    <row r="588" spans="1:20" x14ac:dyDescent="0.2">
      <c r="A588" s="20" t="s">
        <v>31</v>
      </c>
      <c r="F588" s="20" t="s">
        <v>911</v>
      </c>
      <c r="G588" s="20" t="s">
        <v>912</v>
      </c>
      <c r="K588" s="20" t="s">
        <v>7134</v>
      </c>
      <c r="L588" s="20" t="s">
        <v>5011</v>
      </c>
      <c r="M588" s="20" t="s">
        <v>5012</v>
      </c>
      <c r="N588" s="20" t="s">
        <v>5013</v>
      </c>
      <c r="O588" s="20" t="s">
        <v>5014</v>
      </c>
      <c r="P588" s="20" t="s">
        <v>5015</v>
      </c>
      <c r="Q588" s="20" t="s">
        <v>5016</v>
      </c>
      <c r="R588" s="20" t="s">
        <v>5017</v>
      </c>
      <c r="S588" s="20" t="s">
        <v>5027</v>
      </c>
      <c r="T588" s="20" t="s">
        <v>5019</v>
      </c>
    </row>
    <row r="589" spans="1:20" x14ac:dyDescent="0.2">
      <c r="A589" s="20" t="s">
        <v>31</v>
      </c>
      <c r="F589" s="20" t="s">
        <v>913</v>
      </c>
      <c r="G589" s="20" t="s">
        <v>914</v>
      </c>
      <c r="K589" s="20" t="s">
        <v>7135</v>
      </c>
      <c r="L589" s="20" t="s">
        <v>5020</v>
      </c>
      <c r="M589" s="20" t="s">
        <v>5021</v>
      </c>
      <c r="N589" s="20" t="s">
        <v>5022</v>
      </c>
      <c r="O589" s="20" t="s">
        <v>5023</v>
      </c>
      <c r="P589" s="20" t="s">
        <v>5024</v>
      </c>
      <c r="Q589" s="20" t="s">
        <v>5025</v>
      </c>
      <c r="R589" s="20" t="s">
        <v>5026</v>
      </c>
      <c r="S589" s="20" t="s">
        <v>5036</v>
      </c>
      <c r="T589" s="20" t="s">
        <v>5028</v>
      </c>
    </row>
    <row r="590" spans="1:20" x14ac:dyDescent="0.2">
      <c r="A590" s="20" t="s">
        <v>31</v>
      </c>
      <c r="F590" s="20" t="s">
        <v>915</v>
      </c>
      <c r="G590" s="20" t="s">
        <v>916</v>
      </c>
      <c r="K590" s="20" t="s">
        <v>7136</v>
      </c>
      <c r="L590" s="20" t="s">
        <v>5029</v>
      </c>
      <c r="M590" s="20" t="s">
        <v>5030</v>
      </c>
      <c r="N590" s="20" t="s">
        <v>5031</v>
      </c>
      <c r="O590" s="20" t="s">
        <v>5032</v>
      </c>
      <c r="P590" s="20" t="s">
        <v>5033</v>
      </c>
      <c r="Q590" s="20" t="s">
        <v>5034</v>
      </c>
      <c r="R590" s="20" t="s">
        <v>5035</v>
      </c>
      <c r="S590" s="20" t="s">
        <v>6180</v>
      </c>
      <c r="T590" s="20" t="s">
        <v>5037</v>
      </c>
    </row>
    <row r="591" spans="1:20" x14ac:dyDescent="0.2">
      <c r="A591" s="20" t="s">
        <v>31</v>
      </c>
      <c r="F591" s="20" t="s">
        <v>6171</v>
      </c>
      <c r="G591" s="20" t="s">
        <v>6172</v>
      </c>
      <c r="K591" s="20" t="s">
        <v>7137</v>
      </c>
      <c r="L591" s="20" t="s">
        <v>6173</v>
      </c>
      <c r="M591" s="20" t="s">
        <v>6174</v>
      </c>
      <c r="N591" s="20" t="s">
        <v>6175</v>
      </c>
      <c r="O591" s="20" t="s">
        <v>6176</v>
      </c>
      <c r="P591" s="20" t="s">
        <v>6177</v>
      </c>
      <c r="Q591" s="20" t="s">
        <v>6178</v>
      </c>
      <c r="R591" s="20" t="s">
        <v>6179</v>
      </c>
      <c r="S591" s="20" t="s">
        <v>6191</v>
      </c>
      <c r="T591" s="20" t="s">
        <v>6181</v>
      </c>
    </row>
    <row r="592" spans="1:20" x14ac:dyDescent="0.2">
      <c r="A592" s="20" t="s">
        <v>31</v>
      </c>
      <c r="F592" s="20" t="s">
        <v>6182</v>
      </c>
      <c r="G592" s="20" t="s">
        <v>6183</v>
      </c>
      <c r="K592" s="20" t="s">
        <v>7138</v>
      </c>
      <c r="L592" s="20" t="s">
        <v>6184</v>
      </c>
      <c r="M592" s="20" t="s">
        <v>6185</v>
      </c>
      <c r="N592" s="20" t="s">
        <v>6186</v>
      </c>
      <c r="O592" s="20" t="s">
        <v>6187</v>
      </c>
      <c r="P592" s="20" t="s">
        <v>6188</v>
      </c>
      <c r="Q592" s="20" t="s">
        <v>6189</v>
      </c>
      <c r="R592" s="20" t="s">
        <v>6190</v>
      </c>
      <c r="S592" s="20" t="s">
        <v>6651</v>
      </c>
      <c r="T592" s="20" t="s">
        <v>6192</v>
      </c>
    </row>
    <row r="593" spans="1:20" x14ac:dyDescent="0.2">
      <c r="A593" s="20" t="s">
        <v>31</v>
      </c>
      <c r="F593" s="20" t="s">
        <v>879</v>
      </c>
      <c r="G593" s="20" t="s">
        <v>880</v>
      </c>
    </row>
    <row r="594" spans="1:20" x14ac:dyDescent="0.2">
      <c r="A594" s="20" t="s">
        <v>31</v>
      </c>
      <c r="I594" s="20" t="s">
        <v>6517</v>
      </c>
      <c r="T594" s="20" t="s">
        <v>6518</v>
      </c>
    </row>
    <row r="595" spans="1:20" x14ac:dyDescent="0.2">
      <c r="A595" s="20" t="s">
        <v>31</v>
      </c>
    </row>
    <row r="596" spans="1:20" x14ac:dyDescent="0.2">
      <c r="A596" s="20" t="s">
        <v>31</v>
      </c>
      <c r="D596" s="20" t="s">
        <v>5687</v>
      </c>
      <c r="E596" s="20" t="s">
        <v>5688</v>
      </c>
      <c r="F596" s="20" t="s">
        <v>64</v>
      </c>
      <c r="G596" s="20" t="s">
        <v>6519</v>
      </c>
      <c r="I596" s="20" t="s">
        <v>42</v>
      </c>
      <c r="J596" s="20" t="s">
        <v>6520</v>
      </c>
    </row>
    <row r="597" spans="1:20" x14ac:dyDescent="0.2">
      <c r="A597" s="20" t="s">
        <v>31</v>
      </c>
      <c r="F597" s="20" t="s">
        <v>917</v>
      </c>
      <c r="G597" s="20" t="s">
        <v>42</v>
      </c>
      <c r="K597" s="20" t="s">
        <v>6521</v>
      </c>
      <c r="L597" s="20" t="s">
        <v>5038</v>
      </c>
      <c r="M597" s="20" t="s">
        <v>5039</v>
      </c>
      <c r="N597" s="20" t="s">
        <v>5040</v>
      </c>
      <c r="O597" s="20" t="s">
        <v>5041</v>
      </c>
      <c r="P597" s="20" t="s">
        <v>5042</v>
      </c>
      <c r="Q597" s="20" t="s">
        <v>5043</v>
      </c>
      <c r="R597" s="20" t="s">
        <v>5044</v>
      </c>
      <c r="S597" s="20" t="s">
        <v>5053</v>
      </c>
      <c r="T597" s="20" t="s">
        <v>5045</v>
      </c>
    </row>
    <row r="598" spans="1:20" x14ac:dyDescent="0.2">
      <c r="A598" s="20" t="s">
        <v>31</v>
      </c>
      <c r="F598" s="20" t="s">
        <v>918</v>
      </c>
      <c r="G598" s="20" t="s">
        <v>919</v>
      </c>
      <c r="K598" s="20" t="s">
        <v>6522</v>
      </c>
      <c r="L598" s="20" t="s">
        <v>5046</v>
      </c>
      <c r="M598" s="20" t="s">
        <v>5047</v>
      </c>
      <c r="N598" s="20" t="s">
        <v>5048</v>
      </c>
      <c r="O598" s="20" t="s">
        <v>5049</v>
      </c>
      <c r="P598" s="20" t="s">
        <v>5050</v>
      </c>
      <c r="Q598" s="20" t="s">
        <v>5051</v>
      </c>
      <c r="R598" s="20" t="s">
        <v>5052</v>
      </c>
      <c r="S598" s="20" t="s">
        <v>5062</v>
      </c>
      <c r="T598" s="20" t="s">
        <v>5054</v>
      </c>
    </row>
    <row r="599" spans="1:20" x14ac:dyDescent="0.2">
      <c r="A599" s="20" t="s">
        <v>31</v>
      </c>
      <c r="F599" s="20" t="s">
        <v>920</v>
      </c>
      <c r="G599" s="20" t="s">
        <v>921</v>
      </c>
      <c r="K599" s="20" t="s">
        <v>7139</v>
      </c>
      <c r="L599" s="20" t="s">
        <v>5055</v>
      </c>
      <c r="M599" s="20" t="s">
        <v>5056</v>
      </c>
      <c r="N599" s="20" t="s">
        <v>5057</v>
      </c>
      <c r="O599" s="20" t="s">
        <v>5058</v>
      </c>
      <c r="P599" s="20" t="s">
        <v>5059</v>
      </c>
      <c r="Q599" s="20" t="s">
        <v>5060</v>
      </c>
      <c r="R599" s="20" t="s">
        <v>5061</v>
      </c>
      <c r="S599" s="20" t="s">
        <v>5071</v>
      </c>
      <c r="T599" s="20" t="s">
        <v>5063</v>
      </c>
    </row>
    <row r="600" spans="1:20" x14ac:dyDescent="0.2">
      <c r="A600" s="20" t="s">
        <v>31</v>
      </c>
      <c r="F600" s="20" t="s">
        <v>922</v>
      </c>
      <c r="G600" s="20" t="s">
        <v>923</v>
      </c>
      <c r="K600" s="20" t="s">
        <v>7140</v>
      </c>
      <c r="L600" s="20" t="s">
        <v>5064</v>
      </c>
      <c r="M600" s="20" t="s">
        <v>5065</v>
      </c>
      <c r="N600" s="20" t="s">
        <v>5066</v>
      </c>
      <c r="O600" s="20" t="s">
        <v>5067</v>
      </c>
      <c r="P600" s="20" t="s">
        <v>5068</v>
      </c>
      <c r="Q600" s="20" t="s">
        <v>5069</v>
      </c>
      <c r="R600" s="20" t="s">
        <v>5070</v>
      </c>
      <c r="S600" s="20" t="s">
        <v>5080</v>
      </c>
      <c r="T600" s="20" t="s">
        <v>5072</v>
      </c>
    </row>
    <row r="601" spans="1:20" x14ac:dyDescent="0.2">
      <c r="A601" s="20" t="s">
        <v>31</v>
      </c>
      <c r="F601" s="20" t="s">
        <v>924</v>
      </c>
      <c r="G601" s="20" t="s">
        <v>925</v>
      </c>
      <c r="K601" s="20" t="s">
        <v>7141</v>
      </c>
      <c r="L601" s="20" t="s">
        <v>5073</v>
      </c>
      <c r="M601" s="20" t="s">
        <v>5074</v>
      </c>
      <c r="N601" s="20" t="s">
        <v>5075</v>
      </c>
      <c r="O601" s="20" t="s">
        <v>5076</v>
      </c>
      <c r="P601" s="20" t="s">
        <v>5077</v>
      </c>
      <c r="Q601" s="20" t="s">
        <v>5078</v>
      </c>
      <c r="R601" s="20" t="s">
        <v>5079</v>
      </c>
      <c r="S601" s="20" t="s">
        <v>5089</v>
      </c>
      <c r="T601" s="20" t="s">
        <v>5081</v>
      </c>
    </row>
    <row r="602" spans="1:20" x14ac:dyDescent="0.2">
      <c r="A602" s="20" t="s">
        <v>31</v>
      </c>
      <c r="F602" s="20" t="s">
        <v>926</v>
      </c>
      <c r="G602" s="20" t="s">
        <v>43</v>
      </c>
      <c r="K602" s="20" t="s">
        <v>7142</v>
      </c>
      <c r="L602" s="20" t="s">
        <v>5082</v>
      </c>
      <c r="M602" s="20" t="s">
        <v>5083</v>
      </c>
      <c r="N602" s="20" t="s">
        <v>5084</v>
      </c>
      <c r="O602" s="20" t="s">
        <v>5085</v>
      </c>
      <c r="P602" s="20" t="s">
        <v>5086</v>
      </c>
      <c r="Q602" s="20" t="s">
        <v>5087</v>
      </c>
      <c r="R602" s="20" t="s">
        <v>5088</v>
      </c>
      <c r="S602" s="20" t="s">
        <v>5098</v>
      </c>
      <c r="T602" s="20" t="s">
        <v>5090</v>
      </c>
    </row>
    <row r="603" spans="1:20" x14ac:dyDescent="0.2">
      <c r="A603" s="20" t="s">
        <v>31</v>
      </c>
      <c r="F603" s="20" t="s">
        <v>927</v>
      </c>
      <c r="G603" s="20" t="s">
        <v>928</v>
      </c>
      <c r="K603" s="20" t="s">
        <v>7143</v>
      </c>
      <c r="L603" s="20" t="s">
        <v>5091</v>
      </c>
      <c r="M603" s="20" t="s">
        <v>5092</v>
      </c>
      <c r="N603" s="20" t="s">
        <v>5093</v>
      </c>
      <c r="O603" s="20" t="s">
        <v>5094</v>
      </c>
      <c r="P603" s="20" t="s">
        <v>5095</v>
      </c>
      <c r="Q603" s="20" t="s">
        <v>5096</v>
      </c>
      <c r="R603" s="20" t="s">
        <v>5097</v>
      </c>
      <c r="S603" s="20" t="s">
        <v>5107</v>
      </c>
      <c r="T603" s="20" t="s">
        <v>5099</v>
      </c>
    </row>
    <row r="604" spans="1:20" x14ac:dyDescent="0.2">
      <c r="A604" s="20" t="s">
        <v>31</v>
      </c>
      <c r="F604" s="20" t="s">
        <v>929</v>
      </c>
      <c r="G604" s="20" t="s">
        <v>930</v>
      </c>
      <c r="K604" s="20" t="s">
        <v>7144</v>
      </c>
      <c r="L604" s="20" t="s">
        <v>5100</v>
      </c>
      <c r="M604" s="20" t="s">
        <v>5101</v>
      </c>
      <c r="N604" s="20" t="s">
        <v>5102</v>
      </c>
      <c r="O604" s="20" t="s">
        <v>5103</v>
      </c>
      <c r="P604" s="20" t="s">
        <v>5104</v>
      </c>
      <c r="Q604" s="20" t="s">
        <v>5105</v>
      </c>
      <c r="R604" s="20" t="s">
        <v>5106</v>
      </c>
      <c r="S604" s="20" t="s">
        <v>5116</v>
      </c>
      <c r="T604" s="20" t="s">
        <v>5108</v>
      </c>
    </row>
    <row r="605" spans="1:20" x14ac:dyDescent="0.2">
      <c r="A605" s="20" t="s">
        <v>31</v>
      </c>
      <c r="F605" s="20" t="s">
        <v>931</v>
      </c>
      <c r="G605" s="20" t="s">
        <v>932</v>
      </c>
      <c r="K605" s="20" t="s">
        <v>7145</v>
      </c>
      <c r="L605" s="20" t="s">
        <v>5109</v>
      </c>
      <c r="M605" s="20" t="s">
        <v>5110</v>
      </c>
      <c r="N605" s="20" t="s">
        <v>5111</v>
      </c>
      <c r="O605" s="20" t="s">
        <v>5112</v>
      </c>
      <c r="P605" s="20" t="s">
        <v>5113</v>
      </c>
      <c r="Q605" s="20" t="s">
        <v>5114</v>
      </c>
      <c r="R605" s="20" t="s">
        <v>5115</v>
      </c>
      <c r="S605" s="20" t="s">
        <v>5125</v>
      </c>
      <c r="T605" s="20" t="s">
        <v>5117</v>
      </c>
    </row>
    <row r="606" spans="1:20" x14ac:dyDescent="0.2">
      <c r="A606" s="20" t="s">
        <v>31</v>
      </c>
      <c r="F606" s="20" t="s">
        <v>933</v>
      </c>
      <c r="G606" s="20" t="s">
        <v>934</v>
      </c>
      <c r="K606" s="20" t="s">
        <v>7146</v>
      </c>
      <c r="L606" s="20" t="s">
        <v>5118</v>
      </c>
      <c r="M606" s="20" t="s">
        <v>5119</v>
      </c>
      <c r="N606" s="20" t="s">
        <v>5120</v>
      </c>
      <c r="O606" s="20" t="s">
        <v>5121</v>
      </c>
      <c r="P606" s="20" t="s">
        <v>5122</v>
      </c>
      <c r="Q606" s="20" t="s">
        <v>5123</v>
      </c>
      <c r="R606" s="20" t="s">
        <v>5124</v>
      </c>
      <c r="S606" s="20" t="s">
        <v>5134</v>
      </c>
      <c r="T606" s="20" t="s">
        <v>5126</v>
      </c>
    </row>
    <row r="607" spans="1:20" x14ac:dyDescent="0.2">
      <c r="A607" s="20" t="s">
        <v>31</v>
      </c>
      <c r="F607" s="20" t="s">
        <v>935</v>
      </c>
      <c r="G607" s="20" t="s">
        <v>44</v>
      </c>
      <c r="K607" s="20" t="s">
        <v>7147</v>
      </c>
      <c r="L607" s="20" t="s">
        <v>5127</v>
      </c>
      <c r="M607" s="20" t="s">
        <v>5128</v>
      </c>
      <c r="N607" s="20" t="s">
        <v>5129</v>
      </c>
      <c r="O607" s="20" t="s">
        <v>5130</v>
      </c>
      <c r="P607" s="20" t="s">
        <v>5131</v>
      </c>
      <c r="Q607" s="20" t="s">
        <v>5132</v>
      </c>
      <c r="R607" s="20" t="s">
        <v>5133</v>
      </c>
      <c r="S607" s="20" t="s">
        <v>5143</v>
      </c>
      <c r="T607" s="20" t="s">
        <v>5135</v>
      </c>
    </row>
    <row r="608" spans="1:20" x14ac:dyDescent="0.2">
      <c r="A608" s="20" t="s">
        <v>31</v>
      </c>
      <c r="F608" s="20" t="s">
        <v>936</v>
      </c>
      <c r="G608" s="20" t="s">
        <v>937</v>
      </c>
      <c r="K608" s="20" t="s">
        <v>7148</v>
      </c>
      <c r="L608" s="20" t="s">
        <v>5136</v>
      </c>
      <c r="M608" s="20" t="s">
        <v>5137</v>
      </c>
      <c r="N608" s="20" t="s">
        <v>5138</v>
      </c>
      <c r="O608" s="20" t="s">
        <v>5139</v>
      </c>
      <c r="P608" s="20" t="s">
        <v>5140</v>
      </c>
      <c r="Q608" s="20" t="s">
        <v>5141</v>
      </c>
      <c r="R608" s="20" t="s">
        <v>5142</v>
      </c>
      <c r="S608" s="20" t="s">
        <v>5152</v>
      </c>
      <c r="T608" s="20" t="s">
        <v>5144</v>
      </c>
    </row>
    <row r="609" spans="1:20" x14ac:dyDescent="0.2">
      <c r="A609" s="20" t="s">
        <v>31</v>
      </c>
      <c r="F609" s="20" t="s">
        <v>938</v>
      </c>
      <c r="G609" s="20" t="s">
        <v>939</v>
      </c>
      <c r="K609" s="20" t="s">
        <v>7149</v>
      </c>
      <c r="L609" s="20" t="s">
        <v>5145</v>
      </c>
      <c r="M609" s="20" t="s">
        <v>5146</v>
      </c>
      <c r="N609" s="20" t="s">
        <v>5147</v>
      </c>
      <c r="O609" s="20" t="s">
        <v>5148</v>
      </c>
      <c r="P609" s="20" t="s">
        <v>5149</v>
      </c>
      <c r="Q609" s="20" t="s">
        <v>5150</v>
      </c>
      <c r="R609" s="20" t="s">
        <v>5151</v>
      </c>
      <c r="S609" s="20" t="s">
        <v>5161</v>
      </c>
      <c r="T609" s="20" t="s">
        <v>5153</v>
      </c>
    </row>
    <row r="610" spans="1:20" x14ac:dyDescent="0.2">
      <c r="A610" s="20" t="s">
        <v>31</v>
      </c>
      <c r="F610" s="20" t="s">
        <v>940</v>
      </c>
      <c r="G610" s="20" t="s">
        <v>941</v>
      </c>
      <c r="K610" s="20" t="s">
        <v>7150</v>
      </c>
      <c r="L610" s="20" t="s">
        <v>5154</v>
      </c>
      <c r="M610" s="20" t="s">
        <v>5155</v>
      </c>
      <c r="N610" s="20" t="s">
        <v>5156</v>
      </c>
      <c r="O610" s="20" t="s">
        <v>5157</v>
      </c>
      <c r="P610" s="20" t="s">
        <v>5158</v>
      </c>
      <c r="Q610" s="20" t="s">
        <v>5159</v>
      </c>
      <c r="R610" s="20" t="s">
        <v>5160</v>
      </c>
      <c r="S610" s="20" t="s">
        <v>5170</v>
      </c>
      <c r="T610" s="20" t="s">
        <v>5162</v>
      </c>
    </row>
    <row r="611" spans="1:20" x14ac:dyDescent="0.2">
      <c r="A611" s="20" t="s">
        <v>31</v>
      </c>
      <c r="F611" s="20" t="s">
        <v>942</v>
      </c>
      <c r="G611" s="20" t="s">
        <v>943</v>
      </c>
      <c r="K611" s="20" t="s">
        <v>7151</v>
      </c>
      <c r="L611" s="20" t="s">
        <v>5163</v>
      </c>
      <c r="M611" s="20" t="s">
        <v>5164</v>
      </c>
      <c r="N611" s="20" t="s">
        <v>5165</v>
      </c>
      <c r="O611" s="20" t="s">
        <v>5166</v>
      </c>
      <c r="P611" s="20" t="s">
        <v>5167</v>
      </c>
      <c r="Q611" s="20" t="s">
        <v>5168</v>
      </c>
      <c r="R611" s="20" t="s">
        <v>5169</v>
      </c>
      <c r="S611" s="20" t="s">
        <v>5179</v>
      </c>
      <c r="T611" s="20" t="s">
        <v>5171</v>
      </c>
    </row>
    <row r="612" spans="1:20" x14ac:dyDescent="0.2">
      <c r="A612" s="20" t="s">
        <v>31</v>
      </c>
      <c r="F612" s="20" t="s">
        <v>944</v>
      </c>
      <c r="G612" s="20" t="s">
        <v>45</v>
      </c>
      <c r="K612" s="20" t="s">
        <v>7152</v>
      </c>
      <c r="L612" s="20" t="s">
        <v>5172</v>
      </c>
      <c r="M612" s="20" t="s">
        <v>5173</v>
      </c>
      <c r="N612" s="20" t="s">
        <v>5174</v>
      </c>
      <c r="O612" s="20" t="s">
        <v>5175</v>
      </c>
      <c r="P612" s="20" t="s">
        <v>5176</v>
      </c>
      <c r="Q612" s="20" t="s">
        <v>5177</v>
      </c>
      <c r="R612" s="20" t="s">
        <v>5178</v>
      </c>
      <c r="S612" s="20" t="s">
        <v>5188</v>
      </c>
      <c r="T612" s="20" t="s">
        <v>5180</v>
      </c>
    </row>
    <row r="613" spans="1:20" x14ac:dyDescent="0.2">
      <c r="A613" s="20" t="s">
        <v>31</v>
      </c>
      <c r="F613" s="20" t="s">
        <v>945</v>
      </c>
      <c r="G613" s="20" t="s">
        <v>946</v>
      </c>
      <c r="K613" s="20" t="s">
        <v>7153</v>
      </c>
      <c r="L613" s="20" t="s">
        <v>5181</v>
      </c>
      <c r="M613" s="20" t="s">
        <v>5182</v>
      </c>
      <c r="N613" s="20" t="s">
        <v>5183</v>
      </c>
      <c r="O613" s="20" t="s">
        <v>5184</v>
      </c>
      <c r="P613" s="20" t="s">
        <v>5185</v>
      </c>
      <c r="Q613" s="20" t="s">
        <v>5186</v>
      </c>
      <c r="R613" s="20" t="s">
        <v>5187</v>
      </c>
      <c r="S613" s="20" t="s">
        <v>5197</v>
      </c>
      <c r="T613" s="20" t="s">
        <v>5189</v>
      </c>
    </row>
    <row r="614" spans="1:20" x14ac:dyDescent="0.2">
      <c r="A614" s="20" t="s">
        <v>31</v>
      </c>
      <c r="F614" s="20" t="s">
        <v>947</v>
      </c>
      <c r="G614" s="20" t="s">
        <v>948</v>
      </c>
      <c r="K614" s="20" t="s">
        <v>7154</v>
      </c>
      <c r="L614" s="20" t="s">
        <v>5190</v>
      </c>
      <c r="M614" s="20" t="s">
        <v>5191</v>
      </c>
      <c r="N614" s="20" t="s">
        <v>5192</v>
      </c>
      <c r="O614" s="20" t="s">
        <v>5193</v>
      </c>
      <c r="P614" s="20" t="s">
        <v>5194</v>
      </c>
      <c r="Q614" s="20" t="s">
        <v>5195</v>
      </c>
      <c r="R614" s="20" t="s">
        <v>5196</v>
      </c>
      <c r="S614" s="20" t="s">
        <v>5206</v>
      </c>
      <c r="T614" s="20" t="s">
        <v>5198</v>
      </c>
    </row>
    <row r="615" spans="1:20" x14ac:dyDescent="0.2">
      <c r="A615" s="20" t="s">
        <v>31</v>
      </c>
      <c r="F615" s="20" t="s">
        <v>949</v>
      </c>
      <c r="G615" s="20" t="s">
        <v>950</v>
      </c>
      <c r="K615" s="20" t="s">
        <v>7155</v>
      </c>
      <c r="L615" s="20" t="s">
        <v>5199</v>
      </c>
      <c r="M615" s="20" t="s">
        <v>5200</v>
      </c>
      <c r="N615" s="20" t="s">
        <v>5201</v>
      </c>
      <c r="O615" s="20" t="s">
        <v>5202</v>
      </c>
      <c r="P615" s="20" t="s">
        <v>5203</v>
      </c>
      <c r="Q615" s="20" t="s">
        <v>5204</v>
      </c>
      <c r="R615" s="20" t="s">
        <v>5205</v>
      </c>
      <c r="S615" s="20" t="s">
        <v>5215</v>
      </c>
      <c r="T615" s="20" t="s">
        <v>5207</v>
      </c>
    </row>
    <row r="616" spans="1:20" x14ac:dyDescent="0.2">
      <c r="A616" s="20" t="s">
        <v>31</v>
      </c>
      <c r="F616" s="20" t="s">
        <v>951</v>
      </c>
      <c r="G616" s="20" t="s">
        <v>952</v>
      </c>
      <c r="K616" s="20" t="s">
        <v>7156</v>
      </c>
      <c r="L616" s="20" t="s">
        <v>5208</v>
      </c>
      <c r="M616" s="20" t="s">
        <v>5209</v>
      </c>
      <c r="N616" s="20" t="s">
        <v>5210</v>
      </c>
      <c r="O616" s="20" t="s">
        <v>5211</v>
      </c>
      <c r="P616" s="20" t="s">
        <v>5212</v>
      </c>
      <c r="Q616" s="20" t="s">
        <v>5213</v>
      </c>
      <c r="R616" s="20" t="s">
        <v>5214</v>
      </c>
      <c r="S616" s="20" t="s">
        <v>5224</v>
      </c>
      <c r="T616" s="20" t="s">
        <v>5216</v>
      </c>
    </row>
    <row r="617" spans="1:20" x14ac:dyDescent="0.2">
      <c r="A617" s="20" t="s">
        <v>31</v>
      </c>
      <c r="F617" s="20" t="s">
        <v>953</v>
      </c>
      <c r="G617" s="20" t="s">
        <v>46</v>
      </c>
      <c r="K617" s="20" t="s">
        <v>7157</v>
      </c>
      <c r="L617" s="20" t="s">
        <v>5217</v>
      </c>
      <c r="M617" s="20" t="s">
        <v>5218</v>
      </c>
      <c r="N617" s="20" t="s">
        <v>5219</v>
      </c>
      <c r="O617" s="20" t="s">
        <v>5220</v>
      </c>
      <c r="P617" s="20" t="s">
        <v>5221</v>
      </c>
      <c r="Q617" s="20" t="s">
        <v>5222</v>
      </c>
      <c r="R617" s="20" t="s">
        <v>5223</v>
      </c>
      <c r="S617" s="20" t="s">
        <v>5233</v>
      </c>
      <c r="T617" s="20" t="s">
        <v>5225</v>
      </c>
    </row>
    <row r="618" spans="1:20" x14ac:dyDescent="0.2">
      <c r="A618" s="20" t="s">
        <v>31</v>
      </c>
      <c r="F618" s="20" t="s">
        <v>954</v>
      </c>
      <c r="G618" s="20" t="s">
        <v>955</v>
      </c>
      <c r="K618" s="20" t="s">
        <v>7158</v>
      </c>
      <c r="L618" s="20" t="s">
        <v>5226</v>
      </c>
      <c r="M618" s="20" t="s">
        <v>5227</v>
      </c>
      <c r="N618" s="20" t="s">
        <v>5228</v>
      </c>
      <c r="O618" s="20" t="s">
        <v>5229</v>
      </c>
      <c r="P618" s="20" t="s">
        <v>5230</v>
      </c>
      <c r="Q618" s="20" t="s">
        <v>5231</v>
      </c>
      <c r="R618" s="20" t="s">
        <v>5232</v>
      </c>
      <c r="S618" s="20" t="s">
        <v>5242</v>
      </c>
      <c r="T618" s="20" t="s">
        <v>5234</v>
      </c>
    </row>
    <row r="619" spans="1:20" x14ac:dyDescent="0.2">
      <c r="A619" s="20" t="s">
        <v>31</v>
      </c>
      <c r="F619" s="20" t="s">
        <v>956</v>
      </c>
      <c r="G619" s="20" t="s">
        <v>957</v>
      </c>
      <c r="K619" s="20" t="s">
        <v>7159</v>
      </c>
      <c r="L619" s="20" t="s">
        <v>5235</v>
      </c>
      <c r="M619" s="20" t="s">
        <v>5236</v>
      </c>
      <c r="N619" s="20" t="s">
        <v>5237</v>
      </c>
      <c r="O619" s="20" t="s">
        <v>5238</v>
      </c>
      <c r="P619" s="20" t="s">
        <v>5239</v>
      </c>
      <c r="Q619" s="20" t="s">
        <v>5240</v>
      </c>
      <c r="R619" s="20" t="s">
        <v>5241</v>
      </c>
      <c r="S619" s="20" t="s">
        <v>5251</v>
      </c>
      <c r="T619" s="20" t="s">
        <v>5243</v>
      </c>
    </row>
    <row r="620" spans="1:20" x14ac:dyDescent="0.2">
      <c r="A620" s="20" t="s">
        <v>31</v>
      </c>
      <c r="F620" s="20" t="s">
        <v>958</v>
      </c>
      <c r="G620" s="20" t="s">
        <v>959</v>
      </c>
      <c r="K620" s="20" t="s">
        <v>7160</v>
      </c>
      <c r="L620" s="20" t="s">
        <v>5244</v>
      </c>
      <c r="M620" s="20" t="s">
        <v>5245</v>
      </c>
      <c r="N620" s="20" t="s">
        <v>5246</v>
      </c>
      <c r="O620" s="20" t="s">
        <v>5247</v>
      </c>
      <c r="P620" s="20" t="s">
        <v>5248</v>
      </c>
      <c r="Q620" s="20" t="s">
        <v>5249</v>
      </c>
      <c r="R620" s="20" t="s">
        <v>5250</v>
      </c>
      <c r="S620" s="20" t="s">
        <v>5260</v>
      </c>
      <c r="T620" s="20" t="s">
        <v>5252</v>
      </c>
    </row>
    <row r="621" spans="1:20" x14ac:dyDescent="0.2">
      <c r="A621" s="20" t="s">
        <v>31</v>
      </c>
      <c r="F621" s="20" t="s">
        <v>960</v>
      </c>
      <c r="G621" s="20" t="s">
        <v>961</v>
      </c>
      <c r="K621" s="20" t="s">
        <v>7161</v>
      </c>
      <c r="L621" s="20" t="s">
        <v>5253</v>
      </c>
      <c r="M621" s="20" t="s">
        <v>5254</v>
      </c>
      <c r="N621" s="20" t="s">
        <v>5255</v>
      </c>
      <c r="O621" s="20" t="s">
        <v>5256</v>
      </c>
      <c r="P621" s="20" t="s">
        <v>5257</v>
      </c>
      <c r="Q621" s="20" t="s">
        <v>5258</v>
      </c>
      <c r="R621" s="20" t="s">
        <v>5259</v>
      </c>
      <c r="S621" s="20" t="s">
        <v>5269</v>
      </c>
      <c r="T621" s="20" t="s">
        <v>5261</v>
      </c>
    </row>
    <row r="622" spans="1:20" x14ac:dyDescent="0.2">
      <c r="A622" s="20" t="s">
        <v>31</v>
      </c>
      <c r="F622" s="20" t="s">
        <v>962</v>
      </c>
      <c r="G622" s="20" t="s">
        <v>47</v>
      </c>
      <c r="K622" s="20" t="s">
        <v>7162</v>
      </c>
      <c r="L622" s="20" t="s">
        <v>5262</v>
      </c>
      <c r="M622" s="20" t="s">
        <v>5263</v>
      </c>
      <c r="N622" s="20" t="s">
        <v>5264</v>
      </c>
      <c r="O622" s="20" t="s">
        <v>5265</v>
      </c>
      <c r="P622" s="20" t="s">
        <v>5266</v>
      </c>
      <c r="Q622" s="20" t="s">
        <v>5267</v>
      </c>
      <c r="R622" s="20" t="s">
        <v>5268</v>
      </c>
      <c r="S622" s="20" t="s">
        <v>5278</v>
      </c>
      <c r="T622" s="20" t="s">
        <v>5270</v>
      </c>
    </row>
    <row r="623" spans="1:20" x14ac:dyDescent="0.2">
      <c r="A623" s="20" t="s">
        <v>31</v>
      </c>
      <c r="F623" s="20" t="s">
        <v>963</v>
      </c>
      <c r="G623" s="20" t="s">
        <v>964</v>
      </c>
      <c r="K623" s="20" t="s">
        <v>7163</v>
      </c>
      <c r="L623" s="20" t="s">
        <v>5271</v>
      </c>
      <c r="M623" s="20" t="s">
        <v>5272</v>
      </c>
      <c r="N623" s="20" t="s">
        <v>5273</v>
      </c>
      <c r="O623" s="20" t="s">
        <v>5274</v>
      </c>
      <c r="P623" s="20" t="s">
        <v>5275</v>
      </c>
      <c r="Q623" s="20" t="s">
        <v>5276</v>
      </c>
      <c r="R623" s="20" t="s">
        <v>5277</v>
      </c>
      <c r="S623" s="20" t="s">
        <v>5287</v>
      </c>
      <c r="T623" s="20" t="s">
        <v>5279</v>
      </c>
    </row>
    <row r="624" spans="1:20" x14ac:dyDescent="0.2">
      <c r="A624" s="20" t="s">
        <v>31</v>
      </c>
      <c r="F624" s="20" t="s">
        <v>965</v>
      </c>
      <c r="G624" s="20" t="s">
        <v>966</v>
      </c>
      <c r="K624" s="20" t="s">
        <v>7164</v>
      </c>
      <c r="L624" s="20" t="s">
        <v>5280</v>
      </c>
      <c r="M624" s="20" t="s">
        <v>5281</v>
      </c>
      <c r="N624" s="20" t="s">
        <v>5282</v>
      </c>
      <c r="O624" s="20" t="s">
        <v>5283</v>
      </c>
      <c r="P624" s="20" t="s">
        <v>5284</v>
      </c>
      <c r="Q624" s="20" t="s">
        <v>5285</v>
      </c>
      <c r="R624" s="20" t="s">
        <v>5286</v>
      </c>
      <c r="S624" s="20" t="s">
        <v>5296</v>
      </c>
      <c r="T624" s="20" t="s">
        <v>5288</v>
      </c>
    </row>
    <row r="625" spans="1:20" x14ac:dyDescent="0.2">
      <c r="A625" s="20" t="s">
        <v>31</v>
      </c>
      <c r="F625" s="20" t="s">
        <v>967</v>
      </c>
      <c r="G625" s="20" t="s">
        <v>968</v>
      </c>
      <c r="K625" s="20" t="s">
        <v>7165</v>
      </c>
      <c r="L625" s="20" t="s">
        <v>5289</v>
      </c>
      <c r="M625" s="20" t="s">
        <v>5290</v>
      </c>
      <c r="N625" s="20" t="s">
        <v>5291</v>
      </c>
      <c r="O625" s="20" t="s">
        <v>5292</v>
      </c>
      <c r="P625" s="20" t="s">
        <v>5293</v>
      </c>
      <c r="Q625" s="20" t="s">
        <v>5294</v>
      </c>
      <c r="R625" s="20" t="s">
        <v>5295</v>
      </c>
      <c r="S625" s="20" t="s">
        <v>6652</v>
      </c>
      <c r="T625" s="20" t="s">
        <v>5297</v>
      </c>
    </row>
    <row r="626" spans="1:20" x14ac:dyDescent="0.2">
      <c r="A626" s="20" t="s">
        <v>31</v>
      </c>
      <c r="F626" s="20" t="s">
        <v>920</v>
      </c>
      <c r="G626" s="20" t="s">
        <v>921</v>
      </c>
    </row>
    <row r="627" spans="1:20" x14ac:dyDescent="0.2">
      <c r="A627" s="20" t="s">
        <v>31</v>
      </c>
      <c r="I627" s="20" t="s">
        <v>6523</v>
      </c>
      <c r="T627" s="20" t="s">
        <v>6524</v>
      </c>
    </row>
    <row r="628" spans="1:20" x14ac:dyDescent="0.2">
      <c r="A628" s="20" t="s">
        <v>31</v>
      </c>
    </row>
    <row r="629" spans="1:20" x14ac:dyDescent="0.2">
      <c r="A629" s="20" t="s">
        <v>31</v>
      </c>
      <c r="D629" s="20" t="s">
        <v>5687</v>
      </c>
      <c r="E629" s="20" t="s">
        <v>5688</v>
      </c>
      <c r="F629" s="20" t="s">
        <v>6249</v>
      </c>
      <c r="G629" s="20" t="s">
        <v>6525</v>
      </c>
      <c r="I629" s="20" t="s">
        <v>6526</v>
      </c>
      <c r="J629" s="20" t="s">
        <v>6527</v>
      </c>
    </row>
    <row r="630" spans="1:20" x14ac:dyDescent="0.2">
      <c r="A630" s="20" t="s">
        <v>31</v>
      </c>
      <c r="F630" s="20" t="s">
        <v>6528</v>
      </c>
      <c r="G630" s="20" t="s">
        <v>6526</v>
      </c>
      <c r="K630" s="20" t="s">
        <v>6529</v>
      </c>
      <c r="L630" s="20" t="s">
        <v>6530</v>
      </c>
      <c r="M630" s="20" t="s">
        <v>6531</v>
      </c>
      <c r="N630" s="20" t="s">
        <v>6532</v>
      </c>
      <c r="O630" s="20" t="s">
        <v>6533</v>
      </c>
      <c r="P630" s="20" t="s">
        <v>6534</v>
      </c>
      <c r="Q630" s="20" t="s">
        <v>6535</v>
      </c>
      <c r="R630" s="20" t="s">
        <v>6536</v>
      </c>
      <c r="S630" s="20" t="s">
        <v>6537</v>
      </c>
      <c r="T630" s="20" t="s">
        <v>6538</v>
      </c>
    </row>
    <row r="631" spans="1:20" x14ac:dyDescent="0.2">
      <c r="A631" s="20" t="s">
        <v>31</v>
      </c>
      <c r="F631" s="20" t="s">
        <v>6539</v>
      </c>
      <c r="G631" s="20" t="s">
        <v>6540</v>
      </c>
      <c r="K631" s="20" t="s">
        <v>6541</v>
      </c>
      <c r="L631" s="20" t="s">
        <v>6542</v>
      </c>
      <c r="M631" s="20" t="s">
        <v>6543</v>
      </c>
      <c r="N631" s="20" t="s">
        <v>6544</v>
      </c>
      <c r="O631" s="20" t="s">
        <v>6545</v>
      </c>
      <c r="P631" s="20" t="s">
        <v>6546</v>
      </c>
      <c r="Q631" s="20" t="s">
        <v>6547</v>
      </c>
      <c r="R631" s="20" t="s">
        <v>6548</v>
      </c>
      <c r="S631" s="20" t="s">
        <v>6559</v>
      </c>
      <c r="T631" s="20" t="s">
        <v>6549</v>
      </c>
    </row>
    <row r="632" spans="1:20" x14ac:dyDescent="0.2">
      <c r="A632" s="20" t="s">
        <v>31</v>
      </c>
      <c r="F632" s="20" t="s">
        <v>6550</v>
      </c>
      <c r="G632" s="20" t="s">
        <v>6551</v>
      </c>
      <c r="K632" s="20" t="s">
        <v>7166</v>
      </c>
      <c r="L632" s="20" t="s">
        <v>6552</v>
      </c>
      <c r="M632" s="20" t="s">
        <v>6553</v>
      </c>
      <c r="N632" s="20" t="s">
        <v>6554</v>
      </c>
      <c r="O632" s="20" t="s">
        <v>6555</v>
      </c>
      <c r="P632" s="20" t="s">
        <v>6556</v>
      </c>
      <c r="Q632" s="20" t="s">
        <v>6557</v>
      </c>
      <c r="R632" s="20" t="s">
        <v>6558</v>
      </c>
      <c r="S632" s="20" t="s">
        <v>6570</v>
      </c>
      <c r="T632" s="20" t="s">
        <v>6560</v>
      </c>
    </row>
    <row r="633" spans="1:20" x14ac:dyDescent="0.2">
      <c r="A633" s="20" t="s">
        <v>31</v>
      </c>
      <c r="F633" s="20" t="s">
        <v>6561</v>
      </c>
      <c r="G633" s="20" t="s">
        <v>6562</v>
      </c>
      <c r="K633" s="20" t="s">
        <v>7167</v>
      </c>
      <c r="L633" s="20" t="s">
        <v>6563</v>
      </c>
      <c r="M633" s="20" t="s">
        <v>6564</v>
      </c>
      <c r="N633" s="20" t="s">
        <v>6565</v>
      </c>
      <c r="O633" s="20" t="s">
        <v>6566</v>
      </c>
      <c r="P633" s="20" t="s">
        <v>6567</v>
      </c>
      <c r="Q633" s="20" t="s">
        <v>6568</v>
      </c>
      <c r="R633" s="20" t="s">
        <v>6569</v>
      </c>
      <c r="S633" s="20" t="s">
        <v>6572</v>
      </c>
      <c r="T633" s="20" t="s">
        <v>6571</v>
      </c>
    </row>
    <row r="634" spans="1:20" x14ac:dyDescent="0.2">
      <c r="A634" s="20" t="s">
        <v>31</v>
      </c>
      <c r="F634" s="20" t="s">
        <v>969</v>
      </c>
      <c r="G634" s="20" t="s">
        <v>970</v>
      </c>
      <c r="K634" s="20" t="s">
        <v>7168</v>
      </c>
      <c r="L634" s="20" t="s">
        <v>5298</v>
      </c>
      <c r="M634" s="20" t="s">
        <v>5299</v>
      </c>
      <c r="N634" s="20" t="s">
        <v>5300</v>
      </c>
      <c r="O634" s="20" t="s">
        <v>5301</v>
      </c>
      <c r="P634" s="20" t="s">
        <v>5302</v>
      </c>
      <c r="Q634" s="20" t="s">
        <v>5303</v>
      </c>
      <c r="R634" s="20" t="s">
        <v>5304</v>
      </c>
      <c r="S634" s="20" t="s">
        <v>5313</v>
      </c>
      <c r="T634" s="20" t="s">
        <v>5305</v>
      </c>
    </row>
    <row r="635" spans="1:20" x14ac:dyDescent="0.2">
      <c r="A635" s="20" t="s">
        <v>31</v>
      </c>
      <c r="F635" s="20" t="s">
        <v>971</v>
      </c>
      <c r="G635" s="20" t="s">
        <v>972</v>
      </c>
      <c r="K635" s="20" t="s">
        <v>7169</v>
      </c>
      <c r="L635" s="20" t="s">
        <v>5306</v>
      </c>
      <c r="M635" s="20" t="s">
        <v>5307</v>
      </c>
      <c r="N635" s="20" t="s">
        <v>5308</v>
      </c>
      <c r="O635" s="20" t="s">
        <v>5309</v>
      </c>
      <c r="P635" s="20" t="s">
        <v>5310</v>
      </c>
      <c r="Q635" s="20" t="s">
        <v>5311</v>
      </c>
      <c r="R635" s="20" t="s">
        <v>5312</v>
      </c>
      <c r="S635" s="20" t="s">
        <v>5322</v>
      </c>
      <c r="T635" s="20" t="s">
        <v>5314</v>
      </c>
    </row>
    <row r="636" spans="1:20" x14ac:dyDescent="0.2">
      <c r="A636" s="20" t="s">
        <v>31</v>
      </c>
      <c r="F636" s="20" t="s">
        <v>973</v>
      </c>
      <c r="G636" s="20" t="s">
        <v>974</v>
      </c>
      <c r="K636" s="20" t="s">
        <v>7170</v>
      </c>
      <c r="L636" s="20" t="s">
        <v>5315</v>
      </c>
      <c r="M636" s="20" t="s">
        <v>5316</v>
      </c>
      <c r="N636" s="20" t="s">
        <v>5317</v>
      </c>
      <c r="O636" s="20" t="s">
        <v>5318</v>
      </c>
      <c r="P636" s="20" t="s">
        <v>5319</v>
      </c>
      <c r="Q636" s="20" t="s">
        <v>5320</v>
      </c>
      <c r="R636" s="20" t="s">
        <v>5321</v>
      </c>
      <c r="S636" s="20" t="s">
        <v>5331</v>
      </c>
      <c r="T636" s="20" t="s">
        <v>5323</v>
      </c>
    </row>
    <row r="637" spans="1:20" x14ac:dyDescent="0.2">
      <c r="A637" s="20" t="s">
        <v>31</v>
      </c>
      <c r="F637" s="20" t="s">
        <v>975</v>
      </c>
      <c r="G637" s="20" t="s">
        <v>48</v>
      </c>
      <c r="K637" s="20" t="s">
        <v>7171</v>
      </c>
      <c r="L637" s="20" t="s">
        <v>5324</v>
      </c>
      <c r="M637" s="20" t="s">
        <v>5325</v>
      </c>
      <c r="N637" s="20" t="s">
        <v>5326</v>
      </c>
      <c r="O637" s="20" t="s">
        <v>5327</v>
      </c>
      <c r="P637" s="20" t="s">
        <v>5328</v>
      </c>
      <c r="Q637" s="20" t="s">
        <v>5329</v>
      </c>
      <c r="R637" s="20" t="s">
        <v>5330</v>
      </c>
      <c r="S637" s="20" t="s">
        <v>5340</v>
      </c>
      <c r="T637" s="20" t="s">
        <v>5332</v>
      </c>
    </row>
    <row r="638" spans="1:20" x14ac:dyDescent="0.2">
      <c r="A638" s="20" t="s">
        <v>31</v>
      </c>
      <c r="F638" s="20" t="s">
        <v>976</v>
      </c>
      <c r="G638" s="20" t="s">
        <v>977</v>
      </c>
      <c r="K638" s="20" t="s">
        <v>7172</v>
      </c>
      <c r="L638" s="20" t="s">
        <v>5333</v>
      </c>
      <c r="M638" s="20" t="s">
        <v>5334</v>
      </c>
      <c r="N638" s="20" t="s">
        <v>5335</v>
      </c>
      <c r="O638" s="20" t="s">
        <v>5336</v>
      </c>
      <c r="P638" s="20" t="s">
        <v>5337</v>
      </c>
      <c r="Q638" s="20" t="s">
        <v>5338</v>
      </c>
      <c r="R638" s="20" t="s">
        <v>5339</v>
      </c>
      <c r="S638" s="20" t="s">
        <v>5349</v>
      </c>
      <c r="T638" s="20" t="s">
        <v>5341</v>
      </c>
    </row>
    <row r="639" spans="1:20" x14ac:dyDescent="0.2">
      <c r="A639" s="20" t="s">
        <v>31</v>
      </c>
      <c r="F639" s="20" t="s">
        <v>978</v>
      </c>
      <c r="G639" s="20" t="s">
        <v>979</v>
      </c>
      <c r="K639" s="20" t="s">
        <v>7173</v>
      </c>
      <c r="L639" s="20" t="s">
        <v>5342</v>
      </c>
      <c r="M639" s="20" t="s">
        <v>5343</v>
      </c>
      <c r="N639" s="20" t="s">
        <v>5344</v>
      </c>
      <c r="O639" s="20" t="s">
        <v>5345</v>
      </c>
      <c r="P639" s="20" t="s">
        <v>5346</v>
      </c>
      <c r="Q639" s="20" t="s">
        <v>5347</v>
      </c>
      <c r="R639" s="20" t="s">
        <v>5348</v>
      </c>
      <c r="S639" s="20" t="s">
        <v>5358</v>
      </c>
      <c r="T639" s="20" t="s">
        <v>5350</v>
      </c>
    </row>
    <row r="640" spans="1:20" x14ac:dyDescent="0.2">
      <c r="A640" s="20" t="s">
        <v>31</v>
      </c>
      <c r="F640" s="20" t="s">
        <v>980</v>
      </c>
      <c r="G640" s="20" t="s">
        <v>981</v>
      </c>
      <c r="K640" s="20" t="s">
        <v>7174</v>
      </c>
      <c r="L640" s="20" t="s">
        <v>5351</v>
      </c>
      <c r="M640" s="20" t="s">
        <v>5352</v>
      </c>
      <c r="N640" s="20" t="s">
        <v>5353</v>
      </c>
      <c r="O640" s="20" t="s">
        <v>5354</v>
      </c>
      <c r="P640" s="20" t="s">
        <v>5355</v>
      </c>
      <c r="Q640" s="20" t="s">
        <v>5356</v>
      </c>
      <c r="R640" s="20" t="s">
        <v>5357</v>
      </c>
      <c r="S640" s="20" t="s">
        <v>5367</v>
      </c>
      <c r="T640" s="20" t="s">
        <v>5359</v>
      </c>
    </row>
    <row r="641" spans="1:20" x14ac:dyDescent="0.2">
      <c r="A641" s="20" t="s">
        <v>31</v>
      </c>
      <c r="F641" s="20" t="s">
        <v>982</v>
      </c>
      <c r="G641" s="20" t="s">
        <v>983</v>
      </c>
      <c r="K641" s="20" t="s">
        <v>7175</v>
      </c>
      <c r="L641" s="20" t="s">
        <v>5360</v>
      </c>
      <c r="M641" s="20" t="s">
        <v>5361</v>
      </c>
      <c r="N641" s="20" t="s">
        <v>5362</v>
      </c>
      <c r="O641" s="20" t="s">
        <v>5363</v>
      </c>
      <c r="P641" s="20" t="s">
        <v>5364</v>
      </c>
      <c r="Q641" s="20" t="s">
        <v>5365</v>
      </c>
      <c r="R641" s="20" t="s">
        <v>5366</v>
      </c>
      <c r="S641" s="20" t="s">
        <v>5376</v>
      </c>
      <c r="T641" s="20" t="s">
        <v>5368</v>
      </c>
    </row>
    <row r="642" spans="1:20" x14ac:dyDescent="0.2">
      <c r="A642" s="20" t="s">
        <v>31</v>
      </c>
      <c r="F642" s="20" t="s">
        <v>984</v>
      </c>
      <c r="G642" s="20" t="s">
        <v>49</v>
      </c>
      <c r="K642" s="20" t="s">
        <v>7176</v>
      </c>
      <c r="L642" s="20" t="s">
        <v>5369</v>
      </c>
      <c r="M642" s="20" t="s">
        <v>5370</v>
      </c>
      <c r="N642" s="20" t="s">
        <v>5371</v>
      </c>
      <c r="O642" s="20" t="s">
        <v>5372</v>
      </c>
      <c r="P642" s="20" t="s">
        <v>5373</v>
      </c>
      <c r="Q642" s="20" t="s">
        <v>5374</v>
      </c>
      <c r="R642" s="20" t="s">
        <v>5375</v>
      </c>
      <c r="S642" s="20" t="s">
        <v>5385</v>
      </c>
      <c r="T642" s="20" t="s">
        <v>5377</v>
      </c>
    </row>
    <row r="643" spans="1:20" x14ac:dyDescent="0.2">
      <c r="A643" s="20" t="s">
        <v>31</v>
      </c>
      <c r="F643" s="20" t="s">
        <v>985</v>
      </c>
      <c r="G643" s="20" t="s">
        <v>986</v>
      </c>
      <c r="K643" s="20" t="s">
        <v>7177</v>
      </c>
      <c r="L643" s="20" t="s">
        <v>5378</v>
      </c>
      <c r="M643" s="20" t="s">
        <v>5379</v>
      </c>
      <c r="N643" s="20" t="s">
        <v>5380</v>
      </c>
      <c r="O643" s="20" t="s">
        <v>5381</v>
      </c>
      <c r="P643" s="20" t="s">
        <v>5382</v>
      </c>
      <c r="Q643" s="20" t="s">
        <v>5383</v>
      </c>
      <c r="R643" s="20" t="s">
        <v>5384</v>
      </c>
      <c r="S643" s="20" t="s">
        <v>5394</v>
      </c>
      <c r="T643" s="20" t="s">
        <v>5386</v>
      </c>
    </row>
    <row r="644" spans="1:20" x14ac:dyDescent="0.2">
      <c r="A644" s="20" t="s">
        <v>31</v>
      </c>
      <c r="F644" s="20" t="s">
        <v>987</v>
      </c>
      <c r="G644" s="20" t="s">
        <v>988</v>
      </c>
      <c r="K644" s="20" t="s">
        <v>7178</v>
      </c>
      <c r="L644" s="20" t="s">
        <v>5387</v>
      </c>
      <c r="M644" s="20" t="s">
        <v>5388</v>
      </c>
      <c r="N644" s="20" t="s">
        <v>5389</v>
      </c>
      <c r="O644" s="20" t="s">
        <v>5390</v>
      </c>
      <c r="P644" s="20" t="s">
        <v>5391</v>
      </c>
      <c r="Q644" s="20" t="s">
        <v>5392</v>
      </c>
      <c r="R644" s="20" t="s">
        <v>5393</v>
      </c>
      <c r="S644" s="20" t="s">
        <v>5403</v>
      </c>
      <c r="T644" s="20" t="s">
        <v>5395</v>
      </c>
    </row>
    <row r="645" spans="1:20" x14ac:dyDescent="0.2">
      <c r="A645" s="20" t="s">
        <v>31</v>
      </c>
      <c r="F645" s="20" t="s">
        <v>989</v>
      </c>
      <c r="G645" s="20" t="s">
        <v>990</v>
      </c>
      <c r="K645" s="20" t="s">
        <v>7179</v>
      </c>
      <c r="L645" s="20" t="s">
        <v>5396</v>
      </c>
      <c r="M645" s="20" t="s">
        <v>5397</v>
      </c>
      <c r="N645" s="20" t="s">
        <v>5398</v>
      </c>
      <c r="O645" s="20" t="s">
        <v>5399</v>
      </c>
      <c r="P645" s="20" t="s">
        <v>5400</v>
      </c>
      <c r="Q645" s="20" t="s">
        <v>5401</v>
      </c>
      <c r="R645" s="20" t="s">
        <v>5402</v>
      </c>
      <c r="S645" s="20" t="s">
        <v>5412</v>
      </c>
      <c r="T645" s="20" t="s">
        <v>5404</v>
      </c>
    </row>
    <row r="646" spans="1:20" x14ac:dyDescent="0.2">
      <c r="A646" s="20" t="s">
        <v>31</v>
      </c>
      <c r="F646" s="20" t="s">
        <v>991</v>
      </c>
      <c r="G646" s="20" t="s">
        <v>992</v>
      </c>
      <c r="K646" s="20" t="s">
        <v>7180</v>
      </c>
      <c r="L646" s="20" t="s">
        <v>5405</v>
      </c>
      <c r="M646" s="20" t="s">
        <v>5406</v>
      </c>
      <c r="N646" s="20" t="s">
        <v>5407</v>
      </c>
      <c r="O646" s="20" t="s">
        <v>5408</v>
      </c>
      <c r="P646" s="20" t="s">
        <v>5409</v>
      </c>
      <c r="Q646" s="20" t="s">
        <v>5410</v>
      </c>
      <c r="R646" s="20" t="s">
        <v>5411</v>
      </c>
      <c r="S646" s="20" t="s">
        <v>5421</v>
      </c>
      <c r="T646" s="20" t="s">
        <v>5413</v>
      </c>
    </row>
    <row r="647" spans="1:20" x14ac:dyDescent="0.2">
      <c r="A647" s="20" t="s">
        <v>31</v>
      </c>
      <c r="F647" s="20" t="s">
        <v>993</v>
      </c>
      <c r="G647" s="20" t="s">
        <v>50</v>
      </c>
      <c r="K647" s="20" t="s">
        <v>7181</v>
      </c>
      <c r="L647" s="20" t="s">
        <v>5414</v>
      </c>
      <c r="M647" s="20" t="s">
        <v>5415</v>
      </c>
      <c r="N647" s="20" t="s">
        <v>5416</v>
      </c>
      <c r="O647" s="20" t="s">
        <v>5417</v>
      </c>
      <c r="P647" s="20" t="s">
        <v>5418</v>
      </c>
      <c r="Q647" s="20" t="s">
        <v>5419</v>
      </c>
      <c r="R647" s="20" t="s">
        <v>5420</v>
      </c>
      <c r="S647" s="20" t="s">
        <v>5430</v>
      </c>
      <c r="T647" s="20" t="s">
        <v>5422</v>
      </c>
    </row>
    <row r="648" spans="1:20" x14ac:dyDescent="0.2">
      <c r="A648" s="20" t="s">
        <v>31</v>
      </c>
      <c r="F648" s="20" t="s">
        <v>994</v>
      </c>
      <c r="G648" s="20" t="s">
        <v>995</v>
      </c>
      <c r="K648" s="20" t="s">
        <v>7182</v>
      </c>
      <c r="L648" s="20" t="s">
        <v>5423</v>
      </c>
      <c r="M648" s="20" t="s">
        <v>5424</v>
      </c>
      <c r="N648" s="20" t="s">
        <v>5425</v>
      </c>
      <c r="O648" s="20" t="s">
        <v>5426</v>
      </c>
      <c r="P648" s="20" t="s">
        <v>5427</v>
      </c>
      <c r="Q648" s="20" t="s">
        <v>5428</v>
      </c>
      <c r="R648" s="20" t="s">
        <v>5429</v>
      </c>
      <c r="S648" s="20" t="s">
        <v>5439</v>
      </c>
      <c r="T648" s="20" t="s">
        <v>5431</v>
      </c>
    </row>
    <row r="649" spans="1:20" x14ac:dyDescent="0.2">
      <c r="A649" s="20" t="s">
        <v>31</v>
      </c>
      <c r="F649" s="20" t="s">
        <v>996</v>
      </c>
      <c r="G649" s="20" t="s">
        <v>997</v>
      </c>
      <c r="K649" s="20" t="s">
        <v>7183</v>
      </c>
      <c r="L649" s="20" t="s">
        <v>5432</v>
      </c>
      <c r="M649" s="20" t="s">
        <v>5433</v>
      </c>
      <c r="N649" s="20" t="s">
        <v>5434</v>
      </c>
      <c r="O649" s="20" t="s">
        <v>5435</v>
      </c>
      <c r="P649" s="20" t="s">
        <v>5436</v>
      </c>
      <c r="Q649" s="20" t="s">
        <v>5437</v>
      </c>
      <c r="R649" s="20" t="s">
        <v>5438</v>
      </c>
      <c r="S649" s="20" t="s">
        <v>5448</v>
      </c>
      <c r="T649" s="20" t="s">
        <v>5440</v>
      </c>
    </row>
    <row r="650" spans="1:20" x14ac:dyDescent="0.2">
      <c r="A650" s="20" t="s">
        <v>31</v>
      </c>
      <c r="F650" s="20" t="s">
        <v>998</v>
      </c>
      <c r="G650" s="20" t="s">
        <v>999</v>
      </c>
      <c r="K650" s="20" t="s">
        <v>7184</v>
      </c>
      <c r="L650" s="20" t="s">
        <v>5441</v>
      </c>
      <c r="M650" s="20" t="s">
        <v>5442</v>
      </c>
      <c r="N650" s="20" t="s">
        <v>5443</v>
      </c>
      <c r="O650" s="20" t="s">
        <v>5444</v>
      </c>
      <c r="P650" s="20" t="s">
        <v>5445</v>
      </c>
      <c r="Q650" s="20" t="s">
        <v>5446</v>
      </c>
      <c r="R650" s="20" t="s">
        <v>5447</v>
      </c>
      <c r="S650" s="20" t="s">
        <v>5457</v>
      </c>
      <c r="T650" s="20" t="s">
        <v>5449</v>
      </c>
    </row>
    <row r="651" spans="1:20" x14ac:dyDescent="0.2">
      <c r="A651" s="20" t="s">
        <v>31</v>
      </c>
      <c r="F651" s="20" t="s">
        <v>1000</v>
      </c>
      <c r="G651" s="20" t="s">
        <v>1001</v>
      </c>
      <c r="K651" s="20" t="s">
        <v>7185</v>
      </c>
      <c r="L651" s="20" t="s">
        <v>5450</v>
      </c>
      <c r="M651" s="20" t="s">
        <v>5451</v>
      </c>
      <c r="N651" s="20" t="s">
        <v>5452</v>
      </c>
      <c r="O651" s="20" t="s">
        <v>5453</v>
      </c>
      <c r="P651" s="20" t="s">
        <v>5454</v>
      </c>
      <c r="Q651" s="20" t="s">
        <v>5455</v>
      </c>
      <c r="R651" s="20" t="s">
        <v>5456</v>
      </c>
      <c r="S651" s="20" t="s">
        <v>5466</v>
      </c>
      <c r="T651" s="20" t="s">
        <v>5458</v>
      </c>
    </row>
    <row r="652" spans="1:20" x14ac:dyDescent="0.2">
      <c r="A652" s="20" t="s">
        <v>31</v>
      </c>
      <c r="F652" s="20" t="s">
        <v>1002</v>
      </c>
      <c r="G652" s="20" t="s">
        <v>51</v>
      </c>
      <c r="K652" s="20" t="s">
        <v>7186</v>
      </c>
      <c r="L652" s="20" t="s">
        <v>5459</v>
      </c>
      <c r="M652" s="20" t="s">
        <v>5460</v>
      </c>
      <c r="N652" s="20" t="s">
        <v>5461</v>
      </c>
      <c r="O652" s="20" t="s">
        <v>5462</v>
      </c>
      <c r="P652" s="20" t="s">
        <v>5463</v>
      </c>
      <c r="Q652" s="20" t="s">
        <v>5464</v>
      </c>
      <c r="R652" s="20" t="s">
        <v>5465</v>
      </c>
      <c r="S652" s="20" t="s">
        <v>5475</v>
      </c>
      <c r="T652" s="20" t="s">
        <v>5467</v>
      </c>
    </row>
    <row r="653" spans="1:20" x14ac:dyDescent="0.2">
      <c r="A653" s="20" t="s">
        <v>31</v>
      </c>
      <c r="F653" s="20" t="s">
        <v>1003</v>
      </c>
      <c r="G653" s="20" t="s">
        <v>1004</v>
      </c>
      <c r="K653" s="20" t="s">
        <v>7187</v>
      </c>
      <c r="L653" s="20" t="s">
        <v>5468</v>
      </c>
      <c r="M653" s="20" t="s">
        <v>5469</v>
      </c>
      <c r="N653" s="20" t="s">
        <v>5470</v>
      </c>
      <c r="O653" s="20" t="s">
        <v>5471</v>
      </c>
      <c r="P653" s="20" t="s">
        <v>5472</v>
      </c>
      <c r="Q653" s="20" t="s">
        <v>5473</v>
      </c>
      <c r="R653" s="20" t="s">
        <v>5474</v>
      </c>
      <c r="S653" s="20" t="s">
        <v>5484</v>
      </c>
      <c r="T653" s="20" t="s">
        <v>5476</v>
      </c>
    </row>
    <row r="654" spans="1:20" x14ac:dyDescent="0.2">
      <c r="A654" s="20" t="s">
        <v>31</v>
      </c>
      <c r="F654" s="20" t="s">
        <v>1005</v>
      </c>
      <c r="G654" s="20" t="s">
        <v>1006</v>
      </c>
      <c r="K654" s="20" t="s">
        <v>7188</v>
      </c>
      <c r="L654" s="20" t="s">
        <v>5477</v>
      </c>
      <c r="M654" s="20" t="s">
        <v>5478</v>
      </c>
      <c r="N654" s="20" t="s">
        <v>5479</v>
      </c>
      <c r="O654" s="20" t="s">
        <v>5480</v>
      </c>
      <c r="P654" s="20" t="s">
        <v>5481</v>
      </c>
      <c r="Q654" s="20" t="s">
        <v>5482</v>
      </c>
      <c r="R654" s="20" t="s">
        <v>5483</v>
      </c>
      <c r="S654" s="20" t="s">
        <v>5493</v>
      </c>
      <c r="T654" s="20" t="s">
        <v>5485</v>
      </c>
    </row>
    <row r="655" spans="1:20" x14ac:dyDescent="0.2">
      <c r="A655" s="20" t="s">
        <v>31</v>
      </c>
      <c r="F655" s="20" t="s">
        <v>1007</v>
      </c>
      <c r="G655" s="20" t="s">
        <v>1008</v>
      </c>
      <c r="K655" s="20" t="s">
        <v>7189</v>
      </c>
      <c r="L655" s="20" t="s">
        <v>5486</v>
      </c>
      <c r="M655" s="20" t="s">
        <v>5487</v>
      </c>
      <c r="N655" s="20" t="s">
        <v>5488</v>
      </c>
      <c r="O655" s="20" t="s">
        <v>5489</v>
      </c>
      <c r="P655" s="20" t="s">
        <v>5490</v>
      </c>
      <c r="Q655" s="20" t="s">
        <v>5491</v>
      </c>
      <c r="R655" s="20" t="s">
        <v>5492</v>
      </c>
      <c r="S655" s="20" t="s">
        <v>5925</v>
      </c>
      <c r="T655" s="20" t="s">
        <v>5494</v>
      </c>
    </row>
    <row r="656" spans="1:20" x14ac:dyDescent="0.2">
      <c r="A656" s="20" t="s">
        <v>31</v>
      </c>
      <c r="F656" s="20" t="s">
        <v>5916</v>
      </c>
      <c r="G656" s="20" t="s">
        <v>5917</v>
      </c>
      <c r="K656" s="20" t="s">
        <v>7190</v>
      </c>
      <c r="L656" s="20" t="s">
        <v>5918</v>
      </c>
      <c r="M656" s="20" t="s">
        <v>5919</v>
      </c>
      <c r="N656" s="20" t="s">
        <v>5920</v>
      </c>
      <c r="O656" s="20" t="s">
        <v>5921</v>
      </c>
      <c r="P656" s="20" t="s">
        <v>5922</v>
      </c>
      <c r="Q656" s="20" t="s">
        <v>5923</v>
      </c>
      <c r="R656" s="20" t="s">
        <v>5924</v>
      </c>
      <c r="S656" s="20" t="s">
        <v>5936</v>
      </c>
      <c r="T656" s="20" t="s">
        <v>5926</v>
      </c>
    </row>
    <row r="657" spans="1:20" x14ac:dyDescent="0.2">
      <c r="A657" s="20" t="s">
        <v>31</v>
      </c>
      <c r="F657" s="20" t="s">
        <v>5927</v>
      </c>
      <c r="G657" s="20" t="s">
        <v>5928</v>
      </c>
      <c r="K657" s="20" t="s">
        <v>7191</v>
      </c>
      <c r="L657" s="20" t="s">
        <v>5929</v>
      </c>
      <c r="M657" s="20" t="s">
        <v>5930</v>
      </c>
      <c r="N657" s="20" t="s">
        <v>5931</v>
      </c>
      <c r="O657" s="20" t="s">
        <v>5932</v>
      </c>
      <c r="P657" s="20" t="s">
        <v>5933</v>
      </c>
      <c r="Q657" s="20" t="s">
        <v>5934</v>
      </c>
      <c r="R657" s="20" t="s">
        <v>5935</v>
      </c>
      <c r="S657" s="20" t="s">
        <v>5947</v>
      </c>
      <c r="T657" s="20" t="s">
        <v>5937</v>
      </c>
    </row>
    <row r="658" spans="1:20" x14ac:dyDescent="0.2">
      <c r="A658" s="20" t="s">
        <v>31</v>
      </c>
      <c r="F658" s="20" t="s">
        <v>5938</v>
      </c>
      <c r="G658" s="20" t="s">
        <v>5939</v>
      </c>
      <c r="K658" s="20" t="s">
        <v>7192</v>
      </c>
      <c r="L658" s="20" t="s">
        <v>5940</v>
      </c>
      <c r="M658" s="20" t="s">
        <v>5941</v>
      </c>
      <c r="N658" s="20" t="s">
        <v>5942</v>
      </c>
      <c r="O658" s="20" t="s">
        <v>5943</v>
      </c>
      <c r="P658" s="20" t="s">
        <v>5944</v>
      </c>
      <c r="Q658" s="20" t="s">
        <v>5945</v>
      </c>
      <c r="R658" s="20" t="s">
        <v>5946</v>
      </c>
      <c r="S658" s="20" t="s">
        <v>5958</v>
      </c>
      <c r="T658" s="20" t="s">
        <v>5948</v>
      </c>
    </row>
    <row r="659" spans="1:20" x14ac:dyDescent="0.2">
      <c r="A659" s="20" t="s">
        <v>31</v>
      </c>
      <c r="F659" s="20" t="s">
        <v>5949</v>
      </c>
      <c r="G659" s="20" t="s">
        <v>5950</v>
      </c>
      <c r="K659" s="20" t="s">
        <v>7193</v>
      </c>
      <c r="L659" s="20" t="s">
        <v>5951</v>
      </c>
      <c r="M659" s="20" t="s">
        <v>5952</v>
      </c>
      <c r="N659" s="20" t="s">
        <v>5953</v>
      </c>
      <c r="O659" s="20" t="s">
        <v>5954</v>
      </c>
      <c r="P659" s="20" t="s">
        <v>5955</v>
      </c>
      <c r="Q659" s="20" t="s">
        <v>5956</v>
      </c>
      <c r="R659" s="20" t="s">
        <v>5957</v>
      </c>
      <c r="S659" s="20" t="s">
        <v>5960</v>
      </c>
      <c r="T659" s="20" t="s">
        <v>5959</v>
      </c>
    </row>
    <row r="660" spans="1:20" x14ac:dyDescent="0.2">
      <c r="A660" s="20" t="s">
        <v>31</v>
      </c>
      <c r="F660" s="20" t="s">
        <v>1009</v>
      </c>
      <c r="G660" s="20" t="s">
        <v>1010</v>
      </c>
      <c r="K660" s="20" t="s">
        <v>7194</v>
      </c>
      <c r="L660" s="20" t="s">
        <v>5495</v>
      </c>
      <c r="M660" s="20" t="s">
        <v>5496</v>
      </c>
      <c r="N660" s="20" t="s">
        <v>5497</v>
      </c>
      <c r="O660" s="20" t="s">
        <v>5498</v>
      </c>
      <c r="P660" s="20" t="s">
        <v>5499</v>
      </c>
      <c r="Q660" s="20" t="s">
        <v>5500</v>
      </c>
      <c r="R660" s="20" t="s">
        <v>5501</v>
      </c>
      <c r="S660" s="20" t="s">
        <v>6582</v>
      </c>
      <c r="T660" s="20" t="s">
        <v>5502</v>
      </c>
    </row>
    <row r="661" spans="1:20" x14ac:dyDescent="0.2">
      <c r="A661" s="20" t="s">
        <v>31</v>
      </c>
      <c r="F661" s="20" t="s">
        <v>6573</v>
      </c>
      <c r="G661" s="20" t="s">
        <v>6574</v>
      </c>
      <c r="K661" s="20" t="s">
        <v>7195</v>
      </c>
      <c r="L661" s="20" t="s">
        <v>6575</v>
      </c>
      <c r="M661" s="20" t="s">
        <v>6576</v>
      </c>
      <c r="N661" s="20" t="s">
        <v>6577</v>
      </c>
      <c r="O661" s="20" t="s">
        <v>6578</v>
      </c>
      <c r="P661" s="20" t="s">
        <v>6579</v>
      </c>
      <c r="Q661" s="20" t="s">
        <v>6580</v>
      </c>
      <c r="R661" s="20" t="s">
        <v>6581</v>
      </c>
      <c r="S661" s="20" t="s">
        <v>6593</v>
      </c>
      <c r="T661" s="20" t="s">
        <v>6583</v>
      </c>
    </row>
    <row r="662" spans="1:20" x14ac:dyDescent="0.2">
      <c r="A662" s="20" t="s">
        <v>31</v>
      </c>
      <c r="F662" s="20" t="s">
        <v>6584</v>
      </c>
      <c r="G662" s="20" t="s">
        <v>6585</v>
      </c>
      <c r="K662" s="20" t="s">
        <v>7196</v>
      </c>
      <c r="L662" s="20" t="s">
        <v>6586</v>
      </c>
      <c r="M662" s="20" t="s">
        <v>6587</v>
      </c>
      <c r="N662" s="20" t="s">
        <v>6588</v>
      </c>
      <c r="O662" s="20" t="s">
        <v>6589</v>
      </c>
      <c r="P662" s="20" t="s">
        <v>6590</v>
      </c>
      <c r="Q662" s="20" t="s">
        <v>6591</v>
      </c>
      <c r="R662" s="20" t="s">
        <v>6592</v>
      </c>
      <c r="S662" s="20" t="s">
        <v>6604</v>
      </c>
      <c r="T662" s="20" t="s">
        <v>6594</v>
      </c>
    </row>
    <row r="663" spans="1:20" x14ac:dyDescent="0.2">
      <c r="A663" s="20" t="s">
        <v>31</v>
      </c>
      <c r="F663" s="20" t="s">
        <v>6595</v>
      </c>
      <c r="G663" s="20" t="s">
        <v>6596</v>
      </c>
      <c r="K663" s="20" t="s">
        <v>7197</v>
      </c>
      <c r="L663" s="20" t="s">
        <v>6597</v>
      </c>
      <c r="M663" s="20" t="s">
        <v>6598</v>
      </c>
      <c r="N663" s="20" t="s">
        <v>6599</v>
      </c>
      <c r="O663" s="20" t="s">
        <v>6600</v>
      </c>
      <c r="P663" s="20" t="s">
        <v>6601</v>
      </c>
      <c r="Q663" s="20" t="s">
        <v>6602</v>
      </c>
      <c r="R663" s="20" t="s">
        <v>6603</v>
      </c>
      <c r="S663" s="20" t="s">
        <v>6615</v>
      </c>
      <c r="T663" s="20" t="s">
        <v>6605</v>
      </c>
    </row>
    <row r="664" spans="1:20" x14ac:dyDescent="0.2">
      <c r="A664" s="20" t="s">
        <v>31</v>
      </c>
      <c r="F664" s="20" t="s">
        <v>6606</v>
      </c>
      <c r="G664" s="20" t="s">
        <v>6607</v>
      </c>
      <c r="K664" s="20" t="s">
        <v>7198</v>
      </c>
      <c r="L664" s="20" t="s">
        <v>6608</v>
      </c>
      <c r="M664" s="20" t="s">
        <v>6609</v>
      </c>
      <c r="N664" s="20" t="s">
        <v>6610</v>
      </c>
      <c r="O664" s="20" t="s">
        <v>6611</v>
      </c>
      <c r="P664" s="20" t="s">
        <v>6612</v>
      </c>
      <c r="Q664" s="20" t="s">
        <v>6613</v>
      </c>
      <c r="R664" s="20" t="s">
        <v>6614</v>
      </c>
      <c r="S664" s="20" t="s">
        <v>6617</v>
      </c>
      <c r="T664" s="20" t="s">
        <v>6616</v>
      </c>
    </row>
    <row r="665" spans="1:20" x14ac:dyDescent="0.2">
      <c r="A665" s="20" t="s">
        <v>31</v>
      </c>
      <c r="F665" s="20" t="s">
        <v>1011</v>
      </c>
      <c r="G665" s="20" t="s">
        <v>1012</v>
      </c>
      <c r="K665" s="20" t="s">
        <v>7199</v>
      </c>
      <c r="L665" s="20" t="s">
        <v>5503</v>
      </c>
      <c r="M665" s="20" t="s">
        <v>5504</v>
      </c>
      <c r="N665" s="20" t="s">
        <v>5505</v>
      </c>
      <c r="O665" s="20" t="s">
        <v>5506</v>
      </c>
      <c r="P665" s="20" t="s">
        <v>5507</v>
      </c>
      <c r="Q665" s="20" t="s">
        <v>5508</v>
      </c>
      <c r="R665" s="20" t="s">
        <v>5509</v>
      </c>
      <c r="S665" s="20" t="s">
        <v>5518</v>
      </c>
      <c r="T665" s="20" t="s">
        <v>5510</v>
      </c>
    </row>
    <row r="666" spans="1:20" x14ac:dyDescent="0.2">
      <c r="A666" s="20" t="s">
        <v>31</v>
      </c>
      <c r="F666" s="20" t="s">
        <v>1013</v>
      </c>
      <c r="G666" s="20" t="s">
        <v>1014</v>
      </c>
      <c r="K666" s="20" t="s">
        <v>7200</v>
      </c>
      <c r="L666" s="20" t="s">
        <v>5511</v>
      </c>
      <c r="M666" s="20" t="s">
        <v>5512</v>
      </c>
      <c r="N666" s="20" t="s">
        <v>5513</v>
      </c>
      <c r="O666" s="20" t="s">
        <v>5514</v>
      </c>
      <c r="P666" s="20" t="s">
        <v>5515</v>
      </c>
      <c r="Q666" s="20" t="s">
        <v>5516</v>
      </c>
      <c r="R666" s="20" t="s">
        <v>5517</v>
      </c>
      <c r="S666" s="20" t="s">
        <v>5527</v>
      </c>
      <c r="T666" s="20" t="s">
        <v>5519</v>
      </c>
    </row>
    <row r="667" spans="1:20" x14ac:dyDescent="0.2">
      <c r="A667" s="20" t="s">
        <v>31</v>
      </c>
      <c r="F667" s="20" t="s">
        <v>1015</v>
      </c>
      <c r="G667" s="20" t="s">
        <v>52</v>
      </c>
      <c r="K667" s="20" t="s">
        <v>7201</v>
      </c>
      <c r="L667" s="20" t="s">
        <v>5520</v>
      </c>
      <c r="M667" s="20" t="s">
        <v>5521</v>
      </c>
      <c r="N667" s="20" t="s">
        <v>5522</v>
      </c>
      <c r="O667" s="20" t="s">
        <v>5523</v>
      </c>
      <c r="P667" s="20" t="s">
        <v>5524</v>
      </c>
      <c r="Q667" s="20" t="s">
        <v>5525</v>
      </c>
      <c r="R667" s="20" t="s">
        <v>5526</v>
      </c>
      <c r="S667" s="20" t="s">
        <v>6653</v>
      </c>
      <c r="T667" s="20" t="s">
        <v>5528</v>
      </c>
    </row>
    <row r="668" spans="1:20" x14ac:dyDescent="0.2">
      <c r="A668" s="20" t="s">
        <v>31</v>
      </c>
      <c r="F668" s="20" t="s">
        <v>6550</v>
      </c>
      <c r="G668" s="20" t="s">
        <v>6551</v>
      </c>
    </row>
    <row r="669" spans="1:20" x14ac:dyDescent="0.2">
      <c r="A669" s="20" t="s">
        <v>31</v>
      </c>
      <c r="I669" s="20" t="s">
        <v>6618</v>
      </c>
      <c r="T669" s="20" t="s">
        <v>6619</v>
      </c>
    </row>
    <row r="670" spans="1:20" x14ac:dyDescent="0.2">
      <c r="A670" s="20" t="s">
        <v>31</v>
      </c>
    </row>
    <row r="671" spans="1:20" x14ac:dyDescent="0.2">
      <c r="A671" s="20" t="s">
        <v>31</v>
      </c>
      <c r="D671" s="20" t="s">
        <v>5687</v>
      </c>
      <c r="E671" s="20" t="s">
        <v>5688</v>
      </c>
      <c r="F671" s="20" t="s">
        <v>6250</v>
      </c>
      <c r="G671" s="20" t="s">
        <v>6620</v>
      </c>
      <c r="I671" s="20" t="s">
        <v>53</v>
      </c>
      <c r="J671" s="20" t="s">
        <v>6621</v>
      </c>
    </row>
    <row r="672" spans="1:20" x14ac:dyDescent="0.2">
      <c r="A672" s="20" t="s">
        <v>31</v>
      </c>
      <c r="F672" s="20" t="s">
        <v>1054</v>
      </c>
      <c r="G672" s="20" t="s">
        <v>53</v>
      </c>
      <c r="K672" s="20" t="s">
        <v>6622</v>
      </c>
      <c r="L672" s="20" t="s">
        <v>5529</v>
      </c>
      <c r="M672" s="20" t="s">
        <v>5530</v>
      </c>
      <c r="N672" s="20" t="s">
        <v>5531</v>
      </c>
      <c r="O672" s="20" t="s">
        <v>5532</v>
      </c>
      <c r="P672" s="20" t="s">
        <v>5533</v>
      </c>
      <c r="Q672" s="20" t="s">
        <v>5534</v>
      </c>
      <c r="R672" s="20" t="s">
        <v>5535</v>
      </c>
      <c r="S672" s="20" t="s">
        <v>5544</v>
      </c>
      <c r="T672" s="20" t="s">
        <v>5536</v>
      </c>
    </row>
    <row r="673" spans="1:20" x14ac:dyDescent="0.2">
      <c r="A673" s="20" t="s">
        <v>31</v>
      </c>
      <c r="F673" s="20" t="s">
        <v>1055</v>
      </c>
      <c r="G673" s="20" t="s">
        <v>1056</v>
      </c>
      <c r="K673" s="20" t="s">
        <v>6623</v>
      </c>
      <c r="L673" s="20" t="s">
        <v>5537</v>
      </c>
      <c r="M673" s="20" t="s">
        <v>5538</v>
      </c>
      <c r="N673" s="20" t="s">
        <v>5539</v>
      </c>
      <c r="O673" s="20" t="s">
        <v>5540</v>
      </c>
      <c r="P673" s="20" t="s">
        <v>5541</v>
      </c>
      <c r="Q673" s="20" t="s">
        <v>5542</v>
      </c>
      <c r="R673" s="20" t="s">
        <v>5543</v>
      </c>
      <c r="S673" s="20" t="s">
        <v>5553</v>
      </c>
      <c r="T673" s="20" t="s">
        <v>5545</v>
      </c>
    </row>
    <row r="674" spans="1:20" x14ac:dyDescent="0.2">
      <c r="A674" s="20" t="s">
        <v>31</v>
      </c>
      <c r="F674" s="20" t="s">
        <v>70</v>
      </c>
      <c r="G674" s="20" t="s">
        <v>69</v>
      </c>
      <c r="K674" s="20" t="s">
        <v>7202</v>
      </c>
      <c r="L674" s="20" t="s">
        <v>5546</v>
      </c>
      <c r="M674" s="20" t="s">
        <v>5547</v>
      </c>
      <c r="N674" s="20" t="s">
        <v>5548</v>
      </c>
      <c r="O674" s="20" t="s">
        <v>5549</v>
      </c>
      <c r="P674" s="20" t="s">
        <v>5550</v>
      </c>
      <c r="Q674" s="20" t="s">
        <v>5551</v>
      </c>
      <c r="R674" s="20" t="s">
        <v>5552</v>
      </c>
      <c r="S674" s="20" t="s">
        <v>5562</v>
      </c>
      <c r="T674" s="20" t="s">
        <v>5554</v>
      </c>
    </row>
    <row r="675" spans="1:20" x14ac:dyDescent="0.2">
      <c r="A675" s="20" t="s">
        <v>31</v>
      </c>
      <c r="F675" s="20" t="s">
        <v>1017</v>
      </c>
      <c r="G675" s="20" t="s">
        <v>1016</v>
      </c>
      <c r="K675" s="20" t="s">
        <v>7203</v>
      </c>
      <c r="L675" s="20" t="s">
        <v>5555</v>
      </c>
      <c r="M675" s="20" t="s">
        <v>5556</v>
      </c>
      <c r="N675" s="20" t="s">
        <v>5557</v>
      </c>
      <c r="O675" s="20" t="s">
        <v>5558</v>
      </c>
      <c r="P675" s="20" t="s">
        <v>5559</v>
      </c>
      <c r="Q675" s="20" t="s">
        <v>5560</v>
      </c>
      <c r="R675" s="20" t="s">
        <v>5561</v>
      </c>
      <c r="S675" s="20" t="s">
        <v>5571</v>
      </c>
      <c r="T675" s="20" t="s">
        <v>5563</v>
      </c>
    </row>
    <row r="676" spans="1:20" x14ac:dyDescent="0.2">
      <c r="A676" s="20" t="s">
        <v>31</v>
      </c>
      <c r="F676" s="20" t="s">
        <v>1018</v>
      </c>
      <c r="G676" s="20" t="s">
        <v>1019</v>
      </c>
      <c r="K676" s="20" t="s">
        <v>7204</v>
      </c>
      <c r="L676" s="20" t="s">
        <v>5564</v>
      </c>
      <c r="M676" s="20" t="s">
        <v>5565</v>
      </c>
      <c r="N676" s="20" t="s">
        <v>5566</v>
      </c>
      <c r="O676" s="20" t="s">
        <v>5567</v>
      </c>
      <c r="P676" s="20" t="s">
        <v>5568</v>
      </c>
      <c r="Q676" s="20" t="s">
        <v>5569</v>
      </c>
      <c r="R676" s="20" t="s">
        <v>5570</v>
      </c>
      <c r="S676" s="20" t="s">
        <v>5580</v>
      </c>
      <c r="T676" s="20" t="s">
        <v>5572</v>
      </c>
    </row>
    <row r="677" spans="1:20" x14ac:dyDescent="0.2">
      <c r="A677" s="20" t="s">
        <v>31</v>
      </c>
      <c r="F677" s="20" t="s">
        <v>1020</v>
      </c>
      <c r="G677" s="20" t="s">
        <v>54</v>
      </c>
      <c r="K677" s="20" t="s">
        <v>7205</v>
      </c>
      <c r="L677" s="20" t="s">
        <v>5573</v>
      </c>
      <c r="M677" s="20" t="s">
        <v>5574</v>
      </c>
      <c r="N677" s="20" t="s">
        <v>5575</v>
      </c>
      <c r="O677" s="20" t="s">
        <v>5576</v>
      </c>
      <c r="P677" s="20" t="s">
        <v>5577</v>
      </c>
      <c r="Q677" s="20" t="s">
        <v>5578</v>
      </c>
      <c r="R677" s="20" t="s">
        <v>5579</v>
      </c>
      <c r="S677" s="20" t="s">
        <v>5589</v>
      </c>
      <c r="T677" s="20" t="s">
        <v>5581</v>
      </c>
    </row>
    <row r="678" spans="1:20" x14ac:dyDescent="0.2">
      <c r="A678" s="20" t="s">
        <v>31</v>
      </c>
      <c r="F678" s="20" t="s">
        <v>1021</v>
      </c>
      <c r="G678" s="20" t="s">
        <v>1022</v>
      </c>
      <c r="K678" s="20" t="s">
        <v>7206</v>
      </c>
      <c r="L678" s="20" t="s">
        <v>5582</v>
      </c>
      <c r="M678" s="20" t="s">
        <v>5583</v>
      </c>
      <c r="N678" s="20" t="s">
        <v>5584</v>
      </c>
      <c r="O678" s="20" t="s">
        <v>5585</v>
      </c>
      <c r="P678" s="20" t="s">
        <v>5586</v>
      </c>
      <c r="Q678" s="20" t="s">
        <v>5587</v>
      </c>
      <c r="R678" s="20" t="s">
        <v>5588</v>
      </c>
      <c r="S678" s="20" t="s">
        <v>5598</v>
      </c>
      <c r="T678" s="20" t="s">
        <v>5590</v>
      </c>
    </row>
    <row r="679" spans="1:20" x14ac:dyDescent="0.2">
      <c r="A679" s="20" t="s">
        <v>31</v>
      </c>
      <c r="F679" s="20" t="s">
        <v>1023</v>
      </c>
      <c r="G679" s="20" t="s">
        <v>1024</v>
      </c>
      <c r="K679" s="20" t="s">
        <v>7207</v>
      </c>
      <c r="L679" s="20" t="s">
        <v>5591</v>
      </c>
      <c r="M679" s="20" t="s">
        <v>5592</v>
      </c>
      <c r="N679" s="20" t="s">
        <v>5593</v>
      </c>
      <c r="O679" s="20" t="s">
        <v>5594</v>
      </c>
      <c r="P679" s="20" t="s">
        <v>5595</v>
      </c>
      <c r="Q679" s="20" t="s">
        <v>5596</v>
      </c>
      <c r="R679" s="20" t="s">
        <v>5597</v>
      </c>
      <c r="S679" s="20" t="s">
        <v>6204</v>
      </c>
      <c r="T679" s="20" t="s">
        <v>5599</v>
      </c>
    </row>
    <row r="680" spans="1:20" x14ac:dyDescent="0.2">
      <c r="A680" s="20" t="s">
        <v>31</v>
      </c>
      <c r="F680" s="20" t="s">
        <v>6195</v>
      </c>
      <c r="G680" s="20" t="s">
        <v>6196</v>
      </c>
      <c r="K680" s="20" t="s">
        <v>7208</v>
      </c>
      <c r="L680" s="20" t="s">
        <v>6197</v>
      </c>
      <c r="M680" s="20" t="s">
        <v>6198</v>
      </c>
      <c r="N680" s="20" t="s">
        <v>6199</v>
      </c>
      <c r="O680" s="20" t="s">
        <v>6200</v>
      </c>
      <c r="P680" s="20" t="s">
        <v>6201</v>
      </c>
      <c r="Q680" s="20" t="s">
        <v>6202</v>
      </c>
      <c r="R680" s="20" t="s">
        <v>6203</v>
      </c>
      <c r="S680" s="20" t="s">
        <v>6215</v>
      </c>
      <c r="T680" s="20" t="s">
        <v>6205</v>
      </c>
    </row>
    <row r="681" spans="1:20" x14ac:dyDescent="0.2">
      <c r="A681" s="20" t="s">
        <v>31</v>
      </c>
      <c r="F681" s="20" t="s">
        <v>6206</v>
      </c>
      <c r="G681" s="20" t="s">
        <v>6207</v>
      </c>
      <c r="K681" s="20" t="s">
        <v>7209</v>
      </c>
      <c r="L681" s="20" t="s">
        <v>6208</v>
      </c>
      <c r="M681" s="20" t="s">
        <v>6209</v>
      </c>
      <c r="N681" s="20" t="s">
        <v>6210</v>
      </c>
      <c r="O681" s="20" t="s">
        <v>6211</v>
      </c>
      <c r="P681" s="20" t="s">
        <v>6212</v>
      </c>
      <c r="Q681" s="20" t="s">
        <v>6213</v>
      </c>
      <c r="R681" s="20" t="s">
        <v>6214</v>
      </c>
      <c r="S681" s="20" t="s">
        <v>6226</v>
      </c>
      <c r="T681" s="20" t="s">
        <v>6216</v>
      </c>
    </row>
    <row r="682" spans="1:20" x14ac:dyDescent="0.2">
      <c r="A682" s="20" t="s">
        <v>31</v>
      </c>
      <c r="F682" s="20" t="s">
        <v>6217</v>
      </c>
      <c r="G682" s="20" t="s">
        <v>6218</v>
      </c>
      <c r="K682" s="20" t="s">
        <v>7210</v>
      </c>
      <c r="L682" s="20" t="s">
        <v>6219</v>
      </c>
      <c r="M682" s="20" t="s">
        <v>6220</v>
      </c>
      <c r="N682" s="20" t="s">
        <v>6221</v>
      </c>
      <c r="O682" s="20" t="s">
        <v>6222</v>
      </c>
      <c r="P682" s="20" t="s">
        <v>6223</v>
      </c>
      <c r="Q682" s="20" t="s">
        <v>6224</v>
      </c>
      <c r="R682" s="20" t="s">
        <v>6225</v>
      </c>
      <c r="S682" s="20" t="s">
        <v>6237</v>
      </c>
      <c r="T682" s="20" t="s">
        <v>6227</v>
      </c>
    </row>
    <row r="683" spans="1:20" x14ac:dyDescent="0.2">
      <c r="A683" s="20" t="s">
        <v>31</v>
      </c>
      <c r="F683" s="20" t="s">
        <v>6228</v>
      </c>
      <c r="G683" s="20" t="s">
        <v>6229</v>
      </c>
      <c r="K683" s="20" t="s">
        <v>7211</v>
      </c>
      <c r="L683" s="20" t="s">
        <v>6230</v>
      </c>
      <c r="M683" s="20" t="s">
        <v>6231</v>
      </c>
      <c r="N683" s="20" t="s">
        <v>6232</v>
      </c>
      <c r="O683" s="20" t="s">
        <v>6233</v>
      </c>
      <c r="P683" s="20" t="s">
        <v>6234</v>
      </c>
      <c r="Q683" s="20" t="s">
        <v>6235</v>
      </c>
      <c r="R683" s="20" t="s">
        <v>6236</v>
      </c>
      <c r="S683" s="20" t="s">
        <v>6239</v>
      </c>
      <c r="T683" s="20" t="s">
        <v>6238</v>
      </c>
    </row>
    <row r="684" spans="1:20" x14ac:dyDescent="0.2">
      <c r="A684" s="20" t="s">
        <v>31</v>
      </c>
      <c r="F684" s="20" t="s">
        <v>1025</v>
      </c>
      <c r="G684" s="20" t="s">
        <v>1026</v>
      </c>
      <c r="K684" s="20" t="s">
        <v>7212</v>
      </c>
      <c r="L684" s="20" t="s">
        <v>5600</v>
      </c>
      <c r="M684" s="20" t="s">
        <v>5601</v>
      </c>
      <c r="N684" s="20" t="s">
        <v>5602</v>
      </c>
      <c r="O684" s="20" t="s">
        <v>5603</v>
      </c>
      <c r="P684" s="20" t="s">
        <v>5604</v>
      </c>
      <c r="Q684" s="20" t="s">
        <v>5605</v>
      </c>
      <c r="R684" s="20" t="s">
        <v>5606</v>
      </c>
      <c r="S684" s="20" t="s">
        <v>5615</v>
      </c>
      <c r="T684" s="20" t="s">
        <v>5607</v>
      </c>
    </row>
    <row r="685" spans="1:20" x14ac:dyDescent="0.2">
      <c r="A685" s="20" t="s">
        <v>31</v>
      </c>
      <c r="F685" s="20" t="s">
        <v>1027</v>
      </c>
      <c r="G685" s="20" t="s">
        <v>1028</v>
      </c>
      <c r="K685" s="20" t="s">
        <v>7213</v>
      </c>
      <c r="L685" s="20" t="s">
        <v>5608</v>
      </c>
      <c r="M685" s="20" t="s">
        <v>5609</v>
      </c>
      <c r="N685" s="20" t="s">
        <v>5610</v>
      </c>
      <c r="O685" s="20" t="s">
        <v>5611</v>
      </c>
      <c r="P685" s="20" t="s">
        <v>5612</v>
      </c>
      <c r="Q685" s="20" t="s">
        <v>5613</v>
      </c>
      <c r="R685" s="20" t="s">
        <v>5614</v>
      </c>
      <c r="S685" s="20" t="s">
        <v>5624</v>
      </c>
      <c r="T685" s="20" t="s">
        <v>5616</v>
      </c>
    </row>
    <row r="686" spans="1:20" x14ac:dyDescent="0.2">
      <c r="A686" s="20" t="s">
        <v>31</v>
      </c>
      <c r="F686" s="20" t="s">
        <v>1029</v>
      </c>
      <c r="G686" s="20" t="s">
        <v>1030</v>
      </c>
      <c r="K686" s="20" t="s">
        <v>7214</v>
      </c>
      <c r="L686" s="20" t="s">
        <v>5617</v>
      </c>
      <c r="M686" s="20" t="s">
        <v>5618</v>
      </c>
      <c r="N686" s="20" t="s">
        <v>5619</v>
      </c>
      <c r="O686" s="20" t="s">
        <v>5620</v>
      </c>
      <c r="P686" s="20" t="s">
        <v>5621</v>
      </c>
      <c r="Q686" s="20" t="s">
        <v>5622</v>
      </c>
      <c r="R686" s="20" t="s">
        <v>5623</v>
      </c>
      <c r="S686" s="20" t="s">
        <v>5633</v>
      </c>
      <c r="T686" s="20" t="s">
        <v>5625</v>
      </c>
    </row>
    <row r="687" spans="1:20" x14ac:dyDescent="0.2">
      <c r="A687" s="20" t="s">
        <v>31</v>
      </c>
      <c r="F687" s="20" t="s">
        <v>1031</v>
      </c>
      <c r="G687" s="20" t="s">
        <v>57</v>
      </c>
      <c r="K687" s="20" t="s">
        <v>7215</v>
      </c>
      <c r="L687" s="20" t="s">
        <v>5626</v>
      </c>
      <c r="M687" s="20" t="s">
        <v>5627</v>
      </c>
      <c r="N687" s="20" t="s">
        <v>5628</v>
      </c>
      <c r="O687" s="20" t="s">
        <v>5629</v>
      </c>
      <c r="P687" s="20" t="s">
        <v>5630</v>
      </c>
      <c r="Q687" s="20" t="s">
        <v>5631</v>
      </c>
      <c r="R687" s="20" t="s">
        <v>5632</v>
      </c>
      <c r="S687" s="20" t="s">
        <v>5642</v>
      </c>
      <c r="T687" s="20" t="s">
        <v>5634</v>
      </c>
    </row>
    <row r="688" spans="1:20" x14ac:dyDescent="0.2">
      <c r="A688" s="20" t="s">
        <v>31</v>
      </c>
      <c r="F688" s="20" t="s">
        <v>1032</v>
      </c>
      <c r="G688" s="20" t="s">
        <v>1033</v>
      </c>
      <c r="K688" s="20" t="s">
        <v>7216</v>
      </c>
      <c r="L688" s="20" t="s">
        <v>5635</v>
      </c>
      <c r="M688" s="20" t="s">
        <v>5636</v>
      </c>
      <c r="N688" s="20" t="s">
        <v>5637</v>
      </c>
      <c r="O688" s="20" t="s">
        <v>5638</v>
      </c>
      <c r="P688" s="20" t="s">
        <v>5639</v>
      </c>
      <c r="Q688" s="20" t="s">
        <v>5640</v>
      </c>
      <c r="R688" s="20" t="s">
        <v>5641</v>
      </c>
      <c r="S688" s="20" t="s">
        <v>5651</v>
      </c>
      <c r="T688" s="20" t="s">
        <v>5643</v>
      </c>
    </row>
    <row r="689" spans="1:20" x14ac:dyDescent="0.2">
      <c r="A689" s="20" t="s">
        <v>31</v>
      </c>
      <c r="F689" s="20" t="s">
        <v>1034</v>
      </c>
      <c r="G689" s="20" t="s">
        <v>1035</v>
      </c>
      <c r="K689" s="20" t="s">
        <v>7217</v>
      </c>
      <c r="L689" s="20" t="s">
        <v>5644</v>
      </c>
      <c r="M689" s="20" t="s">
        <v>5645</v>
      </c>
      <c r="N689" s="20" t="s">
        <v>5646</v>
      </c>
      <c r="O689" s="20" t="s">
        <v>5647</v>
      </c>
      <c r="P689" s="20" t="s">
        <v>5648</v>
      </c>
      <c r="Q689" s="20" t="s">
        <v>5649</v>
      </c>
      <c r="R689" s="20" t="s">
        <v>5650</v>
      </c>
      <c r="S689" s="20" t="s">
        <v>5660</v>
      </c>
      <c r="T689" s="20" t="s">
        <v>5652</v>
      </c>
    </row>
    <row r="690" spans="1:20" x14ac:dyDescent="0.2">
      <c r="A690" s="20" t="s">
        <v>31</v>
      </c>
      <c r="F690" s="20" t="s">
        <v>1036</v>
      </c>
      <c r="G690" s="20" t="s">
        <v>1037</v>
      </c>
      <c r="K690" s="20" t="s">
        <v>7218</v>
      </c>
      <c r="L690" s="20" t="s">
        <v>5653</v>
      </c>
      <c r="M690" s="20" t="s">
        <v>5654</v>
      </c>
      <c r="N690" s="20" t="s">
        <v>5655</v>
      </c>
      <c r="O690" s="20" t="s">
        <v>5656</v>
      </c>
      <c r="P690" s="20" t="s">
        <v>5657</v>
      </c>
      <c r="Q690" s="20" t="s">
        <v>5658</v>
      </c>
      <c r="R690" s="20" t="s">
        <v>5659</v>
      </c>
      <c r="S690" s="20" t="s">
        <v>5669</v>
      </c>
      <c r="T690" s="20" t="s">
        <v>5661</v>
      </c>
    </row>
    <row r="691" spans="1:20" x14ac:dyDescent="0.2">
      <c r="A691" s="20" t="s">
        <v>31</v>
      </c>
      <c r="F691" s="20" t="s">
        <v>1038</v>
      </c>
      <c r="G691" s="20" t="s">
        <v>1039</v>
      </c>
      <c r="K691" s="20" t="s">
        <v>7219</v>
      </c>
      <c r="L691" s="20" t="s">
        <v>5662</v>
      </c>
      <c r="M691" s="20" t="s">
        <v>5663</v>
      </c>
      <c r="N691" s="20" t="s">
        <v>5664</v>
      </c>
      <c r="O691" s="20" t="s">
        <v>5665</v>
      </c>
      <c r="P691" s="20" t="s">
        <v>5666</v>
      </c>
      <c r="Q691" s="20" t="s">
        <v>5667</v>
      </c>
      <c r="R691" s="20" t="s">
        <v>5668</v>
      </c>
      <c r="S691" s="20" t="s">
        <v>5678</v>
      </c>
      <c r="T691" s="20" t="s">
        <v>5670</v>
      </c>
    </row>
    <row r="692" spans="1:20" x14ac:dyDescent="0.2">
      <c r="A692" s="20" t="s">
        <v>31</v>
      </c>
      <c r="F692" s="20" t="s">
        <v>1040</v>
      </c>
      <c r="G692" s="20" t="s">
        <v>58</v>
      </c>
      <c r="K692" s="20" t="s">
        <v>7220</v>
      </c>
      <c r="L692" s="20" t="s">
        <v>5671</v>
      </c>
      <c r="M692" s="20" t="s">
        <v>5672</v>
      </c>
      <c r="N692" s="20" t="s">
        <v>5673</v>
      </c>
      <c r="O692" s="20" t="s">
        <v>5674</v>
      </c>
      <c r="P692" s="20" t="s">
        <v>5675</v>
      </c>
      <c r="Q692" s="20" t="s">
        <v>5676</v>
      </c>
      <c r="R692" s="20" t="s">
        <v>5677</v>
      </c>
      <c r="S692" s="20" t="s">
        <v>6654</v>
      </c>
      <c r="T692" s="20" t="s">
        <v>5679</v>
      </c>
    </row>
    <row r="693" spans="1:20" x14ac:dyDescent="0.2">
      <c r="A693" s="20" t="s">
        <v>31</v>
      </c>
      <c r="F693" s="20" t="s">
        <v>70</v>
      </c>
      <c r="G693" s="20" t="s">
        <v>69</v>
      </c>
    </row>
    <row r="694" spans="1:20" x14ac:dyDescent="0.2">
      <c r="A694" s="20" t="s">
        <v>31</v>
      </c>
      <c r="I694" s="20" t="s">
        <v>6624</v>
      </c>
      <c r="T694" s="20" t="s">
        <v>6625</v>
      </c>
    </row>
    <row r="695" spans="1:20" x14ac:dyDescent="0.2">
      <c r="A695" s="20" t="s">
        <v>31</v>
      </c>
    </row>
    <row r="697" spans="1:20" x14ac:dyDescent="0.2">
      <c r="I697" s="20" t="s">
        <v>28</v>
      </c>
      <c r="T697" s="20" t="s">
        <v>6626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Read Me</vt:lpstr>
      <vt:lpstr>Options</vt:lpstr>
      <vt:lpstr>Report</vt:lpstr>
      <vt:lpstr>Report!Print_Titles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Activity Detail Report</dc:title>
  <dc:subject>Jet Reports</dc:subject>
  <dc:creator>Stevel@jetreports.com</dc:creator>
  <dc:description>GL transaction detail by account.</dc:description>
  <cp:lastModifiedBy>Kim R. Duey</cp:lastModifiedBy>
  <cp:lastPrinted>2007-04-26T21:19:25Z</cp:lastPrinted>
  <dcterms:created xsi:type="dcterms:W3CDTF">2007-04-25T20:38:47Z</dcterms:created>
  <dcterms:modified xsi:type="dcterms:W3CDTF">2018-09-25T15:40:05Z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rill Button Active">
    <vt:bool>false</vt:bool>
  </property>
  <property fmtid="{D5CDD505-2E9C-101B-9397-08002B2CF9AE}" pid="3" name="Jet Reports Last Version Refresh">
    <vt:lpwstr>Version 7.1.2  Released 3/16/2009 3:09:32 PM</vt:lpwstr>
  </property>
  <property fmtid="{D5CDD505-2E9C-101B-9397-08002B2CF9AE}" pid="4" name="Jet Reports Design Mode Active">
    <vt:bool>false</vt:bool>
  </property>
  <property fmtid="{D5CDD505-2E9C-101B-9397-08002B2CF9AE}" pid="5" name="NeedsREVERT">
    <vt:lpwstr>FALSE</vt:lpwstr>
  </property>
  <property fmtid="{D5CDD505-2E9C-101B-9397-08002B2CF9AE}" pid="6" name="OriginalName">
    <vt:lpwstr>GL Activity Detail Report.xls</vt:lpwstr>
  </property>
  <property fmtid="{D5CDD505-2E9C-101B-9397-08002B2CF9AE}" pid="7" name="Jet Reports Report Id">
    <vt:lpwstr>b8c975b0-b7e5-4f57-aed8-ae6d17571ce7</vt:lpwstr>
  </property>
  <property fmtid="{D5CDD505-2E9C-101B-9397-08002B2CF9AE}" pid="8" name="Jet Reports Function Literals">
    <vt:lpwstr>,	;	,	{	}	[@[{0}]]	1033</vt:lpwstr>
  </property>
</Properties>
</file>