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Done\OnHold\"/>
    </mc:Choice>
  </mc:AlternateContent>
  <bookViews>
    <workbookView xWindow="0" yWindow="0" windowWidth="23850" windowHeight="10950" activeTab="2"/>
  </bookViews>
  <sheets>
    <sheet name="Read Me" sheetId="389" r:id="rId1"/>
    <sheet name="Options" sheetId="1" state="hidden" r:id="rId2"/>
    <sheet name="Item Profitability by Customer" sheetId="2" r:id="rId3"/>
    <sheet name="Sheet9" sheetId="500" state="veryHidden" r:id="rId4"/>
    <sheet name="Sheet10" sheetId="501" state="veryHidden" r:id="rId5"/>
    <sheet name="Sheet11" sheetId="502" state="veryHidden" r:id="rId6"/>
    <sheet name="Sheet12" sheetId="503" state="veryHidden" r:id="rId7"/>
    <sheet name="Sheet13" sheetId="504" state="veryHidden" r:id="rId8"/>
    <sheet name="Sheet14" sheetId="505" state="veryHidden" r:id="rId9"/>
  </sheets>
  <definedNames>
    <definedName name="Company">Options!$E$8</definedName>
    <definedName name="DataSource">Options!$E$7</definedName>
    <definedName name="End_Date">Options!$E$13</definedName>
    <definedName name="Item_No">Options!$E$11</definedName>
    <definedName name="Per_Type">Options!$E$9</definedName>
    <definedName name="Source_No">Options!$E$10</definedName>
    <definedName name="Start_Date">Options!$E$12</definedName>
  </definedNames>
  <calcPr calcId="162913"/>
</workbook>
</file>

<file path=xl/calcChain.xml><?xml version="1.0" encoding="utf-8"?>
<calcChain xmlns="http://schemas.openxmlformats.org/spreadsheetml/2006/main">
  <c r="F8" i="2" l="1"/>
  <c r="H8" i="2"/>
  <c r="F9" i="2"/>
  <c r="F10" i="2"/>
  <c r="C12" i="2"/>
  <c r="C13" i="2"/>
  <c r="O13" i="2"/>
  <c r="P20" i="2" s="1"/>
  <c r="C14" i="2"/>
  <c r="O14" i="2"/>
  <c r="C15" i="2"/>
  <c r="I15" i="2"/>
  <c r="O15" i="2"/>
  <c r="C16" i="2"/>
  <c r="F18" i="2" s="1"/>
  <c r="C17" i="2"/>
  <c r="H9" i="2" s="1"/>
  <c r="C18" i="2"/>
  <c r="H10" i="2" s="1"/>
  <c r="C19" i="2"/>
  <c r="D14" i="2" s="1"/>
  <c r="C20" i="2"/>
  <c r="J20" i="2"/>
  <c r="B23" i="2"/>
  <c r="F23" i="2"/>
  <c r="D23" i="2" s="1"/>
  <c r="D24" i="2" s="1"/>
  <c r="D25" i="2" s="1"/>
  <c r="H23" i="2"/>
  <c r="B24" i="2"/>
  <c r="B25" i="2"/>
  <c r="B31" i="2" s="1"/>
  <c r="B32" i="2" s="1"/>
  <c r="B33" i="2" s="1"/>
  <c r="B34" i="2" s="1"/>
  <c r="G25" i="2"/>
  <c r="H25" i="2"/>
  <c r="I25" i="2"/>
  <c r="M25" i="2"/>
  <c r="T25" i="2" s="1"/>
  <c r="N25" i="2"/>
  <c r="O25" i="2"/>
  <c r="S25" i="2"/>
  <c r="S33" i="2" s="1"/>
  <c r="T33" i="2" s="1"/>
  <c r="G26" i="2"/>
  <c r="H26" i="2"/>
  <c r="I26" i="2"/>
  <c r="M26" i="2"/>
  <c r="N26" i="2"/>
  <c r="O26" i="2"/>
  <c r="S26" i="2"/>
  <c r="T26" i="2"/>
  <c r="G27" i="2"/>
  <c r="H27" i="2"/>
  <c r="I27" i="2"/>
  <c r="M27" i="2"/>
  <c r="N27" i="2"/>
  <c r="O27" i="2"/>
  <c r="S27" i="2"/>
  <c r="T27" i="2"/>
  <c r="G28" i="2"/>
  <c r="H28" i="2"/>
  <c r="I28" i="2"/>
  <c r="M28" i="2"/>
  <c r="N28" i="2" s="1"/>
  <c r="O28" i="2"/>
  <c r="S28" i="2"/>
  <c r="G29" i="2"/>
  <c r="H29" i="2"/>
  <c r="I29" i="2"/>
  <c r="M29" i="2"/>
  <c r="T29" i="2" s="1"/>
  <c r="N29" i="2"/>
  <c r="O29" i="2"/>
  <c r="S29" i="2"/>
  <c r="G30" i="2"/>
  <c r="H30" i="2"/>
  <c r="I30" i="2"/>
  <c r="M30" i="2"/>
  <c r="N30" i="2"/>
  <c r="O30" i="2"/>
  <c r="S30" i="2"/>
  <c r="T30" i="2"/>
  <c r="J33" i="2"/>
  <c r="N33" i="2" s="1"/>
  <c r="K33" i="2"/>
  <c r="L33" i="2"/>
  <c r="M33" i="2"/>
  <c r="P33" i="2"/>
  <c r="Q33" i="2"/>
  <c r="R33" i="2"/>
  <c r="B35" i="2"/>
  <c r="D35" i="2"/>
  <c r="D36" i="2" s="1"/>
  <c r="D37" i="2" s="1"/>
  <c r="F35" i="2"/>
  <c r="H35" i="2"/>
  <c r="B36" i="2"/>
  <c r="B37" i="2" s="1"/>
  <c r="G37" i="2"/>
  <c r="H37" i="2"/>
  <c r="I37" i="2"/>
  <c r="M37" i="2"/>
  <c r="N37" i="2"/>
  <c r="O37" i="2"/>
  <c r="S37" i="2"/>
  <c r="T37" i="2"/>
  <c r="G38" i="2"/>
  <c r="H38" i="2"/>
  <c r="I38" i="2"/>
  <c r="M38" i="2"/>
  <c r="N38" i="2" s="1"/>
  <c r="O38" i="2"/>
  <c r="S38" i="2"/>
  <c r="T38" i="2"/>
  <c r="G39" i="2"/>
  <c r="H39" i="2"/>
  <c r="I39" i="2"/>
  <c r="M39" i="2"/>
  <c r="N39" i="2" s="1"/>
  <c r="O39" i="2"/>
  <c r="S39" i="2"/>
  <c r="G40" i="2"/>
  <c r="H40" i="2"/>
  <c r="I40" i="2"/>
  <c r="M40" i="2"/>
  <c r="T40" i="2" s="1"/>
  <c r="O40" i="2"/>
  <c r="S40" i="2"/>
  <c r="S44" i="2" s="1"/>
  <c r="T44" i="2" s="1"/>
  <c r="G41" i="2"/>
  <c r="H41" i="2"/>
  <c r="I41" i="2"/>
  <c r="M41" i="2"/>
  <c r="N41" i="2"/>
  <c r="O41" i="2"/>
  <c r="S41" i="2"/>
  <c r="T41" i="2"/>
  <c r="J44" i="2"/>
  <c r="K44" i="2"/>
  <c r="L44" i="2"/>
  <c r="P44" i="2"/>
  <c r="Q44" i="2"/>
  <c r="R44" i="2"/>
  <c r="B46" i="2"/>
  <c r="D46" i="2"/>
  <c r="D47" i="2" s="1"/>
  <c r="D48" i="2" s="1"/>
  <c r="F46" i="2"/>
  <c r="H46" i="2"/>
  <c r="B47" i="2"/>
  <c r="B48" i="2"/>
  <c r="B51" i="2" s="1"/>
  <c r="B52" i="2" s="1"/>
  <c r="B53" i="2" s="1"/>
  <c r="B54" i="2" s="1"/>
  <c r="G48" i="2"/>
  <c r="H48" i="2"/>
  <c r="I48" i="2"/>
  <c r="M48" i="2"/>
  <c r="N48" i="2"/>
  <c r="O48" i="2"/>
  <c r="S48" i="2"/>
  <c r="S53" i="2" s="1"/>
  <c r="T53" i="2" s="1"/>
  <c r="T48" i="2"/>
  <c r="G49" i="2"/>
  <c r="H49" i="2"/>
  <c r="I49" i="2"/>
  <c r="M49" i="2"/>
  <c r="N49" i="2"/>
  <c r="O49" i="2"/>
  <c r="S49" i="2"/>
  <c r="T49" i="2"/>
  <c r="G50" i="2"/>
  <c r="H50" i="2"/>
  <c r="I50" i="2"/>
  <c r="M50" i="2"/>
  <c r="T50" i="2" s="1"/>
  <c r="N50" i="2"/>
  <c r="O50" i="2"/>
  <c r="S50" i="2"/>
  <c r="J53" i="2"/>
  <c r="N53" i="2" s="1"/>
  <c r="K53" i="2"/>
  <c r="L53" i="2"/>
  <c r="M53" i="2"/>
  <c r="P53" i="2"/>
  <c r="Q53" i="2"/>
  <c r="R53" i="2"/>
  <c r="B55" i="2"/>
  <c r="B56" i="2" s="1"/>
  <c r="B57" i="2" s="1"/>
  <c r="F55" i="2"/>
  <c r="D55" i="2" s="1"/>
  <c r="D56" i="2" s="1"/>
  <c r="D57" i="2" s="1"/>
  <c r="H55" i="2"/>
  <c r="G57" i="2"/>
  <c r="H57" i="2"/>
  <c r="I57" i="2"/>
  <c r="M57" i="2"/>
  <c r="N57" i="2" s="1"/>
  <c r="O57" i="2"/>
  <c r="S57" i="2"/>
  <c r="T57" i="2"/>
  <c r="G58" i="2"/>
  <c r="H58" i="2"/>
  <c r="I58" i="2"/>
  <c r="M58" i="2"/>
  <c r="N58" i="2" s="1"/>
  <c r="O58" i="2"/>
  <c r="S58" i="2"/>
  <c r="J61" i="2"/>
  <c r="K61" i="2"/>
  <c r="L61" i="2"/>
  <c r="P61" i="2"/>
  <c r="Q61" i="2"/>
  <c r="R61" i="2"/>
  <c r="S61" i="2"/>
  <c r="T61" i="2"/>
  <c r="B63" i="2"/>
  <c r="B64" i="2" s="1"/>
  <c r="B65" i="2" s="1"/>
  <c r="F63" i="2"/>
  <c r="D63" i="2" s="1"/>
  <c r="D64" i="2" s="1"/>
  <c r="D65" i="2" s="1"/>
  <c r="H63" i="2"/>
  <c r="G65" i="2"/>
  <c r="H65" i="2"/>
  <c r="I65" i="2"/>
  <c r="M65" i="2"/>
  <c r="T65" i="2" s="1"/>
  <c r="N65" i="2"/>
  <c r="O65" i="2"/>
  <c r="S65" i="2"/>
  <c r="S69" i="2" s="1"/>
  <c r="T69" i="2" s="1"/>
  <c r="G66" i="2"/>
  <c r="H66" i="2"/>
  <c r="I66" i="2"/>
  <c r="M66" i="2"/>
  <c r="N66" i="2" s="1"/>
  <c r="O66" i="2"/>
  <c r="S66" i="2"/>
  <c r="J69" i="2"/>
  <c r="K69" i="2"/>
  <c r="L69" i="2"/>
  <c r="P69" i="2"/>
  <c r="Q69" i="2"/>
  <c r="R69" i="2"/>
  <c r="B71" i="2"/>
  <c r="B72" i="2" s="1"/>
  <c r="B73" i="2" s="1"/>
  <c r="D71" i="2"/>
  <c r="F71" i="2"/>
  <c r="H71" i="2"/>
  <c r="D72" i="2"/>
  <c r="D73" i="2" s="1"/>
  <c r="G73" i="2"/>
  <c r="H73" i="2"/>
  <c r="I73" i="2"/>
  <c r="M73" i="2"/>
  <c r="N73" i="2" s="1"/>
  <c r="O73" i="2"/>
  <c r="S73" i="2"/>
  <c r="G74" i="2"/>
  <c r="H74" i="2"/>
  <c r="I74" i="2"/>
  <c r="M74" i="2"/>
  <c r="T74" i="2" s="1"/>
  <c r="O74" i="2"/>
  <c r="S74" i="2"/>
  <c r="S77" i="2" s="1"/>
  <c r="T77" i="2" s="1"/>
  <c r="J77" i="2"/>
  <c r="K77" i="2"/>
  <c r="L77" i="2"/>
  <c r="P77" i="2"/>
  <c r="Q77" i="2"/>
  <c r="R77" i="2"/>
  <c r="B79" i="2"/>
  <c r="B80" i="2" s="1"/>
  <c r="B81" i="2" s="1"/>
  <c r="F79" i="2"/>
  <c r="D79" i="2" s="1"/>
  <c r="D80" i="2" s="1"/>
  <c r="D81" i="2" s="1"/>
  <c r="H79" i="2"/>
  <c r="G81" i="2"/>
  <c r="H81" i="2"/>
  <c r="I81" i="2"/>
  <c r="M81" i="2"/>
  <c r="N81" i="2" s="1"/>
  <c r="O81" i="2"/>
  <c r="S81" i="2"/>
  <c r="G82" i="2"/>
  <c r="H82" i="2"/>
  <c r="I82" i="2"/>
  <c r="M82" i="2"/>
  <c r="T82" i="2" s="1"/>
  <c r="N82" i="2"/>
  <c r="O82" i="2"/>
  <c r="S82" i="2"/>
  <c r="S86" i="2" s="1"/>
  <c r="T86" i="2" s="1"/>
  <c r="G83" i="2"/>
  <c r="H83" i="2"/>
  <c r="I83" i="2"/>
  <c r="M83" i="2"/>
  <c r="N83" i="2"/>
  <c r="O83" i="2"/>
  <c r="S83" i="2"/>
  <c r="T83" i="2"/>
  <c r="J86" i="2"/>
  <c r="K86" i="2"/>
  <c r="L86" i="2"/>
  <c r="P86" i="2"/>
  <c r="Q86" i="2"/>
  <c r="R86" i="2"/>
  <c r="B88" i="2"/>
  <c r="D88" i="2"/>
  <c r="D89" i="2" s="1"/>
  <c r="D90" i="2" s="1"/>
  <c r="F88" i="2"/>
  <c r="H88" i="2"/>
  <c r="B89" i="2"/>
  <c r="B90" i="2" s="1"/>
  <c r="G90" i="2"/>
  <c r="H90" i="2"/>
  <c r="I90" i="2"/>
  <c r="M90" i="2"/>
  <c r="N90" i="2"/>
  <c r="O90" i="2"/>
  <c r="S90" i="2"/>
  <c r="T90" i="2"/>
  <c r="G91" i="2"/>
  <c r="H91" i="2"/>
  <c r="I91" i="2"/>
  <c r="M91" i="2"/>
  <c r="N91" i="2" s="1"/>
  <c r="O91" i="2"/>
  <c r="S91" i="2"/>
  <c r="T91" i="2"/>
  <c r="J94" i="2"/>
  <c r="N94" i="2" s="1"/>
  <c r="K94" i="2"/>
  <c r="L94" i="2"/>
  <c r="M94" i="2"/>
  <c r="P94" i="2"/>
  <c r="Q94" i="2"/>
  <c r="R94" i="2"/>
  <c r="S94" i="2"/>
  <c r="T94" i="2" s="1"/>
  <c r="B96" i="2"/>
  <c r="F96" i="2"/>
  <c r="D96" i="2" s="1"/>
  <c r="D97" i="2" s="1"/>
  <c r="D98" i="2" s="1"/>
  <c r="H96" i="2"/>
  <c r="B97" i="2"/>
  <c r="B98" i="2" s="1"/>
  <c r="G98" i="2"/>
  <c r="H98" i="2"/>
  <c r="I98" i="2"/>
  <c r="M98" i="2"/>
  <c r="N98" i="2"/>
  <c r="O98" i="2"/>
  <c r="S98" i="2"/>
  <c r="T98" i="2"/>
  <c r="G99" i="2"/>
  <c r="H99" i="2"/>
  <c r="I99" i="2"/>
  <c r="M99" i="2"/>
  <c r="N99" i="2"/>
  <c r="O99" i="2"/>
  <c r="S99" i="2"/>
  <c r="S104" i="2" s="1"/>
  <c r="T104" i="2" s="1"/>
  <c r="T99" i="2"/>
  <c r="G100" i="2"/>
  <c r="H100" i="2"/>
  <c r="I100" i="2"/>
  <c r="M100" i="2"/>
  <c r="N100" i="2" s="1"/>
  <c r="O100" i="2"/>
  <c r="S100" i="2"/>
  <c r="G101" i="2"/>
  <c r="H101" i="2"/>
  <c r="I101" i="2"/>
  <c r="M101" i="2"/>
  <c r="T101" i="2" s="1"/>
  <c r="N101" i="2"/>
  <c r="O101" i="2"/>
  <c r="S101" i="2"/>
  <c r="J104" i="2"/>
  <c r="K104" i="2"/>
  <c r="L104" i="2"/>
  <c r="M104" i="2"/>
  <c r="N104" i="2" s="1"/>
  <c r="P104" i="2"/>
  <c r="Q104" i="2"/>
  <c r="R104" i="2"/>
  <c r="B106" i="2"/>
  <c r="B107" i="2" s="1"/>
  <c r="B108" i="2" s="1"/>
  <c r="D106" i="2"/>
  <c r="D107" i="2" s="1"/>
  <c r="D108" i="2" s="1"/>
  <c r="F106" i="2"/>
  <c r="H106" i="2"/>
  <c r="G108" i="2"/>
  <c r="H108" i="2"/>
  <c r="I108" i="2"/>
  <c r="M108" i="2"/>
  <c r="M113" i="2" s="1"/>
  <c r="O108" i="2"/>
  <c r="S108" i="2"/>
  <c r="G109" i="2"/>
  <c r="H109" i="2"/>
  <c r="I109" i="2"/>
  <c r="M109" i="2"/>
  <c r="N109" i="2"/>
  <c r="O109" i="2"/>
  <c r="S109" i="2"/>
  <c r="T109" i="2"/>
  <c r="G110" i="2"/>
  <c r="H110" i="2"/>
  <c r="I110" i="2"/>
  <c r="M110" i="2"/>
  <c r="N110" i="2" s="1"/>
  <c r="O110" i="2"/>
  <c r="S110" i="2"/>
  <c r="T110" i="2"/>
  <c r="J113" i="2"/>
  <c r="N113" i="2" s="1"/>
  <c r="K113" i="2"/>
  <c r="L113" i="2"/>
  <c r="P113" i="2"/>
  <c r="Q113" i="2"/>
  <c r="R113" i="2"/>
  <c r="S113" i="2"/>
  <c r="T113" i="2" s="1"/>
  <c r="B115" i="2"/>
  <c r="F115" i="2"/>
  <c r="D115" i="2" s="1"/>
  <c r="D116" i="2" s="1"/>
  <c r="D117" i="2" s="1"/>
  <c r="D118" i="2" s="1"/>
  <c r="D119" i="2" s="1"/>
  <c r="D120" i="2" s="1"/>
  <c r="H115" i="2"/>
  <c r="B116" i="2"/>
  <c r="B117" i="2" s="1"/>
  <c r="B118" i="2" s="1"/>
  <c r="B119" i="2" s="1"/>
  <c r="B120" i="2" s="1"/>
  <c r="B121" i="2" s="1"/>
  <c r="G117" i="2"/>
  <c r="H117" i="2"/>
  <c r="I117" i="2"/>
  <c r="M117" i="2"/>
  <c r="N117" i="2"/>
  <c r="O117" i="2"/>
  <c r="S117" i="2"/>
  <c r="T117" i="2"/>
  <c r="J120" i="2"/>
  <c r="N120" i="2" s="1"/>
  <c r="K120" i="2"/>
  <c r="L120" i="2"/>
  <c r="M120" i="2"/>
  <c r="P120" i="2"/>
  <c r="T120" i="2" s="1"/>
  <c r="Q120" i="2"/>
  <c r="R120" i="2"/>
  <c r="S120" i="2"/>
  <c r="B122" i="2"/>
  <c r="D122" i="2"/>
  <c r="D123" i="2" s="1"/>
  <c r="D124" i="2" s="1"/>
  <c r="F122" i="2"/>
  <c r="H122" i="2"/>
  <c r="B123" i="2"/>
  <c r="B124" i="2" s="1"/>
  <c r="G124" i="2"/>
  <c r="H124" i="2"/>
  <c r="I124" i="2"/>
  <c r="M124" i="2"/>
  <c r="N124" i="2"/>
  <c r="O124" i="2"/>
  <c r="S124" i="2"/>
  <c r="T124" i="2"/>
  <c r="G125" i="2"/>
  <c r="H125" i="2"/>
  <c r="I125" i="2"/>
  <c r="M125" i="2"/>
  <c r="M132" i="2" s="1"/>
  <c r="O125" i="2"/>
  <c r="S125" i="2"/>
  <c r="T125" i="2"/>
  <c r="G126" i="2"/>
  <c r="H126" i="2"/>
  <c r="I126" i="2"/>
  <c r="M126" i="2"/>
  <c r="N126" i="2" s="1"/>
  <c r="O126" i="2"/>
  <c r="S126" i="2"/>
  <c r="G127" i="2"/>
  <c r="H127" i="2"/>
  <c r="I127" i="2"/>
  <c r="M127" i="2"/>
  <c r="T127" i="2" s="1"/>
  <c r="O127" i="2"/>
  <c r="S127" i="2"/>
  <c r="G128" i="2"/>
  <c r="H128" i="2"/>
  <c r="I128" i="2"/>
  <c r="M128" i="2"/>
  <c r="N128" i="2"/>
  <c r="O128" i="2"/>
  <c r="S128" i="2"/>
  <c r="T128" i="2"/>
  <c r="G129" i="2"/>
  <c r="H129" i="2"/>
  <c r="I129" i="2"/>
  <c r="M129" i="2"/>
  <c r="N129" i="2" s="1"/>
  <c r="O129" i="2"/>
  <c r="S129" i="2"/>
  <c r="T129" i="2"/>
  <c r="J132" i="2"/>
  <c r="N132" i="2" s="1"/>
  <c r="K132" i="2"/>
  <c r="L132" i="2"/>
  <c r="P132" i="2"/>
  <c r="Q132" i="2"/>
  <c r="R132" i="2"/>
  <c r="S132" i="2"/>
  <c r="T132" i="2" s="1"/>
  <c r="B134" i="2"/>
  <c r="F134" i="2"/>
  <c r="D134" i="2" s="1"/>
  <c r="D135" i="2" s="1"/>
  <c r="D136" i="2" s="1"/>
  <c r="D137" i="2" s="1"/>
  <c r="D138" i="2" s="1"/>
  <c r="H134" i="2"/>
  <c r="B135" i="2"/>
  <c r="B136" i="2" s="1"/>
  <c r="B137" i="2" s="1"/>
  <c r="B138" i="2" s="1"/>
  <c r="G136" i="2"/>
  <c r="H136" i="2"/>
  <c r="I136" i="2"/>
  <c r="M136" i="2"/>
  <c r="N136" i="2"/>
  <c r="O136" i="2"/>
  <c r="S136" i="2"/>
  <c r="T136" i="2"/>
  <c r="G137" i="2"/>
  <c r="H137" i="2"/>
  <c r="I137" i="2"/>
  <c r="M137" i="2"/>
  <c r="T137" i="2" s="1"/>
  <c r="O137" i="2"/>
  <c r="S137" i="2"/>
  <c r="G138" i="2"/>
  <c r="H138" i="2"/>
  <c r="I138" i="2"/>
  <c r="M138" i="2"/>
  <c r="T138" i="2" s="1"/>
  <c r="N138" i="2"/>
  <c r="O138" i="2"/>
  <c r="S138" i="2"/>
  <c r="F8" i="1"/>
  <c r="F9" i="1"/>
  <c r="F10" i="1"/>
  <c r="F11" i="1"/>
  <c r="B84" i="2" l="1"/>
  <c r="B85" i="2" s="1"/>
  <c r="B86" i="2" s="1"/>
  <c r="B87" i="2" s="1"/>
  <c r="B82" i="2"/>
  <c r="B83" i="2" s="1"/>
  <c r="D49" i="2"/>
  <c r="D50" i="2" s="1"/>
  <c r="D51" i="2"/>
  <c r="D52" i="2" s="1"/>
  <c r="D53" i="2" s="1"/>
  <c r="D125" i="2"/>
  <c r="D126" i="2" s="1"/>
  <c r="D127" i="2" s="1"/>
  <c r="D128" i="2" s="1"/>
  <c r="D129" i="2" s="1"/>
  <c r="D130" i="2"/>
  <c r="D131" i="2" s="1"/>
  <c r="D132" i="2" s="1"/>
  <c r="D91" i="2"/>
  <c r="D92" i="2"/>
  <c r="D93" i="2" s="1"/>
  <c r="D94" i="2" s="1"/>
  <c r="B99" i="2"/>
  <c r="B100" i="2" s="1"/>
  <c r="B101" i="2" s="1"/>
  <c r="B102" i="2"/>
  <c r="B103" i="2" s="1"/>
  <c r="B104" i="2" s="1"/>
  <c r="B105" i="2" s="1"/>
  <c r="D74" i="2"/>
  <c r="D75" i="2"/>
  <c r="D76" i="2" s="1"/>
  <c r="D77" i="2" s="1"/>
  <c r="B38" i="2"/>
  <c r="B39" i="2" s="1"/>
  <c r="B40" i="2" s="1"/>
  <c r="B41" i="2" s="1"/>
  <c r="B42" i="2"/>
  <c r="B43" i="2" s="1"/>
  <c r="B44" i="2" s="1"/>
  <c r="B45" i="2" s="1"/>
  <c r="D66" i="2"/>
  <c r="D67" i="2"/>
  <c r="D68" i="2" s="1"/>
  <c r="D69" i="2" s="1"/>
  <c r="D109" i="2"/>
  <c r="D110" i="2" s="1"/>
  <c r="D111" i="2"/>
  <c r="D112" i="2" s="1"/>
  <c r="D113" i="2" s="1"/>
  <c r="B66" i="2"/>
  <c r="B67" i="2"/>
  <c r="B68" i="2" s="1"/>
  <c r="B69" i="2" s="1"/>
  <c r="B70" i="2" s="1"/>
  <c r="B125" i="2"/>
  <c r="B126" i="2" s="1"/>
  <c r="B127" i="2" s="1"/>
  <c r="B128" i="2" s="1"/>
  <c r="B129" i="2" s="1"/>
  <c r="B130" i="2"/>
  <c r="B131" i="2" s="1"/>
  <c r="B132" i="2" s="1"/>
  <c r="B133" i="2" s="1"/>
  <c r="B109" i="2"/>
  <c r="B110" i="2" s="1"/>
  <c r="B111" i="2"/>
  <c r="B112" i="2" s="1"/>
  <c r="B113" i="2" s="1"/>
  <c r="B114" i="2" s="1"/>
  <c r="B91" i="2"/>
  <c r="B92" i="2"/>
  <c r="B93" i="2" s="1"/>
  <c r="B94" i="2" s="1"/>
  <c r="B95" i="2" s="1"/>
  <c r="D42" i="2"/>
  <c r="D43" i="2" s="1"/>
  <c r="D44" i="2" s="1"/>
  <c r="D38" i="2"/>
  <c r="D39" i="2" s="1"/>
  <c r="D40" i="2" s="1"/>
  <c r="D41" i="2" s="1"/>
  <c r="D26" i="2"/>
  <c r="D27" i="2" s="1"/>
  <c r="D28" i="2" s="1"/>
  <c r="D29" i="2" s="1"/>
  <c r="D30" i="2" s="1"/>
  <c r="D31" i="2"/>
  <c r="D32" i="2" s="1"/>
  <c r="D33" i="2" s="1"/>
  <c r="D59" i="2"/>
  <c r="D60" i="2" s="1"/>
  <c r="D61" i="2" s="1"/>
  <c r="D58" i="2"/>
  <c r="D121" i="2"/>
  <c r="H120" i="2"/>
  <c r="D102" i="2"/>
  <c r="D103" i="2" s="1"/>
  <c r="D104" i="2" s="1"/>
  <c r="D99" i="2"/>
  <c r="D100" i="2" s="1"/>
  <c r="D101" i="2" s="1"/>
  <c r="B59" i="2"/>
  <c r="B60" i="2" s="1"/>
  <c r="B61" i="2" s="1"/>
  <c r="B62" i="2" s="1"/>
  <c r="B58" i="2"/>
  <c r="D84" i="2"/>
  <c r="D85" i="2" s="1"/>
  <c r="D86" i="2" s="1"/>
  <c r="D82" i="2"/>
  <c r="D83" i="2" s="1"/>
  <c r="B74" i="2"/>
  <c r="B75" i="2"/>
  <c r="B76" i="2" s="1"/>
  <c r="B77" i="2" s="1"/>
  <c r="B78" i="2" s="1"/>
  <c r="N44" i="2"/>
  <c r="N137" i="2"/>
  <c r="T126" i="2"/>
  <c r="T73" i="2"/>
  <c r="M69" i="2"/>
  <c r="N69" i="2" s="1"/>
  <c r="T58" i="2"/>
  <c r="B49" i="2"/>
  <c r="B50" i="2" s="1"/>
  <c r="T39" i="2"/>
  <c r="B26" i="2"/>
  <c r="B27" i="2" s="1"/>
  <c r="B28" i="2" s="1"/>
  <c r="B29" i="2" s="1"/>
  <c r="B30" i="2" s="1"/>
  <c r="N127" i="2"/>
  <c r="N108" i="2"/>
  <c r="N74" i="2"/>
  <c r="M44" i="2"/>
  <c r="N40" i="2"/>
  <c r="T100" i="2"/>
  <c r="T81" i="2"/>
  <c r="M77" i="2"/>
  <c r="N77" i="2" s="1"/>
  <c r="T66" i="2"/>
  <c r="T28" i="2"/>
  <c r="M86" i="2"/>
  <c r="N86" i="2" s="1"/>
  <c r="N125" i="2"/>
  <c r="M61" i="2"/>
  <c r="N61" i="2" s="1"/>
  <c r="T108" i="2"/>
  <c r="B139" i="2"/>
  <c r="B140" i="2" s="1"/>
  <c r="B141" i="2" s="1"/>
  <c r="B142" i="2" s="1"/>
  <c r="H113" i="2" l="1"/>
  <c r="D114" i="2"/>
  <c r="H69" i="2"/>
  <c r="D70" i="2"/>
  <c r="H94" i="2"/>
  <c r="D95" i="2"/>
  <c r="D105" i="2"/>
  <c r="H104" i="2"/>
  <c r="D87" i="2"/>
  <c r="H86" i="2"/>
  <c r="D62" i="2"/>
  <c r="H61" i="2"/>
  <c r="H44" i="2"/>
  <c r="D45" i="2"/>
  <c r="D34" i="2"/>
  <c r="H33" i="2"/>
  <c r="H132" i="2"/>
  <c r="D133" i="2"/>
  <c r="H77" i="2"/>
  <c r="D78" i="2"/>
  <c r="H53" i="2"/>
  <c r="D54" i="2"/>
  <c r="D139" i="2"/>
  <c r="D140" i="2" s="1"/>
  <c r="D141" i="2" s="1"/>
  <c r="H141" i="2" l="1"/>
  <c r="D142" i="2"/>
  <c r="H7" i="2"/>
  <c r="F7" i="2"/>
  <c r="F3" i="2"/>
  <c r="E13" i="1"/>
  <c r="E12" i="1"/>
  <c r="E11" i="1"/>
  <c r="E10" i="1"/>
  <c r="E9" i="1"/>
  <c r="K141" i="2" l="1"/>
  <c r="L141" i="2"/>
  <c r="Q141" i="2"/>
  <c r="R141" i="2"/>
  <c r="E8" i="1"/>
  <c r="S141" i="2" l="1"/>
  <c r="P141" i="2"/>
  <c r="J141" i="2"/>
  <c r="T141" i="2" l="1"/>
  <c r="M141" i="2"/>
  <c r="N141" i="2" s="1"/>
  <c r="P144" i="2" l="1"/>
  <c r="J144" i="2"/>
  <c r="R144" i="2"/>
  <c r="K144" i="2"/>
  <c r="L144" i="2"/>
  <c r="Q144" i="2"/>
  <c r="S144" i="2" l="1"/>
  <c r="T144" i="2" s="1"/>
  <c r="M144" i="2"/>
  <c r="N144" i="2" s="1"/>
</calcChain>
</file>

<file path=xl/sharedStrings.xml><?xml version="1.0" encoding="utf-8"?>
<sst xmlns="http://schemas.openxmlformats.org/spreadsheetml/2006/main" count="1728" uniqueCount="1060">
  <si>
    <t>Profit %</t>
  </si>
  <si>
    <t>Profit $</t>
  </si>
  <si>
    <t>GRAND TOTAL:</t>
  </si>
  <si>
    <t>Quantity</t>
  </si>
  <si>
    <t xml:space="preserve">Report Readme </t>
  </si>
  <si>
    <t>Services</t>
  </si>
  <si>
    <t>Training</t>
  </si>
  <si>
    <t>Sales</t>
  </si>
  <si>
    <t>DISCLAIMER</t>
  </si>
  <si>
    <t>Copyrights</t>
  </si>
  <si>
    <t>Period Type:</t>
  </si>
  <si>
    <t>Item No.:</t>
  </si>
  <si>
    <t>Filters:</t>
  </si>
  <si>
    <t>Item No.</t>
  </si>
  <si>
    <t>End Date:</t>
  </si>
  <si>
    <t>Start Date:</t>
  </si>
  <si>
    <t>LY Date Filter</t>
  </si>
  <si>
    <t>Cust. No.</t>
  </si>
  <si>
    <t>Start Date</t>
  </si>
  <si>
    <t>End Date</t>
  </si>
  <si>
    <t>hide</t>
  </si>
  <si>
    <t>Item Profitability by Customer</t>
  </si>
  <si>
    <t>Customer Name</t>
  </si>
  <si>
    <t>Period Type</t>
  </si>
  <si>
    <t>Date Filter</t>
  </si>
  <si>
    <t>Period Start</t>
  </si>
  <si>
    <t>Period End</t>
  </si>
  <si>
    <t>Hide</t>
  </si>
  <si>
    <t>Company:</t>
  </si>
  <si>
    <t>Title</t>
  </si>
  <si>
    <t>Value</t>
  </si>
  <si>
    <t>Lookup</t>
  </si>
  <si>
    <t>Option</t>
  </si>
  <si>
    <t>Company</t>
  </si>
  <si>
    <t>Current Period Vs. Same Period Last Year</t>
  </si>
  <si>
    <t>Run Date:</t>
  </si>
  <si>
    <t>Auto+Hide</t>
  </si>
  <si>
    <t>Customer No.:</t>
  </si>
  <si>
    <t>Customer No.</t>
  </si>
  <si>
    <t>Customer Filter</t>
  </si>
  <si>
    <t>Documents for Cust.</t>
  </si>
  <si>
    <t>Sales Amount</t>
  </si>
  <si>
    <t>Cost Amount</t>
  </si>
  <si>
    <t>Both Years</t>
  </si>
  <si>
    <t>=NL("Lookup",NP("Companies"),"Select the company to report from:")</t>
  </si>
  <si>
    <t>=NL("Lookup",{"Day","Week","Month","Quarter","Year"},"Enter the Period Type")</t>
  </si>
  <si>
    <t>=NL("Lookup","RM00101",{"CUSTNMBR","CUSTNAME"},,,,,,,,,"Company=",$E$8)</t>
  </si>
  <si>
    <t>=NL("Lookup","IV00101",{"ITEMNMBR","ITEMDESC"},,,,,,,,,"Company=",$E$8)</t>
  </si>
  <si>
    <t>=C12</t>
  </si>
  <si>
    <t>=B12</t>
  </si>
  <si>
    <t>=$C$12</t>
  </si>
  <si>
    <t>=B13</t>
  </si>
  <si>
    <t>=$C$13</t>
  </si>
  <si>
    <t>=NP("Eval","=TODAY()")</t>
  </si>
  <si>
    <t>=B17</t>
  </si>
  <si>
    <t>=$C$17</t>
  </si>
  <si>
    <t>=B18</t>
  </si>
  <si>
    <t>=$C$18</t>
  </si>
  <si>
    <t>=NP("Eval","=IF(Company="""","""",Company)")</t>
  </si>
  <si>
    <t>=NP("Eval","=IF(Per_Type="""",""Month"",Per_Type)")</t>
  </si>
  <si>
    <t>=$C$19&amp;"|"&amp;$C$16</t>
  </si>
  <si>
    <t>=NP("Eval","=IF(End_Date="""",""01/31/01"",End_Date)")</t>
  </si>
  <si>
    <t>=NP("DateFilter",$C$14,$C$15)</t>
  </si>
  <si>
    <t>=NP("Eval","=IF(Source_No="""",""*"",Source_No)")</t>
  </si>
  <si>
    <t>=NP("Eval","=IF(Item_No="""",""*"",Item_No)")</t>
  </si>
  <si>
    <t>=CONCATENATE("Report Period: ",C16)</t>
  </si>
  <si>
    <t>=NL("Filter","SOP30300","SOPNUMBE","SOPTYPE","3","ITEMNMBR",$C$18,"Company=",$C$12)</t>
  </si>
  <si>
    <t>=B23</t>
  </si>
  <si>
    <t>=B24</t>
  </si>
  <si>
    <t>=B25</t>
  </si>
  <si>
    <t>=B26</t>
  </si>
  <si>
    <t>=B27</t>
  </si>
  <si>
    <t>=SUBTOTAL(9,K25:K27)</t>
  </si>
  <si>
    <t>=SUBTOTAL(9,L25:L27)</t>
  </si>
  <si>
    <t>=SUBTOTAL(9,M25:M27)</t>
  </si>
  <si>
    <t>=SUBTOTAL(9,Q25:Q27)</t>
  </si>
  <si>
    <t>=SUBTOTAL(9,R25:R27)</t>
  </si>
  <si>
    <t>=SUBTOTAL(9,S25:S27)</t>
  </si>
  <si>
    <t>=B28</t>
  </si>
  <si>
    <t>=B29</t>
  </si>
  <si>
    <t>=SUBTOTAL(9,K25:K30)</t>
  </si>
  <si>
    <t>=SUBTOTAL(9,L25:L30)</t>
  </si>
  <si>
    <t>=SUBTOTAL(9,M25:M30)</t>
  </si>
  <si>
    <t>=SUBTOTAL(9,Q25:Q30)</t>
  </si>
  <si>
    <t>=SUBTOTAL(9,R25:R30)</t>
  </si>
  <si>
    <t>=SUBTOTAL(9,S25:S30)</t>
  </si>
  <si>
    <t>Auto</t>
  </si>
  <si>
    <t>="ACCS-RST-DXWH"</t>
  </si>
  <si>
    <t>="ANSW-PAN-1450"</t>
  </si>
  <si>
    <t>=B31</t>
  </si>
  <si>
    <t>=B32</t>
  </si>
  <si>
    <t>="FAXX-RIC-060E"</t>
  </si>
  <si>
    <t>=B36</t>
  </si>
  <si>
    <t>="PHON-ATT-53WH"</t>
  </si>
  <si>
    <t>="*"</t>
  </si>
  <si>
    <t>="Month"</t>
  </si>
  <si>
    <t xml:space="preserve">Sales Amount </t>
  </si>
  <si>
    <t>About the report</t>
  </si>
  <si>
    <t>Modifying your report</t>
  </si>
  <si>
    <t>Version of Jet</t>
  </si>
  <si>
    <t>="Fabrikam, Inc."</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</si>
  <si>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</si>
  <si>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</si>
  <si>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</si>
  <si>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</si>
  <si>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</si>
  <si>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</si>
  <si>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</si>
  <si>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</si>
  <si>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</si>
  <si>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</si>
  <si>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</si>
  <si>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</si>
  <si>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</si>
  <si>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</si>
  <si>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</si>
  <si>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</si>
  <si>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</si>
  <si>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provides information about item sales by customer, including item number and description, quantity, sales amount, gross profit, etc.
It provides information about user selected date period and the same period one year prior.
This report returns transactions from SOP30200 and SOP30300.
This report uses "Friendly names" and/or Jet Specific data tables.  If you do not have these installed on your GP database this report will return an error.   Installation details for this utility can be found by going to the Jet Help Center and searching  "GP Update Utility".</t>
  </si>
  <si>
    <t>hide+Auto</t>
  </si>
  <si>
    <t>=B38</t>
  </si>
  <si>
    <t>=B40</t>
  </si>
  <si>
    <t>=B42</t>
  </si>
  <si>
    <t>=B43</t>
  </si>
  <si>
    <t>=B47</t>
  </si>
  <si>
    <t>=B48</t>
  </si>
  <si>
    <t>=B49</t>
  </si>
  <si>
    <t>=B52</t>
  </si>
  <si>
    <t>=B56</t>
  </si>
  <si>
    <t>="ASTORSUI0001"</t>
  </si>
  <si>
    <t>=B60</t>
  </si>
  <si>
    <t>=B63</t>
  </si>
  <si>
    <t>=B64</t>
  </si>
  <si>
    <t>=B65</t>
  </si>
  <si>
    <t>="BLUEYOND0001"</t>
  </si>
  <si>
    <t>=B67</t>
  </si>
  <si>
    <t>=B68</t>
  </si>
  <si>
    <t>=B69</t>
  </si>
  <si>
    <t>=B71</t>
  </si>
  <si>
    <t>=B72</t>
  </si>
  <si>
    <t>="CENTRALC0001"</t>
  </si>
  <si>
    <t>=B75</t>
  </si>
  <si>
    <t>=B76</t>
  </si>
  <si>
    <t>=B79</t>
  </si>
  <si>
    <t>=B80</t>
  </si>
  <si>
    <t>=B82</t>
  </si>
  <si>
    <t>=B84</t>
  </si>
  <si>
    <t>="HDWR-PNL-0001"</t>
  </si>
  <si>
    <t>=B88</t>
  </si>
  <si>
    <t>=B92</t>
  </si>
  <si>
    <t>=B94</t>
  </si>
  <si>
    <t>=B96</t>
  </si>
  <si>
    <t>="LAWRENCE0001"</t>
  </si>
  <si>
    <t>=B98</t>
  </si>
  <si>
    <t>=B99</t>
  </si>
  <si>
    <t>=B102</t>
  </si>
  <si>
    <t>=B103</t>
  </si>
  <si>
    <t>=B106</t>
  </si>
  <si>
    <t>=B107</t>
  </si>
  <si>
    <t>=B108</t>
  </si>
  <si>
    <t>=B109</t>
  </si>
  <si>
    <t>="MAGNIFIC0001"</t>
  </si>
  <si>
    <t>=B113</t>
  </si>
  <si>
    <t>=B115</t>
  </si>
  <si>
    <t>=B116</t>
  </si>
  <si>
    <t>=B117</t>
  </si>
  <si>
    <t>="MAHLERST0001"</t>
  </si>
  <si>
    <t>=B120</t>
  </si>
  <si>
    <t>=B123</t>
  </si>
  <si>
    <t>=B124</t>
  </si>
  <si>
    <t>="METROPOL0001"</t>
  </si>
  <si>
    <t>=B127</t>
  </si>
  <si>
    <t>=B128</t>
  </si>
  <si>
    <t>=B130</t>
  </si>
  <si>
    <t>=B131</t>
  </si>
  <si>
    <t>=B134</t>
  </si>
  <si>
    <t>=B135</t>
  </si>
  <si>
    <t>=B137</t>
  </si>
  <si>
    <t>="PLAZAONE0001"</t>
  </si>
  <si>
    <t>=B141</t>
  </si>
  <si>
    <t>="VANCOUVE0001"</t>
  </si>
  <si>
    <t>="FAXX-CAN-9800"</t>
  </si>
  <si>
    <t>=NP("Eval","=IF(Start_Date="""",""01/01/2010"",Start_Date)")</t>
  </si>
  <si>
    <t>=B112</t>
  </si>
  <si>
    <t>=B119</t>
  </si>
  <si>
    <t>=B126</t>
  </si>
  <si>
    <t>=NL("Columns=13","Jet_Date",$H$13,$H$13,$C$16,"Period Type",$C$13)</t>
  </si>
  <si>
    <t>=DATE(YEAR(I$13)-1,MONTH(I$13),DAY(I$13))</t>
  </si>
  <si>
    <t>=NL(,"Jet_Date",$H$14,$H$13,I$13,"Period Type",$C$13)</t>
  </si>
  <si>
    <t>=DATE(YEAR(I$14)-1,MONTH(I$14),DAY(I$14))</t>
  </si>
  <si>
    <t>=NP("datefilter",I13,I14)</t>
  </si>
  <si>
    <t>=NP("datefilter",O13,O14)</t>
  </si>
  <si>
    <t>=NP("DateFilter",DATE(YEAR(I$13)-1,MONTH(I$13),DAY(I$13)),DATE(YEAR(I$14)-1,MONTH(I$14),DAY(I$14)))</t>
  </si>
  <si>
    <t>=TEXT(I$13,"MMM-YYYY")</t>
  </si>
  <si>
    <t>=TEXT(O$13,"MMM-YYYY")</t>
  </si>
  <si>
    <t>=NL("Filter","SOP30200","SOPNUMBE","DOCDATE",$D$14,"CUSTNMBR",$D23,"Company=",$C$12)</t>
  </si>
  <si>
    <t>=F23</t>
  </si>
  <si>
    <t>=NL("Rows=7","SOP30200","CUSTNMBR","CUSTNMBR",$C$17,"DOCDATE",$D$14,"SOPNUMBE",$C$20,"Company=",$C$12)</t>
  </si>
  <si>
    <t>=D23</t>
  </si>
  <si>
    <t>=D24</t>
  </si>
  <si>
    <t>=NL("Filter","SOP30200","SOPNUMBE","DOCDATE",I$15,"CUSTNMBR",$D25)</t>
  </si>
  <si>
    <t>=NL("Sum","SOP30300","XTNDPRCE","SOPNUMBE",I25,"ITEMNMBR","@@"&amp;$G25,"Company=",$C$12)</t>
  </si>
  <si>
    <t>=NL("Sum","SOP30300","QUANTITY","SOPNUMBE",I25,"ITEMNMBR","@@"&amp;$G25,"Company=",$C$12)</t>
  </si>
  <si>
    <t>=NL("Sum","SOP30300","EXTDCOST","SOPNUMBE",I25,"ITEMNMBR","@@"&amp;$G25,"Company=",$C$12)</t>
  </si>
  <si>
    <t>=+J25-L25</t>
  </si>
  <si>
    <t>=IF($M25=0,0,$M25/$J25)</t>
  </si>
  <si>
    <t>=NL("Filter","SOP30200","SOPNUMBE","DOCDATE",O$15,"CUSTNMBR",$D25)</t>
  </si>
  <si>
    <t>=NL("Sum","SOP30300","XTNDPRCE","SOPNUMBE",O25,"ITEMNMBR","@@"&amp;$G25,"Company=",$C$12)</t>
  </si>
  <si>
    <t>=NL("Sum","SOP30300","QUANTITY","SOPNUMBE",O25,"ITEMNMBR","@@"&amp;$G25,"Company=",$C$12)</t>
  </si>
  <si>
    <t>=NL("Sum","SOP30300","EXTDCOST","SOPNUMBE",O25,"ITEMNMBR","@@"&amp;$G25,"Company=",$C$12)</t>
  </si>
  <si>
    <t>=+P25-R25</t>
  </si>
  <si>
    <t>=D25</t>
  </si>
  <si>
    <t>=D26</t>
  </si>
  <si>
    <t>=D27</t>
  </si>
  <si>
    <t>="Total "&amp;D28&amp;":"</t>
  </si>
  <si>
    <t>=SUBTOTAL(9,J25:J27)</t>
  </si>
  <si>
    <t>=IF(J28=0,0,+M28/J28)</t>
  </si>
  <si>
    <t>=SUBTOTAL(9,P25:P27)</t>
  </si>
  <si>
    <t>=IF(S28=0,0,S28/P28)</t>
  </si>
  <si>
    <t>=D28</t>
  </si>
  <si>
    <t>=SUBTOTAL(9,J25:J30)</t>
  </si>
  <si>
    <t>=IF(J31=0,0,+M31/J31)</t>
  </si>
  <si>
    <t>=SUBTOTAL(9,P25:P30)</t>
  </si>
  <si>
    <t>=IF(P31=0,0,+S31/P31)</t>
  </si>
  <si>
    <t>=NL("Filter","SOP30200","SOPNUMBE","DOCDATE",I$15,"CUSTNMBR",$D26)</t>
  </si>
  <si>
    <t>=NL("Sum","SOP30300","XTNDPRCE","SOPNUMBE",I26,"ITEMNMBR","@@"&amp;$G26,"Company=",$C$12)</t>
  </si>
  <si>
    <t>=NL("Sum","SOP30300","QUANTITY","SOPNUMBE",I26,"ITEMNMBR","@@"&amp;$G26,"Company=",$C$12)</t>
  </si>
  <si>
    <t>=NL("Sum","SOP30300","EXTDCOST","SOPNUMBE",I26,"ITEMNMBR","@@"&amp;$G26,"Company=",$C$12)</t>
  </si>
  <si>
    <t>=+J26-L26</t>
  </si>
  <si>
    <t>=IF($M26=0,0,$M26/$J26)</t>
  </si>
  <si>
    <t>=NL("Filter","SOP30200","SOPNUMBE","DOCDATE",O$15,"CUSTNMBR",$D26)</t>
  </si>
  <si>
    <t>=NL("Sum","SOP30300","XTNDPRCE","SOPNUMBE",O26,"ITEMNMBR","@@"&amp;$G26,"Company=",$C$12)</t>
  </si>
  <si>
    <t>=NL("Sum","SOP30300","QUANTITY","SOPNUMBE",O26,"ITEMNMBR","@@"&amp;$G26,"Company=",$C$12)</t>
  </si>
  <si>
    <t>=NL("Sum","SOP30300","EXTDCOST","SOPNUMBE",O26,"ITEMNMBR","@@"&amp;$G26,"Company=",$C$12)</t>
  </si>
  <si>
    <t>=+P26-R26</t>
  </si>
  <si>
    <t>=NL("Filter","SOP30200","SOPNUMBE","DOCDATE",I$15,"CUSTNMBR",$D27)</t>
  </si>
  <si>
    <t>=NL("Sum","SOP30300","XTNDPRCE","SOPNUMBE",I27,"ITEMNMBR","@@"&amp;$G27,"Company=",$C$12)</t>
  </si>
  <si>
    <t>=NL("Sum","SOP30300","QUANTITY","SOPNUMBE",I27,"ITEMNMBR","@@"&amp;$G27,"Company=",$C$12)</t>
  </si>
  <si>
    <t>=NL("Sum","SOP30300","EXTDCOST","SOPNUMBE",I27,"ITEMNMBR","@@"&amp;$G27,"Company=",$C$12)</t>
  </si>
  <si>
    <t>=+J27-L27</t>
  </si>
  <si>
    <t>=IF($M27=0,0,$M27/$J27)</t>
  </si>
  <si>
    <t>=NL("Filter","SOP30200","SOPNUMBE","DOCDATE",O$15,"CUSTNMBR",$D27)</t>
  </si>
  <si>
    <t>=NL("Sum","SOP30300","XTNDPRCE","SOPNUMBE",O27,"ITEMNMBR","@@"&amp;$G27,"Company=",$C$12)</t>
  </si>
  <si>
    <t>=NL("Sum","SOP30300","QUANTITY","SOPNUMBE",O27,"ITEMNMBR","@@"&amp;$G27,"Company=",$C$12)</t>
  </si>
  <si>
    <t>=NL("Sum","SOP30300","EXTDCOST","SOPNUMBE",O27,"ITEMNMBR","@@"&amp;$G27,"Company=",$C$12)</t>
  </si>
  <si>
    <t>=+P27-R27</t>
  </si>
  <si>
    <t>=NL("Filter","SOP30200","SOPNUMBE","DOCDATE",I$15,"CUSTNMBR",$D28)</t>
  </si>
  <si>
    <t>=NL("Sum","SOP30300","XTNDPRCE","SOPNUMBE",I28,"ITEMNMBR","@@"&amp;$G28,"Company=",$C$12)</t>
  </si>
  <si>
    <t>=NL("Sum","SOP30300","QUANTITY","SOPNUMBE",I28,"ITEMNMBR","@@"&amp;$G28,"Company=",$C$12)</t>
  </si>
  <si>
    <t>=NL("Sum","SOP30300","EXTDCOST","SOPNUMBE",I28,"ITEMNMBR","@@"&amp;$G28,"Company=",$C$12)</t>
  </si>
  <si>
    <t>=+J28-L28</t>
  </si>
  <si>
    <t>=IF($M28=0,0,$M28/$J28)</t>
  </si>
  <si>
    <t>=NL("Filter","SOP30200","SOPNUMBE","DOCDATE",O$15,"CUSTNMBR",$D28)</t>
  </si>
  <si>
    <t>=NL("Sum","SOP30300","XTNDPRCE","SOPNUMBE",O28,"ITEMNMBR","@@"&amp;$G28,"Company=",$C$12)</t>
  </si>
  <si>
    <t>=NL("Sum","SOP30300","QUANTITY","SOPNUMBE",O28,"ITEMNMBR","@@"&amp;$G28,"Company=",$C$12)</t>
  </si>
  <si>
    <t>=NL("Sum","SOP30300","EXTDCOST","SOPNUMBE",O28,"ITEMNMBR","@@"&amp;$G28,"Company=",$C$12)</t>
  </si>
  <si>
    <t>=+P28-R28</t>
  </si>
  <si>
    <t>=NL("Filter","SOP30200","SOPNUMBE","DOCDATE",I$15,"CUSTNMBR",$D29)</t>
  </si>
  <si>
    <t>=NL("Sum","SOP30300","XTNDPRCE","SOPNUMBE",I29,"ITEMNMBR","@@"&amp;$G29,"Company=",$C$12)</t>
  </si>
  <si>
    <t>=NL("Sum","SOP30300","QUANTITY","SOPNUMBE",I29,"ITEMNMBR","@@"&amp;$G29,"Company=",$C$12)</t>
  </si>
  <si>
    <t>=NL("Sum","SOP30300","EXTDCOST","SOPNUMBE",I29,"ITEMNMBR","@@"&amp;$G29,"Company=",$C$12)</t>
  </si>
  <si>
    <t>=+J29-L29</t>
  </si>
  <si>
    <t>=IF($M29=0,0,$M29/$J29)</t>
  </si>
  <si>
    <t>=NL("Filter","SOP30200","SOPNUMBE","DOCDATE",O$15,"CUSTNMBR",$D29)</t>
  </si>
  <si>
    <t>=NL("Sum","SOP30300","XTNDPRCE","SOPNUMBE",O29,"ITEMNMBR","@@"&amp;$G29,"Company=",$C$12)</t>
  </si>
  <si>
    <t>=NL("Sum","SOP30300","QUANTITY","SOPNUMBE",O29,"ITEMNMBR","@@"&amp;$G29,"Company=",$C$12)</t>
  </si>
  <si>
    <t>=NL("Sum","SOP30300","EXTDCOST","SOPNUMBE",O29,"ITEMNMBR","@@"&amp;$G29,"Company=",$C$12)</t>
  </si>
  <si>
    <t>=+P29-R29</t>
  </si>
  <si>
    <t>=D29</t>
  </si>
  <si>
    <t>=NL("Filter","SOP30200","SOPNUMBE","DOCDATE",I$15,"CUSTNMBR",$D30)</t>
  </si>
  <si>
    <t>=NL("Sum","SOP30300","XTNDPRCE","SOPNUMBE",I30,"ITEMNMBR","@@"&amp;$G30,"Company=",$C$12)</t>
  </si>
  <si>
    <t>=NL("Sum","SOP30300","QUANTITY","SOPNUMBE",I30,"ITEMNMBR","@@"&amp;$G30,"Company=",$C$12)</t>
  </si>
  <si>
    <t>=NL("Sum","SOP30300","EXTDCOST","SOPNUMBE",I30,"ITEMNMBR","@@"&amp;$G30,"Company=",$C$12)</t>
  </si>
  <si>
    <t>=+J30-L30</t>
  </si>
  <si>
    <t>=IF($M30=0,0,$M30/$J30)</t>
  </si>
  <si>
    <t>=NL("Filter","SOP30200","SOPNUMBE","DOCDATE",O$15,"CUSTNMBR",$D30)</t>
  </si>
  <si>
    <t>=NL("Sum","SOP30300","XTNDPRCE","SOPNUMBE",O30,"ITEMNMBR","@@"&amp;$G30,"Company=",$C$12)</t>
  </si>
  <si>
    <t>=NL("Sum","SOP30300","QUANTITY","SOPNUMBE",O30,"ITEMNMBR","@@"&amp;$G30,"Company=",$C$12)</t>
  </si>
  <si>
    <t>=NL("Sum","SOP30300","EXTDCOST","SOPNUMBE",O30,"ITEMNMBR","@@"&amp;$G30,"Company=",$C$12)</t>
  </si>
  <si>
    <t>=+P30-R30</t>
  </si>
  <si>
    <t>=D31</t>
  </si>
  <si>
    <t>=D32</t>
  </si>
  <si>
    <t>=D36</t>
  </si>
  <si>
    <t>=D38</t>
  </si>
  <si>
    <t>=D40</t>
  </si>
  <si>
    <t>=D42</t>
  </si>
  <si>
    <t>=D43</t>
  </si>
  <si>
    <t>=D47</t>
  </si>
  <si>
    <t>=D48</t>
  </si>
  <si>
    <t>=D49</t>
  </si>
  <si>
    <t>=D52</t>
  </si>
  <si>
    <t>=D56</t>
  </si>
  <si>
    <t>=D60</t>
  </si>
  <si>
    <t>=D63</t>
  </si>
  <si>
    <t>=D64</t>
  </si>
  <si>
    <t>=D65</t>
  </si>
  <si>
    <t>=D67</t>
  </si>
  <si>
    <t>=D68</t>
  </si>
  <si>
    <t>=D69</t>
  </si>
  <si>
    <t>=D71</t>
  </si>
  <si>
    <t>=D72</t>
  </si>
  <si>
    <t>=D75</t>
  </si>
  <si>
    <t>=D76</t>
  </si>
  <si>
    <t>=D79</t>
  </si>
  <si>
    <t>=D80</t>
  </si>
  <si>
    <t>=D82</t>
  </si>
  <si>
    <t>=D84</t>
  </si>
  <si>
    <t>=D88</t>
  </si>
  <si>
    <t>=D92</t>
  </si>
  <si>
    <t>=D94</t>
  </si>
  <si>
    <t>=D96</t>
  </si>
  <si>
    <t>=D98</t>
  </si>
  <si>
    <t>=D99</t>
  </si>
  <si>
    <t>=NL("Filter","SOP30200","SOPNUMBE","DOCDATE",I$15,"CUSTNMBR",$D100)</t>
  </si>
  <si>
    <t>=NL("Sum","SOP30300","XTNDPRCE","SOPNUMBE",I100,"ITEMNMBR","@@"&amp;$G100,"Company=",$C$12)</t>
  </si>
  <si>
    <t>=NL("Sum","SOP30300","QUANTITY","SOPNUMBE",I100,"ITEMNMBR","@@"&amp;$G100,"Company=",$C$12)</t>
  </si>
  <si>
    <t>=NL("Sum","SOP30300","EXTDCOST","SOPNUMBE",I100,"ITEMNMBR","@@"&amp;$G100,"Company=",$C$12)</t>
  </si>
  <si>
    <t>=+J100-L100</t>
  </si>
  <si>
    <t>=IF($M100=0,0,$M100/$J100)</t>
  </si>
  <si>
    <t>=NL("Filter","SOP30200","SOPNUMBE","DOCDATE",O$15,"CUSTNMBR",$D100)</t>
  </si>
  <si>
    <t>=NL("Sum","SOP30300","XTNDPRCE","SOPNUMBE",O100,"ITEMNMBR","@@"&amp;$G100,"Company=",$C$12)</t>
  </si>
  <si>
    <t>=NL("Sum","SOP30300","QUANTITY","SOPNUMBE",O100,"ITEMNMBR","@@"&amp;$G100,"Company=",$C$12)</t>
  </si>
  <si>
    <t>=NL("Sum","SOP30300","EXTDCOST","SOPNUMBE",O100,"ITEMNMBR","@@"&amp;$G100,"Company=",$C$12)</t>
  </si>
  <si>
    <t>=+P100-R100</t>
  </si>
  <si>
    <t>=D102</t>
  </si>
  <si>
    <t>=D103</t>
  </si>
  <si>
    <t>=D106</t>
  </si>
  <si>
    <t>=D107</t>
  </si>
  <si>
    <t>=D108</t>
  </si>
  <si>
    <t>=D109</t>
  </si>
  <si>
    <t>=D112</t>
  </si>
  <si>
    <t>=D113</t>
  </si>
  <si>
    <t>=D115</t>
  </si>
  <si>
    <t>=D116</t>
  </si>
  <si>
    <t>=D117</t>
  </si>
  <si>
    <t>=D119</t>
  </si>
  <si>
    <t>=D120</t>
  </si>
  <si>
    <t>=D123</t>
  </si>
  <si>
    <t>=D124</t>
  </si>
  <si>
    <t>=D126</t>
  </si>
  <si>
    <t>=D127</t>
  </si>
  <si>
    <t>=D128</t>
  </si>
  <si>
    <t>=D130</t>
  </si>
  <si>
    <t>=D131</t>
  </si>
  <si>
    <t>=D134</t>
  </si>
  <si>
    <t>=D135</t>
  </si>
  <si>
    <t>=D137</t>
  </si>
  <si>
    <t>=D141</t>
  </si>
  <si>
    <t>=B35</t>
  </si>
  <si>
    <t>=D35</t>
  </si>
  <si>
    <t>=B39</t>
  </si>
  <si>
    <t>=D39</t>
  </si>
  <si>
    <t>=NL("Filter","SOP30200","SOPNUMBE","DOCDATE",I$15,"CUSTNMBR",$D40)</t>
  </si>
  <si>
    <t>=NL("Sum","SOP30300","XTNDPRCE","SOPNUMBE",I40,"ITEMNMBR","@@"&amp;$G40,"Company=",$C$12)</t>
  </si>
  <si>
    <t>=NL("Sum","SOP30300","QUANTITY","SOPNUMBE",I40,"ITEMNMBR","@@"&amp;$G40,"Company=",$C$12)</t>
  </si>
  <si>
    <t>=NL("Sum","SOP30300","EXTDCOST","SOPNUMBE",I40,"ITEMNMBR","@@"&amp;$G40,"Company=",$C$12)</t>
  </si>
  <si>
    <t>=+J40-L40</t>
  </si>
  <si>
    <t>=IF($M40=0,0,$M40/$J40)</t>
  </si>
  <si>
    <t>=NL("Filter","SOP30200","SOPNUMBE","DOCDATE",O$15,"CUSTNMBR",$D40)</t>
  </si>
  <si>
    <t>=NL("Sum","SOP30300","XTNDPRCE","SOPNUMBE",O40,"ITEMNMBR","@@"&amp;$G40,"Company=",$C$12)</t>
  </si>
  <si>
    <t>=NL("Sum","SOP30300","QUANTITY","SOPNUMBE",O40,"ITEMNMBR","@@"&amp;$G40,"Company=",$C$12)</t>
  </si>
  <si>
    <t>=NL("Sum","SOP30300","EXTDCOST","SOPNUMBE",O40,"ITEMNMBR","@@"&amp;$G40,"Company=",$C$12)</t>
  </si>
  <si>
    <t>=+P40-R40</t>
  </si>
  <si>
    <t>=B46</t>
  </si>
  <si>
    <t>=D46</t>
  </si>
  <si>
    <t>=B53</t>
  </si>
  <si>
    <t>=D53</t>
  </si>
  <si>
    <t>=B57</t>
  </si>
  <si>
    <t>=D57</t>
  </si>
  <si>
    <t>=B61</t>
  </si>
  <si>
    <t>=D61</t>
  </si>
  <si>
    <t>=B85</t>
  </si>
  <si>
    <t>=D85</t>
  </si>
  <si>
    <t>=B89</t>
  </si>
  <si>
    <t>=D89</t>
  </si>
  <si>
    <t>=B93</t>
  </si>
  <si>
    <t>=D93</t>
  </si>
  <si>
    <t>=B100</t>
  </si>
  <si>
    <t>=D100</t>
  </si>
  <si>
    <t>=B122</t>
  </si>
  <si>
    <t>=D122</t>
  </si>
  <si>
    <t>=NL("Filter","SOP30200","SOPNUMBE","DOCDATE",I$15,"CUSTNMBR",$D128)</t>
  </si>
  <si>
    <t>=NL("Sum","SOP30300","XTNDPRCE","SOPNUMBE",I128,"ITEMNMBR","@@"&amp;$G128,"Company=",$C$12)</t>
  </si>
  <si>
    <t>=NL("Sum","SOP30300","QUANTITY","SOPNUMBE",I128,"ITEMNMBR","@@"&amp;$G128,"Company=",$C$12)</t>
  </si>
  <si>
    <t>=NL("Sum","SOP30300","EXTDCOST","SOPNUMBE",I128,"ITEMNMBR","@@"&amp;$G128,"Company=",$C$12)</t>
  </si>
  <si>
    <t>=+J128-L128</t>
  </si>
  <si>
    <t>=IF($M128=0,0,$M128/$J128)</t>
  </si>
  <si>
    <t>=NL("Filter","SOP30200","SOPNUMBE","DOCDATE",O$15,"CUSTNMBR",$D128)</t>
  </si>
  <si>
    <t>=NL("Sum","SOP30300","XTNDPRCE","SOPNUMBE",O128,"ITEMNMBR","@@"&amp;$G128,"Company=",$C$12)</t>
  </si>
  <si>
    <t>=NL("Sum","SOP30300","QUANTITY","SOPNUMBE",O128,"ITEMNMBR","@@"&amp;$G128,"Company=",$C$12)</t>
  </si>
  <si>
    <t>=NL("Sum","SOP30300","EXTDCOST","SOPNUMBE",O128,"ITEMNMBR","@@"&amp;$G128,"Company=",$C$12)</t>
  </si>
  <si>
    <t>=+P128-R128</t>
  </si>
  <si>
    <t>=B136</t>
  </si>
  <si>
    <t>=D136</t>
  </si>
  <si>
    <t>=B140</t>
  </si>
  <si>
    <t>=D140</t>
  </si>
  <si>
    <t>="03/01/2017"</t>
  </si>
  <si>
    <t>="03/12/2017"</t>
  </si>
  <si>
    <t>="PHON-ATT-53BK"</t>
  </si>
  <si>
    <t>="PHON-PAN-3155"</t>
  </si>
  <si>
    <t>="Total "&amp;D33&amp;":"</t>
  </si>
  <si>
    <t>=SUBTOTAL(9,J25:J32)</t>
  </si>
  <si>
    <t>=SUBTOTAL(9,K25:K32)</t>
  </si>
  <si>
    <t>=SUBTOTAL(9,L25:L32)</t>
  </si>
  <si>
    <t>=SUBTOTAL(9,M25:M32)</t>
  </si>
  <si>
    <t>=IF(J33=0,0,+M33/J33)</t>
  </si>
  <si>
    <t>=SUBTOTAL(9,P25:P32)</t>
  </si>
  <si>
    <t>=SUBTOTAL(9,Q25:Q32)</t>
  </si>
  <si>
    <t>=SUBTOTAL(9,R25:R32)</t>
  </si>
  <si>
    <t>=SUBTOTAL(9,S25:S32)</t>
  </si>
  <si>
    <t>=IF(S33=0,0,S33/P33)</t>
  </si>
  <si>
    <t>=B33</t>
  </si>
  <si>
    <t>=D33</t>
  </si>
  <si>
    <t>=NL("Filter","SOP30200","SOPNUMBE","DOCDATE",$D$14,"CUSTNMBR",$D35,"Company=",$C$12)</t>
  </si>
  <si>
    <t>=F35</t>
  </si>
  <si>
    <t>=NL("Filter","SOP30200","SOPNUMBE","DOCDATE",I$15,"CUSTNMBR",$D37)</t>
  </si>
  <si>
    <t>=NL("Sum","SOP30300","XTNDPRCE","SOPNUMBE",I37,"ITEMNMBR","@@"&amp;$G37,"Company=",$C$12)</t>
  </si>
  <si>
    <t>=NL("Sum","SOP30300","QUANTITY","SOPNUMBE",I37,"ITEMNMBR","@@"&amp;$G37,"Company=",$C$12)</t>
  </si>
  <si>
    <t>=NL("Sum","SOP30300","EXTDCOST","SOPNUMBE",I37,"ITEMNMBR","@@"&amp;$G37,"Company=",$C$12)</t>
  </si>
  <si>
    <t>=+J37-L37</t>
  </si>
  <si>
    <t>=IF($M37=0,0,$M37/$J37)</t>
  </si>
  <si>
    <t>=NL("Filter","SOP30200","SOPNUMBE","DOCDATE",O$15,"CUSTNMBR",$D37)</t>
  </si>
  <si>
    <t>=NL("Sum","SOP30300","XTNDPRCE","SOPNUMBE",O37,"ITEMNMBR","@@"&amp;$G37,"Company=",$C$12)</t>
  </si>
  <si>
    <t>=NL("Sum","SOP30300","QUANTITY","SOPNUMBE",O37,"ITEMNMBR","@@"&amp;$G37,"Company=",$C$12)</t>
  </si>
  <si>
    <t>=NL("Sum","SOP30300","EXTDCOST","SOPNUMBE",O37,"ITEMNMBR","@@"&amp;$G37,"Company=",$C$12)</t>
  </si>
  <si>
    <t>=+P37-R37</t>
  </si>
  <si>
    <t>=B37</t>
  </si>
  <si>
    <t>=D37</t>
  </si>
  <si>
    <t>="ACCS-CRD-25BK"</t>
  </si>
  <si>
    <t>=NL("Filter","SOP30200","SOPNUMBE","DOCDATE",I$15,"CUSTNMBR",$D38)</t>
  </si>
  <si>
    <t>=NL("Sum","SOP30300","XTNDPRCE","SOPNUMBE",I38,"ITEMNMBR","@@"&amp;$G38,"Company=",$C$12)</t>
  </si>
  <si>
    <t>=NL("Sum","SOP30300","QUANTITY","SOPNUMBE",I38,"ITEMNMBR","@@"&amp;$G38,"Company=",$C$12)</t>
  </si>
  <si>
    <t>=NL("Sum","SOP30300","EXTDCOST","SOPNUMBE",I38,"ITEMNMBR","@@"&amp;$G38,"Company=",$C$12)</t>
  </si>
  <si>
    <t>=+J38-L38</t>
  </si>
  <si>
    <t>=IF($M38=0,0,$M38/$J38)</t>
  </si>
  <si>
    <t>=NL("Filter","SOP30200","SOPNUMBE","DOCDATE",O$15,"CUSTNMBR",$D38)</t>
  </si>
  <si>
    <t>=NL("Sum","SOP30300","XTNDPRCE","SOPNUMBE",O38,"ITEMNMBR","@@"&amp;$G38,"Company=",$C$12)</t>
  </si>
  <si>
    <t>=NL("Sum","SOP30300","QUANTITY","SOPNUMBE",O38,"ITEMNMBR","@@"&amp;$G38,"Company=",$C$12)</t>
  </si>
  <si>
    <t>=NL("Sum","SOP30300","EXTDCOST","SOPNUMBE",O38,"ITEMNMBR","@@"&amp;$G38,"Company=",$C$12)</t>
  </si>
  <si>
    <t>=+P38-R38</t>
  </si>
  <si>
    <t>=NL("Filter","SOP30200","SOPNUMBE","DOCDATE",I$15,"CUSTNMBR",$D39)</t>
  </si>
  <si>
    <t>=NL("Sum","SOP30300","XTNDPRCE","SOPNUMBE",I39,"ITEMNMBR","@@"&amp;$G39,"Company=",$C$12)</t>
  </si>
  <si>
    <t>=NL("Sum","SOP30300","QUANTITY","SOPNUMBE",I39,"ITEMNMBR","@@"&amp;$G39,"Company=",$C$12)</t>
  </si>
  <si>
    <t>=NL("Sum","SOP30300","EXTDCOST","SOPNUMBE",I39,"ITEMNMBR","@@"&amp;$G39,"Company=",$C$12)</t>
  </si>
  <si>
    <t>=+J39-L39</t>
  </si>
  <si>
    <t>=IF($M39=0,0,$M39/$J39)</t>
  </si>
  <si>
    <t>=NL("Filter","SOP30200","SOPNUMBE","DOCDATE",O$15,"CUSTNMBR",$D39)</t>
  </si>
  <si>
    <t>=NL("Sum","SOP30300","XTNDPRCE","SOPNUMBE",O39,"ITEMNMBR","@@"&amp;$G39,"Company=",$C$12)</t>
  </si>
  <si>
    <t>=NL("Sum","SOP30300","QUANTITY","SOPNUMBE",O39,"ITEMNMBR","@@"&amp;$G39,"Company=",$C$12)</t>
  </si>
  <si>
    <t>=NL("Sum","SOP30300","EXTDCOST","SOPNUMBE",O39,"ITEMNMBR","@@"&amp;$G39,"Company=",$C$12)</t>
  </si>
  <si>
    <t>=+P39-R39</t>
  </si>
  <si>
    <t>="HDWR-CAB-0001"</t>
  </si>
  <si>
    <t>=NL("Filter","SOP30200","SOPNUMBE","DOCDATE",I$15,"CUSTNMBR",$D41)</t>
  </si>
  <si>
    <t>=NL("Sum","SOP30300","XTNDPRCE","SOPNUMBE",I41,"ITEMNMBR","@@"&amp;$G41,"Company=",$C$12)</t>
  </si>
  <si>
    <t>=NL("Sum","SOP30300","QUANTITY","SOPNUMBE",I41,"ITEMNMBR","@@"&amp;$G41,"Company=",$C$12)</t>
  </si>
  <si>
    <t>=NL("Sum","SOP30300","EXTDCOST","SOPNUMBE",I41,"ITEMNMBR","@@"&amp;$G41,"Company=",$C$12)</t>
  </si>
  <si>
    <t>=+J41-L41</t>
  </si>
  <si>
    <t>=IF($M41=0,0,$M41/$J41)</t>
  </si>
  <si>
    <t>=NL("Filter","SOP30200","SOPNUMBE","DOCDATE",O$15,"CUSTNMBR",$D41)</t>
  </si>
  <si>
    <t>=NL("Sum","SOP30300","XTNDPRCE","SOPNUMBE",O41,"ITEMNMBR","@@"&amp;$G41,"Company=",$C$12)</t>
  </si>
  <si>
    <t>=NL("Sum","SOP30300","QUANTITY","SOPNUMBE",O41,"ITEMNMBR","@@"&amp;$G41,"Company=",$C$12)</t>
  </si>
  <si>
    <t>=NL("Sum","SOP30300","EXTDCOST","SOPNUMBE",O41,"ITEMNMBR","@@"&amp;$G41,"Company=",$C$12)</t>
  </si>
  <si>
    <t>=+P41-R41</t>
  </si>
  <si>
    <t>="Total "&amp;D44&amp;":"</t>
  </si>
  <si>
    <t>=SUBTOTAL(9,J37:J43)</t>
  </si>
  <si>
    <t>=SUBTOTAL(9,K37:K43)</t>
  </si>
  <si>
    <t>=SUBTOTAL(9,L37:L43)</t>
  </si>
  <si>
    <t>=SUBTOTAL(9,M37:M43)</t>
  </si>
  <si>
    <t>=IF(J44=0,0,+M44/J44)</t>
  </si>
  <si>
    <t>=SUBTOTAL(9,P37:P43)</t>
  </si>
  <si>
    <t>=SUBTOTAL(9,Q37:Q43)</t>
  </si>
  <si>
    <t>=SUBTOTAL(9,R37:R43)</t>
  </si>
  <si>
    <t>=SUBTOTAL(9,S37:S43)</t>
  </si>
  <si>
    <t>=IF(S44=0,0,S44/P44)</t>
  </si>
  <si>
    <t>=B44</t>
  </si>
  <si>
    <t>=D44</t>
  </si>
  <si>
    <t>=NL("Filter","SOP30200","SOPNUMBE","DOCDATE",$D$14,"CUSTNMBR",$D46,"Company=",$C$12)</t>
  </si>
  <si>
    <t>=F46</t>
  </si>
  <si>
    <t>=NL("Filter","SOP30200","SOPNUMBE","DOCDATE",I$15,"CUSTNMBR",$D48)</t>
  </si>
  <si>
    <t>=NL("Sum","SOP30300","XTNDPRCE","SOPNUMBE",I48,"ITEMNMBR","@@"&amp;$G48,"Company=",$C$12)</t>
  </si>
  <si>
    <t>=NL("Sum","SOP30300","QUANTITY","SOPNUMBE",I48,"ITEMNMBR","@@"&amp;$G48,"Company=",$C$12)</t>
  </si>
  <si>
    <t>=NL("Sum","SOP30300","EXTDCOST","SOPNUMBE",I48,"ITEMNMBR","@@"&amp;$G48,"Company=",$C$12)</t>
  </si>
  <si>
    <t>=+J48-L48</t>
  </si>
  <si>
    <t>=IF($M48=0,0,$M48/$J48)</t>
  </si>
  <si>
    <t>=NL("Filter","SOP30200","SOPNUMBE","DOCDATE",O$15,"CUSTNMBR",$D48)</t>
  </si>
  <si>
    <t>=NL("Sum","SOP30300","XTNDPRCE","SOPNUMBE",O48,"ITEMNMBR","@@"&amp;$G48,"Company=",$C$12)</t>
  </si>
  <si>
    <t>=NL("Sum","SOP30300","QUANTITY","SOPNUMBE",O48,"ITEMNMBR","@@"&amp;$G48,"Company=",$C$12)</t>
  </si>
  <si>
    <t>=NL("Sum","SOP30300","EXTDCOST","SOPNUMBE",O48,"ITEMNMBR","@@"&amp;$G48,"Company=",$C$12)</t>
  </si>
  <si>
    <t>=+P48-R48</t>
  </si>
  <si>
    <t>=NL("Filter","SOP30200","SOPNUMBE","DOCDATE",I$15,"CUSTNMBR",$D49)</t>
  </si>
  <si>
    <t>=NL("Sum","SOP30300","XTNDPRCE","SOPNUMBE",I49,"ITEMNMBR","@@"&amp;$G49,"Company=",$C$12)</t>
  </si>
  <si>
    <t>=NL("Sum","SOP30300","QUANTITY","SOPNUMBE",I49,"ITEMNMBR","@@"&amp;$G49,"Company=",$C$12)</t>
  </si>
  <si>
    <t>=NL("Sum","SOP30300","EXTDCOST","SOPNUMBE",I49,"ITEMNMBR","@@"&amp;$G49,"Company=",$C$12)</t>
  </si>
  <si>
    <t>=+J49-L49</t>
  </si>
  <si>
    <t>=IF($M49=0,0,$M49/$J49)</t>
  </si>
  <si>
    <t>=NL("Filter","SOP30200","SOPNUMBE","DOCDATE",O$15,"CUSTNMBR",$D49)</t>
  </si>
  <si>
    <t>=NL("Sum","SOP30300","XTNDPRCE","SOPNUMBE",O49,"ITEMNMBR","@@"&amp;$G49,"Company=",$C$12)</t>
  </si>
  <si>
    <t>=NL("Sum","SOP30300","QUANTITY","SOPNUMBE",O49,"ITEMNMBR","@@"&amp;$G49,"Company=",$C$12)</t>
  </si>
  <si>
    <t>=NL("Sum","SOP30300","EXTDCOST","SOPNUMBE",O49,"ITEMNMBR","@@"&amp;$G49,"Company=",$C$12)</t>
  </si>
  <si>
    <t>=+P49-R49</t>
  </si>
  <si>
    <t>=NL("Filter","SOP30200","SOPNUMBE","DOCDATE",I$15,"CUSTNMBR",$D50)</t>
  </si>
  <si>
    <t>=NL("Sum","SOP30300","XTNDPRCE","SOPNUMBE",I50,"ITEMNMBR","@@"&amp;$G50,"Company=",$C$12)</t>
  </si>
  <si>
    <t>=NL("Sum","SOP30300","QUANTITY","SOPNUMBE",I50,"ITEMNMBR","@@"&amp;$G50,"Company=",$C$12)</t>
  </si>
  <si>
    <t>=NL("Sum","SOP30300","EXTDCOST","SOPNUMBE",I50,"ITEMNMBR","@@"&amp;$G50,"Company=",$C$12)</t>
  </si>
  <si>
    <t>=+J50-L50</t>
  </si>
  <si>
    <t>=IF($M50=0,0,$M50/$J50)</t>
  </si>
  <si>
    <t>=NL("Filter","SOP30200","SOPNUMBE","DOCDATE",O$15,"CUSTNMBR",$D50)</t>
  </si>
  <si>
    <t>=NL("Sum","SOP30300","XTNDPRCE","SOPNUMBE",O50,"ITEMNMBR","@@"&amp;$G50,"Company=",$C$12)</t>
  </si>
  <si>
    <t>=NL("Sum","SOP30300","QUANTITY","SOPNUMBE",O50,"ITEMNMBR","@@"&amp;$G50,"Company=",$C$12)</t>
  </si>
  <si>
    <t>=NL("Sum","SOP30300","EXTDCOST","SOPNUMBE",O50,"ITEMNMBR","@@"&amp;$G50,"Company=",$C$12)</t>
  </si>
  <si>
    <t>=+P50-R50</t>
  </si>
  <si>
    <t>=B51</t>
  </si>
  <si>
    <t>=D51</t>
  </si>
  <si>
    <t>="Total "&amp;D53&amp;":"</t>
  </si>
  <si>
    <t>=SUBTOTAL(9,J48:J52)</t>
  </si>
  <si>
    <t>=SUBTOTAL(9,K48:K52)</t>
  </si>
  <si>
    <t>=SUBTOTAL(9,L48:L52)</t>
  </si>
  <si>
    <t>=SUBTOTAL(9,M48:M52)</t>
  </si>
  <si>
    <t>=IF(J53=0,0,+M53/J53)</t>
  </si>
  <si>
    <t>=SUBTOTAL(9,P48:P52)</t>
  </si>
  <si>
    <t>=SUBTOTAL(9,Q48:Q52)</t>
  </si>
  <si>
    <t>=SUBTOTAL(9,R48:R52)</t>
  </si>
  <si>
    <t>=SUBTOTAL(9,S48:S52)</t>
  </si>
  <si>
    <t>=IF(S53=0,0,S53/P53)</t>
  </si>
  <si>
    <t>=NL("Filter","SOP30200","SOPNUMBE","DOCDATE",$D$14,"CUSTNMBR",$D55,"Company=",$C$12)</t>
  </si>
  <si>
    <t>=F55</t>
  </si>
  <si>
    <t>="BREAKTHR0001"</t>
  </si>
  <si>
    <t>=B55</t>
  </si>
  <si>
    <t>=D55</t>
  </si>
  <si>
    <t>=NL("Filter","SOP30200","SOPNUMBE","DOCDATE",I$15,"CUSTNMBR",$D57)</t>
  </si>
  <si>
    <t>=NL("Sum","SOP30300","XTNDPRCE","SOPNUMBE",I57,"ITEMNMBR","@@"&amp;$G57,"Company=",$C$12)</t>
  </si>
  <si>
    <t>=NL("Sum","SOP30300","QUANTITY","SOPNUMBE",I57,"ITEMNMBR","@@"&amp;$G57,"Company=",$C$12)</t>
  </si>
  <si>
    <t>=NL("Sum","SOP30300","EXTDCOST","SOPNUMBE",I57,"ITEMNMBR","@@"&amp;$G57,"Company=",$C$12)</t>
  </si>
  <si>
    <t>=+J57-L57</t>
  </si>
  <si>
    <t>=IF($M57=0,0,$M57/$J57)</t>
  </si>
  <si>
    <t>=NL("Filter","SOP30200","SOPNUMBE","DOCDATE",O$15,"CUSTNMBR",$D57)</t>
  </si>
  <si>
    <t>=NL("Sum","SOP30300","XTNDPRCE","SOPNUMBE",O57,"ITEMNMBR","@@"&amp;$G57,"Company=",$C$12)</t>
  </si>
  <si>
    <t>=NL("Sum","SOP30300","QUANTITY","SOPNUMBE",O57,"ITEMNMBR","@@"&amp;$G57,"Company=",$C$12)</t>
  </si>
  <si>
    <t>=NL("Sum","SOP30300","EXTDCOST","SOPNUMBE",O57,"ITEMNMBR","@@"&amp;$G57,"Company=",$C$12)</t>
  </si>
  <si>
    <t>=+P57-R57</t>
  </si>
  <si>
    <t>=NL("Filter","SOP30200","SOPNUMBE","DOCDATE",I$15,"CUSTNMBR",$D58)</t>
  </si>
  <si>
    <t>=NL("Sum","SOP30300","XTNDPRCE","SOPNUMBE",I58,"ITEMNMBR","@@"&amp;$G58,"Company=",$C$12)</t>
  </si>
  <si>
    <t>=NL("Sum","SOP30300","QUANTITY","SOPNUMBE",I58,"ITEMNMBR","@@"&amp;$G58,"Company=",$C$12)</t>
  </si>
  <si>
    <t>=NL("Sum","SOP30300","EXTDCOST","SOPNUMBE",I58,"ITEMNMBR","@@"&amp;$G58,"Company=",$C$12)</t>
  </si>
  <si>
    <t>=+J58-L58</t>
  </si>
  <si>
    <t>=IF($M58=0,0,$M58/$J58)</t>
  </si>
  <si>
    <t>=NL("Filter","SOP30200","SOPNUMBE","DOCDATE",O$15,"CUSTNMBR",$D58)</t>
  </si>
  <si>
    <t>=NL("Sum","SOP30300","XTNDPRCE","SOPNUMBE",O58,"ITEMNMBR","@@"&amp;$G58,"Company=",$C$12)</t>
  </si>
  <si>
    <t>=NL("Sum","SOP30300","QUANTITY","SOPNUMBE",O58,"ITEMNMBR","@@"&amp;$G58,"Company=",$C$12)</t>
  </si>
  <si>
    <t>=NL("Sum","SOP30300","EXTDCOST","SOPNUMBE",O58,"ITEMNMBR","@@"&amp;$G58,"Company=",$C$12)</t>
  </si>
  <si>
    <t>=+P58-R58</t>
  </si>
  <si>
    <t>=B59</t>
  </si>
  <si>
    <t>=D59</t>
  </si>
  <si>
    <t>="Total "&amp;D61&amp;":"</t>
  </si>
  <si>
    <t>=SUBTOTAL(9,J57:J60)</t>
  </si>
  <si>
    <t>=SUBTOTAL(9,K57:K60)</t>
  </si>
  <si>
    <t>=SUBTOTAL(9,L57:L60)</t>
  </si>
  <si>
    <t>=SUBTOTAL(9,M57:M60)</t>
  </si>
  <si>
    <t>=IF(J61=0,0,+M61/J61)</t>
  </si>
  <si>
    <t>=SUBTOTAL(9,P57:P60)</t>
  </si>
  <si>
    <t>=SUBTOTAL(9,Q57:Q60)</t>
  </si>
  <si>
    <t>=SUBTOTAL(9,R57:R60)</t>
  </si>
  <si>
    <t>=SUBTOTAL(9,S57:S60)</t>
  </si>
  <si>
    <t>=IF(S61=0,0,S61/P61)</t>
  </si>
  <si>
    <t>=NL("Filter","SOP30200","SOPNUMBE","DOCDATE",$D$14,"CUSTNMBR",$D63,"Company=",$C$12)</t>
  </si>
  <si>
    <t>=F63</t>
  </si>
  <si>
    <t>=NL("Filter","SOP30200","SOPNUMBE","DOCDATE",I$15,"CUSTNMBR",$D65)</t>
  </si>
  <si>
    <t>=NL("Sum","SOP30300","XTNDPRCE","SOPNUMBE",I65,"ITEMNMBR","@@"&amp;$G65,"Company=",$C$12)</t>
  </si>
  <si>
    <t>=NL("Sum","SOP30300","QUANTITY","SOPNUMBE",I65,"ITEMNMBR","@@"&amp;$G65,"Company=",$C$12)</t>
  </si>
  <si>
    <t>=NL("Sum","SOP30300","EXTDCOST","SOPNUMBE",I65,"ITEMNMBR","@@"&amp;$G65,"Company=",$C$12)</t>
  </si>
  <si>
    <t>=+J65-L65</t>
  </si>
  <si>
    <t>=IF($M65=0,0,$M65/$J65)</t>
  </si>
  <si>
    <t>=NL("Filter","SOP30200","SOPNUMBE","DOCDATE",O$15,"CUSTNMBR",$D65)</t>
  </si>
  <si>
    <t>=NL("Sum","SOP30300","XTNDPRCE","SOPNUMBE",O65,"ITEMNMBR","@@"&amp;$G65,"Company=",$C$12)</t>
  </si>
  <si>
    <t>=NL("Sum","SOP30300","QUANTITY","SOPNUMBE",O65,"ITEMNMBR","@@"&amp;$G65,"Company=",$C$12)</t>
  </si>
  <si>
    <t>=NL("Sum","SOP30300","EXTDCOST","SOPNUMBE",O65,"ITEMNMBR","@@"&amp;$G65,"Company=",$C$12)</t>
  </si>
  <si>
    <t>=+P65-R65</t>
  </si>
  <si>
    <t>=NL("Filter","SOP30200","SOPNUMBE","DOCDATE",I$15,"CUSTNMBR",$D66)</t>
  </si>
  <si>
    <t>=NL("Sum","SOP30300","XTNDPRCE","SOPNUMBE",I66,"ITEMNMBR","@@"&amp;$G66,"Company=",$C$12)</t>
  </si>
  <si>
    <t>=NL("Sum","SOP30300","QUANTITY","SOPNUMBE",I66,"ITEMNMBR","@@"&amp;$G66,"Company=",$C$12)</t>
  </si>
  <si>
    <t>=NL("Sum","SOP30300","EXTDCOST","SOPNUMBE",I66,"ITEMNMBR","@@"&amp;$G66,"Company=",$C$12)</t>
  </si>
  <si>
    <t>=+J66-L66</t>
  </si>
  <si>
    <t>=IF($M66=0,0,$M66/$J66)</t>
  </si>
  <si>
    <t>=NL("Filter","SOP30200","SOPNUMBE","DOCDATE",O$15,"CUSTNMBR",$D66)</t>
  </si>
  <si>
    <t>=NL("Sum","SOP30300","XTNDPRCE","SOPNUMBE",O66,"ITEMNMBR","@@"&amp;$G66,"Company=",$C$12)</t>
  </si>
  <si>
    <t>=NL("Sum","SOP30300","QUANTITY","SOPNUMBE",O66,"ITEMNMBR","@@"&amp;$G66,"Company=",$C$12)</t>
  </si>
  <si>
    <t>=NL("Sum","SOP30300","EXTDCOST","SOPNUMBE",O66,"ITEMNMBR","@@"&amp;$G66,"Company=",$C$12)</t>
  </si>
  <si>
    <t>=+P66-R66</t>
  </si>
  <si>
    <t>="Total "&amp;D69&amp;":"</t>
  </si>
  <si>
    <t>=SUBTOTAL(9,J65:J68)</t>
  </si>
  <si>
    <t>=SUBTOTAL(9,K65:K68)</t>
  </si>
  <si>
    <t>=SUBTOTAL(9,L65:L68)</t>
  </si>
  <si>
    <t>=SUBTOTAL(9,M65:M68)</t>
  </si>
  <si>
    <t>=IF(J69=0,0,+M69/J69)</t>
  </si>
  <si>
    <t>=SUBTOTAL(9,P65:P68)</t>
  </si>
  <si>
    <t>=SUBTOTAL(9,Q65:Q68)</t>
  </si>
  <si>
    <t>=SUBTOTAL(9,R65:R68)</t>
  </si>
  <si>
    <t>=SUBTOTAL(9,S65:S68)</t>
  </si>
  <si>
    <t>=IF(S69=0,0,S69/P69)</t>
  </si>
  <si>
    <t>=NL("Filter","SOP30200","SOPNUMBE","DOCDATE",$D$14,"CUSTNMBR",$D71,"Company=",$C$12)</t>
  </si>
  <si>
    <t>=F71</t>
  </si>
  <si>
    <t>="HOLLINGC0001"</t>
  </si>
  <si>
    <t>=NL("Filter","SOP30200","SOPNUMBE","DOCDATE",I$15,"CUSTNMBR",$D73)</t>
  </si>
  <si>
    <t>=NL("Sum","SOP30300","XTNDPRCE","SOPNUMBE",I73,"ITEMNMBR","@@"&amp;$G73,"Company=",$C$12)</t>
  </si>
  <si>
    <t>=NL("Sum","SOP30300","QUANTITY","SOPNUMBE",I73,"ITEMNMBR","@@"&amp;$G73,"Company=",$C$12)</t>
  </si>
  <si>
    <t>=NL("Sum","SOP30300","EXTDCOST","SOPNUMBE",I73,"ITEMNMBR","@@"&amp;$G73,"Company=",$C$12)</t>
  </si>
  <si>
    <t>=+J73-L73</t>
  </si>
  <si>
    <t>=IF($M73=0,0,$M73/$J73)</t>
  </si>
  <si>
    <t>=NL("Filter","SOP30200","SOPNUMBE","DOCDATE",O$15,"CUSTNMBR",$D73)</t>
  </si>
  <si>
    <t>=NL("Sum","SOP30300","XTNDPRCE","SOPNUMBE",O73,"ITEMNMBR","@@"&amp;$G73,"Company=",$C$12)</t>
  </si>
  <si>
    <t>=NL("Sum","SOP30300","QUANTITY","SOPNUMBE",O73,"ITEMNMBR","@@"&amp;$G73,"Company=",$C$12)</t>
  </si>
  <si>
    <t>=NL("Sum","SOP30300","EXTDCOST","SOPNUMBE",O73,"ITEMNMBR","@@"&amp;$G73,"Company=",$C$12)</t>
  </si>
  <si>
    <t>=+P73-R73</t>
  </si>
  <si>
    <t>=B73</t>
  </si>
  <si>
    <t>=D73</t>
  </si>
  <si>
    <t>=NL("Filter","SOP30200","SOPNUMBE","DOCDATE",I$15,"CUSTNMBR",$D74)</t>
  </si>
  <si>
    <t>=NL("Sum","SOP30300","XTNDPRCE","SOPNUMBE",I74,"ITEMNMBR","@@"&amp;$G74,"Company=",$C$12)</t>
  </si>
  <si>
    <t>=NL("Sum","SOP30300","QUANTITY","SOPNUMBE",I74,"ITEMNMBR","@@"&amp;$G74,"Company=",$C$12)</t>
  </si>
  <si>
    <t>=NL("Sum","SOP30300","EXTDCOST","SOPNUMBE",I74,"ITEMNMBR","@@"&amp;$G74,"Company=",$C$12)</t>
  </si>
  <si>
    <t>=+J74-L74</t>
  </si>
  <si>
    <t>=IF($M74=0,0,$M74/$J74)</t>
  </si>
  <si>
    <t>=NL("Filter","SOP30200","SOPNUMBE","DOCDATE",O$15,"CUSTNMBR",$D74)</t>
  </si>
  <si>
    <t>=NL("Sum","SOP30300","XTNDPRCE","SOPNUMBE",O74,"ITEMNMBR","@@"&amp;$G74,"Company=",$C$12)</t>
  </si>
  <si>
    <t>=NL("Sum","SOP30300","QUANTITY","SOPNUMBE",O74,"ITEMNMBR","@@"&amp;$G74,"Company=",$C$12)</t>
  </si>
  <si>
    <t>=NL("Sum","SOP30300","EXTDCOST","SOPNUMBE",O74,"ITEMNMBR","@@"&amp;$G74,"Company=",$C$12)</t>
  </si>
  <si>
    <t>=+P74-R74</t>
  </si>
  <si>
    <t>="Total "&amp;D77&amp;":"</t>
  </si>
  <si>
    <t>=SUBTOTAL(9,J73:J76)</t>
  </si>
  <si>
    <t>=SUBTOTAL(9,K73:K76)</t>
  </si>
  <si>
    <t>=SUBTOTAL(9,L73:L76)</t>
  </si>
  <si>
    <t>=SUBTOTAL(9,M73:M76)</t>
  </si>
  <si>
    <t>=IF(J77=0,0,+M77/J77)</t>
  </si>
  <si>
    <t>=SUBTOTAL(9,P73:P76)</t>
  </si>
  <si>
    <t>=SUBTOTAL(9,Q73:Q76)</t>
  </si>
  <si>
    <t>=SUBTOTAL(9,R73:R76)</t>
  </si>
  <si>
    <t>=SUBTOTAL(9,S73:S76)</t>
  </si>
  <si>
    <t>=IF(S77=0,0,S77/P77)</t>
  </si>
  <si>
    <t>=B77</t>
  </si>
  <si>
    <t>=D77</t>
  </si>
  <si>
    <t>=NL("Filter","SOP30200","SOPNUMBE","DOCDATE",$D$14,"CUSTNMBR",$D79,"Company=",$C$12)</t>
  </si>
  <si>
    <t>=F79</t>
  </si>
  <si>
    <t>=NL("Filter","SOP30200","SOPNUMBE","DOCDATE",I$15,"CUSTNMBR",$D81)</t>
  </si>
  <si>
    <t>=NL("Sum","SOP30300","XTNDPRCE","SOPNUMBE",I81,"ITEMNMBR","@@"&amp;$G81,"Company=",$C$12)</t>
  </si>
  <si>
    <t>=NL("Sum","SOP30300","QUANTITY","SOPNUMBE",I81,"ITEMNMBR","@@"&amp;$G81,"Company=",$C$12)</t>
  </si>
  <si>
    <t>=NL("Sum","SOP30300","EXTDCOST","SOPNUMBE",I81,"ITEMNMBR","@@"&amp;$G81,"Company=",$C$12)</t>
  </si>
  <si>
    <t>=+J81-L81</t>
  </si>
  <si>
    <t>=IF($M81=0,0,$M81/$J81)</t>
  </si>
  <si>
    <t>=NL("Filter","SOP30200","SOPNUMBE","DOCDATE",O$15,"CUSTNMBR",$D81)</t>
  </si>
  <si>
    <t>=NL("Sum","SOP30300","XTNDPRCE","SOPNUMBE",O81,"ITEMNMBR","@@"&amp;$G81,"Company=",$C$12)</t>
  </si>
  <si>
    <t>=NL("Sum","SOP30300","QUANTITY","SOPNUMBE",O81,"ITEMNMBR","@@"&amp;$G81,"Company=",$C$12)</t>
  </si>
  <si>
    <t>=NL("Sum","SOP30300","EXTDCOST","SOPNUMBE",O81,"ITEMNMBR","@@"&amp;$G81,"Company=",$C$12)</t>
  </si>
  <si>
    <t>=+P81-R81</t>
  </si>
  <si>
    <t>=B81</t>
  </si>
  <si>
    <t>=D81</t>
  </si>
  <si>
    <t>=NL("Filter","SOP30200","SOPNUMBE","DOCDATE",I$15,"CUSTNMBR",$D82)</t>
  </si>
  <si>
    <t>=NL("Sum","SOP30300","XTNDPRCE","SOPNUMBE",I82,"ITEMNMBR","@@"&amp;$G82,"Company=",$C$12)</t>
  </si>
  <si>
    <t>=NL("Sum","SOP30300","QUANTITY","SOPNUMBE",I82,"ITEMNMBR","@@"&amp;$G82,"Company=",$C$12)</t>
  </si>
  <si>
    <t>=NL("Sum","SOP30300","EXTDCOST","SOPNUMBE",I82,"ITEMNMBR","@@"&amp;$G82,"Company=",$C$12)</t>
  </si>
  <si>
    <t>=+J82-L82</t>
  </si>
  <si>
    <t>=IF($M82=0,0,$M82/$J82)</t>
  </si>
  <si>
    <t>=NL("Filter","SOP30200","SOPNUMBE","DOCDATE",O$15,"CUSTNMBR",$D82)</t>
  </si>
  <si>
    <t>=NL("Sum","SOP30300","XTNDPRCE","SOPNUMBE",O82,"ITEMNMBR","@@"&amp;$G82,"Company=",$C$12)</t>
  </si>
  <si>
    <t>=NL("Sum","SOP30300","QUANTITY","SOPNUMBE",O82,"ITEMNMBR","@@"&amp;$G82,"Company=",$C$12)</t>
  </si>
  <si>
    <t>=NL("Sum","SOP30300","EXTDCOST","SOPNUMBE",O82,"ITEMNMBR","@@"&amp;$G82,"Company=",$C$12)</t>
  </si>
  <si>
    <t>=+P82-R82</t>
  </si>
  <si>
    <t>=NL("Filter","SOP30200","SOPNUMBE","DOCDATE",I$15,"CUSTNMBR",$D83)</t>
  </si>
  <si>
    <t>=NL("Sum","SOP30300","XTNDPRCE","SOPNUMBE",I83,"ITEMNMBR","@@"&amp;$G83,"Company=",$C$12)</t>
  </si>
  <si>
    <t>=NL("Sum","SOP30300","QUANTITY","SOPNUMBE",I83,"ITEMNMBR","@@"&amp;$G83,"Company=",$C$12)</t>
  </si>
  <si>
    <t>=NL("Sum","SOP30300","EXTDCOST","SOPNUMBE",I83,"ITEMNMBR","@@"&amp;$G83,"Company=",$C$12)</t>
  </si>
  <si>
    <t>=+J83-L83</t>
  </si>
  <si>
    <t>=IF($M83=0,0,$M83/$J83)</t>
  </si>
  <si>
    <t>=NL("Filter","SOP30200","SOPNUMBE","DOCDATE",O$15,"CUSTNMBR",$D83)</t>
  </si>
  <si>
    <t>=NL("Sum","SOP30300","XTNDPRCE","SOPNUMBE",O83,"ITEMNMBR","@@"&amp;$G83,"Company=",$C$12)</t>
  </si>
  <si>
    <t>=NL("Sum","SOP30300","QUANTITY","SOPNUMBE",O83,"ITEMNMBR","@@"&amp;$G83,"Company=",$C$12)</t>
  </si>
  <si>
    <t>=NL("Sum","SOP30300","EXTDCOST","SOPNUMBE",O83,"ITEMNMBR","@@"&amp;$G83,"Company=",$C$12)</t>
  </si>
  <si>
    <t>=+P83-R83</t>
  </si>
  <si>
    <t>="Total "&amp;D86&amp;":"</t>
  </si>
  <si>
    <t>=SUBTOTAL(9,J81:J85)</t>
  </si>
  <si>
    <t>=SUBTOTAL(9,K81:K85)</t>
  </si>
  <si>
    <t>=SUBTOTAL(9,L81:L85)</t>
  </si>
  <si>
    <t>=SUBTOTAL(9,M81:M85)</t>
  </si>
  <si>
    <t>=IF(J86=0,0,+M86/J86)</t>
  </si>
  <si>
    <t>=SUBTOTAL(9,P81:P85)</t>
  </si>
  <si>
    <t>=SUBTOTAL(9,Q81:Q85)</t>
  </si>
  <si>
    <t>=SUBTOTAL(9,R81:R85)</t>
  </si>
  <si>
    <t>=SUBTOTAL(9,S81:S85)</t>
  </si>
  <si>
    <t>=IF(S86=0,0,S86/P86)</t>
  </si>
  <si>
    <t>=B86</t>
  </si>
  <si>
    <t>=D86</t>
  </si>
  <si>
    <t>=NL("Filter","SOP30200","SOPNUMBE","DOCDATE",$D$14,"CUSTNMBR",$D88,"Company=",$C$12)</t>
  </si>
  <si>
    <t>=F88</t>
  </si>
  <si>
    <t>=NL("Filter","SOP30200","SOPNUMBE","DOCDATE",I$15,"CUSTNMBR",$D90)</t>
  </si>
  <si>
    <t>=NL("Sum","SOP30300","XTNDPRCE","SOPNUMBE",I90,"ITEMNMBR","@@"&amp;$G90,"Company=",$C$12)</t>
  </si>
  <si>
    <t>=NL("Sum","SOP30300","QUANTITY","SOPNUMBE",I90,"ITEMNMBR","@@"&amp;$G90,"Company=",$C$12)</t>
  </si>
  <si>
    <t>=NL("Sum","SOP30300","EXTDCOST","SOPNUMBE",I90,"ITEMNMBR","@@"&amp;$G90,"Company=",$C$12)</t>
  </si>
  <si>
    <t>=+J90-L90</t>
  </si>
  <si>
    <t>=IF($M90=0,0,$M90/$J90)</t>
  </si>
  <si>
    <t>=NL("Filter","SOP30200","SOPNUMBE","DOCDATE",O$15,"CUSTNMBR",$D90)</t>
  </si>
  <si>
    <t>=NL("Sum","SOP30300","XTNDPRCE","SOPNUMBE",O90,"ITEMNMBR","@@"&amp;$G90,"Company=",$C$12)</t>
  </si>
  <si>
    <t>=NL("Sum","SOP30300","QUANTITY","SOPNUMBE",O90,"ITEMNMBR","@@"&amp;$G90,"Company=",$C$12)</t>
  </si>
  <si>
    <t>=NL("Sum","SOP30300","EXTDCOST","SOPNUMBE",O90,"ITEMNMBR","@@"&amp;$G90,"Company=",$C$12)</t>
  </si>
  <si>
    <t>=+P90-R90</t>
  </si>
  <si>
    <t>=B90</t>
  </si>
  <si>
    <t>=D90</t>
  </si>
  <si>
    <t>="HDWR-RNG-0001"</t>
  </si>
  <si>
    <t>=NL("Filter","SOP30200","SOPNUMBE","DOCDATE",I$15,"CUSTNMBR",$D91)</t>
  </si>
  <si>
    <t>=NL("Sum","SOP30300","XTNDPRCE","SOPNUMBE",I91,"ITEMNMBR","@@"&amp;$G91,"Company=",$C$12)</t>
  </si>
  <si>
    <t>=NL("Sum","SOP30300","QUANTITY","SOPNUMBE",I91,"ITEMNMBR","@@"&amp;$G91,"Company=",$C$12)</t>
  </si>
  <si>
    <t>=NL("Sum","SOP30300","EXTDCOST","SOPNUMBE",I91,"ITEMNMBR","@@"&amp;$G91,"Company=",$C$12)</t>
  </si>
  <si>
    <t>=+J91-L91</t>
  </si>
  <si>
    <t>=IF($M91=0,0,$M91/$J91)</t>
  </si>
  <si>
    <t>=NL("Filter","SOP30200","SOPNUMBE","DOCDATE",O$15,"CUSTNMBR",$D91)</t>
  </si>
  <si>
    <t>=NL("Sum","SOP30300","XTNDPRCE","SOPNUMBE",O91,"ITEMNMBR","@@"&amp;$G91,"Company=",$C$12)</t>
  </si>
  <si>
    <t>=NL("Sum","SOP30300","QUANTITY","SOPNUMBE",O91,"ITEMNMBR","@@"&amp;$G91,"Company=",$C$12)</t>
  </si>
  <si>
    <t>=NL("Sum","SOP30300","EXTDCOST","SOPNUMBE",O91,"ITEMNMBR","@@"&amp;$G91,"Company=",$C$12)</t>
  </si>
  <si>
    <t>=+P91-R91</t>
  </si>
  <si>
    <t>="Total "&amp;D94&amp;":"</t>
  </si>
  <si>
    <t>=SUBTOTAL(9,J90:J93)</t>
  </si>
  <si>
    <t>=SUBTOTAL(9,K90:K93)</t>
  </si>
  <si>
    <t>=SUBTOTAL(9,L90:L93)</t>
  </si>
  <si>
    <t>=SUBTOTAL(9,M90:M93)</t>
  </si>
  <si>
    <t>=IF(J94=0,0,+M94/J94)</t>
  </si>
  <si>
    <t>=SUBTOTAL(9,P90:P93)</t>
  </si>
  <si>
    <t>=SUBTOTAL(9,Q90:Q93)</t>
  </si>
  <si>
    <t>=SUBTOTAL(9,R90:R93)</t>
  </si>
  <si>
    <t>=SUBTOTAL(9,S90:S93)</t>
  </si>
  <si>
    <t>=IF(S94=0,0,S94/P94)</t>
  </si>
  <si>
    <t>=NL("Filter","SOP30200","SOPNUMBE","DOCDATE",$D$14,"CUSTNMBR",$D96,"Company=",$C$12)</t>
  </si>
  <si>
    <t>=F96</t>
  </si>
  <si>
    <t>=B97</t>
  </si>
  <si>
    <t>=D97</t>
  </si>
  <si>
    <t>=NL("Filter","SOP30200","SOPNUMBE","DOCDATE",I$15,"CUSTNMBR",$D98)</t>
  </si>
  <si>
    <t>=NL("Sum","SOP30300","XTNDPRCE","SOPNUMBE",I98,"ITEMNMBR","@@"&amp;$G98,"Company=",$C$12)</t>
  </si>
  <si>
    <t>=NL("Sum","SOP30300","QUANTITY","SOPNUMBE",I98,"ITEMNMBR","@@"&amp;$G98,"Company=",$C$12)</t>
  </si>
  <si>
    <t>=NL("Sum","SOP30300","EXTDCOST","SOPNUMBE",I98,"ITEMNMBR","@@"&amp;$G98,"Company=",$C$12)</t>
  </si>
  <si>
    <t>=+J98-L98</t>
  </si>
  <si>
    <t>=IF($M98=0,0,$M98/$J98)</t>
  </si>
  <si>
    <t>=NL("Filter","SOP30200","SOPNUMBE","DOCDATE",O$15,"CUSTNMBR",$D98)</t>
  </si>
  <si>
    <t>=NL("Sum","SOP30300","XTNDPRCE","SOPNUMBE",O98,"ITEMNMBR","@@"&amp;$G98,"Company=",$C$12)</t>
  </si>
  <si>
    <t>=NL("Sum","SOP30300","QUANTITY","SOPNUMBE",O98,"ITEMNMBR","@@"&amp;$G98,"Company=",$C$12)</t>
  </si>
  <si>
    <t>=NL("Sum","SOP30300","EXTDCOST","SOPNUMBE",O98,"ITEMNMBR","@@"&amp;$G98,"Company=",$C$12)</t>
  </si>
  <si>
    <t>=+P98-R98</t>
  </si>
  <si>
    <t>=NL("Filter","SOP30200","SOPNUMBE","DOCDATE",I$15,"CUSTNMBR",$D99)</t>
  </si>
  <si>
    <t>=NL("Sum","SOP30300","XTNDPRCE","SOPNUMBE",I99,"ITEMNMBR","@@"&amp;$G99,"Company=",$C$12)</t>
  </si>
  <si>
    <t>=NL("Sum","SOP30300","QUANTITY","SOPNUMBE",I99,"ITEMNMBR","@@"&amp;$G99,"Company=",$C$12)</t>
  </si>
  <si>
    <t>=NL("Sum","SOP30300","EXTDCOST","SOPNUMBE",I99,"ITEMNMBR","@@"&amp;$G99,"Company=",$C$12)</t>
  </si>
  <si>
    <t>=+J99-L99</t>
  </si>
  <si>
    <t>=IF($M99=0,0,$M99/$J99)</t>
  </si>
  <si>
    <t>=NL("Filter","SOP30200","SOPNUMBE","DOCDATE",O$15,"CUSTNMBR",$D99)</t>
  </si>
  <si>
    <t>=NL("Sum","SOP30300","XTNDPRCE","SOPNUMBE",O99,"ITEMNMBR","@@"&amp;$G99,"Company=",$C$12)</t>
  </si>
  <si>
    <t>=NL("Sum","SOP30300","QUANTITY","SOPNUMBE",O99,"ITEMNMBR","@@"&amp;$G99,"Company=",$C$12)</t>
  </si>
  <si>
    <t>=NL("Sum","SOP30300","EXTDCOST","SOPNUMBE",O99,"ITEMNMBR","@@"&amp;$G99,"Company=",$C$12)</t>
  </si>
  <si>
    <t>=+P99-R99</t>
  </si>
  <si>
    <t>="PHON-ATT-53RD"</t>
  </si>
  <si>
    <t>=NL("Filter","SOP30200","SOPNUMBE","DOCDATE",I$15,"CUSTNMBR",$D101)</t>
  </si>
  <si>
    <t>=NL("Sum","SOP30300","XTNDPRCE","SOPNUMBE",I101,"ITEMNMBR","@@"&amp;$G101,"Company=",$C$12)</t>
  </si>
  <si>
    <t>=NL("Sum","SOP30300","QUANTITY","SOPNUMBE",I101,"ITEMNMBR","@@"&amp;$G101,"Company=",$C$12)</t>
  </si>
  <si>
    <t>=NL("Sum","SOP30300","EXTDCOST","SOPNUMBE",I101,"ITEMNMBR","@@"&amp;$G101,"Company=",$C$12)</t>
  </si>
  <si>
    <t>=+J101-L101</t>
  </si>
  <si>
    <t>=IF($M101=0,0,$M101/$J101)</t>
  </si>
  <si>
    <t>=NL("Filter","SOP30200","SOPNUMBE","DOCDATE",O$15,"CUSTNMBR",$D101)</t>
  </si>
  <si>
    <t>=NL("Sum","SOP30300","XTNDPRCE","SOPNUMBE",O101,"ITEMNMBR","@@"&amp;$G101,"Company=",$C$12)</t>
  </si>
  <si>
    <t>=NL("Sum","SOP30300","QUANTITY","SOPNUMBE",O101,"ITEMNMBR","@@"&amp;$G101,"Company=",$C$12)</t>
  </si>
  <si>
    <t>=NL("Sum","SOP30300","EXTDCOST","SOPNUMBE",O101,"ITEMNMBR","@@"&amp;$G101,"Company=",$C$12)</t>
  </si>
  <si>
    <t>=+P101-R101</t>
  </si>
  <si>
    <t>="Total "&amp;D104&amp;":"</t>
  </si>
  <si>
    <t>=SUBTOTAL(9,J98:J103)</t>
  </si>
  <si>
    <t>=SUBTOTAL(9,K98:K103)</t>
  </si>
  <si>
    <t>=SUBTOTAL(9,L98:L103)</t>
  </si>
  <si>
    <t>=SUBTOTAL(9,M98:M103)</t>
  </si>
  <si>
    <t>=IF(J104=0,0,+M104/J104)</t>
  </si>
  <si>
    <t>=SUBTOTAL(9,P98:P103)</t>
  </si>
  <si>
    <t>=SUBTOTAL(9,Q98:Q103)</t>
  </si>
  <si>
    <t>=SUBTOTAL(9,R98:R103)</t>
  </si>
  <si>
    <t>=SUBTOTAL(9,S98:S103)</t>
  </si>
  <si>
    <t>=IF(S104=0,0,S104/P104)</t>
  </si>
  <si>
    <t>=B104</t>
  </si>
  <si>
    <t>=D104</t>
  </si>
  <si>
    <t>=NL("Filter","SOP30200","SOPNUMBE","DOCDATE",$D$14,"CUSTNMBR",$D106,"Company=",$C$12)</t>
  </si>
  <si>
    <t>=F106</t>
  </si>
  <si>
    <t>=NL("Filter","SOP30200","SOPNUMBE","DOCDATE",I$15,"CUSTNMBR",$D108)</t>
  </si>
  <si>
    <t>=NL("Sum","SOP30300","XTNDPRCE","SOPNUMBE",I108,"ITEMNMBR","@@"&amp;$G108,"Company=",$C$12)</t>
  </si>
  <si>
    <t>=NL("Sum","SOP30300","QUANTITY","SOPNUMBE",I108,"ITEMNMBR","@@"&amp;$G108,"Company=",$C$12)</t>
  </si>
  <si>
    <t>=NL("Sum","SOP30300","EXTDCOST","SOPNUMBE",I108,"ITEMNMBR","@@"&amp;$G108,"Company=",$C$12)</t>
  </si>
  <si>
    <t>=+J108-L108</t>
  </si>
  <si>
    <t>=IF($M108=0,0,$M108/$J108)</t>
  </si>
  <si>
    <t>=NL("Filter","SOP30200","SOPNUMBE","DOCDATE",O$15,"CUSTNMBR",$D108)</t>
  </si>
  <si>
    <t>=NL("Sum","SOP30300","XTNDPRCE","SOPNUMBE",O108,"ITEMNMBR","@@"&amp;$G108,"Company=",$C$12)</t>
  </si>
  <si>
    <t>=NL("Sum","SOP30300","QUANTITY","SOPNUMBE",O108,"ITEMNMBR","@@"&amp;$G108,"Company=",$C$12)</t>
  </si>
  <si>
    <t>=NL("Sum","SOP30300","EXTDCOST","SOPNUMBE",O108,"ITEMNMBR","@@"&amp;$G108,"Company=",$C$12)</t>
  </si>
  <si>
    <t>=+P108-R108</t>
  </si>
  <si>
    <t>="HDWR-SRG-0001"</t>
  </si>
  <si>
    <t>=NL("Filter","SOP30200","SOPNUMBE","DOCDATE",I$15,"CUSTNMBR",$D109)</t>
  </si>
  <si>
    <t>=NL("Sum","SOP30300","XTNDPRCE","SOPNUMBE",I109,"ITEMNMBR","@@"&amp;$G109,"Company=",$C$12)</t>
  </si>
  <si>
    <t>=NL("Sum","SOP30300","QUANTITY","SOPNUMBE",I109,"ITEMNMBR","@@"&amp;$G109,"Company=",$C$12)</t>
  </si>
  <si>
    <t>=NL("Sum","SOP30300","EXTDCOST","SOPNUMBE",I109,"ITEMNMBR","@@"&amp;$G109,"Company=",$C$12)</t>
  </si>
  <si>
    <t>=+J109-L109</t>
  </si>
  <si>
    <t>=IF($M109=0,0,$M109/$J109)</t>
  </si>
  <si>
    <t>=NL("Filter","SOP30200","SOPNUMBE","DOCDATE",O$15,"CUSTNMBR",$D109)</t>
  </si>
  <si>
    <t>=NL("Sum","SOP30300","XTNDPRCE","SOPNUMBE",O109,"ITEMNMBR","@@"&amp;$G109,"Company=",$C$12)</t>
  </si>
  <si>
    <t>=NL("Sum","SOP30300","QUANTITY","SOPNUMBE",O109,"ITEMNMBR","@@"&amp;$G109,"Company=",$C$12)</t>
  </si>
  <si>
    <t>=NL("Sum","SOP30300","EXTDCOST","SOPNUMBE",O109,"ITEMNMBR","@@"&amp;$G109,"Company=",$C$12)</t>
  </si>
  <si>
    <t>=+P109-R109</t>
  </si>
  <si>
    <t>=NL("Filter","SOP30200","SOPNUMBE","DOCDATE",I$15,"CUSTNMBR",$D110)</t>
  </si>
  <si>
    <t>=NL("Sum","SOP30300","XTNDPRCE","SOPNUMBE",I110,"ITEMNMBR","@@"&amp;$G110,"Company=",$C$12)</t>
  </si>
  <si>
    <t>=NL("Sum","SOP30300","QUANTITY","SOPNUMBE",I110,"ITEMNMBR","@@"&amp;$G110,"Company=",$C$12)</t>
  </si>
  <si>
    <t>=NL("Sum","SOP30300","EXTDCOST","SOPNUMBE",I110,"ITEMNMBR","@@"&amp;$G110,"Company=",$C$12)</t>
  </si>
  <si>
    <t>=+J110-L110</t>
  </si>
  <si>
    <t>=IF($M110=0,0,$M110/$J110)</t>
  </si>
  <si>
    <t>=NL("Filter","SOP30200","SOPNUMBE","DOCDATE",O$15,"CUSTNMBR",$D110)</t>
  </si>
  <si>
    <t>=NL("Sum","SOP30300","XTNDPRCE","SOPNUMBE",O110,"ITEMNMBR","@@"&amp;$G110,"Company=",$C$12)</t>
  </si>
  <si>
    <t>=NL("Sum","SOP30300","QUANTITY","SOPNUMBE",O110,"ITEMNMBR","@@"&amp;$G110,"Company=",$C$12)</t>
  </si>
  <si>
    <t>=NL("Sum","SOP30300","EXTDCOST","SOPNUMBE",O110,"ITEMNMBR","@@"&amp;$G110,"Company=",$C$12)</t>
  </si>
  <si>
    <t>=+P110-R110</t>
  </si>
  <si>
    <t>=B111</t>
  </si>
  <si>
    <t>=D111</t>
  </si>
  <si>
    <t>="Total "&amp;D113&amp;":"</t>
  </si>
  <si>
    <t>=SUBTOTAL(9,J108:J112)</t>
  </si>
  <si>
    <t>=SUBTOTAL(9,K108:K112)</t>
  </si>
  <si>
    <t>=SUBTOTAL(9,L108:L112)</t>
  </si>
  <si>
    <t>=SUBTOTAL(9,M108:M112)</t>
  </si>
  <si>
    <t>=IF(J113=0,0,+M113/J113)</t>
  </si>
  <si>
    <t>=SUBTOTAL(9,P108:P112)</t>
  </si>
  <si>
    <t>=SUBTOTAL(9,Q108:Q112)</t>
  </si>
  <si>
    <t>=SUBTOTAL(9,R108:R112)</t>
  </si>
  <si>
    <t>=SUBTOTAL(9,S108:S112)</t>
  </si>
  <si>
    <t>=IF(S113=0,0,S113/P113)</t>
  </si>
  <si>
    <t>=NL("Filter","SOP30200","SOPNUMBE","DOCDATE",$D$14,"CUSTNMBR",$D115,"Company=",$C$12)</t>
  </si>
  <si>
    <t>=F115</t>
  </si>
  <si>
    <t>="PLACEONE0001"</t>
  </si>
  <si>
    <t>=NL("Filter","SOP30200","SOPNUMBE","DOCDATE",I$15,"CUSTNMBR",$D117)</t>
  </si>
  <si>
    <t>=NL("Sum","SOP30300","XTNDPRCE","SOPNUMBE",I117,"ITEMNMBR","@@"&amp;$G117,"Company=",$C$12)</t>
  </si>
  <si>
    <t>=NL("Sum","SOP30300","QUANTITY","SOPNUMBE",I117,"ITEMNMBR","@@"&amp;$G117,"Company=",$C$12)</t>
  </si>
  <si>
    <t>=NL("Sum","SOP30300","EXTDCOST","SOPNUMBE",I117,"ITEMNMBR","@@"&amp;$G117,"Company=",$C$12)</t>
  </si>
  <si>
    <t>=+J117-L117</t>
  </si>
  <si>
    <t>=IF($M117=0,0,$M117/$J117)</t>
  </si>
  <si>
    <t>=NL("Filter","SOP30200","SOPNUMBE","DOCDATE",O$15,"CUSTNMBR",$D117)</t>
  </si>
  <si>
    <t>=NL("Sum","SOP30300","XTNDPRCE","SOPNUMBE",O117,"ITEMNMBR","@@"&amp;$G117,"Company=",$C$12)</t>
  </si>
  <si>
    <t>=NL("Sum","SOP30300","QUANTITY","SOPNUMBE",O117,"ITEMNMBR","@@"&amp;$G117,"Company=",$C$12)</t>
  </si>
  <si>
    <t>=NL("Sum","SOP30300","EXTDCOST","SOPNUMBE",O117,"ITEMNMBR","@@"&amp;$G117,"Company=",$C$12)</t>
  </si>
  <si>
    <t>=+P117-R117</t>
  </si>
  <si>
    <t>=B118</t>
  </si>
  <si>
    <t>=D118</t>
  </si>
  <si>
    <t>="Total "&amp;D120&amp;":"</t>
  </si>
  <si>
    <t>=SUBTOTAL(9,J117:J119)</t>
  </si>
  <si>
    <t>=SUBTOTAL(9,K117:K119)</t>
  </si>
  <si>
    <t>=SUBTOTAL(9,L117:L119)</t>
  </si>
  <si>
    <t>=SUBTOTAL(9,M117:M119)</t>
  </si>
  <si>
    <t>=IF(J120=0,0,+M120/J120)</t>
  </si>
  <si>
    <t>=SUBTOTAL(9,P117:P119)</t>
  </si>
  <si>
    <t>=SUBTOTAL(9,Q117:Q119)</t>
  </si>
  <si>
    <t>=SUBTOTAL(9,R117:R119)</t>
  </si>
  <si>
    <t>=SUBTOTAL(9,S117:S119)</t>
  </si>
  <si>
    <t>=IF(S120=0,0,S120/P120)</t>
  </si>
  <si>
    <t>=NL("Filter","SOP30200","SOPNUMBE","DOCDATE",$D$14,"CUSTNMBR",$D122,"Company=",$C$12)</t>
  </si>
  <si>
    <t>=F122</t>
  </si>
  <si>
    <t>=NL("Filter","SOP30200","SOPNUMBE","DOCDATE",I$15,"CUSTNMBR",$D124)</t>
  </si>
  <si>
    <t>=NL("Sum","SOP30300","XTNDPRCE","SOPNUMBE",I124,"ITEMNMBR","@@"&amp;$G124,"Company=",$C$12)</t>
  </si>
  <si>
    <t>=NL("Sum","SOP30300","QUANTITY","SOPNUMBE",I124,"ITEMNMBR","@@"&amp;$G124,"Company=",$C$12)</t>
  </si>
  <si>
    <t>=NL("Sum","SOP30300","EXTDCOST","SOPNUMBE",I124,"ITEMNMBR","@@"&amp;$G124,"Company=",$C$12)</t>
  </si>
  <si>
    <t>=+J124-L124</t>
  </si>
  <si>
    <t>=IF($M124=0,0,$M124/$J124)</t>
  </si>
  <si>
    <t>=NL("Filter","SOP30200","SOPNUMBE","DOCDATE",O$15,"CUSTNMBR",$D124)</t>
  </si>
  <si>
    <t>=NL("Sum","SOP30300","XTNDPRCE","SOPNUMBE",O124,"ITEMNMBR","@@"&amp;$G124,"Company=",$C$12)</t>
  </si>
  <si>
    <t>=NL("Sum","SOP30300","QUANTITY","SOPNUMBE",O124,"ITEMNMBR","@@"&amp;$G124,"Company=",$C$12)</t>
  </si>
  <si>
    <t>=NL("Sum","SOP30300","EXTDCOST","SOPNUMBE",O124,"ITEMNMBR","@@"&amp;$G124,"Company=",$C$12)</t>
  </si>
  <si>
    <t>=+P124-R124</t>
  </si>
  <si>
    <t>=NL("Filter","SOP30200","SOPNUMBE","DOCDATE",I$15,"CUSTNMBR",$D125)</t>
  </si>
  <si>
    <t>=NL("Sum","SOP30300","XTNDPRCE","SOPNUMBE",I125,"ITEMNMBR","@@"&amp;$G125,"Company=",$C$12)</t>
  </si>
  <si>
    <t>=NL("Sum","SOP30300","QUANTITY","SOPNUMBE",I125,"ITEMNMBR","@@"&amp;$G125,"Company=",$C$12)</t>
  </si>
  <si>
    <t>=NL("Sum","SOP30300","EXTDCOST","SOPNUMBE",I125,"ITEMNMBR","@@"&amp;$G125,"Company=",$C$12)</t>
  </si>
  <si>
    <t>=+J125-L125</t>
  </si>
  <si>
    <t>=IF($M125=0,0,$M125/$J125)</t>
  </si>
  <si>
    <t>=NL("Filter","SOP30200","SOPNUMBE","DOCDATE",O$15,"CUSTNMBR",$D125)</t>
  </si>
  <si>
    <t>=NL("Sum","SOP30300","XTNDPRCE","SOPNUMBE",O125,"ITEMNMBR","@@"&amp;$G125,"Company=",$C$12)</t>
  </si>
  <si>
    <t>=NL("Sum","SOP30300","QUANTITY","SOPNUMBE",O125,"ITEMNMBR","@@"&amp;$G125,"Company=",$C$12)</t>
  </si>
  <si>
    <t>=NL("Sum","SOP30300","EXTDCOST","SOPNUMBE",O125,"ITEMNMBR","@@"&amp;$G125,"Company=",$C$12)</t>
  </si>
  <si>
    <t>=+P125-R125</t>
  </si>
  <si>
    <t>=B125</t>
  </si>
  <si>
    <t>=D125</t>
  </si>
  <si>
    <t>=NL("Filter","SOP30200","SOPNUMBE","DOCDATE",I$15,"CUSTNMBR",$D126)</t>
  </si>
  <si>
    <t>=NL("Sum","SOP30300","XTNDPRCE","SOPNUMBE",I126,"ITEMNMBR","@@"&amp;$G126,"Company=",$C$12)</t>
  </si>
  <si>
    <t>=NL("Sum","SOP30300","QUANTITY","SOPNUMBE",I126,"ITEMNMBR","@@"&amp;$G126,"Company=",$C$12)</t>
  </si>
  <si>
    <t>=NL("Sum","SOP30300","EXTDCOST","SOPNUMBE",I126,"ITEMNMBR","@@"&amp;$G126,"Company=",$C$12)</t>
  </si>
  <si>
    <t>=+J126-L126</t>
  </si>
  <si>
    <t>=IF($M126=0,0,$M126/$J126)</t>
  </si>
  <si>
    <t>=NL("Filter","SOP30200","SOPNUMBE","DOCDATE",O$15,"CUSTNMBR",$D126)</t>
  </si>
  <si>
    <t>=NL("Sum","SOP30300","XTNDPRCE","SOPNUMBE",O126,"ITEMNMBR","@@"&amp;$G126,"Company=",$C$12)</t>
  </si>
  <si>
    <t>=NL("Sum","SOP30300","QUANTITY","SOPNUMBE",O126,"ITEMNMBR","@@"&amp;$G126,"Company=",$C$12)</t>
  </si>
  <si>
    <t>=NL("Sum","SOP30300","EXTDCOST","SOPNUMBE",O126,"ITEMNMBR","@@"&amp;$G126,"Company=",$C$12)</t>
  </si>
  <si>
    <t>=+P126-R126</t>
  </si>
  <si>
    <t>=NL("Filter","SOP30200","SOPNUMBE","DOCDATE",I$15,"CUSTNMBR",$D127)</t>
  </si>
  <si>
    <t>=NL("Sum","SOP30300","XTNDPRCE","SOPNUMBE",I127,"ITEMNMBR","@@"&amp;$G127,"Company=",$C$12)</t>
  </si>
  <si>
    <t>=NL("Sum","SOP30300","QUANTITY","SOPNUMBE",I127,"ITEMNMBR","@@"&amp;$G127,"Company=",$C$12)</t>
  </si>
  <si>
    <t>=NL("Sum","SOP30300","EXTDCOST","SOPNUMBE",I127,"ITEMNMBR","@@"&amp;$G127,"Company=",$C$12)</t>
  </si>
  <si>
    <t>=+J127-L127</t>
  </si>
  <si>
    <t>=IF($M127=0,0,$M127/$J127)</t>
  </si>
  <si>
    <t>=NL("Filter","SOP30200","SOPNUMBE","DOCDATE",O$15,"CUSTNMBR",$D127)</t>
  </si>
  <si>
    <t>=NL("Sum","SOP30300","XTNDPRCE","SOPNUMBE",O127,"ITEMNMBR","@@"&amp;$G127,"Company=",$C$12)</t>
  </si>
  <si>
    <t>=NL("Sum","SOP30300","QUANTITY","SOPNUMBE",O127,"ITEMNMBR","@@"&amp;$G127,"Company=",$C$12)</t>
  </si>
  <si>
    <t>=NL("Sum","SOP30300","EXTDCOST","SOPNUMBE",O127,"ITEMNMBR","@@"&amp;$G127,"Company=",$C$12)</t>
  </si>
  <si>
    <t>=+P127-R127</t>
  </si>
  <si>
    <t>="PHON-PAN-2315"</t>
  </si>
  <si>
    <t>=NL("Filter","SOP30200","SOPNUMBE","DOCDATE",I$15,"CUSTNMBR",$D129)</t>
  </si>
  <si>
    <t>=NL("Sum","SOP30300","XTNDPRCE","SOPNUMBE",I129,"ITEMNMBR","@@"&amp;$G129,"Company=",$C$12)</t>
  </si>
  <si>
    <t>=NL("Sum","SOP30300","QUANTITY","SOPNUMBE",I129,"ITEMNMBR","@@"&amp;$G129,"Company=",$C$12)</t>
  </si>
  <si>
    <t>=NL("Sum","SOP30300","EXTDCOST","SOPNUMBE",I129,"ITEMNMBR","@@"&amp;$G129,"Company=",$C$12)</t>
  </si>
  <si>
    <t>=+J129-L129</t>
  </si>
  <si>
    <t>=IF($M129=0,0,$M129/$J129)</t>
  </si>
  <si>
    <t>=NL("Filter","SOP30200","SOPNUMBE","DOCDATE",O$15,"CUSTNMBR",$D129)</t>
  </si>
  <si>
    <t>=NL("Sum","SOP30300","XTNDPRCE","SOPNUMBE",O129,"ITEMNMBR","@@"&amp;$G129,"Company=",$C$12)</t>
  </si>
  <si>
    <t>=NL("Sum","SOP30300","QUANTITY","SOPNUMBE",O129,"ITEMNMBR","@@"&amp;$G129,"Company=",$C$12)</t>
  </si>
  <si>
    <t>=NL("Sum","SOP30300","EXTDCOST","SOPNUMBE",O129,"ITEMNMBR","@@"&amp;$G129,"Company=",$C$12)</t>
  </si>
  <si>
    <t>=+P129-R129</t>
  </si>
  <si>
    <t>="Total "&amp;D132&amp;":"</t>
  </si>
  <si>
    <t>=SUBTOTAL(9,J124:J131)</t>
  </si>
  <si>
    <t>=SUBTOTAL(9,K124:K131)</t>
  </si>
  <si>
    <t>=SUBTOTAL(9,L124:L131)</t>
  </si>
  <si>
    <t>=SUBTOTAL(9,M124:M131)</t>
  </si>
  <si>
    <t>=IF(J132=0,0,+M132/J132)</t>
  </si>
  <si>
    <t>=SUBTOTAL(9,P124:P131)</t>
  </si>
  <si>
    <t>=SUBTOTAL(9,Q124:Q131)</t>
  </si>
  <si>
    <t>=SUBTOTAL(9,R124:R131)</t>
  </si>
  <si>
    <t>=SUBTOTAL(9,S124:S131)</t>
  </si>
  <si>
    <t>=IF(S132=0,0,S132/P132)</t>
  </si>
  <si>
    <t>=B132</t>
  </si>
  <si>
    <t>=D132</t>
  </si>
  <si>
    <t>=NL("Filter","SOP30200","SOPNUMBE","DOCDATE",$D$14,"CUSTNMBR",$D134,"Company=",$C$12)</t>
  </si>
  <si>
    <t>=F134</t>
  </si>
  <si>
    <t>=NL("Filter","SOP30200","SOPNUMBE","DOCDATE",I$15,"CUSTNMBR",$D136)</t>
  </si>
  <si>
    <t>=NL("Sum","SOP30300","XTNDPRCE","SOPNUMBE",I136,"ITEMNMBR","@@"&amp;$G136,"Company=",$C$12)</t>
  </si>
  <si>
    <t>=NL("Sum","SOP30300","QUANTITY","SOPNUMBE",I136,"ITEMNMBR","@@"&amp;$G136,"Company=",$C$12)</t>
  </si>
  <si>
    <t>=NL("Sum","SOP30300","EXTDCOST","SOPNUMBE",I136,"ITEMNMBR","@@"&amp;$G136,"Company=",$C$12)</t>
  </si>
  <si>
    <t>=+J136-L136</t>
  </si>
  <si>
    <t>=IF($M136=0,0,$M136/$J136)</t>
  </si>
  <si>
    <t>=NL("Filter","SOP30200","SOPNUMBE","DOCDATE",O$15,"CUSTNMBR",$D136)</t>
  </si>
  <si>
    <t>=NL("Sum","SOP30300","XTNDPRCE","SOPNUMBE",O136,"ITEMNMBR","@@"&amp;$G136,"Company=",$C$12)</t>
  </si>
  <si>
    <t>=NL("Sum","SOP30300","QUANTITY","SOPNUMBE",O136,"ITEMNMBR","@@"&amp;$G136,"Company=",$C$12)</t>
  </si>
  <si>
    <t>=NL("Sum","SOP30300","EXTDCOST","SOPNUMBE",O136,"ITEMNMBR","@@"&amp;$G136,"Company=",$C$12)</t>
  </si>
  <si>
    <t>=+P136-R136</t>
  </si>
  <si>
    <t>=NL("Filter","SOP30200","SOPNUMBE","DOCDATE",I$15,"CUSTNMBR",$D137)</t>
  </si>
  <si>
    <t>=NL("Sum","SOP30300","XTNDPRCE","SOPNUMBE",I137,"ITEMNMBR","@@"&amp;$G137,"Company=",$C$12)</t>
  </si>
  <si>
    <t>=NL("Sum","SOP30300","QUANTITY","SOPNUMBE",I137,"ITEMNMBR","@@"&amp;$G137,"Company=",$C$12)</t>
  </si>
  <si>
    <t>=NL("Sum","SOP30300","EXTDCOST","SOPNUMBE",I137,"ITEMNMBR","@@"&amp;$G137,"Company=",$C$12)</t>
  </si>
  <si>
    <t>=+J137-L137</t>
  </si>
  <si>
    <t>=IF($M137=0,0,$M137/$J137)</t>
  </si>
  <si>
    <t>=NL("Filter","SOP30200","SOPNUMBE","DOCDATE",O$15,"CUSTNMBR",$D137)</t>
  </si>
  <si>
    <t>=NL("Sum","SOP30300","XTNDPRCE","SOPNUMBE",O137,"ITEMNMBR","@@"&amp;$G137,"Company=",$C$12)</t>
  </si>
  <si>
    <t>=NL("Sum","SOP30300","QUANTITY","SOPNUMBE",O137,"ITEMNMBR","@@"&amp;$G137,"Company=",$C$12)</t>
  </si>
  <si>
    <t>=NL("Sum","SOP30300","EXTDCOST","SOPNUMBE",O137,"ITEMNMBR","@@"&amp;$G137,"Company=",$C$12)</t>
  </si>
  <si>
    <t>=+P137-R137</t>
  </si>
  <si>
    <t>="REPR-TWO-0002"</t>
  </si>
  <si>
    <t>=NL("Filter","SOP30200","SOPNUMBE","DOCDATE",I$15,"CUSTNMBR",$D138)</t>
  </si>
  <si>
    <t>=NL("Sum","SOP30300","XTNDPRCE","SOPNUMBE",I138,"ITEMNMBR","@@"&amp;$G138,"Company=",$C$12)</t>
  </si>
  <si>
    <t>=NL("Sum","SOP30300","QUANTITY","SOPNUMBE",I138,"ITEMNMBR","@@"&amp;$G138,"Company=",$C$12)</t>
  </si>
  <si>
    <t>=NL("Sum","SOP30300","EXTDCOST","SOPNUMBE",I138,"ITEMNMBR","@@"&amp;$G138,"Company=",$C$12)</t>
  </si>
  <si>
    <t>=+J138-L138</t>
  </si>
  <si>
    <t>=IF($M138=0,0,$M138/$J138)</t>
  </si>
  <si>
    <t>=NL("Filter","SOP30200","SOPNUMBE","DOCDATE",O$15,"CUSTNMBR",$D138)</t>
  </si>
  <si>
    <t>=NL("Sum","SOP30300","XTNDPRCE","SOPNUMBE",O138,"ITEMNMBR","@@"&amp;$G138,"Company=",$C$12)</t>
  </si>
  <si>
    <t>=NL("Sum","SOP30300","QUANTITY","SOPNUMBE",O138,"ITEMNMBR","@@"&amp;$G138,"Company=",$C$12)</t>
  </si>
  <si>
    <t>=NL("Sum","SOP30300","EXTDCOST","SOPNUMBE",O138,"ITEMNMBR","@@"&amp;$G138,"Company=",$C$12)</t>
  </si>
  <si>
    <t>=+P138-R138</t>
  </si>
  <si>
    <t>=B139</t>
  </si>
  <si>
    <t>=D139</t>
  </si>
  <si>
    <t>="Total "&amp;D141&amp;":"</t>
  </si>
  <si>
    <t>=SUBTOTAL(9,J136:J140)</t>
  </si>
  <si>
    <t>=SUBTOTAL(9,K136:K140)</t>
  </si>
  <si>
    <t>=SUBTOTAL(9,L136:L140)</t>
  </si>
  <si>
    <t>=SUBTOTAL(9,M136:M140)</t>
  </si>
  <si>
    <t>=IF(J141=0,0,+M141/J141)</t>
  </si>
  <si>
    <t>=SUBTOTAL(9,P136:P140)</t>
  </si>
  <si>
    <t>=SUBTOTAL(9,Q136:Q140)</t>
  </si>
  <si>
    <t>=SUBTOTAL(9,R136:R140)</t>
  </si>
  <si>
    <t>=SUBTOTAL(9,S136:S140)</t>
  </si>
  <si>
    <t>=IF(S141=0,0,S141/P141)</t>
  </si>
  <si>
    <t>=SUBTOTAL(9,J25:J143)</t>
  </si>
  <si>
    <t>=SUBTOTAL(9,K25:K143)</t>
  </si>
  <si>
    <t>=SUBTOTAL(9,L25:L143)</t>
  </si>
  <si>
    <t>=SUBTOTAL(9,M25:M143)</t>
  </si>
  <si>
    <t>=IF(J144=0,0,+M144/J144)</t>
  </si>
  <si>
    <t>=SUBTOTAL(9,P25:P143)</t>
  </si>
  <si>
    <t>=SUBTOTAL(9,Q25:Q143)</t>
  </si>
  <si>
    <t>=SUBTOTAL(9,R25:R143)</t>
  </si>
  <si>
    <t>=SUBTOTAL(9,S25:S143)</t>
  </si>
  <si>
    <t>=IF(P144=0,0,+S144/P144)</t>
  </si>
  <si>
    <t>Auto+Hide+hidesheet+Values+Formulas=Sheet9,Sheet10+FormulasOnly</t>
  </si>
  <si>
    <t>=NL("First","RM00101","CUSTNAME","CUSTNMBR","@@"&amp;$F23,"Company=",$C$12)</t>
  </si>
  <si>
    <t>=NL("Rows","SOP30300","ITEMNMBR","SOPNUMBE",$B25,"ITEMNMBR",$C$18,"Company=",$C$12)</t>
  </si>
  <si>
    <t>=NL("First","IV00101","ITEMDESC","ITEMNMBR","@@"&amp;$G25,"Company=",$C$12)</t>
  </si>
  <si>
    <t>Auto+Hide+Values+Formulas=Sheet11,Sheet12+FormulasOnly</t>
  </si>
  <si>
    <t>Auto+Hide+hidesheet+Values+Formulas=Sheet13,Sheet9,Sheet10</t>
  </si>
  <si>
    <t>Auto+Hide+hidesheet+Values+Formulas=Sheet13,Sheet9,Sheet10+FormulasOnly</t>
  </si>
  <si>
    <t>Auto+Hide+Values+Formulas=Sheet14,Sheet11,Sheet12</t>
  </si>
  <si>
    <t>=NL("First","RM00101","CUSTNAME","CUSTNMBR","@@"&amp;$F35,"Company=",$C$12)</t>
  </si>
  <si>
    <t>=NL("Rows","SOP30300","ITEMNMBR","SOPNUMBE",$B37,"ITEMNMBR",$C$18,"Company=",$C$12)</t>
  </si>
  <si>
    <t>=NL("First","RM00101","CUSTNAME","CUSTNMBR","@@"&amp;$F46,"Company=",$C$12)</t>
  </si>
  <si>
    <t>=NL("Rows","SOP30300","ITEMNMBR","SOPNUMBE",$B48,"ITEMNMBR",$C$18,"Company=",$C$12)</t>
  </si>
  <si>
    <t>=NL("First","RM00101","CUSTNAME","CUSTNMBR","@@"&amp;$F55,"Company=",$C$12)</t>
  </si>
  <si>
    <t>=NL("Rows","SOP30300","ITEMNMBR","SOPNUMBE",$B57,"ITEMNMBR",$C$18,"Company=",$C$12)</t>
  </si>
  <si>
    <t>=NL("First","IV00101","ITEMDESC","ITEMNMBR","@@"&amp;$G57,"Company=",$C$12)</t>
  </si>
  <si>
    <t>=NL("First","IV00101","ITEMDESC","ITEMNMBR","@@"&amp;$G58,"Company=",$C$12)</t>
  </si>
  <si>
    <t>=NL("First","RM00101","CUSTNAME","CUSTNMBR","@@"&amp;$F63,"Company=",$C$12)</t>
  </si>
  <si>
    <t>=NL("Rows","SOP30300","ITEMNMBR","SOPNUMBE",$B65,"ITEMNMBR",$C$18,"Company=",$C$12)</t>
  </si>
  <si>
    <t>=NL("First","IV00101","ITEMDESC","ITEMNMBR","@@"&amp;$G65,"Company=",$C$12)</t>
  </si>
  <si>
    <t>=NL("First","IV00101","ITEMDESC","ITEMNMBR","@@"&amp;$G66,"Company=",$C$12)</t>
  </si>
  <si>
    <t>=NL("First","RM00101","CUSTNAME","CUSTNMBR","@@"&amp;$F71,"Company=",$C$12)</t>
  </si>
  <si>
    <t>=NL("Rows","SOP30300","ITEMNMBR","SOPNUMBE",$B73,"ITEMNMBR",$C$18,"Company=",$C$12)</t>
  </si>
  <si>
    <t>=NL("First","IV00101","ITEMDESC","ITEMNMBR","@@"&amp;$G73,"Company=",$C$12)</t>
  </si>
  <si>
    <t>=NL("First","IV00101","ITEMDESC","ITEMNMBR","@@"&amp;$G74,"Company=",$C$12)</t>
  </si>
  <si>
    <t>=NL("First","RM00101","CUSTNAME","CUSTNMBR","@@"&amp;$F79,"Company=",$C$12)</t>
  </si>
  <si>
    <t>=NL("Rows","SOP30300","ITEMNMBR","SOPNUMBE",$B81,"ITEMNMBR",$C$18,"Company=",$C$12)</t>
  </si>
  <si>
    <t>=NL("First","RM00101","CUSTNAME","CUSTNMBR","@@"&amp;$F88,"Company=",$C$12)</t>
  </si>
  <si>
    <t>=NL("Rows","SOP30300","ITEMNMBR","SOPNUMBE",$B90,"ITEMNMBR",$C$18,"Company=",$C$12)</t>
  </si>
  <si>
    <t>=NL("First","IV00101","ITEMDESC","ITEMNMBR","@@"&amp;$G90,"Company=",$C$12)</t>
  </si>
  <si>
    <t>=NL("First","IV00101","ITEMDESC","ITEMNMBR","@@"&amp;$G91,"Company=",$C$12)</t>
  </si>
  <si>
    <t>=NL("First","RM00101","CUSTNAME","CUSTNMBR","@@"&amp;$F96,"Company=",$C$12)</t>
  </si>
  <si>
    <t>=NL("Rows","SOP30300","ITEMNMBR","SOPNUMBE",$B98,"ITEMNMBR",$C$18,"Company=",$C$12)</t>
  </si>
  <si>
    <t>=NL("First","RM00101","CUSTNAME","CUSTNMBR","@@"&amp;$F106,"Company=",$C$12)</t>
  </si>
  <si>
    <t>=NL("Rows","SOP30300","ITEMNMBR","SOPNUMBE",$B108,"ITEMNMBR",$C$18,"Company=",$C$12)</t>
  </si>
  <si>
    <t>=NL("First","RM00101","CUSTNAME","CUSTNMBR","@@"&amp;$F115,"Company=",$C$12)</t>
  </si>
  <si>
    <t>=NL("Rows","SOP30300","ITEMNMBR","SOPNUMBE",$B117,"ITEMNMBR",$C$18,"Company=",$C$12)</t>
  </si>
  <si>
    <t>=NL("First","IV00101","ITEMDESC","ITEMNMBR","@@"&amp;$G117,"Company=",$C$12)</t>
  </si>
  <si>
    <t>=NL("First","RM00101","CUSTNAME","CUSTNMBR","@@"&amp;$F122,"Company=",$C$12)</t>
  </si>
  <si>
    <t>=NL("Rows","SOP30300","ITEMNMBR","SOPNUMBE",$B124,"ITEMNMBR",$C$18,"Company=",$C$12)</t>
  </si>
  <si>
    <t>=NL("First","RM00101","CUSTNAME","CUSTNMBR","@@"&amp;$F134,"Company=",$C$12)</t>
  </si>
  <si>
    <t>=NL("Rows","SOP30300","ITEMNMBR","SOPNUMBE",$B136,"ITEMNMBR",$C$18,"Company=",$C$12)</t>
  </si>
  <si>
    <t>=NL("First","IV00101","ITEMDESC","ITEMNMBR","@@"&amp;$G26,"Company=",$C$12)</t>
  </si>
  <si>
    <t>=NL("First","IV00101","ITEMDESC","ITEMNMBR","@@"&amp;$G27,"Company=",$C$12)</t>
  </si>
  <si>
    <t>=NL("First","IV00101","ITEMDESC","ITEMNMBR","@@"&amp;$G28,"Company=",$C$12)</t>
  </si>
  <si>
    <t>=NL("First","IV00101","ITEMDESC","ITEMNMBR","@@"&amp;$G29,"Company=",$C$12)</t>
  </si>
  <si>
    <t>=NL("First","IV00101","ITEMDESC","ITEMNMBR","@@"&amp;$G30,"Company=",$C$12)</t>
  </si>
  <si>
    <t>=NL("First","IV00101","ITEMDESC","ITEMNMBR","@@"&amp;$G136,"Company=",$C$12)</t>
  </si>
  <si>
    <t>=NL("First","IV00101","ITEMDESC","ITEMNMBR","@@"&amp;$G137,"Company=",$C$12)</t>
  </si>
  <si>
    <t>=NL("First","IV00101","ITEMDESC","ITEMNMBR","@@"&amp;$G138,"Company=",$C$12)</t>
  </si>
  <si>
    <t>=NL("First","IV00101","ITEMDESC","ITEMNMBR","@@"&amp;$G124,"Company=",$C$12)</t>
  </si>
  <si>
    <t>=NL("First","IV00101","ITEMDESC","ITEMNMBR","@@"&amp;$G125,"Company=",$C$12)</t>
  </si>
  <si>
    <t>=NL("First","IV00101","ITEMDESC","ITEMNMBR","@@"&amp;$G126,"Company=",$C$12)</t>
  </si>
  <si>
    <t>=NL("First","IV00101","ITEMDESC","ITEMNMBR","@@"&amp;$G127,"Company=",$C$12)</t>
  </si>
  <si>
    <t>=NL("First","IV00101","ITEMDESC","ITEMNMBR","@@"&amp;$G128,"Company=",$C$12)</t>
  </si>
  <si>
    <t>=NL("First","IV00101","ITEMDESC","ITEMNMBR","@@"&amp;$G129,"Company=",$C$12)</t>
  </si>
  <si>
    <t>=NL("First","IV00101","ITEMDESC","ITEMNMBR","@@"&amp;$G108,"Company=",$C$12)</t>
  </si>
  <si>
    <t>=NL("First","IV00101","ITEMDESC","ITEMNMBR","@@"&amp;$G109,"Company=",$C$12)</t>
  </si>
  <si>
    <t>=NL("First","IV00101","ITEMDESC","ITEMNMBR","@@"&amp;$G110,"Company=",$C$12)</t>
  </si>
  <si>
    <t>=NL("First","IV00101","ITEMDESC","ITEMNMBR","@@"&amp;$G98,"Company=",$C$12)</t>
  </si>
  <si>
    <t>=NL("First","IV00101","ITEMDESC","ITEMNMBR","@@"&amp;$G99,"Company=",$C$12)</t>
  </si>
  <si>
    <t>=NL("First","IV00101","ITEMDESC","ITEMNMBR","@@"&amp;$G100,"Company=",$C$12)</t>
  </si>
  <si>
    <t>=NL("First","IV00101","ITEMDESC","ITEMNMBR","@@"&amp;$G101,"Company=",$C$12)</t>
  </si>
  <si>
    <t>=NL("First","IV00101","ITEMDESC","ITEMNMBR","@@"&amp;$G81,"Company=",$C$12)</t>
  </si>
  <si>
    <t>=NL("First","IV00101","ITEMDESC","ITEMNMBR","@@"&amp;$G82,"Company=",$C$12)</t>
  </si>
  <si>
    <t>=NL("First","IV00101","ITEMDESC","ITEMNMBR","@@"&amp;$G83,"Company=",$C$12)</t>
  </si>
  <si>
    <t>=NL("First","IV00101","ITEMDESC","ITEMNMBR","@@"&amp;$G48,"Company=",$C$12)</t>
  </si>
  <si>
    <t>=NL("First","IV00101","ITEMDESC","ITEMNMBR","@@"&amp;$G49,"Company=",$C$12)</t>
  </si>
  <si>
    <t>=NL("First","IV00101","ITEMDESC","ITEMNMBR","@@"&amp;$G50,"Company=",$C$12)</t>
  </si>
  <si>
    <t>=NL("First","IV00101","ITEMDESC","ITEMNMBR","@@"&amp;$G37,"Company=",$C$12)</t>
  </si>
  <si>
    <t>=NL("First","IV00101","ITEMDESC","ITEMNMBR","@@"&amp;$G38,"Company=",$C$12)</t>
  </si>
  <si>
    <t>=NL("First","IV00101","ITEMDESC","ITEMNMBR","@@"&amp;$G39,"Company=",$C$12)</t>
  </si>
  <si>
    <t>=NL("First","IV00101","ITEMDESC","ITEMNMBR","@@"&amp;$G40,"Company=",$C$12)</t>
  </si>
  <si>
    <t>=NL("First","IV00101","ITEMDESC","ITEMNMBR","@@"&amp;$G41,"Company=",$C$12)</t>
  </si>
  <si>
    <t>Auto+Hide+Values+Formulas=Sheet14,Sheet11,Sheet12+FormulasOnly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</si>
</sst>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mm/dd/yy;@"/>
    <numFmt numFmtId="165" formatCode="_(&quot;$&quot;* #,##0_);_(&quot;$&quot;* \(#,##0\);_(&quot;$&quot;* &quot;-&quot;??_);_(@_)"/>
  </numFmts>
  <fonts count="34"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u/>
      <sz val="10"/>
      <color indexed="12"/>
      <name val="Arial"/>
      <family val="2"/>
    </font>
    <font>
      <b/>
      <sz val="12"/>
      <name val="Arial"/>
      <family val="2"/>
    </font>
    <font>
      <b/>
      <sz val="10"/>
      <color indexed="12"/>
      <name val="Arial"/>
      <family val="2"/>
    </font>
    <font>
      <sz val="10"/>
      <color indexed="12"/>
      <name val="Arial"/>
      <family val="2"/>
    </font>
    <font>
      <b/>
      <sz val="12"/>
      <color indexed="9"/>
      <name val="Arial"/>
      <family val="2"/>
    </font>
    <font>
      <b/>
      <u/>
      <sz val="12"/>
      <name val="Arial"/>
      <family val="2"/>
    </font>
    <font>
      <b/>
      <u/>
      <sz val="12"/>
      <color indexed="12"/>
      <name val="Arial"/>
      <family val="2"/>
    </font>
    <font>
      <i/>
      <sz val="10"/>
      <name val="Arial"/>
      <family val="2"/>
    </font>
    <font>
      <b/>
      <sz val="11"/>
      <name val="Arial"/>
      <family val="2"/>
    </font>
    <font>
      <sz val="10"/>
      <name val="Arial"/>
      <family val="2"/>
    </font>
    <font>
      <sz val="8"/>
      <name val="Arial"/>
      <family val="2"/>
    </font>
    <font>
      <sz val="10"/>
      <name val="Arial"/>
      <family val="2"/>
    </font>
    <font>
      <b/>
      <sz val="12"/>
      <color indexed="10"/>
      <name val="Arial"/>
      <family val="2"/>
    </font>
    <font>
      <b/>
      <sz val="12"/>
      <color indexed="9"/>
      <name val="Arial"/>
      <family val="2"/>
    </font>
    <font>
      <sz val="10"/>
      <name val="Arial"/>
      <family val="2"/>
    </font>
    <font>
      <sz val="10"/>
      <name val="Arial"/>
      <family val="2"/>
    </font>
    <font>
      <b/>
      <sz val="8"/>
      <name val="Arial"/>
      <family val="2"/>
    </font>
    <font>
      <b/>
      <sz val="18"/>
      <color theme="3"/>
      <name val="Cambria"/>
      <family val="2"/>
      <scheme val="major"/>
    </font>
    <font>
      <b/>
      <sz val="11"/>
      <color theme="3"/>
      <name val="Calibri"/>
      <family val="2"/>
      <scheme val="minor"/>
    </font>
    <font>
      <b/>
      <sz val="12"/>
      <color theme="3"/>
      <name val="Calibri"/>
      <family val="2"/>
      <scheme val="minor"/>
    </font>
    <font>
      <b/>
      <u/>
      <sz val="12"/>
      <color theme="0"/>
      <name val="Arial"/>
      <family val="2"/>
    </font>
    <font>
      <b/>
      <sz val="10"/>
      <color theme="0"/>
      <name val="Arial"/>
      <family val="2"/>
    </font>
    <font>
      <sz val="12"/>
      <name val="Arial"/>
      <family val="2"/>
    </font>
    <font>
      <b/>
      <sz val="12"/>
      <color theme="0"/>
      <name val="Arial"/>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1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0074AB"/>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39997558519241921"/>
        <bgColor indexed="64"/>
      </patternFill>
    </fill>
  </fills>
  <borders count="3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s>
  <cellStyleXfs count="19">
    <xf numFmtId="0" fontId="0" fillId="0" borderId="0"/>
    <xf numFmtId="43" fontId="3" fillId="0" borderId="0" applyFont="0" applyFill="0" applyBorder="0" applyAlignment="0" applyProtection="0"/>
    <xf numFmtId="44" fontId="3" fillId="0" borderId="0" applyFont="0" applyFill="0" applyBorder="0" applyAlignment="0" applyProtection="0"/>
    <xf numFmtId="0" fontId="15" fillId="0" borderId="0"/>
    <xf numFmtId="0" fontId="17" fillId="0" borderId="0"/>
    <xf numFmtId="0" fontId="3" fillId="0" borderId="0"/>
    <xf numFmtId="0" fontId="20" fillId="0" borderId="0"/>
    <xf numFmtId="0" fontId="21" fillId="0" borderId="0"/>
    <xf numFmtId="0" fontId="3" fillId="0" borderId="0"/>
    <xf numFmtId="0" fontId="3" fillId="0" borderId="0"/>
    <xf numFmtId="9" fontId="3" fillId="0" borderId="0" applyFon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3" fillId="0" borderId="0"/>
    <xf numFmtId="0" fontId="3" fillId="0" borderId="0"/>
    <xf numFmtId="0" fontId="3" fillId="0" borderId="0"/>
    <xf numFmtId="0" fontId="2" fillId="0" borderId="0"/>
    <xf numFmtId="0" fontId="1" fillId="0" borderId="0"/>
    <xf numFmtId="0" fontId="6" fillId="0" borderId="0" applyNumberFormat="0" applyFill="0" applyBorder="0" applyAlignment="0" applyProtection="0">
      <alignment vertical="top"/>
      <protection locked="0"/>
    </xf>
  </cellStyleXfs>
  <cellXfs count="132">
    <xf numFmtId="0" fontId="0" fillId="0" borderId="0" xfId="0"/>
    <xf numFmtId="0" fontId="0" fillId="2" borderId="0" xfId="0" applyFill="1"/>
    <xf numFmtId="0" fontId="7" fillId="2" borderId="0" xfId="0" applyFont="1" applyFill="1" applyAlignment="1">
      <alignment horizontal="center"/>
    </xf>
    <xf numFmtId="0" fontId="5" fillId="2" borderId="0" xfId="0" applyFont="1" applyFill="1" applyAlignment="1">
      <alignment horizontal="center"/>
    </xf>
    <xf numFmtId="0" fontId="5" fillId="2" borderId="1" xfId="0" applyFont="1" applyFill="1" applyBorder="1"/>
    <xf numFmtId="0" fontId="5" fillId="2" borderId="0" xfId="0" applyFont="1" applyFill="1" applyBorder="1"/>
    <xf numFmtId="0" fontId="0" fillId="2" borderId="2" xfId="0" applyFill="1" applyBorder="1"/>
    <xf numFmtId="0" fontId="5" fillId="2" borderId="3" xfId="0" applyFont="1" applyFill="1" applyBorder="1" applyAlignment="1">
      <alignment horizontal="center"/>
    </xf>
    <xf numFmtId="0" fontId="5" fillId="2" borderId="0" xfId="0" applyFont="1" applyFill="1" applyBorder="1" applyAlignment="1">
      <alignment horizontal="center"/>
    </xf>
    <xf numFmtId="0" fontId="5" fillId="2" borderId="4" xfId="0" applyFont="1" applyFill="1" applyBorder="1" applyAlignment="1">
      <alignment horizontal="center"/>
    </xf>
    <xf numFmtId="0" fontId="0" fillId="2" borderId="0" xfId="0" applyFill="1" applyBorder="1"/>
    <xf numFmtId="0" fontId="0" fillId="2" borderId="3" xfId="0" applyFill="1" applyBorder="1"/>
    <xf numFmtId="0" fontId="0" fillId="2" borderId="4" xfId="0" applyFill="1" applyBorder="1"/>
    <xf numFmtId="0" fontId="9" fillId="2" borderId="3" xfId="0" applyFont="1" applyFill="1" applyBorder="1"/>
    <xf numFmtId="0" fontId="0" fillId="2" borderId="5" xfId="0" applyFill="1" applyBorder="1"/>
    <xf numFmtId="43" fontId="0" fillId="2" borderId="7" xfId="1" applyFont="1" applyFill="1" applyBorder="1"/>
    <xf numFmtId="9" fontId="0" fillId="2" borderId="8" xfId="10" applyFont="1" applyFill="1" applyBorder="1" applyAlignment="1">
      <alignment horizontal="center"/>
    </xf>
    <xf numFmtId="0" fontId="5" fillId="2" borderId="0" xfId="0" applyFont="1" applyFill="1" applyAlignment="1">
      <alignment horizontal="right"/>
    </xf>
    <xf numFmtId="0" fontId="5" fillId="2" borderId="0" xfId="0" applyFont="1" applyFill="1" applyBorder="1" applyAlignment="1">
      <alignment horizontal="center" wrapText="1"/>
    </xf>
    <xf numFmtId="0" fontId="14" fillId="2" borderId="0" xfId="0" applyFont="1" applyFill="1" applyBorder="1"/>
    <xf numFmtId="0" fontId="5" fillId="2" borderId="3" xfId="0" applyFont="1" applyFill="1" applyBorder="1" applyAlignment="1">
      <alignment horizontal="center" wrapText="1"/>
    </xf>
    <xf numFmtId="43" fontId="5" fillId="3" borderId="9" xfId="1" applyFont="1" applyFill="1" applyBorder="1"/>
    <xf numFmtId="9" fontId="5" fillId="3" borderId="10" xfId="10" applyFont="1" applyFill="1" applyBorder="1" applyAlignment="1">
      <alignment horizontal="center"/>
    </xf>
    <xf numFmtId="43" fontId="8" fillId="3" borderId="9" xfId="1" applyFont="1" applyFill="1" applyBorder="1"/>
    <xf numFmtId="0" fontId="5" fillId="2" borderId="0" xfId="0" applyFont="1" applyFill="1"/>
    <xf numFmtId="0" fontId="13" fillId="2" borderId="0" xfId="0" applyFont="1" applyFill="1" applyBorder="1"/>
    <xf numFmtId="14" fontId="5" fillId="2" borderId="0" xfId="0" applyNumberFormat="1" applyFont="1" applyFill="1"/>
    <xf numFmtId="0" fontId="14" fillId="2" borderId="4" xfId="0" applyFont="1" applyFill="1" applyBorder="1"/>
    <xf numFmtId="0" fontId="5" fillId="2" borderId="20" xfId="0" applyFont="1" applyFill="1" applyBorder="1"/>
    <xf numFmtId="0" fontId="5" fillId="2" borderId="4" xfId="0" applyFont="1" applyFill="1" applyBorder="1"/>
    <xf numFmtId="0" fontId="5" fillId="2" borderId="21" xfId="0" applyFont="1" applyFill="1" applyBorder="1" applyAlignment="1">
      <alignment horizontal="center"/>
    </xf>
    <xf numFmtId="0" fontId="5" fillId="4" borderId="23" xfId="0" applyFont="1" applyFill="1" applyBorder="1" applyAlignment="1">
      <alignment horizontal="center" wrapText="1"/>
    </xf>
    <xf numFmtId="0" fontId="8" fillId="5" borderId="23" xfId="0" applyFont="1" applyFill="1" applyBorder="1" applyAlignment="1">
      <alignment horizontal="center" wrapText="1"/>
    </xf>
    <xf numFmtId="0" fontId="12" fillId="5" borderId="26" xfId="0" applyFont="1" applyFill="1" applyBorder="1" applyAlignment="1"/>
    <xf numFmtId="0" fontId="23" fillId="2" borderId="31" xfId="11" applyNumberFormat="1" applyFill="1" applyBorder="1" applyAlignment="1">
      <alignment horizontal="left"/>
    </xf>
    <xf numFmtId="0" fontId="23" fillId="0" borderId="31" xfId="11" applyBorder="1"/>
    <xf numFmtId="0" fontId="23" fillId="2" borderId="31" xfId="11" applyFill="1" applyBorder="1"/>
    <xf numFmtId="0" fontId="25" fillId="2" borderId="0" xfId="12" applyFont="1" applyFill="1" applyBorder="1" applyAlignment="1"/>
    <xf numFmtId="0" fontId="25" fillId="2" borderId="0" xfId="12" applyFont="1" applyFill="1" applyBorder="1"/>
    <xf numFmtId="9" fontId="3" fillId="2" borderId="8" xfId="10" applyFont="1" applyFill="1" applyBorder="1" applyAlignment="1">
      <alignment horizontal="center"/>
    </xf>
    <xf numFmtId="0" fontId="3" fillId="2" borderId="4" xfId="0" applyFont="1" applyFill="1" applyBorder="1"/>
    <xf numFmtId="0" fontId="28" fillId="2" borderId="0" xfId="0" applyFont="1" applyFill="1"/>
    <xf numFmtId="44" fontId="7" fillId="4" borderId="6" xfId="2" applyFont="1" applyFill="1" applyBorder="1"/>
    <xf numFmtId="9" fontId="29" fillId="6" borderId="24" xfId="10" applyFont="1" applyFill="1" applyBorder="1" applyAlignment="1">
      <alignment horizontal="center"/>
    </xf>
    <xf numFmtId="44" fontId="7" fillId="5" borderId="25" xfId="2" applyFont="1" applyFill="1" applyBorder="1"/>
    <xf numFmtId="165" fontId="5" fillId="2" borderId="0" xfId="0" applyNumberFormat="1" applyFont="1" applyFill="1" applyBorder="1" applyAlignment="1">
      <alignment horizontal="center"/>
    </xf>
    <xf numFmtId="165" fontId="5" fillId="2" borderId="3" xfId="0" applyNumberFormat="1" applyFont="1" applyFill="1" applyBorder="1" applyAlignment="1">
      <alignment horizontal="center"/>
    </xf>
    <xf numFmtId="165" fontId="3" fillId="2" borderId="0" xfId="0" applyNumberFormat="1" applyFont="1" applyFill="1" applyBorder="1"/>
    <xf numFmtId="9" fontId="7" fillId="7" borderId="24" xfId="10" applyFont="1" applyFill="1" applyBorder="1" applyAlignment="1">
      <alignment horizontal="center"/>
    </xf>
    <xf numFmtId="44" fontId="0" fillId="2" borderId="7" xfId="2" applyFont="1" applyFill="1" applyBorder="1"/>
    <xf numFmtId="44" fontId="0" fillId="2" borderId="3" xfId="2" applyFont="1" applyFill="1" applyBorder="1"/>
    <xf numFmtId="44" fontId="0" fillId="2" borderId="2" xfId="2" applyFont="1" applyFill="1" applyBorder="1"/>
    <xf numFmtId="0" fontId="0" fillId="2" borderId="2" xfId="0" applyFill="1" applyBorder="1"/>
    <xf numFmtId="0" fontId="0" fillId="2" borderId="5" xfId="0" applyFill="1" applyBorder="1"/>
    <xf numFmtId="44" fontId="0" fillId="2" borderId="0" xfId="2" applyFont="1" applyFill="1" applyBorder="1"/>
    <xf numFmtId="0" fontId="0" fillId="0" borderId="0" xfId="0"/>
    <xf numFmtId="0" fontId="5" fillId="2" borderId="0" xfId="0" applyFont="1" applyFill="1" applyBorder="1"/>
    <xf numFmtId="43" fontId="0" fillId="2" borderId="7" xfId="1" applyFont="1" applyFill="1" applyBorder="1"/>
    <xf numFmtId="9" fontId="0" fillId="2" borderId="8" xfId="10" applyFont="1" applyFill="1" applyBorder="1" applyAlignment="1">
      <alignment horizontal="center"/>
    </xf>
    <xf numFmtId="0" fontId="5" fillId="2" borderId="1" xfId="0" applyFont="1" applyFill="1" applyBorder="1" applyAlignment="1">
      <alignment horizontal="left" wrapText="1"/>
    </xf>
    <xf numFmtId="0" fontId="5" fillId="2" borderId="0" xfId="0" applyFont="1" applyFill="1"/>
    <xf numFmtId="0" fontId="5" fillId="2" borderId="20" xfId="0" applyFont="1" applyFill="1" applyBorder="1"/>
    <xf numFmtId="0" fontId="25" fillId="2" borderId="0" xfId="12" applyFont="1" applyFill="1" applyBorder="1" applyAlignment="1"/>
    <xf numFmtId="0" fontId="27" fillId="6" borderId="18" xfId="0" applyFont="1" applyFill="1" applyBorder="1" applyAlignment="1">
      <alignment horizontal="center" wrapText="1"/>
    </xf>
    <xf numFmtId="0" fontId="27" fillId="6" borderId="18" xfId="0" applyFont="1" applyFill="1" applyBorder="1" applyAlignment="1">
      <alignment horizontal="center"/>
    </xf>
    <xf numFmtId="0" fontId="27" fillId="6" borderId="19" xfId="0" applyFont="1" applyFill="1" applyBorder="1" applyAlignment="1">
      <alignment horizontal="center"/>
    </xf>
    <xf numFmtId="0" fontId="5" fillId="7" borderId="18" xfId="0" applyFont="1" applyFill="1" applyBorder="1" applyAlignment="1">
      <alignment horizontal="center" wrapText="1"/>
    </xf>
    <xf numFmtId="0" fontId="5" fillId="7" borderId="18" xfId="0" applyFont="1" applyFill="1" applyBorder="1" applyAlignment="1">
      <alignment horizontal="center"/>
    </xf>
    <xf numFmtId="0" fontId="5" fillId="7" borderId="19" xfId="0" applyFont="1" applyFill="1" applyBorder="1" applyAlignment="1">
      <alignment horizontal="center"/>
    </xf>
    <xf numFmtId="9" fontId="3" fillId="2" borderId="8" xfId="10" applyFont="1" applyFill="1" applyBorder="1" applyAlignment="1">
      <alignment horizontal="center"/>
    </xf>
    <xf numFmtId="0" fontId="7" fillId="2" borderId="6" xfId="0" applyFont="1" applyFill="1" applyBorder="1" applyAlignment="1">
      <alignment horizontal="right"/>
    </xf>
    <xf numFmtId="165" fontId="29" fillId="6" borderId="6" xfId="2" applyNumberFormat="1" applyFont="1" applyFill="1" applyBorder="1"/>
    <xf numFmtId="165" fontId="7" fillId="7" borderId="22" xfId="2" applyNumberFormat="1" applyFont="1" applyFill="1" applyBorder="1"/>
    <xf numFmtId="44" fontId="3" fillId="2" borderId="7" xfId="2" applyFont="1" applyFill="1" applyBorder="1"/>
    <xf numFmtId="44" fontId="3" fillId="2" borderId="2" xfId="2" applyFont="1" applyFill="1" applyBorder="1"/>
    <xf numFmtId="44" fontId="3" fillId="2" borderId="3" xfId="2" applyFont="1" applyFill="1" applyBorder="1"/>
    <xf numFmtId="44" fontId="3" fillId="2" borderId="0" xfId="2" applyFont="1" applyFill="1" applyBorder="1"/>
    <xf numFmtId="0" fontId="14" fillId="8" borderId="0" xfId="0" applyFont="1" applyFill="1"/>
    <xf numFmtId="0" fontId="5" fillId="8" borderId="0" xfId="0" applyFont="1" applyFill="1" applyBorder="1"/>
    <xf numFmtId="0" fontId="0" fillId="8" borderId="0" xfId="0" applyFill="1"/>
    <xf numFmtId="165" fontId="5" fillId="3" borderId="9" xfId="2" applyNumberFormat="1" applyFont="1" applyFill="1" applyBorder="1"/>
    <xf numFmtId="0" fontId="0" fillId="0" borderId="0" xfId="0" quotePrefix="1"/>
    <xf numFmtId="0" fontId="30" fillId="0" borderId="0" xfId="17" applyFont="1"/>
    <xf numFmtId="0" fontId="30" fillId="0" borderId="0" xfId="17" applyFont="1" applyAlignment="1">
      <alignment vertical="top"/>
    </xf>
    <xf numFmtId="0" fontId="30" fillId="0" borderId="0" xfId="17" applyFont="1" applyAlignment="1">
      <alignment vertical="top" wrapText="1"/>
    </xf>
    <xf numFmtId="0" fontId="31" fillId="0" borderId="0" xfId="17" applyFont="1" applyAlignment="1">
      <alignment vertical="top"/>
    </xf>
    <xf numFmtId="0" fontId="32" fillId="0" borderId="0" xfId="17" applyFont="1" applyAlignment="1">
      <alignment vertical="top"/>
    </xf>
    <xf numFmtId="0" fontId="33" fillId="0" borderId="0" xfId="17" applyFont="1" applyAlignment="1">
      <alignment vertical="top"/>
    </xf>
    <xf numFmtId="0" fontId="6" fillId="0" borderId="0" xfId="18" applyAlignment="1" applyProtection="1">
      <alignment vertical="top"/>
    </xf>
    <xf numFmtId="14" fontId="0" fillId="2" borderId="0" xfId="0" applyNumberFormat="1" applyFill="1"/>
    <xf numFmtId="44" fontId="3" fillId="2" borderId="32" xfId="2" applyFont="1" applyFill="1" applyBorder="1"/>
    <xf numFmtId="0" fontId="11" fillId="4" borderId="33" xfId="0" applyFont="1" applyFill="1" applyBorder="1" applyAlignment="1"/>
    <xf numFmtId="0" fontId="26" fillId="6" borderId="26" xfId="0" applyFont="1" applyFill="1" applyBorder="1" applyAlignment="1">
      <alignment horizontal="center"/>
    </xf>
    <xf numFmtId="0" fontId="26" fillId="6" borderId="27" xfId="0" applyFont="1" applyFill="1" applyBorder="1" applyAlignment="1">
      <alignment horizontal="center"/>
    </xf>
    <xf numFmtId="0" fontId="26" fillId="6" borderId="28" xfId="0" applyFont="1" applyFill="1" applyBorder="1" applyAlignment="1">
      <alignment horizontal="center"/>
    </xf>
    <xf numFmtId="0" fontId="11" fillId="7" borderId="26" xfId="0" applyFont="1" applyFill="1" applyBorder="1" applyAlignment="1">
      <alignment horizontal="center"/>
    </xf>
    <xf numFmtId="0" fontId="11" fillId="7" borderId="27" xfId="0" applyFont="1" applyFill="1" applyBorder="1" applyAlignment="1">
      <alignment horizontal="center"/>
    </xf>
    <xf numFmtId="0" fontId="11" fillId="7" borderId="28" xfId="0" applyFont="1" applyFill="1" applyBorder="1" applyAlignment="1">
      <alignment horizontal="center"/>
    </xf>
    <xf numFmtId="0" fontId="0" fillId="9" borderId="0" xfId="0" applyFill="1"/>
    <xf numFmtId="0" fontId="16" fillId="9" borderId="0" xfId="0" applyFont="1" applyFill="1"/>
    <xf numFmtId="0" fontId="4" fillId="9" borderId="0" xfId="0" applyFont="1" applyFill="1"/>
    <xf numFmtId="0" fontId="15" fillId="9" borderId="0" xfId="0" applyFont="1" applyFill="1"/>
    <xf numFmtId="164" fontId="4" fillId="9" borderId="0" xfId="0" applyNumberFormat="1" applyFont="1" applyFill="1"/>
    <xf numFmtId="0" fontId="3" fillId="9" borderId="0" xfId="0" applyFont="1" applyFill="1"/>
    <xf numFmtId="0" fontId="22" fillId="9" borderId="0" xfId="0" applyFont="1" applyFill="1" applyAlignment="1">
      <alignment horizontal="center"/>
    </xf>
    <xf numFmtId="0" fontId="28" fillId="9" borderId="0" xfId="0" applyFont="1" applyFill="1"/>
    <xf numFmtId="0" fontId="0" fillId="0" borderId="0" xfId="0" applyFill="1"/>
    <xf numFmtId="164" fontId="0" fillId="9" borderId="0" xfId="0" applyNumberFormat="1" applyFill="1"/>
    <xf numFmtId="14" fontId="0" fillId="9" borderId="0" xfId="0" applyNumberFormat="1" applyFill="1"/>
    <xf numFmtId="0" fontId="7" fillId="9" borderId="0" xfId="0" applyFont="1" applyFill="1" applyAlignment="1">
      <alignment horizontal="center"/>
    </xf>
    <xf numFmtId="0" fontId="0" fillId="9" borderId="0" xfId="0" applyFill="1" applyAlignment="1">
      <alignment horizontal="center"/>
    </xf>
    <xf numFmtId="0" fontId="10" fillId="9" borderId="0" xfId="0" applyFont="1" applyFill="1" applyBorder="1" applyAlignment="1">
      <alignment horizontal="center"/>
    </xf>
    <xf numFmtId="0" fontId="0" fillId="0" borderId="0" xfId="0" applyFill="1" applyBorder="1"/>
    <xf numFmtId="0" fontId="15" fillId="0" borderId="0" xfId="0" applyFont="1" applyFill="1" applyBorder="1"/>
    <xf numFmtId="0" fontId="18" fillId="0" borderId="0" xfId="0" applyFont="1" applyFill="1" applyBorder="1" applyAlignment="1"/>
    <xf numFmtId="0" fontId="5" fillId="0" borderId="0" xfId="0" applyFont="1" applyFill="1" applyBorder="1"/>
    <xf numFmtId="0" fontId="13" fillId="0" borderId="0" xfId="0" applyFont="1" applyFill="1" applyBorder="1" applyAlignment="1">
      <alignment horizontal="center"/>
    </xf>
    <xf numFmtId="0" fontId="19" fillId="10" borderId="5" xfId="0" applyFont="1" applyFill="1" applyBorder="1" applyAlignment="1">
      <alignment horizontal="center"/>
    </xf>
    <xf numFmtId="0" fontId="19" fillId="10" borderId="29" xfId="0" applyFont="1" applyFill="1" applyBorder="1" applyAlignment="1">
      <alignment horizontal="center"/>
    </xf>
    <xf numFmtId="0" fontId="19" fillId="10" borderId="30" xfId="0" applyFont="1" applyFill="1" applyBorder="1" applyAlignment="1">
      <alignment horizontal="center"/>
    </xf>
    <xf numFmtId="0" fontId="0" fillId="8" borderId="11" xfId="0" applyFill="1" applyBorder="1"/>
    <xf numFmtId="0" fontId="0" fillId="8" borderId="12" xfId="0" applyFill="1" applyBorder="1"/>
    <xf numFmtId="0" fontId="0" fillId="8" borderId="13" xfId="0" applyFill="1" applyBorder="1"/>
    <xf numFmtId="0" fontId="0" fillId="8" borderId="14" xfId="0" applyFill="1" applyBorder="1"/>
    <xf numFmtId="0" fontId="14" fillId="8" borderId="1" xfId="0" applyFont="1" applyFill="1" applyBorder="1"/>
    <xf numFmtId="0" fontId="0" fillId="8" borderId="1" xfId="0" applyFill="1" applyBorder="1"/>
    <xf numFmtId="0" fontId="0" fillId="8" borderId="15" xfId="0" applyFill="1" applyBorder="1"/>
    <xf numFmtId="0" fontId="13" fillId="8" borderId="0" xfId="0" applyFont="1" applyFill="1" applyBorder="1" applyAlignment="1">
      <alignment horizontal="center"/>
    </xf>
    <xf numFmtId="0" fontId="0" fillId="8" borderId="0" xfId="0" applyFill="1" applyBorder="1"/>
    <xf numFmtId="14" fontId="13" fillId="8" borderId="0" xfId="0" applyNumberFormat="1" applyFont="1" applyFill="1" applyBorder="1" applyAlignment="1">
      <alignment horizontal="center"/>
    </xf>
    <xf numFmtId="0" fontId="0" fillId="8" borderId="16" xfId="0" applyFill="1" applyBorder="1"/>
    <xf numFmtId="0" fontId="0" fillId="8" borderId="17" xfId="0" applyFill="1" applyBorder="1"/>
  </cellXfs>
  <cellStyles count="19">
    <cellStyle name="Comma" xfId="1" builtinId="3"/>
    <cellStyle name="Currency" xfId="2" builtinId="4"/>
    <cellStyle name="Heading 4" xfId="12" builtinId="19"/>
    <cellStyle name="Hyperlink 3" xfId="18"/>
    <cellStyle name="Normal" xfId="0" builtinId="0"/>
    <cellStyle name="Normal 2" xfId="3"/>
    <cellStyle name="Normal 2 2" xfId="4"/>
    <cellStyle name="Normal 2 2 2" xfId="13"/>
    <cellStyle name="Normal 2 3" xfId="5"/>
    <cellStyle name="Normal 2 4" xfId="6"/>
    <cellStyle name="Normal 2 4 2" xfId="14"/>
    <cellStyle name="Normal 2 5" xfId="7"/>
    <cellStyle name="Normal 2 5 2" xfId="15"/>
    <cellStyle name="Normal 2_Jet1691" xfId="8"/>
    <cellStyle name="Normal 3" xfId="9"/>
    <cellStyle name="Normal 4" xfId="16"/>
    <cellStyle name="Normal 5" xfId="17"/>
    <cellStyle name="Percent" xfId="10" builtinId="5"/>
    <cellStyle name="Title" xfId="11" builtinId="15"/>
  </cellStyles>
  <dxfs count="0"/>
  <tableStyles count="0" defaultTableStyle="TableStyleMedium9" defaultPivotStyle="PivotStyleLight16"/>
  <colors>
    <mruColors>
      <color rgb="FF0074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workbookViewId="0"/>
  </sheetViews>
  <sheetFormatPr defaultColWidth="9.140625" defaultRowHeight="14.25" x14ac:dyDescent="0.25"/>
  <cols>
    <col min="1" max="1" width="3.42578125" style="82" hidden="1" customWidth="1"/>
    <col min="2" max="2" width="10.28515625" style="82" customWidth="1"/>
    <col min="3" max="3" width="27.140625" style="83" customWidth="1"/>
    <col min="4" max="4" width="77.28515625" style="84" customWidth="1"/>
    <col min="5" max="5" width="36.42578125" style="82" customWidth="1"/>
    <col min="6" max="16384" width="9.140625" style="82"/>
  </cols>
  <sheetData>
    <row r="1" spans="1:5" hidden="1" x14ac:dyDescent="0.25">
      <c r="A1" s="82" t="s">
        <v>36</v>
      </c>
    </row>
    <row r="7" spans="1:5" ht="30.75" x14ac:dyDescent="0.25">
      <c r="C7" s="85" t="s">
        <v>4</v>
      </c>
    </row>
    <row r="9" spans="1:5" x14ac:dyDescent="0.25">
      <c r="C9" s="86"/>
    </row>
    <row r="10" spans="1:5" ht="156.75" x14ac:dyDescent="0.25">
      <c r="C10" s="87" t="s">
        <v>97</v>
      </c>
      <c r="D10" s="84" t="s">
        <v>118</v>
      </c>
    </row>
    <row r="11" spans="1:5" x14ac:dyDescent="0.25">
      <c r="C11" s="87"/>
    </row>
    <row r="12" spans="1:5" x14ac:dyDescent="0.25">
      <c r="C12" s="87" t="s">
        <v>98</v>
      </c>
      <c r="D12" s="84" t="s">
        <v>101</v>
      </c>
    </row>
    <row r="13" spans="1:5" x14ac:dyDescent="0.25">
      <c r="C13" s="87"/>
    </row>
    <row r="14" spans="1:5" ht="57" x14ac:dyDescent="0.25">
      <c r="C14" s="87" t="s">
        <v>99</v>
      </c>
      <c r="D14" s="84" t="s">
        <v>102</v>
      </c>
      <c r="E14" s="88" t="s">
        <v>103</v>
      </c>
    </row>
    <row r="15" spans="1:5" x14ac:dyDescent="0.25">
      <c r="C15" s="87"/>
      <c r="E15" s="83"/>
    </row>
    <row r="16" spans="1:5" ht="28.5" x14ac:dyDescent="0.25">
      <c r="C16" s="87" t="s">
        <v>104</v>
      </c>
      <c r="D16" s="84" t="s">
        <v>105</v>
      </c>
      <c r="E16" s="88" t="s">
        <v>106</v>
      </c>
    </row>
    <row r="17" spans="3:5" x14ac:dyDescent="0.25">
      <c r="C17" s="87"/>
      <c r="E17" s="83"/>
    </row>
    <row r="18" spans="3:5" ht="57" x14ac:dyDescent="0.25">
      <c r="C18" s="87" t="s">
        <v>107</v>
      </c>
      <c r="D18" s="84" t="s">
        <v>108</v>
      </c>
      <c r="E18" s="88" t="s">
        <v>109</v>
      </c>
    </row>
    <row r="19" spans="3:5" x14ac:dyDescent="0.25">
      <c r="C19" s="87"/>
      <c r="E19" s="83"/>
    </row>
    <row r="20" spans="3:5" ht="30.75" customHeight="1" x14ac:dyDescent="0.25">
      <c r="C20" s="87" t="s">
        <v>5</v>
      </c>
      <c r="D20" s="84" t="s">
        <v>110</v>
      </c>
      <c r="E20" s="88" t="s">
        <v>111</v>
      </c>
    </row>
    <row r="21" spans="3:5" x14ac:dyDescent="0.25">
      <c r="C21" s="87"/>
      <c r="E21" s="83"/>
    </row>
    <row r="22" spans="3:5" ht="14.25" customHeight="1" x14ac:dyDescent="0.25">
      <c r="C22" s="87" t="s">
        <v>6</v>
      </c>
      <c r="D22" s="84" t="s">
        <v>112</v>
      </c>
      <c r="E22" s="88" t="s">
        <v>113</v>
      </c>
    </row>
    <row r="23" spans="3:5" x14ac:dyDescent="0.25">
      <c r="C23" s="87"/>
      <c r="E23" s="83"/>
    </row>
    <row r="24" spans="3:5" ht="15" customHeight="1" x14ac:dyDescent="0.25">
      <c r="C24" s="87" t="s">
        <v>7</v>
      </c>
      <c r="D24" s="84" t="s">
        <v>114</v>
      </c>
      <c r="E24" s="88" t="s">
        <v>115</v>
      </c>
    </row>
    <row r="25" spans="3:5" x14ac:dyDescent="0.25">
      <c r="C25" s="87"/>
    </row>
    <row r="26" spans="3:5" ht="71.25" x14ac:dyDescent="0.25">
      <c r="C26" s="87" t="s">
        <v>8</v>
      </c>
      <c r="D26" s="84" t="s">
        <v>116</v>
      </c>
    </row>
    <row r="27" spans="3:5" x14ac:dyDescent="0.25">
      <c r="C27" s="87"/>
    </row>
    <row r="28" spans="3:5" ht="17.25" customHeight="1" x14ac:dyDescent="0.25">
      <c r="C28" s="87" t="s">
        <v>9</v>
      </c>
      <c r="D28" s="84" t="s">
        <v>117</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workbookViewId="0"/>
  </sheetViews>
  <sheetFormatPr defaultColWidth="9.140625" defaultRowHeight="12.75" x14ac:dyDescent="0.2"/>
  <cols>
    <col min="1" max="1" width="9.140625" style="112" hidden="1" customWidth="1"/>
    <col min="2" max="2" width="10.85546875" style="112" customWidth="1"/>
    <col min="3" max="3" width="12" style="112" customWidth="1"/>
    <col min="4" max="4" width="19.42578125" style="112" customWidth="1"/>
    <col min="5" max="5" width="21.5703125" style="112" customWidth="1"/>
    <col min="6" max="6" width="3.140625" style="112" customWidth="1"/>
    <col min="7" max="7" width="9.140625" style="112"/>
    <col min="8" max="8" width="3.28515625" style="112" customWidth="1"/>
    <col min="9" max="9" width="12.7109375" style="112" customWidth="1"/>
    <col min="10" max="10" width="9.140625" style="112" customWidth="1"/>
    <col min="11" max="16384" width="9.140625" style="112"/>
  </cols>
  <sheetData>
    <row r="1" spans="1:10" hidden="1" x14ac:dyDescent="0.2">
      <c r="A1" s="112" t="s">
        <v>991</v>
      </c>
      <c r="B1" s="113"/>
      <c r="D1" s="112" t="s">
        <v>29</v>
      </c>
      <c r="E1" s="112" t="s">
        <v>30</v>
      </c>
      <c r="F1" s="112" t="s">
        <v>31</v>
      </c>
      <c r="J1" s="113"/>
    </row>
    <row r="2" spans="1:10" x14ac:dyDescent="0.2">
      <c r="A2" s="113"/>
    </row>
    <row r="3" spans="1:10" x14ac:dyDescent="0.2">
      <c r="A3" s="113"/>
    </row>
    <row r="4" spans="1:10" ht="15.75" x14ac:dyDescent="0.25">
      <c r="B4" s="114"/>
      <c r="C4" s="117" t="s">
        <v>21</v>
      </c>
      <c r="D4" s="118"/>
      <c r="E4" s="118"/>
      <c r="F4" s="118"/>
      <c r="G4" s="118"/>
      <c r="H4" s="118"/>
      <c r="I4" s="119"/>
    </row>
    <row r="5" spans="1:10" x14ac:dyDescent="0.2">
      <c r="C5" s="120"/>
      <c r="D5" s="121"/>
      <c r="E5" s="121"/>
      <c r="F5" s="121"/>
      <c r="G5" s="121"/>
      <c r="H5" s="121"/>
      <c r="I5" s="122"/>
    </row>
    <row r="6" spans="1:10" ht="15" x14ac:dyDescent="0.25">
      <c r="C6" s="123"/>
      <c r="D6" s="124" t="s">
        <v>12</v>
      </c>
      <c r="E6" s="125"/>
      <c r="F6" s="125"/>
      <c r="G6" s="125"/>
      <c r="H6" s="125"/>
      <c r="I6" s="126"/>
    </row>
    <row r="7" spans="1:10" x14ac:dyDescent="0.2">
      <c r="C7" s="123"/>
      <c r="D7" s="78"/>
      <c r="E7" s="127"/>
      <c r="F7" s="128"/>
      <c r="G7" s="128"/>
      <c r="H7" s="128"/>
      <c r="I7" s="126"/>
    </row>
    <row r="8" spans="1:10" x14ac:dyDescent="0.2">
      <c r="A8" s="112" t="s">
        <v>32</v>
      </c>
      <c r="C8" s="123"/>
      <c r="D8" s="78" t="s">
        <v>28</v>
      </c>
      <c r="E8" s="127" t="str">
        <f>"Fabrikam, Inc."</f>
        <v>Fabrikam, Inc.</v>
      </c>
      <c r="F8" s="128" t="str">
        <f>"Lookup"</f>
        <v>Lookup</v>
      </c>
      <c r="G8" s="128"/>
      <c r="H8" s="128"/>
      <c r="I8" s="126"/>
    </row>
    <row r="9" spans="1:10" x14ac:dyDescent="0.2">
      <c r="A9" s="112" t="s">
        <v>32</v>
      </c>
      <c r="C9" s="123"/>
      <c r="D9" s="78" t="s">
        <v>10</v>
      </c>
      <c r="E9" s="127" t="str">
        <f>"Month"</f>
        <v>Month</v>
      </c>
      <c r="F9" s="128" t="str">
        <f>"Lookup"</f>
        <v>Lookup</v>
      </c>
      <c r="G9" s="128"/>
      <c r="H9" s="128"/>
      <c r="I9" s="126"/>
    </row>
    <row r="10" spans="1:10" x14ac:dyDescent="0.2">
      <c r="A10" s="112" t="s">
        <v>32</v>
      </c>
      <c r="C10" s="123"/>
      <c r="D10" s="78" t="s">
        <v>37</v>
      </c>
      <c r="E10" s="127" t="str">
        <f>"*"</f>
        <v>*</v>
      </c>
      <c r="F10" s="128" t="str">
        <f>"Lookup"</f>
        <v>Lookup</v>
      </c>
      <c r="G10" s="128"/>
      <c r="H10" s="128"/>
      <c r="I10" s="126"/>
    </row>
    <row r="11" spans="1:10" x14ac:dyDescent="0.2">
      <c r="A11" s="112" t="s">
        <v>32</v>
      </c>
      <c r="C11" s="123"/>
      <c r="D11" s="78" t="s">
        <v>11</v>
      </c>
      <c r="E11" s="127" t="str">
        <f>"*"</f>
        <v>*</v>
      </c>
      <c r="F11" s="128" t="str">
        <f>"Lookup"</f>
        <v>Lookup</v>
      </c>
      <c r="G11" s="128"/>
      <c r="H11" s="128"/>
      <c r="I11" s="126"/>
    </row>
    <row r="12" spans="1:10" x14ac:dyDescent="0.2">
      <c r="A12" s="112" t="s">
        <v>32</v>
      </c>
      <c r="C12" s="123"/>
      <c r="D12" s="78" t="s">
        <v>15</v>
      </c>
      <c r="E12" s="129" t="str">
        <f>"03/01/2017"</f>
        <v>03/01/2017</v>
      </c>
      <c r="F12" s="128"/>
      <c r="G12" s="128"/>
      <c r="H12" s="128"/>
      <c r="I12" s="126"/>
    </row>
    <row r="13" spans="1:10" x14ac:dyDescent="0.2">
      <c r="A13" s="112" t="s">
        <v>32</v>
      </c>
      <c r="C13" s="123"/>
      <c r="D13" s="78" t="s">
        <v>14</v>
      </c>
      <c r="E13" s="129" t="str">
        <f>"03/12/2017"</f>
        <v>03/12/2017</v>
      </c>
      <c r="F13" s="128"/>
      <c r="G13" s="128"/>
      <c r="H13" s="128"/>
      <c r="I13" s="126"/>
    </row>
    <row r="14" spans="1:10" x14ac:dyDescent="0.2">
      <c r="C14" s="130"/>
      <c r="D14" s="125"/>
      <c r="E14" s="125"/>
      <c r="F14" s="125"/>
      <c r="G14" s="125"/>
      <c r="H14" s="125"/>
      <c r="I14" s="131"/>
    </row>
    <row r="15" spans="1:10" x14ac:dyDescent="0.2">
      <c r="D15" s="115"/>
      <c r="E15" s="116"/>
    </row>
    <row r="16" spans="1:10" x14ac:dyDescent="0.2">
      <c r="D16" s="115"/>
      <c r="E16" s="116"/>
    </row>
  </sheetData>
  <mergeCells count="1">
    <mergeCell ref="C4:I4"/>
  </mergeCells>
  <phoneticPr fontId="4"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S148"/>
  <sheetViews>
    <sheetView showGridLines="0" tabSelected="1" topLeftCell="E3" zoomScale="90" zoomScaleNormal="90" zoomScalePageLayoutView="90" workbookViewId="0"/>
  </sheetViews>
  <sheetFormatPr defaultColWidth="9.140625" defaultRowHeight="12.75" outlineLevelRow="1" x14ac:dyDescent="0.2"/>
  <cols>
    <col min="1" max="1" width="9.140625" style="98" hidden="1" customWidth="1"/>
    <col min="2" max="2" width="18.42578125" style="100" hidden="1" customWidth="1"/>
    <col min="3" max="3" width="15" style="100" hidden="1" customWidth="1"/>
    <col min="4" max="4" width="19.85546875" style="98" hidden="1" customWidth="1"/>
    <col min="5" max="5" width="4" customWidth="1"/>
    <col min="6" max="6" width="9.28515625" style="1" customWidth="1"/>
    <col min="7" max="7" width="17.5703125" style="1" customWidth="1"/>
    <col min="8" max="8" width="31.28515625" style="1" bestFit="1" customWidth="1"/>
    <col min="9" max="9" width="13.140625" style="1" hidden="1" customWidth="1"/>
    <col min="10" max="10" width="17" style="1" customWidth="1"/>
    <col min="11" max="11" width="13.140625" style="1" customWidth="1"/>
    <col min="12" max="12" width="19.85546875" style="1" bestFit="1" customWidth="1"/>
    <col min="13" max="13" width="14.28515625" style="1" bestFit="1" customWidth="1"/>
    <col min="14" max="14" width="13.140625" style="1" customWidth="1"/>
    <col min="15" max="15" width="13.140625" style="1" hidden="1" customWidth="1"/>
    <col min="16" max="16" width="17" style="1" customWidth="1"/>
    <col min="17" max="17" width="13.140625" style="1" customWidth="1"/>
    <col min="18" max="19" width="13.28515625" style="1" customWidth="1"/>
    <col min="20" max="20" width="11" style="1" bestFit="1" customWidth="1"/>
    <col min="21" max="21" width="2" style="1" customWidth="1"/>
    <col min="22" max="16384" width="9.140625" style="1"/>
  </cols>
  <sheetData>
    <row r="1" spans="1:20" s="106" customFormat="1" hidden="1" x14ac:dyDescent="0.2">
      <c r="A1" s="98" t="s">
        <v>993</v>
      </c>
      <c r="B1" s="98" t="s">
        <v>27</v>
      </c>
      <c r="C1" s="98" t="s">
        <v>27</v>
      </c>
      <c r="D1" s="98" t="s">
        <v>27</v>
      </c>
      <c r="I1" s="106" t="s">
        <v>27</v>
      </c>
      <c r="O1" s="106" t="s">
        <v>27</v>
      </c>
    </row>
    <row r="2" spans="1:20" hidden="1" x14ac:dyDescent="0.2">
      <c r="A2" s="98" t="s">
        <v>27</v>
      </c>
      <c r="B2" s="99"/>
    </row>
    <row r="3" spans="1:20" ht="23.25" thickBot="1" x14ac:dyDescent="0.35">
      <c r="B3" s="99"/>
      <c r="F3" s="34" t="str">
        <f>C12</f>
        <v>Fabrikam, Inc.</v>
      </c>
      <c r="G3" s="35"/>
      <c r="H3" s="36"/>
    </row>
    <row r="4" spans="1:20" ht="16.5" thickTop="1" x14ac:dyDescent="0.25">
      <c r="B4" s="99"/>
      <c r="F4" s="62" t="s">
        <v>21</v>
      </c>
      <c r="G4" s="37"/>
      <c r="H4" s="38"/>
    </row>
    <row r="5" spans="1:20" ht="15.75" x14ac:dyDescent="0.25">
      <c r="B5" s="99"/>
      <c r="F5" s="62" t="s">
        <v>34</v>
      </c>
      <c r="G5" s="37"/>
      <c r="H5" s="38"/>
    </row>
    <row r="6" spans="1:20" x14ac:dyDescent="0.2">
      <c r="B6" s="99"/>
      <c r="F6" s="10"/>
      <c r="G6" s="10"/>
      <c r="H6" s="25"/>
    </row>
    <row r="7" spans="1:20" x14ac:dyDescent="0.2">
      <c r="B7" s="99"/>
      <c r="F7" s="5" t="str">
        <f>B12</f>
        <v>Company</v>
      </c>
      <c r="G7" s="5"/>
      <c r="H7" s="5" t="str">
        <f>$C$12</f>
        <v>Fabrikam, Inc.</v>
      </c>
    </row>
    <row r="8" spans="1:20" x14ac:dyDescent="0.2">
      <c r="B8" s="99"/>
      <c r="F8" s="5" t="str">
        <f>B13</f>
        <v>Period Type</v>
      </c>
      <c r="G8" s="5"/>
      <c r="H8" s="5" t="str">
        <f>$C$13</f>
        <v>Month</v>
      </c>
      <c r="S8" s="60" t="s">
        <v>35</v>
      </c>
      <c r="T8" s="26">
        <v>43377</v>
      </c>
    </row>
    <row r="9" spans="1:20" x14ac:dyDescent="0.2">
      <c r="B9" s="99"/>
      <c r="F9" s="5" t="str">
        <f>B17</f>
        <v>Customer No.</v>
      </c>
      <c r="G9" s="5"/>
      <c r="H9" s="5" t="str">
        <f>$C$17</f>
        <v>*</v>
      </c>
    </row>
    <row r="10" spans="1:20" x14ac:dyDescent="0.2">
      <c r="B10" s="99"/>
      <c r="F10" s="24" t="str">
        <f>B18</f>
        <v>Item No.</v>
      </c>
      <c r="G10" s="24"/>
      <c r="H10" s="24" t="str">
        <f>$C$18</f>
        <v>*</v>
      </c>
    </row>
    <row r="11" spans="1:20" s="98" customFormat="1" hidden="1" x14ac:dyDescent="0.2">
      <c r="A11" s="101" t="s">
        <v>20</v>
      </c>
      <c r="B11" s="99"/>
      <c r="C11" s="100"/>
    </row>
    <row r="12" spans="1:20" s="98" customFormat="1" hidden="1" x14ac:dyDescent="0.2">
      <c r="A12" s="101" t="s">
        <v>20</v>
      </c>
      <c r="B12" s="99" t="s">
        <v>33</v>
      </c>
      <c r="C12" s="100" t="str">
        <f>"Fabrikam, Inc."</f>
        <v>Fabrikam, Inc.</v>
      </c>
    </row>
    <row r="13" spans="1:20" s="98" customFormat="1" hidden="1" x14ac:dyDescent="0.2">
      <c r="A13" s="101" t="s">
        <v>20</v>
      </c>
      <c r="B13" s="100" t="s">
        <v>23</v>
      </c>
      <c r="C13" s="100" t="str">
        <f>"Month"</f>
        <v>Month</v>
      </c>
      <c r="D13" s="100"/>
      <c r="H13" s="98" t="s">
        <v>25</v>
      </c>
      <c r="I13" s="107">
        <v>42795</v>
      </c>
      <c r="J13" s="107"/>
      <c r="K13" s="107"/>
      <c r="L13" s="107"/>
      <c r="M13" s="107"/>
      <c r="N13" s="107"/>
      <c r="O13" s="108">
        <f>DATE(YEAR(I$13)-1,MONTH(I$13),DAY(I$13))</f>
        <v>42430</v>
      </c>
      <c r="P13" s="108"/>
      <c r="Q13" s="108"/>
      <c r="R13" s="108"/>
    </row>
    <row r="14" spans="1:20" s="98" customFormat="1" hidden="1" x14ac:dyDescent="0.2">
      <c r="A14" s="101" t="s">
        <v>20</v>
      </c>
      <c r="B14" s="100" t="s">
        <v>18</v>
      </c>
      <c r="C14" s="102" t="str">
        <f>"03/01/2017"</f>
        <v>03/01/2017</v>
      </c>
      <c r="D14" s="100" t="str">
        <f>$C$19&amp;"|"&amp;$C$16</f>
        <v>3/1/2016..3/31/2016|3/1/2017..3/12/2017</v>
      </c>
      <c r="H14" s="98" t="s">
        <v>26</v>
      </c>
      <c r="I14" s="107">
        <v>42825</v>
      </c>
      <c r="J14" s="107"/>
      <c r="K14" s="107"/>
      <c r="L14" s="107"/>
      <c r="M14" s="107"/>
      <c r="N14" s="107"/>
      <c r="O14" s="108">
        <f>DATE(YEAR(I$14)-1,MONTH(I$14),DAY(I$14))</f>
        <v>42460</v>
      </c>
      <c r="P14" s="108"/>
      <c r="Q14" s="108"/>
      <c r="R14" s="108"/>
    </row>
    <row r="15" spans="1:20" s="98" customFormat="1" hidden="1" x14ac:dyDescent="0.2">
      <c r="A15" s="101" t="s">
        <v>20</v>
      </c>
      <c r="B15" s="100" t="s">
        <v>19</v>
      </c>
      <c r="C15" s="102" t="str">
        <f>"03/12/2017"</f>
        <v>03/12/2017</v>
      </c>
      <c r="I15" s="98" t="str">
        <f>"3/1/2017..3/31/2017"</f>
        <v>3/1/2017..3/31/2017</v>
      </c>
      <c r="O15" s="98" t="str">
        <f>"3/1/2016..3/31/2016"</f>
        <v>3/1/2016..3/31/2016</v>
      </c>
    </row>
    <row r="16" spans="1:20" s="98" customFormat="1" ht="15.75" hidden="1" customHeight="1" x14ac:dyDescent="0.25">
      <c r="A16" s="103" t="s">
        <v>20</v>
      </c>
      <c r="B16" s="100" t="s">
        <v>24</v>
      </c>
      <c r="C16" s="100" t="str">
        <f>"3/1/2017..3/12/2017"</f>
        <v>3/1/2017..3/12/2017</v>
      </c>
      <c r="I16" s="109"/>
      <c r="J16" s="109"/>
      <c r="K16" s="109"/>
      <c r="L16" s="109"/>
      <c r="M16" s="109"/>
      <c r="N16" s="109"/>
      <c r="O16" s="109"/>
      <c r="P16" s="109"/>
      <c r="Q16" s="109"/>
      <c r="R16" s="109"/>
      <c r="S16" s="110"/>
    </row>
    <row r="17" spans="1:24" s="98" customFormat="1" ht="15.75" hidden="1" x14ac:dyDescent="0.25">
      <c r="A17" s="103" t="s">
        <v>20</v>
      </c>
      <c r="B17" s="100" t="s">
        <v>38</v>
      </c>
      <c r="C17" s="100" t="str">
        <f>"*"</f>
        <v>*</v>
      </c>
      <c r="F17" s="111"/>
      <c r="G17" s="111"/>
      <c r="H17" s="111"/>
      <c r="I17" s="111"/>
      <c r="J17" s="111"/>
      <c r="K17" s="111"/>
      <c r="L17" s="111"/>
      <c r="M17" s="111"/>
      <c r="N17" s="111"/>
      <c r="O17" s="111"/>
      <c r="P17" s="111"/>
      <c r="Q17" s="111"/>
      <c r="R17" s="111"/>
      <c r="S17" s="111"/>
      <c r="T17" s="111"/>
      <c r="U17" s="111"/>
    </row>
    <row r="18" spans="1:24" x14ac:dyDescent="0.2">
      <c r="A18" s="103"/>
      <c r="B18" s="100" t="s">
        <v>13</v>
      </c>
      <c r="C18" s="100" t="str">
        <f>"*"</f>
        <v>*</v>
      </c>
      <c r="F18" s="24" t="str">
        <f>CONCATENATE("Report Period: ",C16)</f>
        <v>Report Period: 3/1/2017..3/12/2017</v>
      </c>
      <c r="G18" s="24"/>
      <c r="H18" s="24"/>
      <c r="I18" s="24"/>
      <c r="J18" s="24"/>
      <c r="K18" s="24"/>
      <c r="L18" s="24"/>
      <c r="M18" s="24"/>
      <c r="N18" s="24"/>
      <c r="O18" s="24"/>
      <c r="P18" s="24"/>
      <c r="Q18" s="24"/>
      <c r="R18" s="24"/>
      <c r="S18" s="24"/>
      <c r="T18" s="24"/>
      <c r="U18" s="24"/>
      <c r="V18" s="3"/>
      <c r="W18" s="3"/>
      <c r="X18" s="3"/>
    </row>
    <row r="19" spans="1:24" ht="16.5" thickBot="1" x14ac:dyDescent="0.3">
      <c r="B19" s="100" t="s">
        <v>16</v>
      </c>
      <c r="C19" s="100" t="str">
        <f>"3/1/2016..3/31/2016"</f>
        <v>3/1/2016..3/31/2016</v>
      </c>
      <c r="F19" s="2"/>
      <c r="G19" s="2"/>
      <c r="H19" s="2"/>
      <c r="I19" s="2"/>
      <c r="J19" s="2"/>
      <c r="K19" s="2"/>
      <c r="L19" s="2"/>
      <c r="M19" s="2"/>
      <c r="N19" s="2"/>
      <c r="O19" s="2"/>
      <c r="P19" s="2"/>
      <c r="Q19" s="2"/>
      <c r="R19" s="2"/>
      <c r="S19" s="2"/>
      <c r="T19" s="2"/>
      <c r="U19" s="2"/>
      <c r="V19" s="3"/>
      <c r="W19" s="3"/>
      <c r="X19" s="3"/>
    </row>
    <row r="20" spans="1:24" ht="15.75" customHeight="1" x14ac:dyDescent="0.25">
      <c r="B20" s="100" t="s">
        <v>39</v>
      </c>
      <c r="C20" s="100" t="str">
        <f>"||""Filter"",""SOP30300"",""SOPNUMBE"",""SOPTYPE"",""3"",""ITEMNMBR"",""*"",""Company="",""Fabrikam, Inc."","""","""","""","""","""","""","""","""","""","""","""","""","""","""""</f>
        <v>||"Filter","SOP30300","SOPNUMBE","SOPTYPE","3","ITEMNMBR","*","Company=","Fabrikam, Inc.","","","","","","","","","","","","","",""</v>
      </c>
      <c r="I20" s="91"/>
      <c r="J20" s="92" t="str">
        <f>TEXT(I$13,"MMM-YYYY")</f>
        <v>Mar-2017</v>
      </c>
      <c r="K20" s="93"/>
      <c r="L20" s="93"/>
      <c r="M20" s="93"/>
      <c r="N20" s="94"/>
      <c r="O20" s="33"/>
      <c r="P20" s="95" t="str">
        <f>TEXT(O$13,"MMM-YYYY")</f>
        <v>Mar-2016</v>
      </c>
      <c r="Q20" s="96"/>
      <c r="R20" s="96"/>
      <c r="S20" s="96"/>
      <c r="T20" s="97"/>
      <c r="U20" s="3"/>
      <c r="V20" s="3"/>
      <c r="W20" s="3"/>
      <c r="X20" s="3"/>
    </row>
    <row r="21" spans="1:24" ht="13.5" thickBot="1" x14ac:dyDescent="0.25">
      <c r="B21" s="104" t="s">
        <v>40</v>
      </c>
      <c r="C21" s="104"/>
      <c r="F21" s="59" t="s">
        <v>17</v>
      </c>
      <c r="G21" s="4"/>
      <c r="H21" s="61" t="s">
        <v>22</v>
      </c>
      <c r="I21" s="31"/>
      <c r="J21" s="63" t="s">
        <v>41</v>
      </c>
      <c r="K21" s="63" t="s">
        <v>3</v>
      </c>
      <c r="L21" s="63" t="s">
        <v>42</v>
      </c>
      <c r="M21" s="64" t="s">
        <v>1</v>
      </c>
      <c r="N21" s="65" t="s">
        <v>0</v>
      </c>
      <c r="O21" s="32"/>
      <c r="P21" s="66" t="s">
        <v>96</v>
      </c>
      <c r="Q21" s="66" t="s">
        <v>3</v>
      </c>
      <c r="R21" s="66" t="s">
        <v>42</v>
      </c>
      <c r="S21" s="67" t="s">
        <v>1</v>
      </c>
      <c r="T21" s="68" t="s">
        <v>0</v>
      </c>
    </row>
    <row r="22" spans="1:24" x14ac:dyDescent="0.2">
      <c r="B22" s="104" t="s">
        <v>43</v>
      </c>
      <c r="C22" s="104"/>
      <c r="F22" s="18"/>
      <c r="G22" s="5"/>
      <c r="H22" s="29"/>
      <c r="I22" s="20"/>
      <c r="J22" s="20"/>
      <c r="K22" s="18"/>
      <c r="L22" s="18"/>
      <c r="M22" s="8"/>
      <c r="N22" s="9"/>
      <c r="O22" s="20"/>
      <c r="P22" s="20"/>
      <c r="Q22" s="18"/>
      <c r="R22" s="18"/>
      <c r="S22" s="8"/>
      <c r="T22" s="9"/>
    </row>
    <row r="23" spans="1:24" ht="15.75" thickBot="1" x14ac:dyDescent="0.3">
      <c r="B23" s="100" t="str">
        <f>"||""Filter"",""SOP30200"",""SOPNUMBE"",""DOCDATE"",""3/1/2016..3/31/2016|3/1/2017..3/12/2017"",""CUSTNMBR"",""AARONFIT0001"",""Company="",""Fabrikam, Inc."","""","""","""","""","""","""","""","""","""","""","""","""","""","""""</f>
        <v>||"Filter","SOP30200","SOPNUMBE","DOCDATE","3/1/2016..3/31/2016|3/1/2017..3/12/2017","CUSTNMBR","AARONFIT0001","Company=","Fabrikam, Inc.","","","","","","","","","","","","","",""</v>
      </c>
      <c r="D23" s="98" t="str">
        <f>F23</f>
        <v>AARONFIT0001</v>
      </c>
      <c r="F23" s="77" t="str">
        <f>"AARONFIT0001"</f>
        <v>AARONFIT0001</v>
      </c>
      <c r="G23" s="19"/>
      <c r="H23" s="27" t="str">
        <f>"Aaron Fitz Electrical"</f>
        <v>Aaron Fitz Electrical</v>
      </c>
      <c r="I23" s="30"/>
      <c r="J23" s="8"/>
      <c r="K23" s="8"/>
      <c r="L23" s="8"/>
      <c r="M23" s="8"/>
      <c r="N23" s="9"/>
      <c r="O23" s="30"/>
      <c r="P23" s="46"/>
      <c r="Q23" s="45"/>
      <c r="R23" s="47"/>
      <c r="S23" s="45"/>
      <c r="T23" s="9"/>
    </row>
    <row r="24" spans="1:24" hidden="1" outlineLevel="1" x14ac:dyDescent="0.2">
      <c r="A24" s="98" t="s">
        <v>20</v>
      </c>
      <c r="B24" s="100" t="str">
        <f>B23</f>
        <v>||"Filter","SOP30200","SOPNUMBE","DOCDATE","3/1/2016..3/31/2016|3/1/2017..3/12/2017","CUSTNMBR","AARONFIT0001","Company=","Fabrikam, Inc.","","","","","","","","","","","","","",""</v>
      </c>
      <c r="D24" s="98" t="str">
        <f>D23</f>
        <v>AARONFIT0001</v>
      </c>
      <c r="F24" s="78"/>
      <c r="G24" s="5"/>
      <c r="H24" s="28"/>
      <c r="I24" s="7"/>
      <c r="J24" s="7"/>
      <c r="K24" s="8"/>
      <c r="L24" s="8"/>
      <c r="M24" s="8"/>
      <c r="N24" s="9"/>
      <c r="O24" s="7"/>
      <c r="P24" s="46"/>
      <c r="Q24" s="45"/>
      <c r="R24" s="47"/>
      <c r="S24" s="45"/>
      <c r="T24" s="9"/>
    </row>
    <row r="25" spans="1:24" hidden="1" outlineLevel="1" x14ac:dyDescent="0.2">
      <c r="B25" s="100" t="str">
        <f>B24</f>
        <v>||"Filter","SOP30200","SOPNUMBE","DOCDATE","3/1/2016..3/31/2016|3/1/2017..3/12/2017","CUSTNMBR","AARONFIT0001","Company=","Fabrikam, Inc.","","","","","","","","","","","","","",""</v>
      </c>
      <c r="D25" s="98" t="str">
        <f>D24</f>
        <v>AARONFIT0001</v>
      </c>
      <c r="F25" s="78"/>
      <c r="G25" s="52" t="str">
        <f>"ACCS-RST-DXBK"</f>
        <v>ACCS-RST-DXBK</v>
      </c>
      <c r="H25" s="53" t="str">
        <f>"Shoulder Rest-Deluxe Black"</f>
        <v>Shoulder Rest-Deluxe Black</v>
      </c>
      <c r="I25" s="57" t="str">
        <f>"||""Filter"",""SOP30200"",""SOPNUMBE"",""DOCDATE"",""3/1/2017..3/31/2017"",""CUSTNMBR"",""AARONFIT0001"","""","""","""","""","""","""","""","""","""","""","""","""","""","""","""","""""</f>
        <v>||"Filter","SOP30200","SOPNUMBE","DOCDATE","3/1/2017..3/31/2017","CUSTNMBR","AARONFIT0001","","","","","","","","","","","","","","","",""</v>
      </c>
      <c r="J25" s="49">
        <v>716.4</v>
      </c>
      <c r="K25" s="51">
        <v>72</v>
      </c>
      <c r="L25" s="51">
        <v>327.60000000000002</v>
      </c>
      <c r="M25" s="51">
        <f>+J25-L25</f>
        <v>388.79999999999995</v>
      </c>
      <c r="N25" s="58">
        <f>IF($M25=0,0,$M25/$J25)</f>
        <v>0.54271356783919589</v>
      </c>
      <c r="O25" s="57" t="str">
        <f>"||""Filter"",""SOP30200"",""SOPNUMBE"",""DOCDATE"",""3/1/2016..3/31/2016"",""CUSTNMBR"",""AARONFIT0001"","""","""","""","""","""","""","""","""","""","""","""","""","""","""","""","""""</f>
        <v>||"Filter","SOP30200","SOPNUMBE","DOCDATE","3/1/2016..3/31/2016","CUSTNMBR","AARONFIT0001","","","","","","","","","","","","","","","",""</v>
      </c>
      <c r="P25" s="73">
        <v>716.4</v>
      </c>
      <c r="Q25" s="74">
        <v>72</v>
      </c>
      <c r="R25" s="74">
        <v>327.60000000000002</v>
      </c>
      <c r="S25" s="74">
        <f>+P25-R25</f>
        <v>388.79999999999995</v>
      </c>
      <c r="T25" s="69">
        <f>IF($M25=0,0,$M25/$J25)</f>
        <v>0.54271356783919589</v>
      </c>
    </row>
    <row r="26" spans="1:24" hidden="1" outlineLevel="1" x14ac:dyDescent="0.2">
      <c r="A26" s="98" t="s">
        <v>86</v>
      </c>
      <c r="B26" s="100" t="str">
        <f>B25</f>
        <v>||"Filter","SOP30200","SOPNUMBE","DOCDATE","3/1/2016..3/31/2016|3/1/2017..3/12/2017","CUSTNMBR","AARONFIT0001","Company=","Fabrikam, Inc.","","","","","","","","","","","","","",""</v>
      </c>
      <c r="D26" s="98" t="str">
        <f>D25</f>
        <v>AARONFIT0001</v>
      </c>
      <c r="E26" s="55"/>
      <c r="F26" s="78"/>
      <c r="G26" s="52" t="str">
        <f>"ACCS-RST-DXWH"</f>
        <v>ACCS-RST-DXWH</v>
      </c>
      <c r="H26" s="53" t="str">
        <f>"Shoulder Rest - Deluxe White"</f>
        <v>Shoulder Rest - Deluxe White</v>
      </c>
      <c r="I26" s="57" t="str">
        <f>"||""Filter"",""SOP30200"",""SOPNUMBE"",""DOCDATE"",""3/1/2017..3/31/2017"",""CUSTNMBR"",""AARONFIT0001"","""","""","""","""","""","""","""","""","""","""","""","""","""","""","""","""""</f>
        <v>||"Filter","SOP30200","SOPNUMBE","DOCDATE","3/1/2017..3/31/2017","CUSTNMBR","AARONFIT0001","","","","","","","","","","","","","","","",""</v>
      </c>
      <c r="J26" s="49">
        <v>318.39999999999998</v>
      </c>
      <c r="K26" s="51">
        <v>32</v>
      </c>
      <c r="L26" s="51">
        <v>145.6</v>
      </c>
      <c r="M26" s="51">
        <f>+J26-L26</f>
        <v>172.79999999999998</v>
      </c>
      <c r="N26" s="58">
        <f>IF($M26=0,0,$M26/$J26)</f>
        <v>0.542713567839196</v>
      </c>
      <c r="O26" s="57" t="str">
        <f>"||""Filter"",""SOP30200"",""SOPNUMBE"",""DOCDATE"",""3/1/2016..3/31/2016"",""CUSTNMBR"",""AARONFIT0001"","""","""","""","""","""","""","""","""","""","""","""","""","""","""","""","""""</f>
        <v>||"Filter","SOP30200","SOPNUMBE","DOCDATE","3/1/2016..3/31/2016","CUSTNMBR","AARONFIT0001","","","","","","","","","","","","","","","",""</v>
      </c>
      <c r="P26" s="73">
        <v>318.39999999999998</v>
      </c>
      <c r="Q26" s="74">
        <v>32</v>
      </c>
      <c r="R26" s="74">
        <v>145.6</v>
      </c>
      <c r="S26" s="74">
        <f>+P26-R26</f>
        <v>172.79999999999998</v>
      </c>
      <c r="T26" s="69">
        <f>IF($M26=0,0,$M26/$J26)</f>
        <v>0.542713567839196</v>
      </c>
    </row>
    <row r="27" spans="1:24" hidden="1" outlineLevel="1" x14ac:dyDescent="0.2">
      <c r="A27" s="98" t="s">
        <v>86</v>
      </c>
      <c r="B27" s="100" t="str">
        <f>B26</f>
        <v>||"Filter","SOP30200","SOPNUMBE","DOCDATE","3/1/2016..3/31/2016|3/1/2017..3/12/2017","CUSTNMBR","AARONFIT0001","Company=","Fabrikam, Inc.","","","","","","","","","","","","","",""</v>
      </c>
      <c r="D27" s="98" t="str">
        <f>D26</f>
        <v>AARONFIT0001</v>
      </c>
      <c r="E27" s="55"/>
      <c r="F27" s="78"/>
      <c r="G27" s="52" t="str">
        <f>"ANSW-PAN-1450"</f>
        <v>ANSW-PAN-1450</v>
      </c>
      <c r="H27" s="53" t="str">
        <f>"Panache KX-T1450 answer"</f>
        <v>Panache KX-T1450 answer</v>
      </c>
      <c r="I27" s="57" t="str">
        <f>"||""Filter"",""SOP30200"",""SOPNUMBE"",""DOCDATE"",""3/1/2017..3/31/2017"",""CUSTNMBR"",""AARONFIT0001"","""","""","""","""","""","""","""","""","""","""","""","""","""","""","""","""""</f>
        <v>||"Filter","SOP30200","SOPNUMBE","DOCDATE","3/1/2017..3/31/2017","CUSTNMBR","AARONFIT0001","","","","","","","","","","","","","","","",""</v>
      </c>
      <c r="J27" s="49">
        <v>439.8</v>
      </c>
      <c r="K27" s="51">
        <v>4</v>
      </c>
      <c r="L27" s="51">
        <v>201</v>
      </c>
      <c r="M27" s="51">
        <f>+J27-L27</f>
        <v>238.8</v>
      </c>
      <c r="N27" s="58">
        <f>IF($M27=0,0,$M27/$J27)</f>
        <v>0.5429740791268759</v>
      </c>
      <c r="O27" s="57" t="str">
        <f>"||""Filter"",""SOP30200"",""SOPNUMBE"",""DOCDATE"",""3/1/2016..3/31/2016"",""CUSTNMBR"",""AARONFIT0001"","""","""","""","""","""","""","""","""","""","""","""","""","""","""","""","""""</f>
        <v>||"Filter","SOP30200","SOPNUMBE","DOCDATE","3/1/2016..3/31/2016","CUSTNMBR","AARONFIT0001","","","","","","","","","","","","","","","",""</v>
      </c>
      <c r="P27" s="73">
        <v>439.8</v>
      </c>
      <c r="Q27" s="74">
        <v>4</v>
      </c>
      <c r="R27" s="74">
        <v>201</v>
      </c>
      <c r="S27" s="74">
        <f>+P27-R27</f>
        <v>238.8</v>
      </c>
      <c r="T27" s="69">
        <f>IF($M27=0,0,$M27/$J27)</f>
        <v>0.5429740791268759</v>
      </c>
    </row>
    <row r="28" spans="1:24" hidden="1" outlineLevel="1" x14ac:dyDescent="0.2">
      <c r="A28" s="98" t="s">
        <v>86</v>
      </c>
      <c r="B28" s="100" t="str">
        <f>B27</f>
        <v>||"Filter","SOP30200","SOPNUMBE","DOCDATE","3/1/2016..3/31/2016|3/1/2017..3/12/2017","CUSTNMBR","AARONFIT0001","Company=","Fabrikam, Inc.","","","","","","","","","","","","","",""</v>
      </c>
      <c r="D28" s="98" t="str">
        <f>D27</f>
        <v>AARONFIT0001</v>
      </c>
      <c r="E28" s="55"/>
      <c r="F28" s="78"/>
      <c r="G28" s="52" t="str">
        <f>"PHON-ATT-53BK"</f>
        <v>PHON-ATT-53BK</v>
      </c>
      <c r="H28" s="53" t="str">
        <f>"Cordless-Attractive 5352-Black"</f>
        <v>Cordless-Attractive 5352-Black</v>
      </c>
      <c r="I28" s="57" t="str">
        <f>"||""Filter"",""SOP30200"",""SOPNUMBE"",""DOCDATE"",""3/1/2017..3/31/2017"",""CUSTNMBR"",""AARONFIT0001"","""","""","""","""","""","""","""","""","""","""","""","""","""","""","""","""""</f>
        <v>||"Filter","SOP30200","SOPNUMBE","DOCDATE","3/1/2017..3/31/2017","CUSTNMBR","AARONFIT0001","","","","","","","","","","","","","","","",""</v>
      </c>
      <c r="J28" s="49">
        <v>0</v>
      </c>
      <c r="K28" s="51">
        <v>0</v>
      </c>
      <c r="L28" s="51">
        <v>0</v>
      </c>
      <c r="M28" s="51">
        <f>+J28-L28</f>
        <v>0</v>
      </c>
      <c r="N28" s="58">
        <f>IF($M28=0,0,$M28/$J28)</f>
        <v>0</v>
      </c>
      <c r="O28" s="57" t="str">
        <f>"||""Filter"",""SOP30200"",""SOPNUMBE"",""DOCDATE"",""3/1/2016..3/31/2016"",""CUSTNMBR"",""AARONFIT0001"","""","""","""","""","""","""","""","""","""","""","""","""","""","""","""","""""</f>
        <v>||"Filter","SOP30200","SOPNUMBE","DOCDATE","3/1/2016..3/31/2016","CUSTNMBR","AARONFIT0001","","","","","","","","","","","","","","","",""</v>
      </c>
      <c r="P28" s="73">
        <v>1139.7</v>
      </c>
      <c r="Q28" s="74">
        <v>6</v>
      </c>
      <c r="R28" s="74">
        <v>548.52</v>
      </c>
      <c r="S28" s="74">
        <f>+P28-R28</f>
        <v>591.18000000000006</v>
      </c>
      <c r="T28" s="69">
        <f>IF($M28=0,0,$M28/$J28)</f>
        <v>0</v>
      </c>
    </row>
    <row r="29" spans="1:24" hidden="1" outlineLevel="1" x14ac:dyDescent="0.2">
      <c r="A29" s="98" t="s">
        <v>86</v>
      </c>
      <c r="B29" s="100" t="str">
        <f>B28</f>
        <v>||"Filter","SOP30200","SOPNUMBE","DOCDATE","3/1/2016..3/31/2016|3/1/2017..3/12/2017","CUSTNMBR","AARONFIT0001","Company=","Fabrikam, Inc.","","","","","","","","","","","","","",""</v>
      </c>
      <c r="D29" s="98" t="str">
        <f>D28</f>
        <v>AARONFIT0001</v>
      </c>
      <c r="E29" s="55"/>
      <c r="F29" s="78"/>
      <c r="G29" s="52" t="str">
        <f>"PHON-ATT-53WH"</f>
        <v>PHON-ATT-53WH</v>
      </c>
      <c r="H29" s="53" t="str">
        <f>"Cordless-Attractive 5352-White"</f>
        <v>Cordless-Attractive 5352-White</v>
      </c>
      <c r="I29" s="57" t="str">
        <f>"||""Filter"",""SOP30200"",""SOPNUMBE"",""DOCDATE"",""3/1/2017..3/31/2017"",""CUSTNMBR"",""AARONFIT0001"","""","""","""","""","""","""","""","""","""","""","""","""","""","""","""","""""</f>
        <v>||"Filter","SOP30200","SOPNUMBE","DOCDATE","3/1/2017..3/31/2017","CUSTNMBR","AARONFIT0001","","","","","","","","","","","","","","","",""</v>
      </c>
      <c r="J29" s="49">
        <v>379.9</v>
      </c>
      <c r="K29" s="51">
        <v>2</v>
      </c>
      <c r="L29" s="51">
        <v>185.18</v>
      </c>
      <c r="M29" s="51">
        <f>+J29-L29</f>
        <v>194.71999999999997</v>
      </c>
      <c r="N29" s="58">
        <f>IF($M29=0,0,$M29/$J29)</f>
        <v>0.51255593577257164</v>
      </c>
      <c r="O29" s="57" t="str">
        <f>"||""Filter"",""SOP30200"",""SOPNUMBE"",""DOCDATE"",""3/1/2016..3/31/2016"",""CUSTNMBR"",""AARONFIT0001"","""","""","""","""","""","""","""","""","""","""","""","""","""","""","""","""""</f>
        <v>||"Filter","SOP30200","SOPNUMBE","DOCDATE","3/1/2016..3/31/2016","CUSTNMBR","AARONFIT0001","","","","","","","","","","","","","","","",""</v>
      </c>
      <c r="P29" s="73">
        <v>379.9</v>
      </c>
      <c r="Q29" s="74">
        <v>2</v>
      </c>
      <c r="R29" s="74">
        <v>185.18</v>
      </c>
      <c r="S29" s="74">
        <f>+P29-R29</f>
        <v>194.71999999999997</v>
      </c>
      <c r="T29" s="69">
        <f>IF($M29=0,0,$M29/$J29)</f>
        <v>0.51255593577257164</v>
      </c>
    </row>
    <row r="30" spans="1:24" hidden="1" outlineLevel="1" x14ac:dyDescent="0.2">
      <c r="A30" s="98" t="s">
        <v>86</v>
      </c>
      <c r="B30" s="100" t="str">
        <f>B29</f>
        <v>||"Filter","SOP30200","SOPNUMBE","DOCDATE","3/1/2016..3/31/2016|3/1/2017..3/12/2017","CUSTNMBR","AARONFIT0001","Company=","Fabrikam, Inc.","","","","","","","","","","","","","",""</v>
      </c>
      <c r="D30" s="98" t="str">
        <f>D29</f>
        <v>AARONFIT0001</v>
      </c>
      <c r="E30" s="55"/>
      <c r="F30" s="78"/>
      <c r="G30" s="52" t="str">
        <f>"PHON-PAN-3155"</f>
        <v>PHON-PAN-3155</v>
      </c>
      <c r="H30" s="53" t="str">
        <f>"Panache KX-T3155 desk"</f>
        <v>Panache KX-T3155 desk</v>
      </c>
      <c r="I30" s="57" t="str">
        <f>"||""Filter"",""SOP30200"",""SOPNUMBE"",""DOCDATE"",""3/1/2017..3/31/2017"",""CUSTNMBR"",""AARONFIT0001"","""","""","""","""","""","""","""","""","""","""","""","""","""","""","""","""""</f>
        <v>||"Filter","SOP30200","SOPNUMBE","DOCDATE","3/1/2017..3/31/2017","CUSTNMBR","AARONFIT0001","","","","","","","","","","","","","","","",""</v>
      </c>
      <c r="J30" s="49">
        <v>479.8</v>
      </c>
      <c r="K30" s="51">
        <v>4</v>
      </c>
      <c r="L30" s="51">
        <v>238</v>
      </c>
      <c r="M30" s="51">
        <f>+J30-L30</f>
        <v>241.8</v>
      </c>
      <c r="N30" s="58">
        <f>IF($M30=0,0,$M30/$J30)</f>
        <v>0.50395998332638603</v>
      </c>
      <c r="O30" s="57" t="str">
        <f>"||""Filter"",""SOP30200"",""SOPNUMBE"",""DOCDATE"",""3/1/2016..3/31/2016"",""CUSTNMBR"",""AARONFIT0001"","""","""","""","""","""","""","""","""","""","""","""","""","""","""","""","""""</f>
        <v>||"Filter","SOP30200","SOPNUMBE","DOCDATE","3/1/2016..3/31/2016","CUSTNMBR","AARONFIT0001","","","","","","","","","","","","","","","",""</v>
      </c>
      <c r="P30" s="73">
        <v>479.8</v>
      </c>
      <c r="Q30" s="74">
        <v>4</v>
      </c>
      <c r="R30" s="74">
        <v>174.96</v>
      </c>
      <c r="S30" s="74">
        <f>+P30-R30</f>
        <v>304.84000000000003</v>
      </c>
      <c r="T30" s="69">
        <f>IF($M30=0,0,$M30/$J30)</f>
        <v>0.50395998332638603</v>
      </c>
    </row>
    <row r="31" spans="1:24" hidden="1" outlineLevel="1" x14ac:dyDescent="0.2">
      <c r="B31" s="100" t="str">
        <f>B25</f>
        <v>||"Filter","SOP30200","SOPNUMBE","DOCDATE","3/1/2016..3/31/2016|3/1/2017..3/12/2017","CUSTNMBR","AARONFIT0001","Company=","Fabrikam, Inc.","","","","","","","","","","","","","",""</v>
      </c>
      <c r="D31" s="98" t="str">
        <f>D25</f>
        <v>AARONFIT0001</v>
      </c>
      <c r="F31" s="79"/>
      <c r="G31" s="6"/>
      <c r="H31" s="14"/>
      <c r="I31" s="15"/>
      <c r="J31" s="49"/>
      <c r="K31" s="51"/>
      <c r="L31" s="51"/>
      <c r="M31" s="51"/>
      <c r="N31" s="16"/>
      <c r="O31" s="15"/>
      <c r="P31" s="73"/>
      <c r="Q31" s="74"/>
      <c r="R31" s="74"/>
      <c r="S31" s="74"/>
      <c r="T31" s="39"/>
    </row>
    <row r="32" spans="1:24" ht="13.5" hidden="1" outlineLevel="1" thickBot="1" x14ac:dyDescent="0.25">
      <c r="B32" s="100" t="str">
        <f>B31</f>
        <v>||"Filter","SOP30200","SOPNUMBE","DOCDATE","3/1/2016..3/31/2016|3/1/2017..3/12/2017","CUSTNMBR","AARONFIT0001","Company=","Fabrikam, Inc.","","","","","","","","","","","","","",""</v>
      </c>
      <c r="D32" s="98" t="str">
        <f>D31</f>
        <v>AARONFIT0001</v>
      </c>
      <c r="F32" s="79"/>
      <c r="I32" s="11"/>
      <c r="J32" s="50"/>
      <c r="K32" s="54"/>
      <c r="L32" s="54"/>
      <c r="M32" s="54"/>
      <c r="N32" s="12"/>
      <c r="O32" s="13"/>
      <c r="P32" s="75"/>
      <c r="Q32" s="76"/>
      <c r="R32" s="76"/>
      <c r="S32" s="76"/>
      <c r="T32" s="40"/>
    </row>
    <row r="33" spans="1:20" ht="13.5" collapsed="1" thickBot="1" x14ac:dyDescent="0.25">
      <c r="B33" s="100" t="str">
        <f>B32</f>
        <v>||"Filter","SOP30200","SOPNUMBE","DOCDATE","3/1/2016..3/31/2016|3/1/2017..3/12/2017","CUSTNMBR","AARONFIT0001","Company=","Fabrikam, Inc.","","","","","","","","","","","","","",""</v>
      </c>
      <c r="D33" s="98" t="str">
        <f>D32</f>
        <v>AARONFIT0001</v>
      </c>
      <c r="H33" s="17" t="str">
        <f>"Total "&amp;D33&amp;":"</f>
        <v>Total AARONFIT0001:</v>
      </c>
      <c r="I33" s="21"/>
      <c r="J33" s="80">
        <f>SUBTOTAL(9,J25:J32)</f>
        <v>2334.3000000000002</v>
      </c>
      <c r="K33" s="80">
        <f>SUBTOTAL(9,K25:K32)</f>
        <v>114</v>
      </c>
      <c r="L33" s="80">
        <f>SUBTOTAL(9,L25:L32)</f>
        <v>1097.3800000000001</v>
      </c>
      <c r="M33" s="80">
        <f>SUBTOTAL(9,M25:M32)</f>
        <v>1236.9199999999998</v>
      </c>
      <c r="N33" s="22">
        <f>IF(J33=0,0,+M33/J33)</f>
        <v>0.52988904596667086</v>
      </c>
      <c r="O33" s="23"/>
      <c r="P33" s="80">
        <f>SUBTOTAL(9,P25:P32)</f>
        <v>3474.0000000000005</v>
      </c>
      <c r="Q33" s="80">
        <f>SUBTOTAL(9,Q25:Q32)</f>
        <v>120</v>
      </c>
      <c r="R33" s="80">
        <f>SUBTOTAL(9,R25:R32)</f>
        <v>1582.8600000000001</v>
      </c>
      <c r="S33" s="80">
        <f>SUBTOTAL(9,S25:S32)</f>
        <v>1891.1399999999999</v>
      </c>
      <c r="T33" s="22">
        <f>IF(S33=0,0,S33/P33)</f>
        <v>0.54436960276338509</v>
      </c>
    </row>
    <row r="34" spans="1:20" x14ac:dyDescent="0.2">
      <c r="B34" s="100" t="str">
        <f>B33</f>
        <v>||"Filter","SOP30200","SOPNUMBE","DOCDATE","3/1/2016..3/31/2016|3/1/2017..3/12/2017","CUSTNMBR","AARONFIT0001","Company=","Fabrikam, Inc.","","","","","","","","","","","","","",""</v>
      </c>
      <c r="D34" s="98" t="str">
        <f>D33</f>
        <v>AARONFIT0001</v>
      </c>
      <c r="I34" s="11"/>
      <c r="J34" s="50"/>
      <c r="K34" s="54"/>
      <c r="L34" s="54"/>
      <c r="M34" s="54"/>
      <c r="N34" s="12"/>
      <c r="O34" s="11"/>
      <c r="P34" s="75"/>
      <c r="Q34" s="76"/>
      <c r="R34" s="76"/>
      <c r="S34" s="76"/>
      <c r="T34" s="40"/>
    </row>
    <row r="35" spans="1:20" ht="15.75" thickBot="1" x14ac:dyDescent="0.3">
      <c r="A35" s="98" t="s">
        <v>86</v>
      </c>
      <c r="B35" s="100" t="str">
        <f>"||""Filter"",""SOP30200"",""SOPNUMBE"",""DOCDATE"",""3/1/2016..3/31/2016|3/1/2017..3/12/2017"",""CUSTNMBR"",""ASTORSUI0001"",""Company="",""Fabrikam, Inc."","""","""","""","""","""","""","""","""","""","""","""","""","""","""""</f>
        <v>||"Filter","SOP30200","SOPNUMBE","DOCDATE","3/1/2016..3/31/2016|3/1/2017..3/12/2017","CUSTNMBR","ASTORSUI0001","Company=","Fabrikam, Inc.","","","","","","","","","","","","","",""</v>
      </c>
      <c r="D35" s="98" t="str">
        <f>F35</f>
        <v>ASTORSUI0001</v>
      </c>
      <c r="E35" s="55"/>
      <c r="F35" s="77" t="str">
        <f>"ASTORSUI0001"</f>
        <v>ASTORSUI0001</v>
      </c>
      <c r="G35" s="19"/>
      <c r="H35" s="27" t="str">
        <f>"Astor Suites"</f>
        <v>Astor Suites</v>
      </c>
      <c r="I35" s="30"/>
      <c r="J35" s="8"/>
      <c r="K35" s="8"/>
      <c r="L35" s="8"/>
      <c r="M35" s="8"/>
      <c r="N35" s="9"/>
      <c r="O35" s="30"/>
      <c r="P35" s="46"/>
      <c r="Q35" s="45"/>
      <c r="R35" s="47"/>
      <c r="S35" s="45"/>
      <c r="T35" s="9"/>
    </row>
    <row r="36" spans="1:20" hidden="1" outlineLevel="1" x14ac:dyDescent="0.2">
      <c r="A36" s="98" t="s">
        <v>119</v>
      </c>
      <c r="B36" s="100" t="str">
        <f>B35</f>
        <v>||"Filter","SOP30200","SOPNUMBE","DOCDATE","3/1/2016..3/31/2016|3/1/2017..3/12/2017","CUSTNMBR","ASTORSUI0001","Company=","Fabrikam, Inc.","","","","","","","","","","","","","",""</v>
      </c>
      <c r="D36" s="98" t="str">
        <f>D35</f>
        <v>ASTORSUI0001</v>
      </c>
      <c r="E36" s="55"/>
      <c r="F36" s="78"/>
      <c r="G36" s="56"/>
      <c r="H36" s="61"/>
      <c r="I36" s="7"/>
      <c r="J36" s="7"/>
      <c r="K36" s="8"/>
      <c r="L36" s="8"/>
      <c r="M36" s="8"/>
      <c r="N36" s="9"/>
      <c r="O36" s="7"/>
      <c r="P36" s="46"/>
      <c r="Q36" s="45"/>
      <c r="R36" s="47"/>
      <c r="S36" s="45"/>
      <c r="T36" s="9"/>
    </row>
    <row r="37" spans="1:20" hidden="1" outlineLevel="1" x14ac:dyDescent="0.2">
      <c r="A37" s="98" t="s">
        <v>86</v>
      </c>
      <c r="B37" s="100" t="str">
        <f>B36</f>
        <v>||"Filter","SOP30200","SOPNUMBE","DOCDATE","3/1/2016..3/31/2016|3/1/2017..3/12/2017","CUSTNMBR","ASTORSUI0001","Company=","Fabrikam, Inc.","","","","","","","","","","","","","",""</v>
      </c>
      <c r="D37" s="98" t="str">
        <f>D36</f>
        <v>ASTORSUI0001</v>
      </c>
      <c r="E37" s="55"/>
      <c r="F37" s="78"/>
      <c r="G37" s="52" t="str">
        <f>"100XLG"</f>
        <v>100XLG</v>
      </c>
      <c r="H37" s="53" t="str">
        <f>"Green Phone"</f>
        <v>Green Phone</v>
      </c>
      <c r="I37" s="57" t="str">
        <f>"||""Filter"",""SOP30200"",""SOPNUMBE"",""DOCDATE"",""3/1/2017..3/31/2017"",""CUSTNMBR"",""ASTORSUI0001"","""","""","""","""","""","""","""","""","""","""","""","""","""","""","""","""""</f>
        <v>||"Filter","SOP30200","SOPNUMBE","DOCDATE","3/1/2017..3/31/2017","CUSTNMBR","ASTORSUI0001","","","","","","","","","","","","","","","",""</v>
      </c>
      <c r="J37" s="49">
        <v>959.2</v>
      </c>
      <c r="K37" s="51">
        <v>16</v>
      </c>
      <c r="L37" s="51">
        <v>888</v>
      </c>
      <c r="M37" s="51">
        <f>+J37-L37</f>
        <v>71.200000000000045</v>
      </c>
      <c r="N37" s="58">
        <f>IF($M37=0,0,$M37/$J37)</f>
        <v>7.4228523769808222E-2</v>
      </c>
      <c r="O37" s="57" t="str">
        <f>"||""Filter"",""SOP30200"",""SOPNUMBE"",""DOCDATE"",""3/1/2016..3/31/2016"",""CUSTNMBR"",""ASTORSUI0001"","""","""","""","""","""","""","""","""","""","""","""","""","""","""","""","""""</f>
        <v>||"Filter","SOP30200","SOPNUMBE","DOCDATE","3/1/2016..3/31/2016","CUSTNMBR","ASTORSUI0001","","","","","","","","","","","","","","","",""</v>
      </c>
      <c r="P37" s="73">
        <v>959.2</v>
      </c>
      <c r="Q37" s="74">
        <v>16</v>
      </c>
      <c r="R37" s="74">
        <v>888</v>
      </c>
      <c r="S37" s="74">
        <f>+P37-R37</f>
        <v>71.200000000000045</v>
      </c>
      <c r="T37" s="69">
        <f>IF($M37=0,0,$M37/$J37)</f>
        <v>7.4228523769808222E-2</v>
      </c>
    </row>
    <row r="38" spans="1:20" hidden="1" outlineLevel="1" x14ac:dyDescent="0.2">
      <c r="A38" s="98" t="s">
        <v>86</v>
      </c>
      <c r="B38" s="100" t="str">
        <f>B37</f>
        <v>||"Filter","SOP30200","SOPNUMBE","DOCDATE","3/1/2016..3/31/2016|3/1/2017..3/12/2017","CUSTNMBR","ASTORSUI0001","Company=","Fabrikam, Inc.","","","","","","","","","","","","","",""</v>
      </c>
      <c r="D38" s="98" t="str">
        <f>D37</f>
        <v>ASTORSUI0001</v>
      </c>
      <c r="E38" s="55"/>
      <c r="F38" s="78"/>
      <c r="G38" s="52" t="str">
        <f>"ACCS-CRD-25BK"</f>
        <v>ACCS-CRD-25BK</v>
      </c>
      <c r="H38" s="53" t="str">
        <f>"Phone Cord - 25' Black"</f>
        <v>Phone Cord - 25' Black</v>
      </c>
      <c r="I38" s="57" t="str">
        <f>"||""Filter"",""SOP30200"",""SOPNUMBE"",""DOCDATE"",""3/1/2017..3/31/2017"",""CUSTNMBR"",""ASTORSUI0001"","""","""","""","""","""","""","""","""","""","""","""","""","""","""","""","""""</f>
        <v>||"Filter","SOP30200","SOPNUMBE","DOCDATE","3/1/2017..3/31/2017","CUSTNMBR","ASTORSUI0001","","","","","","","","","","","","","","","",""</v>
      </c>
      <c r="J38" s="49">
        <v>79.8</v>
      </c>
      <c r="K38" s="51">
        <v>4</v>
      </c>
      <c r="L38" s="51">
        <v>23.92</v>
      </c>
      <c r="M38" s="51">
        <f>+J38-L38</f>
        <v>55.879999999999995</v>
      </c>
      <c r="N38" s="58">
        <f>IF($M38=0,0,$M38/$J38)</f>
        <v>0.70025062656641601</v>
      </c>
      <c r="O38" s="57" t="str">
        <f>"||""Filter"",""SOP30200"",""SOPNUMBE"",""DOCDATE"",""3/1/2016..3/31/2016"",""CUSTNMBR"",""ASTORSUI0001"","""","""","""","""","""","""","""","""","""","""","""","""","""","""","""","""""</f>
        <v>||"Filter","SOP30200","SOPNUMBE","DOCDATE","3/1/2016..3/31/2016","CUSTNMBR","ASTORSUI0001","","","","","","","","","","","","","","","",""</v>
      </c>
      <c r="P38" s="73">
        <v>79.8</v>
      </c>
      <c r="Q38" s="74">
        <v>4</v>
      </c>
      <c r="R38" s="74">
        <v>23.92</v>
      </c>
      <c r="S38" s="74">
        <f>+P38-R38</f>
        <v>55.879999999999995</v>
      </c>
      <c r="T38" s="69">
        <f>IF($M38=0,0,$M38/$J38)</f>
        <v>0.70025062656641601</v>
      </c>
    </row>
    <row r="39" spans="1:20" hidden="1" outlineLevel="1" x14ac:dyDescent="0.2">
      <c r="A39" s="98" t="s">
        <v>86</v>
      </c>
      <c r="B39" s="100" t="str">
        <f>B38</f>
        <v>||"Filter","SOP30200","SOPNUMBE","DOCDATE","3/1/2016..3/31/2016|3/1/2017..3/12/2017","CUSTNMBR","ASTORSUI0001","Company=","Fabrikam, Inc.","","","","","","","","","","","","","",""</v>
      </c>
      <c r="D39" s="98" t="str">
        <f>D38</f>
        <v>ASTORSUI0001</v>
      </c>
      <c r="E39" s="55"/>
      <c r="F39" s="78"/>
      <c r="G39" s="52" t="str">
        <f>"ACCS-RST-DXWH"</f>
        <v>ACCS-RST-DXWH</v>
      </c>
      <c r="H39" s="53" t="str">
        <f>"Shoulder Rest - Deluxe White"</f>
        <v>Shoulder Rest - Deluxe White</v>
      </c>
      <c r="I39" s="57" t="str">
        <f>"||""Filter"",""SOP30200"",""SOPNUMBE"",""DOCDATE"",""3/1/2017..3/31/2017"",""CUSTNMBR"",""ASTORSUI0001"","""","""","""","""","""","""","""","""","""","""","""","""","""","""","""","""""</f>
        <v>||"Filter","SOP30200","SOPNUMBE","DOCDATE","3/1/2017..3/31/2017","CUSTNMBR","ASTORSUI0001","","","","","","","","","","","","","","","",""</v>
      </c>
      <c r="J39" s="49">
        <v>99.5</v>
      </c>
      <c r="K39" s="51">
        <v>10</v>
      </c>
      <c r="L39" s="51">
        <v>45.5</v>
      </c>
      <c r="M39" s="51">
        <f>+J39-L39</f>
        <v>54</v>
      </c>
      <c r="N39" s="58">
        <f>IF($M39=0,0,$M39/$J39)</f>
        <v>0.542713567839196</v>
      </c>
      <c r="O39" s="57" t="str">
        <f>"||""Filter"",""SOP30200"",""SOPNUMBE"",""DOCDATE"",""3/1/2016..3/31/2016"",""CUSTNMBR"",""ASTORSUI0001"","""","""","""","""","""","""","""","""","""","""","""","""","""","""","""","""""</f>
        <v>||"Filter","SOP30200","SOPNUMBE","DOCDATE","3/1/2016..3/31/2016","CUSTNMBR","ASTORSUI0001","","","","","","","","","","","","","","","",""</v>
      </c>
      <c r="P39" s="73">
        <v>99.5</v>
      </c>
      <c r="Q39" s="74">
        <v>10</v>
      </c>
      <c r="R39" s="74">
        <v>45.5</v>
      </c>
      <c r="S39" s="74">
        <f>+P39-R39</f>
        <v>54</v>
      </c>
      <c r="T39" s="69">
        <f>IF($M39=0,0,$M39/$J39)</f>
        <v>0.542713567839196</v>
      </c>
    </row>
    <row r="40" spans="1:20" hidden="1" outlineLevel="1" x14ac:dyDescent="0.2">
      <c r="A40" s="98" t="s">
        <v>86</v>
      </c>
      <c r="B40" s="100" t="str">
        <f>B39</f>
        <v>||"Filter","SOP30200","SOPNUMBE","DOCDATE","3/1/2016..3/31/2016|3/1/2017..3/12/2017","CUSTNMBR","ASTORSUI0001","Company=","Fabrikam, Inc.","","","","","","","","","","","","","",""</v>
      </c>
      <c r="D40" s="98" t="str">
        <f>D39</f>
        <v>ASTORSUI0001</v>
      </c>
      <c r="E40" s="55"/>
      <c r="F40" s="78"/>
      <c r="G40" s="52" t="str">
        <f>"HDWR-CAB-0001"</f>
        <v>HDWR-CAB-0001</v>
      </c>
      <c r="H40" s="53" t="str">
        <f>"Central Cabinet"</f>
        <v>Central Cabinet</v>
      </c>
      <c r="I40" s="57" t="str">
        <f>"||""Filter"",""SOP30200"",""SOPNUMBE"",""DOCDATE"",""3/1/2017..3/31/2017"",""CUSTNMBR"",""ASTORSUI0001"","""","""","""","""","""","""","""","""","""","""","""","""","""","""","""","""""</f>
        <v>||"Filter","SOP30200","SOPNUMBE","DOCDATE","3/1/2017..3/31/2017","CUSTNMBR","ASTORSUI0001","","","","","","","","","","","","","","","",""</v>
      </c>
      <c r="J40" s="49">
        <v>83099.7</v>
      </c>
      <c r="K40" s="51">
        <v>6</v>
      </c>
      <c r="L40" s="51">
        <v>41454.69</v>
      </c>
      <c r="M40" s="51">
        <f>+J40-L40</f>
        <v>41645.009999999995</v>
      </c>
      <c r="N40" s="58">
        <f>IF($M40=0,0,$M40/$J40)</f>
        <v>0.5011451304878356</v>
      </c>
      <c r="O40" s="57" t="str">
        <f>"||""Filter"",""SOP30200"",""SOPNUMBE"",""DOCDATE"",""3/1/2016..3/31/2016"",""CUSTNMBR"",""ASTORSUI0001"","""","""","""","""","""","""","""","""","""","""","""","""","""","""","""","""""</f>
        <v>||"Filter","SOP30200","SOPNUMBE","DOCDATE","3/1/2016..3/31/2016","CUSTNMBR","ASTORSUI0001","","","","","","","","","","","","","","","",""</v>
      </c>
      <c r="P40" s="73">
        <v>83099.7</v>
      </c>
      <c r="Q40" s="74">
        <v>6</v>
      </c>
      <c r="R40" s="74">
        <v>41531.279999999999</v>
      </c>
      <c r="S40" s="74">
        <f>+P40-R40</f>
        <v>41568.42</v>
      </c>
      <c r="T40" s="69">
        <f>IF($M40=0,0,$M40/$J40)</f>
        <v>0.5011451304878356</v>
      </c>
    </row>
    <row r="41" spans="1:20" hidden="1" outlineLevel="1" x14ac:dyDescent="0.2">
      <c r="A41" s="98" t="s">
        <v>86</v>
      </c>
      <c r="B41" s="100" t="str">
        <f>B40</f>
        <v>||"Filter","SOP30200","SOPNUMBE","DOCDATE","3/1/2016..3/31/2016|3/1/2017..3/12/2017","CUSTNMBR","ASTORSUI0001","Company=","Fabrikam, Inc.","","","","","","","","","","","","","",""</v>
      </c>
      <c r="D41" s="98" t="str">
        <f>D40</f>
        <v>ASTORSUI0001</v>
      </c>
      <c r="E41" s="55"/>
      <c r="F41" s="78"/>
      <c r="G41" s="52" t="str">
        <f>"PHON-PAN-3155"</f>
        <v>PHON-PAN-3155</v>
      </c>
      <c r="H41" s="53" t="str">
        <f>"Panache KX-T3155 desk"</f>
        <v>Panache KX-T3155 desk</v>
      </c>
      <c r="I41" s="57" t="str">
        <f>"||""Filter"",""SOP30200"",""SOPNUMBE"",""DOCDATE"",""3/1/2017..3/31/2017"",""CUSTNMBR"",""ASTORSUI0001"","""","""","""","""","""","""","""","""","""","""","""","""","""","""","""","""""</f>
        <v>||"Filter","SOP30200","SOPNUMBE","DOCDATE","3/1/2017..3/31/2017","CUSTNMBR","ASTORSUI0001","","","","","","","","","","","","","","","",""</v>
      </c>
      <c r="J41" s="49">
        <v>239.9</v>
      </c>
      <c r="K41" s="51">
        <v>2</v>
      </c>
      <c r="L41" s="51">
        <v>87.48</v>
      </c>
      <c r="M41" s="51">
        <f>+J41-L41</f>
        <v>152.42000000000002</v>
      </c>
      <c r="N41" s="58">
        <f>IF($M41=0,0,$M41/$J41)</f>
        <v>0.6353480616923719</v>
      </c>
      <c r="O41" s="57" t="str">
        <f>"||""Filter"",""SOP30200"",""SOPNUMBE"",""DOCDATE"",""3/1/2016..3/31/2016"",""CUSTNMBR"",""ASTORSUI0001"","""","""","""","""","""","""","""","""","""","""","""","""","""","""","""","""""</f>
        <v>||"Filter","SOP30200","SOPNUMBE","DOCDATE","3/1/2016..3/31/2016","CUSTNMBR","ASTORSUI0001","","","","","","","","","","","","","","","",""</v>
      </c>
      <c r="P41" s="73">
        <v>239.9</v>
      </c>
      <c r="Q41" s="74">
        <v>2</v>
      </c>
      <c r="R41" s="74">
        <v>87.48</v>
      </c>
      <c r="S41" s="74">
        <f>+P41-R41</f>
        <v>152.42000000000002</v>
      </c>
      <c r="T41" s="69">
        <f>IF($M41=0,0,$M41/$J41)</f>
        <v>0.6353480616923719</v>
      </c>
    </row>
    <row r="42" spans="1:20" hidden="1" outlineLevel="1" x14ac:dyDescent="0.2">
      <c r="A42" s="98" t="s">
        <v>86</v>
      </c>
      <c r="B42" s="100" t="str">
        <f>B37</f>
        <v>||"Filter","SOP30200","SOPNUMBE","DOCDATE","3/1/2016..3/31/2016|3/1/2017..3/12/2017","CUSTNMBR","ASTORSUI0001","Company=","Fabrikam, Inc.","","","","","","","","","","","","","",""</v>
      </c>
      <c r="D42" s="98" t="str">
        <f>D37</f>
        <v>ASTORSUI0001</v>
      </c>
      <c r="E42" s="55"/>
      <c r="F42" s="79"/>
      <c r="G42" s="52"/>
      <c r="H42" s="53"/>
      <c r="I42" s="57"/>
      <c r="J42" s="49"/>
      <c r="K42" s="51"/>
      <c r="L42" s="51"/>
      <c r="M42" s="51"/>
      <c r="N42" s="58"/>
      <c r="O42" s="57"/>
      <c r="P42" s="73"/>
      <c r="Q42" s="74"/>
      <c r="R42" s="74"/>
      <c r="S42" s="74"/>
      <c r="T42" s="69"/>
    </row>
    <row r="43" spans="1:20" ht="13.5" hidden="1" outlineLevel="1" thickBot="1" x14ac:dyDescent="0.25">
      <c r="A43" s="98" t="s">
        <v>86</v>
      </c>
      <c r="B43" s="100" t="str">
        <f>B42</f>
        <v>||"Filter","SOP30200","SOPNUMBE","DOCDATE","3/1/2016..3/31/2016|3/1/2017..3/12/2017","CUSTNMBR","ASTORSUI0001","Company=","Fabrikam, Inc.","","","","","","","","","","","","","",""</v>
      </c>
      <c r="D43" s="98" t="str">
        <f>D42</f>
        <v>ASTORSUI0001</v>
      </c>
      <c r="E43" s="55"/>
      <c r="F43" s="79"/>
      <c r="I43" s="11"/>
      <c r="J43" s="50"/>
      <c r="K43" s="54"/>
      <c r="L43" s="54"/>
      <c r="M43" s="54"/>
      <c r="N43" s="12"/>
      <c r="O43" s="13"/>
      <c r="P43" s="75"/>
      <c r="Q43" s="76"/>
      <c r="R43" s="76"/>
      <c r="S43" s="76"/>
      <c r="T43" s="40"/>
    </row>
    <row r="44" spans="1:20" ht="13.5" collapsed="1" thickBot="1" x14ac:dyDescent="0.25">
      <c r="A44" s="98" t="s">
        <v>86</v>
      </c>
      <c r="B44" s="100" t="str">
        <f>B43</f>
        <v>||"Filter","SOP30200","SOPNUMBE","DOCDATE","3/1/2016..3/31/2016|3/1/2017..3/12/2017","CUSTNMBR","ASTORSUI0001","Company=","Fabrikam, Inc.","","","","","","","","","","","","","",""</v>
      </c>
      <c r="D44" s="98" t="str">
        <f>D43</f>
        <v>ASTORSUI0001</v>
      </c>
      <c r="E44" s="55"/>
      <c r="H44" s="17" t="str">
        <f>"Total "&amp;D44&amp;":"</f>
        <v>Total ASTORSUI0001:</v>
      </c>
      <c r="I44" s="21"/>
      <c r="J44" s="80">
        <f>SUBTOTAL(9,J37:J43)</f>
        <v>84478.099999999991</v>
      </c>
      <c r="K44" s="80">
        <f>SUBTOTAL(9,K37:K43)</f>
        <v>38</v>
      </c>
      <c r="L44" s="80">
        <f>SUBTOTAL(9,L37:L43)</f>
        <v>42499.590000000004</v>
      </c>
      <c r="M44" s="80">
        <f>SUBTOTAL(9,M37:M43)</f>
        <v>41978.509999999995</v>
      </c>
      <c r="N44" s="22">
        <f>IF(J44=0,0,+M44/J44)</f>
        <v>0.49691588707605877</v>
      </c>
      <c r="O44" s="23"/>
      <c r="P44" s="80">
        <f>SUBTOTAL(9,P37:P43)</f>
        <v>84478.099999999991</v>
      </c>
      <c r="Q44" s="80">
        <f>SUBTOTAL(9,Q37:Q43)</f>
        <v>38</v>
      </c>
      <c r="R44" s="80">
        <f>SUBTOTAL(9,R37:R43)</f>
        <v>42576.18</v>
      </c>
      <c r="S44" s="80">
        <f>SUBTOTAL(9,S37:S43)</f>
        <v>41901.919999999998</v>
      </c>
      <c r="T44" s="22">
        <f>IF(S44=0,0,S44/P44)</f>
        <v>0.49600926157193403</v>
      </c>
    </row>
    <row r="45" spans="1:20" x14ac:dyDescent="0.2">
      <c r="A45" s="98" t="s">
        <v>86</v>
      </c>
      <c r="B45" s="100" t="str">
        <f>B44</f>
        <v>||"Filter","SOP30200","SOPNUMBE","DOCDATE","3/1/2016..3/31/2016|3/1/2017..3/12/2017","CUSTNMBR","ASTORSUI0001","Company=","Fabrikam, Inc.","","","","","","","","","","","","","",""</v>
      </c>
      <c r="D45" s="98" t="str">
        <f>D44</f>
        <v>ASTORSUI0001</v>
      </c>
      <c r="E45" s="55"/>
      <c r="I45" s="11"/>
      <c r="J45" s="50"/>
      <c r="K45" s="54"/>
      <c r="L45" s="54"/>
      <c r="M45" s="54"/>
      <c r="N45" s="12"/>
      <c r="O45" s="11"/>
      <c r="P45" s="75"/>
      <c r="Q45" s="76"/>
      <c r="R45" s="76"/>
      <c r="S45" s="76"/>
      <c r="T45" s="40"/>
    </row>
    <row r="46" spans="1:20" ht="15.75" thickBot="1" x14ac:dyDescent="0.3">
      <c r="A46" s="98" t="s">
        <v>86</v>
      </c>
      <c r="B46" s="100" t="str">
        <f>"||""Filter"",""SOP30200"",""SOPNUMBE"",""DOCDATE"",""3/1/2016..3/31/2016|3/1/2017..3/12/2017"",""CUSTNMBR"",""BLUEYOND0001"",""Company="",""Fabrikam, Inc."","""","""","""","""","""","""","""","""","""","""","""","""","""","""""</f>
        <v>||"Filter","SOP30200","SOPNUMBE","DOCDATE","3/1/2016..3/31/2016|3/1/2017..3/12/2017","CUSTNMBR","BLUEYOND0001","Company=","Fabrikam, Inc.","","","","","","","","","","","","","",""</v>
      </c>
      <c r="D46" s="98" t="str">
        <f>F46</f>
        <v>BLUEYOND0001</v>
      </c>
      <c r="E46" s="55"/>
      <c r="F46" s="77" t="str">
        <f>"BLUEYOND0001"</f>
        <v>BLUEYOND0001</v>
      </c>
      <c r="G46" s="19"/>
      <c r="H46" s="27" t="str">
        <f>"Blue Yonder Airlines"</f>
        <v>Blue Yonder Airlines</v>
      </c>
      <c r="I46" s="30"/>
      <c r="J46" s="8"/>
      <c r="K46" s="8"/>
      <c r="L46" s="8"/>
      <c r="M46" s="8"/>
      <c r="N46" s="9"/>
      <c r="O46" s="30"/>
      <c r="P46" s="46"/>
      <c r="Q46" s="45"/>
      <c r="R46" s="47"/>
      <c r="S46" s="45"/>
      <c r="T46" s="9"/>
    </row>
    <row r="47" spans="1:20" hidden="1" outlineLevel="1" x14ac:dyDescent="0.2">
      <c r="A47" s="98" t="s">
        <v>119</v>
      </c>
      <c r="B47" s="100" t="str">
        <f>B46</f>
        <v>||"Filter","SOP30200","SOPNUMBE","DOCDATE","3/1/2016..3/31/2016|3/1/2017..3/12/2017","CUSTNMBR","BLUEYOND0001","Company=","Fabrikam, Inc.","","","","","","","","","","","","","",""</v>
      </c>
      <c r="D47" s="98" t="str">
        <f>D46</f>
        <v>BLUEYOND0001</v>
      </c>
      <c r="E47" s="55"/>
      <c r="F47" s="78"/>
      <c r="G47" s="56"/>
      <c r="H47" s="61"/>
      <c r="I47" s="7"/>
      <c r="J47" s="7"/>
      <c r="K47" s="8"/>
      <c r="L47" s="8"/>
      <c r="M47" s="8"/>
      <c r="N47" s="9"/>
      <c r="O47" s="7"/>
      <c r="P47" s="46"/>
      <c r="Q47" s="45"/>
      <c r="R47" s="47"/>
      <c r="S47" s="45"/>
      <c r="T47" s="9"/>
    </row>
    <row r="48" spans="1:20" hidden="1" outlineLevel="1" x14ac:dyDescent="0.2">
      <c r="A48" s="98" t="s">
        <v>86</v>
      </c>
      <c r="B48" s="100" t="str">
        <f>B47</f>
        <v>||"Filter","SOP30200","SOPNUMBE","DOCDATE","3/1/2016..3/31/2016|3/1/2017..3/12/2017","CUSTNMBR","BLUEYOND0001","Company=","Fabrikam, Inc.","","","","","","","","","","","","","",""</v>
      </c>
      <c r="D48" s="98" t="str">
        <f>D47</f>
        <v>BLUEYOND0001</v>
      </c>
      <c r="E48" s="55"/>
      <c r="F48" s="78"/>
      <c r="G48" s="52" t="str">
        <f>"100XLG"</f>
        <v>100XLG</v>
      </c>
      <c r="H48" s="53" t="str">
        <f>"Green Phone"</f>
        <v>Green Phone</v>
      </c>
      <c r="I48" s="57" t="str">
        <f>"||""Filter"",""SOP30200"",""SOPNUMBE"",""DOCDATE"",""3/1/2017..3/31/2017"",""CUSTNMBR"",""BLUEYOND0001"","""","""","""","""","""","""","""","""","""","""","""","""","""","""","""","""""</f>
        <v>||"Filter","SOP30200","SOPNUMBE","DOCDATE","3/1/2017..3/31/2017","CUSTNMBR","BLUEYOND0001","","","","","","","","","","","","","","","",""</v>
      </c>
      <c r="J48" s="49">
        <v>119.9</v>
      </c>
      <c r="K48" s="51">
        <v>2</v>
      </c>
      <c r="L48" s="51">
        <v>111</v>
      </c>
      <c r="M48" s="51">
        <f>+J48-L48</f>
        <v>8.9000000000000057</v>
      </c>
      <c r="N48" s="58">
        <f>IF($M48=0,0,$M48/$J48)</f>
        <v>7.4228523769808222E-2</v>
      </c>
      <c r="O48" s="57" t="str">
        <f>"||""Filter"",""SOP30200"",""SOPNUMBE"",""DOCDATE"",""3/1/2016..3/31/2016"",""CUSTNMBR"",""BLUEYOND0001"","""","""","""","""","""","""","""","""","""","""","""","""","""","""","""","""""</f>
        <v>||"Filter","SOP30200","SOPNUMBE","DOCDATE","3/1/2016..3/31/2016","CUSTNMBR","BLUEYOND0001","","","","","","","","","","","","","","","",""</v>
      </c>
      <c r="P48" s="73">
        <v>119.9</v>
      </c>
      <c r="Q48" s="74">
        <v>2</v>
      </c>
      <c r="R48" s="74">
        <v>111</v>
      </c>
      <c r="S48" s="74">
        <f>+P48-R48</f>
        <v>8.9000000000000057</v>
      </c>
      <c r="T48" s="69">
        <f>IF($M48=0,0,$M48/$J48)</f>
        <v>7.4228523769808222E-2</v>
      </c>
    </row>
    <row r="49" spans="1:20" hidden="1" outlineLevel="1" x14ac:dyDescent="0.2">
      <c r="A49" s="98" t="s">
        <v>86</v>
      </c>
      <c r="B49" s="100" t="str">
        <f>B48</f>
        <v>||"Filter","SOP30200","SOPNUMBE","DOCDATE","3/1/2016..3/31/2016|3/1/2017..3/12/2017","CUSTNMBR","BLUEYOND0001","Company=","Fabrikam, Inc.","","","","","","","","","","","","","",""</v>
      </c>
      <c r="D49" s="98" t="str">
        <f>D48</f>
        <v>BLUEYOND0001</v>
      </c>
      <c r="E49" s="55"/>
      <c r="F49" s="78"/>
      <c r="G49" s="52" t="str">
        <f>"ANSW-PAN-1450"</f>
        <v>ANSW-PAN-1450</v>
      </c>
      <c r="H49" s="53" t="str">
        <f>"Panache KX-T1450 answer"</f>
        <v>Panache KX-T1450 answer</v>
      </c>
      <c r="I49" s="57" t="str">
        <f>"||""Filter"",""SOP30200"",""SOPNUMBE"",""DOCDATE"",""3/1/2017..3/31/2017"",""CUSTNMBR"",""BLUEYOND0001"","""","""","""","""","""","""","""","""","""","""","""","""","""","""","""","""""</f>
        <v>||"Filter","SOP30200","SOPNUMBE","DOCDATE","3/1/2017..3/31/2017","CUSTNMBR","BLUEYOND0001","","","","","","","","","","","","","","","",""</v>
      </c>
      <c r="J49" s="49">
        <v>219.9</v>
      </c>
      <c r="K49" s="51">
        <v>2</v>
      </c>
      <c r="L49" s="51">
        <v>100.5</v>
      </c>
      <c r="M49" s="51">
        <f>+J49-L49</f>
        <v>119.4</v>
      </c>
      <c r="N49" s="58">
        <f>IF($M49=0,0,$M49/$J49)</f>
        <v>0.5429740791268759</v>
      </c>
      <c r="O49" s="57" t="str">
        <f>"||""Filter"",""SOP30200"",""SOPNUMBE"",""DOCDATE"",""3/1/2016..3/31/2016"",""CUSTNMBR"",""BLUEYOND0001"","""","""","""","""","""","""","""","""","""","""","""","""","""","""","""","""""</f>
        <v>||"Filter","SOP30200","SOPNUMBE","DOCDATE","3/1/2016..3/31/2016","CUSTNMBR","BLUEYOND0001","","","","","","","","","","","","","","","",""</v>
      </c>
      <c r="P49" s="73">
        <v>219.9</v>
      </c>
      <c r="Q49" s="74">
        <v>2</v>
      </c>
      <c r="R49" s="74">
        <v>100.5</v>
      </c>
      <c r="S49" s="74">
        <f>+P49-R49</f>
        <v>119.4</v>
      </c>
      <c r="T49" s="69">
        <f>IF($M49=0,0,$M49/$J49)</f>
        <v>0.5429740791268759</v>
      </c>
    </row>
    <row r="50" spans="1:20" hidden="1" outlineLevel="1" x14ac:dyDescent="0.2">
      <c r="A50" s="98" t="s">
        <v>86</v>
      </c>
      <c r="B50" s="100" t="str">
        <f>B49</f>
        <v>||"Filter","SOP30200","SOPNUMBE","DOCDATE","3/1/2016..3/31/2016|3/1/2017..3/12/2017","CUSTNMBR","BLUEYOND0001","Company=","Fabrikam, Inc.","","","","","","","","","","","","","",""</v>
      </c>
      <c r="D50" s="98" t="str">
        <f>D49</f>
        <v>BLUEYOND0001</v>
      </c>
      <c r="E50" s="55"/>
      <c r="F50" s="78"/>
      <c r="G50" s="52" t="str">
        <f>"FAXX-RIC-060E"</f>
        <v>FAXX-RIC-060E</v>
      </c>
      <c r="H50" s="53" t="str">
        <f>"Richelieu Fax 60E"</f>
        <v>Richelieu Fax 60E</v>
      </c>
      <c r="I50" s="57" t="str">
        <f>"||""Filter"",""SOP30200"",""SOPNUMBE"",""DOCDATE"",""3/1/2017..3/31/2017"",""CUSTNMBR"",""BLUEYOND0001"","""","""","""","""","""","""","""","""","""","""","""","""","""","""","""","""""</f>
        <v>||"Filter","SOP30200","SOPNUMBE","DOCDATE","3/1/2017..3/31/2017","CUSTNMBR","BLUEYOND0001","","","","","","","","","","","","","","","",""</v>
      </c>
      <c r="J50" s="49">
        <v>3839.8</v>
      </c>
      <c r="K50" s="51">
        <v>4</v>
      </c>
      <c r="L50" s="51">
        <v>1916.2</v>
      </c>
      <c r="M50" s="51">
        <f>+J50-L50</f>
        <v>1923.6000000000001</v>
      </c>
      <c r="N50" s="58">
        <f>IF($M50=0,0,$M50/$J50)</f>
        <v>0.5009635918537424</v>
      </c>
      <c r="O50" s="57" t="str">
        <f>"||""Filter"",""SOP30200"",""SOPNUMBE"",""DOCDATE"",""3/1/2016..3/31/2016"",""CUSTNMBR"",""BLUEYOND0001"","""","""","""","""","""","""","""","""","""","""","""","""","""","""","""","""""</f>
        <v>||"Filter","SOP30200","SOPNUMBE","DOCDATE","3/1/2016..3/31/2016","CUSTNMBR","BLUEYOND0001","","","","","","","","","","","","","","","",""</v>
      </c>
      <c r="P50" s="73">
        <v>3839.8</v>
      </c>
      <c r="Q50" s="74">
        <v>4</v>
      </c>
      <c r="R50" s="74">
        <v>1916.2</v>
      </c>
      <c r="S50" s="74">
        <f>+P50-R50</f>
        <v>1923.6000000000001</v>
      </c>
      <c r="T50" s="69">
        <f>IF($M50=0,0,$M50/$J50)</f>
        <v>0.5009635918537424</v>
      </c>
    </row>
    <row r="51" spans="1:20" hidden="1" outlineLevel="1" x14ac:dyDescent="0.2">
      <c r="A51" s="98" t="s">
        <v>86</v>
      </c>
      <c r="B51" s="100" t="str">
        <f>B48</f>
        <v>||"Filter","SOP30200","SOPNUMBE","DOCDATE","3/1/2016..3/31/2016|3/1/2017..3/12/2017","CUSTNMBR","BLUEYOND0001","Company=","Fabrikam, Inc.","","","","","","","","","","","","","",""</v>
      </c>
      <c r="D51" s="98" t="str">
        <f>D48</f>
        <v>BLUEYOND0001</v>
      </c>
      <c r="E51" s="55"/>
      <c r="F51" s="79"/>
      <c r="G51" s="52"/>
      <c r="H51" s="53"/>
      <c r="I51" s="57"/>
      <c r="J51" s="49"/>
      <c r="K51" s="51"/>
      <c r="L51" s="51"/>
      <c r="M51" s="51"/>
      <c r="N51" s="58"/>
      <c r="O51" s="57"/>
      <c r="P51" s="73"/>
      <c r="Q51" s="74"/>
      <c r="R51" s="74"/>
      <c r="S51" s="74"/>
      <c r="T51" s="69"/>
    </row>
    <row r="52" spans="1:20" ht="13.5" hidden="1" outlineLevel="1" thickBot="1" x14ac:dyDescent="0.25">
      <c r="A52" s="98" t="s">
        <v>86</v>
      </c>
      <c r="B52" s="100" t="str">
        <f>B51</f>
        <v>||"Filter","SOP30200","SOPNUMBE","DOCDATE","3/1/2016..3/31/2016|3/1/2017..3/12/2017","CUSTNMBR","BLUEYOND0001","Company=","Fabrikam, Inc.","","","","","","","","","","","","","",""</v>
      </c>
      <c r="D52" s="98" t="str">
        <f>D51</f>
        <v>BLUEYOND0001</v>
      </c>
      <c r="E52" s="55"/>
      <c r="F52" s="79"/>
      <c r="I52" s="11"/>
      <c r="J52" s="50"/>
      <c r="K52" s="54"/>
      <c r="L52" s="54"/>
      <c r="M52" s="54"/>
      <c r="N52" s="12"/>
      <c r="O52" s="13"/>
      <c r="P52" s="75"/>
      <c r="Q52" s="76"/>
      <c r="R52" s="76"/>
      <c r="S52" s="76"/>
      <c r="T52" s="40"/>
    </row>
    <row r="53" spans="1:20" ht="13.5" collapsed="1" thickBot="1" x14ac:dyDescent="0.25">
      <c r="A53" s="98" t="s">
        <v>86</v>
      </c>
      <c r="B53" s="100" t="str">
        <f>B52</f>
        <v>||"Filter","SOP30200","SOPNUMBE","DOCDATE","3/1/2016..3/31/2016|3/1/2017..3/12/2017","CUSTNMBR","BLUEYOND0001","Company=","Fabrikam, Inc.","","","","","","","","","","","","","",""</v>
      </c>
      <c r="D53" s="98" t="str">
        <f>D52</f>
        <v>BLUEYOND0001</v>
      </c>
      <c r="E53" s="55"/>
      <c r="H53" s="17" t="str">
        <f>"Total "&amp;D53&amp;":"</f>
        <v>Total BLUEYOND0001:</v>
      </c>
      <c r="I53" s="21"/>
      <c r="J53" s="80">
        <f>SUBTOTAL(9,J48:J52)</f>
        <v>4179.6000000000004</v>
      </c>
      <c r="K53" s="80">
        <f>SUBTOTAL(9,K48:K52)</f>
        <v>8</v>
      </c>
      <c r="L53" s="80">
        <f>SUBTOTAL(9,L48:L52)</f>
        <v>2127.6999999999998</v>
      </c>
      <c r="M53" s="80">
        <f>SUBTOTAL(9,M48:M52)</f>
        <v>2051.9</v>
      </c>
      <c r="N53" s="22">
        <f>IF(J53=0,0,+M53/J53)</f>
        <v>0.4909321466169011</v>
      </c>
      <c r="O53" s="23"/>
      <c r="P53" s="80">
        <f>SUBTOTAL(9,P48:P52)</f>
        <v>4179.6000000000004</v>
      </c>
      <c r="Q53" s="80">
        <f>SUBTOTAL(9,Q48:Q52)</f>
        <v>8</v>
      </c>
      <c r="R53" s="80">
        <f>SUBTOTAL(9,R48:R52)</f>
        <v>2127.6999999999998</v>
      </c>
      <c r="S53" s="80">
        <f>SUBTOTAL(9,S48:S52)</f>
        <v>2051.9</v>
      </c>
      <c r="T53" s="22">
        <f>IF(S53=0,0,S53/P53)</f>
        <v>0.4909321466169011</v>
      </c>
    </row>
    <row r="54" spans="1:20" x14ac:dyDescent="0.2">
      <c r="A54" s="98" t="s">
        <v>86</v>
      </c>
      <c r="B54" s="100" t="str">
        <f>B53</f>
        <v>||"Filter","SOP30200","SOPNUMBE","DOCDATE","3/1/2016..3/31/2016|3/1/2017..3/12/2017","CUSTNMBR","BLUEYOND0001","Company=","Fabrikam, Inc.","","","","","","","","","","","","","",""</v>
      </c>
      <c r="D54" s="98" t="str">
        <f>D53</f>
        <v>BLUEYOND0001</v>
      </c>
      <c r="E54" s="55"/>
      <c r="I54" s="11"/>
      <c r="J54" s="50"/>
      <c r="K54" s="54"/>
      <c r="L54" s="54"/>
      <c r="M54" s="54"/>
      <c r="N54" s="12"/>
      <c r="O54" s="11"/>
      <c r="P54" s="75"/>
      <c r="Q54" s="76"/>
      <c r="R54" s="76"/>
      <c r="S54" s="76"/>
      <c r="T54" s="40"/>
    </row>
    <row r="55" spans="1:20" ht="15.75" thickBot="1" x14ac:dyDescent="0.3">
      <c r="A55" s="98" t="s">
        <v>86</v>
      </c>
      <c r="B55" s="100" t="str">
        <f>"||""Filter"",""SOP30200"",""SOPNUMBE"",""DOCDATE"",""3/1/2016..3/31/2016|3/1/2017..3/12/2017"",""CUSTNMBR"",""BREAKTHR0001"",""Company="",""Fabrikam, Inc."","""","""","""","""","""","""","""","""","""","""","""","""","""","""""</f>
        <v>||"Filter","SOP30200","SOPNUMBE","DOCDATE","3/1/2016..3/31/2016|3/1/2017..3/12/2017","CUSTNMBR","BREAKTHR0001","Company=","Fabrikam, Inc.","","","","","","","","","","","","","",""</v>
      </c>
      <c r="D55" s="98" t="str">
        <f>F55</f>
        <v>BREAKTHR0001</v>
      </c>
      <c r="E55" s="55"/>
      <c r="F55" s="77" t="str">
        <f>"BREAKTHR0001"</f>
        <v>BREAKTHR0001</v>
      </c>
      <c r="G55" s="19"/>
      <c r="H55" s="27" t="str">
        <f>"Breakthrough Telemarketing"</f>
        <v>Breakthrough Telemarketing</v>
      </c>
      <c r="I55" s="30"/>
      <c r="J55" s="8"/>
      <c r="K55" s="8"/>
      <c r="L55" s="8"/>
      <c r="M55" s="8"/>
      <c r="N55" s="9"/>
      <c r="O55" s="30"/>
      <c r="P55" s="46"/>
      <c r="Q55" s="45"/>
      <c r="R55" s="47"/>
      <c r="S55" s="45"/>
      <c r="T55" s="9"/>
    </row>
    <row r="56" spans="1:20" hidden="1" outlineLevel="1" x14ac:dyDescent="0.2">
      <c r="A56" s="98" t="s">
        <v>119</v>
      </c>
      <c r="B56" s="100" t="str">
        <f>B55</f>
        <v>||"Filter","SOP30200","SOPNUMBE","DOCDATE","3/1/2016..3/31/2016|3/1/2017..3/12/2017","CUSTNMBR","BREAKTHR0001","Company=","Fabrikam, Inc.","","","","","","","","","","","","","",""</v>
      </c>
      <c r="D56" s="98" t="str">
        <f>D55</f>
        <v>BREAKTHR0001</v>
      </c>
      <c r="E56" s="55"/>
      <c r="F56" s="78"/>
      <c r="G56" s="56"/>
      <c r="H56" s="61"/>
      <c r="I56" s="7"/>
      <c r="J56" s="7"/>
      <c r="K56" s="8"/>
      <c r="L56" s="8"/>
      <c r="M56" s="8"/>
      <c r="N56" s="9"/>
      <c r="O56" s="7"/>
      <c r="P56" s="46"/>
      <c r="Q56" s="45"/>
      <c r="R56" s="47"/>
      <c r="S56" s="45"/>
      <c r="T56" s="9"/>
    </row>
    <row r="57" spans="1:20" hidden="1" outlineLevel="1" x14ac:dyDescent="0.2">
      <c r="A57" s="98" t="s">
        <v>86</v>
      </c>
      <c r="B57" s="100" t="str">
        <f>B56</f>
        <v>||"Filter","SOP30200","SOPNUMBE","DOCDATE","3/1/2016..3/31/2016|3/1/2017..3/12/2017","CUSTNMBR","BREAKTHR0001","Company=","Fabrikam, Inc.","","","","","","","","","","","","","",""</v>
      </c>
      <c r="D57" s="98" t="str">
        <f>D56</f>
        <v>BREAKTHR0001</v>
      </c>
      <c r="E57" s="55"/>
      <c r="F57" s="78"/>
      <c r="G57" s="52" t="str">
        <f>"FAXX-CAN-9800"</f>
        <v>FAXX-CAN-9800</v>
      </c>
      <c r="H57" s="53" t="str">
        <f>"Cantata FaxPhone 9800"</f>
        <v>Cantata FaxPhone 9800</v>
      </c>
      <c r="I57" s="57" t="str">
        <f>"||""Filter"",""SOP30200"",""SOPNUMBE"",""DOCDATE"",""3/1/2017..3/31/2017"",""CUSTNMBR"",""BREAKTHR0001"","""","""","""","""","""","""","""","""","""","""","""","""","""","""","""","""""</f>
        <v>||"Filter","SOP30200","SOPNUMBE","DOCDATE","3/1/2017..3/31/2017","CUSTNMBR","BREAKTHR0001","","","","","","","","","","","","","","","",""</v>
      </c>
      <c r="J57" s="49">
        <v>43199.1</v>
      </c>
      <c r="K57" s="51">
        <v>18</v>
      </c>
      <c r="L57" s="51">
        <v>25455</v>
      </c>
      <c r="M57" s="51">
        <f>+J57-L57</f>
        <v>17744.099999999999</v>
      </c>
      <c r="N57" s="58">
        <f>IF($M57=0,0,$M57/$J57)</f>
        <v>0.4107516128808239</v>
      </c>
      <c r="O57" s="57" t="str">
        <f>"||""Filter"",""SOP30200"",""SOPNUMBE"",""DOCDATE"",""3/1/2016..3/31/2016"",""CUSTNMBR"",""BREAKTHR0001"","""","""","""","""","""","""","""","""","""","""","""","""","""","""","""","""""</f>
        <v>||"Filter","SOP30200","SOPNUMBE","DOCDATE","3/1/2016..3/31/2016","CUSTNMBR","BREAKTHR0001","","","","","","","","","","","","","","","",""</v>
      </c>
      <c r="P57" s="73">
        <v>43199.1</v>
      </c>
      <c r="Q57" s="74">
        <v>18</v>
      </c>
      <c r="R57" s="74">
        <v>21546</v>
      </c>
      <c r="S57" s="74">
        <f>+P57-R57</f>
        <v>21653.1</v>
      </c>
      <c r="T57" s="69">
        <f>IF($M57=0,0,$M57/$J57)</f>
        <v>0.4107516128808239</v>
      </c>
    </row>
    <row r="58" spans="1:20" hidden="1" outlineLevel="1" x14ac:dyDescent="0.2">
      <c r="A58" s="98" t="s">
        <v>86</v>
      </c>
      <c r="B58" s="100" t="str">
        <f>B57</f>
        <v>||"Filter","SOP30200","SOPNUMBE","DOCDATE","3/1/2016..3/31/2016|3/1/2017..3/12/2017","CUSTNMBR","BREAKTHR0001","Company=","Fabrikam, Inc.","","","","","","","","","","","","","",""</v>
      </c>
      <c r="D58" s="98" t="str">
        <f>D57</f>
        <v>BREAKTHR0001</v>
      </c>
      <c r="E58" s="55"/>
      <c r="F58" s="78"/>
      <c r="G58" s="52" t="str">
        <f>"HDWR-PNL-0001"</f>
        <v>HDWR-PNL-0001</v>
      </c>
      <c r="H58" s="53" t="str">
        <f>"Control Panel"</f>
        <v>Control Panel</v>
      </c>
      <c r="I58" s="57" t="str">
        <f>"||""Filter"",""SOP30200"",""SOPNUMBE"",""DOCDATE"",""3/1/2017..3/31/2017"",""CUSTNMBR"",""BREAKTHR0001"","""","""","""","""","""","""","""","""","""","""","""","""","""","""","""","""""</f>
        <v>||"Filter","SOP30200","SOPNUMBE","DOCDATE","3/1/2017..3/31/2017","CUSTNMBR","BREAKTHR0001","","","","","","","","","","","","","","","",""</v>
      </c>
      <c r="J58" s="49">
        <v>2439.8000000000002</v>
      </c>
      <c r="K58" s="51">
        <v>4</v>
      </c>
      <c r="L58" s="51">
        <v>1215.4000000000001</v>
      </c>
      <c r="M58" s="51">
        <f>+J58-L58</f>
        <v>1224.4000000000001</v>
      </c>
      <c r="N58" s="58">
        <f>IF($M58=0,0,$M58/$J58)</f>
        <v>0.50184441347651443</v>
      </c>
      <c r="O58" s="57" t="str">
        <f>"||""Filter"",""SOP30200"",""SOPNUMBE"",""DOCDATE"",""3/1/2016..3/31/2016"",""CUSTNMBR"",""BREAKTHR0001"","""","""","""","""","""","""","""","""","""","""","""","""","""","""","""","""""</f>
        <v>||"Filter","SOP30200","SOPNUMBE","DOCDATE","3/1/2016..3/31/2016","CUSTNMBR","BREAKTHR0001","","","","","","","","","","","","","","","",""</v>
      </c>
      <c r="P58" s="73">
        <v>2439.8000000000002</v>
      </c>
      <c r="Q58" s="74">
        <v>4</v>
      </c>
      <c r="R58" s="74">
        <v>1215.4000000000001</v>
      </c>
      <c r="S58" s="74">
        <f>+P58-R58</f>
        <v>1224.4000000000001</v>
      </c>
      <c r="T58" s="69">
        <f>IF($M58=0,0,$M58/$J58)</f>
        <v>0.50184441347651443</v>
      </c>
    </row>
    <row r="59" spans="1:20" hidden="1" outlineLevel="1" x14ac:dyDescent="0.2">
      <c r="A59" s="98" t="s">
        <v>86</v>
      </c>
      <c r="B59" s="100" t="str">
        <f>B57</f>
        <v>||"Filter","SOP30200","SOPNUMBE","DOCDATE","3/1/2016..3/31/2016|3/1/2017..3/12/2017","CUSTNMBR","BREAKTHR0001","Company=","Fabrikam, Inc.","","","","","","","","","","","","","",""</v>
      </c>
      <c r="D59" s="98" t="str">
        <f>D57</f>
        <v>BREAKTHR0001</v>
      </c>
      <c r="E59" s="55"/>
      <c r="F59" s="79"/>
      <c r="G59" s="52"/>
      <c r="H59" s="53"/>
      <c r="I59" s="57"/>
      <c r="J59" s="49"/>
      <c r="K59" s="51"/>
      <c r="L59" s="51"/>
      <c r="M59" s="51"/>
      <c r="N59" s="58"/>
      <c r="O59" s="57"/>
      <c r="P59" s="73"/>
      <c r="Q59" s="74"/>
      <c r="R59" s="74"/>
      <c r="S59" s="74"/>
      <c r="T59" s="69"/>
    </row>
    <row r="60" spans="1:20" ht="13.5" hidden="1" outlineLevel="1" thickBot="1" x14ac:dyDescent="0.25">
      <c r="A60" s="98" t="s">
        <v>86</v>
      </c>
      <c r="B60" s="100" t="str">
        <f>B59</f>
        <v>||"Filter","SOP30200","SOPNUMBE","DOCDATE","3/1/2016..3/31/2016|3/1/2017..3/12/2017","CUSTNMBR","BREAKTHR0001","Company=","Fabrikam, Inc.","","","","","","","","","","","","","",""</v>
      </c>
      <c r="D60" s="98" t="str">
        <f>D59</f>
        <v>BREAKTHR0001</v>
      </c>
      <c r="E60" s="55"/>
      <c r="F60" s="79"/>
      <c r="I60" s="11"/>
      <c r="J60" s="50"/>
      <c r="K60" s="54"/>
      <c r="L60" s="54"/>
      <c r="M60" s="54"/>
      <c r="N60" s="12"/>
      <c r="O60" s="13"/>
      <c r="P60" s="75"/>
      <c r="Q60" s="76"/>
      <c r="R60" s="76"/>
      <c r="S60" s="76"/>
      <c r="T60" s="40"/>
    </row>
    <row r="61" spans="1:20" ht="13.5" collapsed="1" thickBot="1" x14ac:dyDescent="0.25">
      <c r="A61" s="98" t="s">
        <v>86</v>
      </c>
      <c r="B61" s="100" t="str">
        <f>B60</f>
        <v>||"Filter","SOP30200","SOPNUMBE","DOCDATE","3/1/2016..3/31/2016|3/1/2017..3/12/2017","CUSTNMBR","BREAKTHR0001","Company=","Fabrikam, Inc.","","","","","","","","","","","","","",""</v>
      </c>
      <c r="D61" s="98" t="str">
        <f>D60</f>
        <v>BREAKTHR0001</v>
      </c>
      <c r="E61" s="55"/>
      <c r="H61" s="17" t="str">
        <f>"Total "&amp;D61&amp;":"</f>
        <v>Total BREAKTHR0001:</v>
      </c>
      <c r="I61" s="21"/>
      <c r="J61" s="80">
        <f>SUBTOTAL(9,J57:J60)</f>
        <v>45638.9</v>
      </c>
      <c r="K61" s="80">
        <f>SUBTOTAL(9,K57:K60)</f>
        <v>22</v>
      </c>
      <c r="L61" s="80">
        <f>SUBTOTAL(9,L57:L60)</f>
        <v>26670.400000000001</v>
      </c>
      <c r="M61" s="80">
        <f>SUBTOTAL(9,M57:M60)</f>
        <v>18968.5</v>
      </c>
      <c r="N61" s="22">
        <f>IF(J61=0,0,+M61/J61)</f>
        <v>0.41562132303802235</v>
      </c>
      <c r="O61" s="23"/>
      <c r="P61" s="80">
        <f>SUBTOTAL(9,P57:P60)</f>
        <v>45638.9</v>
      </c>
      <c r="Q61" s="80">
        <f>SUBTOTAL(9,Q57:Q60)</f>
        <v>22</v>
      </c>
      <c r="R61" s="80">
        <f>SUBTOTAL(9,R57:R60)</f>
        <v>22761.4</v>
      </c>
      <c r="S61" s="80">
        <f>SUBTOTAL(9,S57:S60)</f>
        <v>22877.5</v>
      </c>
      <c r="T61" s="22">
        <f>IF(S61=0,0,S61/P61)</f>
        <v>0.50127194126063512</v>
      </c>
    </row>
    <row r="62" spans="1:20" x14ac:dyDescent="0.2">
      <c r="A62" s="98" t="s">
        <v>86</v>
      </c>
      <c r="B62" s="100" t="str">
        <f>B61</f>
        <v>||"Filter","SOP30200","SOPNUMBE","DOCDATE","3/1/2016..3/31/2016|3/1/2017..3/12/2017","CUSTNMBR","BREAKTHR0001","Company=","Fabrikam, Inc.","","","","","","","","","","","","","",""</v>
      </c>
      <c r="D62" s="98" t="str">
        <f>D61</f>
        <v>BREAKTHR0001</v>
      </c>
      <c r="E62" s="55"/>
      <c r="I62" s="11"/>
      <c r="J62" s="50"/>
      <c r="K62" s="54"/>
      <c r="L62" s="54"/>
      <c r="M62" s="54"/>
      <c r="N62" s="12"/>
      <c r="O62" s="11"/>
      <c r="P62" s="75"/>
      <c r="Q62" s="76"/>
      <c r="R62" s="76"/>
      <c r="S62" s="76"/>
      <c r="T62" s="40"/>
    </row>
    <row r="63" spans="1:20" ht="15.75" thickBot="1" x14ac:dyDescent="0.3">
      <c r="A63" s="98" t="s">
        <v>86</v>
      </c>
      <c r="B63" s="100" t="str">
        <f>"||""Filter"",""SOP30200"",""SOPNUMBE"",""DOCDATE"",""3/1/2016..3/31/2016|3/1/2017..3/12/2017"",""CUSTNMBR"",""CENTRALC0001"",""Company="",""Fabrikam, Inc."","""","""","""","""","""","""","""","""","""","""","""","""","""","""""</f>
        <v>||"Filter","SOP30200","SOPNUMBE","DOCDATE","3/1/2016..3/31/2016|3/1/2017..3/12/2017","CUSTNMBR","CENTRALC0001","Company=","Fabrikam, Inc.","","","","","","","","","","","","","",""</v>
      </c>
      <c r="D63" s="98" t="str">
        <f>F63</f>
        <v>CENTRALC0001</v>
      </c>
      <c r="E63" s="55"/>
      <c r="F63" s="77" t="str">
        <f>"CENTRALC0001"</f>
        <v>CENTRALC0001</v>
      </c>
      <c r="G63" s="19"/>
      <c r="H63" s="27" t="str">
        <f>"Central Communications LTD"</f>
        <v>Central Communications LTD</v>
      </c>
      <c r="I63" s="30"/>
      <c r="J63" s="8"/>
      <c r="K63" s="8"/>
      <c r="L63" s="8"/>
      <c r="M63" s="8"/>
      <c r="N63" s="9"/>
      <c r="O63" s="30"/>
      <c r="P63" s="46"/>
      <c r="Q63" s="45"/>
      <c r="R63" s="47"/>
      <c r="S63" s="45"/>
      <c r="T63" s="9"/>
    </row>
    <row r="64" spans="1:20" hidden="1" outlineLevel="1" x14ac:dyDescent="0.2">
      <c r="A64" s="98" t="s">
        <v>119</v>
      </c>
      <c r="B64" s="100" t="str">
        <f>B63</f>
        <v>||"Filter","SOP30200","SOPNUMBE","DOCDATE","3/1/2016..3/31/2016|3/1/2017..3/12/2017","CUSTNMBR","CENTRALC0001","Company=","Fabrikam, Inc.","","","","","","","","","","","","","",""</v>
      </c>
      <c r="D64" s="98" t="str">
        <f>D63</f>
        <v>CENTRALC0001</v>
      </c>
      <c r="E64" s="55"/>
      <c r="F64" s="78"/>
      <c r="G64" s="56"/>
      <c r="H64" s="61"/>
      <c r="I64" s="7"/>
      <c r="J64" s="7"/>
      <c r="K64" s="8"/>
      <c r="L64" s="8"/>
      <c r="M64" s="8"/>
      <c r="N64" s="9"/>
      <c r="O64" s="7"/>
      <c r="P64" s="46"/>
      <c r="Q64" s="45"/>
      <c r="R64" s="47"/>
      <c r="S64" s="45"/>
      <c r="T64" s="9"/>
    </row>
    <row r="65" spans="1:20" hidden="1" outlineLevel="1" x14ac:dyDescent="0.2">
      <c r="A65" s="98" t="s">
        <v>86</v>
      </c>
      <c r="B65" s="100" t="str">
        <f>B64</f>
        <v>||"Filter","SOP30200","SOPNUMBE","DOCDATE","3/1/2016..3/31/2016|3/1/2017..3/12/2017","CUSTNMBR","CENTRALC0001","Company=","Fabrikam, Inc.","","","","","","","","","","","","","",""</v>
      </c>
      <c r="D65" s="98" t="str">
        <f>D64</f>
        <v>CENTRALC0001</v>
      </c>
      <c r="E65" s="55"/>
      <c r="F65" s="78"/>
      <c r="G65" s="52" t="str">
        <f>"ACCS-CRD-25BK"</f>
        <v>ACCS-CRD-25BK</v>
      </c>
      <c r="H65" s="53" t="str">
        <f>"Phone Cord - 25' Black"</f>
        <v>Phone Cord - 25' Black</v>
      </c>
      <c r="I65" s="57" t="str">
        <f>"||""Filter"",""SOP30200"",""SOPNUMBE"",""DOCDATE"",""3/1/2017..3/31/2017"",""CUSTNMBR"",""CENTRALC0001"","""","""","""","""","""","""","""","""","""","""","""","""","""","""","""","""""</f>
        <v>||"Filter","SOP30200","SOPNUMBE","DOCDATE","3/1/2017..3/31/2017","CUSTNMBR","CENTRALC0001","","","","","","","","","","","","","","","",""</v>
      </c>
      <c r="J65" s="49">
        <v>39.9</v>
      </c>
      <c r="K65" s="51">
        <v>2</v>
      </c>
      <c r="L65" s="51">
        <v>11.96</v>
      </c>
      <c r="M65" s="51">
        <f>+J65-L65</f>
        <v>27.939999999999998</v>
      </c>
      <c r="N65" s="58">
        <f>IF($M65=0,0,$M65/$J65)</f>
        <v>0.70025062656641601</v>
      </c>
      <c r="O65" s="57" t="str">
        <f>"||""Filter"",""SOP30200"",""SOPNUMBE"",""DOCDATE"",""3/1/2016..3/31/2016"",""CUSTNMBR"",""CENTRALC0001"","""","""","""","""","""","""","""","""","""","""","""","""","""","""","""","""""</f>
        <v>||"Filter","SOP30200","SOPNUMBE","DOCDATE","3/1/2016..3/31/2016","CUSTNMBR","CENTRALC0001","","","","","","","","","","","","","","","",""</v>
      </c>
      <c r="P65" s="73">
        <v>39.9</v>
      </c>
      <c r="Q65" s="74">
        <v>2</v>
      </c>
      <c r="R65" s="74">
        <v>11.96</v>
      </c>
      <c r="S65" s="74">
        <f>+P65-R65</f>
        <v>27.939999999999998</v>
      </c>
      <c r="T65" s="69">
        <f>IF($M65=0,0,$M65/$J65)</f>
        <v>0.70025062656641601</v>
      </c>
    </row>
    <row r="66" spans="1:20" hidden="1" outlineLevel="1" x14ac:dyDescent="0.2">
      <c r="A66" s="98" t="s">
        <v>86</v>
      </c>
      <c r="B66" s="100" t="str">
        <f>B65</f>
        <v>||"Filter","SOP30200","SOPNUMBE","DOCDATE","3/1/2016..3/31/2016|3/1/2017..3/12/2017","CUSTNMBR","CENTRALC0001","Company=","Fabrikam, Inc.","","","","","","","","","","","","","",""</v>
      </c>
      <c r="D66" s="98" t="str">
        <f>D65</f>
        <v>CENTRALC0001</v>
      </c>
      <c r="E66" s="55"/>
      <c r="F66" s="78"/>
      <c r="G66" s="52" t="str">
        <f>"PHON-PAN-3155"</f>
        <v>PHON-PAN-3155</v>
      </c>
      <c r="H66" s="53" t="str">
        <f>"Panache KX-T3155 desk"</f>
        <v>Panache KX-T3155 desk</v>
      </c>
      <c r="I66" s="57" t="str">
        <f>"||""Filter"",""SOP30200"",""SOPNUMBE"",""DOCDATE"",""3/1/2017..3/31/2017"",""CUSTNMBR"",""CENTRALC0001"","""","""","""","""","""","""","""","""","""","""","""","""","""","""","""","""""</f>
        <v>||"Filter","SOP30200","SOPNUMBE","DOCDATE","3/1/2017..3/31/2017","CUSTNMBR","CENTRALC0001","","","","","","","","","","","","","","","",""</v>
      </c>
      <c r="J66" s="49">
        <v>479.8</v>
      </c>
      <c r="K66" s="51">
        <v>4</v>
      </c>
      <c r="L66" s="51">
        <v>174.96</v>
      </c>
      <c r="M66" s="51">
        <f>+J66-L66</f>
        <v>304.84000000000003</v>
      </c>
      <c r="N66" s="58">
        <f>IF($M66=0,0,$M66/$J66)</f>
        <v>0.6353480616923719</v>
      </c>
      <c r="O66" s="57" t="str">
        <f>"||""Filter"",""SOP30200"",""SOPNUMBE"",""DOCDATE"",""3/1/2016..3/31/2016"",""CUSTNMBR"",""CENTRALC0001"","""","""","""","""","""","""","""","""","""","""","""","""","""","""","""","""""</f>
        <v>||"Filter","SOP30200","SOPNUMBE","DOCDATE","3/1/2016..3/31/2016","CUSTNMBR","CENTRALC0001","","","","","","","","","","","","","","","",""</v>
      </c>
      <c r="P66" s="73">
        <v>479.8</v>
      </c>
      <c r="Q66" s="74">
        <v>4</v>
      </c>
      <c r="R66" s="74">
        <v>174.96</v>
      </c>
      <c r="S66" s="74">
        <f>+P66-R66</f>
        <v>304.84000000000003</v>
      </c>
      <c r="T66" s="69">
        <f>IF($M66=0,0,$M66/$J66)</f>
        <v>0.6353480616923719</v>
      </c>
    </row>
    <row r="67" spans="1:20" hidden="1" outlineLevel="1" x14ac:dyDescent="0.2">
      <c r="A67" s="98" t="s">
        <v>86</v>
      </c>
      <c r="B67" s="100" t="str">
        <f>B65</f>
        <v>||"Filter","SOP30200","SOPNUMBE","DOCDATE","3/1/2016..3/31/2016|3/1/2017..3/12/2017","CUSTNMBR","CENTRALC0001","Company=","Fabrikam, Inc.","","","","","","","","","","","","","",""</v>
      </c>
      <c r="D67" s="98" t="str">
        <f>D65</f>
        <v>CENTRALC0001</v>
      </c>
      <c r="E67" s="55"/>
      <c r="F67" s="79"/>
      <c r="G67" s="52"/>
      <c r="H67" s="53"/>
      <c r="I67" s="57"/>
      <c r="J67" s="49"/>
      <c r="K67" s="51"/>
      <c r="L67" s="51"/>
      <c r="M67" s="51"/>
      <c r="N67" s="58"/>
      <c r="O67" s="57"/>
      <c r="P67" s="73"/>
      <c r="Q67" s="74"/>
      <c r="R67" s="74"/>
      <c r="S67" s="74"/>
      <c r="T67" s="69"/>
    </row>
    <row r="68" spans="1:20" ht="13.5" hidden="1" outlineLevel="1" thickBot="1" x14ac:dyDescent="0.25">
      <c r="A68" s="98" t="s">
        <v>86</v>
      </c>
      <c r="B68" s="100" t="str">
        <f>B67</f>
        <v>||"Filter","SOP30200","SOPNUMBE","DOCDATE","3/1/2016..3/31/2016|3/1/2017..3/12/2017","CUSTNMBR","CENTRALC0001","Company=","Fabrikam, Inc.","","","","","","","","","","","","","",""</v>
      </c>
      <c r="D68" s="98" t="str">
        <f>D67</f>
        <v>CENTRALC0001</v>
      </c>
      <c r="E68" s="55"/>
      <c r="F68" s="79"/>
      <c r="I68" s="11"/>
      <c r="J68" s="50"/>
      <c r="K68" s="54"/>
      <c r="L68" s="54"/>
      <c r="M68" s="54"/>
      <c r="N68" s="12"/>
      <c r="O68" s="13"/>
      <c r="P68" s="75"/>
      <c r="Q68" s="76"/>
      <c r="R68" s="76"/>
      <c r="S68" s="76"/>
      <c r="T68" s="40"/>
    </row>
    <row r="69" spans="1:20" ht="13.5" collapsed="1" thickBot="1" x14ac:dyDescent="0.25">
      <c r="A69" s="98" t="s">
        <v>86</v>
      </c>
      <c r="B69" s="100" t="str">
        <f>B68</f>
        <v>||"Filter","SOP30200","SOPNUMBE","DOCDATE","3/1/2016..3/31/2016|3/1/2017..3/12/2017","CUSTNMBR","CENTRALC0001","Company=","Fabrikam, Inc.","","","","","","","","","","","","","",""</v>
      </c>
      <c r="D69" s="98" t="str">
        <f>D68</f>
        <v>CENTRALC0001</v>
      </c>
      <c r="E69" s="55"/>
      <c r="H69" s="17" t="str">
        <f>"Total "&amp;D69&amp;":"</f>
        <v>Total CENTRALC0001:</v>
      </c>
      <c r="I69" s="21"/>
      <c r="J69" s="80">
        <f>SUBTOTAL(9,J65:J68)</f>
        <v>519.70000000000005</v>
      </c>
      <c r="K69" s="80">
        <f>SUBTOTAL(9,K65:K68)</f>
        <v>6</v>
      </c>
      <c r="L69" s="80">
        <f>SUBTOTAL(9,L65:L68)</f>
        <v>186.92000000000002</v>
      </c>
      <c r="M69" s="80">
        <f>SUBTOTAL(9,M65:M68)</f>
        <v>332.78000000000003</v>
      </c>
      <c r="N69" s="22">
        <f>IF(J69=0,0,+M69/J69)</f>
        <v>0.64033096016932844</v>
      </c>
      <c r="O69" s="23"/>
      <c r="P69" s="80">
        <f>SUBTOTAL(9,P65:P68)</f>
        <v>519.70000000000005</v>
      </c>
      <c r="Q69" s="80">
        <f>SUBTOTAL(9,Q65:Q68)</f>
        <v>6</v>
      </c>
      <c r="R69" s="80">
        <f>SUBTOTAL(9,R65:R68)</f>
        <v>186.92000000000002</v>
      </c>
      <c r="S69" s="80">
        <f>SUBTOTAL(9,S65:S68)</f>
        <v>332.78000000000003</v>
      </c>
      <c r="T69" s="22">
        <f>IF(S69=0,0,S69/P69)</f>
        <v>0.64033096016932844</v>
      </c>
    </row>
    <row r="70" spans="1:20" x14ac:dyDescent="0.2">
      <c r="A70" s="98" t="s">
        <v>86</v>
      </c>
      <c r="B70" s="100" t="str">
        <f>B69</f>
        <v>||"Filter","SOP30200","SOPNUMBE","DOCDATE","3/1/2016..3/31/2016|3/1/2017..3/12/2017","CUSTNMBR","CENTRALC0001","Company=","Fabrikam, Inc.","","","","","","","","","","","","","",""</v>
      </c>
      <c r="D70" s="98" t="str">
        <f>D69</f>
        <v>CENTRALC0001</v>
      </c>
      <c r="E70" s="55"/>
      <c r="I70" s="11"/>
      <c r="J70" s="50"/>
      <c r="K70" s="54"/>
      <c r="L70" s="54"/>
      <c r="M70" s="54"/>
      <c r="N70" s="12"/>
      <c r="O70" s="11"/>
      <c r="P70" s="75"/>
      <c r="Q70" s="76"/>
      <c r="R70" s="76"/>
      <c r="S70" s="76"/>
      <c r="T70" s="40"/>
    </row>
    <row r="71" spans="1:20" ht="15.75" thickBot="1" x14ac:dyDescent="0.3">
      <c r="A71" s="98" t="s">
        <v>86</v>
      </c>
      <c r="B71" s="100" t="str">
        <f>"||""Filter"",""SOP30200"",""SOPNUMBE"",""DOCDATE"",""3/1/2016..3/31/2016|3/1/2017..3/12/2017"",""CUSTNMBR"",""HOLLINGC0001"",""Company="",""Fabrikam, Inc."","""","""","""","""","""","""","""","""","""","""","""","""","""","""""</f>
        <v>||"Filter","SOP30200","SOPNUMBE","DOCDATE","3/1/2016..3/31/2016|3/1/2017..3/12/2017","CUSTNMBR","HOLLINGC0001","Company=","Fabrikam, Inc.","","","","","","","","","","","","","",""</v>
      </c>
      <c r="D71" s="98" t="str">
        <f>F71</f>
        <v>HOLLINGC0001</v>
      </c>
      <c r="E71" s="55"/>
      <c r="F71" s="77" t="str">
        <f>"HOLLINGC0001"</f>
        <v>HOLLINGC0001</v>
      </c>
      <c r="G71" s="19"/>
      <c r="H71" s="27" t="str">
        <f>"Holling Communications Inc."</f>
        <v>Holling Communications Inc.</v>
      </c>
      <c r="I71" s="30"/>
      <c r="J71" s="8"/>
      <c r="K71" s="8"/>
      <c r="L71" s="8"/>
      <c r="M71" s="8"/>
      <c r="N71" s="9"/>
      <c r="O71" s="30"/>
      <c r="P71" s="46"/>
      <c r="Q71" s="45"/>
      <c r="R71" s="47"/>
      <c r="S71" s="45"/>
      <c r="T71" s="9"/>
    </row>
    <row r="72" spans="1:20" hidden="1" outlineLevel="1" x14ac:dyDescent="0.2">
      <c r="A72" s="98" t="s">
        <v>119</v>
      </c>
      <c r="B72" s="100" t="str">
        <f>B71</f>
        <v>||"Filter","SOP30200","SOPNUMBE","DOCDATE","3/1/2016..3/31/2016|3/1/2017..3/12/2017","CUSTNMBR","HOLLINGC0001","Company=","Fabrikam, Inc.","","","","","","","","","","","","","",""</v>
      </c>
      <c r="D72" s="98" t="str">
        <f>D71</f>
        <v>HOLLINGC0001</v>
      </c>
      <c r="E72" s="55"/>
      <c r="F72" s="78"/>
      <c r="G72" s="56"/>
      <c r="H72" s="61"/>
      <c r="I72" s="7"/>
      <c r="J72" s="7"/>
      <c r="K72" s="8"/>
      <c r="L72" s="8"/>
      <c r="M72" s="8"/>
      <c r="N72" s="9"/>
      <c r="O72" s="7"/>
      <c r="P72" s="46"/>
      <c r="Q72" s="45"/>
      <c r="R72" s="47"/>
      <c r="S72" s="45"/>
      <c r="T72" s="9"/>
    </row>
    <row r="73" spans="1:20" hidden="1" outlineLevel="1" x14ac:dyDescent="0.2">
      <c r="A73" s="98" t="s">
        <v>86</v>
      </c>
      <c r="B73" s="100" t="str">
        <f>B72</f>
        <v>||"Filter","SOP30200","SOPNUMBE","DOCDATE","3/1/2016..3/31/2016|3/1/2017..3/12/2017","CUSTNMBR","HOLLINGC0001","Company=","Fabrikam, Inc.","","","","","","","","","","","","","",""</v>
      </c>
      <c r="D73" s="98" t="str">
        <f>D72</f>
        <v>HOLLINGC0001</v>
      </c>
      <c r="E73" s="55"/>
      <c r="F73" s="78"/>
      <c r="G73" s="52" t="str">
        <f>"ACCS-HDS-1EAR"</f>
        <v>ACCS-HDS-1EAR</v>
      </c>
      <c r="H73" s="53" t="str">
        <f>"Headset-Single Ear"</f>
        <v>Headset-Single Ear</v>
      </c>
      <c r="I73" s="57" t="str">
        <f>"||""Filter"",""SOP30200"",""SOPNUMBE"",""DOCDATE"",""3/1/2017..3/31/2017"",""CUSTNMBR"",""HOLLINGC0001"","""","""","""","""","""","""","""","""","""","""","""","""","""","""","""","""""</f>
        <v>||"Filter","SOP30200","SOPNUMBE","DOCDATE","3/1/2017..3/31/2017","CUSTNMBR","HOLLINGC0001","","","","","","","","","","","","","","","",""</v>
      </c>
      <c r="J73" s="49">
        <v>2078.6999999999998</v>
      </c>
      <c r="K73" s="51">
        <v>26</v>
      </c>
      <c r="L73" s="51">
        <v>836.16</v>
      </c>
      <c r="M73" s="51">
        <f>+J73-L73</f>
        <v>1242.54</v>
      </c>
      <c r="N73" s="58">
        <f>IF($M73=0,0,$M73/$J73)</f>
        <v>0.59774859287054416</v>
      </c>
      <c r="O73" s="57" t="str">
        <f>"||""Filter"",""SOP30200"",""SOPNUMBE"",""DOCDATE"",""3/1/2016..3/31/2016"",""CUSTNMBR"",""HOLLINGC0001"","""","""","""","""","""","""","""","""","""","""","""","""","""","""","""","""""</f>
        <v>||"Filter","SOP30200","SOPNUMBE","DOCDATE","3/1/2016..3/31/2016","CUSTNMBR","HOLLINGC0001","","","","","","","","","","","","","","","",""</v>
      </c>
      <c r="P73" s="73">
        <v>2078.6999999999998</v>
      </c>
      <c r="Q73" s="74">
        <v>26</v>
      </c>
      <c r="R73" s="74">
        <v>1003.34</v>
      </c>
      <c r="S73" s="74">
        <f>+P73-R73</f>
        <v>1075.3599999999997</v>
      </c>
      <c r="T73" s="69">
        <f>IF($M73=0,0,$M73/$J73)</f>
        <v>0.59774859287054416</v>
      </c>
    </row>
    <row r="74" spans="1:20" hidden="1" outlineLevel="1" x14ac:dyDescent="0.2">
      <c r="A74" s="98" t="s">
        <v>86</v>
      </c>
      <c r="B74" s="100" t="str">
        <f>B73</f>
        <v>||"Filter","SOP30200","SOPNUMBE","DOCDATE","3/1/2016..3/31/2016|3/1/2017..3/12/2017","CUSTNMBR","HOLLINGC0001","Company=","Fabrikam, Inc.","","","","","","","","","","","","","",""</v>
      </c>
      <c r="D74" s="98" t="str">
        <f>D73</f>
        <v>HOLLINGC0001</v>
      </c>
      <c r="E74" s="55"/>
      <c r="F74" s="78"/>
      <c r="G74" s="52" t="str">
        <f>"ANSW-PAN-1450"</f>
        <v>ANSW-PAN-1450</v>
      </c>
      <c r="H74" s="53" t="str">
        <f>"Panache KX-T1450 answer"</f>
        <v>Panache KX-T1450 answer</v>
      </c>
      <c r="I74" s="57" t="str">
        <f>"||""Filter"",""SOP30200"",""SOPNUMBE"",""DOCDATE"",""3/1/2017..3/31/2017"",""CUSTNMBR"",""HOLLINGC0001"","""","""","""","""","""","""","""","""","""","""","""","""","""","""","""","""""</f>
        <v>||"Filter","SOP30200","SOPNUMBE","DOCDATE","3/1/2017..3/31/2017","CUSTNMBR","HOLLINGC0001","","","","","","","","","","","","","","","",""</v>
      </c>
      <c r="J74" s="49">
        <v>219.9</v>
      </c>
      <c r="K74" s="51">
        <v>2</v>
      </c>
      <c r="L74" s="51">
        <v>100.5</v>
      </c>
      <c r="M74" s="51">
        <f>+J74-L74</f>
        <v>119.4</v>
      </c>
      <c r="N74" s="58">
        <f>IF($M74=0,0,$M74/$J74)</f>
        <v>0.5429740791268759</v>
      </c>
      <c r="O74" s="57" t="str">
        <f>"||""Filter"",""SOP30200"",""SOPNUMBE"",""DOCDATE"",""3/1/2016..3/31/2016"",""CUSTNMBR"",""HOLLINGC0001"","""","""","""","""","""","""","""","""","""","""","""","""","""","""","""","""""</f>
        <v>||"Filter","SOP30200","SOPNUMBE","DOCDATE","3/1/2016..3/31/2016","CUSTNMBR","HOLLINGC0001","","","","","","","","","","","","","","","",""</v>
      </c>
      <c r="P74" s="73">
        <v>219.9</v>
      </c>
      <c r="Q74" s="74">
        <v>2</v>
      </c>
      <c r="R74" s="74">
        <v>100.5</v>
      </c>
      <c r="S74" s="74">
        <f>+P74-R74</f>
        <v>119.4</v>
      </c>
      <c r="T74" s="69">
        <f>IF($M74=0,0,$M74/$J74)</f>
        <v>0.5429740791268759</v>
      </c>
    </row>
    <row r="75" spans="1:20" hidden="1" outlineLevel="1" x14ac:dyDescent="0.2">
      <c r="A75" s="98" t="s">
        <v>86</v>
      </c>
      <c r="B75" s="100" t="str">
        <f>B73</f>
        <v>||"Filter","SOP30200","SOPNUMBE","DOCDATE","3/1/2016..3/31/2016|3/1/2017..3/12/2017","CUSTNMBR","HOLLINGC0001","Company=","Fabrikam, Inc.","","","","","","","","","","","","","",""</v>
      </c>
      <c r="D75" s="98" t="str">
        <f>D73</f>
        <v>HOLLINGC0001</v>
      </c>
      <c r="E75" s="55"/>
      <c r="F75" s="79"/>
      <c r="G75" s="52"/>
      <c r="H75" s="53"/>
      <c r="I75" s="57"/>
      <c r="J75" s="49"/>
      <c r="K75" s="51"/>
      <c r="L75" s="51"/>
      <c r="M75" s="51"/>
      <c r="N75" s="58"/>
      <c r="O75" s="57"/>
      <c r="P75" s="73"/>
      <c r="Q75" s="74"/>
      <c r="R75" s="74"/>
      <c r="S75" s="74"/>
      <c r="T75" s="69"/>
    </row>
    <row r="76" spans="1:20" ht="13.5" hidden="1" outlineLevel="1" thickBot="1" x14ac:dyDescent="0.25">
      <c r="A76" s="98" t="s">
        <v>86</v>
      </c>
      <c r="B76" s="100" t="str">
        <f>B75</f>
        <v>||"Filter","SOP30200","SOPNUMBE","DOCDATE","3/1/2016..3/31/2016|3/1/2017..3/12/2017","CUSTNMBR","HOLLINGC0001","Company=","Fabrikam, Inc.","","","","","","","","","","","","","",""</v>
      </c>
      <c r="D76" s="98" t="str">
        <f>D75</f>
        <v>HOLLINGC0001</v>
      </c>
      <c r="E76" s="55"/>
      <c r="F76" s="79"/>
      <c r="I76" s="11"/>
      <c r="J76" s="50"/>
      <c r="K76" s="54"/>
      <c r="L76" s="54"/>
      <c r="M76" s="54"/>
      <c r="N76" s="12"/>
      <c r="O76" s="13"/>
      <c r="P76" s="75"/>
      <c r="Q76" s="76"/>
      <c r="R76" s="76"/>
      <c r="S76" s="76"/>
      <c r="T76" s="40"/>
    </row>
    <row r="77" spans="1:20" ht="13.5" collapsed="1" thickBot="1" x14ac:dyDescent="0.25">
      <c r="A77" s="98" t="s">
        <v>86</v>
      </c>
      <c r="B77" s="100" t="str">
        <f>B76</f>
        <v>||"Filter","SOP30200","SOPNUMBE","DOCDATE","3/1/2016..3/31/2016|3/1/2017..3/12/2017","CUSTNMBR","HOLLINGC0001","Company=","Fabrikam, Inc.","","","","","","","","","","","","","",""</v>
      </c>
      <c r="D77" s="98" t="str">
        <f>D76</f>
        <v>HOLLINGC0001</v>
      </c>
      <c r="E77" s="55"/>
      <c r="H77" s="17" t="str">
        <f>"Total "&amp;D77&amp;":"</f>
        <v>Total HOLLINGC0001:</v>
      </c>
      <c r="I77" s="21"/>
      <c r="J77" s="80">
        <f>SUBTOTAL(9,J73:J76)</f>
        <v>2298.6</v>
      </c>
      <c r="K77" s="80">
        <f>SUBTOTAL(9,K73:K76)</f>
        <v>28</v>
      </c>
      <c r="L77" s="80">
        <f>SUBTOTAL(9,L73:L76)</f>
        <v>936.66</v>
      </c>
      <c r="M77" s="80">
        <f>SUBTOTAL(9,M73:M76)</f>
        <v>1361.94</v>
      </c>
      <c r="N77" s="22">
        <f>IF(J77=0,0,+M77/J77)</f>
        <v>0.59250848342469331</v>
      </c>
      <c r="O77" s="23"/>
      <c r="P77" s="80">
        <f>SUBTOTAL(9,P73:P76)</f>
        <v>2298.6</v>
      </c>
      <c r="Q77" s="80">
        <f>SUBTOTAL(9,Q73:Q76)</f>
        <v>28</v>
      </c>
      <c r="R77" s="80">
        <f>SUBTOTAL(9,R73:R76)</f>
        <v>1103.8400000000001</v>
      </c>
      <c r="S77" s="80">
        <f>SUBTOTAL(9,S73:S76)</f>
        <v>1194.7599999999998</v>
      </c>
      <c r="T77" s="22">
        <f>IF(S77=0,0,S77/P77)</f>
        <v>0.51977725572087352</v>
      </c>
    </row>
    <row r="78" spans="1:20" x14ac:dyDescent="0.2">
      <c r="A78" s="98" t="s">
        <v>86</v>
      </c>
      <c r="B78" s="100" t="str">
        <f>B77</f>
        <v>||"Filter","SOP30200","SOPNUMBE","DOCDATE","3/1/2016..3/31/2016|3/1/2017..3/12/2017","CUSTNMBR","HOLLINGC0001","Company=","Fabrikam, Inc.","","","","","","","","","","","","","",""</v>
      </c>
      <c r="D78" s="98" t="str">
        <f>D77</f>
        <v>HOLLINGC0001</v>
      </c>
      <c r="E78" s="55"/>
      <c r="I78" s="11"/>
      <c r="J78" s="50"/>
      <c r="K78" s="54"/>
      <c r="L78" s="54"/>
      <c r="M78" s="54"/>
      <c r="N78" s="12"/>
      <c r="O78" s="11"/>
      <c r="P78" s="75"/>
      <c r="Q78" s="76"/>
      <c r="R78" s="76"/>
      <c r="S78" s="76"/>
      <c r="T78" s="40"/>
    </row>
    <row r="79" spans="1:20" ht="15.75" thickBot="1" x14ac:dyDescent="0.3">
      <c r="A79" s="98" t="s">
        <v>86</v>
      </c>
      <c r="B79" s="100" t="str">
        <f>"||""Filter"",""SOP30200"",""SOPNUMBE"",""DOCDATE"",""3/1/2016..3/31/2016|3/1/2017..3/12/2017"",""CUSTNMBR"",""LAWRENCE0001"",""Company="",""Fabrikam, Inc."","""","""","""","""","""","""","""","""","""","""","""","""","""","""""</f>
        <v>||"Filter","SOP30200","SOPNUMBE","DOCDATE","3/1/2016..3/31/2016|3/1/2017..3/12/2017","CUSTNMBR","LAWRENCE0001","Company=","Fabrikam, Inc.","","","","","","","","","","","","","",""</v>
      </c>
      <c r="D79" s="98" t="str">
        <f>F79</f>
        <v>LAWRENCE0001</v>
      </c>
      <c r="E79" s="55"/>
      <c r="F79" s="77" t="str">
        <f>"LAWRENCE0001"</f>
        <v>LAWRENCE0001</v>
      </c>
      <c r="G79" s="19"/>
      <c r="H79" s="27" t="str">
        <f>"Lawrence Telemarketing"</f>
        <v>Lawrence Telemarketing</v>
      </c>
      <c r="I79" s="30"/>
      <c r="J79" s="8"/>
      <c r="K79" s="8"/>
      <c r="L79" s="8"/>
      <c r="M79" s="8"/>
      <c r="N79" s="9"/>
      <c r="O79" s="30"/>
      <c r="P79" s="46"/>
      <c r="Q79" s="45"/>
      <c r="R79" s="47"/>
      <c r="S79" s="45"/>
      <c r="T79" s="9"/>
    </row>
    <row r="80" spans="1:20" hidden="1" outlineLevel="1" x14ac:dyDescent="0.2">
      <c r="A80" s="98" t="s">
        <v>119</v>
      </c>
      <c r="B80" s="100" t="str">
        <f>B79</f>
        <v>||"Filter","SOP30200","SOPNUMBE","DOCDATE","3/1/2016..3/31/2016|3/1/2017..3/12/2017","CUSTNMBR","LAWRENCE0001","Company=","Fabrikam, Inc.","","","","","","","","","","","","","",""</v>
      </c>
      <c r="D80" s="98" t="str">
        <f>D79</f>
        <v>LAWRENCE0001</v>
      </c>
      <c r="E80" s="55"/>
      <c r="F80" s="78"/>
      <c r="G80" s="56"/>
      <c r="H80" s="61"/>
      <c r="I80" s="7"/>
      <c r="J80" s="7"/>
      <c r="K80" s="8"/>
      <c r="L80" s="8"/>
      <c r="M80" s="8"/>
      <c r="N80" s="9"/>
      <c r="O80" s="7"/>
      <c r="P80" s="46"/>
      <c r="Q80" s="45"/>
      <c r="R80" s="47"/>
      <c r="S80" s="45"/>
      <c r="T80" s="9"/>
    </row>
    <row r="81" spans="1:20" hidden="1" outlineLevel="1" x14ac:dyDescent="0.2">
      <c r="A81" s="98" t="s">
        <v>86</v>
      </c>
      <c r="B81" s="100" t="str">
        <f>B80</f>
        <v>||"Filter","SOP30200","SOPNUMBE","DOCDATE","3/1/2016..3/31/2016|3/1/2017..3/12/2017","CUSTNMBR","LAWRENCE0001","Company=","Fabrikam, Inc.","","","","","","","","","","","","","",""</v>
      </c>
      <c r="D81" s="98" t="str">
        <f>D80</f>
        <v>LAWRENCE0001</v>
      </c>
      <c r="E81" s="55"/>
      <c r="F81" s="78"/>
      <c r="G81" s="52" t="str">
        <f>"FAXX-CAN-9800"</f>
        <v>FAXX-CAN-9800</v>
      </c>
      <c r="H81" s="53" t="str">
        <f>"Cantata FaxPhone 9800"</f>
        <v>Cantata FaxPhone 9800</v>
      </c>
      <c r="I81" s="57" t="str">
        <f>"||""Filter"",""SOP30200"",""SOPNUMBE"",""DOCDATE"",""3/1/2017..3/31/2017"",""CUSTNMBR"",""LAWRENCE0001"","""","""","""","""","""","""","""","""","""","""","""","""","""","""","""","""""</f>
        <v>||"Filter","SOP30200","SOPNUMBE","DOCDATE","3/1/2017..3/31/2017","CUSTNMBR","LAWRENCE0001","","","","","","","","","","","","","","","",""</v>
      </c>
      <c r="J81" s="49">
        <v>9599.7999999999993</v>
      </c>
      <c r="K81" s="51">
        <v>4</v>
      </c>
      <c r="L81" s="51">
        <v>4788</v>
      </c>
      <c r="M81" s="51">
        <f>+J81-L81</f>
        <v>4811.7999999999993</v>
      </c>
      <c r="N81" s="58">
        <f>IF($M81=0,0,$M81/$J81)</f>
        <v>0.50123960915852406</v>
      </c>
      <c r="O81" s="57" t="str">
        <f>"||""Filter"",""SOP30200"",""SOPNUMBE"",""DOCDATE"",""3/1/2016..3/31/2016"",""CUSTNMBR"",""LAWRENCE0001"","""","""","""","""","""","""","""","""","""","""","""","""","""","""","""","""""</f>
        <v>||"Filter","SOP30200","SOPNUMBE","DOCDATE","3/1/2016..3/31/2016","CUSTNMBR","LAWRENCE0001","","","","","","","","","","","","","","","",""</v>
      </c>
      <c r="P81" s="73">
        <v>9599.7999999999993</v>
      </c>
      <c r="Q81" s="74">
        <v>4</v>
      </c>
      <c r="R81" s="74">
        <v>4788</v>
      </c>
      <c r="S81" s="74">
        <f>+P81-R81</f>
        <v>4811.7999999999993</v>
      </c>
      <c r="T81" s="69">
        <f>IF($M81=0,0,$M81/$J81)</f>
        <v>0.50123960915852406</v>
      </c>
    </row>
    <row r="82" spans="1:20" hidden="1" outlineLevel="1" x14ac:dyDescent="0.2">
      <c r="A82" s="98" t="s">
        <v>86</v>
      </c>
      <c r="B82" s="100" t="str">
        <f>B81</f>
        <v>||"Filter","SOP30200","SOPNUMBE","DOCDATE","3/1/2016..3/31/2016|3/1/2017..3/12/2017","CUSTNMBR","LAWRENCE0001","Company=","Fabrikam, Inc.","","","","","","","","","","","","","",""</v>
      </c>
      <c r="D82" s="98" t="str">
        <f>D81</f>
        <v>LAWRENCE0001</v>
      </c>
      <c r="E82" s="55"/>
      <c r="F82" s="78"/>
      <c r="G82" s="52" t="str">
        <f>"HDWR-CAB-0001"</f>
        <v>HDWR-CAB-0001</v>
      </c>
      <c r="H82" s="53" t="str">
        <f>"Central Cabinet"</f>
        <v>Central Cabinet</v>
      </c>
      <c r="I82" s="57" t="str">
        <f>"||""Filter"",""SOP30200"",""SOPNUMBE"",""DOCDATE"",""3/1/2017..3/31/2017"",""CUSTNMBR"",""LAWRENCE0001"","""","""","""","""","""","""","""","""","""","""","""","""","""","""","""","""""</f>
        <v>||"Filter","SOP30200","SOPNUMBE","DOCDATE","3/1/2017..3/31/2017","CUSTNMBR","LAWRENCE0001","","","","","","","","","","","","","","","",""</v>
      </c>
      <c r="J82" s="49">
        <v>0</v>
      </c>
      <c r="K82" s="51">
        <v>0</v>
      </c>
      <c r="L82" s="51">
        <v>0</v>
      </c>
      <c r="M82" s="51">
        <f>+J82-L82</f>
        <v>0</v>
      </c>
      <c r="N82" s="58">
        <f>IF($M82=0,0,$M82/$J82)</f>
        <v>0</v>
      </c>
      <c r="O82" s="57" t="str">
        <f>"||""Filter"",""SOP30200"",""SOPNUMBE"",""DOCDATE"",""3/1/2016..3/31/2016"",""CUSTNMBR"",""LAWRENCE0001"","""","""","""","""","""","""","""","""","""","""","""","""","""","""","""","""""</f>
        <v>||"Filter","SOP30200","SOPNUMBE","DOCDATE","3/1/2016..3/31/2016","CUSTNMBR","LAWRENCE0001","","","","","","","","","","","","","","","",""</v>
      </c>
      <c r="P82" s="73">
        <v>110799.6</v>
      </c>
      <c r="Q82" s="74">
        <v>8</v>
      </c>
      <c r="R82" s="74">
        <v>55298.45</v>
      </c>
      <c r="S82" s="74">
        <f>+P82-R82</f>
        <v>55501.150000000009</v>
      </c>
      <c r="T82" s="69">
        <f>IF($M82=0,0,$M82/$J82)</f>
        <v>0</v>
      </c>
    </row>
    <row r="83" spans="1:20" hidden="1" outlineLevel="1" x14ac:dyDescent="0.2">
      <c r="A83" s="98" t="s">
        <v>86</v>
      </c>
      <c r="B83" s="100" t="str">
        <f>B82</f>
        <v>||"Filter","SOP30200","SOPNUMBE","DOCDATE","3/1/2016..3/31/2016|3/1/2017..3/12/2017","CUSTNMBR","LAWRENCE0001","Company=","Fabrikam, Inc.","","","","","","","","","","","","","",""</v>
      </c>
      <c r="D83" s="98" t="str">
        <f>D82</f>
        <v>LAWRENCE0001</v>
      </c>
      <c r="E83" s="55"/>
      <c r="F83" s="78"/>
      <c r="G83" s="52" t="str">
        <f>"PHON-ATT-53BK"</f>
        <v>PHON-ATT-53BK</v>
      </c>
      <c r="H83" s="53" t="str">
        <f>"Cordless-Attractive 5352-Black"</f>
        <v>Cordless-Attractive 5352-Black</v>
      </c>
      <c r="I83" s="57" t="str">
        <f>"||""Filter"",""SOP30200"",""SOPNUMBE"",""DOCDATE"",""3/1/2017..3/31/2017"",""CUSTNMBR"",""LAWRENCE0001"","""","""","""","""","""","""","""","""","""","""","""","""","""","""","""","""""</f>
        <v>||"Filter","SOP30200","SOPNUMBE","DOCDATE","3/1/2017..3/31/2017","CUSTNMBR","LAWRENCE0001","","","","","","","","","","","","","","","",""</v>
      </c>
      <c r="J83" s="49">
        <v>1139.7</v>
      </c>
      <c r="K83" s="51">
        <v>6</v>
      </c>
      <c r="L83" s="51">
        <v>541.5</v>
      </c>
      <c r="M83" s="51">
        <f>+J83-L83</f>
        <v>598.20000000000005</v>
      </c>
      <c r="N83" s="58">
        <f>IF($M83=0,0,$M83/$J83)</f>
        <v>0.52487496709660442</v>
      </c>
      <c r="O83" s="57" t="str">
        <f>"||""Filter"",""SOP30200"",""SOPNUMBE"",""DOCDATE"",""3/1/2016..3/31/2016"",""CUSTNMBR"",""LAWRENCE0001"","""","""","""","""","""","""","""","""","""","""","""","""","""","""","""","""""</f>
        <v>||"Filter","SOP30200","SOPNUMBE","DOCDATE","3/1/2016..3/31/2016","CUSTNMBR","LAWRENCE0001","","","","","","","","","","","","","","","",""</v>
      </c>
      <c r="P83" s="73">
        <v>1139.7</v>
      </c>
      <c r="Q83" s="74">
        <v>6</v>
      </c>
      <c r="R83" s="74">
        <v>545.52</v>
      </c>
      <c r="S83" s="74">
        <f>+P83-R83</f>
        <v>594.18000000000006</v>
      </c>
      <c r="T83" s="69">
        <f>IF($M83=0,0,$M83/$J83)</f>
        <v>0.52487496709660442</v>
      </c>
    </row>
    <row r="84" spans="1:20" hidden="1" outlineLevel="1" x14ac:dyDescent="0.2">
      <c r="A84" s="98" t="s">
        <v>86</v>
      </c>
      <c r="B84" s="100" t="str">
        <f>B81</f>
        <v>||"Filter","SOP30200","SOPNUMBE","DOCDATE","3/1/2016..3/31/2016|3/1/2017..3/12/2017","CUSTNMBR","LAWRENCE0001","Company=","Fabrikam, Inc.","","","","","","","","","","","","","",""</v>
      </c>
      <c r="D84" s="98" t="str">
        <f>D81</f>
        <v>LAWRENCE0001</v>
      </c>
      <c r="E84" s="55"/>
      <c r="F84" s="79"/>
      <c r="G84" s="52"/>
      <c r="H84" s="53"/>
      <c r="I84" s="57"/>
      <c r="J84" s="49"/>
      <c r="K84" s="51"/>
      <c r="L84" s="51"/>
      <c r="M84" s="51"/>
      <c r="N84" s="58"/>
      <c r="O84" s="57"/>
      <c r="P84" s="73"/>
      <c r="Q84" s="74"/>
      <c r="R84" s="74"/>
      <c r="S84" s="74"/>
      <c r="T84" s="69"/>
    </row>
    <row r="85" spans="1:20" ht="13.5" hidden="1" outlineLevel="1" thickBot="1" x14ac:dyDescent="0.25">
      <c r="A85" s="98" t="s">
        <v>86</v>
      </c>
      <c r="B85" s="100" t="str">
        <f>B84</f>
        <v>||"Filter","SOP30200","SOPNUMBE","DOCDATE","3/1/2016..3/31/2016|3/1/2017..3/12/2017","CUSTNMBR","LAWRENCE0001","Company=","Fabrikam, Inc.","","","","","","","","","","","","","",""</v>
      </c>
      <c r="D85" s="98" t="str">
        <f>D84</f>
        <v>LAWRENCE0001</v>
      </c>
      <c r="E85" s="55"/>
      <c r="F85" s="79"/>
      <c r="I85" s="11"/>
      <c r="J85" s="50"/>
      <c r="K85" s="54"/>
      <c r="L85" s="54"/>
      <c r="M85" s="54"/>
      <c r="N85" s="12"/>
      <c r="O85" s="13"/>
      <c r="P85" s="75"/>
      <c r="Q85" s="76"/>
      <c r="R85" s="76"/>
      <c r="S85" s="76"/>
      <c r="T85" s="40"/>
    </row>
    <row r="86" spans="1:20" ht="13.5" collapsed="1" thickBot="1" x14ac:dyDescent="0.25">
      <c r="A86" s="98" t="s">
        <v>86</v>
      </c>
      <c r="B86" s="100" t="str">
        <f>B85</f>
        <v>||"Filter","SOP30200","SOPNUMBE","DOCDATE","3/1/2016..3/31/2016|3/1/2017..3/12/2017","CUSTNMBR","LAWRENCE0001","Company=","Fabrikam, Inc.","","","","","","","","","","","","","",""</v>
      </c>
      <c r="D86" s="98" t="str">
        <f>D85</f>
        <v>LAWRENCE0001</v>
      </c>
      <c r="E86" s="55"/>
      <c r="H86" s="17" t="str">
        <f>"Total "&amp;D86&amp;":"</f>
        <v>Total LAWRENCE0001:</v>
      </c>
      <c r="I86" s="21"/>
      <c r="J86" s="80">
        <f>SUBTOTAL(9,J81:J85)</f>
        <v>10739.5</v>
      </c>
      <c r="K86" s="80">
        <f>SUBTOTAL(9,K81:K85)</f>
        <v>10</v>
      </c>
      <c r="L86" s="80">
        <f>SUBTOTAL(9,L81:L85)</f>
        <v>5329.5</v>
      </c>
      <c r="M86" s="80">
        <f>SUBTOTAL(9,M81:M85)</f>
        <v>5409.9999999999991</v>
      </c>
      <c r="N86" s="22">
        <f>IF(J86=0,0,+M86/J86)</f>
        <v>0.50374784673401918</v>
      </c>
      <c r="O86" s="23"/>
      <c r="P86" s="80">
        <f>SUBTOTAL(9,P81:P85)</f>
        <v>121539.1</v>
      </c>
      <c r="Q86" s="80">
        <f>SUBTOTAL(9,Q81:Q85)</f>
        <v>18</v>
      </c>
      <c r="R86" s="80">
        <f>SUBTOTAL(9,R81:R85)</f>
        <v>60631.969999999994</v>
      </c>
      <c r="S86" s="80">
        <f>SUBTOTAL(9,S81:S85)</f>
        <v>60907.130000000012</v>
      </c>
      <c r="T86" s="22">
        <f>IF(S86=0,0,S86/P86)</f>
        <v>0.5011319813952877</v>
      </c>
    </row>
    <row r="87" spans="1:20" x14ac:dyDescent="0.2">
      <c r="A87" s="98" t="s">
        <v>86</v>
      </c>
      <c r="B87" s="100" t="str">
        <f>B86</f>
        <v>||"Filter","SOP30200","SOPNUMBE","DOCDATE","3/1/2016..3/31/2016|3/1/2017..3/12/2017","CUSTNMBR","LAWRENCE0001","Company=","Fabrikam, Inc.","","","","","","","","","","","","","",""</v>
      </c>
      <c r="D87" s="98" t="str">
        <f>D86</f>
        <v>LAWRENCE0001</v>
      </c>
      <c r="E87" s="55"/>
      <c r="I87" s="11"/>
      <c r="J87" s="50"/>
      <c r="K87" s="54"/>
      <c r="L87" s="54"/>
      <c r="M87" s="54"/>
      <c r="N87" s="12"/>
      <c r="O87" s="11"/>
      <c r="P87" s="75"/>
      <c r="Q87" s="76"/>
      <c r="R87" s="76"/>
      <c r="S87" s="76"/>
      <c r="T87" s="40"/>
    </row>
    <row r="88" spans="1:20" ht="15.75" thickBot="1" x14ac:dyDescent="0.3">
      <c r="A88" s="98" t="s">
        <v>86</v>
      </c>
      <c r="B88" s="100" t="str">
        <f>"||""Filter"",""SOP30200"",""SOPNUMBE"",""DOCDATE"",""3/1/2016..3/31/2016|3/1/2017..3/12/2017"",""CUSTNMBR"",""MAGNIFIC0001"",""Company="",""Fabrikam, Inc."","""","""","""","""","""","""","""","""","""","""","""","""","""","""""</f>
        <v>||"Filter","SOP30200","SOPNUMBE","DOCDATE","3/1/2016..3/31/2016|3/1/2017..3/12/2017","CUSTNMBR","MAGNIFIC0001","Company=","Fabrikam, Inc.","","","","","","","","","","","","","",""</v>
      </c>
      <c r="D88" s="98" t="str">
        <f>F88</f>
        <v>MAGNIFIC0001</v>
      </c>
      <c r="E88" s="55"/>
      <c r="F88" s="77" t="str">
        <f>"MAGNIFIC0001"</f>
        <v>MAGNIFIC0001</v>
      </c>
      <c r="G88" s="19"/>
      <c r="H88" s="27" t="str">
        <f>"Magnificent Office Images"</f>
        <v>Magnificent Office Images</v>
      </c>
      <c r="I88" s="30"/>
      <c r="J88" s="8"/>
      <c r="K88" s="8"/>
      <c r="L88" s="8"/>
      <c r="M88" s="8"/>
      <c r="N88" s="9"/>
      <c r="O88" s="30"/>
      <c r="P88" s="46"/>
      <c r="Q88" s="45"/>
      <c r="R88" s="47"/>
      <c r="S88" s="45"/>
      <c r="T88" s="9"/>
    </row>
    <row r="89" spans="1:20" hidden="1" outlineLevel="1" x14ac:dyDescent="0.2">
      <c r="A89" s="98" t="s">
        <v>119</v>
      </c>
      <c r="B89" s="100" t="str">
        <f>B88</f>
        <v>||"Filter","SOP30200","SOPNUMBE","DOCDATE","3/1/2016..3/31/2016|3/1/2017..3/12/2017","CUSTNMBR","MAGNIFIC0001","Company=","Fabrikam, Inc.","","","","","","","","","","","","","",""</v>
      </c>
      <c r="D89" s="98" t="str">
        <f>D88</f>
        <v>MAGNIFIC0001</v>
      </c>
      <c r="E89" s="55"/>
      <c r="F89" s="78"/>
      <c r="G89" s="56"/>
      <c r="H89" s="61"/>
      <c r="I89" s="7"/>
      <c r="J89" s="7"/>
      <c r="K89" s="8"/>
      <c r="L89" s="8"/>
      <c r="M89" s="8"/>
      <c r="N89" s="9"/>
      <c r="O89" s="7"/>
      <c r="P89" s="46"/>
      <c r="Q89" s="45"/>
      <c r="R89" s="47"/>
      <c r="S89" s="45"/>
      <c r="T89" s="9"/>
    </row>
    <row r="90" spans="1:20" hidden="1" outlineLevel="1" x14ac:dyDescent="0.2">
      <c r="A90" s="98" t="s">
        <v>86</v>
      </c>
      <c r="B90" s="100" t="str">
        <f>B89</f>
        <v>||"Filter","SOP30200","SOPNUMBE","DOCDATE","3/1/2016..3/31/2016|3/1/2017..3/12/2017","CUSTNMBR","MAGNIFIC0001","Company=","Fabrikam, Inc.","","","","","","","","","","","","","",""</v>
      </c>
      <c r="D90" s="98" t="str">
        <f>D89</f>
        <v>MAGNIFIC0001</v>
      </c>
      <c r="E90" s="55"/>
      <c r="F90" s="78"/>
      <c r="G90" s="52" t="str">
        <f>"ANSW-PAN-1450"</f>
        <v>ANSW-PAN-1450</v>
      </c>
      <c r="H90" s="53" t="str">
        <f>"Panache KX-T1450 answer"</f>
        <v>Panache KX-T1450 answer</v>
      </c>
      <c r="I90" s="57" t="str">
        <f>"||""Filter"",""SOP30200"",""SOPNUMBE"",""DOCDATE"",""3/1/2017..3/31/2017"",""CUSTNMBR"",""MAGNIFIC0001"","""","""","""","""","""","""","""","""","""","""","""","""","""","""","""","""""</f>
        <v>||"Filter","SOP30200","SOPNUMBE","DOCDATE","3/1/2017..3/31/2017","CUSTNMBR","MAGNIFIC0001","","","","","","","","","","","","","","","",""</v>
      </c>
      <c r="J90" s="49">
        <v>2199</v>
      </c>
      <c r="K90" s="51">
        <v>20</v>
      </c>
      <c r="L90" s="51">
        <v>1005</v>
      </c>
      <c r="M90" s="51">
        <f>+J90-L90</f>
        <v>1194</v>
      </c>
      <c r="N90" s="58">
        <f>IF($M90=0,0,$M90/$J90)</f>
        <v>0.5429740791268759</v>
      </c>
      <c r="O90" s="57" t="str">
        <f>"||""Filter"",""SOP30200"",""SOPNUMBE"",""DOCDATE"",""3/1/2016..3/31/2016"",""CUSTNMBR"",""MAGNIFIC0001"","""","""","""","""","""","""","""","""","""","""","""","""","""","""","""","""""</f>
        <v>||"Filter","SOP30200","SOPNUMBE","DOCDATE","3/1/2016..3/31/2016","CUSTNMBR","MAGNIFIC0001","","","","","","","","","","","","","","","",""</v>
      </c>
      <c r="P90" s="73">
        <v>2199</v>
      </c>
      <c r="Q90" s="74">
        <v>20</v>
      </c>
      <c r="R90" s="74">
        <v>1005</v>
      </c>
      <c r="S90" s="74">
        <f>+P90-R90</f>
        <v>1194</v>
      </c>
      <c r="T90" s="69">
        <f>IF($M90=0,0,$M90/$J90)</f>
        <v>0.5429740791268759</v>
      </c>
    </row>
    <row r="91" spans="1:20" hidden="1" outlineLevel="1" x14ac:dyDescent="0.2">
      <c r="A91" s="98" t="s">
        <v>86</v>
      </c>
      <c r="B91" s="100" t="str">
        <f>B90</f>
        <v>||"Filter","SOP30200","SOPNUMBE","DOCDATE","3/1/2016..3/31/2016|3/1/2017..3/12/2017","CUSTNMBR","MAGNIFIC0001","Company=","Fabrikam, Inc.","","","","","","","","","","","","","",""</v>
      </c>
      <c r="D91" s="98" t="str">
        <f>D90</f>
        <v>MAGNIFIC0001</v>
      </c>
      <c r="E91" s="55"/>
      <c r="F91" s="78"/>
      <c r="G91" s="52" t="str">
        <f>"HDWR-RNG-0001"</f>
        <v>HDWR-RNG-0001</v>
      </c>
      <c r="H91" s="53" t="str">
        <f>"Ring Generator"</f>
        <v>Ring Generator</v>
      </c>
      <c r="I91" s="57" t="str">
        <f>"||""Filter"",""SOP30200"",""SOPNUMBE"",""DOCDATE"",""3/1/2017..3/31/2017"",""CUSTNMBR"",""MAGNIFIC0001"","""","""","""","""","""","""","""","""","""","""","""","""","""","""","""","""""</f>
        <v>||"Filter","SOP30200","SOPNUMBE","DOCDATE","3/1/2017..3/31/2017","CUSTNMBR","MAGNIFIC0001","","","","","","","","","","","","","","","",""</v>
      </c>
      <c r="J91" s="49">
        <v>5359.8</v>
      </c>
      <c r="K91" s="51">
        <v>4</v>
      </c>
      <c r="L91" s="51">
        <v>2676</v>
      </c>
      <c r="M91" s="51">
        <f>+J91-L91</f>
        <v>2683.8</v>
      </c>
      <c r="N91" s="58">
        <f>IF($M91=0,0,$M91/$J91)</f>
        <v>0.50072763909101092</v>
      </c>
      <c r="O91" s="57" t="str">
        <f>"||""Filter"",""SOP30200"",""SOPNUMBE"",""DOCDATE"",""3/1/2016..3/31/2016"",""CUSTNMBR"",""MAGNIFIC0001"","""","""","""","""","""","""","""","""","""","""","""","""","""","""","""","""""</f>
        <v>||"Filter","SOP30200","SOPNUMBE","DOCDATE","3/1/2016..3/31/2016","CUSTNMBR","MAGNIFIC0001","","","","","","","","","","","","","","","",""</v>
      </c>
      <c r="P91" s="73">
        <v>5359.8</v>
      </c>
      <c r="Q91" s="74">
        <v>4</v>
      </c>
      <c r="R91" s="74">
        <v>2734.24</v>
      </c>
      <c r="S91" s="74">
        <f>+P91-R91</f>
        <v>2625.5600000000004</v>
      </c>
      <c r="T91" s="69">
        <f>IF($M91=0,0,$M91/$J91)</f>
        <v>0.50072763909101092</v>
      </c>
    </row>
    <row r="92" spans="1:20" hidden="1" outlineLevel="1" x14ac:dyDescent="0.2">
      <c r="A92" s="98" t="s">
        <v>86</v>
      </c>
      <c r="B92" s="100" t="str">
        <f>B90</f>
        <v>||"Filter","SOP30200","SOPNUMBE","DOCDATE","3/1/2016..3/31/2016|3/1/2017..3/12/2017","CUSTNMBR","MAGNIFIC0001","Company=","Fabrikam, Inc.","","","","","","","","","","","","","",""</v>
      </c>
      <c r="D92" s="98" t="str">
        <f>D90</f>
        <v>MAGNIFIC0001</v>
      </c>
      <c r="E92" s="55"/>
      <c r="F92" s="79"/>
      <c r="G92" s="52"/>
      <c r="H92" s="53"/>
      <c r="I92" s="57"/>
      <c r="J92" s="49"/>
      <c r="K92" s="51"/>
      <c r="L92" s="51"/>
      <c r="M92" s="51"/>
      <c r="N92" s="58"/>
      <c r="O92" s="57"/>
      <c r="P92" s="73"/>
      <c r="Q92" s="74"/>
      <c r="R92" s="74"/>
      <c r="S92" s="74"/>
      <c r="T92" s="69"/>
    </row>
    <row r="93" spans="1:20" ht="13.5" hidden="1" outlineLevel="1" thickBot="1" x14ac:dyDescent="0.25">
      <c r="A93" s="98" t="s">
        <v>86</v>
      </c>
      <c r="B93" s="100" t="str">
        <f>B92</f>
        <v>||"Filter","SOP30200","SOPNUMBE","DOCDATE","3/1/2016..3/31/2016|3/1/2017..3/12/2017","CUSTNMBR","MAGNIFIC0001","Company=","Fabrikam, Inc.","","","","","","","","","","","","","",""</v>
      </c>
      <c r="D93" s="98" t="str">
        <f>D92</f>
        <v>MAGNIFIC0001</v>
      </c>
      <c r="E93" s="55"/>
      <c r="F93" s="79"/>
      <c r="I93" s="11"/>
      <c r="J93" s="50"/>
      <c r="K93" s="54"/>
      <c r="L93" s="54"/>
      <c r="M93" s="54"/>
      <c r="N93" s="12"/>
      <c r="O93" s="13"/>
      <c r="P93" s="75"/>
      <c r="Q93" s="76"/>
      <c r="R93" s="76"/>
      <c r="S93" s="76"/>
      <c r="T93" s="40"/>
    </row>
    <row r="94" spans="1:20" ht="13.5" collapsed="1" thickBot="1" x14ac:dyDescent="0.25">
      <c r="A94" s="98" t="s">
        <v>86</v>
      </c>
      <c r="B94" s="100" t="str">
        <f>B93</f>
        <v>||"Filter","SOP30200","SOPNUMBE","DOCDATE","3/1/2016..3/31/2016|3/1/2017..3/12/2017","CUSTNMBR","MAGNIFIC0001","Company=","Fabrikam, Inc.","","","","","","","","","","","","","",""</v>
      </c>
      <c r="D94" s="98" t="str">
        <f>D93</f>
        <v>MAGNIFIC0001</v>
      </c>
      <c r="E94" s="55"/>
      <c r="H94" s="17" t="str">
        <f>"Total "&amp;D94&amp;":"</f>
        <v>Total MAGNIFIC0001:</v>
      </c>
      <c r="I94" s="21"/>
      <c r="J94" s="80">
        <f>SUBTOTAL(9,J90:J93)</f>
        <v>7558.8</v>
      </c>
      <c r="K94" s="80">
        <f>SUBTOTAL(9,K90:K93)</f>
        <v>24</v>
      </c>
      <c r="L94" s="80">
        <f>SUBTOTAL(9,L90:L93)</f>
        <v>3681</v>
      </c>
      <c r="M94" s="80">
        <f>SUBTOTAL(9,M90:M93)</f>
        <v>3877.8</v>
      </c>
      <c r="N94" s="22">
        <f>IF(J94=0,0,+M94/J94)</f>
        <v>0.51301793935545326</v>
      </c>
      <c r="O94" s="23"/>
      <c r="P94" s="80">
        <f>SUBTOTAL(9,P90:P93)</f>
        <v>7558.8</v>
      </c>
      <c r="Q94" s="80">
        <f>SUBTOTAL(9,Q90:Q93)</f>
        <v>24</v>
      </c>
      <c r="R94" s="80">
        <f>SUBTOTAL(9,R90:R93)</f>
        <v>3739.24</v>
      </c>
      <c r="S94" s="80">
        <f>SUBTOTAL(9,S90:S93)</f>
        <v>3819.5600000000004</v>
      </c>
      <c r="T94" s="22">
        <f>IF(S94=0,0,S94/P94)</f>
        <v>0.50531301264751027</v>
      </c>
    </row>
    <row r="95" spans="1:20" x14ac:dyDescent="0.2">
      <c r="A95" s="98" t="s">
        <v>86</v>
      </c>
      <c r="B95" s="100" t="str">
        <f>B94</f>
        <v>||"Filter","SOP30200","SOPNUMBE","DOCDATE","3/1/2016..3/31/2016|3/1/2017..3/12/2017","CUSTNMBR","MAGNIFIC0001","Company=","Fabrikam, Inc.","","","","","","","","","","","","","",""</v>
      </c>
      <c r="D95" s="98" t="str">
        <f>D94</f>
        <v>MAGNIFIC0001</v>
      </c>
      <c r="E95" s="55"/>
      <c r="I95" s="11"/>
      <c r="J95" s="50"/>
      <c r="K95" s="54"/>
      <c r="L95" s="54"/>
      <c r="M95" s="54"/>
      <c r="N95" s="12"/>
      <c r="O95" s="11"/>
      <c r="P95" s="75"/>
      <c r="Q95" s="76"/>
      <c r="R95" s="76"/>
      <c r="S95" s="76"/>
      <c r="T95" s="40"/>
    </row>
    <row r="96" spans="1:20" ht="15.75" thickBot="1" x14ac:dyDescent="0.3">
      <c r="A96" s="98" t="s">
        <v>86</v>
      </c>
      <c r="B96" s="100" t="str">
        <f>"||""Filter"",""SOP30200"",""SOPNUMBE"",""DOCDATE"",""3/1/2016..3/31/2016|3/1/2017..3/12/2017"",""CUSTNMBR"",""MAHLERST0001"",""Company="",""Fabrikam, Inc."","""","""","""","""","""","""","""","""","""","""","""","""","""","""""</f>
        <v>||"Filter","SOP30200","SOPNUMBE","DOCDATE","3/1/2016..3/31/2016|3/1/2017..3/12/2017","CUSTNMBR","MAHLERST0001","Company=","Fabrikam, Inc.","","","","","","","","","","","","","",""</v>
      </c>
      <c r="D96" s="98" t="str">
        <f>F96</f>
        <v>MAHLERST0001</v>
      </c>
      <c r="E96" s="55"/>
      <c r="F96" s="77" t="str">
        <f>"MAHLERST0001"</f>
        <v>MAHLERST0001</v>
      </c>
      <c r="G96" s="19"/>
      <c r="H96" s="27" t="str">
        <f>"Mahler State University"</f>
        <v>Mahler State University</v>
      </c>
      <c r="I96" s="30"/>
      <c r="J96" s="8"/>
      <c r="K96" s="8"/>
      <c r="L96" s="8"/>
      <c r="M96" s="8"/>
      <c r="N96" s="9"/>
      <c r="O96" s="30"/>
      <c r="P96" s="46"/>
      <c r="Q96" s="45"/>
      <c r="R96" s="47"/>
      <c r="S96" s="45"/>
      <c r="T96" s="9"/>
    </row>
    <row r="97" spans="1:20" hidden="1" outlineLevel="1" x14ac:dyDescent="0.2">
      <c r="A97" s="98" t="s">
        <v>119</v>
      </c>
      <c r="B97" s="100" t="str">
        <f>B96</f>
        <v>||"Filter","SOP30200","SOPNUMBE","DOCDATE","3/1/2016..3/31/2016|3/1/2017..3/12/2017","CUSTNMBR","MAHLERST0001","Company=","Fabrikam, Inc.","","","","","","","","","","","","","",""</v>
      </c>
      <c r="D97" s="98" t="str">
        <f>D96</f>
        <v>MAHLERST0001</v>
      </c>
      <c r="E97" s="55"/>
      <c r="F97" s="78"/>
      <c r="G97" s="56"/>
      <c r="H97" s="61"/>
      <c r="I97" s="7"/>
      <c r="J97" s="7"/>
      <c r="K97" s="8"/>
      <c r="L97" s="8"/>
      <c r="M97" s="8"/>
      <c r="N97" s="9"/>
      <c r="O97" s="7"/>
      <c r="P97" s="46"/>
      <c r="Q97" s="45"/>
      <c r="R97" s="47"/>
      <c r="S97" s="45"/>
      <c r="T97" s="9"/>
    </row>
    <row r="98" spans="1:20" hidden="1" outlineLevel="1" x14ac:dyDescent="0.2">
      <c r="A98" s="98" t="s">
        <v>86</v>
      </c>
      <c r="B98" s="100" t="str">
        <f>B97</f>
        <v>||"Filter","SOP30200","SOPNUMBE","DOCDATE","3/1/2016..3/31/2016|3/1/2017..3/12/2017","CUSTNMBR","MAHLERST0001","Company=","Fabrikam, Inc.","","","","","","","","","","","","","",""</v>
      </c>
      <c r="D98" s="98" t="str">
        <f>D97</f>
        <v>MAHLERST0001</v>
      </c>
      <c r="E98" s="55"/>
      <c r="F98" s="78"/>
      <c r="G98" s="52" t="str">
        <f>"ACCS-CRD-12WH"</f>
        <v>ACCS-CRD-12WH</v>
      </c>
      <c r="H98" s="53" t="str">
        <f>"Phone Cord - 12' White"</f>
        <v>Phone Cord - 12' White</v>
      </c>
      <c r="I98" s="57" t="str">
        <f>"||""Filter"",""SOP30200"",""SOPNUMBE"",""DOCDATE"",""3/1/2017..3/31/2017"",""CUSTNMBR"",""MAHLERST0001"","""","""","""","""","""","""","""","""","""","""","""","""","""","""","""","""""</f>
        <v>||"Filter","SOP30200","SOPNUMBE","DOCDATE","3/1/2017..3/31/2017","CUSTNMBR","MAHLERST0001","","","","","","","","","","","","","","","",""</v>
      </c>
      <c r="J98" s="49">
        <v>0</v>
      </c>
      <c r="K98" s="51">
        <v>0</v>
      </c>
      <c r="L98" s="51">
        <v>0</v>
      </c>
      <c r="M98" s="51">
        <f>+J98-L98</f>
        <v>0</v>
      </c>
      <c r="N98" s="58">
        <f>IF($M98=0,0,$M98/$J98)</f>
        <v>0</v>
      </c>
      <c r="O98" s="57" t="str">
        <f>"||""Filter"",""SOP30200"",""SOPNUMBE"",""DOCDATE"",""3/1/2016..3/31/2016"",""CUSTNMBR"",""MAHLERST0001"","""","""","""","""","""","""","""","""","""","""","""","""","""","""","""","""""</f>
        <v>||"Filter","SOP30200","SOPNUMBE","DOCDATE","3/1/2016..3/31/2016","CUSTNMBR","MAHLERST0001","","","","","","","","","","","","","","","",""</v>
      </c>
      <c r="P98" s="73">
        <v>19.899999999999999</v>
      </c>
      <c r="Q98" s="74">
        <v>2</v>
      </c>
      <c r="R98" s="74">
        <v>6.58</v>
      </c>
      <c r="S98" s="74">
        <f>+P98-R98</f>
        <v>13.319999999999999</v>
      </c>
      <c r="T98" s="69">
        <f>IF($M98=0,0,$M98/$J98)</f>
        <v>0</v>
      </c>
    </row>
    <row r="99" spans="1:20" hidden="1" outlineLevel="1" x14ac:dyDescent="0.2">
      <c r="A99" s="98" t="s">
        <v>86</v>
      </c>
      <c r="B99" s="100" t="str">
        <f>B98</f>
        <v>||"Filter","SOP30200","SOPNUMBE","DOCDATE","3/1/2016..3/31/2016|3/1/2017..3/12/2017","CUSTNMBR","MAHLERST0001","Company=","Fabrikam, Inc.","","","","","","","","","","","","","",""</v>
      </c>
      <c r="D99" s="98" t="str">
        <f>D98</f>
        <v>MAHLERST0001</v>
      </c>
      <c r="E99" s="55"/>
      <c r="F99" s="78"/>
      <c r="G99" s="52" t="str">
        <f>"FAXX-CAN-9800"</f>
        <v>FAXX-CAN-9800</v>
      </c>
      <c r="H99" s="53" t="str">
        <f>"Cantata FaxPhone 9800"</f>
        <v>Cantata FaxPhone 9800</v>
      </c>
      <c r="I99" s="57" t="str">
        <f>"||""Filter"",""SOP30200"",""SOPNUMBE"",""DOCDATE"",""3/1/2017..3/31/2017"",""CUSTNMBR"",""MAHLERST0001"","""","""","""","""","""","""","""","""","""","""","""","""","""","""","""","""""</f>
        <v>||"Filter","SOP30200","SOPNUMBE","DOCDATE","3/1/2017..3/31/2017","CUSTNMBR","MAHLERST0001","","","","","","","","","","","","","","","",""</v>
      </c>
      <c r="J99" s="49">
        <v>57598.8</v>
      </c>
      <c r="K99" s="51">
        <v>24</v>
      </c>
      <c r="L99" s="51">
        <v>28728</v>
      </c>
      <c r="M99" s="51">
        <f>+J99-L99</f>
        <v>28870.800000000003</v>
      </c>
      <c r="N99" s="58">
        <f>IF($M99=0,0,$M99/$J99)</f>
        <v>0.50123960915852417</v>
      </c>
      <c r="O99" s="57" t="str">
        <f>"||""Filter"",""SOP30200"",""SOPNUMBE"",""DOCDATE"",""3/1/2016..3/31/2016"",""CUSTNMBR"",""MAHLERST0001"","""","""","""","""","""","""","""","""","""","""","""","""","""","""","""","""""</f>
        <v>||"Filter","SOP30200","SOPNUMBE","DOCDATE","3/1/2016..3/31/2016","CUSTNMBR","MAHLERST0001","","","","","","","","","","","","","","","",""</v>
      </c>
      <c r="P99" s="73">
        <v>59998.75</v>
      </c>
      <c r="Q99" s="74">
        <v>25</v>
      </c>
      <c r="R99" s="74">
        <v>29925</v>
      </c>
      <c r="S99" s="74">
        <f>+P99-R99</f>
        <v>30073.75</v>
      </c>
      <c r="T99" s="69">
        <f>IF($M99=0,0,$M99/$J99)</f>
        <v>0.50123960915852417</v>
      </c>
    </row>
    <row r="100" spans="1:20" hidden="1" outlineLevel="1" x14ac:dyDescent="0.2">
      <c r="A100" s="98" t="s">
        <v>86</v>
      </c>
      <c r="B100" s="100" t="str">
        <f>B99</f>
        <v>||"Filter","SOP30200","SOPNUMBE","DOCDATE","3/1/2016..3/31/2016|3/1/2017..3/12/2017","CUSTNMBR","MAHLERST0001","Company=","Fabrikam, Inc.","","","","","","","","","","","","","",""</v>
      </c>
      <c r="D100" s="98" t="str">
        <f>D99</f>
        <v>MAHLERST0001</v>
      </c>
      <c r="E100" s="55"/>
      <c r="F100" s="78"/>
      <c r="G100" s="52" t="str">
        <f>"PHON-ATT-53RD"</f>
        <v>PHON-ATT-53RD</v>
      </c>
      <c r="H100" s="53" t="str">
        <f>"Cordless-Attractive 5352-Red"</f>
        <v>Cordless-Attractive 5352-Red</v>
      </c>
      <c r="I100" s="57" t="str">
        <f>"||""Filter"",""SOP30200"",""SOPNUMBE"",""DOCDATE"",""3/1/2017..3/31/2017"",""CUSTNMBR"",""MAHLERST0001"","""","""","""","""","""","""","""","""","""","""","""","""","""","""","""","""""</f>
        <v>||"Filter","SOP30200","SOPNUMBE","DOCDATE","3/1/2017..3/31/2017","CUSTNMBR","MAHLERST0001","","","","","","","","","","","","","","","",""</v>
      </c>
      <c r="J100" s="49">
        <v>1519.6</v>
      </c>
      <c r="K100" s="51">
        <v>8</v>
      </c>
      <c r="L100" s="51">
        <v>736.72</v>
      </c>
      <c r="M100" s="51">
        <f>+J100-L100</f>
        <v>782.87999999999988</v>
      </c>
      <c r="N100" s="58">
        <f>IF($M100=0,0,$M100/$J100)</f>
        <v>0.51518820742300597</v>
      </c>
      <c r="O100" s="57" t="str">
        <f>"||""Filter"",""SOP30200"",""SOPNUMBE"",""DOCDATE"",""3/1/2016..3/31/2016"",""CUSTNMBR"",""MAHLERST0001"","""","""","""","""","""","""","""","""","""","""","""","""","""","""","""","""""</f>
        <v>||"Filter","SOP30200","SOPNUMBE","DOCDATE","3/1/2016..3/31/2016","CUSTNMBR","MAHLERST0001","","","","","","","","","","","","","","","",""</v>
      </c>
      <c r="P100" s="73">
        <v>1519.6</v>
      </c>
      <c r="Q100" s="74">
        <v>8</v>
      </c>
      <c r="R100" s="74">
        <v>732.72</v>
      </c>
      <c r="S100" s="74">
        <f>+P100-R100</f>
        <v>786.87999999999988</v>
      </c>
      <c r="T100" s="69">
        <f>IF($M100=0,0,$M100/$J100)</f>
        <v>0.51518820742300597</v>
      </c>
    </row>
    <row r="101" spans="1:20" hidden="1" outlineLevel="1" x14ac:dyDescent="0.2">
      <c r="A101" s="98" t="s">
        <v>86</v>
      </c>
      <c r="B101" s="100" t="str">
        <f>B100</f>
        <v>||"Filter","SOP30200","SOPNUMBE","DOCDATE","3/1/2016..3/31/2016|3/1/2017..3/12/2017","CUSTNMBR","MAHLERST0001","Company=","Fabrikam, Inc.","","","","","","","","","","","","","",""</v>
      </c>
      <c r="D101" s="98" t="str">
        <f>D100</f>
        <v>MAHLERST0001</v>
      </c>
      <c r="E101" s="55"/>
      <c r="F101" s="78"/>
      <c r="G101" s="52" t="str">
        <f>"PHON-PAN-3155"</f>
        <v>PHON-PAN-3155</v>
      </c>
      <c r="H101" s="53" t="str">
        <f>"Panache KX-T3155 desk"</f>
        <v>Panache KX-T3155 desk</v>
      </c>
      <c r="I101" s="57" t="str">
        <f>"||""Filter"",""SOP30200"",""SOPNUMBE"",""DOCDATE"",""3/1/2017..3/31/2017"",""CUSTNMBR"",""MAHLERST0001"","""","""","""","""","""","""","""","""","""","""","""","""","""","""","""","""""</f>
        <v>||"Filter","SOP30200","SOPNUMBE","DOCDATE","3/1/2017..3/31/2017","CUSTNMBR","MAHLERST0001","","","","","","","","","","","","","","","",""</v>
      </c>
      <c r="J101" s="49">
        <v>0</v>
      </c>
      <c r="K101" s="51">
        <v>0</v>
      </c>
      <c r="L101" s="51">
        <v>0</v>
      </c>
      <c r="M101" s="51">
        <f>+J101-L101</f>
        <v>0</v>
      </c>
      <c r="N101" s="58">
        <f>IF($M101=0,0,$M101/$J101)</f>
        <v>0</v>
      </c>
      <c r="O101" s="57" t="str">
        <f>"||""Filter"",""SOP30200"",""SOPNUMBE"",""DOCDATE"",""3/1/2016..3/31/2016"",""CUSTNMBR"",""MAHLERST0001"","""","""","""","""","""","""","""","""","""","""","""","""","""","""","""","""""</f>
        <v>||"Filter","SOP30200","SOPNUMBE","DOCDATE","3/1/2016..3/31/2016","CUSTNMBR","MAHLERST0001","","","","","","","","","","","","","","","",""</v>
      </c>
      <c r="P101" s="73">
        <v>1439.4</v>
      </c>
      <c r="Q101" s="74">
        <v>12</v>
      </c>
      <c r="R101" s="74">
        <v>619.44000000000005</v>
      </c>
      <c r="S101" s="74">
        <f>+P101-R101</f>
        <v>819.96</v>
      </c>
      <c r="T101" s="69">
        <f>IF($M101=0,0,$M101/$J101)</f>
        <v>0</v>
      </c>
    </row>
    <row r="102" spans="1:20" hidden="1" outlineLevel="1" x14ac:dyDescent="0.2">
      <c r="A102" s="98" t="s">
        <v>86</v>
      </c>
      <c r="B102" s="100" t="str">
        <f>B98</f>
        <v>||"Filter","SOP30200","SOPNUMBE","DOCDATE","3/1/2016..3/31/2016|3/1/2017..3/12/2017","CUSTNMBR","MAHLERST0001","Company=","Fabrikam, Inc.","","","","","","","","","","","","","",""</v>
      </c>
      <c r="D102" s="98" t="str">
        <f>D98</f>
        <v>MAHLERST0001</v>
      </c>
      <c r="E102" s="55"/>
      <c r="F102" s="79"/>
      <c r="G102" s="52"/>
      <c r="H102" s="53"/>
      <c r="I102" s="57"/>
      <c r="J102" s="49"/>
      <c r="K102" s="51"/>
      <c r="L102" s="51"/>
      <c r="M102" s="51"/>
      <c r="N102" s="58"/>
      <c r="O102" s="57"/>
      <c r="P102" s="73"/>
      <c r="Q102" s="74"/>
      <c r="R102" s="74"/>
      <c r="S102" s="74"/>
      <c r="T102" s="69"/>
    </row>
    <row r="103" spans="1:20" ht="13.5" hidden="1" outlineLevel="1" thickBot="1" x14ac:dyDescent="0.25">
      <c r="A103" s="98" t="s">
        <v>86</v>
      </c>
      <c r="B103" s="100" t="str">
        <f>B102</f>
        <v>||"Filter","SOP30200","SOPNUMBE","DOCDATE","3/1/2016..3/31/2016|3/1/2017..3/12/2017","CUSTNMBR","MAHLERST0001","Company=","Fabrikam, Inc.","","","","","","","","","","","","","",""</v>
      </c>
      <c r="D103" s="98" t="str">
        <f>D102</f>
        <v>MAHLERST0001</v>
      </c>
      <c r="E103" s="55"/>
      <c r="F103" s="79"/>
      <c r="I103" s="11"/>
      <c r="J103" s="50"/>
      <c r="K103" s="54"/>
      <c r="L103" s="54"/>
      <c r="M103" s="54"/>
      <c r="N103" s="12"/>
      <c r="O103" s="13"/>
      <c r="P103" s="75"/>
      <c r="Q103" s="76"/>
      <c r="R103" s="76"/>
      <c r="S103" s="76"/>
      <c r="T103" s="40"/>
    </row>
    <row r="104" spans="1:20" ht="13.5" collapsed="1" thickBot="1" x14ac:dyDescent="0.25">
      <c r="A104" s="98" t="s">
        <v>86</v>
      </c>
      <c r="B104" s="100" t="str">
        <f>B103</f>
        <v>||"Filter","SOP30200","SOPNUMBE","DOCDATE","3/1/2016..3/31/2016|3/1/2017..3/12/2017","CUSTNMBR","MAHLERST0001","Company=","Fabrikam, Inc.","","","","","","","","","","","","","",""</v>
      </c>
      <c r="D104" s="98" t="str">
        <f>D103</f>
        <v>MAHLERST0001</v>
      </c>
      <c r="E104" s="55"/>
      <c r="H104" s="17" t="str">
        <f>"Total "&amp;D104&amp;":"</f>
        <v>Total MAHLERST0001:</v>
      </c>
      <c r="I104" s="21"/>
      <c r="J104" s="80">
        <f>SUBTOTAL(9,J98:J103)</f>
        <v>59118.400000000001</v>
      </c>
      <c r="K104" s="80">
        <f>SUBTOTAL(9,K98:K103)</f>
        <v>32</v>
      </c>
      <c r="L104" s="80">
        <f>SUBTOTAL(9,L98:L103)</f>
        <v>29464.720000000001</v>
      </c>
      <c r="M104" s="80">
        <f>SUBTOTAL(9,M98:M103)</f>
        <v>29653.680000000004</v>
      </c>
      <c r="N104" s="22">
        <f>IF(J104=0,0,+M104/J104)</f>
        <v>0.50159814879969689</v>
      </c>
      <c r="O104" s="23"/>
      <c r="P104" s="80">
        <f>SUBTOTAL(9,P98:P103)</f>
        <v>62977.65</v>
      </c>
      <c r="Q104" s="80">
        <f>SUBTOTAL(9,Q98:Q103)</f>
        <v>47</v>
      </c>
      <c r="R104" s="80">
        <f>SUBTOTAL(9,R98:R103)</f>
        <v>31283.74</v>
      </c>
      <c r="S104" s="80">
        <f>SUBTOTAL(9,S98:S103)</f>
        <v>31693.91</v>
      </c>
      <c r="T104" s="22">
        <f>IF(S104=0,0,S104/P104)</f>
        <v>0.50325647273278695</v>
      </c>
    </row>
    <row r="105" spans="1:20" x14ac:dyDescent="0.2">
      <c r="A105" s="98" t="s">
        <v>86</v>
      </c>
      <c r="B105" s="100" t="str">
        <f>B104</f>
        <v>||"Filter","SOP30200","SOPNUMBE","DOCDATE","3/1/2016..3/31/2016|3/1/2017..3/12/2017","CUSTNMBR","MAHLERST0001","Company=","Fabrikam, Inc.","","","","","","","","","","","","","",""</v>
      </c>
      <c r="D105" s="98" t="str">
        <f>D104</f>
        <v>MAHLERST0001</v>
      </c>
      <c r="E105" s="55"/>
      <c r="I105" s="11"/>
      <c r="J105" s="50"/>
      <c r="K105" s="54"/>
      <c r="L105" s="54"/>
      <c r="M105" s="54"/>
      <c r="N105" s="12"/>
      <c r="O105" s="11"/>
      <c r="P105" s="75"/>
      <c r="Q105" s="76"/>
      <c r="R105" s="76"/>
      <c r="S105" s="76"/>
      <c r="T105" s="40"/>
    </row>
    <row r="106" spans="1:20" ht="15.75" thickBot="1" x14ac:dyDescent="0.3">
      <c r="A106" s="98" t="s">
        <v>86</v>
      </c>
      <c r="B106" s="100" t="str">
        <f>"||""Filter"",""SOP30200"",""SOPNUMBE"",""DOCDATE"",""3/1/2016..3/31/2016|3/1/2017..3/12/2017"",""CUSTNMBR"",""METROPOL0001"",""Company="",""Fabrikam, Inc."","""","""","""","""","""","""","""","""","""","""","""","""","""","""""</f>
        <v>||"Filter","SOP30200","SOPNUMBE","DOCDATE","3/1/2016..3/31/2016|3/1/2017..3/12/2017","CUSTNMBR","METROPOL0001","Company=","Fabrikam, Inc.","","","","","","","","","","","","","",""</v>
      </c>
      <c r="D106" s="98" t="str">
        <f>F106</f>
        <v>METROPOL0001</v>
      </c>
      <c r="E106" s="55"/>
      <c r="F106" s="77" t="str">
        <f>"METROPOL0001"</f>
        <v>METROPOL0001</v>
      </c>
      <c r="G106" s="19"/>
      <c r="H106" s="27" t="str">
        <f>"Metropolitan Fiber Systems"</f>
        <v>Metropolitan Fiber Systems</v>
      </c>
      <c r="I106" s="30"/>
      <c r="J106" s="8"/>
      <c r="K106" s="8"/>
      <c r="L106" s="8"/>
      <c r="M106" s="8"/>
      <c r="N106" s="9"/>
      <c r="O106" s="30"/>
      <c r="P106" s="46"/>
      <c r="Q106" s="45"/>
      <c r="R106" s="47"/>
      <c r="S106" s="45"/>
      <c r="T106" s="9"/>
    </row>
    <row r="107" spans="1:20" hidden="1" outlineLevel="1" x14ac:dyDescent="0.2">
      <c r="A107" s="98" t="s">
        <v>119</v>
      </c>
      <c r="B107" s="100" t="str">
        <f>B106</f>
        <v>||"Filter","SOP30200","SOPNUMBE","DOCDATE","3/1/2016..3/31/2016|3/1/2017..3/12/2017","CUSTNMBR","METROPOL0001","Company=","Fabrikam, Inc.","","","","","","","","","","","","","",""</v>
      </c>
      <c r="D107" s="98" t="str">
        <f>D106</f>
        <v>METROPOL0001</v>
      </c>
      <c r="E107" s="55"/>
      <c r="F107" s="78"/>
      <c r="G107" s="56"/>
      <c r="H107" s="61"/>
      <c r="I107" s="7"/>
      <c r="J107" s="7"/>
      <c r="K107" s="8"/>
      <c r="L107" s="8"/>
      <c r="M107" s="8"/>
      <c r="N107" s="9"/>
      <c r="O107" s="7"/>
      <c r="P107" s="46"/>
      <c r="Q107" s="45"/>
      <c r="R107" s="47"/>
      <c r="S107" s="45"/>
      <c r="T107" s="9"/>
    </row>
    <row r="108" spans="1:20" hidden="1" outlineLevel="1" x14ac:dyDescent="0.2">
      <c r="A108" s="98" t="s">
        <v>86</v>
      </c>
      <c r="B108" s="100" t="str">
        <f>B107</f>
        <v>||"Filter","SOP30200","SOPNUMBE","DOCDATE","3/1/2016..3/31/2016|3/1/2017..3/12/2017","CUSTNMBR","METROPOL0001","Company=","Fabrikam, Inc.","","","","","","","","","","","","","",""</v>
      </c>
      <c r="D108" s="98" t="str">
        <f>D107</f>
        <v>METROPOL0001</v>
      </c>
      <c r="E108" s="55"/>
      <c r="F108" s="78"/>
      <c r="G108" s="52" t="str">
        <f>"FAXX-RIC-060E"</f>
        <v>FAXX-RIC-060E</v>
      </c>
      <c r="H108" s="53" t="str">
        <f>"Richelieu Fax 60E"</f>
        <v>Richelieu Fax 60E</v>
      </c>
      <c r="I108" s="57" t="str">
        <f>"||""Filter"",""SOP30200"",""SOPNUMBE"",""DOCDATE"",""3/1/2017..3/31/2017"",""CUSTNMBR"",""METROPOL0001"","""","""","""","""","""","""","""","""","""","""","""","""","""","""","""","""""</f>
        <v>||"Filter","SOP30200","SOPNUMBE","DOCDATE","3/1/2017..3/31/2017","CUSTNMBR","METROPOL0001","","","","","","","","","","","","","","","",""</v>
      </c>
      <c r="J108" s="49">
        <v>0</v>
      </c>
      <c r="K108" s="51">
        <v>0</v>
      </c>
      <c r="L108" s="51">
        <v>0</v>
      </c>
      <c r="M108" s="51">
        <f>+J108-L108</f>
        <v>0</v>
      </c>
      <c r="N108" s="58">
        <f>IF($M108=0,0,$M108/$J108)</f>
        <v>0</v>
      </c>
      <c r="O108" s="57" t="str">
        <f>"||""Filter"",""SOP30200"",""SOPNUMBE"",""DOCDATE"",""3/1/2016..3/31/2016"",""CUSTNMBR"",""METROPOL0001"","""","""","""","""","""","""","""","""","""","""","""","""","""","""","""","""""</f>
        <v>||"Filter","SOP30200","SOPNUMBE","DOCDATE","3/1/2016..3/31/2016","CUSTNMBR","METROPOL0001","","","","","","","","","","","","","","","",""</v>
      </c>
      <c r="P108" s="73">
        <v>5759.7</v>
      </c>
      <c r="Q108" s="74">
        <v>6</v>
      </c>
      <c r="R108" s="74">
        <v>2874.3</v>
      </c>
      <c r="S108" s="74">
        <f>+P108-R108</f>
        <v>2885.3999999999996</v>
      </c>
      <c r="T108" s="69">
        <f>IF($M108=0,0,$M108/$J108)</f>
        <v>0</v>
      </c>
    </row>
    <row r="109" spans="1:20" hidden="1" outlineLevel="1" x14ac:dyDescent="0.2">
      <c r="A109" s="98" t="s">
        <v>86</v>
      </c>
      <c r="B109" s="100" t="str">
        <f>B108</f>
        <v>||"Filter","SOP30200","SOPNUMBE","DOCDATE","3/1/2016..3/31/2016|3/1/2017..3/12/2017","CUSTNMBR","METROPOL0001","Company=","Fabrikam, Inc.","","","","","","","","","","","","","",""</v>
      </c>
      <c r="D109" s="98" t="str">
        <f>D108</f>
        <v>METROPOL0001</v>
      </c>
      <c r="E109" s="55"/>
      <c r="F109" s="78"/>
      <c r="G109" s="52" t="str">
        <f>"HDWR-SRG-0001"</f>
        <v>HDWR-SRG-0001</v>
      </c>
      <c r="H109" s="53" t="str">
        <f>"Surge Protector Panel"</f>
        <v>Surge Protector Panel</v>
      </c>
      <c r="I109" s="57" t="str">
        <f>"||""Filter"",""SOP30200"",""SOPNUMBE"",""DOCDATE"",""3/1/2017..3/31/2017"",""CUSTNMBR"",""METROPOL0001"","""","""","""","""","""","""","""","""","""","""","""","""","""","""","""","""""</f>
        <v>||"Filter","SOP30200","SOPNUMBE","DOCDATE","3/1/2017..3/31/2017","CUSTNMBR","METROPOL0001","","","","","","","","","","","","","","","",""</v>
      </c>
      <c r="J109" s="49">
        <v>319.60000000000002</v>
      </c>
      <c r="K109" s="51">
        <v>8</v>
      </c>
      <c r="L109" s="51">
        <v>156.4</v>
      </c>
      <c r="M109" s="51">
        <f>+J109-L109</f>
        <v>163.20000000000002</v>
      </c>
      <c r="N109" s="58">
        <f>IF($M109=0,0,$M109/$J109)</f>
        <v>0.5106382978723405</v>
      </c>
      <c r="O109" s="57" t="str">
        <f>"||""Filter"",""SOP30200"",""SOPNUMBE"",""DOCDATE"",""3/1/2016..3/31/2016"",""CUSTNMBR"",""METROPOL0001"","""","""","""","""","""","""","""","""","""","""","""","""","""","""","""","""""</f>
        <v>||"Filter","SOP30200","SOPNUMBE","DOCDATE","3/1/2016..3/31/2016","CUSTNMBR","METROPOL0001","","","","","","","","","","","","","","","",""</v>
      </c>
      <c r="P109" s="73">
        <v>319.60000000000002</v>
      </c>
      <c r="Q109" s="74">
        <v>8</v>
      </c>
      <c r="R109" s="74">
        <v>156.4</v>
      </c>
      <c r="S109" s="74">
        <f>+P109-R109</f>
        <v>163.20000000000002</v>
      </c>
      <c r="T109" s="69">
        <f>IF($M109=0,0,$M109/$J109)</f>
        <v>0.5106382978723405</v>
      </c>
    </row>
    <row r="110" spans="1:20" hidden="1" outlineLevel="1" x14ac:dyDescent="0.2">
      <c r="A110" s="98" t="s">
        <v>86</v>
      </c>
      <c r="B110" s="100" t="str">
        <f>B109</f>
        <v>||"Filter","SOP30200","SOPNUMBE","DOCDATE","3/1/2016..3/31/2016|3/1/2017..3/12/2017","CUSTNMBR","METROPOL0001","Company=","Fabrikam, Inc.","","","","","","","","","","","","","",""</v>
      </c>
      <c r="D110" s="98" t="str">
        <f>D109</f>
        <v>METROPOL0001</v>
      </c>
      <c r="E110" s="55"/>
      <c r="F110" s="78"/>
      <c r="G110" s="52" t="str">
        <f>"PHON-ATT-53BK"</f>
        <v>PHON-ATT-53BK</v>
      </c>
      <c r="H110" s="53" t="str">
        <f>"Cordless-Attractive 5352-Black"</f>
        <v>Cordless-Attractive 5352-Black</v>
      </c>
      <c r="I110" s="57" t="str">
        <f>"||""Filter"",""SOP30200"",""SOPNUMBE"",""DOCDATE"",""3/1/2017..3/31/2017"",""CUSTNMBR"",""METROPOL0001"","""","""","""","""","""","""","""","""","""","""","""","""","""","""","""","""""</f>
        <v>||"Filter","SOP30200","SOPNUMBE","DOCDATE","3/1/2017..3/31/2017","CUSTNMBR","METROPOL0001","","","","","","","","","","","","","","","",""</v>
      </c>
      <c r="J110" s="49">
        <v>1139.7</v>
      </c>
      <c r="K110" s="51">
        <v>6</v>
      </c>
      <c r="L110" s="51">
        <v>547.5</v>
      </c>
      <c r="M110" s="51">
        <f>+J110-L110</f>
        <v>592.20000000000005</v>
      </c>
      <c r="N110" s="58">
        <f>IF($M110=0,0,$M110/$J110)</f>
        <v>0.51961042379573574</v>
      </c>
      <c r="O110" s="57" t="str">
        <f>"||""Filter"",""SOP30200"",""SOPNUMBE"",""DOCDATE"",""3/1/2016..3/31/2016"",""CUSTNMBR"",""METROPOL0001"","""","""","""","""","""","""","""","""","""","""","""","""","""","""","""","""""</f>
        <v>||"Filter","SOP30200","SOPNUMBE","DOCDATE","3/1/2016..3/31/2016","CUSTNMBR","METROPOL0001","","","","","","","","","","","","","","","",""</v>
      </c>
      <c r="P110" s="73">
        <v>1139.7</v>
      </c>
      <c r="Q110" s="74">
        <v>6</v>
      </c>
      <c r="R110" s="74">
        <v>545.52</v>
      </c>
      <c r="S110" s="74">
        <f>+P110-R110</f>
        <v>594.18000000000006</v>
      </c>
      <c r="T110" s="69">
        <f>IF($M110=0,0,$M110/$J110)</f>
        <v>0.51961042379573574</v>
      </c>
    </row>
    <row r="111" spans="1:20" hidden="1" outlineLevel="1" x14ac:dyDescent="0.2">
      <c r="A111" s="98" t="s">
        <v>86</v>
      </c>
      <c r="B111" s="100" t="str">
        <f>B108</f>
        <v>||"Filter","SOP30200","SOPNUMBE","DOCDATE","3/1/2016..3/31/2016|3/1/2017..3/12/2017","CUSTNMBR","METROPOL0001","Company=","Fabrikam, Inc.","","","","","","","","","","","","","",""</v>
      </c>
      <c r="D111" s="98" t="str">
        <f>D108</f>
        <v>METROPOL0001</v>
      </c>
      <c r="E111" s="55"/>
      <c r="F111" s="79"/>
      <c r="G111" s="52"/>
      <c r="H111" s="53"/>
      <c r="I111" s="57"/>
      <c r="J111" s="49"/>
      <c r="K111" s="51"/>
      <c r="L111" s="51"/>
      <c r="M111" s="51"/>
      <c r="N111" s="58"/>
      <c r="O111" s="57"/>
      <c r="P111" s="73"/>
      <c r="Q111" s="74"/>
      <c r="R111" s="74"/>
      <c r="S111" s="74"/>
      <c r="T111" s="69"/>
    </row>
    <row r="112" spans="1:20" ht="13.5" hidden="1" outlineLevel="1" thickBot="1" x14ac:dyDescent="0.25">
      <c r="A112" s="98" t="s">
        <v>86</v>
      </c>
      <c r="B112" s="100" t="str">
        <f>B111</f>
        <v>||"Filter","SOP30200","SOPNUMBE","DOCDATE","3/1/2016..3/31/2016|3/1/2017..3/12/2017","CUSTNMBR","METROPOL0001","Company=","Fabrikam, Inc.","","","","","","","","","","","","","",""</v>
      </c>
      <c r="D112" s="98" t="str">
        <f>D111</f>
        <v>METROPOL0001</v>
      </c>
      <c r="E112" s="55"/>
      <c r="F112" s="79"/>
      <c r="I112" s="11"/>
      <c r="J112" s="50"/>
      <c r="K112" s="54"/>
      <c r="L112" s="54"/>
      <c r="M112" s="54"/>
      <c r="N112" s="12"/>
      <c r="O112" s="13"/>
      <c r="P112" s="75"/>
      <c r="Q112" s="76"/>
      <c r="R112" s="76"/>
      <c r="S112" s="76"/>
      <c r="T112" s="40"/>
    </row>
    <row r="113" spans="1:20" ht="13.5" collapsed="1" thickBot="1" x14ac:dyDescent="0.25">
      <c r="A113" s="98" t="s">
        <v>86</v>
      </c>
      <c r="B113" s="100" t="str">
        <f>B112</f>
        <v>||"Filter","SOP30200","SOPNUMBE","DOCDATE","3/1/2016..3/31/2016|3/1/2017..3/12/2017","CUSTNMBR","METROPOL0001","Company=","Fabrikam, Inc.","","","","","","","","","","","","","",""</v>
      </c>
      <c r="D113" s="98" t="str">
        <f>D112</f>
        <v>METROPOL0001</v>
      </c>
      <c r="E113" s="55"/>
      <c r="H113" s="17" t="str">
        <f>"Total "&amp;D113&amp;":"</f>
        <v>Total METROPOL0001:</v>
      </c>
      <c r="I113" s="21"/>
      <c r="J113" s="80">
        <f>SUBTOTAL(9,J108:J112)</f>
        <v>1459.3000000000002</v>
      </c>
      <c r="K113" s="80">
        <f>SUBTOTAL(9,K108:K112)</f>
        <v>14</v>
      </c>
      <c r="L113" s="80">
        <f>SUBTOTAL(9,L108:L112)</f>
        <v>703.9</v>
      </c>
      <c r="M113" s="80">
        <f>SUBTOTAL(9,M108:M112)</f>
        <v>755.40000000000009</v>
      </c>
      <c r="N113" s="22">
        <f>IF(J113=0,0,+M113/J113)</f>
        <v>0.51764544644692656</v>
      </c>
      <c r="O113" s="23"/>
      <c r="P113" s="80">
        <f>SUBTOTAL(9,P108:P112)</f>
        <v>7219</v>
      </c>
      <c r="Q113" s="80">
        <f>SUBTOTAL(9,Q108:Q112)</f>
        <v>20</v>
      </c>
      <c r="R113" s="80">
        <f>SUBTOTAL(9,R108:R112)</f>
        <v>3576.2200000000003</v>
      </c>
      <c r="S113" s="80">
        <f>SUBTOTAL(9,S108:S112)</f>
        <v>3642.7799999999997</v>
      </c>
      <c r="T113" s="22">
        <f>IF(S113=0,0,S113/P113)</f>
        <v>0.50461005679456983</v>
      </c>
    </row>
    <row r="114" spans="1:20" x14ac:dyDescent="0.2">
      <c r="A114" s="98" t="s">
        <v>86</v>
      </c>
      <c r="B114" s="100" t="str">
        <f>B113</f>
        <v>||"Filter","SOP30200","SOPNUMBE","DOCDATE","3/1/2016..3/31/2016|3/1/2017..3/12/2017","CUSTNMBR","METROPOL0001","Company=","Fabrikam, Inc.","","","","","","","","","","","","","",""</v>
      </c>
      <c r="D114" s="98" t="str">
        <f>D113</f>
        <v>METROPOL0001</v>
      </c>
      <c r="E114" s="55"/>
      <c r="I114" s="11"/>
      <c r="J114" s="50"/>
      <c r="K114" s="54"/>
      <c r="L114" s="54"/>
      <c r="M114" s="54"/>
      <c r="N114" s="12"/>
      <c r="O114" s="11"/>
      <c r="P114" s="75"/>
      <c r="Q114" s="76"/>
      <c r="R114" s="76"/>
      <c r="S114" s="76"/>
      <c r="T114" s="40"/>
    </row>
    <row r="115" spans="1:20" ht="15.75" thickBot="1" x14ac:dyDescent="0.3">
      <c r="A115" s="98" t="s">
        <v>86</v>
      </c>
      <c r="B115" s="100" t="str">
        <f>"||""Filter"",""SOP30200"",""SOPNUMBE"",""DOCDATE"",""3/1/2016..3/31/2016|3/1/2017..3/12/2017"",""CUSTNMBR"",""PLACEONE0001"",""Company="",""Fabrikam, Inc."","""","""","""","""","""","""","""","""","""","""","""","""","""","""""</f>
        <v>||"Filter","SOP30200","SOPNUMBE","DOCDATE","3/1/2016..3/31/2016|3/1/2017..3/12/2017","CUSTNMBR","PLACEONE0001","Company=","Fabrikam, Inc.","","","","","","","","","","","","","",""</v>
      </c>
      <c r="D115" s="98" t="str">
        <f>F115</f>
        <v>PLACEONE0001</v>
      </c>
      <c r="E115" s="55"/>
      <c r="F115" s="77" t="str">
        <f>"PLACEONE0001"</f>
        <v>PLACEONE0001</v>
      </c>
      <c r="G115" s="19"/>
      <c r="H115" s="27" t="str">
        <f>"Place One Suites"</f>
        <v>Place One Suites</v>
      </c>
      <c r="I115" s="30"/>
      <c r="J115" s="8"/>
      <c r="K115" s="8"/>
      <c r="L115" s="8"/>
      <c r="M115" s="8"/>
      <c r="N115" s="9"/>
      <c r="O115" s="30"/>
      <c r="P115" s="46"/>
      <c r="Q115" s="45"/>
      <c r="R115" s="47"/>
      <c r="S115" s="45"/>
      <c r="T115" s="9"/>
    </row>
    <row r="116" spans="1:20" hidden="1" outlineLevel="1" x14ac:dyDescent="0.2">
      <c r="A116" s="98" t="s">
        <v>119</v>
      </c>
      <c r="B116" s="100" t="str">
        <f>B115</f>
        <v>||"Filter","SOP30200","SOPNUMBE","DOCDATE","3/1/2016..3/31/2016|3/1/2017..3/12/2017","CUSTNMBR","PLACEONE0001","Company=","Fabrikam, Inc.","","","","","","","","","","","","","",""</v>
      </c>
      <c r="D116" s="98" t="str">
        <f>D115</f>
        <v>PLACEONE0001</v>
      </c>
      <c r="E116" s="55"/>
      <c r="F116" s="78"/>
      <c r="G116" s="56"/>
      <c r="H116" s="61"/>
      <c r="I116" s="7"/>
      <c r="J116" s="7"/>
      <c r="K116" s="8"/>
      <c r="L116" s="8"/>
      <c r="M116" s="8"/>
      <c r="N116" s="9"/>
      <c r="O116" s="7"/>
      <c r="P116" s="46"/>
      <c r="Q116" s="45"/>
      <c r="R116" s="47"/>
      <c r="S116" s="45"/>
      <c r="T116" s="9"/>
    </row>
    <row r="117" spans="1:20" hidden="1" outlineLevel="1" x14ac:dyDescent="0.2">
      <c r="A117" s="98" t="s">
        <v>86</v>
      </c>
      <c r="B117" s="100" t="str">
        <f>B116</f>
        <v>||"Filter","SOP30200","SOPNUMBE","DOCDATE","3/1/2016..3/31/2016|3/1/2017..3/12/2017","CUSTNMBR","PLACEONE0001","Company=","Fabrikam, Inc.","","","","","","","","","","","","","",""</v>
      </c>
      <c r="D117" s="98" t="str">
        <f>D116</f>
        <v>PLACEONE0001</v>
      </c>
      <c r="E117" s="55"/>
      <c r="F117" s="78"/>
      <c r="G117" s="52" t="str">
        <f>"ACCS-CRD-12WH"</f>
        <v>ACCS-CRD-12WH</v>
      </c>
      <c r="H117" s="53" t="str">
        <f>"Phone Cord - 12' White"</f>
        <v>Phone Cord - 12' White</v>
      </c>
      <c r="I117" s="57" t="str">
        <f>"||""Filter"",""SOP30200"",""SOPNUMBE"",""DOCDATE"",""3/1/2017..3/31/2017"",""CUSTNMBR"",""PLACEONE0001"","""","""","""","""","""","""","""","""","""","""","""","""","""","""","""","""""</f>
        <v>||"Filter","SOP30200","SOPNUMBE","DOCDATE","3/1/2017..3/31/2017","CUSTNMBR","PLACEONE0001","","","","","","","","","","","","","","","",""</v>
      </c>
      <c r="J117" s="49">
        <v>0</v>
      </c>
      <c r="K117" s="51">
        <v>0</v>
      </c>
      <c r="L117" s="51">
        <v>0</v>
      </c>
      <c r="M117" s="51">
        <f>+J117-L117</f>
        <v>0</v>
      </c>
      <c r="N117" s="58">
        <f>IF($M117=0,0,$M117/$J117)</f>
        <v>0</v>
      </c>
      <c r="O117" s="57" t="str">
        <f>"||""Filter"",""SOP30200"",""SOPNUMBE"",""DOCDATE"",""3/1/2016..3/31/2016"",""CUSTNMBR"",""PLACEONE0001"","""","""","""","""","""","""","""","""","""","""","""","""","""","""","""","""""</f>
        <v>||"Filter","SOP30200","SOPNUMBE","DOCDATE","3/1/2016..3/31/2016","CUSTNMBR","PLACEONE0001","","","","","","","","","","","","","","","",""</v>
      </c>
      <c r="P117" s="73">
        <v>79.599999999999994</v>
      </c>
      <c r="Q117" s="74">
        <v>8</v>
      </c>
      <c r="R117" s="74">
        <v>26.32</v>
      </c>
      <c r="S117" s="74">
        <f>+P117-R117</f>
        <v>53.279999999999994</v>
      </c>
      <c r="T117" s="69">
        <f>IF($M117=0,0,$M117/$J117)</f>
        <v>0</v>
      </c>
    </row>
    <row r="118" spans="1:20" hidden="1" outlineLevel="1" x14ac:dyDescent="0.2">
      <c r="A118" s="98" t="s">
        <v>86</v>
      </c>
      <c r="B118" s="100" t="str">
        <f>B117</f>
        <v>||"Filter","SOP30200","SOPNUMBE","DOCDATE","3/1/2016..3/31/2016|3/1/2017..3/12/2017","CUSTNMBR","PLACEONE0001","Company=","Fabrikam, Inc.","","","","","","","","","","","","","",""</v>
      </c>
      <c r="D118" s="98" t="str">
        <f>D117</f>
        <v>PLACEONE0001</v>
      </c>
      <c r="E118" s="55"/>
      <c r="F118" s="79"/>
      <c r="G118" s="52"/>
      <c r="H118" s="53"/>
      <c r="I118" s="57"/>
      <c r="J118" s="49"/>
      <c r="K118" s="51"/>
      <c r="L118" s="51"/>
      <c r="M118" s="51"/>
      <c r="N118" s="58"/>
      <c r="O118" s="57"/>
      <c r="P118" s="73"/>
      <c r="Q118" s="74"/>
      <c r="R118" s="74"/>
      <c r="S118" s="74"/>
      <c r="T118" s="69"/>
    </row>
    <row r="119" spans="1:20" ht="13.5" hidden="1" outlineLevel="1" thickBot="1" x14ac:dyDescent="0.25">
      <c r="A119" s="98" t="s">
        <v>86</v>
      </c>
      <c r="B119" s="100" t="str">
        <f>B118</f>
        <v>||"Filter","SOP30200","SOPNUMBE","DOCDATE","3/1/2016..3/31/2016|3/1/2017..3/12/2017","CUSTNMBR","PLACEONE0001","Company=","Fabrikam, Inc.","","","","","","","","","","","","","",""</v>
      </c>
      <c r="D119" s="98" t="str">
        <f>D118</f>
        <v>PLACEONE0001</v>
      </c>
      <c r="E119" s="55"/>
      <c r="F119" s="79"/>
      <c r="I119" s="11"/>
      <c r="J119" s="50"/>
      <c r="K119" s="54"/>
      <c r="L119" s="54"/>
      <c r="M119" s="54"/>
      <c r="N119" s="12"/>
      <c r="O119" s="13"/>
      <c r="P119" s="75"/>
      <c r="Q119" s="76"/>
      <c r="R119" s="76"/>
      <c r="S119" s="76"/>
      <c r="T119" s="40"/>
    </row>
    <row r="120" spans="1:20" ht="13.5" collapsed="1" thickBot="1" x14ac:dyDescent="0.25">
      <c r="A120" s="98" t="s">
        <v>86</v>
      </c>
      <c r="B120" s="100" t="str">
        <f>B119</f>
        <v>||"Filter","SOP30200","SOPNUMBE","DOCDATE","3/1/2016..3/31/2016|3/1/2017..3/12/2017","CUSTNMBR","PLACEONE0001","Company=","Fabrikam, Inc.","","","","","","","","","","","","","",""</v>
      </c>
      <c r="D120" s="98" t="str">
        <f>D119</f>
        <v>PLACEONE0001</v>
      </c>
      <c r="E120" s="55"/>
      <c r="H120" s="17" t="str">
        <f>"Total "&amp;D120&amp;":"</f>
        <v>Total PLACEONE0001:</v>
      </c>
      <c r="I120" s="21"/>
      <c r="J120" s="80">
        <f>SUBTOTAL(9,J117:J119)</f>
        <v>0</v>
      </c>
      <c r="K120" s="80">
        <f>SUBTOTAL(9,K117:K119)</f>
        <v>0</v>
      </c>
      <c r="L120" s="80">
        <f>SUBTOTAL(9,L117:L119)</f>
        <v>0</v>
      </c>
      <c r="M120" s="80">
        <f>SUBTOTAL(9,M117:M119)</f>
        <v>0</v>
      </c>
      <c r="N120" s="22">
        <f>IF(J120=0,0,+M120/J120)</f>
        <v>0</v>
      </c>
      <c r="O120" s="23"/>
      <c r="P120" s="80">
        <f>SUBTOTAL(9,P117:P119)</f>
        <v>79.599999999999994</v>
      </c>
      <c r="Q120" s="80">
        <f>SUBTOTAL(9,Q117:Q119)</f>
        <v>8</v>
      </c>
      <c r="R120" s="80">
        <f>SUBTOTAL(9,R117:R119)</f>
        <v>26.32</v>
      </c>
      <c r="S120" s="80">
        <f>SUBTOTAL(9,S117:S119)</f>
        <v>53.279999999999994</v>
      </c>
      <c r="T120" s="22">
        <f>IF(S120=0,0,S120/P120)</f>
        <v>0.66934673366834163</v>
      </c>
    </row>
    <row r="121" spans="1:20" x14ac:dyDescent="0.2">
      <c r="A121" s="98" t="s">
        <v>86</v>
      </c>
      <c r="B121" s="100" t="str">
        <f>B120</f>
        <v>||"Filter","SOP30200","SOPNUMBE","DOCDATE","3/1/2016..3/31/2016|3/1/2017..3/12/2017","CUSTNMBR","PLACEONE0001","Company=","Fabrikam, Inc.","","","","","","","","","","","","","",""</v>
      </c>
      <c r="D121" s="98" t="str">
        <f>D120</f>
        <v>PLACEONE0001</v>
      </c>
      <c r="E121" s="55"/>
      <c r="I121" s="11"/>
      <c r="J121" s="50"/>
      <c r="K121" s="54"/>
      <c r="L121" s="54"/>
      <c r="M121" s="54"/>
      <c r="N121" s="12"/>
      <c r="O121" s="11"/>
      <c r="P121" s="75"/>
      <c r="Q121" s="76"/>
      <c r="R121" s="76"/>
      <c r="S121" s="76"/>
      <c r="T121" s="40"/>
    </row>
    <row r="122" spans="1:20" ht="15.75" thickBot="1" x14ac:dyDescent="0.3">
      <c r="A122" s="98" t="s">
        <v>86</v>
      </c>
      <c r="B122" s="100" t="str">
        <f>"||""Filter"",""SOP30200"",""SOPNUMBE"",""DOCDATE"",""3/1/2016..3/31/2016|3/1/2017..3/12/2017"",""CUSTNMBR"",""PLAZAONE0001"",""Company="",""Fabrikam, Inc."","""","""","""","""","""","""","""","""","""","""","""","""","""","""""</f>
        <v>||"Filter","SOP30200","SOPNUMBE","DOCDATE","3/1/2016..3/31/2016|3/1/2017..3/12/2017","CUSTNMBR","PLAZAONE0001","Company=","Fabrikam, Inc.","","","","","","","","","","","","","",""</v>
      </c>
      <c r="D122" s="98" t="str">
        <f>F122</f>
        <v>PLAZAONE0001</v>
      </c>
      <c r="E122" s="55"/>
      <c r="F122" s="77" t="str">
        <f>"PLAZAONE0001"</f>
        <v>PLAZAONE0001</v>
      </c>
      <c r="G122" s="19"/>
      <c r="H122" s="27" t="str">
        <f>"Plaza One"</f>
        <v>Plaza One</v>
      </c>
      <c r="I122" s="30"/>
      <c r="J122" s="8"/>
      <c r="K122" s="8"/>
      <c r="L122" s="8"/>
      <c r="M122" s="8"/>
      <c r="N122" s="9"/>
      <c r="O122" s="30"/>
      <c r="P122" s="46"/>
      <c r="Q122" s="45"/>
      <c r="R122" s="47"/>
      <c r="S122" s="45"/>
      <c r="T122" s="9"/>
    </row>
    <row r="123" spans="1:20" hidden="1" outlineLevel="1" x14ac:dyDescent="0.2">
      <c r="A123" s="98" t="s">
        <v>119</v>
      </c>
      <c r="B123" s="100" t="str">
        <f>B122</f>
        <v>||"Filter","SOP30200","SOPNUMBE","DOCDATE","3/1/2016..3/31/2016|3/1/2017..3/12/2017","CUSTNMBR","PLAZAONE0001","Company=","Fabrikam, Inc.","","","","","","","","","","","","","",""</v>
      </c>
      <c r="D123" s="98" t="str">
        <f>D122</f>
        <v>PLAZAONE0001</v>
      </c>
      <c r="E123" s="55"/>
      <c r="F123" s="78"/>
      <c r="G123" s="56"/>
      <c r="H123" s="61"/>
      <c r="I123" s="7"/>
      <c r="J123" s="7"/>
      <c r="K123" s="8"/>
      <c r="L123" s="8"/>
      <c r="M123" s="8"/>
      <c r="N123" s="9"/>
      <c r="O123" s="7"/>
      <c r="P123" s="46"/>
      <c r="Q123" s="45"/>
      <c r="R123" s="47"/>
      <c r="S123" s="45"/>
      <c r="T123" s="9"/>
    </row>
    <row r="124" spans="1:20" hidden="1" outlineLevel="1" x14ac:dyDescent="0.2">
      <c r="A124" s="98" t="s">
        <v>86</v>
      </c>
      <c r="B124" s="100" t="str">
        <f>B123</f>
        <v>||"Filter","SOP30200","SOPNUMBE","DOCDATE","3/1/2016..3/31/2016|3/1/2017..3/12/2017","CUSTNMBR","PLAZAONE0001","Company=","Fabrikam, Inc.","","","","","","","","","","","","","",""</v>
      </c>
      <c r="D124" s="98" t="str">
        <f>D123</f>
        <v>PLAZAONE0001</v>
      </c>
      <c r="E124" s="55"/>
      <c r="F124" s="78"/>
      <c r="G124" s="52" t="str">
        <f>"ACCS-RST-DXBK"</f>
        <v>ACCS-RST-DXBK</v>
      </c>
      <c r="H124" s="53" t="str">
        <f>"Shoulder Rest-Deluxe Black"</f>
        <v>Shoulder Rest-Deluxe Black</v>
      </c>
      <c r="I124" s="57" t="str">
        <f>"||""Filter"",""SOP30200"",""SOPNUMBE"",""DOCDATE"",""3/1/2017..3/31/2017"",""CUSTNMBR"",""PLAZAONE0001"","""","""","""","""","""","""","""","""","""","""","""","""","""","""","""","""""</f>
        <v>||"Filter","SOP30200","SOPNUMBE","DOCDATE","3/1/2017..3/31/2017","CUSTNMBR","PLAZAONE0001","","","","","","","","","","","","","","","",""</v>
      </c>
      <c r="J124" s="49">
        <v>59.7</v>
      </c>
      <c r="K124" s="51">
        <v>6</v>
      </c>
      <c r="L124" s="51">
        <v>27.3</v>
      </c>
      <c r="M124" s="51">
        <f>+J124-L124</f>
        <v>32.400000000000006</v>
      </c>
      <c r="N124" s="58">
        <f>IF($M124=0,0,$M124/$J124)</f>
        <v>0.542713567839196</v>
      </c>
      <c r="O124" s="57" t="str">
        <f>"||""Filter"",""SOP30200"",""SOPNUMBE"",""DOCDATE"",""3/1/2016..3/31/2016"",""CUSTNMBR"",""PLAZAONE0001"","""","""","""","""","""","""","""","""","""","""","""","""","""","""","""","""""</f>
        <v>||"Filter","SOP30200","SOPNUMBE","DOCDATE","3/1/2016..3/31/2016","CUSTNMBR","PLAZAONE0001","","","","","","","","","","","","","","","",""</v>
      </c>
      <c r="P124" s="73">
        <v>59.7</v>
      </c>
      <c r="Q124" s="74">
        <v>6</v>
      </c>
      <c r="R124" s="74">
        <v>27.3</v>
      </c>
      <c r="S124" s="74">
        <f>+P124-R124</f>
        <v>32.400000000000006</v>
      </c>
      <c r="T124" s="69">
        <f>IF($M124=0,0,$M124/$J124)</f>
        <v>0.542713567839196</v>
      </c>
    </row>
    <row r="125" spans="1:20" hidden="1" outlineLevel="1" x14ac:dyDescent="0.2">
      <c r="A125" s="98" t="s">
        <v>86</v>
      </c>
      <c r="B125" s="100" t="str">
        <f>B124</f>
        <v>||"Filter","SOP30200","SOPNUMBE","DOCDATE","3/1/2016..3/31/2016|3/1/2017..3/12/2017","CUSTNMBR","PLAZAONE0001","Company=","Fabrikam, Inc.","","","","","","","","","","","","","",""</v>
      </c>
      <c r="D125" s="98" t="str">
        <f>D124</f>
        <v>PLAZAONE0001</v>
      </c>
      <c r="E125" s="55"/>
      <c r="F125" s="78"/>
      <c r="G125" s="52" t="str">
        <f>"HDWR-CAB-0001"</f>
        <v>HDWR-CAB-0001</v>
      </c>
      <c r="H125" s="53" t="str">
        <f>"Central Cabinet"</f>
        <v>Central Cabinet</v>
      </c>
      <c r="I125" s="57" t="str">
        <f>"||""Filter"",""SOP30200"",""SOPNUMBE"",""DOCDATE"",""3/1/2017..3/31/2017"",""CUSTNMBR"",""PLAZAONE0001"","""","""","""","""","""","""","""","""","""","""","""","""","""","""","""","""""</f>
        <v>||"Filter","SOP30200","SOPNUMBE","DOCDATE","3/1/2017..3/31/2017","CUSTNMBR","PLAZAONE0001","","","","","","","","","","","","","","","",""</v>
      </c>
      <c r="J125" s="49">
        <v>110799.6</v>
      </c>
      <c r="K125" s="51">
        <v>8</v>
      </c>
      <c r="L125" s="51">
        <v>55375.040000000001</v>
      </c>
      <c r="M125" s="51">
        <f>+J125-L125</f>
        <v>55424.560000000005</v>
      </c>
      <c r="N125" s="58">
        <f>IF($M125=0,0,$M125/$J125)</f>
        <v>0.50022346651070948</v>
      </c>
      <c r="O125" s="57" t="str">
        <f>"||""Filter"",""SOP30200"",""SOPNUMBE"",""DOCDATE"",""3/1/2016..3/31/2016"",""CUSTNMBR"",""PLAZAONE0001"","""","""","""","""","""","""","""","""","""","""","""","""","""","""","""","""""</f>
        <v>||"Filter","SOP30200","SOPNUMBE","DOCDATE","3/1/2016..3/31/2016","CUSTNMBR","PLAZAONE0001","","","","","","","","","","","","","","","",""</v>
      </c>
      <c r="P125" s="73">
        <v>110799.6</v>
      </c>
      <c r="Q125" s="74">
        <v>8</v>
      </c>
      <c r="R125" s="74">
        <v>55375.040000000001</v>
      </c>
      <c r="S125" s="74">
        <f>+P125-R125</f>
        <v>55424.560000000005</v>
      </c>
      <c r="T125" s="69">
        <f>IF($M125=0,0,$M125/$J125)</f>
        <v>0.50022346651070948</v>
      </c>
    </row>
    <row r="126" spans="1:20" hidden="1" outlineLevel="1" x14ac:dyDescent="0.2">
      <c r="A126" s="98" t="s">
        <v>86</v>
      </c>
      <c r="B126" s="100" t="str">
        <f>B125</f>
        <v>||"Filter","SOP30200","SOPNUMBE","DOCDATE","3/1/2016..3/31/2016|3/1/2017..3/12/2017","CUSTNMBR","PLAZAONE0001","Company=","Fabrikam, Inc.","","","","","","","","","","","","","",""</v>
      </c>
      <c r="D126" s="98" t="str">
        <f>D125</f>
        <v>PLAZAONE0001</v>
      </c>
      <c r="E126" s="55"/>
      <c r="F126" s="78"/>
      <c r="G126" s="52" t="str">
        <f>"HDWR-RNG-0001"</f>
        <v>HDWR-RNG-0001</v>
      </c>
      <c r="H126" s="53" t="str">
        <f>"Ring Generator"</f>
        <v>Ring Generator</v>
      </c>
      <c r="I126" s="57" t="str">
        <f>"||""Filter"",""SOP30200"",""SOPNUMBE"",""DOCDATE"",""3/1/2017..3/31/2017"",""CUSTNMBR"",""PLAZAONE0001"","""","""","""","""","""","""","""","""","""","""","""","""","""","""","""","""""</f>
        <v>||"Filter","SOP30200","SOPNUMBE","DOCDATE","3/1/2017..3/31/2017","CUSTNMBR","PLAZAONE0001","","","","","","","","","","","","","","","",""</v>
      </c>
      <c r="J126" s="49">
        <v>18759.3</v>
      </c>
      <c r="K126" s="51">
        <v>14</v>
      </c>
      <c r="L126" s="51">
        <v>9366</v>
      </c>
      <c r="M126" s="51">
        <f>+J126-L126</f>
        <v>9393.2999999999993</v>
      </c>
      <c r="N126" s="58">
        <f>IF($M126=0,0,$M126/$J126)</f>
        <v>0.50072763909101081</v>
      </c>
      <c r="O126" s="57" t="str">
        <f>"||""Filter"",""SOP30200"",""SOPNUMBE"",""DOCDATE"",""3/1/2016..3/31/2016"",""CUSTNMBR"",""PLAZAONE0001"","""","""","""","""","""","""","""","""","""","""","""","""","""","""","""","""""</f>
        <v>||"Filter","SOP30200","SOPNUMBE","DOCDATE","3/1/2016..3/31/2016","CUSTNMBR","PLAZAONE0001","","","","","","","","","","","","","","","",""</v>
      </c>
      <c r="P126" s="73">
        <v>18759.3</v>
      </c>
      <c r="Q126" s="74">
        <v>14</v>
      </c>
      <c r="R126" s="74">
        <v>9292.6200000000008</v>
      </c>
      <c r="S126" s="74">
        <f>+P126-R126</f>
        <v>9466.6799999999985</v>
      </c>
      <c r="T126" s="69">
        <f>IF($M126=0,0,$M126/$J126)</f>
        <v>0.50072763909101081</v>
      </c>
    </row>
    <row r="127" spans="1:20" hidden="1" outlineLevel="1" x14ac:dyDescent="0.2">
      <c r="A127" s="98" t="s">
        <v>86</v>
      </c>
      <c r="B127" s="100" t="str">
        <f>B126</f>
        <v>||"Filter","SOP30200","SOPNUMBE","DOCDATE","3/1/2016..3/31/2016|3/1/2017..3/12/2017","CUSTNMBR","PLAZAONE0001","Company=","Fabrikam, Inc.","","","","","","","","","","","","","",""</v>
      </c>
      <c r="D127" s="98" t="str">
        <f>D126</f>
        <v>PLAZAONE0001</v>
      </c>
      <c r="E127" s="55"/>
      <c r="F127" s="78"/>
      <c r="G127" s="52" t="str">
        <f>"HDWR-SRG-0001"</f>
        <v>HDWR-SRG-0001</v>
      </c>
      <c r="H127" s="53" t="str">
        <f>"Surge Protector Panel"</f>
        <v>Surge Protector Panel</v>
      </c>
      <c r="I127" s="57" t="str">
        <f>"||""Filter"",""SOP30200"",""SOPNUMBE"",""DOCDATE"",""3/1/2017..3/31/2017"",""CUSTNMBR"",""PLAZAONE0001"","""","""","""","""","""","""","""","""","""","""","""","""","""","""","""","""""</f>
        <v>||"Filter","SOP30200","SOPNUMBE","DOCDATE","3/1/2017..3/31/2017","CUSTNMBR","PLAZAONE0001","","","","","","","","","","","","","","","",""</v>
      </c>
      <c r="J127" s="49">
        <v>319.60000000000002</v>
      </c>
      <c r="K127" s="51">
        <v>8</v>
      </c>
      <c r="L127" s="51">
        <v>156.4</v>
      </c>
      <c r="M127" s="51">
        <f>+J127-L127</f>
        <v>163.20000000000002</v>
      </c>
      <c r="N127" s="58">
        <f>IF($M127=0,0,$M127/$J127)</f>
        <v>0.5106382978723405</v>
      </c>
      <c r="O127" s="57" t="str">
        <f>"||""Filter"",""SOP30200"",""SOPNUMBE"",""DOCDATE"",""3/1/2016..3/31/2016"",""CUSTNMBR"",""PLAZAONE0001"","""","""","""","""","""","""","""","""","""","""","""","""","""","""","""","""""</f>
        <v>||"Filter","SOP30200","SOPNUMBE","DOCDATE","3/1/2016..3/31/2016","CUSTNMBR","PLAZAONE0001","","","","","","","","","","","","","","","",""</v>
      </c>
      <c r="P127" s="73">
        <v>319.60000000000002</v>
      </c>
      <c r="Q127" s="74">
        <v>8</v>
      </c>
      <c r="R127" s="74">
        <v>156.4</v>
      </c>
      <c r="S127" s="74">
        <f>+P127-R127</f>
        <v>163.20000000000002</v>
      </c>
      <c r="T127" s="69">
        <f>IF($M127=0,0,$M127/$J127)</f>
        <v>0.5106382978723405</v>
      </c>
    </row>
    <row r="128" spans="1:20" hidden="1" outlineLevel="1" x14ac:dyDescent="0.2">
      <c r="A128" s="98" t="s">
        <v>86</v>
      </c>
      <c r="B128" s="100" t="str">
        <f>B127</f>
        <v>||"Filter","SOP30200","SOPNUMBE","DOCDATE","3/1/2016..3/31/2016|3/1/2017..3/12/2017","CUSTNMBR","PLAZAONE0001","Company=","Fabrikam, Inc.","","","","","","","","","","","","","",""</v>
      </c>
      <c r="D128" s="98" t="str">
        <f>D127</f>
        <v>PLAZAONE0001</v>
      </c>
      <c r="E128" s="55"/>
      <c r="F128" s="78"/>
      <c r="G128" s="52" t="str">
        <f>"PHON-ATT-53WH"</f>
        <v>PHON-ATT-53WH</v>
      </c>
      <c r="H128" s="53" t="str">
        <f>"Cordless-Attractive 5352-White"</f>
        <v>Cordless-Attractive 5352-White</v>
      </c>
      <c r="I128" s="57" t="str">
        <f>"||""Filter"",""SOP30200"",""SOPNUMBE"",""DOCDATE"",""3/1/2017..3/31/2017"",""CUSTNMBR"",""PLAZAONE0001"","""","""","""","""","""","""","""","""","""","""","""","""","""","""","""","""""</f>
        <v>||"Filter","SOP30200","SOPNUMBE","DOCDATE","3/1/2017..3/31/2017","CUSTNMBR","PLAZAONE0001","","","","","","","","","","","","","","","",""</v>
      </c>
      <c r="J128" s="49">
        <v>0</v>
      </c>
      <c r="K128" s="51">
        <v>0</v>
      </c>
      <c r="L128" s="51">
        <v>0</v>
      </c>
      <c r="M128" s="51">
        <f>+J128-L128</f>
        <v>0</v>
      </c>
      <c r="N128" s="58">
        <f>IF($M128=0,0,$M128/$J128)</f>
        <v>0</v>
      </c>
      <c r="O128" s="57" t="str">
        <f>"||""Filter"",""SOP30200"",""SOPNUMBE"",""DOCDATE"",""3/1/2016..3/31/2016"",""CUSTNMBR"",""PLAZAONE0001"","""","""","""","""","""","""","""","""","""","""","""","""","""","""","""","""""</f>
        <v>||"Filter","SOP30200","SOPNUMBE","DOCDATE","3/1/2016..3/31/2016","CUSTNMBR","PLAZAONE0001","","","","","","","","","","","","","","","",""</v>
      </c>
      <c r="P128" s="73">
        <v>569.85</v>
      </c>
      <c r="Q128" s="74">
        <v>3</v>
      </c>
      <c r="R128" s="74">
        <v>277.77</v>
      </c>
      <c r="S128" s="74">
        <f>+P128-R128</f>
        <v>292.08000000000004</v>
      </c>
      <c r="T128" s="69">
        <f>IF($M128=0,0,$M128/$J128)</f>
        <v>0</v>
      </c>
    </row>
    <row r="129" spans="1:20" hidden="1" outlineLevel="1" x14ac:dyDescent="0.2">
      <c r="A129" s="98" t="s">
        <v>86</v>
      </c>
      <c r="B129" s="100" t="str">
        <f>B128</f>
        <v>||"Filter","SOP30200","SOPNUMBE","DOCDATE","3/1/2016..3/31/2016|3/1/2017..3/12/2017","CUSTNMBR","PLAZAONE0001","Company=","Fabrikam, Inc.","","","","","","","","","","","","","",""</v>
      </c>
      <c r="D129" s="98" t="str">
        <f>D128</f>
        <v>PLAZAONE0001</v>
      </c>
      <c r="E129" s="55"/>
      <c r="F129" s="78"/>
      <c r="G129" s="52" t="str">
        <f>"PHON-PAN-2315"</f>
        <v>PHON-PAN-2315</v>
      </c>
      <c r="H129" s="53" t="str">
        <f>"Panache KX-T231 wall"</f>
        <v>Panache KX-T231 wall</v>
      </c>
      <c r="I129" s="57" t="str">
        <f>"||""Filter"",""SOP30200"",""SOPNUMBE"",""DOCDATE"",""3/1/2017..3/31/2017"",""CUSTNMBR"",""PLAZAONE0001"","""","""","""","""","""","""","""","""","""","""","""","""","""","""","""","""""</f>
        <v>||"Filter","SOP30200","SOPNUMBE","DOCDATE","3/1/2017..3/31/2017","CUSTNMBR","PLAZAONE0001","","","","","","","","","","","","","","","",""</v>
      </c>
      <c r="J129" s="49">
        <v>719.4</v>
      </c>
      <c r="K129" s="51">
        <v>12</v>
      </c>
      <c r="L129" s="51">
        <v>335.76</v>
      </c>
      <c r="M129" s="51">
        <f>+J129-L129</f>
        <v>383.64</v>
      </c>
      <c r="N129" s="58">
        <f>IF($M129=0,0,$M129/$J129)</f>
        <v>0.53327773144286905</v>
      </c>
      <c r="O129" s="57" t="str">
        <f>"||""Filter"",""SOP30200"",""SOPNUMBE"",""DOCDATE"",""3/1/2016..3/31/2016"",""CUSTNMBR"",""PLAZAONE0001"","""","""","""","""","""","""","""","""","""","""","""","""","""","""","""","""""</f>
        <v>||"Filter","SOP30200","SOPNUMBE","DOCDATE","3/1/2016..3/31/2016","CUSTNMBR","PLAZAONE0001","","","","","","","","","","","","","","","",""</v>
      </c>
      <c r="P129" s="73">
        <v>719.4</v>
      </c>
      <c r="Q129" s="74">
        <v>12</v>
      </c>
      <c r="R129" s="74">
        <v>339.3</v>
      </c>
      <c r="S129" s="74">
        <f>+P129-R129</f>
        <v>380.09999999999997</v>
      </c>
      <c r="T129" s="69">
        <f>IF($M129=0,0,$M129/$J129)</f>
        <v>0.53327773144286905</v>
      </c>
    </row>
    <row r="130" spans="1:20" hidden="1" outlineLevel="1" x14ac:dyDescent="0.2">
      <c r="A130" s="98" t="s">
        <v>86</v>
      </c>
      <c r="B130" s="100" t="str">
        <f>B124</f>
        <v>||"Filter","SOP30200","SOPNUMBE","DOCDATE","3/1/2016..3/31/2016|3/1/2017..3/12/2017","CUSTNMBR","PLAZAONE0001","Company=","Fabrikam, Inc.","","","","","","","","","","","","","",""</v>
      </c>
      <c r="D130" s="98" t="str">
        <f>D124</f>
        <v>PLAZAONE0001</v>
      </c>
      <c r="E130" s="55"/>
      <c r="F130" s="79"/>
      <c r="G130" s="52"/>
      <c r="H130" s="53"/>
      <c r="I130" s="57"/>
      <c r="J130" s="49"/>
      <c r="K130" s="51"/>
      <c r="L130" s="51"/>
      <c r="M130" s="51"/>
      <c r="N130" s="58"/>
      <c r="O130" s="57"/>
      <c r="P130" s="73"/>
      <c r="Q130" s="74"/>
      <c r="R130" s="74"/>
      <c r="S130" s="74"/>
      <c r="T130" s="69"/>
    </row>
    <row r="131" spans="1:20" ht="13.5" hidden="1" outlineLevel="1" thickBot="1" x14ac:dyDescent="0.25">
      <c r="A131" s="98" t="s">
        <v>86</v>
      </c>
      <c r="B131" s="100" t="str">
        <f>B130</f>
        <v>||"Filter","SOP30200","SOPNUMBE","DOCDATE","3/1/2016..3/31/2016|3/1/2017..3/12/2017","CUSTNMBR","PLAZAONE0001","Company=","Fabrikam, Inc.","","","","","","","","","","","","","",""</v>
      </c>
      <c r="D131" s="98" t="str">
        <f>D130</f>
        <v>PLAZAONE0001</v>
      </c>
      <c r="E131" s="55"/>
      <c r="F131" s="79"/>
      <c r="I131" s="11"/>
      <c r="J131" s="50"/>
      <c r="K131" s="54"/>
      <c r="L131" s="54"/>
      <c r="M131" s="54"/>
      <c r="N131" s="12"/>
      <c r="O131" s="13"/>
      <c r="P131" s="75"/>
      <c r="Q131" s="76"/>
      <c r="R131" s="76"/>
      <c r="S131" s="76"/>
      <c r="T131" s="40"/>
    </row>
    <row r="132" spans="1:20" ht="13.5" collapsed="1" thickBot="1" x14ac:dyDescent="0.25">
      <c r="A132" s="98" t="s">
        <v>86</v>
      </c>
      <c r="B132" s="100" t="str">
        <f>B131</f>
        <v>||"Filter","SOP30200","SOPNUMBE","DOCDATE","3/1/2016..3/31/2016|3/1/2017..3/12/2017","CUSTNMBR","PLAZAONE0001","Company=","Fabrikam, Inc.","","","","","","","","","","","","","",""</v>
      </c>
      <c r="D132" s="98" t="str">
        <f>D131</f>
        <v>PLAZAONE0001</v>
      </c>
      <c r="E132" s="55"/>
      <c r="H132" s="17" t="str">
        <f>"Total "&amp;D132&amp;":"</f>
        <v>Total PLAZAONE0001:</v>
      </c>
      <c r="I132" s="21"/>
      <c r="J132" s="80">
        <f>SUBTOTAL(9,J124:J131)</f>
        <v>130657.60000000001</v>
      </c>
      <c r="K132" s="80">
        <f>SUBTOTAL(9,K124:K131)</f>
        <v>48</v>
      </c>
      <c r="L132" s="80">
        <f>SUBTOTAL(9,L124:L131)</f>
        <v>65260.500000000007</v>
      </c>
      <c r="M132" s="80">
        <f>SUBTOTAL(9,M124:M131)</f>
        <v>65397.100000000006</v>
      </c>
      <c r="N132" s="22">
        <f>IF(J132=0,0,+M132/J132)</f>
        <v>0.50052274035341227</v>
      </c>
      <c r="O132" s="23"/>
      <c r="P132" s="80">
        <f>SUBTOTAL(9,P124:P131)</f>
        <v>131227.45000000001</v>
      </c>
      <c r="Q132" s="80">
        <f>SUBTOTAL(9,Q124:Q131)</f>
        <v>51</v>
      </c>
      <c r="R132" s="80">
        <f>SUBTOTAL(9,R124:R131)</f>
        <v>65468.430000000008</v>
      </c>
      <c r="S132" s="80">
        <f>SUBTOTAL(9,S124:S131)</f>
        <v>65759.02</v>
      </c>
      <c r="T132" s="22">
        <f>IF(S132=0,0,S132/P132)</f>
        <v>0.50110719975127149</v>
      </c>
    </row>
    <row r="133" spans="1:20" x14ac:dyDescent="0.2">
      <c r="A133" s="98" t="s">
        <v>86</v>
      </c>
      <c r="B133" s="100" t="str">
        <f>B132</f>
        <v>||"Filter","SOP30200","SOPNUMBE","DOCDATE","3/1/2016..3/31/2016|3/1/2017..3/12/2017","CUSTNMBR","PLAZAONE0001","Company=","Fabrikam, Inc.","","","","","","","","","","","","","",""</v>
      </c>
      <c r="D133" s="98" t="str">
        <f>D132</f>
        <v>PLAZAONE0001</v>
      </c>
      <c r="E133" s="55"/>
      <c r="I133" s="11"/>
      <c r="J133" s="50"/>
      <c r="K133" s="54"/>
      <c r="L133" s="54"/>
      <c r="M133" s="54"/>
      <c r="N133" s="12"/>
      <c r="O133" s="11"/>
      <c r="P133" s="75"/>
      <c r="Q133" s="76"/>
      <c r="R133" s="76"/>
      <c r="S133" s="76"/>
      <c r="T133" s="40"/>
    </row>
    <row r="134" spans="1:20" ht="15.75" thickBot="1" x14ac:dyDescent="0.3">
      <c r="A134" s="98" t="s">
        <v>86</v>
      </c>
      <c r="B134" s="100" t="str">
        <f>"||""Filter"",""SOP30200"",""SOPNUMBE"",""DOCDATE"",""3/1/2016..3/31/2016|3/1/2017..3/12/2017"",""CUSTNMBR"",""VANCOUVE0001"",""Company="",""Fabrikam, Inc."","""","""","""","""","""","""","""","""","""","""","""","""","""","""""</f>
        <v>||"Filter","SOP30200","SOPNUMBE","DOCDATE","3/1/2016..3/31/2016|3/1/2017..3/12/2017","CUSTNMBR","VANCOUVE0001","Company=","Fabrikam, Inc.","","","","","","","","","","","","","",""</v>
      </c>
      <c r="D134" s="98" t="str">
        <f>F134</f>
        <v>VANCOUVE0001</v>
      </c>
      <c r="E134" s="55"/>
      <c r="F134" s="77" t="str">
        <f>"VANCOUVE0001"</f>
        <v>VANCOUVE0001</v>
      </c>
      <c r="G134" s="19"/>
      <c r="H134" s="27" t="str">
        <f>"Vancouver Resort Hotels"</f>
        <v>Vancouver Resort Hotels</v>
      </c>
      <c r="I134" s="30"/>
      <c r="J134" s="8"/>
      <c r="K134" s="8"/>
      <c r="L134" s="8"/>
      <c r="M134" s="8"/>
      <c r="N134" s="9"/>
      <c r="O134" s="30"/>
      <c r="P134" s="46"/>
      <c r="Q134" s="45"/>
      <c r="R134" s="47"/>
      <c r="S134" s="45"/>
      <c r="T134" s="9"/>
    </row>
    <row r="135" spans="1:20" hidden="1" outlineLevel="1" x14ac:dyDescent="0.2">
      <c r="A135" s="98" t="s">
        <v>119</v>
      </c>
      <c r="B135" s="100" t="str">
        <f>B134</f>
        <v>||"Filter","SOP30200","SOPNUMBE","DOCDATE","3/1/2016..3/31/2016|3/1/2017..3/12/2017","CUSTNMBR","VANCOUVE0001","Company=","Fabrikam, Inc.","","","","","","","","","","","","","",""</v>
      </c>
      <c r="D135" s="98" t="str">
        <f>D134</f>
        <v>VANCOUVE0001</v>
      </c>
      <c r="E135" s="55"/>
      <c r="F135" s="78"/>
      <c r="G135" s="56"/>
      <c r="H135" s="61"/>
      <c r="I135" s="7"/>
      <c r="J135" s="7"/>
      <c r="K135" s="8"/>
      <c r="L135" s="8"/>
      <c r="M135" s="8"/>
      <c r="N135" s="9"/>
      <c r="O135" s="7"/>
      <c r="P135" s="46"/>
      <c r="Q135" s="45"/>
      <c r="R135" s="47"/>
      <c r="S135" s="45"/>
      <c r="T135" s="9"/>
    </row>
    <row r="136" spans="1:20" hidden="1" outlineLevel="1" x14ac:dyDescent="0.2">
      <c r="A136" s="98" t="s">
        <v>86</v>
      </c>
      <c r="B136" s="100" t="str">
        <f>B135</f>
        <v>||"Filter","SOP30200","SOPNUMBE","DOCDATE","3/1/2016..3/31/2016|3/1/2017..3/12/2017","CUSTNMBR","VANCOUVE0001","Company=","Fabrikam, Inc.","","","","","","","","","","","","","",""</v>
      </c>
      <c r="D136" s="98" t="str">
        <f>D135</f>
        <v>VANCOUVE0001</v>
      </c>
      <c r="E136" s="55"/>
      <c r="F136" s="78"/>
      <c r="G136" s="52" t="str">
        <f>"ACCS-CRD-12WH"</f>
        <v>ACCS-CRD-12WH</v>
      </c>
      <c r="H136" s="53" t="str">
        <f>"Phone Cord - 12' White"</f>
        <v>Phone Cord - 12' White</v>
      </c>
      <c r="I136" s="57" t="str">
        <f>"||""Filter"",""SOP30200"",""SOPNUMBE"",""DOCDATE"",""3/1/2017..3/31/2017"",""CUSTNMBR"",""VANCOUVE0001"","""","""","""","""","""","""","""","""","""","""","""","""","""","""","""","""""</f>
        <v>||"Filter","SOP30200","SOPNUMBE","DOCDATE","3/1/2017..3/31/2017","CUSTNMBR","VANCOUVE0001","","","","","","","","","","","","","","","",""</v>
      </c>
      <c r="J136" s="49">
        <v>39.799999999999997</v>
      </c>
      <c r="K136" s="51">
        <v>4</v>
      </c>
      <c r="L136" s="51">
        <v>13.16</v>
      </c>
      <c r="M136" s="51">
        <f>+J136-L136</f>
        <v>26.639999999999997</v>
      </c>
      <c r="N136" s="58">
        <f>IF($M136=0,0,$M136/$J136)</f>
        <v>0.66934673366834163</v>
      </c>
      <c r="O136" s="57" t="str">
        <f>"||""Filter"",""SOP30200"",""SOPNUMBE"",""DOCDATE"",""3/1/2016..3/31/2016"",""CUSTNMBR"",""VANCOUVE0001"","""","""","""","""","""","""","""","""","""","""","""","""","""","""","""","""""</f>
        <v>||"Filter","SOP30200","SOPNUMBE","DOCDATE","3/1/2016..3/31/2016","CUSTNMBR","VANCOUVE0001","","","","","","","","","","","","","","","",""</v>
      </c>
      <c r="P136" s="73">
        <v>39.799999999999997</v>
      </c>
      <c r="Q136" s="74">
        <v>4</v>
      </c>
      <c r="R136" s="74">
        <v>13.16</v>
      </c>
      <c r="S136" s="74">
        <f>+P136-R136</f>
        <v>26.639999999999997</v>
      </c>
      <c r="T136" s="69">
        <f>IF($M136=0,0,$M136/$J136)</f>
        <v>0.66934673366834163</v>
      </c>
    </row>
    <row r="137" spans="1:20" hidden="1" outlineLevel="1" x14ac:dyDescent="0.2">
      <c r="A137" s="98" t="s">
        <v>86</v>
      </c>
      <c r="B137" s="100" t="str">
        <f>B136</f>
        <v>||"Filter","SOP30200","SOPNUMBE","DOCDATE","3/1/2016..3/31/2016|3/1/2017..3/12/2017","CUSTNMBR","VANCOUVE0001","Company=","Fabrikam, Inc.","","","","","","","","","","","","","",""</v>
      </c>
      <c r="D137" s="98" t="str">
        <f>D136</f>
        <v>VANCOUVE0001</v>
      </c>
      <c r="E137" s="55"/>
      <c r="F137" s="78"/>
      <c r="G137" s="52" t="str">
        <f>"ANSW-PAN-1450"</f>
        <v>ANSW-PAN-1450</v>
      </c>
      <c r="H137" s="53" t="str">
        <f>"Panache KX-T1450 answer"</f>
        <v>Panache KX-T1450 answer</v>
      </c>
      <c r="I137" s="57" t="str">
        <f>"||""Filter"",""SOP30200"",""SOPNUMBE"",""DOCDATE"",""3/1/2017..3/31/2017"",""CUSTNMBR"",""VANCOUVE0001"","""","""","""","""","""","""","""","""","""","""","""","""","""","""","""","""""</f>
        <v>||"Filter","SOP30200","SOPNUMBE","DOCDATE","3/1/2017..3/31/2017","CUSTNMBR","VANCOUVE0001","","","","","","","","","","","","","","","",""</v>
      </c>
      <c r="J137" s="49">
        <v>659.7</v>
      </c>
      <c r="K137" s="51">
        <v>6</v>
      </c>
      <c r="L137" s="51">
        <v>301.5</v>
      </c>
      <c r="M137" s="51">
        <f>+J137-L137</f>
        <v>358.20000000000005</v>
      </c>
      <c r="N137" s="58">
        <f>IF($M137=0,0,$M137/$J137)</f>
        <v>0.5429740791268759</v>
      </c>
      <c r="O137" s="57" t="str">
        <f>"||""Filter"",""SOP30200"",""SOPNUMBE"",""DOCDATE"",""3/1/2016..3/31/2016"",""CUSTNMBR"",""VANCOUVE0001"","""","""","""","""","""","""","""","""","""","""","""","""","""","""","""","""""</f>
        <v>||"Filter","SOP30200","SOPNUMBE","DOCDATE","3/1/2016..3/31/2016","CUSTNMBR","VANCOUVE0001","","","","","","","","","","","","","","","",""</v>
      </c>
      <c r="P137" s="73">
        <v>659.7</v>
      </c>
      <c r="Q137" s="74">
        <v>6</v>
      </c>
      <c r="R137" s="74">
        <v>301.5</v>
      </c>
      <c r="S137" s="74">
        <f>+P137-R137</f>
        <v>358.20000000000005</v>
      </c>
      <c r="T137" s="69">
        <f>IF($M137=0,0,$M137/$J137)</f>
        <v>0.5429740791268759</v>
      </c>
    </row>
    <row r="138" spans="1:20" hidden="1" outlineLevel="1" x14ac:dyDescent="0.2">
      <c r="A138" s="98" t="s">
        <v>86</v>
      </c>
      <c r="B138" s="100" t="str">
        <f>B137</f>
        <v>||"Filter","SOP30200","SOPNUMBE","DOCDATE","3/1/2016..3/31/2016|3/1/2017..3/12/2017","CUSTNMBR","VANCOUVE0001","Company=","Fabrikam, Inc.","","","","","","","","","","","","","",""</v>
      </c>
      <c r="D138" s="98" t="str">
        <f>D137</f>
        <v>VANCOUVE0001</v>
      </c>
      <c r="E138" s="55"/>
      <c r="F138" s="78"/>
      <c r="G138" s="52" t="str">
        <f>"REPR-TWO-0002"</f>
        <v>REPR-TWO-0002</v>
      </c>
      <c r="H138" s="53" t="str">
        <f>"On-site Repair"</f>
        <v>On-site Repair</v>
      </c>
      <c r="I138" s="57" t="str">
        <f>"||""Filter"",""SOP30200"",""SOPNUMBE"",""DOCDATE"",""3/1/2017..3/31/2017"",""CUSTNMBR"",""VANCOUVE0001"","""","""","""","""","""","""","""","""","""","""","""","""","""","""","""","""""</f>
        <v>||"Filter","SOP30200","SOPNUMBE","DOCDATE","3/1/2017..3/31/2017","CUSTNMBR","VANCOUVE0001","","","","","","","","","","","","","","","",""</v>
      </c>
      <c r="J138" s="49">
        <v>838.8</v>
      </c>
      <c r="K138" s="51">
        <v>24</v>
      </c>
      <c r="L138" s="51">
        <v>0</v>
      </c>
      <c r="M138" s="51">
        <f>+J138-L138</f>
        <v>838.8</v>
      </c>
      <c r="N138" s="58">
        <f>IF($M138=0,0,$M138/$J138)</f>
        <v>1</v>
      </c>
      <c r="O138" s="57" t="str">
        <f>"||""Filter"",""SOP30200"",""SOPNUMBE"",""DOCDATE"",""3/1/2016..3/31/2016"",""CUSTNMBR"",""VANCOUVE0001"","""","""","""","""","""","""","""","""","""","""","""","""","""","""","""","""""</f>
        <v>||"Filter","SOP30200","SOPNUMBE","DOCDATE","3/1/2016..3/31/2016","CUSTNMBR","VANCOUVE0001","","","","","","","","","","","","","","","",""</v>
      </c>
      <c r="P138" s="73">
        <v>838.8</v>
      </c>
      <c r="Q138" s="74">
        <v>24</v>
      </c>
      <c r="R138" s="74">
        <v>0</v>
      </c>
      <c r="S138" s="74">
        <f>+P138-R138</f>
        <v>838.8</v>
      </c>
      <c r="T138" s="69">
        <f>IF($M138=0,0,$M138/$J138)</f>
        <v>1</v>
      </c>
    </row>
    <row r="139" spans="1:20" hidden="1" outlineLevel="1" x14ac:dyDescent="0.2">
      <c r="A139" s="98" t="s">
        <v>86</v>
      </c>
      <c r="B139" s="100" t="str">
        <f>B136</f>
        <v>||"Filter","SOP30200","SOPNUMBE","DOCDATE","3/1/2016..3/31/2016|3/1/2017..3/12/2017","CUSTNMBR","VANCOUVE0001","Company=","Fabrikam, Inc.","","","","","","","","","","","","","",""</v>
      </c>
      <c r="D139" s="98" t="str">
        <f>D136</f>
        <v>VANCOUVE0001</v>
      </c>
      <c r="E139" s="55"/>
      <c r="F139" s="79"/>
      <c r="G139" s="52"/>
      <c r="H139" s="53"/>
      <c r="I139" s="57"/>
      <c r="J139" s="49"/>
      <c r="K139" s="51"/>
      <c r="L139" s="51"/>
      <c r="M139" s="51"/>
      <c r="N139" s="58"/>
      <c r="O139" s="57"/>
      <c r="P139" s="73"/>
      <c r="Q139" s="74"/>
      <c r="R139" s="74"/>
      <c r="S139" s="74"/>
      <c r="T139" s="69"/>
    </row>
    <row r="140" spans="1:20" ht="13.5" hidden="1" outlineLevel="1" thickBot="1" x14ac:dyDescent="0.25">
      <c r="A140" s="98" t="s">
        <v>86</v>
      </c>
      <c r="B140" s="100" t="str">
        <f t="shared" ref="B135:B142" si="0">B139</f>
        <v>||"Filter","SOP30200","SOPNUMBE","DOCDATE","3/1/2016..3/31/2016|3/1/2017..3/12/2017","CUSTNMBR","VANCOUVE0001","Company=","Fabrikam, Inc.","","","","","","","","","","","","","",""</v>
      </c>
      <c r="D140" s="98" t="str">
        <f t="shared" ref="D135:D142" si="1">D139</f>
        <v>VANCOUVE0001</v>
      </c>
      <c r="E140" s="55"/>
      <c r="F140" s="79"/>
      <c r="I140" s="11"/>
      <c r="J140" s="50"/>
      <c r="K140" s="54"/>
      <c r="L140" s="54"/>
      <c r="M140" s="54"/>
      <c r="N140" s="12"/>
      <c r="O140" s="13"/>
      <c r="P140" s="75"/>
      <c r="Q140" s="76"/>
      <c r="R140" s="76"/>
      <c r="S140" s="76"/>
      <c r="T140" s="40"/>
    </row>
    <row r="141" spans="1:20" ht="13.5" collapsed="1" thickBot="1" x14ac:dyDescent="0.25">
      <c r="A141" s="98" t="s">
        <v>86</v>
      </c>
      <c r="B141" s="100" t="str">
        <f t="shared" si="0"/>
        <v>||"Filter","SOP30200","SOPNUMBE","DOCDATE","3/1/2016..3/31/2016|3/1/2017..3/12/2017","CUSTNMBR","VANCOUVE0001","Company=","Fabrikam, Inc.","","","","","","","","","","","","","",""</v>
      </c>
      <c r="D141" s="98" t="str">
        <f t="shared" si="1"/>
        <v>VANCOUVE0001</v>
      </c>
      <c r="E141" s="55"/>
      <c r="H141" s="17" t="str">
        <f t="shared" ref="H141:H142" si="2">"Total "&amp;D141&amp;":"</f>
        <v>Total VANCOUVE0001:</v>
      </c>
      <c r="I141" s="21"/>
      <c r="J141" s="80">
        <f t="shared" ref="J141:M141" si="3">SUBTOTAL(9,J136:J140)</f>
        <v>1538.3</v>
      </c>
      <c r="K141" s="80">
        <f t="shared" si="3"/>
        <v>34</v>
      </c>
      <c r="L141" s="80">
        <f t="shared" si="3"/>
        <v>314.66000000000003</v>
      </c>
      <c r="M141" s="80">
        <f t="shared" si="3"/>
        <v>1223.6399999999999</v>
      </c>
      <c r="N141" s="22">
        <f t="shared" ref="N141" si="4">IF(J141=0,0,+M141/J141)</f>
        <v>0.79544952219983089</v>
      </c>
      <c r="O141" s="23"/>
      <c r="P141" s="80">
        <f t="shared" ref="P141:S141" si="5">SUBTOTAL(9,P136:P140)</f>
        <v>1538.3</v>
      </c>
      <c r="Q141" s="80">
        <f t="shared" si="5"/>
        <v>34</v>
      </c>
      <c r="R141" s="80">
        <f t="shared" si="5"/>
        <v>314.66000000000003</v>
      </c>
      <c r="S141" s="80">
        <f t="shared" si="5"/>
        <v>1223.6399999999999</v>
      </c>
      <c r="T141" s="22">
        <f t="shared" ref="T141" si="6">IF(S141=0,0,S141/P141)</f>
        <v>0.79544952219983089</v>
      </c>
    </row>
    <row r="142" spans="1:20" x14ac:dyDescent="0.2">
      <c r="A142" s="98" t="s">
        <v>86</v>
      </c>
      <c r="B142" s="100" t="str">
        <f t="shared" si="0"/>
        <v>||"Filter","SOP30200","SOPNUMBE","DOCDATE","3/1/2016..3/31/2016|3/1/2017..3/12/2017","CUSTNMBR","VANCOUVE0001","Company=","Fabrikam, Inc.","","","","","","","","","","","","","",""</v>
      </c>
      <c r="D142" s="98" t="str">
        <f t="shared" si="1"/>
        <v>VANCOUVE0001</v>
      </c>
      <c r="E142" s="55"/>
      <c r="I142" s="11"/>
      <c r="J142" s="50"/>
      <c r="K142" s="54"/>
      <c r="L142" s="54"/>
      <c r="M142" s="54"/>
      <c r="N142" s="12"/>
      <c r="O142" s="11"/>
      <c r="P142" s="75"/>
      <c r="Q142" s="76"/>
      <c r="R142" s="76"/>
      <c r="S142" s="76"/>
      <c r="T142" s="40"/>
    </row>
    <row r="143" spans="1:20" ht="12.75" customHeight="1" thickBot="1" x14ac:dyDescent="0.25">
      <c r="I143" s="11"/>
      <c r="J143" s="50"/>
      <c r="K143" s="54"/>
      <c r="L143" s="54"/>
      <c r="M143" s="54"/>
      <c r="N143" s="12"/>
      <c r="O143" s="11"/>
      <c r="P143" s="90"/>
      <c r="Q143" s="76"/>
      <c r="R143" s="76"/>
      <c r="S143" s="76"/>
      <c r="T143" s="40"/>
    </row>
    <row r="144" spans="1:20" s="41" customFormat="1" ht="16.5" thickBot="1" x14ac:dyDescent="0.3">
      <c r="A144" s="105"/>
      <c r="B144" s="105"/>
      <c r="C144" s="105"/>
      <c r="D144" s="105"/>
      <c r="E144"/>
      <c r="H144" s="70" t="s">
        <v>2</v>
      </c>
      <c r="I144" s="42"/>
      <c r="J144" s="71">
        <f>SUBTOTAL(9,J25:J143)</f>
        <v>350521.1</v>
      </c>
      <c r="K144" s="71">
        <f>SUBTOTAL(9,K25:K143)</f>
        <v>378</v>
      </c>
      <c r="L144" s="71">
        <f>SUBTOTAL(9,L25:L143)</f>
        <v>178272.93000000002</v>
      </c>
      <c r="M144" s="71">
        <f>SUBTOTAL(9,M25:M143)</f>
        <v>172248.17</v>
      </c>
      <c r="N144" s="43">
        <f>IF(J144=0,0,+M144/J144)</f>
        <v>0.49140599524536477</v>
      </c>
      <c r="O144" s="44"/>
      <c r="P144" s="72">
        <f>SUBTOTAL(9,P25:P143)</f>
        <v>472728.79999999993</v>
      </c>
      <c r="Q144" s="72">
        <f>SUBTOTAL(9,Q25:Q143)</f>
        <v>424</v>
      </c>
      <c r="R144" s="72">
        <f>SUBTOTAL(9,R25:R143)</f>
        <v>235379.47999999992</v>
      </c>
      <c r="S144" s="72">
        <f>SUBTOTAL(9,S25:S143)</f>
        <v>237349.32</v>
      </c>
      <c r="T144" s="48">
        <f>IF(P144=0,0,+S144/P144)</f>
        <v>0.50208347788414842</v>
      </c>
    </row>
    <row r="145" spans="25:175" x14ac:dyDescent="0.2">
      <c r="Y145" s="89"/>
    </row>
    <row r="146" spans="25:175" x14ac:dyDescent="0.2">
      <c r="FQ146" s="89"/>
    </row>
    <row r="147" spans="25:175" x14ac:dyDescent="0.2">
      <c r="FR147" s="89"/>
    </row>
    <row r="148" spans="25:175" x14ac:dyDescent="0.2">
      <c r="FS148" s="89"/>
    </row>
  </sheetData>
  <mergeCells count="3">
    <mergeCell ref="I16:S16"/>
    <mergeCell ref="J20:N20"/>
    <mergeCell ref="P20:T20"/>
  </mergeCells>
  <phoneticPr fontId="4" type="noConversion"/>
  <pageMargins left="0.7" right="0.7" top="0.75" bottom="0.75" header="0.3" footer="0.3"/>
  <pageSetup scale="57" fitToHeight="0" orientation="landscape" r:id="rId1"/>
  <headerFooter alignWithMargins="0">
    <oddHeader>&amp;R&amp;8Date: &amp;D
Time: &amp;T
Page: &amp;P of &amp;N</oddHeader>
    <oddFooter>&amp;R&amp;8Page: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heetViews>
  <sheetFormatPr defaultRowHeight="12.75" x14ac:dyDescent="0.2"/>
  <sheetData>
    <row r="1" spans="1:6" x14ac:dyDescent="0.2">
      <c r="A1" s="81" t="s">
        <v>986</v>
      </c>
      <c r="D1" s="81" t="s">
        <v>29</v>
      </c>
      <c r="E1" s="81" t="s">
        <v>30</v>
      </c>
      <c r="F1" s="81" t="s">
        <v>31</v>
      </c>
    </row>
    <row r="4" spans="1:6" x14ac:dyDescent="0.2">
      <c r="C4" s="81" t="s">
        <v>21</v>
      </c>
    </row>
    <row r="6" spans="1:6" x14ac:dyDescent="0.2">
      <c r="D6" s="81" t="s">
        <v>12</v>
      </c>
    </row>
    <row r="8" spans="1:6" x14ac:dyDescent="0.2">
      <c r="A8" s="81" t="s">
        <v>32</v>
      </c>
      <c r="D8" s="81" t="s">
        <v>28</v>
      </c>
      <c r="E8" s="81" t="s">
        <v>100</v>
      </c>
      <c r="F8" s="81" t="s">
        <v>44</v>
      </c>
    </row>
    <row r="9" spans="1:6" x14ac:dyDescent="0.2">
      <c r="A9" s="81" t="s">
        <v>32</v>
      </c>
      <c r="D9" s="81" t="s">
        <v>10</v>
      </c>
      <c r="E9" s="81" t="s">
        <v>95</v>
      </c>
      <c r="F9" s="81" t="s">
        <v>45</v>
      </c>
    </row>
    <row r="10" spans="1:6" x14ac:dyDescent="0.2">
      <c r="A10" s="81" t="s">
        <v>32</v>
      </c>
      <c r="D10" s="81" t="s">
        <v>37</v>
      </c>
      <c r="E10" s="81" t="s">
        <v>94</v>
      </c>
      <c r="F10" s="81" t="s">
        <v>46</v>
      </c>
    </row>
    <row r="11" spans="1:6" x14ac:dyDescent="0.2">
      <c r="A11" s="81" t="s">
        <v>32</v>
      </c>
      <c r="D11" s="81" t="s">
        <v>11</v>
      </c>
      <c r="E11" s="81" t="s">
        <v>94</v>
      </c>
      <c r="F11" s="81" t="s">
        <v>47</v>
      </c>
    </row>
    <row r="12" spans="1:6" x14ac:dyDescent="0.2">
      <c r="A12" s="81" t="s">
        <v>32</v>
      </c>
      <c r="D12" s="81" t="s">
        <v>15</v>
      </c>
      <c r="E12" s="81" t="s">
        <v>396</v>
      </c>
    </row>
    <row r="13" spans="1:6" x14ac:dyDescent="0.2">
      <c r="A13" s="81" t="s">
        <v>32</v>
      </c>
      <c r="D13" s="81" t="s">
        <v>14</v>
      </c>
      <c r="E13" s="81" t="s">
        <v>397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heetViews>
  <sheetFormatPr defaultRowHeight="12.75" x14ac:dyDescent="0.2"/>
  <sheetData>
    <row r="1" spans="1:6" x14ac:dyDescent="0.2">
      <c r="A1" s="81" t="s">
        <v>986</v>
      </c>
      <c r="D1" s="81" t="s">
        <v>29</v>
      </c>
      <c r="E1" s="81" t="s">
        <v>30</v>
      </c>
      <c r="F1" s="81" t="s">
        <v>31</v>
      </c>
    </row>
    <row r="4" spans="1:6" x14ac:dyDescent="0.2">
      <c r="C4" s="81" t="s">
        <v>21</v>
      </c>
    </row>
    <row r="6" spans="1:6" x14ac:dyDescent="0.2">
      <c r="D6" s="81" t="s">
        <v>12</v>
      </c>
    </row>
    <row r="8" spans="1:6" x14ac:dyDescent="0.2">
      <c r="A8" s="81" t="s">
        <v>32</v>
      </c>
      <c r="D8" s="81" t="s">
        <v>28</v>
      </c>
      <c r="E8" s="81" t="s">
        <v>100</v>
      </c>
      <c r="F8" s="81" t="s">
        <v>44</v>
      </c>
    </row>
    <row r="9" spans="1:6" x14ac:dyDescent="0.2">
      <c r="A9" s="81" t="s">
        <v>32</v>
      </c>
      <c r="D9" s="81" t="s">
        <v>10</v>
      </c>
      <c r="E9" s="81" t="s">
        <v>95</v>
      </c>
      <c r="F9" s="81" t="s">
        <v>45</v>
      </c>
    </row>
    <row r="10" spans="1:6" x14ac:dyDescent="0.2">
      <c r="A10" s="81" t="s">
        <v>32</v>
      </c>
      <c r="D10" s="81" t="s">
        <v>37</v>
      </c>
      <c r="E10" s="81" t="s">
        <v>94</v>
      </c>
      <c r="F10" s="81" t="s">
        <v>46</v>
      </c>
    </row>
    <row r="11" spans="1:6" x14ac:dyDescent="0.2">
      <c r="A11" s="81" t="s">
        <v>32</v>
      </c>
      <c r="D11" s="81" t="s">
        <v>11</v>
      </c>
      <c r="E11" s="81" t="s">
        <v>94</v>
      </c>
      <c r="F11" s="81" t="s">
        <v>47</v>
      </c>
    </row>
    <row r="12" spans="1:6" x14ac:dyDescent="0.2">
      <c r="A12" s="81" t="s">
        <v>32</v>
      </c>
      <c r="D12" s="81" t="s">
        <v>15</v>
      </c>
      <c r="E12" s="81" t="s">
        <v>396</v>
      </c>
    </row>
    <row r="13" spans="1:6" x14ac:dyDescent="0.2">
      <c r="A13" s="81" t="s">
        <v>32</v>
      </c>
      <c r="D13" s="81" t="s">
        <v>14</v>
      </c>
      <c r="E13" s="81" t="s">
        <v>397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workbookViewId="0"/>
  </sheetViews>
  <sheetFormatPr defaultRowHeight="12.75" x14ac:dyDescent="0.2"/>
  <sheetData>
    <row r="1" spans="1:20" x14ac:dyDescent="0.2">
      <c r="A1" s="81" t="s">
        <v>990</v>
      </c>
      <c r="B1" s="81" t="s">
        <v>27</v>
      </c>
      <c r="C1" s="81" t="s">
        <v>27</v>
      </c>
      <c r="D1" s="81" t="s">
        <v>27</v>
      </c>
      <c r="I1" s="81" t="s">
        <v>27</v>
      </c>
      <c r="O1" s="81" t="s">
        <v>27</v>
      </c>
    </row>
    <row r="2" spans="1:20" x14ac:dyDescent="0.2">
      <c r="A2" s="81" t="s">
        <v>27</v>
      </c>
    </row>
    <row r="3" spans="1:20" x14ac:dyDescent="0.2">
      <c r="F3" s="81" t="s">
        <v>48</v>
      </c>
    </row>
    <row r="4" spans="1:20" x14ac:dyDescent="0.2">
      <c r="F4" s="81" t="s">
        <v>21</v>
      </c>
    </row>
    <row r="5" spans="1:20" x14ac:dyDescent="0.2">
      <c r="F5" s="81" t="s">
        <v>34</v>
      </c>
    </row>
    <row r="7" spans="1:20" x14ac:dyDescent="0.2">
      <c r="F7" s="81" t="s">
        <v>49</v>
      </c>
      <c r="H7" s="81" t="s">
        <v>50</v>
      </c>
    </row>
    <row r="8" spans="1:20" x14ac:dyDescent="0.2">
      <c r="F8" s="81" t="s">
        <v>51</v>
      </c>
      <c r="H8" s="81" t="s">
        <v>52</v>
      </c>
      <c r="S8" s="81" t="s">
        <v>35</v>
      </c>
      <c r="T8" s="81" t="s">
        <v>53</v>
      </c>
    </row>
    <row r="9" spans="1:20" x14ac:dyDescent="0.2">
      <c r="F9" s="81" t="s">
        <v>54</v>
      </c>
      <c r="H9" s="81" t="s">
        <v>55</v>
      </c>
    </row>
    <row r="10" spans="1:20" x14ac:dyDescent="0.2">
      <c r="F10" s="81" t="s">
        <v>56</v>
      </c>
      <c r="H10" s="81" t="s">
        <v>57</v>
      </c>
    </row>
    <row r="11" spans="1:20" x14ac:dyDescent="0.2">
      <c r="A11" s="81" t="s">
        <v>20</v>
      </c>
    </row>
    <row r="12" spans="1:20" x14ac:dyDescent="0.2">
      <c r="A12" s="81" t="s">
        <v>20</v>
      </c>
      <c r="B12" s="81" t="s">
        <v>33</v>
      </c>
      <c r="C12" s="81" t="s">
        <v>58</v>
      </c>
    </row>
    <row r="13" spans="1:20" x14ac:dyDescent="0.2">
      <c r="A13" s="81" t="s">
        <v>20</v>
      </c>
      <c r="B13" s="81" t="s">
        <v>23</v>
      </c>
      <c r="C13" s="81" t="s">
        <v>59</v>
      </c>
      <c r="H13" s="81" t="s">
        <v>25</v>
      </c>
      <c r="I13" s="81" t="s">
        <v>186</v>
      </c>
      <c r="O13" s="81" t="s">
        <v>187</v>
      </c>
    </row>
    <row r="14" spans="1:20" x14ac:dyDescent="0.2">
      <c r="A14" s="81" t="s">
        <v>20</v>
      </c>
      <c r="B14" s="81" t="s">
        <v>18</v>
      </c>
      <c r="C14" s="81" t="s">
        <v>182</v>
      </c>
      <c r="D14" s="81" t="s">
        <v>60</v>
      </c>
      <c r="H14" s="81" t="s">
        <v>26</v>
      </c>
      <c r="I14" s="81" t="s">
        <v>188</v>
      </c>
      <c r="O14" s="81" t="s">
        <v>189</v>
      </c>
    </row>
    <row r="15" spans="1:20" x14ac:dyDescent="0.2">
      <c r="A15" s="81" t="s">
        <v>20</v>
      </c>
      <c r="B15" s="81" t="s">
        <v>19</v>
      </c>
      <c r="C15" s="81" t="s">
        <v>61</v>
      </c>
      <c r="I15" s="81" t="s">
        <v>190</v>
      </c>
      <c r="O15" s="81" t="s">
        <v>191</v>
      </c>
    </row>
    <row r="16" spans="1:20" x14ac:dyDescent="0.2">
      <c r="A16" s="81" t="s">
        <v>20</v>
      </c>
      <c r="B16" s="81" t="s">
        <v>24</v>
      </c>
      <c r="C16" s="81" t="s">
        <v>62</v>
      </c>
    </row>
    <row r="17" spans="1:20" x14ac:dyDescent="0.2">
      <c r="A17" s="81" t="s">
        <v>20</v>
      </c>
      <c r="B17" s="81" t="s">
        <v>38</v>
      </c>
      <c r="C17" s="81" t="s">
        <v>63</v>
      </c>
    </row>
    <row r="18" spans="1:20" x14ac:dyDescent="0.2">
      <c r="B18" s="81" t="s">
        <v>13</v>
      </c>
      <c r="C18" s="81" t="s">
        <v>64</v>
      </c>
      <c r="F18" s="81" t="s">
        <v>65</v>
      </c>
    </row>
    <row r="19" spans="1:20" x14ac:dyDescent="0.2">
      <c r="B19" s="81" t="s">
        <v>16</v>
      </c>
      <c r="C19" s="81" t="s">
        <v>192</v>
      </c>
    </row>
    <row r="20" spans="1:20" x14ac:dyDescent="0.2">
      <c r="B20" s="81" t="s">
        <v>39</v>
      </c>
      <c r="C20" s="81" t="s">
        <v>66</v>
      </c>
      <c r="J20" s="81" t="s">
        <v>193</v>
      </c>
      <c r="P20" s="81" t="s">
        <v>194</v>
      </c>
    </row>
    <row r="21" spans="1:20" x14ac:dyDescent="0.2">
      <c r="B21" s="81" t="s">
        <v>40</v>
      </c>
      <c r="F21" s="81" t="s">
        <v>17</v>
      </c>
      <c r="H21" s="81" t="s">
        <v>22</v>
      </c>
      <c r="J21" s="81" t="s">
        <v>41</v>
      </c>
      <c r="K21" s="81" t="s">
        <v>3</v>
      </c>
      <c r="L21" s="81" t="s">
        <v>42</v>
      </c>
      <c r="M21" s="81" t="s">
        <v>1</v>
      </c>
      <c r="N21" s="81" t="s">
        <v>0</v>
      </c>
      <c r="P21" s="81" t="s">
        <v>96</v>
      </c>
      <c r="Q21" s="81" t="s">
        <v>3</v>
      </c>
      <c r="R21" s="81" t="s">
        <v>42</v>
      </c>
      <c r="S21" s="81" t="s">
        <v>1</v>
      </c>
      <c r="T21" s="81" t="s">
        <v>0</v>
      </c>
    </row>
    <row r="22" spans="1:20" x14ac:dyDescent="0.2">
      <c r="B22" s="81" t="s">
        <v>43</v>
      </c>
    </row>
    <row r="23" spans="1:20" x14ac:dyDescent="0.2">
      <c r="B23" s="81" t="s">
        <v>195</v>
      </c>
      <c r="D23" s="81" t="s">
        <v>196</v>
      </c>
      <c r="F23" s="81" t="s">
        <v>197</v>
      </c>
      <c r="H23" s="81" t="s">
        <v>987</v>
      </c>
    </row>
    <row r="24" spans="1:20" x14ac:dyDescent="0.2">
      <c r="A24" s="81" t="s">
        <v>20</v>
      </c>
      <c r="B24" s="81" t="s">
        <v>67</v>
      </c>
      <c r="D24" s="81" t="s">
        <v>198</v>
      </c>
    </row>
    <row r="25" spans="1:20" x14ac:dyDescent="0.2">
      <c r="B25" s="81" t="s">
        <v>68</v>
      </c>
      <c r="D25" s="81" t="s">
        <v>199</v>
      </c>
      <c r="G25" s="81" t="s">
        <v>988</v>
      </c>
      <c r="H25" s="81" t="s">
        <v>989</v>
      </c>
      <c r="I25" s="81" t="s">
        <v>200</v>
      </c>
      <c r="J25" s="81" t="s">
        <v>201</v>
      </c>
      <c r="K25" s="81" t="s">
        <v>202</v>
      </c>
      <c r="L25" s="81" t="s">
        <v>203</v>
      </c>
      <c r="M25" s="81" t="s">
        <v>204</v>
      </c>
      <c r="N25" s="81" t="s">
        <v>205</v>
      </c>
      <c r="O25" s="81" t="s">
        <v>206</v>
      </c>
      <c r="P25" s="81" t="s">
        <v>207</v>
      </c>
      <c r="Q25" s="81" t="s">
        <v>208</v>
      </c>
      <c r="R25" s="81" t="s">
        <v>209</v>
      </c>
      <c r="S25" s="81" t="s">
        <v>210</v>
      </c>
      <c r="T25" s="81" t="s">
        <v>205</v>
      </c>
    </row>
    <row r="26" spans="1:20" x14ac:dyDescent="0.2">
      <c r="B26" s="81" t="s">
        <v>69</v>
      </c>
      <c r="D26" s="81" t="s">
        <v>211</v>
      </c>
    </row>
    <row r="27" spans="1:20" x14ac:dyDescent="0.2">
      <c r="B27" s="81" t="s">
        <v>70</v>
      </c>
      <c r="D27" s="81" t="s">
        <v>212</v>
      </c>
    </row>
    <row r="28" spans="1:20" x14ac:dyDescent="0.2">
      <c r="B28" s="81" t="s">
        <v>71</v>
      </c>
      <c r="D28" s="81" t="s">
        <v>213</v>
      </c>
      <c r="H28" s="81" t="s">
        <v>214</v>
      </c>
      <c r="J28" s="81" t="s">
        <v>215</v>
      </c>
      <c r="K28" s="81" t="s">
        <v>72</v>
      </c>
      <c r="L28" s="81" t="s">
        <v>73</v>
      </c>
      <c r="M28" s="81" t="s">
        <v>74</v>
      </c>
      <c r="N28" s="81" t="s">
        <v>216</v>
      </c>
      <c r="P28" s="81" t="s">
        <v>217</v>
      </c>
      <c r="Q28" s="81" t="s">
        <v>75</v>
      </c>
      <c r="R28" s="81" t="s">
        <v>76</v>
      </c>
      <c r="S28" s="81" t="s">
        <v>77</v>
      </c>
      <c r="T28" s="81" t="s">
        <v>218</v>
      </c>
    </row>
    <row r="29" spans="1:20" x14ac:dyDescent="0.2">
      <c r="B29" s="81" t="s">
        <v>78</v>
      </c>
      <c r="D29" s="81" t="s">
        <v>219</v>
      </c>
    </row>
    <row r="31" spans="1:20" x14ac:dyDescent="0.2">
      <c r="H31" s="81" t="s">
        <v>2</v>
      </c>
      <c r="J31" s="81" t="s">
        <v>220</v>
      </c>
      <c r="K31" s="81" t="s">
        <v>80</v>
      </c>
      <c r="L31" s="81" t="s">
        <v>81</v>
      </c>
      <c r="M31" s="81" t="s">
        <v>82</v>
      </c>
      <c r="N31" s="81" t="s">
        <v>221</v>
      </c>
      <c r="P31" s="81" t="s">
        <v>222</v>
      </c>
      <c r="Q31" s="81" t="s">
        <v>83</v>
      </c>
      <c r="R31" s="81" t="s">
        <v>84</v>
      </c>
      <c r="S31" s="81" t="s">
        <v>85</v>
      </c>
      <c r="T31" s="81" t="s">
        <v>223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workbookViewId="0"/>
  </sheetViews>
  <sheetFormatPr defaultRowHeight="12.75" x14ac:dyDescent="0.2"/>
  <sheetData>
    <row r="1" spans="1:20" x14ac:dyDescent="0.2">
      <c r="A1" s="81" t="s">
        <v>990</v>
      </c>
      <c r="B1" s="81" t="s">
        <v>27</v>
      </c>
      <c r="C1" s="81" t="s">
        <v>27</v>
      </c>
      <c r="D1" s="81" t="s">
        <v>27</v>
      </c>
      <c r="I1" s="81" t="s">
        <v>27</v>
      </c>
      <c r="O1" s="81" t="s">
        <v>27</v>
      </c>
    </row>
    <row r="2" spans="1:20" x14ac:dyDescent="0.2">
      <c r="A2" s="81" t="s">
        <v>27</v>
      </c>
    </row>
    <row r="3" spans="1:20" x14ac:dyDescent="0.2">
      <c r="F3" s="81" t="s">
        <v>48</v>
      </c>
    </row>
    <row r="4" spans="1:20" x14ac:dyDescent="0.2">
      <c r="F4" s="81" t="s">
        <v>21</v>
      </c>
    </row>
    <row r="5" spans="1:20" x14ac:dyDescent="0.2">
      <c r="F5" s="81" t="s">
        <v>34</v>
      </c>
    </row>
    <row r="7" spans="1:20" x14ac:dyDescent="0.2">
      <c r="F7" s="81" t="s">
        <v>49</v>
      </c>
      <c r="H7" s="81" t="s">
        <v>50</v>
      </c>
    </row>
    <row r="8" spans="1:20" x14ac:dyDescent="0.2">
      <c r="F8" s="81" t="s">
        <v>51</v>
      </c>
      <c r="H8" s="81" t="s">
        <v>52</v>
      </c>
      <c r="S8" s="81" t="s">
        <v>35</v>
      </c>
      <c r="T8" s="81" t="s">
        <v>53</v>
      </c>
    </row>
    <row r="9" spans="1:20" x14ac:dyDescent="0.2">
      <c r="F9" s="81" t="s">
        <v>54</v>
      </c>
      <c r="H9" s="81" t="s">
        <v>55</v>
      </c>
    </row>
    <row r="10" spans="1:20" x14ac:dyDescent="0.2">
      <c r="F10" s="81" t="s">
        <v>56</v>
      </c>
      <c r="H10" s="81" t="s">
        <v>57</v>
      </c>
    </row>
    <row r="11" spans="1:20" x14ac:dyDescent="0.2">
      <c r="A11" s="81" t="s">
        <v>20</v>
      </c>
    </row>
    <row r="12" spans="1:20" x14ac:dyDescent="0.2">
      <c r="A12" s="81" t="s">
        <v>20</v>
      </c>
      <c r="B12" s="81" t="s">
        <v>33</v>
      </c>
      <c r="C12" s="81" t="s">
        <v>58</v>
      </c>
    </row>
    <row r="13" spans="1:20" x14ac:dyDescent="0.2">
      <c r="A13" s="81" t="s">
        <v>20</v>
      </c>
      <c r="B13" s="81" t="s">
        <v>23</v>
      </c>
      <c r="C13" s="81" t="s">
        <v>59</v>
      </c>
      <c r="H13" s="81" t="s">
        <v>25</v>
      </c>
      <c r="I13" s="81" t="s">
        <v>186</v>
      </c>
      <c r="O13" s="81" t="s">
        <v>187</v>
      </c>
    </row>
    <row r="14" spans="1:20" x14ac:dyDescent="0.2">
      <c r="A14" s="81" t="s">
        <v>20</v>
      </c>
      <c r="B14" s="81" t="s">
        <v>18</v>
      </c>
      <c r="C14" s="81" t="s">
        <v>182</v>
      </c>
      <c r="D14" s="81" t="s">
        <v>60</v>
      </c>
      <c r="H14" s="81" t="s">
        <v>26</v>
      </c>
      <c r="I14" s="81" t="s">
        <v>188</v>
      </c>
      <c r="O14" s="81" t="s">
        <v>189</v>
      </c>
    </row>
    <row r="15" spans="1:20" x14ac:dyDescent="0.2">
      <c r="A15" s="81" t="s">
        <v>20</v>
      </c>
      <c r="B15" s="81" t="s">
        <v>19</v>
      </c>
      <c r="C15" s="81" t="s">
        <v>61</v>
      </c>
      <c r="I15" s="81" t="s">
        <v>190</v>
      </c>
      <c r="O15" s="81" t="s">
        <v>191</v>
      </c>
    </row>
    <row r="16" spans="1:20" x14ac:dyDescent="0.2">
      <c r="A16" s="81" t="s">
        <v>20</v>
      </c>
      <c r="B16" s="81" t="s">
        <v>24</v>
      </c>
      <c r="C16" s="81" t="s">
        <v>62</v>
      </c>
    </row>
    <row r="17" spans="1:20" x14ac:dyDescent="0.2">
      <c r="A17" s="81" t="s">
        <v>20</v>
      </c>
      <c r="B17" s="81" t="s">
        <v>38</v>
      </c>
      <c r="C17" s="81" t="s">
        <v>63</v>
      </c>
    </row>
    <row r="18" spans="1:20" x14ac:dyDescent="0.2">
      <c r="B18" s="81" t="s">
        <v>13</v>
      </c>
      <c r="C18" s="81" t="s">
        <v>64</v>
      </c>
      <c r="F18" s="81" t="s">
        <v>65</v>
      </c>
    </row>
    <row r="19" spans="1:20" x14ac:dyDescent="0.2">
      <c r="B19" s="81" t="s">
        <v>16</v>
      </c>
      <c r="C19" s="81" t="s">
        <v>192</v>
      </c>
    </row>
    <row r="20" spans="1:20" x14ac:dyDescent="0.2">
      <c r="B20" s="81" t="s">
        <v>39</v>
      </c>
      <c r="C20" s="81" t="s">
        <v>66</v>
      </c>
      <c r="J20" s="81" t="s">
        <v>193</v>
      </c>
      <c r="P20" s="81" t="s">
        <v>194</v>
      </c>
    </row>
    <row r="21" spans="1:20" x14ac:dyDescent="0.2">
      <c r="B21" s="81" t="s">
        <v>40</v>
      </c>
      <c r="F21" s="81" t="s">
        <v>17</v>
      </c>
      <c r="H21" s="81" t="s">
        <v>22</v>
      </c>
      <c r="J21" s="81" t="s">
        <v>41</v>
      </c>
      <c r="K21" s="81" t="s">
        <v>3</v>
      </c>
      <c r="L21" s="81" t="s">
        <v>42</v>
      </c>
      <c r="M21" s="81" t="s">
        <v>1</v>
      </c>
      <c r="N21" s="81" t="s">
        <v>0</v>
      </c>
      <c r="P21" s="81" t="s">
        <v>96</v>
      </c>
      <c r="Q21" s="81" t="s">
        <v>3</v>
      </c>
      <c r="R21" s="81" t="s">
        <v>42</v>
      </c>
      <c r="S21" s="81" t="s">
        <v>1</v>
      </c>
      <c r="T21" s="81" t="s">
        <v>0</v>
      </c>
    </row>
    <row r="22" spans="1:20" x14ac:dyDescent="0.2">
      <c r="B22" s="81" t="s">
        <v>43</v>
      </c>
    </row>
    <row r="23" spans="1:20" x14ac:dyDescent="0.2">
      <c r="B23" s="81" t="s">
        <v>195</v>
      </c>
      <c r="D23" s="81" t="s">
        <v>196</v>
      </c>
      <c r="F23" s="81" t="s">
        <v>197</v>
      </c>
      <c r="H23" s="81" t="s">
        <v>987</v>
      </c>
    </row>
    <row r="24" spans="1:20" x14ac:dyDescent="0.2">
      <c r="A24" s="81" t="s">
        <v>20</v>
      </c>
      <c r="B24" s="81" t="s">
        <v>67</v>
      </c>
      <c r="D24" s="81" t="s">
        <v>198</v>
      </c>
    </row>
    <row r="25" spans="1:20" x14ac:dyDescent="0.2">
      <c r="B25" s="81" t="s">
        <v>68</v>
      </c>
      <c r="D25" s="81" t="s">
        <v>199</v>
      </c>
      <c r="G25" s="81" t="s">
        <v>988</v>
      </c>
      <c r="H25" s="81" t="s">
        <v>989</v>
      </c>
      <c r="I25" s="81" t="s">
        <v>200</v>
      </c>
      <c r="J25" s="81" t="s">
        <v>201</v>
      </c>
      <c r="K25" s="81" t="s">
        <v>202</v>
      </c>
      <c r="L25" s="81" t="s">
        <v>203</v>
      </c>
      <c r="M25" s="81" t="s">
        <v>204</v>
      </c>
      <c r="N25" s="81" t="s">
        <v>205</v>
      </c>
      <c r="O25" s="81" t="s">
        <v>206</v>
      </c>
      <c r="P25" s="81" t="s">
        <v>207</v>
      </c>
      <c r="Q25" s="81" t="s">
        <v>208</v>
      </c>
      <c r="R25" s="81" t="s">
        <v>209</v>
      </c>
      <c r="S25" s="81" t="s">
        <v>210</v>
      </c>
      <c r="T25" s="81" t="s">
        <v>205</v>
      </c>
    </row>
    <row r="26" spans="1:20" x14ac:dyDescent="0.2">
      <c r="B26" s="81" t="s">
        <v>69</v>
      </c>
      <c r="D26" s="81" t="s">
        <v>211</v>
      </c>
    </row>
    <row r="27" spans="1:20" x14ac:dyDescent="0.2">
      <c r="B27" s="81" t="s">
        <v>70</v>
      </c>
      <c r="D27" s="81" t="s">
        <v>212</v>
      </c>
    </row>
    <row r="28" spans="1:20" x14ac:dyDescent="0.2">
      <c r="B28" s="81" t="s">
        <v>71</v>
      </c>
      <c r="D28" s="81" t="s">
        <v>213</v>
      </c>
      <c r="H28" s="81" t="s">
        <v>214</v>
      </c>
      <c r="J28" s="81" t="s">
        <v>215</v>
      </c>
      <c r="K28" s="81" t="s">
        <v>72</v>
      </c>
      <c r="L28" s="81" t="s">
        <v>73</v>
      </c>
      <c r="M28" s="81" t="s">
        <v>74</v>
      </c>
      <c r="N28" s="81" t="s">
        <v>216</v>
      </c>
      <c r="P28" s="81" t="s">
        <v>217</v>
      </c>
      <c r="Q28" s="81" t="s">
        <v>75</v>
      </c>
      <c r="R28" s="81" t="s">
        <v>76</v>
      </c>
      <c r="S28" s="81" t="s">
        <v>77</v>
      </c>
      <c r="T28" s="81" t="s">
        <v>218</v>
      </c>
    </row>
    <row r="29" spans="1:20" x14ac:dyDescent="0.2">
      <c r="B29" s="81" t="s">
        <v>78</v>
      </c>
      <c r="D29" s="81" t="s">
        <v>219</v>
      </c>
    </row>
    <row r="31" spans="1:20" x14ac:dyDescent="0.2">
      <c r="H31" s="81" t="s">
        <v>2</v>
      </c>
      <c r="J31" s="81" t="s">
        <v>220</v>
      </c>
      <c r="K31" s="81" t="s">
        <v>80</v>
      </c>
      <c r="L31" s="81" t="s">
        <v>81</v>
      </c>
      <c r="M31" s="81" t="s">
        <v>82</v>
      </c>
      <c r="N31" s="81" t="s">
        <v>221</v>
      </c>
      <c r="P31" s="81" t="s">
        <v>222</v>
      </c>
      <c r="Q31" s="81" t="s">
        <v>83</v>
      </c>
      <c r="R31" s="81" t="s">
        <v>84</v>
      </c>
      <c r="S31" s="81" t="s">
        <v>85</v>
      </c>
      <c r="T31" s="81" t="s">
        <v>223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heetViews>
  <sheetFormatPr defaultRowHeight="12.75" x14ac:dyDescent="0.2"/>
  <sheetData>
    <row r="1" spans="1:6" x14ac:dyDescent="0.2">
      <c r="A1" s="81" t="s">
        <v>992</v>
      </c>
      <c r="D1" s="81" t="s">
        <v>29</v>
      </c>
      <c r="E1" s="81" t="s">
        <v>30</v>
      </c>
      <c r="F1" s="81" t="s">
        <v>31</v>
      </c>
    </row>
    <row r="4" spans="1:6" x14ac:dyDescent="0.2">
      <c r="C4" s="81" t="s">
        <v>21</v>
      </c>
    </row>
    <row r="6" spans="1:6" x14ac:dyDescent="0.2">
      <c r="D6" s="81" t="s">
        <v>12</v>
      </c>
    </row>
    <row r="8" spans="1:6" x14ac:dyDescent="0.2">
      <c r="A8" s="81" t="s">
        <v>32</v>
      </c>
      <c r="D8" s="81" t="s">
        <v>28</v>
      </c>
      <c r="E8" s="81" t="s">
        <v>100</v>
      </c>
      <c r="F8" s="81" t="s">
        <v>44</v>
      </c>
    </row>
    <row r="9" spans="1:6" x14ac:dyDescent="0.2">
      <c r="A9" s="81" t="s">
        <v>32</v>
      </c>
      <c r="D9" s="81" t="s">
        <v>10</v>
      </c>
      <c r="E9" s="81" t="s">
        <v>95</v>
      </c>
      <c r="F9" s="81" t="s">
        <v>45</v>
      </c>
    </row>
    <row r="10" spans="1:6" x14ac:dyDescent="0.2">
      <c r="A10" s="81" t="s">
        <v>32</v>
      </c>
      <c r="D10" s="81" t="s">
        <v>37</v>
      </c>
      <c r="E10" s="81" t="s">
        <v>94</v>
      </c>
      <c r="F10" s="81" t="s">
        <v>46</v>
      </c>
    </row>
    <row r="11" spans="1:6" x14ac:dyDescent="0.2">
      <c r="A11" s="81" t="s">
        <v>32</v>
      </c>
      <c r="D11" s="81" t="s">
        <v>11</v>
      </c>
      <c r="E11" s="81" t="s">
        <v>94</v>
      </c>
      <c r="F11" s="81" t="s">
        <v>47</v>
      </c>
    </row>
    <row r="12" spans="1:6" x14ac:dyDescent="0.2">
      <c r="A12" s="81" t="s">
        <v>32</v>
      </c>
      <c r="D12" s="81" t="s">
        <v>15</v>
      </c>
      <c r="E12" s="81" t="s">
        <v>396</v>
      </c>
    </row>
    <row r="13" spans="1:6" x14ac:dyDescent="0.2">
      <c r="A13" s="81" t="s">
        <v>32</v>
      </c>
      <c r="D13" s="81" t="s">
        <v>14</v>
      </c>
      <c r="E13" s="81" t="s">
        <v>397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4"/>
  <sheetViews>
    <sheetView workbookViewId="0"/>
  </sheetViews>
  <sheetFormatPr defaultRowHeight="12.75" x14ac:dyDescent="0.2"/>
  <sheetData>
    <row r="1" spans="1:20" x14ac:dyDescent="0.2">
      <c r="A1" s="81" t="s">
        <v>1059</v>
      </c>
      <c r="B1" s="81" t="s">
        <v>27</v>
      </c>
      <c r="C1" s="81" t="s">
        <v>27</v>
      </c>
      <c r="D1" s="81" t="s">
        <v>27</v>
      </c>
      <c r="I1" s="81" t="s">
        <v>27</v>
      </c>
      <c r="O1" s="81" t="s">
        <v>27</v>
      </c>
    </row>
    <row r="2" spans="1:20" x14ac:dyDescent="0.2">
      <c r="A2" s="81" t="s">
        <v>27</v>
      </c>
    </row>
    <row r="3" spans="1:20" x14ac:dyDescent="0.2">
      <c r="F3" s="81" t="s">
        <v>48</v>
      </c>
    </row>
    <row r="4" spans="1:20" x14ac:dyDescent="0.2">
      <c r="F4" s="81" t="s">
        <v>21</v>
      </c>
    </row>
    <row r="5" spans="1:20" x14ac:dyDescent="0.2">
      <c r="F5" s="81" t="s">
        <v>34</v>
      </c>
    </row>
    <row r="7" spans="1:20" x14ac:dyDescent="0.2">
      <c r="F7" s="81" t="s">
        <v>49</v>
      </c>
      <c r="H7" s="81" t="s">
        <v>50</v>
      </c>
    </row>
    <row r="8" spans="1:20" x14ac:dyDescent="0.2">
      <c r="F8" s="81" t="s">
        <v>51</v>
      </c>
      <c r="H8" s="81" t="s">
        <v>52</v>
      </c>
      <c r="S8" s="81" t="s">
        <v>35</v>
      </c>
      <c r="T8" s="81" t="s">
        <v>53</v>
      </c>
    </row>
    <row r="9" spans="1:20" x14ac:dyDescent="0.2">
      <c r="F9" s="81" t="s">
        <v>54</v>
      </c>
      <c r="H9" s="81" t="s">
        <v>55</v>
      </c>
    </row>
    <row r="10" spans="1:20" x14ac:dyDescent="0.2">
      <c r="F10" s="81" t="s">
        <v>56</v>
      </c>
      <c r="H10" s="81" t="s">
        <v>57</v>
      </c>
    </row>
    <row r="11" spans="1:20" x14ac:dyDescent="0.2">
      <c r="A11" s="81" t="s">
        <v>20</v>
      </c>
    </row>
    <row r="12" spans="1:20" x14ac:dyDescent="0.2">
      <c r="A12" s="81" t="s">
        <v>20</v>
      </c>
      <c r="B12" s="81" t="s">
        <v>33</v>
      </c>
      <c r="C12" s="81" t="s">
        <v>58</v>
      </c>
    </row>
    <row r="13" spans="1:20" x14ac:dyDescent="0.2">
      <c r="A13" s="81" t="s">
        <v>20</v>
      </c>
      <c r="B13" s="81" t="s">
        <v>23</v>
      </c>
      <c r="C13" s="81" t="s">
        <v>59</v>
      </c>
      <c r="H13" s="81" t="s">
        <v>25</v>
      </c>
      <c r="I13" s="81" t="s">
        <v>186</v>
      </c>
      <c r="O13" s="81" t="s">
        <v>187</v>
      </c>
    </row>
    <row r="14" spans="1:20" x14ac:dyDescent="0.2">
      <c r="A14" s="81" t="s">
        <v>20</v>
      </c>
      <c r="B14" s="81" t="s">
        <v>18</v>
      </c>
      <c r="C14" s="81" t="s">
        <v>182</v>
      </c>
      <c r="D14" s="81" t="s">
        <v>60</v>
      </c>
      <c r="H14" s="81" t="s">
        <v>26</v>
      </c>
      <c r="I14" s="81" t="s">
        <v>188</v>
      </c>
      <c r="O14" s="81" t="s">
        <v>189</v>
      </c>
    </row>
    <row r="15" spans="1:20" x14ac:dyDescent="0.2">
      <c r="A15" s="81" t="s">
        <v>20</v>
      </c>
      <c r="B15" s="81" t="s">
        <v>19</v>
      </c>
      <c r="C15" s="81" t="s">
        <v>61</v>
      </c>
      <c r="I15" s="81" t="s">
        <v>190</v>
      </c>
      <c r="O15" s="81" t="s">
        <v>191</v>
      </c>
    </row>
    <row r="16" spans="1:20" x14ac:dyDescent="0.2">
      <c r="A16" s="81" t="s">
        <v>20</v>
      </c>
      <c r="B16" s="81" t="s">
        <v>24</v>
      </c>
      <c r="C16" s="81" t="s">
        <v>62</v>
      </c>
    </row>
    <row r="17" spans="1:20" x14ac:dyDescent="0.2">
      <c r="A17" s="81" t="s">
        <v>20</v>
      </c>
      <c r="B17" s="81" t="s">
        <v>38</v>
      </c>
      <c r="C17" s="81" t="s">
        <v>63</v>
      </c>
    </row>
    <row r="18" spans="1:20" x14ac:dyDescent="0.2">
      <c r="B18" s="81" t="s">
        <v>13</v>
      </c>
      <c r="C18" s="81" t="s">
        <v>64</v>
      </c>
      <c r="F18" s="81" t="s">
        <v>65</v>
      </c>
    </row>
    <row r="19" spans="1:20" x14ac:dyDescent="0.2">
      <c r="B19" s="81" t="s">
        <v>16</v>
      </c>
      <c r="C19" s="81" t="s">
        <v>192</v>
      </c>
    </row>
    <row r="20" spans="1:20" x14ac:dyDescent="0.2">
      <c r="B20" s="81" t="s">
        <v>39</v>
      </c>
      <c r="C20" s="81" t="s">
        <v>66</v>
      </c>
      <c r="J20" s="81" t="s">
        <v>193</v>
      </c>
      <c r="P20" s="81" t="s">
        <v>194</v>
      </c>
    </row>
    <row r="21" spans="1:20" x14ac:dyDescent="0.2">
      <c r="B21" s="81" t="s">
        <v>40</v>
      </c>
      <c r="F21" s="81" t="s">
        <v>17</v>
      </c>
      <c r="H21" s="81" t="s">
        <v>22</v>
      </c>
      <c r="J21" s="81" t="s">
        <v>41</v>
      </c>
      <c r="K21" s="81" t="s">
        <v>3</v>
      </c>
      <c r="L21" s="81" t="s">
        <v>42</v>
      </c>
      <c r="M21" s="81" t="s">
        <v>1</v>
      </c>
      <c r="N21" s="81" t="s">
        <v>0</v>
      </c>
      <c r="P21" s="81" t="s">
        <v>96</v>
      </c>
      <c r="Q21" s="81" t="s">
        <v>3</v>
      </c>
      <c r="R21" s="81" t="s">
        <v>42</v>
      </c>
      <c r="S21" s="81" t="s">
        <v>1</v>
      </c>
      <c r="T21" s="81" t="s">
        <v>0</v>
      </c>
    </row>
    <row r="22" spans="1:20" x14ac:dyDescent="0.2">
      <c r="B22" s="81" t="s">
        <v>43</v>
      </c>
    </row>
    <row r="23" spans="1:20" x14ac:dyDescent="0.2">
      <c r="B23" s="81" t="s">
        <v>195</v>
      </c>
      <c r="D23" s="81" t="s">
        <v>196</v>
      </c>
      <c r="F23" s="81" t="s">
        <v>197</v>
      </c>
      <c r="H23" s="81" t="s">
        <v>987</v>
      </c>
    </row>
    <row r="24" spans="1:20" x14ac:dyDescent="0.2">
      <c r="A24" s="81" t="s">
        <v>20</v>
      </c>
      <c r="B24" s="81" t="s">
        <v>67</v>
      </c>
      <c r="D24" s="81" t="s">
        <v>198</v>
      </c>
    </row>
    <row r="25" spans="1:20" x14ac:dyDescent="0.2">
      <c r="B25" s="81" t="s">
        <v>68</v>
      </c>
      <c r="D25" s="81" t="s">
        <v>199</v>
      </c>
      <c r="G25" s="81" t="s">
        <v>988</v>
      </c>
      <c r="H25" s="81" t="s">
        <v>989</v>
      </c>
      <c r="I25" s="81" t="s">
        <v>200</v>
      </c>
      <c r="J25" s="81" t="s">
        <v>201</v>
      </c>
      <c r="K25" s="81" t="s">
        <v>202</v>
      </c>
      <c r="L25" s="81" t="s">
        <v>203</v>
      </c>
      <c r="M25" s="81" t="s">
        <v>204</v>
      </c>
      <c r="N25" s="81" t="s">
        <v>205</v>
      </c>
      <c r="O25" s="81" t="s">
        <v>206</v>
      </c>
      <c r="P25" s="81" t="s">
        <v>207</v>
      </c>
      <c r="Q25" s="81" t="s">
        <v>208</v>
      </c>
      <c r="R25" s="81" t="s">
        <v>209</v>
      </c>
      <c r="S25" s="81" t="s">
        <v>210</v>
      </c>
      <c r="T25" s="81" t="s">
        <v>205</v>
      </c>
    </row>
    <row r="26" spans="1:20" x14ac:dyDescent="0.2">
      <c r="A26" s="81" t="s">
        <v>86</v>
      </c>
      <c r="B26" s="81" t="s">
        <v>69</v>
      </c>
      <c r="D26" s="81" t="s">
        <v>211</v>
      </c>
      <c r="G26" s="81" t="s">
        <v>87</v>
      </c>
      <c r="H26" s="81" t="s">
        <v>1027</v>
      </c>
      <c r="I26" s="81" t="s">
        <v>224</v>
      </c>
      <c r="J26" s="81" t="s">
        <v>225</v>
      </c>
      <c r="K26" s="81" t="s">
        <v>226</v>
      </c>
      <c r="L26" s="81" t="s">
        <v>227</v>
      </c>
      <c r="M26" s="81" t="s">
        <v>228</v>
      </c>
      <c r="N26" s="81" t="s">
        <v>229</v>
      </c>
      <c r="O26" s="81" t="s">
        <v>230</v>
      </c>
      <c r="P26" s="81" t="s">
        <v>231</v>
      </c>
      <c r="Q26" s="81" t="s">
        <v>232</v>
      </c>
      <c r="R26" s="81" t="s">
        <v>233</v>
      </c>
      <c r="S26" s="81" t="s">
        <v>234</v>
      </c>
      <c r="T26" s="81" t="s">
        <v>229</v>
      </c>
    </row>
    <row r="27" spans="1:20" x14ac:dyDescent="0.2">
      <c r="A27" s="81" t="s">
        <v>86</v>
      </c>
      <c r="B27" s="81" t="s">
        <v>70</v>
      </c>
      <c r="D27" s="81" t="s">
        <v>212</v>
      </c>
      <c r="G27" s="81" t="s">
        <v>88</v>
      </c>
      <c r="H27" s="81" t="s">
        <v>1028</v>
      </c>
      <c r="I27" s="81" t="s">
        <v>235</v>
      </c>
      <c r="J27" s="81" t="s">
        <v>236</v>
      </c>
      <c r="K27" s="81" t="s">
        <v>237</v>
      </c>
      <c r="L27" s="81" t="s">
        <v>238</v>
      </c>
      <c r="M27" s="81" t="s">
        <v>239</v>
      </c>
      <c r="N27" s="81" t="s">
        <v>240</v>
      </c>
      <c r="O27" s="81" t="s">
        <v>241</v>
      </c>
      <c r="P27" s="81" t="s">
        <v>242</v>
      </c>
      <c r="Q27" s="81" t="s">
        <v>243</v>
      </c>
      <c r="R27" s="81" t="s">
        <v>244</v>
      </c>
      <c r="S27" s="81" t="s">
        <v>245</v>
      </c>
      <c r="T27" s="81" t="s">
        <v>240</v>
      </c>
    </row>
    <row r="28" spans="1:20" x14ac:dyDescent="0.2">
      <c r="A28" s="81" t="s">
        <v>86</v>
      </c>
      <c r="B28" s="81" t="s">
        <v>71</v>
      </c>
      <c r="D28" s="81" t="s">
        <v>213</v>
      </c>
      <c r="G28" s="81" t="s">
        <v>398</v>
      </c>
      <c r="H28" s="81" t="s">
        <v>1029</v>
      </c>
      <c r="I28" s="81" t="s">
        <v>246</v>
      </c>
      <c r="J28" s="81" t="s">
        <v>247</v>
      </c>
      <c r="K28" s="81" t="s">
        <v>248</v>
      </c>
      <c r="L28" s="81" t="s">
        <v>249</v>
      </c>
      <c r="M28" s="81" t="s">
        <v>250</v>
      </c>
      <c r="N28" s="81" t="s">
        <v>251</v>
      </c>
      <c r="O28" s="81" t="s">
        <v>252</v>
      </c>
      <c r="P28" s="81" t="s">
        <v>253</v>
      </c>
      <c r="Q28" s="81" t="s">
        <v>254</v>
      </c>
      <c r="R28" s="81" t="s">
        <v>255</v>
      </c>
      <c r="S28" s="81" t="s">
        <v>256</v>
      </c>
      <c r="T28" s="81" t="s">
        <v>251</v>
      </c>
    </row>
    <row r="29" spans="1:20" x14ac:dyDescent="0.2">
      <c r="A29" s="81" t="s">
        <v>86</v>
      </c>
      <c r="B29" s="81" t="s">
        <v>78</v>
      </c>
      <c r="D29" s="81" t="s">
        <v>219</v>
      </c>
      <c r="G29" s="81" t="s">
        <v>93</v>
      </c>
      <c r="H29" s="81" t="s">
        <v>1030</v>
      </c>
      <c r="I29" s="81" t="s">
        <v>257</v>
      </c>
      <c r="J29" s="81" t="s">
        <v>258</v>
      </c>
      <c r="K29" s="81" t="s">
        <v>259</v>
      </c>
      <c r="L29" s="81" t="s">
        <v>260</v>
      </c>
      <c r="M29" s="81" t="s">
        <v>261</v>
      </c>
      <c r="N29" s="81" t="s">
        <v>262</v>
      </c>
      <c r="O29" s="81" t="s">
        <v>263</v>
      </c>
      <c r="P29" s="81" t="s">
        <v>264</v>
      </c>
      <c r="Q29" s="81" t="s">
        <v>265</v>
      </c>
      <c r="R29" s="81" t="s">
        <v>266</v>
      </c>
      <c r="S29" s="81" t="s">
        <v>267</v>
      </c>
      <c r="T29" s="81" t="s">
        <v>262</v>
      </c>
    </row>
    <row r="30" spans="1:20" x14ac:dyDescent="0.2">
      <c r="A30" s="81" t="s">
        <v>86</v>
      </c>
      <c r="B30" s="81" t="s">
        <v>79</v>
      </c>
      <c r="D30" s="81" t="s">
        <v>268</v>
      </c>
      <c r="G30" s="81" t="s">
        <v>399</v>
      </c>
      <c r="H30" s="81" t="s">
        <v>1031</v>
      </c>
      <c r="I30" s="81" t="s">
        <v>269</v>
      </c>
      <c r="J30" s="81" t="s">
        <v>270</v>
      </c>
      <c r="K30" s="81" t="s">
        <v>271</v>
      </c>
      <c r="L30" s="81" t="s">
        <v>272</v>
      </c>
      <c r="M30" s="81" t="s">
        <v>273</v>
      </c>
      <c r="N30" s="81" t="s">
        <v>274</v>
      </c>
      <c r="O30" s="81" t="s">
        <v>275</v>
      </c>
      <c r="P30" s="81" t="s">
        <v>276</v>
      </c>
      <c r="Q30" s="81" t="s">
        <v>277</v>
      </c>
      <c r="R30" s="81" t="s">
        <v>278</v>
      </c>
      <c r="S30" s="81" t="s">
        <v>279</v>
      </c>
      <c r="T30" s="81" t="s">
        <v>274</v>
      </c>
    </row>
    <row r="31" spans="1:20" x14ac:dyDescent="0.2">
      <c r="B31" s="81" t="s">
        <v>69</v>
      </c>
      <c r="D31" s="81" t="s">
        <v>211</v>
      </c>
    </row>
    <row r="32" spans="1:20" x14ac:dyDescent="0.2">
      <c r="B32" s="81" t="s">
        <v>89</v>
      </c>
      <c r="D32" s="81" t="s">
        <v>280</v>
      </c>
    </row>
    <row r="33" spans="1:20" x14ac:dyDescent="0.2">
      <c r="B33" s="81" t="s">
        <v>90</v>
      </c>
      <c r="D33" s="81" t="s">
        <v>281</v>
      </c>
      <c r="H33" s="81" t="s">
        <v>400</v>
      </c>
      <c r="J33" s="81" t="s">
        <v>401</v>
      </c>
      <c r="K33" s="81" t="s">
        <v>402</v>
      </c>
      <c r="L33" s="81" t="s">
        <v>403</v>
      </c>
      <c r="M33" s="81" t="s">
        <v>404</v>
      </c>
      <c r="N33" s="81" t="s">
        <v>405</v>
      </c>
      <c r="P33" s="81" t="s">
        <v>406</v>
      </c>
      <c r="Q33" s="81" t="s">
        <v>407</v>
      </c>
      <c r="R33" s="81" t="s">
        <v>408</v>
      </c>
      <c r="S33" s="81" t="s">
        <v>409</v>
      </c>
      <c r="T33" s="81" t="s">
        <v>410</v>
      </c>
    </row>
    <row r="34" spans="1:20" x14ac:dyDescent="0.2">
      <c r="B34" s="81" t="s">
        <v>411</v>
      </c>
      <c r="D34" s="81" t="s">
        <v>412</v>
      </c>
    </row>
    <row r="35" spans="1:20" x14ac:dyDescent="0.2">
      <c r="A35" s="81" t="s">
        <v>86</v>
      </c>
      <c r="B35" s="81" t="s">
        <v>413</v>
      </c>
      <c r="D35" s="81" t="s">
        <v>414</v>
      </c>
      <c r="F35" s="81" t="s">
        <v>129</v>
      </c>
      <c r="H35" s="81" t="s">
        <v>994</v>
      </c>
    </row>
    <row r="36" spans="1:20" x14ac:dyDescent="0.2">
      <c r="A36" s="81" t="s">
        <v>119</v>
      </c>
      <c r="B36" s="81" t="s">
        <v>348</v>
      </c>
      <c r="D36" s="81" t="s">
        <v>349</v>
      </c>
    </row>
    <row r="37" spans="1:20" x14ac:dyDescent="0.2">
      <c r="A37" s="81" t="s">
        <v>86</v>
      </c>
      <c r="B37" s="81" t="s">
        <v>92</v>
      </c>
      <c r="D37" s="81" t="s">
        <v>282</v>
      </c>
      <c r="G37" s="81" t="s">
        <v>995</v>
      </c>
      <c r="H37" s="81" t="s">
        <v>1054</v>
      </c>
      <c r="I37" s="81" t="s">
        <v>415</v>
      </c>
      <c r="J37" s="81" t="s">
        <v>416</v>
      </c>
      <c r="K37" s="81" t="s">
        <v>417</v>
      </c>
      <c r="L37" s="81" t="s">
        <v>418</v>
      </c>
      <c r="M37" s="81" t="s">
        <v>419</v>
      </c>
      <c r="N37" s="81" t="s">
        <v>420</v>
      </c>
      <c r="O37" s="81" t="s">
        <v>421</v>
      </c>
      <c r="P37" s="81" t="s">
        <v>422</v>
      </c>
      <c r="Q37" s="81" t="s">
        <v>423</v>
      </c>
      <c r="R37" s="81" t="s">
        <v>424</v>
      </c>
      <c r="S37" s="81" t="s">
        <v>425</v>
      </c>
      <c r="T37" s="81" t="s">
        <v>420</v>
      </c>
    </row>
    <row r="38" spans="1:20" x14ac:dyDescent="0.2">
      <c r="A38" s="81" t="s">
        <v>86</v>
      </c>
      <c r="B38" s="81" t="s">
        <v>426</v>
      </c>
      <c r="D38" s="81" t="s">
        <v>427</v>
      </c>
      <c r="G38" s="81" t="s">
        <v>428</v>
      </c>
      <c r="H38" s="81" t="s">
        <v>1055</v>
      </c>
      <c r="I38" s="81" t="s">
        <v>429</v>
      </c>
      <c r="J38" s="81" t="s">
        <v>430</v>
      </c>
      <c r="K38" s="81" t="s">
        <v>431</v>
      </c>
      <c r="L38" s="81" t="s">
        <v>432</v>
      </c>
      <c r="M38" s="81" t="s">
        <v>433</v>
      </c>
      <c r="N38" s="81" t="s">
        <v>434</v>
      </c>
      <c r="O38" s="81" t="s">
        <v>435</v>
      </c>
      <c r="P38" s="81" t="s">
        <v>436</v>
      </c>
      <c r="Q38" s="81" t="s">
        <v>437</v>
      </c>
      <c r="R38" s="81" t="s">
        <v>438</v>
      </c>
      <c r="S38" s="81" t="s">
        <v>439</v>
      </c>
      <c r="T38" s="81" t="s">
        <v>434</v>
      </c>
    </row>
    <row r="39" spans="1:20" x14ac:dyDescent="0.2">
      <c r="A39" s="81" t="s">
        <v>86</v>
      </c>
      <c r="B39" s="81" t="s">
        <v>120</v>
      </c>
      <c r="D39" s="81" t="s">
        <v>283</v>
      </c>
      <c r="G39" s="81" t="s">
        <v>87</v>
      </c>
      <c r="H39" s="81" t="s">
        <v>1056</v>
      </c>
      <c r="I39" s="81" t="s">
        <v>440</v>
      </c>
      <c r="J39" s="81" t="s">
        <v>441</v>
      </c>
      <c r="K39" s="81" t="s">
        <v>442</v>
      </c>
      <c r="L39" s="81" t="s">
        <v>443</v>
      </c>
      <c r="M39" s="81" t="s">
        <v>444</v>
      </c>
      <c r="N39" s="81" t="s">
        <v>445</v>
      </c>
      <c r="O39" s="81" t="s">
        <v>446</v>
      </c>
      <c r="P39" s="81" t="s">
        <v>447</v>
      </c>
      <c r="Q39" s="81" t="s">
        <v>448</v>
      </c>
      <c r="R39" s="81" t="s">
        <v>449</v>
      </c>
      <c r="S39" s="81" t="s">
        <v>450</v>
      </c>
      <c r="T39" s="81" t="s">
        <v>445</v>
      </c>
    </row>
    <row r="40" spans="1:20" x14ac:dyDescent="0.2">
      <c r="A40" s="81" t="s">
        <v>86</v>
      </c>
      <c r="B40" s="81" t="s">
        <v>350</v>
      </c>
      <c r="D40" s="81" t="s">
        <v>351</v>
      </c>
      <c r="G40" s="81" t="s">
        <v>451</v>
      </c>
      <c r="H40" s="81" t="s">
        <v>1057</v>
      </c>
      <c r="I40" s="81" t="s">
        <v>352</v>
      </c>
      <c r="J40" s="81" t="s">
        <v>353</v>
      </c>
      <c r="K40" s="81" t="s">
        <v>354</v>
      </c>
      <c r="L40" s="81" t="s">
        <v>355</v>
      </c>
      <c r="M40" s="81" t="s">
        <v>356</v>
      </c>
      <c r="N40" s="81" t="s">
        <v>357</v>
      </c>
      <c r="O40" s="81" t="s">
        <v>358</v>
      </c>
      <c r="P40" s="81" t="s">
        <v>359</v>
      </c>
      <c r="Q40" s="81" t="s">
        <v>360</v>
      </c>
      <c r="R40" s="81" t="s">
        <v>361</v>
      </c>
      <c r="S40" s="81" t="s">
        <v>362</v>
      </c>
      <c r="T40" s="81" t="s">
        <v>357</v>
      </c>
    </row>
    <row r="41" spans="1:20" x14ac:dyDescent="0.2">
      <c r="A41" s="81" t="s">
        <v>86</v>
      </c>
      <c r="B41" s="81" t="s">
        <v>121</v>
      </c>
      <c r="D41" s="81" t="s">
        <v>284</v>
      </c>
      <c r="G41" s="81" t="s">
        <v>399</v>
      </c>
      <c r="H41" s="81" t="s">
        <v>1058</v>
      </c>
      <c r="I41" s="81" t="s">
        <v>452</v>
      </c>
      <c r="J41" s="81" t="s">
        <v>453</v>
      </c>
      <c r="K41" s="81" t="s">
        <v>454</v>
      </c>
      <c r="L41" s="81" t="s">
        <v>455</v>
      </c>
      <c r="M41" s="81" t="s">
        <v>456</v>
      </c>
      <c r="N41" s="81" t="s">
        <v>457</v>
      </c>
      <c r="O41" s="81" t="s">
        <v>458</v>
      </c>
      <c r="P41" s="81" t="s">
        <v>459</v>
      </c>
      <c r="Q41" s="81" t="s">
        <v>460</v>
      </c>
      <c r="R41" s="81" t="s">
        <v>461</v>
      </c>
      <c r="S41" s="81" t="s">
        <v>462</v>
      </c>
      <c r="T41" s="81" t="s">
        <v>457</v>
      </c>
    </row>
    <row r="42" spans="1:20" x14ac:dyDescent="0.2">
      <c r="A42" s="81" t="s">
        <v>86</v>
      </c>
      <c r="B42" s="81" t="s">
        <v>426</v>
      </c>
      <c r="D42" s="81" t="s">
        <v>427</v>
      </c>
    </row>
    <row r="43" spans="1:20" x14ac:dyDescent="0.2">
      <c r="A43" s="81" t="s">
        <v>86</v>
      </c>
      <c r="B43" s="81" t="s">
        <v>122</v>
      </c>
      <c r="D43" s="81" t="s">
        <v>285</v>
      </c>
    </row>
    <row r="44" spans="1:20" x14ac:dyDescent="0.2">
      <c r="A44" s="81" t="s">
        <v>86</v>
      </c>
      <c r="B44" s="81" t="s">
        <v>123</v>
      </c>
      <c r="D44" s="81" t="s">
        <v>286</v>
      </c>
      <c r="H44" s="81" t="s">
        <v>463</v>
      </c>
      <c r="J44" s="81" t="s">
        <v>464</v>
      </c>
      <c r="K44" s="81" t="s">
        <v>465</v>
      </c>
      <c r="L44" s="81" t="s">
        <v>466</v>
      </c>
      <c r="M44" s="81" t="s">
        <v>467</v>
      </c>
      <c r="N44" s="81" t="s">
        <v>468</v>
      </c>
      <c r="P44" s="81" t="s">
        <v>469</v>
      </c>
      <c r="Q44" s="81" t="s">
        <v>470</v>
      </c>
      <c r="R44" s="81" t="s">
        <v>471</v>
      </c>
      <c r="S44" s="81" t="s">
        <v>472</v>
      </c>
      <c r="T44" s="81" t="s">
        <v>473</v>
      </c>
    </row>
    <row r="45" spans="1:20" x14ac:dyDescent="0.2">
      <c r="A45" s="81" t="s">
        <v>86</v>
      </c>
      <c r="B45" s="81" t="s">
        <v>474</v>
      </c>
      <c r="D45" s="81" t="s">
        <v>475</v>
      </c>
    </row>
    <row r="46" spans="1:20" x14ac:dyDescent="0.2">
      <c r="A46" s="81" t="s">
        <v>86</v>
      </c>
      <c r="B46" s="81" t="s">
        <v>476</v>
      </c>
      <c r="D46" s="81" t="s">
        <v>477</v>
      </c>
      <c r="F46" s="81" t="s">
        <v>134</v>
      </c>
      <c r="H46" s="81" t="s">
        <v>996</v>
      </c>
    </row>
    <row r="47" spans="1:20" x14ac:dyDescent="0.2">
      <c r="A47" s="81" t="s">
        <v>119</v>
      </c>
      <c r="B47" s="81" t="s">
        <v>363</v>
      </c>
      <c r="D47" s="81" t="s">
        <v>364</v>
      </c>
    </row>
    <row r="48" spans="1:20" x14ac:dyDescent="0.2">
      <c r="A48" s="81" t="s">
        <v>86</v>
      </c>
      <c r="B48" s="81" t="s">
        <v>124</v>
      </c>
      <c r="D48" s="81" t="s">
        <v>287</v>
      </c>
      <c r="G48" s="81" t="s">
        <v>997</v>
      </c>
      <c r="H48" s="81" t="s">
        <v>1051</v>
      </c>
      <c r="I48" s="81" t="s">
        <v>478</v>
      </c>
      <c r="J48" s="81" t="s">
        <v>479</v>
      </c>
      <c r="K48" s="81" t="s">
        <v>480</v>
      </c>
      <c r="L48" s="81" t="s">
        <v>481</v>
      </c>
      <c r="M48" s="81" t="s">
        <v>482</v>
      </c>
      <c r="N48" s="81" t="s">
        <v>483</v>
      </c>
      <c r="O48" s="81" t="s">
        <v>484</v>
      </c>
      <c r="P48" s="81" t="s">
        <v>485</v>
      </c>
      <c r="Q48" s="81" t="s">
        <v>486</v>
      </c>
      <c r="R48" s="81" t="s">
        <v>487</v>
      </c>
      <c r="S48" s="81" t="s">
        <v>488</v>
      </c>
      <c r="T48" s="81" t="s">
        <v>483</v>
      </c>
    </row>
    <row r="49" spans="1:20" x14ac:dyDescent="0.2">
      <c r="A49" s="81" t="s">
        <v>86</v>
      </c>
      <c r="B49" s="81" t="s">
        <v>125</v>
      </c>
      <c r="D49" s="81" t="s">
        <v>288</v>
      </c>
      <c r="G49" s="81" t="s">
        <v>88</v>
      </c>
      <c r="H49" s="81" t="s">
        <v>1052</v>
      </c>
      <c r="I49" s="81" t="s">
        <v>489</v>
      </c>
      <c r="J49" s="81" t="s">
        <v>490</v>
      </c>
      <c r="K49" s="81" t="s">
        <v>491</v>
      </c>
      <c r="L49" s="81" t="s">
        <v>492</v>
      </c>
      <c r="M49" s="81" t="s">
        <v>493</v>
      </c>
      <c r="N49" s="81" t="s">
        <v>494</v>
      </c>
      <c r="O49" s="81" t="s">
        <v>495</v>
      </c>
      <c r="P49" s="81" t="s">
        <v>496</v>
      </c>
      <c r="Q49" s="81" t="s">
        <v>497</v>
      </c>
      <c r="R49" s="81" t="s">
        <v>498</v>
      </c>
      <c r="S49" s="81" t="s">
        <v>499</v>
      </c>
      <c r="T49" s="81" t="s">
        <v>494</v>
      </c>
    </row>
    <row r="50" spans="1:20" x14ac:dyDescent="0.2">
      <c r="A50" s="81" t="s">
        <v>86</v>
      </c>
      <c r="B50" s="81" t="s">
        <v>126</v>
      </c>
      <c r="D50" s="81" t="s">
        <v>289</v>
      </c>
      <c r="G50" s="81" t="s">
        <v>91</v>
      </c>
      <c r="H50" s="81" t="s">
        <v>1053</v>
      </c>
      <c r="I50" s="81" t="s">
        <v>500</v>
      </c>
      <c r="J50" s="81" t="s">
        <v>501</v>
      </c>
      <c r="K50" s="81" t="s">
        <v>502</v>
      </c>
      <c r="L50" s="81" t="s">
        <v>503</v>
      </c>
      <c r="M50" s="81" t="s">
        <v>504</v>
      </c>
      <c r="N50" s="81" t="s">
        <v>505</v>
      </c>
      <c r="O50" s="81" t="s">
        <v>506</v>
      </c>
      <c r="P50" s="81" t="s">
        <v>507</v>
      </c>
      <c r="Q50" s="81" t="s">
        <v>508</v>
      </c>
      <c r="R50" s="81" t="s">
        <v>509</v>
      </c>
      <c r="S50" s="81" t="s">
        <v>510</v>
      </c>
      <c r="T50" s="81" t="s">
        <v>505</v>
      </c>
    </row>
    <row r="51" spans="1:20" x14ac:dyDescent="0.2">
      <c r="A51" s="81" t="s">
        <v>86</v>
      </c>
      <c r="B51" s="81" t="s">
        <v>125</v>
      </c>
      <c r="D51" s="81" t="s">
        <v>288</v>
      </c>
    </row>
    <row r="52" spans="1:20" x14ac:dyDescent="0.2">
      <c r="A52" s="81" t="s">
        <v>86</v>
      </c>
      <c r="B52" s="81" t="s">
        <v>511</v>
      </c>
      <c r="D52" s="81" t="s">
        <v>512</v>
      </c>
    </row>
    <row r="53" spans="1:20" x14ac:dyDescent="0.2">
      <c r="A53" s="81" t="s">
        <v>86</v>
      </c>
      <c r="B53" s="81" t="s">
        <v>127</v>
      </c>
      <c r="D53" s="81" t="s">
        <v>290</v>
      </c>
      <c r="H53" s="81" t="s">
        <v>513</v>
      </c>
      <c r="J53" s="81" t="s">
        <v>514</v>
      </c>
      <c r="K53" s="81" t="s">
        <v>515</v>
      </c>
      <c r="L53" s="81" t="s">
        <v>516</v>
      </c>
      <c r="M53" s="81" t="s">
        <v>517</v>
      </c>
      <c r="N53" s="81" t="s">
        <v>518</v>
      </c>
      <c r="P53" s="81" t="s">
        <v>519</v>
      </c>
      <c r="Q53" s="81" t="s">
        <v>520</v>
      </c>
      <c r="R53" s="81" t="s">
        <v>521</v>
      </c>
      <c r="S53" s="81" t="s">
        <v>522</v>
      </c>
      <c r="T53" s="81" t="s">
        <v>523</v>
      </c>
    </row>
    <row r="54" spans="1:20" x14ac:dyDescent="0.2">
      <c r="A54" s="81" t="s">
        <v>86</v>
      </c>
      <c r="B54" s="81" t="s">
        <v>365</v>
      </c>
      <c r="D54" s="81" t="s">
        <v>366</v>
      </c>
    </row>
    <row r="55" spans="1:20" x14ac:dyDescent="0.2">
      <c r="A55" s="81" t="s">
        <v>86</v>
      </c>
      <c r="B55" s="81" t="s">
        <v>524</v>
      </c>
      <c r="D55" s="81" t="s">
        <v>525</v>
      </c>
      <c r="F55" s="81" t="s">
        <v>526</v>
      </c>
      <c r="H55" s="81" t="s">
        <v>998</v>
      </c>
    </row>
    <row r="56" spans="1:20" x14ac:dyDescent="0.2">
      <c r="A56" s="81" t="s">
        <v>119</v>
      </c>
      <c r="B56" s="81" t="s">
        <v>527</v>
      </c>
      <c r="D56" s="81" t="s">
        <v>528</v>
      </c>
    </row>
    <row r="57" spans="1:20" x14ac:dyDescent="0.2">
      <c r="A57" s="81" t="s">
        <v>86</v>
      </c>
      <c r="B57" s="81" t="s">
        <v>128</v>
      </c>
      <c r="D57" s="81" t="s">
        <v>291</v>
      </c>
      <c r="G57" s="81" t="s">
        <v>999</v>
      </c>
      <c r="H57" s="81" t="s">
        <v>1000</v>
      </c>
      <c r="I57" s="81" t="s">
        <v>529</v>
      </c>
      <c r="J57" s="81" t="s">
        <v>530</v>
      </c>
      <c r="K57" s="81" t="s">
        <v>531</v>
      </c>
      <c r="L57" s="81" t="s">
        <v>532</v>
      </c>
      <c r="M57" s="81" t="s">
        <v>533</v>
      </c>
      <c r="N57" s="81" t="s">
        <v>534</v>
      </c>
      <c r="O57" s="81" t="s">
        <v>535</v>
      </c>
      <c r="P57" s="81" t="s">
        <v>536</v>
      </c>
      <c r="Q57" s="81" t="s">
        <v>537</v>
      </c>
      <c r="R57" s="81" t="s">
        <v>538</v>
      </c>
      <c r="S57" s="81" t="s">
        <v>539</v>
      </c>
      <c r="T57" s="81" t="s">
        <v>534</v>
      </c>
    </row>
    <row r="58" spans="1:20" x14ac:dyDescent="0.2">
      <c r="A58" s="81" t="s">
        <v>86</v>
      </c>
      <c r="B58" s="81" t="s">
        <v>367</v>
      </c>
      <c r="D58" s="81" t="s">
        <v>368</v>
      </c>
      <c r="G58" s="81" t="s">
        <v>147</v>
      </c>
      <c r="H58" s="81" t="s">
        <v>1001</v>
      </c>
      <c r="I58" s="81" t="s">
        <v>540</v>
      </c>
      <c r="J58" s="81" t="s">
        <v>541</v>
      </c>
      <c r="K58" s="81" t="s">
        <v>542</v>
      </c>
      <c r="L58" s="81" t="s">
        <v>543</v>
      </c>
      <c r="M58" s="81" t="s">
        <v>544</v>
      </c>
      <c r="N58" s="81" t="s">
        <v>545</v>
      </c>
      <c r="O58" s="81" t="s">
        <v>546</v>
      </c>
      <c r="P58" s="81" t="s">
        <v>547</v>
      </c>
      <c r="Q58" s="81" t="s">
        <v>548</v>
      </c>
      <c r="R58" s="81" t="s">
        <v>549</v>
      </c>
      <c r="S58" s="81" t="s">
        <v>550</v>
      </c>
      <c r="T58" s="81" t="s">
        <v>545</v>
      </c>
    </row>
    <row r="59" spans="1:20" x14ac:dyDescent="0.2">
      <c r="A59" s="81" t="s">
        <v>86</v>
      </c>
      <c r="B59" s="81" t="s">
        <v>367</v>
      </c>
      <c r="D59" s="81" t="s">
        <v>368</v>
      </c>
    </row>
    <row r="60" spans="1:20" x14ac:dyDescent="0.2">
      <c r="A60" s="81" t="s">
        <v>86</v>
      </c>
      <c r="B60" s="81" t="s">
        <v>551</v>
      </c>
      <c r="D60" s="81" t="s">
        <v>552</v>
      </c>
    </row>
    <row r="61" spans="1:20" x14ac:dyDescent="0.2">
      <c r="A61" s="81" t="s">
        <v>86</v>
      </c>
      <c r="B61" s="81" t="s">
        <v>130</v>
      </c>
      <c r="D61" s="81" t="s">
        <v>292</v>
      </c>
      <c r="H61" s="81" t="s">
        <v>553</v>
      </c>
      <c r="J61" s="81" t="s">
        <v>554</v>
      </c>
      <c r="K61" s="81" t="s">
        <v>555</v>
      </c>
      <c r="L61" s="81" t="s">
        <v>556</v>
      </c>
      <c r="M61" s="81" t="s">
        <v>557</v>
      </c>
      <c r="N61" s="81" t="s">
        <v>558</v>
      </c>
      <c r="P61" s="81" t="s">
        <v>559</v>
      </c>
      <c r="Q61" s="81" t="s">
        <v>560</v>
      </c>
      <c r="R61" s="81" t="s">
        <v>561</v>
      </c>
      <c r="S61" s="81" t="s">
        <v>562</v>
      </c>
      <c r="T61" s="81" t="s">
        <v>563</v>
      </c>
    </row>
    <row r="62" spans="1:20" x14ac:dyDescent="0.2">
      <c r="A62" s="81" t="s">
        <v>86</v>
      </c>
      <c r="B62" s="81" t="s">
        <v>369</v>
      </c>
      <c r="D62" s="81" t="s">
        <v>370</v>
      </c>
    </row>
    <row r="63" spans="1:20" x14ac:dyDescent="0.2">
      <c r="A63" s="81" t="s">
        <v>86</v>
      </c>
      <c r="B63" s="81" t="s">
        <v>564</v>
      </c>
      <c r="D63" s="81" t="s">
        <v>565</v>
      </c>
      <c r="F63" s="81" t="s">
        <v>140</v>
      </c>
      <c r="H63" s="81" t="s">
        <v>1002</v>
      </c>
    </row>
    <row r="64" spans="1:20" x14ac:dyDescent="0.2">
      <c r="A64" s="81" t="s">
        <v>119</v>
      </c>
      <c r="B64" s="81" t="s">
        <v>131</v>
      </c>
      <c r="D64" s="81" t="s">
        <v>293</v>
      </c>
    </row>
    <row r="65" spans="1:20" x14ac:dyDescent="0.2">
      <c r="A65" s="81" t="s">
        <v>86</v>
      </c>
      <c r="B65" s="81" t="s">
        <v>132</v>
      </c>
      <c r="D65" s="81" t="s">
        <v>294</v>
      </c>
      <c r="G65" s="81" t="s">
        <v>1003</v>
      </c>
      <c r="H65" s="81" t="s">
        <v>1004</v>
      </c>
      <c r="I65" s="81" t="s">
        <v>566</v>
      </c>
      <c r="J65" s="81" t="s">
        <v>567</v>
      </c>
      <c r="K65" s="81" t="s">
        <v>568</v>
      </c>
      <c r="L65" s="81" t="s">
        <v>569</v>
      </c>
      <c r="M65" s="81" t="s">
        <v>570</v>
      </c>
      <c r="N65" s="81" t="s">
        <v>571</v>
      </c>
      <c r="O65" s="81" t="s">
        <v>572</v>
      </c>
      <c r="P65" s="81" t="s">
        <v>573</v>
      </c>
      <c r="Q65" s="81" t="s">
        <v>574</v>
      </c>
      <c r="R65" s="81" t="s">
        <v>575</v>
      </c>
      <c r="S65" s="81" t="s">
        <v>576</v>
      </c>
      <c r="T65" s="81" t="s">
        <v>571</v>
      </c>
    </row>
    <row r="66" spans="1:20" x14ac:dyDescent="0.2">
      <c r="A66" s="81" t="s">
        <v>86</v>
      </c>
      <c r="B66" s="81" t="s">
        <v>133</v>
      </c>
      <c r="D66" s="81" t="s">
        <v>295</v>
      </c>
      <c r="G66" s="81" t="s">
        <v>399</v>
      </c>
      <c r="H66" s="81" t="s">
        <v>1005</v>
      </c>
      <c r="I66" s="81" t="s">
        <v>577</v>
      </c>
      <c r="J66" s="81" t="s">
        <v>578</v>
      </c>
      <c r="K66" s="81" t="s">
        <v>579</v>
      </c>
      <c r="L66" s="81" t="s">
        <v>580</v>
      </c>
      <c r="M66" s="81" t="s">
        <v>581</v>
      </c>
      <c r="N66" s="81" t="s">
        <v>582</v>
      </c>
      <c r="O66" s="81" t="s">
        <v>583</v>
      </c>
      <c r="P66" s="81" t="s">
        <v>584</v>
      </c>
      <c r="Q66" s="81" t="s">
        <v>585</v>
      </c>
      <c r="R66" s="81" t="s">
        <v>586</v>
      </c>
      <c r="S66" s="81" t="s">
        <v>587</v>
      </c>
      <c r="T66" s="81" t="s">
        <v>582</v>
      </c>
    </row>
    <row r="67" spans="1:20" x14ac:dyDescent="0.2">
      <c r="A67" s="81" t="s">
        <v>86</v>
      </c>
      <c r="B67" s="81" t="s">
        <v>133</v>
      </c>
      <c r="D67" s="81" t="s">
        <v>295</v>
      </c>
    </row>
    <row r="68" spans="1:20" x14ac:dyDescent="0.2">
      <c r="A68" s="81" t="s">
        <v>86</v>
      </c>
      <c r="B68" s="81" t="s">
        <v>135</v>
      </c>
      <c r="D68" s="81" t="s">
        <v>296</v>
      </c>
    </row>
    <row r="69" spans="1:20" x14ac:dyDescent="0.2">
      <c r="A69" s="81" t="s">
        <v>86</v>
      </c>
      <c r="B69" s="81" t="s">
        <v>136</v>
      </c>
      <c r="D69" s="81" t="s">
        <v>297</v>
      </c>
      <c r="H69" s="81" t="s">
        <v>588</v>
      </c>
      <c r="J69" s="81" t="s">
        <v>589</v>
      </c>
      <c r="K69" s="81" t="s">
        <v>590</v>
      </c>
      <c r="L69" s="81" t="s">
        <v>591</v>
      </c>
      <c r="M69" s="81" t="s">
        <v>592</v>
      </c>
      <c r="N69" s="81" t="s">
        <v>593</v>
      </c>
      <c r="P69" s="81" t="s">
        <v>594</v>
      </c>
      <c r="Q69" s="81" t="s">
        <v>595</v>
      </c>
      <c r="R69" s="81" t="s">
        <v>596</v>
      </c>
      <c r="S69" s="81" t="s">
        <v>597</v>
      </c>
      <c r="T69" s="81" t="s">
        <v>598</v>
      </c>
    </row>
    <row r="70" spans="1:20" x14ac:dyDescent="0.2">
      <c r="A70" s="81" t="s">
        <v>86</v>
      </c>
      <c r="B70" s="81" t="s">
        <v>137</v>
      </c>
      <c r="D70" s="81" t="s">
        <v>298</v>
      </c>
    </row>
    <row r="71" spans="1:20" x14ac:dyDescent="0.2">
      <c r="A71" s="81" t="s">
        <v>86</v>
      </c>
      <c r="B71" s="81" t="s">
        <v>599</v>
      </c>
      <c r="D71" s="81" t="s">
        <v>600</v>
      </c>
      <c r="F71" s="81" t="s">
        <v>601</v>
      </c>
      <c r="H71" s="81" t="s">
        <v>1006</v>
      </c>
    </row>
    <row r="72" spans="1:20" x14ac:dyDescent="0.2">
      <c r="A72" s="81" t="s">
        <v>119</v>
      </c>
      <c r="B72" s="81" t="s">
        <v>138</v>
      </c>
      <c r="D72" s="81" t="s">
        <v>299</v>
      </c>
    </row>
    <row r="73" spans="1:20" x14ac:dyDescent="0.2">
      <c r="A73" s="81" t="s">
        <v>86</v>
      </c>
      <c r="B73" s="81" t="s">
        <v>139</v>
      </c>
      <c r="D73" s="81" t="s">
        <v>300</v>
      </c>
      <c r="G73" s="81" t="s">
        <v>1007</v>
      </c>
      <c r="H73" s="81" t="s">
        <v>1008</v>
      </c>
      <c r="I73" s="81" t="s">
        <v>602</v>
      </c>
      <c r="J73" s="81" t="s">
        <v>603</v>
      </c>
      <c r="K73" s="81" t="s">
        <v>604</v>
      </c>
      <c r="L73" s="81" t="s">
        <v>605</v>
      </c>
      <c r="M73" s="81" t="s">
        <v>606</v>
      </c>
      <c r="N73" s="81" t="s">
        <v>607</v>
      </c>
      <c r="O73" s="81" t="s">
        <v>608</v>
      </c>
      <c r="P73" s="81" t="s">
        <v>609</v>
      </c>
      <c r="Q73" s="81" t="s">
        <v>610</v>
      </c>
      <c r="R73" s="81" t="s">
        <v>611</v>
      </c>
      <c r="S73" s="81" t="s">
        <v>612</v>
      </c>
      <c r="T73" s="81" t="s">
        <v>607</v>
      </c>
    </row>
    <row r="74" spans="1:20" x14ac:dyDescent="0.2">
      <c r="A74" s="81" t="s">
        <v>86</v>
      </c>
      <c r="B74" s="81" t="s">
        <v>613</v>
      </c>
      <c r="D74" s="81" t="s">
        <v>614</v>
      </c>
      <c r="G74" s="81" t="s">
        <v>88</v>
      </c>
      <c r="H74" s="81" t="s">
        <v>1009</v>
      </c>
      <c r="I74" s="81" t="s">
        <v>615</v>
      </c>
      <c r="J74" s="81" t="s">
        <v>616</v>
      </c>
      <c r="K74" s="81" t="s">
        <v>617</v>
      </c>
      <c r="L74" s="81" t="s">
        <v>618</v>
      </c>
      <c r="M74" s="81" t="s">
        <v>619</v>
      </c>
      <c r="N74" s="81" t="s">
        <v>620</v>
      </c>
      <c r="O74" s="81" t="s">
        <v>621</v>
      </c>
      <c r="P74" s="81" t="s">
        <v>622</v>
      </c>
      <c r="Q74" s="81" t="s">
        <v>623</v>
      </c>
      <c r="R74" s="81" t="s">
        <v>624</v>
      </c>
      <c r="S74" s="81" t="s">
        <v>625</v>
      </c>
      <c r="T74" s="81" t="s">
        <v>620</v>
      </c>
    </row>
    <row r="75" spans="1:20" x14ac:dyDescent="0.2">
      <c r="A75" s="81" t="s">
        <v>86</v>
      </c>
      <c r="B75" s="81" t="s">
        <v>613</v>
      </c>
      <c r="D75" s="81" t="s">
        <v>614</v>
      </c>
    </row>
    <row r="76" spans="1:20" x14ac:dyDescent="0.2">
      <c r="A76" s="81" t="s">
        <v>86</v>
      </c>
      <c r="B76" s="81" t="s">
        <v>141</v>
      </c>
      <c r="D76" s="81" t="s">
        <v>301</v>
      </c>
    </row>
    <row r="77" spans="1:20" x14ac:dyDescent="0.2">
      <c r="A77" s="81" t="s">
        <v>86</v>
      </c>
      <c r="B77" s="81" t="s">
        <v>142</v>
      </c>
      <c r="D77" s="81" t="s">
        <v>302</v>
      </c>
      <c r="H77" s="81" t="s">
        <v>626</v>
      </c>
      <c r="J77" s="81" t="s">
        <v>627</v>
      </c>
      <c r="K77" s="81" t="s">
        <v>628</v>
      </c>
      <c r="L77" s="81" t="s">
        <v>629</v>
      </c>
      <c r="M77" s="81" t="s">
        <v>630</v>
      </c>
      <c r="N77" s="81" t="s">
        <v>631</v>
      </c>
      <c r="P77" s="81" t="s">
        <v>632</v>
      </c>
      <c r="Q77" s="81" t="s">
        <v>633</v>
      </c>
      <c r="R77" s="81" t="s">
        <v>634</v>
      </c>
      <c r="S77" s="81" t="s">
        <v>635</v>
      </c>
      <c r="T77" s="81" t="s">
        <v>636</v>
      </c>
    </row>
    <row r="78" spans="1:20" x14ac:dyDescent="0.2">
      <c r="A78" s="81" t="s">
        <v>86</v>
      </c>
      <c r="B78" s="81" t="s">
        <v>637</v>
      </c>
      <c r="D78" s="81" t="s">
        <v>638</v>
      </c>
    </row>
    <row r="79" spans="1:20" x14ac:dyDescent="0.2">
      <c r="A79" s="81" t="s">
        <v>86</v>
      </c>
      <c r="B79" s="81" t="s">
        <v>639</v>
      </c>
      <c r="D79" s="81" t="s">
        <v>640</v>
      </c>
      <c r="F79" s="81" t="s">
        <v>152</v>
      </c>
      <c r="H79" s="81" t="s">
        <v>1010</v>
      </c>
    </row>
    <row r="80" spans="1:20" x14ac:dyDescent="0.2">
      <c r="A80" s="81" t="s">
        <v>119</v>
      </c>
      <c r="B80" s="81" t="s">
        <v>143</v>
      </c>
      <c r="D80" s="81" t="s">
        <v>303</v>
      </c>
    </row>
    <row r="81" spans="1:20" x14ac:dyDescent="0.2">
      <c r="A81" s="81" t="s">
        <v>86</v>
      </c>
      <c r="B81" s="81" t="s">
        <v>144</v>
      </c>
      <c r="D81" s="81" t="s">
        <v>304</v>
      </c>
      <c r="G81" s="81" t="s">
        <v>1011</v>
      </c>
      <c r="H81" s="81" t="s">
        <v>1048</v>
      </c>
      <c r="I81" s="81" t="s">
        <v>641</v>
      </c>
      <c r="J81" s="81" t="s">
        <v>642</v>
      </c>
      <c r="K81" s="81" t="s">
        <v>643</v>
      </c>
      <c r="L81" s="81" t="s">
        <v>644</v>
      </c>
      <c r="M81" s="81" t="s">
        <v>645</v>
      </c>
      <c r="N81" s="81" t="s">
        <v>646</v>
      </c>
      <c r="O81" s="81" t="s">
        <v>647</v>
      </c>
      <c r="P81" s="81" t="s">
        <v>648</v>
      </c>
      <c r="Q81" s="81" t="s">
        <v>649</v>
      </c>
      <c r="R81" s="81" t="s">
        <v>650</v>
      </c>
      <c r="S81" s="81" t="s">
        <v>651</v>
      </c>
      <c r="T81" s="81" t="s">
        <v>646</v>
      </c>
    </row>
    <row r="82" spans="1:20" x14ac:dyDescent="0.2">
      <c r="A82" s="81" t="s">
        <v>86</v>
      </c>
      <c r="B82" s="81" t="s">
        <v>652</v>
      </c>
      <c r="D82" s="81" t="s">
        <v>653</v>
      </c>
      <c r="G82" s="81" t="s">
        <v>451</v>
      </c>
      <c r="H82" s="81" t="s">
        <v>1049</v>
      </c>
      <c r="I82" s="81" t="s">
        <v>654</v>
      </c>
      <c r="J82" s="81" t="s">
        <v>655</v>
      </c>
      <c r="K82" s="81" t="s">
        <v>656</v>
      </c>
      <c r="L82" s="81" t="s">
        <v>657</v>
      </c>
      <c r="M82" s="81" t="s">
        <v>658</v>
      </c>
      <c r="N82" s="81" t="s">
        <v>659</v>
      </c>
      <c r="O82" s="81" t="s">
        <v>660</v>
      </c>
      <c r="P82" s="81" t="s">
        <v>661</v>
      </c>
      <c r="Q82" s="81" t="s">
        <v>662</v>
      </c>
      <c r="R82" s="81" t="s">
        <v>663</v>
      </c>
      <c r="S82" s="81" t="s">
        <v>664</v>
      </c>
      <c r="T82" s="81" t="s">
        <v>659</v>
      </c>
    </row>
    <row r="83" spans="1:20" x14ac:dyDescent="0.2">
      <c r="A83" s="81" t="s">
        <v>86</v>
      </c>
      <c r="B83" s="81" t="s">
        <v>145</v>
      </c>
      <c r="D83" s="81" t="s">
        <v>305</v>
      </c>
      <c r="G83" s="81" t="s">
        <v>398</v>
      </c>
      <c r="H83" s="81" t="s">
        <v>1050</v>
      </c>
      <c r="I83" s="81" t="s">
        <v>665</v>
      </c>
      <c r="J83" s="81" t="s">
        <v>666</v>
      </c>
      <c r="K83" s="81" t="s">
        <v>667</v>
      </c>
      <c r="L83" s="81" t="s">
        <v>668</v>
      </c>
      <c r="M83" s="81" t="s">
        <v>669</v>
      </c>
      <c r="N83" s="81" t="s">
        <v>670</v>
      </c>
      <c r="O83" s="81" t="s">
        <v>671</v>
      </c>
      <c r="P83" s="81" t="s">
        <v>672</v>
      </c>
      <c r="Q83" s="81" t="s">
        <v>673</v>
      </c>
      <c r="R83" s="81" t="s">
        <v>674</v>
      </c>
      <c r="S83" s="81" t="s">
        <v>675</v>
      </c>
      <c r="T83" s="81" t="s">
        <v>670</v>
      </c>
    </row>
    <row r="84" spans="1:20" x14ac:dyDescent="0.2">
      <c r="A84" s="81" t="s">
        <v>86</v>
      </c>
      <c r="B84" s="81" t="s">
        <v>652</v>
      </c>
      <c r="D84" s="81" t="s">
        <v>653</v>
      </c>
    </row>
    <row r="85" spans="1:20" x14ac:dyDescent="0.2">
      <c r="A85" s="81" t="s">
        <v>86</v>
      </c>
      <c r="B85" s="81" t="s">
        <v>146</v>
      </c>
      <c r="D85" s="81" t="s">
        <v>306</v>
      </c>
    </row>
    <row r="86" spans="1:20" x14ac:dyDescent="0.2">
      <c r="A86" s="81" t="s">
        <v>86</v>
      </c>
      <c r="B86" s="81" t="s">
        <v>371</v>
      </c>
      <c r="D86" s="81" t="s">
        <v>372</v>
      </c>
      <c r="H86" s="81" t="s">
        <v>676</v>
      </c>
      <c r="J86" s="81" t="s">
        <v>677</v>
      </c>
      <c r="K86" s="81" t="s">
        <v>678</v>
      </c>
      <c r="L86" s="81" t="s">
        <v>679</v>
      </c>
      <c r="M86" s="81" t="s">
        <v>680</v>
      </c>
      <c r="N86" s="81" t="s">
        <v>681</v>
      </c>
      <c r="P86" s="81" t="s">
        <v>682</v>
      </c>
      <c r="Q86" s="81" t="s">
        <v>683</v>
      </c>
      <c r="R86" s="81" t="s">
        <v>684</v>
      </c>
      <c r="S86" s="81" t="s">
        <v>685</v>
      </c>
      <c r="T86" s="81" t="s">
        <v>686</v>
      </c>
    </row>
    <row r="87" spans="1:20" x14ac:dyDescent="0.2">
      <c r="A87" s="81" t="s">
        <v>86</v>
      </c>
      <c r="B87" s="81" t="s">
        <v>687</v>
      </c>
      <c r="D87" s="81" t="s">
        <v>688</v>
      </c>
    </row>
    <row r="88" spans="1:20" x14ac:dyDescent="0.2">
      <c r="A88" s="81" t="s">
        <v>86</v>
      </c>
      <c r="B88" s="81" t="s">
        <v>689</v>
      </c>
      <c r="D88" s="81" t="s">
        <v>690</v>
      </c>
      <c r="F88" s="81" t="s">
        <v>161</v>
      </c>
      <c r="H88" s="81" t="s">
        <v>1012</v>
      </c>
    </row>
    <row r="89" spans="1:20" x14ac:dyDescent="0.2">
      <c r="A89" s="81" t="s">
        <v>119</v>
      </c>
      <c r="B89" s="81" t="s">
        <v>148</v>
      </c>
      <c r="D89" s="81" t="s">
        <v>307</v>
      </c>
    </row>
    <row r="90" spans="1:20" x14ac:dyDescent="0.2">
      <c r="A90" s="81" t="s">
        <v>86</v>
      </c>
      <c r="B90" s="81" t="s">
        <v>373</v>
      </c>
      <c r="D90" s="81" t="s">
        <v>374</v>
      </c>
      <c r="G90" s="81" t="s">
        <v>1013</v>
      </c>
      <c r="H90" s="81" t="s">
        <v>1014</v>
      </c>
      <c r="I90" s="81" t="s">
        <v>691</v>
      </c>
      <c r="J90" s="81" t="s">
        <v>692</v>
      </c>
      <c r="K90" s="81" t="s">
        <v>693</v>
      </c>
      <c r="L90" s="81" t="s">
        <v>694</v>
      </c>
      <c r="M90" s="81" t="s">
        <v>695</v>
      </c>
      <c r="N90" s="81" t="s">
        <v>696</v>
      </c>
      <c r="O90" s="81" t="s">
        <v>697</v>
      </c>
      <c r="P90" s="81" t="s">
        <v>698</v>
      </c>
      <c r="Q90" s="81" t="s">
        <v>699</v>
      </c>
      <c r="R90" s="81" t="s">
        <v>700</v>
      </c>
      <c r="S90" s="81" t="s">
        <v>701</v>
      </c>
      <c r="T90" s="81" t="s">
        <v>696</v>
      </c>
    </row>
    <row r="91" spans="1:20" x14ac:dyDescent="0.2">
      <c r="A91" s="81" t="s">
        <v>86</v>
      </c>
      <c r="B91" s="81" t="s">
        <v>702</v>
      </c>
      <c r="D91" s="81" t="s">
        <v>703</v>
      </c>
      <c r="G91" s="81" t="s">
        <v>704</v>
      </c>
      <c r="H91" s="81" t="s">
        <v>1015</v>
      </c>
      <c r="I91" s="81" t="s">
        <v>705</v>
      </c>
      <c r="J91" s="81" t="s">
        <v>706</v>
      </c>
      <c r="K91" s="81" t="s">
        <v>707</v>
      </c>
      <c r="L91" s="81" t="s">
        <v>708</v>
      </c>
      <c r="M91" s="81" t="s">
        <v>709</v>
      </c>
      <c r="N91" s="81" t="s">
        <v>710</v>
      </c>
      <c r="O91" s="81" t="s">
        <v>711</v>
      </c>
      <c r="P91" s="81" t="s">
        <v>712</v>
      </c>
      <c r="Q91" s="81" t="s">
        <v>713</v>
      </c>
      <c r="R91" s="81" t="s">
        <v>714</v>
      </c>
      <c r="S91" s="81" t="s">
        <v>715</v>
      </c>
      <c r="T91" s="81" t="s">
        <v>710</v>
      </c>
    </row>
    <row r="92" spans="1:20" x14ac:dyDescent="0.2">
      <c r="A92" s="81" t="s">
        <v>86</v>
      </c>
      <c r="B92" s="81" t="s">
        <v>702</v>
      </c>
      <c r="D92" s="81" t="s">
        <v>703</v>
      </c>
    </row>
    <row r="93" spans="1:20" x14ac:dyDescent="0.2">
      <c r="A93" s="81" t="s">
        <v>86</v>
      </c>
      <c r="B93" s="81" t="s">
        <v>149</v>
      </c>
      <c r="D93" s="81" t="s">
        <v>308</v>
      </c>
    </row>
    <row r="94" spans="1:20" x14ac:dyDescent="0.2">
      <c r="A94" s="81" t="s">
        <v>86</v>
      </c>
      <c r="B94" s="81" t="s">
        <v>375</v>
      </c>
      <c r="D94" s="81" t="s">
        <v>376</v>
      </c>
      <c r="H94" s="81" t="s">
        <v>716</v>
      </c>
      <c r="J94" s="81" t="s">
        <v>717</v>
      </c>
      <c r="K94" s="81" t="s">
        <v>718</v>
      </c>
      <c r="L94" s="81" t="s">
        <v>719</v>
      </c>
      <c r="M94" s="81" t="s">
        <v>720</v>
      </c>
      <c r="N94" s="81" t="s">
        <v>721</v>
      </c>
      <c r="P94" s="81" t="s">
        <v>722</v>
      </c>
      <c r="Q94" s="81" t="s">
        <v>723</v>
      </c>
      <c r="R94" s="81" t="s">
        <v>724</v>
      </c>
      <c r="S94" s="81" t="s">
        <v>725</v>
      </c>
      <c r="T94" s="81" t="s">
        <v>726</v>
      </c>
    </row>
    <row r="95" spans="1:20" x14ac:dyDescent="0.2">
      <c r="A95" s="81" t="s">
        <v>86</v>
      </c>
      <c r="B95" s="81" t="s">
        <v>150</v>
      </c>
      <c r="D95" s="81" t="s">
        <v>309</v>
      </c>
    </row>
    <row r="96" spans="1:20" x14ac:dyDescent="0.2">
      <c r="A96" s="81" t="s">
        <v>86</v>
      </c>
      <c r="B96" s="81" t="s">
        <v>727</v>
      </c>
      <c r="D96" s="81" t="s">
        <v>728</v>
      </c>
      <c r="F96" s="81" t="s">
        <v>166</v>
      </c>
      <c r="H96" s="81" t="s">
        <v>1016</v>
      </c>
    </row>
    <row r="97" spans="1:20" x14ac:dyDescent="0.2">
      <c r="A97" s="81" t="s">
        <v>119</v>
      </c>
      <c r="B97" s="81" t="s">
        <v>151</v>
      </c>
      <c r="D97" s="81" t="s">
        <v>310</v>
      </c>
    </row>
    <row r="98" spans="1:20" x14ac:dyDescent="0.2">
      <c r="A98" s="81" t="s">
        <v>86</v>
      </c>
      <c r="B98" s="81" t="s">
        <v>729</v>
      </c>
      <c r="D98" s="81" t="s">
        <v>730</v>
      </c>
      <c r="G98" s="81" t="s">
        <v>1017</v>
      </c>
      <c r="H98" s="81" t="s">
        <v>1044</v>
      </c>
      <c r="I98" s="81" t="s">
        <v>731</v>
      </c>
      <c r="J98" s="81" t="s">
        <v>732</v>
      </c>
      <c r="K98" s="81" t="s">
        <v>733</v>
      </c>
      <c r="L98" s="81" t="s">
        <v>734</v>
      </c>
      <c r="M98" s="81" t="s">
        <v>735</v>
      </c>
      <c r="N98" s="81" t="s">
        <v>736</v>
      </c>
      <c r="O98" s="81" t="s">
        <v>737</v>
      </c>
      <c r="P98" s="81" t="s">
        <v>738</v>
      </c>
      <c r="Q98" s="81" t="s">
        <v>739</v>
      </c>
      <c r="R98" s="81" t="s">
        <v>740</v>
      </c>
      <c r="S98" s="81" t="s">
        <v>741</v>
      </c>
      <c r="T98" s="81" t="s">
        <v>736</v>
      </c>
    </row>
    <row r="99" spans="1:20" x14ac:dyDescent="0.2">
      <c r="A99" s="81" t="s">
        <v>86</v>
      </c>
      <c r="B99" s="81" t="s">
        <v>153</v>
      </c>
      <c r="D99" s="81" t="s">
        <v>311</v>
      </c>
      <c r="G99" s="81" t="s">
        <v>181</v>
      </c>
      <c r="H99" s="81" t="s">
        <v>1045</v>
      </c>
      <c r="I99" s="81" t="s">
        <v>742</v>
      </c>
      <c r="J99" s="81" t="s">
        <v>743</v>
      </c>
      <c r="K99" s="81" t="s">
        <v>744</v>
      </c>
      <c r="L99" s="81" t="s">
        <v>745</v>
      </c>
      <c r="M99" s="81" t="s">
        <v>746</v>
      </c>
      <c r="N99" s="81" t="s">
        <v>747</v>
      </c>
      <c r="O99" s="81" t="s">
        <v>748</v>
      </c>
      <c r="P99" s="81" t="s">
        <v>749</v>
      </c>
      <c r="Q99" s="81" t="s">
        <v>750</v>
      </c>
      <c r="R99" s="81" t="s">
        <v>751</v>
      </c>
      <c r="S99" s="81" t="s">
        <v>752</v>
      </c>
      <c r="T99" s="81" t="s">
        <v>747</v>
      </c>
    </row>
    <row r="100" spans="1:20" x14ac:dyDescent="0.2">
      <c r="A100" s="81" t="s">
        <v>86</v>
      </c>
      <c r="B100" s="81" t="s">
        <v>154</v>
      </c>
      <c r="D100" s="81" t="s">
        <v>312</v>
      </c>
      <c r="G100" s="81" t="s">
        <v>753</v>
      </c>
      <c r="H100" s="81" t="s">
        <v>1046</v>
      </c>
      <c r="I100" s="81" t="s">
        <v>313</v>
      </c>
      <c r="J100" s="81" t="s">
        <v>314</v>
      </c>
      <c r="K100" s="81" t="s">
        <v>315</v>
      </c>
      <c r="L100" s="81" t="s">
        <v>316</v>
      </c>
      <c r="M100" s="81" t="s">
        <v>317</v>
      </c>
      <c r="N100" s="81" t="s">
        <v>318</v>
      </c>
      <c r="O100" s="81" t="s">
        <v>319</v>
      </c>
      <c r="P100" s="81" t="s">
        <v>320</v>
      </c>
      <c r="Q100" s="81" t="s">
        <v>321</v>
      </c>
      <c r="R100" s="81" t="s">
        <v>322</v>
      </c>
      <c r="S100" s="81" t="s">
        <v>323</v>
      </c>
      <c r="T100" s="81" t="s">
        <v>318</v>
      </c>
    </row>
    <row r="101" spans="1:20" x14ac:dyDescent="0.2">
      <c r="A101" s="81" t="s">
        <v>86</v>
      </c>
      <c r="B101" s="81" t="s">
        <v>377</v>
      </c>
      <c r="D101" s="81" t="s">
        <v>378</v>
      </c>
      <c r="G101" s="81" t="s">
        <v>399</v>
      </c>
      <c r="H101" s="81" t="s">
        <v>1047</v>
      </c>
      <c r="I101" s="81" t="s">
        <v>754</v>
      </c>
      <c r="J101" s="81" t="s">
        <v>755</v>
      </c>
      <c r="K101" s="81" t="s">
        <v>756</v>
      </c>
      <c r="L101" s="81" t="s">
        <v>757</v>
      </c>
      <c r="M101" s="81" t="s">
        <v>758</v>
      </c>
      <c r="N101" s="81" t="s">
        <v>759</v>
      </c>
      <c r="O101" s="81" t="s">
        <v>760</v>
      </c>
      <c r="P101" s="81" t="s">
        <v>761</v>
      </c>
      <c r="Q101" s="81" t="s">
        <v>762</v>
      </c>
      <c r="R101" s="81" t="s">
        <v>763</v>
      </c>
      <c r="S101" s="81" t="s">
        <v>764</v>
      </c>
      <c r="T101" s="81" t="s">
        <v>759</v>
      </c>
    </row>
    <row r="102" spans="1:20" x14ac:dyDescent="0.2">
      <c r="A102" s="81" t="s">
        <v>86</v>
      </c>
      <c r="B102" s="81" t="s">
        <v>153</v>
      </c>
      <c r="D102" s="81" t="s">
        <v>311</v>
      </c>
    </row>
    <row r="103" spans="1:20" x14ac:dyDescent="0.2">
      <c r="A103" s="81" t="s">
        <v>86</v>
      </c>
      <c r="B103" s="81" t="s">
        <v>155</v>
      </c>
      <c r="D103" s="81" t="s">
        <v>324</v>
      </c>
    </row>
    <row r="104" spans="1:20" x14ac:dyDescent="0.2">
      <c r="A104" s="81" t="s">
        <v>86</v>
      </c>
      <c r="B104" s="81" t="s">
        <v>156</v>
      </c>
      <c r="D104" s="81" t="s">
        <v>325</v>
      </c>
      <c r="H104" s="81" t="s">
        <v>765</v>
      </c>
      <c r="J104" s="81" t="s">
        <v>766</v>
      </c>
      <c r="K104" s="81" t="s">
        <v>767</v>
      </c>
      <c r="L104" s="81" t="s">
        <v>768</v>
      </c>
      <c r="M104" s="81" t="s">
        <v>769</v>
      </c>
      <c r="N104" s="81" t="s">
        <v>770</v>
      </c>
      <c r="P104" s="81" t="s">
        <v>771</v>
      </c>
      <c r="Q104" s="81" t="s">
        <v>772</v>
      </c>
      <c r="R104" s="81" t="s">
        <v>773</v>
      </c>
      <c r="S104" s="81" t="s">
        <v>774</v>
      </c>
      <c r="T104" s="81" t="s">
        <v>775</v>
      </c>
    </row>
    <row r="105" spans="1:20" x14ac:dyDescent="0.2">
      <c r="A105" s="81" t="s">
        <v>86</v>
      </c>
      <c r="B105" s="81" t="s">
        <v>776</v>
      </c>
      <c r="D105" s="81" t="s">
        <v>777</v>
      </c>
    </row>
    <row r="106" spans="1:20" x14ac:dyDescent="0.2">
      <c r="A106" s="81" t="s">
        <v>86</v>
      </c>
      <c r="B106" s="81" t="s">
        <v>778</v>
      </c>
      <c r="D106" s="81" t="s">
        <v>779</v>
      </c>
      <c r="F106" s="81" t="s">
        <v>170</v>
      </c>
      <c r="H106" s="81" t="s">
        <v>1018</v>
      </c>
    </row>
    <row r="107" spans="1:20" x14ac:dyDescent="0.2">
      <c r="A107" s="81" t="s">
        <v>119</v>
      </c>
      <c r="B107" s="81" t="s">
        <v>157</v>
      </c>
      <c r="D107" s="81" t="s">
        <v>326</v>
      </c>
    </row>
    <row r="108" spans="1:20" x14ac:dyDescent="0.2">
      <c r="A108" s="81" t="s">
        <v>86</v>
      </c>
      <c r="B108" s="81" t="s">
        <v>158</v>
      </c>
      <c r="D108" s="81" t="s">
        <v>327</v>
      </c>
      <c r="G108" s="81" t="s">
        <v>1019</v>
      </c>
      <c r="H108" s="81" t="s">
        <v>1041</v>
      </c>
      <c r="I108" s="81" t="s">
        <v>780</v>
      </c>
      <c r="J108" s="81" t="s">
        <v>781</v>
      </c>
      <c r="K108" s="81" t="s">
        <v>782</v>
      </c>
      <c r="L108" s="81" t="s">
        <v>783</v>
      </c>
      <c r="M108" s="81" t="s">
        <v>784</v>
      </c>
      <c r="N108" s="81" t="s">
        <v>785</v>
      </c>
      <c r="O108" s="81" t="s">
        <v>786</v>
      </c>
      <c r="P108" s="81" t="s">
        <v>787</v>
      </c>
      <c r="Q108" s="81" t="s">
        <v>788</v>
      </c>
      <c r="R108" s="81" t="s">
        <v>789</v>
      </c>
      <c r="S108" s="81" t="s">
        <v>790</v>
      </c>
      <c r="T108" s="81" t="s">
        <v>785</v>
      </c>
    </row>
    <row r="109" spans="1:20" x14ac:dyDescent="0.2">
      <c r="A109" s="81" t="s">
        <v>86</v>
      </c>
      <c r="B109" s="81" t="s">
        <v>159</v>
      </c>
      <c r="D109" s="81" t="s">
        <v>328</v>
      </c>
      <c r="G109" s="81" t="s">
        <v>791</v>
      </c>
      <c r="H109" s="81" t="s">
        <v>1042</v>
      </c>
      <c r="I109" s="81" t="s">
        <v>792</v>
      </c>
      <c r="J109" s="81" t="s">
        <v>793</v>
      </c>
      <c r="K109" s="81" t="s">
        <v>794</v>
      </c>
      <c r="L109" s="81" t="s">
        <v>795</v>
      </c>
      <c r="M109" s="81" t="s">
        <v>796</v>
      </c>
      <c r="N109" s="81" t="s">
        <v>797</v>
      </c>
      <c r="O109" s="81" t="s">
        <v>798</v>
      </c>
      <c r="P109" s="81" t="s">
        <v>799</v>
      </c>
      <c r="Q109" s="81" t="s">
        <v>800</v>
      </c>
      <c r="R109" s="81" t="s">
        <v>801</v>
      </c>
      <c r="S109" s="81" t="s">
        <v>802</v>
      </c>
      <c r="T109" s="81" t="s">
        <v>797</v>
      </c>
    </row>
    <row r="110" spans="1:20" x14ac:dyDescent="0.2">
      <c r="A110" s="81" t="s">
        <v>86</v>
      </c>
      <c r="B110" s="81" t="s">
        <v>160</v>
      </c>
      <c r="D110" s="81" t="s">
        <v>329</v>
      </c>
      <c r="G110" s="81" t="s">
        <v>398</v>
      </c>
      <c r="H110" s="81" t="s">
        <v>1043</v>
      </c>
      <c r="I110" s="81" t="s">
        <v>803</v>
      </c>
      <c r="J110" s="81" t="s">
        <v>804</v>
      </c>
      <c r="K110" s="81" t="s">
        <v>805</v>
      </c>
      <c r="L110" s="81" t="s">
        <v>806</v>
      </c>
      <c r="M110" s="81" t="s">
        <v>807</v>
      </c>
      <c r="N110" s="81" t="s">
        <v>808</v>
      </c>
      <c r="O110" s="81" t="s">
        <v>809</v>
      </c>
      <c r="P110" s="81" t="s">
        <v>810</v>
      </c>
      <c r="Q110" s="81" t="s">
        <v>811</v>
      </c>
      <c r="R110" s="81" t="s">
        <v>812</v>
      </c>
      <c r="S110" s="81" t="s">
        <v>813</v>
      </c>
      <c r="T110" s="81" t="s">
        <v>808</v>
      </c>
    </row>
    <row r="111" spans="1:20" x14ac:dyDescent="0.2">
      <c r="A111" s="81" t="s">
        <v>86</v>
      </c>
      <c r="B111" s="81" t="s">
        <v>159</v>
      </c>
      <c r="D111" s="81" t="s">
        <v>328</v>
      </c>
    </row>
    <row r="112" spans="1:20" x14ac:dyDescent="0.2">
      <c r="A112" s="81" t="s">
        <v>86</v>
      </c>
      <c r="B112" s="81" t="s">
        <v>814</v>
      </c>
      <c r="D112" s="81" t="s">
        <v>815</v>
      </c>
    </row>
    <row r="113" spans="1:20" x14ac:dyDescent="0.2">
      <c r="A113" s="81" t="s">
        <v>86</v>
      </c>
      <c r="B113" s="81" t="s">
        <v>183</v>
      </c>
      <c r="D113" s="81" t="s">
        <v>330</v>
      </c>
      <c r="H113" s="81" t="s">
        <v>816</v>
      </c>
      <c r="J113" s="81" t="s">
        <v>817</v>
      </c>
      <c r="K113" s="81" t="s">
        <v>818</v>
      </c>
      <c r="L113" s="81" t="s">
        <v>819</v>
      </c>
      <c r="M113" s="81" t="s">
        <v>820</v>
      </c>
      <c r="N113" s="81" t="s">
        <v>821</v>
      </c>
      <c r="P113" s="81" t="s">
        <v>822</v>
      </c>
      <c r="Q113" s="81" t="s">
        <v>823</v>
      </c>
      <c r="R113" s="81" t="s">
        <v>824</v>
      </c>
      <c r="S113" s="81" t="s">
        <v>825</v>
      </c>
      <c r="T113" s="81" t="s">
        <v>826</v>
      </c>
    </row>
    <row r="114" spans="1:20" x14ac:dyDescent="0.2">
      <c r="A114" s="81" t="s">
        <v>86</v>
      </c>
      <c r="B114" s="81" t="s">
        <v>162</v>
      </c>
      <c r="D114" s="81" t="s">
        <v>331</v>
      </c>
    </row>
    <row r="115" spans="1:20" x14ac:dyDescent="0.2">
      <c r="A115" s="81" t="s">
        <v>86</v>
      </c>
      <c r="B115" s="81" t="s">
        <v>827</v>
      </c>
      <c r="D115" s="81" t="s">
        <v>828</v>
      </c>
      <c r="F115" s="81" t="s">
        <v>829</v>
      </c>
      <c r="H115" s="81" t="s">
        <v>1020</v>
      </c>
    </row>
    <row r="116" spans="1:20" x14ac:dyDescent="0.2">
      <c r="A116" s="81" t="s">
        <v>119</v>
      </c>
      <c r="B116" s="81" t="s">
        <v>163</v>
      </c>
      <c r="D116" s="81" t="s">
        <v>332</v>
      </c>
    </row>
    <row r="117" spans="1:20" x14ac:dyDescent="0.2">
      <c r="A117" s="81" t="s">
        <v>86</v>
      </c>
      <c r="B117" s="81" t="s">
        <v>164</v>
      </c>
      <c r="D117" s="81" t="s">
        <v>333</v>
      </c>
      <c r="G117" s="81" t="s">
        <v>1021</v>
      </c>
      <c r="H117" s="81" t="s">
        <v>1022</v>
      </c>
      <c r="I117" s="81" t="s">
        <v>830</v>
      </c>
      <c r="J117" s="81" t="s">
        <v>831</v>
      </c>
      <c r="K117" s="81" t="s">
        <v>832</v>
      </c>
      <c r="L117" s="81" t="s">
        <v>833</v>
      </c>
      <c r="M117" s="81" t="s">
        <v>834</v>
      </c>
      <c r="N117" s="81" t="s">
        <v>835</v>
      </c>
      <c r="O117" s="81" t="s">
        <v>836</v>
      </c>
      <c r="P117" s="81" t="s">
        <v>837</v>
      </c>
      <c r="Q117" s="81" t="s">
        <v>838</v>
      </c>
      <c r="R117" s="81" t="s">
        <v>839</v>
      </c>
      <c r="S117" s="81" t="s">
        <v>840</v>
      </c>
      <c r="T117" s="81" t="s">
        <v>835</v>
      </c>
    </row>
    <row r="118" spans="1:20" x14ac:dyDescent="0.2">
      <c r="A118" s="81" t="s">
        <v>86</v>
      </c>
      <c r="B118" s="81" t="s">
        <v>165</v>
      </c>
      <c r="D118" s="81" t="s">
        <v>334</v>
      </c>
    </row>
    <row r="119" spans="1:20" x14ac:dyDescent="0.2">
      <c r="A119" s="81" t="s">
        <v>86</v>
      </c>
      <c r="B119" s="81" t="s">
        <v>841</v>
      </c>
      <c r="D119" s="81" t="s">
        <v>842</v>
      </c>
    </row>
    <row r="120" spans="1:20" x14ac:dyDescent="0.2">
      <c r="A120" s="81" t="s">
        <v>86</v>
      </c>
      <c r="B120" s="81" t="s">
        <v>184</v>
      </c>
      <c r="D120" s="81" t="s">
        <v>335</v>
      </c>
      <c r="H120" s="81" t="s">
        <v>843</v>
      </c>
      <c r="J120" s="81" t="s">
        <v>844</v>
      </c>
      <c r="K120" s="81" t="s">
        <v>845</v>
      </c>
      <c r="L120" s="81" t="s">
        <v>846</v>
      </c>
      <c r="M120" s="81" t="s">
        <v>847</v>
      </c>
      <c r="N120" s="81" t="s">
        <v>848</v>
      </c>
      <c r="P120" s="81" t="s">
        <v>849</v>
      </c>
      <c r="Q120" s="81" t="s">
        <v>850</v>
      </c>
      <c r="R120" s="81" t="s">
        <v>851</v>
      </c>
      <c r="S120" s="81" t="s">
        <v>852</v>
      </c>
      <c r="T120" s="81" t="s">
        <v>853</v>
      </c>
    </row>
    <row r="121" spans="1:20" x14ac:dyDescent="0.2">
      <c r="A121" s="81" t="s">
        <v>86</v>
      </c>
      <c r="B121" s="81" t="s">
        <v>167</v>
      </c>
      <c r="D121" s="81" t="s">
        <v>336</v>
      </c>
    </row>
    <row r="122" spans="1:20" x14ac:dyDescent="0.2">
      <c r="A122" s="81" t="s">
        <v>86</v>
      </c>
      <c r="B122" s="81" t="s">
        <v>854</v>
      </c>
      <c r="D122" s="81" t="s">
        <v>855</v>
      </c>
      <c r="F122" s="81" t="s">
        <v>178</v>
      </c>
      <c r="H122" s="81" t="s">
        <v>1023</v>
      </c>
    </row>
    <row r="123" spans="1:20" x14ac:dyDescent="0.2">
      <c r="A123" s="81" t="s">
        <v>119</v>
      </c>
      <c r="B123" s="81" t="s">
        <v>379</v>
      </c>
      <c r="D123" s="81" t="s">
        <v>380</v>
      </c>
    </row>
    <row r="124" spans="1:20" x14ac:dyDescent="0.2">
      <c r="A124" s="81" t="s">
        <v>86</v>
      </c>
      <c r="B124" s="81" t="s">
        <v>168</v>
      </c>
      <c r="D124" s="81" t="s">
        <v>337</v>
      </c>
      <c r="G124" s="81" t="s">
        <v>1024</v>
      </c>
      <c r="H124" s="81" t="s">
        <v>1035</v>
      </c>
      <c r="I124" s="81" t="s">
        <v>856</v>
      </c>
      <c r="J124" s="81" t="s">
        <v>857</v>
      </c>
      <c r="K124" s="81" t="s">
        <v>858</v>
      </c>
      <c r="L124" s="81" t="s">
        <v>859</v>
      </c>
      <c r="M124" s="81" t="s">
        <v>860</v>
      </c>
      <c r="N124" s="81" t="s">
        <v>861</v>
      </c>
      <c r="O124" s="81" t="s">
        <v>862</v>
      </c>
      <c r="P124" s="81" t="s">
        <v>863</v>
      </c>
      <c r="Q124" s="81" t="s">
        <v>864</v>
      </c>
      <c r="R124" s="81" t="s">
        <v>865</v>
      </c>
      <c r="S124" s="81" t="s">
        <v>866</v>
      </c>
      <c r="T124" s="81" t="s">
        <v>861</v>
      </c>
    </row>
    <row r="125" spans="1:20" x14ac:dyDescent="0.2">
      <c r="A125" s="81" t="s">
        <v>86</v>
      </c>
      <c r="B125" s="81" t="s">
        <v>169</v>
      </c>
      <c r="D125" s="81" t="s">
        <v>338</v>
      </c>
      <c r="G125" s="81" t="s">
        <v>451</v>
      </c>
      <c r="H125" s="81" t="s">
        <v>1036</v>
      </c>
      <c r="I125" s="81" t="s">
        <v>867</v>
      </c>
      <c r="J125" s="81" t="s">
        <v>868</v>
      </c>
      <c r="K125" s="81" t="s">
        <v>869</v>
      </c>
      <c r="L125" s="81" t="s">
        <v>870</v>
      </c>
      <c r="M125" s="81" t="s">
        <v>871</v>
      </c>
      <c r="N125" s="81" t="s">
        <v>872</v>
      </c>
      <c r="O125" s="81" t="s">
        <v>873</v>
      </c>
      <c r="P125" s="81" t="s">
        <v>874</v>
      </c>
      <c r="Q125" s="81" t="s">
        <v>875</v>
      </c>
      <c r="R125" s="81" t="s">
        <v>876</v>
      </c>
      <c r="S125" s="81" t="s">
        <v>877</v>
      </c>
      <c r="T125" s="81" t="s">
        <v>872</v>
      </c>
    </row>
    <row r="126" spans="1:20" x14ac:dyDescent="0.2">
      <c r="A126" s="81" t="s">
        <v>86</v>
      </c>
      <c r="B126" s="81" t="s">
        <v>878</v>
      </c>
      <c r="D126" s="81" t="s">
        <v>879</v>
      </c>
      <c r="G126" s="81" t="s">
        <v>704</v>
      </c>
      <c r="H126" s="81" t="s">
        <v>1037</v>
      </c>
      <c r="I126" s="81" t="s">
        <v>880</v>
      </c>
      <c r="J126" s="81" t="s">
        <v>881</v>
      </c>
      <c r="K126" s="81" t="s">
        <v>882</v>
      </c>
      <c r="L126" s="81" t="s">
        <v>883</v>
      </c>
      <c r="M126" s="81" t="s">
        <v>884</v>
      </c>
      <c r="N126" s="81" t="s">
        <v>885</v>
      </c>
      <c r="O126" s="81" t="s">
        <v>886</v>
      </c>
      <c r="P126" s="81" t="s">
        <v>887</v>
      </c>
      <c r="Q126" s="81" t="s">
        <v>888</v>
      </c>
      <c r="R126" s="81" t="s">
        <v>889</v>
      </c>
      <c r="S126" s="81" t="s">
        <v>890</v>
      </c>
      <c r="T126" s="81" t="s">
        <v>885</v>
      </c>
    </row>
    <row r="127" spans="1:20" x14ac:dyDescent="0.2">
      <c r="A127" s="81" t="s">
        <v>86</v>
      </c>
      <c r="B127" s="81" t="s">
        <v>185</v>
      </c>
      <c r="D127" s="81" t="s">
        <v>339</v>
      </c>
      <c r="G127" s="81" t="s">
        <v>791</v>
      </c>
      <c r="H127" s="81" t="s">
        <v>1038</v>
      </c>
      <c r="I127" s="81" t="s">
        <v>891</v>
      </c>
      <c r="J127" s="81" t="s">
        <v>892</v>
      </c>
      <c r="K127" s="81" t="s">
        <v>893</v>
      </c>
      <c r="L127" s="81" t="s">
        <v>894</v>
      </c>
      <c r="M127" s="81" t="s">
        <v>895</v>
      </c>
      <c r="N127" s="81" t="s">
        <v>896</v>
      </c>
      <c r="O127" s="81" t="s">
        <v>897</v>
      </c>
      <c r="P127" s="81" t="s">
        <v>898</v>
      </c>
      <c r="Q127" s="81" t="s">
        <v>899</v>
      </c>
      <c r="R127" s="81" t="s">
        <v>900</v>
      </c>
      <c r="S127" s="81" t="s">
        <v>901</v>
      </c>
      <c r="T127" s="81" t="s">
        <v>896</v>
      </c>
    </row>
    <row r="128" spans="1:20" x14ac:dyDescent="0.2">
      <c r="A128" s="81" t="s">
        <v>86</v>
      </c>
      <c r="B128" s="81" t="s">
        <v>171</v>
      </c>
      <c r="D128" s="81" t="s">
        <v>340</v>
      </c>
      <c r="G128" s="81" t="s">
        <v>93</v>
      </c>
      <c r="H128" s="81" t="s">
        <v>1039</v>
      </c>
      <c r="I128" s="81" t="s">
        <v>381</v>
      </c>
      <c r="J128" s="81" t="s">
        <v>382</v>
      </c>
      <c r="K128" s="81" t="s">
        <v>383</v>
      </c>
      <c r="L128" s="81" t="s">
        <v>384</v>
      </c>
      <c r="M128" s="81" t="s">
        <v>385</v>
      </c>
      <c r="N128" s="81" t="s">
        <v>386</v>
      </c>
      <c r="O128" s="81" t="s">
        <v>387</v>
      </c>
      <c r="P128" s="81" t="s">
        <v>388</v>
      </c>
      <c r="Q128" s="81" t="s">
        <v>389</v>
      </c>
      <c r="R128" s="81" t="s">
        <v>390</v>
      </c>
      <c r="S128" s="81" t="s">
        <v>391</v>
      </c>
      <c r="T128" s="81" t="s">
        <v>386</v>
      </c>
    </row>
    <row r="129" spans="1:20" x14ac:dyDescent="0.2">
      <c r="A129" s="81" t="s">
        <v>86</v>
      </c>
      <c r="B129" s="81" t="s">
        <v>172</v>
      </c>
      <c r="D129" s="81" t="s">
        <v>341</v>
      </c>
      <c r="G129" s="81" t="s">
        <v>902</v>
      </c>
      <c r="H129" s="81" t="s">
        <v>1040</v>
      </c>
      <c r="I129" s="81" t="s">
        <v>903</v>
      </c>
      <c r="J129" s="81" t="s">
        <v>904</v>
      </c>
      <c r="K129" s="81" t="s">
        <v>905</v>
      </c>
      <c r="L129" s="81" t="s">
        <v>906</v>
      </c>
      <c r="M129" s="81" t="s">
        <v>907</v>
      </c>
      <c r="N129" s="81" t="s">
        <v>908</v>
      </c>
      <c r="O129" s="81" t="s">
        <v>909</v>
      </c>
      <c r="P129" s="81" t="s">
        <v>910</v>
      </c>
      <c r="Q129" s="81" t="s">
        <v>911</v>
      </c>
      <c r="R129" s="81" t="s">
        <v>912</v>
      </c>
      <c r="S129" s="81" t="s">
        <v>913</v>
      </c>
      <c r="T129" s="81" t="s">
        <v>908</v>
      </c>
    </row>
    <row r="130" spans="1:20" x14ac:dyDescent="0.2">
      <c r="A130" s="81" t="s">
        <v>86</v>
      </c>
      <c r="B130" s="81" t="s">
        <v>169</v>
      </c>
      <c r="D130" s="81" t="s">
        <v>338</v>
      </c>
    </row>
    <row r="131" spans="1:20" x14ac:dyDescent="0.2">
      <c r="A131" s="81" t="s">
        <v>86</v>
      </c>
      <c r="B131" s="81" t="s">
        <v>173</v>
      </c>
      <c r="D131" s="81" t="s">
        <v>342</v>
      </c>
    </row>
    <row r="132" spans="1:20" x14ac:dyDescent="0.2">
      <c r="A132" s="81" t="s">
        <v>86</v>
      </c>
      <c r="B132" s="81" t="s">
        <v>174</v>
      </c>
      <c r="D132" s="81" t="s">
        <v>343</v>
      </c>
      <c r="H132" s="81" t="s">
        <v>914</v>
      </c>
      <c r="J132" s="81" t="s">
        <v>915</v>
      </c>
      <c r="K132" s="81" t="s">
        <v>916</v>
      </c>
      <c r="L132" s="81" t="s">
        <v>917</v>
      </c>
      <c r="M132" s="81" t="s">
        <v>918</v>
      </c>
      <c r="N132" s="81" t="s">
        <v>919</v>
      </c>
      <c r="P132" s="81" t="s">
        <v>920</v>
      </c>
      <c r="Q132" s="81" t="s">
        <v>921</v>
      </c>
      <c r="R132" s="81" t="s">
        <v>922</v>
      </c>
      <c r="S132" s="81" t="s">
        <v>923</v>
      </c>
      <c r="T132" s="81" t="s">
        <v>924</v>
      </c>
    </row>
    <row r="133" spans="1:20" x14ac:dyDescent="0.2">
      <c r="A133" s="81" t="s">
        <v>86</v>
      </c>
      <c r="B133" s="81" t="s">
        <v>925</v>
      </c>
      <c r="D133" s="81" t="s">
        <v>926</v>
      </c>
    </row>
    <row r="134" spans="1:20" x14ac:dyDescent="0.2">
      <c r="A134" s="81" t="s">
        <v>86</v>
      </c>
      <c r="B134" s="81" t="s">
        <v>927</v>
      </c>
      <c r="D134" s="81" t="s">
        <v>928</v>
      </c>
      <c r="F134" s="81" t="s">
        <v>180</v>
      </c>
      <c r="H134" s="81" t="s">
        <v>1025</v>
      </c>
    </row>
    <row r="135" spans="1:20" x14ac:dyDescent="0.2">
      <c r="A135" s="81" t="s">
        <v>119</v>
      </c>
      <c r="B135" s="81" t="s">
        <v>175</v>
      </c>
      <c r="D135" s="81" t="s">
        <v>344</v>
      </c>
    </row>
    <row r="136" spans="1:20" x14ac:dyDescent="0.2">
      <c r="A136" s="81" t="s">
        <v>86</v>
      </c>
      <c r="B136" s="81" t="s">
        <v>176</v>
      </c>
      <c r="D136" s="81" t="s">
        <v>345</v>
      </c>
      <c r="G136" s="81" t="s">
        <v>1026</v>
      </c>
      <c r="H136" s="81" t="s">
        <v>1032</v>
      </c>
      <c r="I136" s="81" t="s">
        <v>929</v>
      </c>
      <c r="J136" s="81" t="s">
        <v>930</v>
      </c>
      <c r="K136" s="81" t="s">
        <v>931</v>
      </c>
      <c r="L136" s="81" t="s">
        <v>932</v>
      </c>
      <c r="M136" s="81" t="s">
        <v>933</v>
      </c>
      <c r="N136" s="81" t="s">
        <v>934</v>
      </c>
      <c r="O136" s="81" t="s">
        <v>935</v>
      </c>
      <c r="P136" s="81" t="s">
        <v>936</v>
      </c>
      <c r="Q136" s="81" t="s">
        <v>937</v>
      </c>
      <c r="R136" s="81" t="s">
        <v>938</v>
      </c>
      <c r="S136" s="81" t="s">
        <v>939</v>
      </c>
      <c r="T136" s="81" t="s">
        <v>934</v>
      </c>
    </row>
    <row r="137" spans="1:20" x14ac:dyDescent="0.2">
      <c r="A137" s="81" t="s">
        <v>86</v>
      </c>
      <c r="B137" s="81" t="s">
        <v>392</v>
      </c>
      <c r="D137" s="81" t="s">
        <v>393</v>
      </c>
      <c r="G137" s="81" t="s">
        <v>88</v>
      </c>
      <c r="H137" s="81" t="s">
        <v>1033</v>
      </c>
      <c r="I137" s="81" t="s">
        <v>940</v>
      </c>
      <c r="J137" s="81" t="s">
        <v>941</v>
      </c>
      <c r="K137" s="81" t="s">
        <v>942</v>
      </c>
      <c r="L137" s="81" t="s">
        <v>943</v>
      </c>
      <c r="M137" s="81" t="s">
        <v>944</v>
      </c>
      <c r="N137" s="81" t="s">
        <v>945</v>
      </c>
      <c r="O137" s="81" t="s">
        <v>946</v>
      </c>
      <c r="P137" s="81" t="s">
        <v>947</v>
      </c>
      <c r="Q137" s="81" t="s">
        <v>948</v>
      </c>
      <c r="R137" s="81" t="s">
        <v>949</v>
      </c>
      <c r="S137" s="81" t="s">
        <v>950</v>
      </c>
      <c r="T137" s="81" t="s">
        <v>945</v>
      </c>
    </row>
    <row r="138" spans="1:20" x14ac:dyDescent="0.2">
      <c r="A138" s="81" t="s">
        <v>86</v>
      </c>
      <c r="B138" s="81" t="s">
        <v>177</v>
      </c>
      <c r="D138" s="81" t="s">
        <v>346</v>
      </c>
      <c r="G138" s="81" t="s">
        <v>951</v>
      </c>
      <c r="H138" s="81" t="s">
        <v>1034</v>
      </c>
      <c r="I138" s="81" t="s">
        <v>952</v>
      </c>
      <c r="J138" s="81" t="s">
        <v>953</v>
      </c>
      <c r="K138" s="81" t="s">
        <v>954</v>
      </c>
      <c r="L138" s="81" t="s">
        <v>955</v>
      </c>
      <c r="M138" s="81" t="s">
        <v>956</v>
      </c>
      <c r="N138" s="81" t="s">
        <v>957</v>
      </c>
      <c r="O138" s="81" t="s">
        <v>958</v>
      </c>
      <c r="P138" s="81" t="s">
        <v>959</v>
      </c>
      <c r="Q138" s="81" t="s">
        <v>960</v>
      </c>
      <c r="R138" s="81" t="s">
        <v>961</v>
      </c>
      <c r="S138" s="81" t="s">
        <v>962</v>
      </c>
      <c r="T138" s="81" t="s">
        <v>957</v>
      </c>
    </row>
    <row r="139" spans="1:20" x14ac:dyDescent="0.2">
      <c r="A139" s="81" t="s">
        <v>86</v>
      </c>
      <c r="B139" s="81" t="s">
        <v>392</v>
      </c>
      <c r="D139" s="81" t="s">
        <v>393</v>
      </c>
    </row>
    <row r="140" spans="1:20" x14ac:dyDescent="0.2">
      <c r="A140" s="81" t="s">
        <v>86</v>
      </c>
      <c r="B140" s="81" t="s">
        <v>963</v>
      </c>
      <c r="D140" s="81" t="s">
        <v>964</v>
      </c>
    </row>
    <row r="141" spans="1:20" x14ac:dyDescent="0.2">
      <c r="A141" s="81" t="s">
        <v>86</v>
      </c>
      <c r="B141" s="81" t="s">
        <v>394</v>
      </c>
      <c r="D141" s="81" t="s">
        <v>395</v>
      </c>
      <c r="H141" s="81" t="s">
        <v>965</v>
      </c>
      <c r="J141" s="81" t="s">
        <v>966</v>
      </c>
      <c r="K141" s="81" t="s">
        <v>967</v>
      </c>
      <c r="L141" s="81" t="s">
        <v>968</v>
      </c>
      <c r="M141" s="81" t="s">
        <v>969</v>
      </c>
      <c r="N141" s="81" t="s">
        <v>970</v>
      </c>
      <c r="P141" s="81" t="s">
        <v>971</v>
      </c>
      <c r="Q141" s="81" t="s">
        <v>972</v>
      </c>
      <c r="R141" s="81" t="s">
        <v>973</v>
      </c>
      <c r="S141" s="81" t="s">
        <v>974</v>
      </c>
      <c r="T141" s="81" t="s">
        <v>975</v>
      </c>
    </row>
    <row r="142" spans="1:20" x14ac:dyDescent="0.2">
      <c r="A142" s="81" t="s">
        <v>86</v>
      </c>
      <c r="B142" s="81" t="s">
        <v>179</v>
      </c>
      <c r="D142" s="81" t="s">
        <v>347</v>
      </c>
    </row>
    <row r="144" spans="1:20" x14ac:dyDescent="0.2">
      <c r="H144" s="81" t="s">
        <v>2</v>
      </c>
      <c r="J144" s="81" t="s">
        <v>976</v>
      </c>
      <c r="K144" s="81" t="s">
        <v>977</v>
      </c>
      <c r="L144" s="81" t="s">
        <v>978</v>
      </c>
      <c r="M144" s="81" t="s">
        <v>979</v>
      </c>
      <c r="N144" s="81" t="s">
        <v>980</v>
      </c>
      <c r="P144" s="81" t="s">
        <v>981</v>
      </c>
      <c r="Q144" s="81" t="s">
        <v>982</v>
      </c>
      <c r="R144" s="81" t="s">
        <v>983</v>
      </c>
      <c r="S144" s="81" t="s">
        <v>984</v>
      </c>
      <c r="T144" s="81" t="s">
        <v>985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Read Me</vt:lpstr>
      <vt:lpstr>Options</vt:lpstr>
      <vt:lpstr>Item Profitability by Customer</vt:lpstr>
      <vt:lpstr>Company</vt:lpstr>
      <vt:lpstr>DataSource</vt:lpstr>
      <vt:lpstr>End_Date</vt:lpstr>
      <vt:lpstr>Item_No</vt:lpstr>
      <vt:lpstr>Per_Type</vt:lpstr>
      <vt:lpstr>Source_No</vt:lpstr>
      <vt:lpstr>Start_Date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Item Profitability by Customer</dc:title>
  <dc:subject>Jet Reports</dc:subject>
  <dc:creator>Jet Reports</dc:creator>
  <dc:description>Lists item sales by customer.  Detail includes item number and description, quantity, sales amount, and gross profit.</dc:description>
  <cp:lastModifiedBy>Kim R. Duey</cp:lastModifiedBy>
  <cp:lastPrinted>2008-07-01T19:19:25Z</cp:lastPrinted>
  <dcterms:created xsi:type="dcterms:W3CDTF">2004-11-30T05:34:28Z</dcterms:created>
  <dcterms:modified xsi:type="dcterms:W3CDTF">2018-10-04T14:09:27Z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rill Button Active">
    <vt:bool>true</vt:bool>
  </property>
  <property fmtid="{D5CDD505-2E9C-101B-9397-08002B2CF9AE}" pid="3" name="Jet Reports Last Version Refresh">
    <vt:lpwstr>Version 7.1.2  Released 5/7/2008 9:08:45 AM</vt:lpwstr>
  </property>
  <property fmtid="{D5CDD505-2E9C-101B-9397-08002B2CF9AE}" pid="4" name="Jet Reports Design Mode Active">
    <vt:bool>false</vt:bool>
  </property>
  <property fmtid="{D5CDD505-2E9C-101B-9397-08002B2CF9AE}" pid="5" name="NeedsREVERT">
    <vt:lpwstr>FALSE</vt:lpwstr>
  </property>
  <property fmtid="{D5CDD505-2E9C-101B-9397-08002B2CF9AE}" pid="6" name="OriginalName">
    <vt:lpwstr>GP Item Profitability by Customer.xls</vt:lpwstr>
  </property>
  <property fmtid="{D5CDD505-2E9C-101B-9397-08002B2CF9AE}" pid="7" name="Jet Reports Function Literals">
    <vt:lpwstr>,	;	,	{	}	[@[{0}]]	1033</vt:lpwstr>
  </property>
</Properties>
</file>