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8800" windowHeight="12000"/>
  </bookViews>
  <sheets>
    <sheet name="Read Me" sheetId="209" r:id="rId1"/>
    <sheet name="Options" sheetId="1" state="hidden" r:id="rId2"/>
    <sheet name="Income Statement" sheetId="2" r:id="rId3"/>
    <sheet name="Sheet2" sheetId="210" state="veryHidden" r:id="rId4"/>
    <sheet name="Sheet3" sheetId="211" state="veryHidden" r:id="rId5"/>
    <sheet name="Sheet4" sheetId="212" state="veryHidden" r:id="rId6"/>
  </sheets>
  <definedNames>
    <definedName name="End">Options!$E$6</definedName>
    <definedName name="Start">Options!$E$5</definedName>
  </definedNames>
  <calcPr calcId="162913"/>
</workbook>
</file>

<file path=xl/calcChain.xml><?xml version="1.0" encoding="utf-8"?>
<calcChain xmlns="http://schemas.openxmlformats.org/spreadsheetml/2006/main">
  <c r="F9" i="2" l="1"/>
  <c r="G9" i="2"/>
  <c r="F10" i="2"/>
  <c r="G10" i="2"/>
  <c r="F11" i="2"/>
  <c r="G11" i="2"/>
  <c r="F12" i="2"/>
  <c r="G12" i="2"/>
  <c r="F13" i="2"/>
  <c r="G13" i="2"/>
  <c r="F14" i="2"/>
  <c r="G14" i="2"/>
  <c r="F15" i="2"/>
  <c r="G15" i="2"/>
  <c r="F16" i="2"/>
  <c r="G16" i="2"/>
  <c r="F17" i="2"/>
  <c r="G17" i="2"/>
  <c r="F18" i="2"/>
  <c r="G18" i="2"/>
  <c r="F19" i="2"/>
  <c r="G19" i="2"/>
  <c r="F20" i="2"/>
  <c r="G20" i="2"/>
  <c r="F21" i="2"/>
  <c r="G21" i="2"/>
  <c r="F22" i="2"/>
  <c r="G22" i="2"/>
  <c r="F23" i="2"/>
  <c r="G23" i="2"/>
  <c r="F24" i="2"/>
  <c r="G24" i="2"/>
  <c r="F25" i="2"/>
  <c r="G25" i="2"/>
  <c r="F26" i="2"/>
  <c r="G26" i="2"/>
  <c r="F27" i="2"/>
  <c r="G27" i="2"/>
  <c r="F28" i="2"/>
  <c r="G28" i="2"/>
  <c r="F29" i="2"/>
  <c r="G29" i="2"/>
  <c r="F30" i="2"/>
  <c r="G30" i="2"/>
  <c r="F31" i="2"/>
  <c r="G31" i="2"/>
  <c r="F32" i="2"/>
  <c r="G32" i="2"/>
  <c r="F33" i="2"/>
  <c r="G33" i="2"/>
  <c r="F34" i="2"/>
  <c r="G34" i="2"/>
  <c r="F35" i="2"/>
  <c r="G35" i="2"/>
  <c r="F36" i="2"/>
  <c r="G36" i="2"/>
  <c r="F37" i="2"/>
  <c r="G37" i="2"/>
  <c r="F38" i="2"/>
  <c r="G38" i="2"/>
  <c r="F39" i="2"/>
  <c r="G39" i="2"/>
  <c r="F40" i="2"/>
  <c r="G40" i="2"/>
  <c r="F41" i="2"/>
  <c r="G41" i="2"/>
  <c r="F42" i="2"/>
  <c r="G42" i="2"/>
  <c r="F43" i="2"/>
  <c r="G43" i="2"/>
  <c r="F44" i="2"/>
  <c r="G44" i="2"/>
  <c r="F45" i="2"/>
  <c r="G45" i="2"/>
  <c r="F46" i="2"/>
  <c r="G46" i="2"/>
  <c r="F47" i="2"/>
  <c r="G47" i="2"/>
  <c r="F48" i="2"/>
  <c r="G48" i="2"/>
  <c r="F49" i="2"/>
  <c r="G49" i="2"/>
  <c r="F50" i="2"/>
  <c r="G50" i="2"/>
  <c r="F51" i="2"/>
  <c r="G51" i="2"/>
  <c r="F52" i="2"/>
  <c r="G52" i="2"/>
  <c r="F54" i="2"/>
  <c r="F55" i="2"/>
  <c r="G55" i="2"/>
  <c r="F56" i="2"/>
  <c r="G56" i="2"/>
  <c r="F57" i="2"/>
  <c r="G57" i="2"/>
  <c r="F58" i="2"/>
  <c r="G58" i="2"/>
  <c r="F59" i="2"/>
  <c r="G59" i="2"/>
  <c r="F60" i="2"/>
  <c r="G60" i="2"/>
  <c r="F61" i="2"/>
  <c r="G61" i="2"/>
  <c r="F62" i="2"/>
  <c r="G62" i="2"/>
  <c r="F63" i="2"/>
  <c r="G63" i="2"/>
  <c r="F65" i="2"/>
  <c r="F66" i="2"/>
  <c r="G66" i="2"/>
  <c r="F67" i="2"/>
  <c r="G67" i="2"/>
  <c r="F68" i="2"/>
  <c r="G68" i="2"/>
  <c r="F69" i="2"/>
  <c r="G69" i="2"/>
  <c r="F70" i="2"/>
  <c r="G70" i="2"/>
  <c r="F71" i="2"/>
  <c r="G71" i="2"/>
  <c r="F72" i="2"/>
  <c r="G72" i="2"/>
  <c r="F73" i="2"/>
  <c r="G73" i="2"/>
  <c r="F74" i="2"/>
  <c r="G74" i="2"/>
  <c r="F75" i="2"/>
  <c r="G75" i="2"/>
  <c r="F76" i="2"/>
  <c r="G76" i="2"/>
  <c r="F77" i="2"/>
  <c r="G77" i="2"/>
  <c r="F78" i="2"/>
  <c r="G78" i="2"/>
  <c r="F79" i="2"/>
  <c r="G79" i="2"/>
  <c r="F80" i="2"/>
  <c r="G80" i="2"/>
  <c r="F81" i="2"/>
  <c r="G81" i="2"/>
  <c r="F82" i="2"/>
  <c r="G82" i="2"/>
  <c r="F84" i="2"/>
  <c r="F85" i="2"/>
  <c r="G85" i="2"/>
  <c r="F87" i="2"/>
  <c r="F88" i="2"/>
  <c r="G88" i="2"/>
  <c r="F89" i="2"/>
  <c r="G89" i="2"/>
  <c r="F90" i="2"/>
  <c r="G90" i="2"/>
  <c r="F91" i="2"/>
  <c r="G91" i="2"/>
  <c r="F92" i="2"/>
  <c r="G92" i="2"/>
  <c r="F93" i="2"/>
  <c r="G93" i="2"/>
  <c r="F94" i="2"/>
  <c r="G94" i="2"/>
  <c r="F95" i="2"/>
  <c r="G95" i="2"/>
  <c r="F96" i="2"/>
  <c r="G96" i="2"/>
  <c r="F97" i="2"/>
  <c r="G97" i="2"/>
  <c r="F98" i="2"/>
  <c r="G98" i="2"/>
  <c r="F99" i="2"/>
  <c r="G99" i="2"/>
  <c r="F100" i="2"/>
  <c r="G100" i="2"/>
  <c r="F101" i="2"/>
  <c r="G101" i="2"/>
  <c r="F102" i="2"/>
  <c r="G102" i="2"/>
  <c r="F103" i="2"/>
  <c r="G103" i="2"/>
  <c r="F104" i="2"/>
  <c r="G104" i="2"/>
  <c r="F105" i="2"/>
  <c r="G105" i="2"/>
  <c r="F106" i="2"/>
  <c r="G106" i="2"/>
  <c r="F107" i="2"/>
  <c r="G107" i="2"/>
  <c r="F108" i="2"/>
  <c r="G108" i="2"/>
  <c r="F109" i="2"/>
  <c r="G109" i="2"/>
  <c r="F110" i="2"/>
  <c r="G110" i="2"/>
  <c r="F111" i="2"/>
  <c r="G111" i="2"/>
  <c r="F112" i="2"/>
  <c r="G112" i="2"/>
  <c r="F113" i="2"/>
  <c r="G113" i="2"/>
  <c r="F114" i="2"/>
  <c r="G114" i="2"/>
  <c r="F115" i="2"/>
  <c r="G115" i="2"/>
  <c r="F116" i="2"/>
  <c r="G116" i="2"/>
  <c r="F117" i="2"/>
  <c r="G117" i="2"/>
  <c r="F118" i="2"/>
  <c r="G118" i="2"/>
  <c r="F119" i="2"/>
  <c r="G119" i="2"/>
  <c r="F120" i="2"/>
  <c r="G120" i="2"/>
  <c r="F121" i="2"/>
  <c r="G121" i="2"/>
  <c r="F122" i="2"/>
  <c r="G122" i="2"/>
  <c r="F123" i="2"/>
  <c r="G123" i="2"/>
  <c r="F124" i="2"/>
  <c r="G124" i="2"/>
  <c r="F125" i="2"/>
  <c r="G125" i="2"/>
  <c r="F126" i="2"/>
  <c r="G126" i="2"/>
  <c r="F127" i="2"/>
  <c r="G127" i="2"/>
  <c r="F128" i="2"/>
  <c r="G128" i="2"/>
  <c r="F129" i="2"/>
  <c r="G129" i="2"/>
  <c r="F130" i="2"/>
  <c r="G130" i="2"/>
  <c r="F131" i="2"/>
  <c r="G131" i="2"/>
  <c r="F132" i="2"/>
  <c r="G132" i="2"/>
  <c r="F133" i="2"/>
  <c r="G133" i="2"/>
  <c r="F134" i="2"/>
  <c r="G134" i="2"/>
  <c r="F135" i="2"/>
  <c r="G135" i="2"/>
  <c r="F136" i="2"/>
  <c r="G136" i="2"/>
  <c r="F137" i="2"/>
  <c r="G137" i="2"/>
  <c r="F138" i="2"/>
  <c r="G138" i="2"/>
  <c r="F139" i="2"/>
  <c r="G139" i="2"/>
  <c r="F140" i="2"/>
  <c r="G140" i="2"/>
  <c r="F141" i="2"/>
  <c r="G141" i="2"/>
  <c r="F142" i="2"/>
  <c r="G142" i="2"/>
  <c r="F143" i="2"/>
  <c r="G143" i="2"/>
  <c r="F144" i="2"/>
  <c r="G144" i="2"/>
  <c r="F145" i="2"/>
  <c r="G145" i="2"/>
  <c r="F146" i="2"/>
  <c r="G146" i="2"/>
  <c r="F147" i="2"/>
  <c r="G147" i="2"/>
  <c r="F148" i="2"/>
  <c r="G148" i="2"/>
  <c r="F149" i="2"/>
  <c r="G149" i="2"/>
  <c r="F150" i="2"/>
  <c r="G150" i="2"/>
  <c r="F151" i="2"/>
  <c r="G151" i="2"/>
  <c r="F152" i="2"/>
  <c r="G152" i="2"/>
  <c r="F153" i="2"/>
  <c r="G153" i="2"/>
  <c r="F154" i="2"/>
  <c r="G154" i="2"/>
  <c r="F155" i="2"/>
  <c r="G155" i="2"/>
  <c r="F156" i="2"/>
  <c r="G156" i="2"/>
  <c r="F157" i="2"/>
  <c r="G157" i="2"/>
  <c r="F158" i="2"/>
  <c r="G158" i="2"/>
  <c r="F159" i="2"/>
  <c r="G159" i="2"/>
  <c r="F160" i="2"/>
  <c r="G160" i="2"/>
  <c r="F161" i="2"/>
  <c r="G161" i="2"/>
  <c r="F162" i="2"/>
  <c r="G162" i="2"/>
  <c r="F163" i="2"/>
  <c r="G163" i="2"/>
  <c r="F164" i="2"/>
  <c r="G164" i="2"/>
  <c r="F165" i="2"/>
  <c r="G165" i="2"/>
  <c r="F166" i="2"/>
  <c r="G166" i="2"/>
  <c r="F167" i="2"/>
  <c r="G167" i="2"/>
  <c r="F168" i="2"/>
  <c r="G168" i="2"/>
  <c r="F169" i="2"/>
  <c r="G169" i="2"/>
  <c r="F170" i="2"/>
  <c r="G170" i="2"/>
  <c r="F171" i="2"/>
  <c r="G171" i="2"/>
  <c r="F172" i="2"/>
  <c r="G172" i="2"/>
  <c r="F173" i="2"/>
  <c r="G173" i="2"/>
  <c r="F174" i="2"/>
  <c r="G174" i="2"/>
  <c r="F175" i="2"/>
  <c r="G175" i="2"/>
  <c r="F176" i="2"/>
  <c r="G176" i="2"/>
  <c r="F177" i="2"/>
  <c r="G177" i="2"/>
  <c r="F178" i="2"/>
  <c r="G178" i="2"/>
  <c r="F179" i="2"/>
  <c r="G179" i="2"/>
  <c r="F180" i="2"/>
  <c r="G180" i="2"/>
  <c r="F181" i="2"/>
  <c r="G181" i="2"/>
  <c r="F182" i="2"/>
  <c r="G182" i="2"/>
  <c r="F183" i="2"/>
  <c r="G183" i="2"/>
  <c r="F184" i="2"/>
  <c r="G184" i="2"/>
  <c r="F186" i="2"/>
  <c r="F187" i="2"/>
  <c r="G187" i="2"/>
  <c r="F188" i="2"/>
  <c r="G188" i="2"/>
  <c r="F189" i="2"/>
  <c r="G189" i="2"/>
  <c r="F190" i="2"/>
  <c r="G190" i="2"/>
  <c r="F191" i="2"/>
  <c r="G191" i="2"/>
  <c r="F192" i="2"/>
  <c r="G192" i="2"/>
  <c r="F193" i="2"/>
  <c r="G193" i="2"/>
  <c r="F194" i="2"/>
  <c r="G194" i="2"/>
  <c r="F195" i="2"/>
  <c r="G195" i="2"/>
  <c r="F196" i="2"/>
  <c r="G196" i="2"/>
  <c r="F197" i="2"/>
  <c r="G197" i="2"/>
  <c r="F198" i="2"/>
  <c r="G198" i="2"/>
  <c r="F199" i="2"/>
  <c r="G199" i="2"/>
  <c r="F200" i="2"/>
  <c r="G200" i="2"/>
  <c r="F201" i="2"/>
  <c r="G201" i="2"/>
  <c r="F202" i="2"/>
  <c r="G202" i="2"/>
  <c r="F203" i="2"/>
  <c r="G203" i="2"/>
  <c r="F204" i="2"/>
  <c r="G204" i="2"/>
  <c r="F205" i="2"/>
  <c r="G205" i="2"/>
  <c r="F206" i="2"/>
  <c r="G206" i="2"/>
  <c r="F207" i="2"/>
  <c r="G207" i="2"/>
  <c r="F208" i="2"/>
  <c r="G208" i="2"/>
  <c r="F209" i="2"/>
  <c r="G209" i="2"/>
  <c r="F210" i="2"/>
  <c r="G210" i="2"/>
  <c r="F211" i="2"/>
  <c r="G211" i="2"/>
  <c r="F212" i="2"/>
  <c r="G212" i="2"/>
  <c r="F213" i="2"/>
  <c r="G213" i="2"/>
  <c r="F214" i="2"/>
  <c r="G214" i="2"/>
  <c r="F215" i="2"/>
  <c r="G215" i="2"/>
  <c r="F216" i="2"/>
  <c r="G216" i="2"/>
  <c r="F217" i="2"/>
  <c r="G217" i="2"/>
  <c r="F218" i="2"/>
  <c r="G218" i="2"/>
  <c r="F219" i="2"/>
  <c r="G219" i="2"/>
  <c r="F220" i="2"/>
  <c r="G220" i="2"/>
  <c r="F221" i="2"/>
  <c r="G221" i="2"/>
  <c r="F222" i="2"/>
  <c r="G222" i="2"/>
  <c r="F223" i="2"/>
  <c r="G223" i="2"/>
  <c r="F224" i="2"/>
  <c r="G224" i="2"/>
  <c r="F226" i="2"/>
  <c r="F227" i="2"/>
  <c r="G227" i="2"/>
  <c r="F228" i="2"/>
  <c r="G228" i="2"/>
  <c r="F229" i="2"/>
  <c r="G229" i="2"/>
  <c r="F230" i="2"/>
  <c r="G230" i="2"/>
  <c r="F231" i="2"/>
  <c r="G231" i="2"/>
  <c r="F232" i="2"/>
  <c r="G232" i="2"/>
  <c r="F233" i="2"/>
  <c r="G233" i="2"/>
  <c r="F234" i="2"/>
  <c r="G234" i="2"/>
  <c r="F235" i="2"/>
  <c r="G235" i="2"/>
  <c r="F236" i="2"/>
  <c r="G236" i="2"/>
  <c r="F237" i="2"/>
  <c r="G237" i="2"/>
  <c r="F238" i="2"/>
  <c r="G238" i="2"/>
  <c r="F239" i="2"/>
  <c r="G239" i="2"/>
  <c r="F240" i="2"/>
  <c r="G240" i="2"/>
  <c r="F241" i="2"/>
  <c r="G241" i="2"/>
  <c r="F242" i="2"/>
  <c r="G242" i="2"/>
  <c r="F243" i="2"/>
  <c r="G243" i="2"/>
  <c r="F244" i="2"/>
  <c r="G244" i="2"/>
  <c r="F246" i="2"/>
  <c r="G247" i="2"/>
  <c r="F249" i="2"/>
  <c r="F250" i="2"/>
  <c r="G250" i="2"/>
  <c r="F251" i="2"/>
  <c r="G251" i="2"/>
  <c r="F252" i="2"/>
  <c r="G252" i="2"/>
  <c r="F253" i="2"/>
  <c r="G253" i="2"/>
  <c r="F254" i="2"/>
  <c r="G254" i="2"/>
  <c r="F255" i="2"/>
  <c r="G255" i="2"/>
  <c r="F256" i="2"/>
  <c r="G256" i="2"/>
  <c r="F257" i="2"/>
  <c r="G257" i="2"/>
  <c r="F258" i="2"/>
  <c r="G258" i="2"/>
  <c r="F259" i="2"/>
  <c r="G259" i="2"/>
  <c r="F260" i="2"/>
  <c r="G260" i="2"/>
  <c r="F261" i="2"/>
  <c r="G261" i="2"/>
  <c r="F262" i="2"/>
  <c r="G262" i="2"/>
  <c r="F263" i="2"/>
  <c r="G263" i="2"/>
  <c r="F264" i="2"/>
  <c r="G264" i="2"/>
  <c r="F265" i="2"/>
  <c r="G265" i="2"/>
  <c r="F266" i="2"/>
  <c r="G266" i="2"/>
  <c r="F267" i="2"/>
  <c r="G267" i="2"/>
  <c r="F268" i="2"/>
  <c r="G268" i="2"/>
  <c r="F269" i="2"/>
  <c r="G269" i="2"/>
  <c r="F270" i="2"/>
  <c r="G270" i="2"/>
  <c r="F271" i="2"/>
  <c r="G271" i="2"/>
  <c r="F273" i="2"/>
  <c r="F274" i="2"/>
  <c r="G274" i="2"/>
  <c r="F275" i="2"/>
  <c r="G275" i="2"/>
  <c r="F276" i="2"/>
  <c r="G276" i="2"/>
  <c r="F277" i="2"/>
  <c r="G277" i="2"/>
  <c r="F279" i="2"/>
  <c r="G280" i="2"/>
  <c r="F282" i="2"/>
  <c r="F283" i="2"/>
  <c r="G283" i="2"/>
  <c r="F284" i="2"/>
  <c r="G284" i="2"/>
  <c r="F285" i="2"/>
  <c r="G285" i="2"/>
  <c r="F286" i="2"/>
  <c r="G286" i="2"/>
  <c r="F287" i="2"/>
  <c r="G287" i="2"/>
  <c r="F288" i="2"/>
  <c r="G288" i="2"/>
  <c r="F289" i="2"/>
  <c r="G289" i="2"/>
  <c r="F290" i="2"/>
  <c r="G290" i="2"/>
  <c r="F291" i="2"/>
  <c r="G291" i="2"/>
  <c r="F292" i="2"/>
  <c r="G292" i="2"/>
  <c r="F293" i="2"/>
  <c r="G293" i="2"/>
  <c r="F294" i="2"/>
  <c r="G294" i="2"/>
  <c r="F295" i="2"/>
  <c r="G295" i="2"/>
  <c r="F296" i="2"/>
  <c r="G296" i="2"/>
  <c r="F297" i="2"/>
  <c r="G297" i="2"/>
  <c r="F298" i="2"/>
  <c r="G298" i="2"/>
  <c r="F299" i="2"/>
  <c r="G299" i="2"/>
  <c r="F300" i="2"/>
  <c r="G300" i="2"/>
  <c r="F301" i="2"/>
  <c r="G301" i="2"/>
  <c r="F303" i="2"/>
  <c r="F304" i="2"/>
  <c r="G304" i="2"/>
  <c r="F305" i="2"/>
  <c r="G305" i="2"/>
  <c r="F306" i="2"/>
  <c r="G306" i="2"/>
  <c r="F307" i="2"/>
  <c r="G307" i="2"/>
  <c r="F308" i="2"/>
  <c r="G308" i="2"/>
  <c r="F309" i="2"/>
  <c r="G309" i="2"/>
  <c r="F310" i="2"/>
  <c r="G310" i="2"/>
  <c r="F311" i="2"/>
  <c r="G311" i="2"/>
  <c r="F312" i="2"/>
  <c r="G312" i="2"/>
  <c r="F313" i="2"/>
  <c r="G313" i="2"/>
  <c r="F314" i="2"/>
  <c r="G314" i="2"/>
  <c r="F315" i="2"/>
  <c r="G315" i="2"/>
  <c r="F316" i="2"/>
  <c r="G316" i="2"/>
  <c r="F317" i="2"/>
  <c r="G317" i="2"/>
  <c r="F318" i="2"/>
  <c r="G318" i="2"/>
  <c r="F319" i="2"/>
  <c r="G319" i="2"/>
  <c r="F320" i="2"/>
  <c r="G320" i="2"/>
  <c r="F321" i="2"/>
  <c r="G321" i="2"/>
  <c r="F322" i="2"/>
  <c r="G322" i="2"/>
  <c r="F323" i="2"/>
  <c r="G323" i="2"/>
  <c r="F324" i="2"/>
  <c r="G324" i="2"/>
  <c r="F325" i="2"/>
  <c r="G325" i="2"/>
  <c r="F326" i="2"/>
  <c r="G326" i="2"/>
  <c r="F327" i="2"/>
  <c r="G327" i="2"/>
  <c r="F328" i="2"/>
  <c r="G328" i="2"/>
  <c r="F329" i="2"/>
  <c r="G329" i="2"/>
  <c r="F330" i="2"/>
  <c r="G330" i="2"/>
  <c r="F331" i="2"/>
  <c r="G331" i="2"/>
  <c r="F332" i="2"/>
  <c r="G332" i="2"/>
  <c r="F333" i="2"/>
  <c r="G333" i="2"/>
  <c r="F334" i="2"/>
  <c r="G334" i="2"/>
  <c r="F335" i="2"/>
  <c r="G335" i="2"/>
  <c r="F336" i="2"/>
  <c r="G336" i="2"/>
  <c r="F337" i="2"/>
  <c r="G337" i="2"/>
  <c r="F339" i="2"/>
  <c r="G340" i="2"/>
  <c r="F342" i="2"/>
  <c r="G343" i="2"/>
  <c r="F345" i="2"/>
  <c r="G346" i="2"/>
  <c r="F348" i="2"/>
  <c r="F349" i="2"/>
  <c r="G349" i="2"/>
  <c r="B349" i="2"/>
  <c r="B336" i="2"/>
  <c r="B337"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1" i="2"/>
  <c r="B300" i="2"/>
  <c r="B299" i="2"/>
  <c r="B298" i="2"/>
  <c r="B297" i="2"/>
  <c r="B296" i="2"/>
  <c r="B295" i="2"/>
  <c r="B294" i="2"/>
  <c r="B293" i="2"/>
  <c r="B292" i="2"/>
  <c r="B291" i="2"/>
  <c r="B290" i="2"/>
  <c r="B289" i="2"/>
  <c r="B288" i="2"/>
  <c r="B287" i="2"/>
  <c r="B286" i="2"/>
  <c r="B285" i="2"/>
  <c r="B284" i="2"/>
  <c r="B280" i="2"/>
  <c r="B277" i="2"/>
  <c r="B276" i="2"/>
  <c r="B275" i="2"/>
  <c r="B271" i="2"/>
  <c r="B270" i="2"/>
  <c r="B269" i="2"/>
  <c r="B268" i="2"/>
  <c r="B267" i="2"/>
  <c r="B266" i="2"/>
  <c r="B265" i="2"/>
  <c r="B264" i="2"/>
  <c r="B263" i="2"/>
  <c r="B262" i="2"/>
  <c r="B261" i="2"/>
  <c r="B260" i="2"/>
  <c r="B259" i="2"/>
  <c r="B258" i="2"/>
  <c r="B257" i="2"/>
  <c r="B256" i="2"/>
  <c r="B255" i="2"/>
  <c r="B254" i="2"/>
  <c r="B253" i="2"/>
  <c r="B252" i="2"/>
  <c r="B251" i="2"/>
  <c r="B247" i="2"/>
  <c r="B244" i="2"/>
  <c r="B243" i="2"/>
  <c r="B242" i="2"/>
  <c r="B241" i="2"/>
  <c r="B240" i="2"/>
  <c r="B239" i="2"/>
  <c r="B238" i="2"/>
  <c r="B237" i="2"/>
  <c r="B236" i="2"/>
  <c r="B235" i="2"/>
  <c r="B234" i="2"/>
  <c r="B233" i="2"/>
  <c r="B232" i="2"/>
  <c r="B231" i="2"/>
  <c r="B230" i="2"/>
  <c r="B229" i="2"/>
  <c r="B228"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2" i="2"/>
  <c r="B183" i="2"/>
  <c r="B184"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2" i="2"/>
  <c r="B81" i="2"/>
  <c r="B80" i="2"/>
  <c r="B79" i="2"/>
  <c r="B78" i="2"/>
  <c r="B77" i="2"/>
  <c r="B76" i="2"/>
  <c r="B75" i="2"/>
  <c r="B74" i="2"/>
  <c r="B73" i="2"/>
  <c r="B72" i="2"/>
  <c r="B71" i="2"/>
  <c r="B70" i="2"/>
  <c r="B69" i="2"/>
  <c r="B68" i="2"/>
  <c r="B67" i="2"/>
  <c r="B66" i="2"/>
  <c r="B62" i="2"/>
  <c r="B63" i="2"/>
  <c r="B61" i="2"/>
  <c r="B60" i="2"/>
  <c r="B59" i="2"/>
  <c r="B58" i="2"/>
  <c r="B57" i="2"/>
  <c r="B56" i="2"/>
  <c r="B55" i="2"/>
  <c r="B50" i="2"/>
  <c r="B52" i="2"/>
  <c r="B51"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D349" i="2"/>
  <c r="D346" i="2"/>
  <c r="D343" i="2"/>
  <c r="D340" i="2"/>
  <c r="D304" i="2"/>
  <c r="D305" i="2" s="1"/>
  <c r="D306" i="2" s="1"/>
  <c r="D307" i="2" s="1"/>
  <c r="D308" i="2" s="1"/>
  <c r="D309" i="2" s="1"/>
  <c r="D310" i="2" s="1"/>
  <c r="D311" i="2" s="1"/>
  <c r="D312" i="2" s="1"/>
  <c r="D313" i="2" s="1"/>
  <c r="D314" i="2" s="1"/>
  <c r="D315" i="2" s="1"/>
  <c r="D316" i="2" s="1"/>
  <c r="D317" i="2" s="1"/>
  <c r="D318" i="2" s="1"/>
  <c r="D319" i="2" s="1"/>
  <c r="D320" i="2" s="1"/>
  <c r="D321" i="2" s="1"/>
  <c r="D322" i="2" s="1"/>
  <c r="D323" i="2" s="1"/>
  <c r="D324" i="2" s="1"/>
  <c r="D325" i="2" s="1"/>
  <c r="D326" i="2" s="1"/>
  <c r="D327" i="2" s="1"/>
  <c r="D328" i="2" s="1"/>
  <c r="D329" i="2" s="1"/>
  <c r="D330" i="2" s="1"/>
  <c r="D331" i="2" s="1"/>
  <c r="D332" i="2" s="1"/>
  <c r="D333" i="2" s="1"/>
  <c r="D334" i="2" s="1"/>
  <c r="D335" i="2" s="1"/>
  <c r="D336" i="2" s="1"/>
  <c r="D337" i="2" s="1"/>
  <c r="D283" i="2"/>
  <c r="D284" i="2" s="1"/>
  <c r="D285" i="2" s="1"/>
  <c r="D286" i="2" s="1"/>
  <c r="D287" i="2" s="1"/>
  <c r="D288" i="2" s="1"/>
  <c r="D289" i="2" s="1"/>
  <c r="D290" i="2" s="1"/>
  <c r="D291" i="2" s="1"/>
  <c r="D292" i="2" s="1"/>
  <c r="D293" i="2" s="1"/>
  <c r="D294" i="2" s="1"/>
  <c r="D295" i="2" s="1"/>
  <c r="D296" i="2" s="1"/>
  <c r="D297" i="2" s="1"/>
  <c r="D298" i="2" s="1"/>
  <c r="D299" i="2" s="1"/>
  <c r="D300" i="2" s="1"/>
  <c r="D301" i="2" s="1"/>
  <c r="D280" i="2"/>
  <c r="D274" i="2"/>
  <c r="D275" i="2" s="1"/>
  <c r="D276" i="2" s="1"/>
  <c r="D277" i="2" s="1"/>
  <c r="B274" i="2"/>
  <c r="D250" i="2"/>
  <c r="D251" i="2" s="1"/>
  <c r="D252" i="2" s="1"/>
  <c r="D253" i="2" s="1"/>
  <c r="D254" i="2" s="1"/>
  <c r="D255" i="2" s="1"/>
  <c r="D256" i="2" s="1"/>
  <c r="D257" i="2" s="1"/>
  <c r="D258" i="2" s="1"/>
  <c r="D259" i="2" s="1"/>
  <c r="D260" i="2" s="1"/>
  <c r="D261" i="2" s="1"/>
  <c r="D262" i="2" s="1"/>
  <c r="D263" i="2" s="1"/>
  <c r="D264" i="2" s="1"/>
  <c r="D265" i="2" s="1"/>
  <c r="D266" i="2" s="1"/>
  <c r="D267" i="2" s="1"/>
  <c r="D268" i="2" s="1"/>
  <c r="D269" i="2" s="1"/>
  <c r="D270" i="2" s="1"/>
  <c r="D271" i="2" s="1"/>
  <c r="B250" i="2"/>
  <c r="D247" i="2"/>
  <c r="D227" i="2"/>
  <c r="D228" i="2" s="1"/>
  <c r="D229" i="2" s="1"/>
  <c r="D230" i="2" s="1"/>
  <c r="D231" i="2" s="1"/>
  <c r="D232" i="2" s="1"/>
  <c r="D233" i="2" s="1"/>
  <c r="D234" i="2" s="1"/>
  <c r="D235" i="2" s="1"/>
  <c r="D236" i="2" s="1"/>
  <c r="D237" i="2" s="1"/>
  <c r="D238" i="2" s="1"/>
  <c r="D239" i="2" s="1"/>
  <c r="D240" i="2" s="1"/>
  <c r="D241" i="2" s="1"/>
  <c r="D242" i="2" s="1"/>
  <c r="D243" i="2" s="1"/>
  <c r="D244" i="2" s="1"/>
  <c r="D187" i="2"/>
  <c r="D188" i="2" s="1"/>
  <c r="D189" i="2" s="1"/>
  <c r="D190" i="2" s="1"/>
  <c r="D191" i="2" s="1"/>
  <c r="D192" i="2" s="1"/>
  <c r="D193" i="2" s="1"/>
  <c r="D194" i="2" s="1"/>
  <c r="D195" i="2" s="1"/>
  <c r="D196" i="2" s="1"/>
  <c r="D197" i="2" s="1"/>
  <c r="D198" i="2" s="1"/>
  <c r="D199" i="2" s="1"/>
  <c r="D200" i="2" s="1"/>
  <c r="D201" i="2" s="1"/>
  <c r="D202" i="2" s="1"/>
  <c r="D203" i="2" s="1"/>
  <c r="D204" i="2" s="1"/>
  <c r="D205" i="2" s="1"/>
  <c r="D206" i="2" s="1"/>
  <c r="D207" i="2" s="1"/>
  <c r="D208" i="2" s="1"/>
  <c r="D209" i="2" s="1"/>
  <c r="D210" i="2" s="1"/>
  <c r="D211" i="2" s="1"/>
  <c r="D212" i="2" s="1"/>
  <c r="D213" i="2" s="1"/>
  <c r="D214" i="2" s="1"/>
  <c r="D215" i="2" s="1"/>
  <c r="D216" i="2" s="1"/>
  <c r="D217" i="2" s="1"/>
  <c r="D218" i="2" s="1"/>
  <c r="D219" i="2" s="1"/>
  <c r="D220" i="2" s="1"/>
  <c r="D221" i="2" s="1"/>
  <c r="D222" i="2" s="1"/>
  <c r="D223" i="2" s="1"/>
  <c r="D224" i="2" s="1"/>
  <c r="D88" i="2"/>
  <c r="D89" i="2" s="1"/>
  <c r="D90" i="2" s="1"/>
  <c r="D91" i="2" s="1"/>
  <c r="D92" i="2" s="1"/>
  <c r="D93" i="2" s="1"/>
  <c r="D94" i="2" s="1"/>
  <c r="D95" i="2" s="1"/>
  <c r="D96" i="2" s="1"/>
  <c r="D97" i="2" s="1"/>
  <c r="D98" i="2" s="1"/>
  <c r="D99" i="2" s="1"/>
  <c r="D100" i="2" s="1"/>
  <c r="D101" i="2" s="1"/>
  <c r="D102" i="2" s="1"/>
  <c r="D103" i="2" s="1"/>
  <c r="D104" i="2" s="1"/>
  <c r="D105" i="2" s="1"/>
  <c r="D106" i="2" s="1"/>
  <c r="D107" i="2" s="1"/>
  <c r="D108" i="2" s="1"/>
  <c r="D109" i="2" s="1"/>
  <c r="D110" i="2" s="1"/>
  <c r="D111" i="2" s="1"/>
  <c r="D112" i="2" s="1"/>
  <c r="D113" i="2" s="1"/>
  <c r="D114" i="2" s="1"/>
  <c r="D115" i="2" s="1"/>
  <c r="D116" i="2" s="1"/>
  <c r="D117" i="2" s="1"/>
  <c r="D118" i="2" s="1"/>
  <c r="D119" i="2" s="1"/>
  <c r="D120" i="2" s="1"/>
  <c r="D121" i="2" s="1"/>
  <c r="D122" i="2" s="1"/>
  <c r="D123" i="2" s="1"/>
  <c r="D124" i="2" s="1"/>
  <c r="D125" i="2" s="1"/>
  <c r="D126" i="2" s="1"/>
  <c r="D127" i="2" s="1"/>
  <c r="D128" i="2" s="1"/>
  <c r="D129" i="2" s="1"/>
  <c r="D130" i="2" s="1"/>
  <c r="D131" i="2" s="1"/>
  <c r="D132" i="2" s="1"/>
  <c r="D133" i="2" s="1"/>
  <c r="D134" i="2" s="1"/>
  <c r="D135" i="2" s="1"/>
  <c r="D136" i="2" s="1"/>
  <c r="D137" i="2" s="1"/>
  <c r="D138" i="2" s="1"/>
  <c r="D139" i="2" s="1"/>
  <c r="D140" i="2" s="1"/>
  <c r="D141" i="2" s="1"/>
  <c r="D142" i="2" s="1"/>
  <c r="D143" i="2" s="1"/>
  <c r="D144" i="2" s="1"/>
  <c r="D145" i="2" s="1"/>
  <c r="D146" i="2" s="1"/>
  <c r="D147" i="2" s="1"/>
  <c r="D148" i="2" s="1"/>
  <c r="D149" i="2" s="1"/>
  <c r="D150" i="2" s="1"/>
  <c r="D151" i="2" s="1"/>
  <c r="D152" i="2" s="1"/>
  <c r="D153" i="2" s="1"/>
  <c r="D154" i="2" s="1"/>
  <c r="D155" i="2" s="1"/>
  <c r="D156" i="2" s="1"/>
  <c r="D157" i="2" s="1"/>
  <c r="D158" i="2" s="1"/>
  <c r="D159" i="2" s="1"/>
  <c r="D160" i="2" s="1"/>
  <c r="D161" i="2" s="1"/>
  <c r="D162" i="2" s="1"/>
  <c r="D163" i="2" s="1"/>
  <c r="D164" i="2" s="1"/>
  <c r="D165" i="2" s="1"/>
  <c r="D166" i="2" s="1"/>
  <c r="D167" i="2" s="1"/>
  <c r="D168" i="2" s="1"/>
  <c r="D169" i="2" s="1"/>
  <c r="D170" i="2" s="1"/>
  <c r="D171" i="2" s="1"/>
  <c r="D172" i="2" s="1"/>
  <c r="D173" i="2" s="1"/>
  <c r="D174" i="2" s="1"/>
  <c r="D175" i="2" s="1"/>
  <c r="D176" i="2" s="1"/>
  <c r="D177" i="2" s="1"/>
  <c r="D178" i="2" s="1"/>
  <c r="D179" i="2" s="1"/>
  <c r="D180" i="2" s="1"/>
  <c r="D181" i="2" s="1"/>
  <c r="D182" i="2" s="1"/>
  <c r="D183" i="2" s="1"/>
  <c r="D184" i="2" s="1"/>
  <c r="D85" i="2"/>
  <c r="D66" i="2"/>
  <c r="D67" i="2" s="1"/>
  <c r="D68" i="2" s="1"/>
  <c r="D69" i="2" s="1"/>
  <c r="D70" i="2" s="1"/>
  <c r="D71" i="2" s="1"/>
  <c r="D72" i="2" s="1"/>
  <c r="D73" i="2" s="1"/>
  <c r="D74" i="2" s="1"/>
  <c r="D75" i="2" s="1"/>
  <c r="D76" i="2" s="1"/>
  <c r="D77" i="2" s="1"/>
  <c r="D78" i="2" s="1"/>
  <c r="D79" i="2" s="1"/>
  <c r="D80" i="2" s="1"/>
  <c r="D81" i="2" s="1"/>
  <c r="D82" i="2" s="1"/>
  <c r="D55" i="2"/>
  <c r="D56" i="2" s="1"/>
  <c r="D57" i="2" s="1"/>
  <c r="D58" i="2" s="1"/>
  <c r="D59" i="2" s="1"/>
  <c r="D60" i="2" s="1"/>
  <c r="D61" i="2" s="1"/>
  <c r="D62" i="2" s="1"/>
  <c r="D63" i="2" s="1"/>
  <c r="D9" i="2"/>
  <c r="D10" i="2" s="1"/>
  <c r="D11" i="2" s="1"/>
  <c r="D12" i="2" s="1"/>
  <c r="D13" i="2" s="1"/>
  <c r="D14" i="2" s="1"/>
  <c r="D15" i="2" s="1"/>
  <c r="D16" i="2" s="1"/>
  <c r="D17" i="2" s="1"/>
  <c r="D18" i="2" s="1"/>
  <c r="D19" i="2" s="1"/>
  <c r="D20" i="2" s="1"/>
  <c r="D21" i="2" s="1"/>
  <c r="D22" i="2" s="1"/>
  <c r="D23" i="2" s="1"/>
  <c r="D24" i="2" s="1"/>
  <c r="D25" i="2" s="1"/>
  <c r="D26" i="2" s="1"/>
  <c r="D27" i="2" s="1"/>
  <c r="D28" i="2" s="1"/>
  <c r="D29" i="2" s="1"/>
  <c r="D30" i="2" s="1"/>
  <c r="D31" i="2" s="1"/>
  <c r="D32" i="2" s="1"/>
  <c r="D33" i="2" s="1"/>
  <c r="D34" i="2" s="1"/>
  <c r="D35" i="2" s="1"/>
  <c r="D36" i="2" s="1"/>
  <c r="D37" i="2" s="1"/>
  <c r="D38" i="2" s="1"/>
  <c r="D39" i="2" s="1"/>
  <c r="D40" i="2" s="1"/>
  <c r="D41" i="2" s="1"/>
  <c r="D42" i="2" s="1"/>
  <c r="D43" i="2" s="1"/>
  <c r="D44" i="2" s="1"/>
  <c r="D45" i="2" s="1"/>
  <c r="D46" i="2" s="1"/>
  <c r="D47" i="2" s="1"/>
  <c r="D48" i="2" s="1"/>
  <c r="D49" i="2" s="1"/>
  <c r="D50" i="2" s="1"/>
  <c r="D51" i="2" s="1"/>
  <c r="D52" i="2" s="1"/>
  <c r="B9" i="2"/>
  <c r="F8" i="2"/>
  <c r="H8" i="2"/>
  <c r="B282" i="2"/>
  <c r="B302" i="2" s="1"/>
  <c r="B273" i="2"/>
  <c r="B278" i="2" s="1"/>
  <c r="B84" i="2"/>
  <c r="B86" i="2" s="1"/>
  <c r="B54" i="2"/>
  <c r="B64" i="2" s="1"/>
  <c r="B8" i="2"/>
  <c r="B53" i="2" s="1"/>
  <c r="E6" i="1"/>
  <c r="H4" i="2" s="1"/>
  <c r="E5" i="1"/>
  <c r="B342" i="2" s="1"/>
  <c r="B344" i="2" s="1"/>
  <c r="B283" i="2" l="1"/>
  <c r="B304" i="2"/>
  <c r="B340" i="2"/>
  <c r="B227" i="2"/>
  <c r="B85" i="2"/>
  <c r="B343" i="2"/>
  <c r="B88" i="2"/>
  <c r="B187" i="2"/>
  <c r="B346" i="2"/>
  <c r="B87" i="2"/>
  <c r="B185" i="2" s="1"/>
  <c r="B186" i="2"/>
  <c r="B225" i="2" s="1"/>
  <c r="H3" i="2"/>
  <c r="B226" i="2"/>
  <c r="B245" i="2" s="1"/>
  <c r="B345" i="2"/>
  <c r="B347" i="2" s="1"/>
  <c r="B246" i="2"/>
  <c r="B248" i="2" s="1"/>
  <c r="B249" i="2"/>
  <c r="B272" i="2" s="1"/>
  <c r="B348" i="2"/>
  <c r="B350" i="2" s="1"/>
  <c r="B65" i="2"/>
  <c r="B83" i="2" s="1"/>
  <c r="B279" i="2"/>
  <c r="B281" i="2" s="1"/>
  <c r="B303" i="2"/>
  <c r="B338" i="2" s="1"/>
  <c r="B339" i="2"/>
  <c r="B341" i="2" s="1"/>
</calcChain>
</file>

<file path=xl/sharedStrings.xml><?xml version="1.0" encoding="utf-8"?>
<sst xmlns="http://schemas.openxmlformats.org/spreadsheetml/2006/main" count="2638" uniqueCount="1750">
  <si>
    <t>Hide</t>
  </si>
  <si>
    <t>Fit</t>
  </si>
  <si>
    <t>Option</t>
  </si>
  <si>
    <t>Title</t>
  </si>
  <si>
    <t>Value</t>
  </si>
  <si>
    <t>Income Statement</t>
  </si>
  <si>
    <t xml:space="preserve">Report Readme </t>
  </si>
  <si>
    <t>About the report</t>
  </si>
  <si>
    <t>Modifying your report</t>
  </si>
  <si>
    <t>Version of Jet</t>
  </si>
  <si>
    <t>Services</t>
  </si>
  <si>
    <t>Training</t>
  </si>
  <si>
    <t>Sales</t>
  </si>
  <si>
    <t>DISCLAIMER</t>
  </si>
  <si>
    <t>Copyrights</t>
  </si>
  <si>
    <t>=D20</t>
  </si>
  <si>
    <t>=D21</t>
  </si>
  <si>
    <t>=D22</t>
  </si>
  <si>
    <t>=D23</t>
  </si>
  <si>
    <t>=D26</t>
  </si>
  <si>
    <t>=D27</t>
  </si>
  <si>
    <t>=D28</t>
  </si>
  <si>
    <t>=D29</t>
  </si>
  <si>
    <t>=D34</t>
  </si>
  <si>
    <t>=D35</t>
  </si>
  <si>
    <t>=D36</t>
  </si>
  <si>
    <t>=D37</t>
  </si>
  <si>
    <t>=D44</t>
  </si>
  <si>
    <t>=D45</t>
  </si>
  <si>
    <t>=D46</t>
  </si>
  <si>
    <t>=D50</t>
  </si>
  <si>
    <t>=D51</t>
  </si>
  <si>
    <t>=D59</t>
  </si>
  <si>
    <t>=D60</t>
  </si>
  <si>
    <t>=D61</t>
  </si>
  <si>
    <t>=D65</t>
  </si>
  <si>
    <t>=D66</t>
  </si>
  <si>
    <t>=D71</t>
  </si>
  <si>
    <t>=D72</t>
  </si>
  <si>
    <t>=D73</t>
  </si>
  <si>
    <t>=D81</t>
  </si>
  <si>
    <t>Auto</t>
  </si>
  <si>
    <t>=D24</t>
  </si>
  <si>
    <t>=D30</t>
  </si>
  <si>
    <t>=D31</t>
  </si>
  <si>
    <t>=D32</t>
  </si>
  <si>
    <t>=D38</t>
  </si>
  <si>
    <t>=D54</t>
  </si>
  <si>
    <t>=D88</t>
  </si>
  <si>
    <t>=D93</t>
  </si>
  <si>
    <t>Report Options</t>
  </si>
  <si>
    <t>31</t>
  </si>
  <si>
    <t>32</t>
  </si>
  <si>
    <t>33</t>
  </si>
  <si>
    <t>47</t>
  </si>
  <si>
    <t>46</t>
  </si>
  <si>
    <t>43</t>
  </si>
  <si>
    <t>42</t>
  </si>
  <si>
    <t>41</t>
  </si>
  <si>
    <t>="000-4110-02"</t>
  </si>
  <si>
    <t>="000-4111-01"</t>
  </si>
  <si>
    <t>="000-4112-01"</t>
  </si>
  <si>
    <t>="000-4112-02"</t>
  </si>
  <si>
    <t>=D25</t>
  </si>
  <si>
    <t>="000-4114-01"</t>
  </si>
  <si>
    <t>="000-4115-01"</t>
  </si>
  <si>
    <t>="000-4115-02"</t>
  </si>
  <si>
    <t>="000-4116-01"</t>
  </si>
  <si>
    <t>="000-4117-01"</t>
  </si>
  <si>
    <t>="000-4117-02"</t>
  </si>
  <si>
    <t>="000-4120-00"</t>
  </si>
  <si>
    <t>="000-4122-00"</t>
  </si>
  <si>
    <t>=D33</t>
  </si>
  <si>
    <t>="000-4130-00"</t>
  </si>
  <si>
    <t>="000-4132-00"</t>
  </si>
  <si>
    <t>="000-4140-00"</t>
  </si>
  <si>
    <t>="000-4141-00"</t>
  </si>
  <si>
    <t>="000-4142-00"</t>
  </si>
  <si>
    <t>="000-4183-00"</t>
  </si>
  <si>
    <t>="000-4190-00"</t>
  </si>
  <si>
    <t>="000-4510-02"</t>
  </si>
  <si>
    <t>=D55</t>
  </si>
  <si>
    <t>="000-4600-00"</t>
  </si>
  <si>
    <t>="000-4700-00"</t>
  </si>
  <si>
    <t>=D57</t>
  </si>
  <si>
    <t>="000-4710-00"</t>
  </si>
  <si>
    <t>=D58</t>
  </si>
  <si>
    <t>="000-4720-00"</t>
  </si>
  <si>
    <t>="000-6410-00"</t>
  </si>
  <si>
    <t>="000-6420-00"</t>
  </si>
  <si>
    <t>=D70</t>
  </si>
  <si>
    <t>="000-6430-00"</t>
  </si>
  <si>
    <t>="000-6600-00"</t>
  </si>
  <si>
    <t>="000-6610-00"</t>
  </si>
  <si>
    <t>="000-6620-00"</t>
  </si>
  <si>
    <t>="000-6700-00"</t>
  </si>
  <si>
    <t>="000-6710-00"</t>
  </si>
  <si>
    <t>="000-6730-00"</t>
  </si>
  <si>
    <t>="000-6750-00"</t>
  </si>
  <si>
    <t>="000-6760-00"</t>
  </si>
  <si>
    <t>="000-6770-00"</t>
  </si>
  <si>
    <t>="000-6790-00"</t>
  </si>
  <si>
    <t>=D100</t>
  </si>
  <si>
    <t>=D108</t>
  </si>
  <si>
    <t>=D109</t>
  </si>
  <si>
    <t>=D117</t>
  </si>
  <si>
    <t>=D118</t>
  </si>
  <si>
    <t>=D119</t>
  </si>
  <si>
    <t>=D123</t>
  </si>
  <si>
    <t>=D124</t>
  </si>
  <si>
    <t>=D125</t>
  </si>
  <si>
    <t>=D126</t>
  </si>
  <si>
    <t>=D127</t>
  </si>
  <si>
    <t>=D128</t>
  </si>
  <si>
    <t>=D133</t>
  </si>
  <si>
    <t>=D134</t>
  </si>
  <si>
    <t>=D135</t>
  </si>
  <si>
    <t>=D136</t>
  </si>
  <si>
    <t>36</t>
  </si>
  <si>
    <t>=D147</t>
  </si>
  <si>
    <t>39</t>
  </si>
  <si>
    <t>="000-6640-00"</t>
  </si>
  <si>
    <t>="000-6650-00"</t>
  </si>
  <si>
    <t>40</t>
  </si>
  <si>
    <t>="000-6210-00"</t>
  </si>
  <si>
    <t>="000-6220-00"</t>
  </si>
  <si>
    <t>="000-6230-00"</t>
  </si>
  <si>
    <t>="000-7020-00"</t>
  </si>
  <si>
    <t>="000-7040-00"</t>
  </si>
  <si>
    <t>="000-7401-00"</t>
  </si>
  <si>
    <t>="000-7402-00"</t>
  </si>
  <si>
    <t>="000-8020-00"</t>
  </si>
  <si>
    <t>="000-4110-01"</t>
  </si>
  <si>
    <t>=D39</t>
  </si>
  <si>
    <t>=D47</t>
  </si>
  <si>
    <t>=D49</t>
  </si>
  <si>
    <t>="000-6780-00"</t>
  </si>
  <si>
    <t>=D145</t>
  </si>
  <si>
    <t>=D146</t>
  </si>
  <si>
    <t>Hide+?</t>
  </si>
  <si>
    <t>=D107</t>
  </si>
  <si>
    <t>Auto+Hide+Hidesheet+Values</t>
  </si>
  <si>
    <t>=D43</t>
  </si>
  <si>
    <t>=D53</t>
  </si>
  <si>
    <t>=D69</t>
  </si>
  <si>
    <t>=D92</t>
  </si>
  <si>
    <t>=D99</t>
  </si>
  <si>
    <t>=D106</t>
  </si>
  <si>
    <t>=D116</t>
  </si>
  <si>
    <t>=D122</t>
  </si>
  <si>
    <t>=D132</t>
  </si>
  <si>
    <t>=D144</t>
  </si>
  <si>
    <t>Net change</t>
  </si>
  <si>
    <t>="From "&amp;Start</t>
  </si>
  <si>
    <t>="To "&amp;End</t>
  </si>
  <si>
    <t>=D14</t>
  </si>
  <si>
    <t>=D15</t>
  </si>
  <si>
    <t>=D16</t>
  </si>
  <si>
    <t>=D17</t>
  </si>
  <si>
    <t>=D18</t>
  </si>
  <si>
    <t>="000-4111-02"</t>
  </si>
  <si>
    <t>=D19</t>
  </si>
  <si>
    <t>="000-4114-02"</t>
  </si>
  <si>
    <t>="000-4116-02"</t>
  </si>
  <si>
    <t>="000-4121-00"</t>
  </si>
  <si>
    <t>="000-4124-00"</t>
  </si>
  <si>
    <t>="000-4125-00"</t>
  </si>
  <si>
    <t>="000-4126-00"</t>
  </si>
  <si>
    <t>="000-4127-00"</t>
  </si>
  <si>
    <t>="000-4131-00"</t>
  </si>
  <si>
    <t>="000-4134-00"</t>
  </si>
  <si>
    <t>=D40</t>
  </si>
  <si>
    <t>="000-4135-00"</t>
  </si>
  <si>
    <t>=D41</t>
  </si>
  <si>
    <t>="000-4136-00"</t>
  </si>
  <si>
    <t>=D42</t>
  </si>
  <si>
    <t>="000-4137-00"</t>
  </si>
  <si>
    <t>="000-4176-00"</t>
  </si>
  <si>
    <t>="000-4177-00"</t>
  </si>
  <si>
    <t>=D48</t>
  </si>
  <si>
    <t>="000-4178-00"</t>
  </si>
  <si>
    <t>="000-4179-00"</t>
  </si>
  <si>
    <t>="000-4186-00"</t>
  </si>
  <si>
    <t>="000-4187-00"</t>
  </si>
  <si>
    <t>="000-4188-00"</t>
  </si>
  <si>
    <t>="000-4189-00"</t>
  </si>
  <si>
    <t>="000-4200-00"</t>
  </si>
  <si>
    <t>="000-4210-01"</t>
  </si>
  <si>
    <t>="000-4280-01"</t>
  </si>
  <si>
    <t>="000-4500-01"</t>
  </si>
  <si>
    <t>=D12</t>
  </si>
  <si>
    <t>34</t>
  </si>
  <si>
    <t>35</t>
  </si>
  <si>
    <t>37</t>
  </si>
  <si>
    <t>38</t>
  </si>
  <si>
    <t>44</t>
  </si>
  <si>
    <t>45</t>
  </si>
  <si>
    <t>=D13</t>
  </si>
  <si>
    <t>="000-4181-00"</t>
  </si>
  <si>
    <t>="000-4182-00"</t>
  </si>
  <si>
    <t>=D62</t>
  </si>
  <si>
    <t>="000-4184-00"</t>
  </si>
  <si>
    <t>="000-4185-00"</t>
  </si>
  <si>
    <t>="000-4191-00"</t>
  </si>
  <si>
    <t>="000-4192-00"</t>
  </si>
  <si>
    <t>="000-4520-01"</t>
  </si>
  <si>
    <t>="000-4520-02"</t>
  </si>
  <si>
    <t>=D74</t>
  </si>
  <si>
    <t>="000-4520-03"</t>
  </si>
  <si>
    <t>=D75</t>
  </si>
  <si>
    <t>="000-4520-04"</t>
  </si>
  <si>
    <t>=D76</t>
  </si>
  <si>
    <t>="000-4520-05"</t>
  </si>
  <si>
    <t>=D77</t>
  </si>
  <si>
    <t>="000-4520-06"</t>
  </si>
  <si>
    <t>=D78</t>
  </si>
  <si>
    <t>="000-4520-07"</t>
  </si>
  <si>
    <t>=D79</t>
  </si>
  <si>
    <t>="000-4520-08"</t>
  </si>
  <si>
    <t>=D80</t>
  </si>
  <si>
    <t>="000-4520-09"</t>
  </si>
  <si>
    <t>="000-4530-01"</t>
  </si>
  <si>
    <t>="000-4601-00"</t>
  </si>
  <si>
    <t>=D84</t>
  </si>
  <si>
    <t>="000-6170-05"</t>
  </si>
  <si>
    <t>=D94</t>
  </si>
  <si>
    <t>="000-6400-00"</t>
  </si>
  <si>
    <t>=D95</t>
  </si>
  <si>
    <t>=D96</t>
  </si>
  <si>
    <t>=D97</t>
  </si>
  <si>
    <t>=D98</t>
  </si>
  <si>
    <t>="000-6500-04"</t>
  </si>
  <si>
    <t>="000-6500-05"</t>
  </si>
  <si>
    <t>=D101</t>
  </si>
  <si>
    <t>=D102</t>
  </si>
  <si>
    <t>=D103</t>
  </si>
  <si>
    <t>=D104</t>
  </si>
  <si>
    <t>="000-6701-00"</t>
  </si>
  <si>
    <t>=D105</t>
  </si>
  <si>
    <t>="000-6720-00"</t>
  </si>
  <si>
    <t>="000-6740-00"</t>
  </si>
  <si>
    <t>=D110</t>
  </si>
  <si>
    <t>=D111</t>
  </si>
  <si>
    <t>=D112</t>
  </si>
  <si>
    <t>=D115</t>
  </si>
  <si>
    <t>=D121</t>
  </si>
  <si>
    <t>="000-5210-00"</t>
  </si>
  <si>
    <t>="000-5220-00"</t>
  </si>
  <si>
    <t>="000-5300-00"</t>
  </si>
  <si>
    <t>="000-5400-00"</t>
  </si>
  <si>
    <t>=D129</t>
  </si>
  <si>
    <t>="000-5500-00"</t>
  </si>
  <si>
    <t>=D130</t>
  </si>
  <si>
    <t>="000-6630-00"</t>
  </si>
  <si>
    <t>=D131</t>
  </si>
  <si>
    <t>="000-6635-00"</t>
  </si>
  <si>
    <t>="000-6651-00"</t>
  </si>
  <si>
    <t>="000-6652-00"</t>
  </si>
  <si>
    <t>="000-6660-00"</t>
  </si>
  <si>
    <t>=D137</t>
  </si>
  <si>
    <t>="000-6661-00"</t>
  </si>
  <si>
    <t>=D138</t>
  </si>
  <si>
    <t>="000-8100-00"</t>
  </si>
  <si>
    <t>=D139</t>
  </si>
  <si>
    <t>="000-8110-00"</t>
  </si>
  <si>
    <t>=D142</t>
  </si>
  <si>
    <t>=D143</t>
  </si>
  <si>
    <t>=D148</t>
  </si>
  <si>
    <t>=D151</t>
  </si>
  <si>
    <t>=D152</t>
  </si>
  <si>
    <t>="000-4740-00"</t>
  </si>
  <si>
    <t>=D153</t>
  </si>
  <si>
    <t>="000-5615-00"</t>
  </si>
  <si>
    <t>=D154</t>
  </si>
  <si>
    <t>="000-5700-00"</t>
  </si>
  <si>
    <t>=D155</t>
  </si>
  <si>
    <t>=D156</t>
  </si>
  <si>
    <t>="000-8010-00"</t>
  </si>
  <si>
    <t>=D157</t>
  </si>
  <si>
    <t>=D158</t>
  </si>
  <si>
    <t>="000-8200-00"</t>
  </si>
  <si>
    <t>=D159</t>
  </si>
  <si>
    <t>="000-8201-00"</t>
  </si>
  <si>
    <t>=D160</t>
  </si>
  <si>
    <t>="000-8202-00"</t>
  </si>
  <si>
    <t>=D161</t>
  </si>
  <si>
    <t>="000-8203-00"</t>
  </si>
  <si>
    <t>=D162</t>
  </si>
  <si>
    <t>="000-8300-00"</t>
  </si>
  <si>
    <t>=D163</t>
  </si>
  <si>
    <t>="000-8301-00"</t>
  </si>
  <si>
    <t>=D164</t>
  </si>
  <si>
    <t>="000-8302-00"</t>
  </si>
  <si>
    <t>=D165</t>
  </si>
  <si>
    <t>="000-8303-00"</t>
  </si>
  <si>
    <t>=D166</t>
  </si>
  <si>
    <t>="000-8304-00"</t>
  </si>
  <si>
    <t>=D167</t>
  </si>
  <si>
    <t>="000-8305-00"</t>
  </si>
  <si>
    <t>=D168</t>
  </si>
  <si>
    <t>="000-8306-00"</t>
  </si>
  <si>
    <t>=D169</t>
  </si>
  <si>
    <t>="000-8307-00"</t>
  </si>
  <si>
    <t>=D172</t>
  </si>
  <si>
    <t>=D173</t>
  </si>
  <si>
    <t>=D174</t>
  </si>
  <si>
    <t>=D175</t>
  </si>
  <si>
    <t>="000-7041-00"</t>
  </si>
  <si>
    <t>=D176</t>
  </si>
  <si>
    <t>="000-7100-00"</t>
  </si>
  <si>
    <t>=D177</t>
  </si>
  <si>
    <t>="000-7101-00"</t>
  </si>
  <si>
    <t>=D178</t>
  </si>
  <si>
    <t>="000-7102-00"</t>
  </si>
  <si>
    <t>=D179</t>
  </si>
  <si>
    <t>="000-7103-00"</t>
  </si>
  <si>
    <t>=D180</t>
  </si>
  <si>
    <t>="000-7200-00"</t>
  </si>
  <si>
    <t>=D181</t>
  </si>
  <si>
    <t>="000-7201-00"</t>
  </si>
  <si>
    <t>=D182</t>
  </si>
  <si>
    <t>="000-7202-00"</t>
  </si>
  <si>
    <t>=D183</t>
  </si>
  <si>
    <t>="000-7203-00"</t>
  </si>
  <si>
    <t>="000-7204-00"</t>
  </si>
  <si>
    <t>="000-7205-00"</t>
  </si>
  <si>
    <t>=D186</t>
  </si>
  <si>
    <t>="000-7206-00"</t>
  </si>
  <si>
    <t>=D187</t>
  </si>
  <si>
    <t>="000-7207-00"</t>
  </si>
  <si>
    <t>="000-7300-00"</t>
  </si>
  <si>
    <t>="000-7301-00"</t>
  </si>
  <si>
    <t>=D190</t>
  </si>
  <si>
    <t>="000-7302-00"</t>
  </si>
  <si>
    <t>=D191</t>
  </si>
  <si>
    <t>="000-7303-00"</t>
  </si>
  <si>
    <t>=D192</t>
  </si>
  <si>
    <t>="000-7304-00"</t>
  </si>
  <si>
    <t>=D193</t>
  </si>
  <si>
    <t>="000-7305-00"</t>
  </si>
  <si>
    <t>=D194</t>
  </si>
  <si>
    <t>="000-7306-00"</t>
  </si>
  <si>
    <t>=D195</t>
  </si>
  <si>
    <t>="000-7307-00"</t>
  </si>
  <si>
    <t>=D196</t>
  </si>
  <si>
    <t>="000-7400-00"</t>
  </si>
  <si>
    <t>=D197</t>
  </si>
  <si>
    <t>=D198</t>
  </si>
  <si>
    <t>=D199</t>
  </si>
  <si>
    <t>="000-7403-00"</t>
  </si>
  <si>
    <t>=D200</t>
  </si>
  <si>
    <t>="000-7404-00"</t>
  </si>
  <si>
    <t>=D201</t>
  </si>
  <si>
    <t>="000-7405-00"</t>
  </si>
  <si>
    <t>=D202</t>
  </si>
  <si>
    <t>="000-7406-00"</t>
  </si>
  <si>
    <t>=D203</t>
  </si>
  <si>
    <t>="000-7407-00"</t>
  </si>
  <si>
    <t>=D204</t>
  </si>
  <si>
    <t>="000-8030-00"</t>
  </si>
  <si>
    <t>=D205</t>
  </si>
  <si>
    <t>="000-8610-00"</t>
  </si>
  <si>
    <t>=D208</t>
  </si>
  <si>
    <t>=D211</t>
  </si>
  <si>
    <t>=D214</t>
  </si>
  <si>
    <t>=D217</t>
  </si>
  <si>
    <t>=GL("Cell","CatName",$D54)</t>
  </si>
  <si>
    <t>=$B$54</t>
  </si>
  <si>
    <t>=D91</t>
  </si>
  <si>
    <t>=D114</t>
  </si>
  <si>
    <t>=D120</t>
  </si>
  <si>
    <t>=D141</t>
  </si>
  <si>
    <t>=D150</t>
  </si>
  <si>
    <t>=D171</t>
  </si>
  <si>
    <t>=D207</t>
  </si>
  <si>
    <t>=D210</t>
  </si>
  <si>
    <t>=D213</t>
  </si>
  <si>
    <t>=D216</t>
  </si>
  <si>
    <t>Start Date (or period)</t>
  </si>
  <si>
    <t>End Date (or period)</t>
  </si>
  <si>
    <t>="100-6110-00"</t>
  </si>
  <si>
    <t>=D113</t>
  </si>
  <si>
    <t>="100-6120-00"</t>
  </si>
  <si>
    <t>="100-6130-00"</t>
  </si>
  <si>
    <t>="100-6140-00"</t>
  </si>
  <si>
    <t>="100-6150-00"</t>
  </si>
  <si>
    <t>="100-6160-00"</t>
  </si>
  <si>
    <t>="100-6170-00"</t>
  </si>
  <si>
    <t>="100-6180-00"</t>
  </si>
  <si>
    <t>="100-6190-00"</t>
  </si>
  <si>
    <t>="100-6500-00"</t>
  </si>
  <si>
    <t>="100-6510-00"</t>
  </si>
  <si>
    <t>="100-6520-00"</t>
  </si>
  <si>
    <t>="100-6530-00"</t>
  </si>
  <si>
    <t>="200-6120-00"</t>
  </si>
  <si>
    <t>="200-6130-00"</t>
  </si>
  <si>
    <t>="200-6140-00"</t>
  </si>
  <si>
    <t>="200-6150-00"</t>
  </si>
  <si>
    <t>="200-6160-00"</t>
  </si>
  <si>
    <t>="200-6170-00"</t>
  </si>
  <si>
    <t>="200-6180-00"</t>
  </si>
  <si>
    <t>="200-6190-00"</t>
  </si>
  <si>
    <t>="200-6500-00"</t>
  </si>
  <si>
    <t>="200-6510-00"</t>
  </si>
  <si>
    <t>="200-6520-00"</t>
  </si>
  <si>
    <t>="200-6530-00"</t>
  </si>
  <si>
    <t>="300-6120-00"</t>
  </si>
  <si>
    <t>="300-6130-00"</t>
  </si>
  <si>
    <t>="300-6140-00"</t>
  </si>
  <si>
    <t>=D140</t>
  </si>
  <si>
    <t>="300-6150-00"</t>
  </si>
  <si>
    <t>="300-6160-00"</t>
  </si>
  <si>
    <t>="300-6170-00"</t>
  </si>
  <si>
    <t>="300-6180-00"</t>
  </si>
  <si>
    <t>="300-6190-00"</t>
  </si>
  <si>
    <t>="300-6500-00"</t>
  </si>
  <si>
    <t>="300-6510-00"</t>
  </si>
  <si>
    <t>="300-6520-00"</t>
  </si>
  <si>
    <t>="300-6530-00"</t>
  </si>
  <si>
    <t>=D149</t>
  </si>
  <si>
    <t>="400-5600-00"</t>
  </si>
  <si>
    <t>="400-6110-00"</t>
  </si>
  <si>
    <t>="400-6120-00"</t>
  </si>
  <si>
    <t>="400-6130-00"</t>
  </si>
  <si>
    <t>="400-6140-00"</t>
  </si>
  <si>
    <t>="400-6150-00"</t>
  </si>
  <si>
    <t>="400-6160-00"</t>
  </si>
  <si>
    <t>="400-6170-00"</t>
  </si>
  <si>
    <t>="400-6180-00"</t>
  </si>
  <si>
    <t>="400-6190-00"</t>
  </si>
  <si>
    <t>="400-6500-00"</t>
  </si>
  <si>
    <t>="400-6510-00"</t>
  </si>
  <si>
    <t>="400-6520-00"</t>
  </si>
  <si>
    <t>="400-6530-00"</t>
  </si>
  <si>
    <t>="500-5600-00"</t>
  </si>
  <si>
    <t>="500-6120-00"</t>
  </si>
  <si>
    <t>="500-6130-00"</t>
  </si>
  <si>
    <t>="500-6140-00"</t>
  </si>
  <si>
    <t>="500-6150-00"</t>
  </si>
  <si>
    <t>="500-6160-00"</t>
  </si>
  <si>
    <t>="500-6170-00"</t>
  </si>
  <si>
    <t>=D170</t>
  </si>
  <si>
    <t>="500-6180-00"</t>
  </si>
  <si>
    <t>="500-6190-00"</t>
  </si>
  <si>
    <t>="500-6500-00"</t>
  </si>
  <si>
    <t>="500-6510-00"</t>
  </si>
  <si>
    <t>="500-6520-00"</t>
  </si>
  <si>
    <t>="500-6530-00"</t>
  </si>
  <si>
    <t>="600-6120-00"</t>
  </si>
  <si>
    <t>="600-6130-00"</t>
  </si>
  <si>
    <t>="600-6140-00"</t>
  </si>
  <si>
    <t>="600-6150-00"</t>
  </si>
  <si>
    <t>="600-6160-00"</t>
  </si>
  <si>
    <t>="600-6170-00"</t>
  </si>
  <si>
    <t>="600-6180-00"</t>
  </si>
  <si>
    <t>="600-6190-00"</t>
  </si>
  <si>
    <t>="600-6500-00"</t>
  </si>
  <si>
    <t>="600-6510-00"</t>
  </si>
  <si>
    <t>="600-6520-00"</t>
  </si>
  <si>
    <t>="600-6530-00"</t>
  </si>
  <si>
    <t>="100-5100-00"</t>
  </si>
  <si>
    <t>="100-5110-00"</t>
  </si>
  <si>
    <t>="100-5120-00"</t>
  </si>
  <si>
    <t>="100-5140-00"</t>
  </si>
  <si>
    <t>="200-5100-00"</t>
  </si>
  <si>
    <t>="200-5110-00"</t>
  </si>
  <si>
    <t>="200-5120-00"</t>
  </si>
  <si>
    <t>="200-5140-00"</t>
  </si>
  <si>
    <t>="300-5100-00"</t>
  </si>
  <si>
    <t>="300-5110-00"</t>
  </si>
  <si>
    <t>="300-5120-00"</t>
  </si>
  <si>
    <t>="300-5130-00"</t>
  </si>
  <si>
    <t>="300-5140-00"</t>
  </si>
  <si>
    <t>="400-5100-00"</t>
  </si>
  <si>
    <t>="400-5101-00"</t>
  </si>
  <si>
    <t>=D206</t>
  </si>
  <si>
    <t>="400-5110-00"</t>
  </si>
  <si>
    <t>="400-5111-00"</t>
  </si>
  <si>
    <t>="400-5120-00"</t>
  </si>
  <si>
    <t>=D209</t>
  </si>
  <si>
    <t>="400-5121-00"</t>
  </si>
  <si>
    <t>="400-5130-00"</t>
  </si>
  <si>
    <t>="400-5131-00"</t>
  </si>
  <si>
    <t>=D212</t>
  </si>
  <si>
    <t>="400-5140-00"</t>
  </si>
  <si>
    <t>="400-5141-00"</t>
  </si>
  <si>
    <t>="500-5100-00"</t>
  </si>
  <si>
    <t>=D215</t>
  </si>
  <si>
    <t>="500-5101-00"</t>
  </si>
  <si>
    <t>="500-5110-00"</t>
  </si>
  <si>
    <t>="500-5111-00"</t>
  </si>
  <si>
    <t>=D218</t>
  </si>
  <si>
    <t>="500-5120-00"</t>
  </si>
  <si>
    <t>=D219</t>
  </si>
  <si>
    <t>="500-5121-00"</t>
  </si>
  <si>
    <t>=D220</t>
  </si>
  <si>
    <t>="500-5130-00"</t>
  </si>
  <si>
    <t>=D221</t>
  </si>
  <si>
    <t>="500-5131-00"</t>
  </si>
  <si>
    <t>=D222</t>
  </si>
  <si>
    <t>="500-5140-00"</t>
  </si>
  <si>
    <t>=D223</t>
  </si>
  <si>
    <t>="500-5141-00"</t>
  </si>
  <si>
    <t>="600-5100-00"</t>
  </si>
  <si>
    <t>="600-5110-00"</t>
  </si>
  <si>
    <t>=D226</t>
  </si>
  <si>
    <t>="600-5120-00"</t>
  </si>
  <si>
    <t>=D227</t>
  </si>
  <si>
    <t>="600-5140-00"</t>
  </si>
  <si>
    <t>=D230</t>
  </si>
  <si>
    <t>=D231</t>
  </si>
  <si>
    <t>="100-5160-00"</t>
  </si>
  <si>
    <t>=D232</t>
  </si>
  <si>
    <t>="100-6100-00"</t>
  </si>
  <si>
    <t>=D233</t>
  </si>
  <si>
    <t>="200-5150-00"</t>
  </si>
  <si>
    <t>=D234</t>
  </si>
  <si>
    <t>="200-5160-00"</t>
  </si>
  <si>
    <t>=D235</t>
  </si>
  <si>
    <t>="200-6100-00"</t>
  </si>
  <si>
    <t>=D236</t>
  </si>
  <si>
    <t>="300-5150-00"</t>
  </si>
  <si>
    <t>=D237</t>
  </si>
  <si>
    <t>="300-5160-00"</t>
  </si>
  <si>
    <t>=D238</t>
  </si>
  <si>
    <t>="300-6100-00"</t>
  </si>
  <si>
    <t>=D239</t>
  </si>
  <si>
    <t>="400-5150-00"</t>
  </si>
  <si>
    <t>=D240</t>
  </si>
  <si>
    <t>="400-5160-00"</t>
  </si>
  <si>
    <t>=D241</t>
  </si>
  <si>
    <t>="400-6100-00"</t>
  </si>
  <si>
    <t>=D242</t>
  </si>
  <si>
    <t>="500-5150-00"</t>
  </si>
  <si>
    <t>=D243</t>
  </si>
  <si>
    <t>="500-5160-00"</t>
  </si>
  <si>
    <t>="500-6100-00"</t>
  </si>
  <si>
    <t>="600-5150-00"</t>
  </si>
  <si>
    <t>=D246</t>
  </si>
  <si>
    <t>="600-5160-00"</t>
  </si>
  <si>
    <t>="600-6100-00"</t>
  </si>
  <si>
    <t>=D250</t>
  </si>
  <si>
    <t>=D253</t>
  </si>
  <si>
    <t>=D254</t>
  </si>
  <si>
    <t>=D255</t>
  </si>
  <si>
    <t>=D256</t>
  </si>
  <si>
    <t>=D257</t>
  </si>
  <si>
    <t>=D258</t>
  </si>
  <si>
    <t>=D259</t>
  </si>
  <si>
    <t>=D260</t>
  </si>
  <si>
    <t>=D261</t>
  </si>
  <si>
    <t>=D262</t>
  </si>
  <si>
    <t>=D263</t>
  </si>
  <si>
    <t>=D264</t>
  </si>
  <si>
    <t>=D265</t>
  </si>
  <si>
    <t>=D266</t>
  </si>
  <si>
    <t>=D267</t>
  </si>
  <si>
    <t>=D268</t>
  </si>
  <si>
    <t>=D269</t>
  </si>
  <si>
    <t>="100-5170-00"</t>
  </si>
  <si>
    <t>=D270</t>
  </si>
  <si>
    <t>="200-5170-00"</t>
  </si>
  <si>
    <t>="300-5170-00"</t>
  </si>
  <si>
    <t>="400-5170-00"</t>
  </si>
  <si>
    <t>=D273</t>
  </si>
  <si>
    <t>="500-5170-00"</t>
  </si>
  <si>
    <t>=D274</t>
  </si>
  <si>
    <t>="600-5170-00"</t>
  </si>
  <si>
    <t>=D279</t>
  </si>
  <si>
    <t>=D283</t>
  </si>
  <si>
    <t>=D286</t>
  </si>
  <si>
    <t>=D287</t>
  </si>
  <si>
    <t>=D288</t>
  </si>
  <si>
    <t>=D289</t>
  </si>
  <si>
    <t>=D290</t>
  </si>
  <si>
    <t>=D291</t>
  </si>
  <si>
    <t>=D292</t>
  </si>
  <si>
    <t>=D293</t>
  </si>
  <si>
    <t>=D294</t>
  </si>
  <si>
    <t>=D295</t>
  </si>
  <si>
    <t>=D296</t>
  </si>
  <si>
    <t>=D297</t>
  </si>
  <si>
    <t>=D298</t>
  </si>
  <si>
    <t>=D299</t>
  </si>
  <si>
    <t>=D300</t>
  </si>
  <si>
    <t>=D303</t>
  </si>
  <si>
    <t>=D304</t>
  </si>
  <si>
    <t>=D307</t>
  </si>
  <si>
    <t>=D308</t>
  </si>
  <si>
    <t>=D309</t>
  </si>
  <si>
    <t>=D310</t>
  </si>
  <si>
    <t>=D311</t>
  </si>
  <si>
    <t>=D312</t>
  </si>
  <si>
    <t>=D313</t>
  </si>
  <si>
    <t>=D314</t>
  </si>
  <si>
    <t>=D315</t>
  </si>
  <si>
    <t>=D316</t>
  </si>
  <si>
    <t>=D317</t>
  </si>
  <si>
    <t>=D318</t>
  </si>
  <si>
    <t>=D319</t>
  </si>
  <si>
    <t>=D320</t>
  </si>
  <si>
    <t>=D321</t>
  </si>
  <si>
    <t>=D322</t>
  </si>
  <si>
    <t>=D323</t>
  </si>
  <si>
    <t>=D324</t>
  </si>
  <si>
    <t>=D325</t>
  </si>
  <si>
    <t>=D326</t>
  </si>
  <si>
    <t>=D327</t>
  </si>
  <si>
    <t>=D328</t>
  </si>
  <si>
    <t>=D329</t>
  </si>
  <si>
    <t>=D330</t>
  </si>
  <si>
    <t>=D331</t>
  </si>
  <si>
    <t>=D332</t>
  </si>
  <si>
    <t>=D333</t>
  </si>
  <si>
    <t>=D334</t>
  </si>
  <si>
    <t>=D335</t>
  </si>
  <si>
    <t>=D336</t>
  </si>
  <si>
    <t>=D339</t>
  </si>
  <si>
    <t>=GL("Cell","CatName",$D8)</t>
  </si>
  <si>
    <t>=-GL("cell","Balance",,Start,End,$D8,,,,,,,,,,,,"False")</t>
  </si>
  <si>
    <t>=D8</t>
  </si>
  <si>
    <t>=GL("Rows","Accounts",,,,D9,,,)</t>
  </si>
  <si>
    <t>=GL("Cell","CatName",$D11)</t>
  </si>
  <si>
    <t>=-GL("cell","Balance",,Start,End,$D11,,,,,,,,,,,,"False")</t>
  </si>
  <si>
    <t>=D11</t>
  </si>
  <si>
    <t>=GL("Rows","Accounts",,,,D12,,,)</t>
  </si>
  <si>
    <t>=$B$11</t>
  </si>
  <si>
    <t>=GL("Cell","CatName",$D14)</t>
  </si>
  <si>
    <t>=-GL("cell","Balance",,Start,End,$D14,,,,,,,,,,,,"False")</t>
  </si>
  <si>
    <t>=GL("Rows","Accounts",,,,D15,,,)</t>
  </si>
  <si>
    <t>=$B$14</t>
  </si>
  <si>
    <t>=GL("Cell","CatName",$D17)</t>
  </si>
  <si>
    <t>=-GL("cell","Balance",,Start,End,$D17,,,,,,,,,,,,"False")</t>
  </si>
  <si>
    <t>=GL("Rows","Accounts",,,,D18,,,)</t>
  </si>
  <si>
    <t>=$B$17</t>
  </si>
  <si>
    <t>=GL("Cell","CatName",$D20)</t>
  </si>
  <si>
    <t>=-GL("cell","Balance",,Start,End,$D20,,,,,,,,,,,,"False")</t>
  </si>
  <si>
    <t>=GL("Rows","Accounts",,,,D21,,,)</t>
  </si>
  <si>
    <t>=$B$20</t>
  </si>
  <si>
    <t>=GL("Cell","CatName",$D23)</t>
  </si>
  <si>
    <t>=-GL("cell","Balance",,Start,End,$D23,,,,,,,,,,,,"False")</t>
  </si>
  <si>
    <t>=GL("Rows","Accounts",,,,D24,,,)</t>
  </si>
  <si>
    <t>=$B$23</t>
  </si>
  <si>
    <t>=GL("Cell","CatName",$D26)</t>
  </si>
  <si>
    <t>=-GL("cell","Balance",,Start,End,$D26,,,,,,,,,,,,"False")</t>
  </si>
  <si>
    <t>=GL("Rows","Accounts",,,,D27,,,)</t>
  </si>
  <si>
    <t>=$B$26</t>
  </si>
  <si>
    <t>=GL("Cell","CatName",$D29)</t>
  </si>
  <si>
    <t>=-GL("cell","Balance",,Start,End,$D29,,,,,,,,,,,,"False")</t>
  </si>
  <si>
    <t>=GL("Rows","Accounts",,,,D30,,,)</t>
  </si>
  <si>
    <t>=$B$29</t>
  </si>
  <si>
    <t>=GL("Cell","CatName",$D32)</t>
  </si>
  <si>
    <t>=-GL("cell","Balance",,Start,End,$D32,,,,,,,,,,,,"False")</t>
  </si>
  <si>
    <t>=GL("Rows","Accounts",,,,D33,,,)</t>
  </si>
  <si>
    <t>=$B$32</t>
  </si>
  <si>
    <t>=GL("Cell","CatName",$D35)</t>
  </si>
  <si>
    <t>=-GL("cell","Balance",,Start,End,$D35,,,,,,,,,,,,"False")</t>
  </si>
  <si>
    <t>=GL("Rows","Accounts",,,,D36,,,)</t>
  </si>
  <si>
    <t>=$B$35</t>
  </si>
  <si>
    <t>=GL("Cell","CatName",$D38)</t>
  </si>
  <si>
    <t>=-GL("cell","Balance",,Start,End,$D38,,,,,,,,,,,,"False")</t>
  </si>
  <si>
    <t>=GL("Rows","Accounts",,,,D39,,,)</t>
  </si>
  <si>
    <t>=$B$38</t>
  </si>
  <si>
    <t>=GL("Cell","CatName",$D41)</t>
  </si>
  <si>
    <t>=-GL("cell","Balance",,Start,End,$D41,,,,,,,,,,,,"False")</t>
  </si>
  <si>
    <t>=GL("Rows","Accounts",,,,D42,,,)</t>
  </si>
  <si>
    <t>=$B$41</t>
  </si>
  <si>
    <t>=GL("Cell","CatName",$D44)</t>
  </si>
  <si>
    <t>=-GL("cell","Balance",,Start,End,$D44,,,,,,,,,,,,"False")</t>
  </si>
  <si>
    <t>=GL("Rows","Accounts",,,,D45,,,)</t>
  </si>
  <si>
    <t>=$B$44</t>
  </si>
  <si>
    <t>=GL("Cell","CatName",$D47)</t>
  </si>
  <si>
    <t>=-GL("cell","Balance",,Start,End,$D47,,,,,,,,,,,,"False")</t>
  </si>
  <si>
    <t>=GL("Rows","Accounts",,,,D48,,,)</t>
  </si>
  <si>
    <t>=$B$47</t>
  </si>
  <si>
    <t>=GL("Cell","CatName",$D50)</t>
  </si>
  <si>
    <t>=-GL("cell","Balance",,Start,End,$D50,,,,,,,,,,,,"False")</t>
  </si>
  <si>
    <t>=GL("Rows","Accounts",,,,D51,,,)</t>
  </si>
  <si>
    <t>=$B$50</t>
  </si>
  <si>
    <t>=GL("Cell","CatName",$D53)</t>
  </si>
  <si>
    <t>=-GL("cell","Balance",,Start,End,$D53,,,,,,,,,,,,"False")</t>
  </si>
  <si>
    <t>=GL("Rows","Accounts",,,,D54,,,)</t>
  </si>
  <si>
    <t>=$B$53</t>
  </si>
  <si>
    <t>=GL("Cell","CatName",$D56)</t>
  </si>
  <si>
    <t>=-GL("cell","Balance",,Start,End,$D56,,,,,,,,,,,,"False")</t>
  </si>
  <si>
    <t>=D56</t>
  </si>
  <si>
    <t>=GL("Rows","Accounts",,,,D57,,,)</t>
  </si>
  <si>
    <t>=$B$56</t>
  </si>
  <si>
    <t>=D9</t>
  </si>
  <si>
    <t>=D10</t>
  </si>
  <si>
    <t>=-GL("cell","Balance",,Start,End,$D54,,,,,,,,,,,,"False")</t>
  </si>
  <si>
    <t>=GL("Rows","Accounts",,,,D55,,,)</t>
  </si>
  <si>
    <t>=GL("Cell","CatName",$D65)</t>
  </si>
  <si>
    <t>=-GL("cell","Balance",,Start,End,$D65,,,,,,,,,,,,"False")</t>
  </si>
  <si>
    <t>=GL("Rows","Accounts",,,,D66,,,)</t>
  </si>
  <si>
    <t>=D67</t>
  </si>
  <si>
    <t>=D68</t>
  </si>
  <si>
    <t>=$B$65</t>
  </si>
  <si>
    <t>=GL("Cell","CatName",$D84)</t>
  </si>
  <si>
    <t>=-GL("cell","Balance",,Start,End,$D84,,,,,,,,,,,,"False")</t>
  </si>
  <si>
    <t>=GL("Rows","Accounts",,,,D85,,,)</t>
  </si>
  <si>
    <t>=$B$84</t>
  </si>
  <si>
    <t>=GL("Cell","CatName",$D87)</t>
  </si>
  <si>
    <t>=-GL("cell","Balance",,Start,End,$D87,,,,,,,,,,,,"False")</t>
  </si>
  <si>
    <t>=D87</t>
  </si>
  <si>
    <t>=GL("Rows","Accounts",,,,D88,,,)</t>
  </si>
  <si>
    <t>=D89</t>
  </si>
  <si>
    <t>=D90</t>
  </si>
  <si>
    <t>=$B$87</t>
  </si>
  <si>
    <t>=GL("Cell","CatName",$D186)</t>
  </si>
  <si>
    <t>=-GL("cell","Balance",,Start,End,$D186,,,,,,,,,,,,"False")</t>
  </si>
  <si>
    <t>=GL("Rows","Accounts",,,,D187,,,)</t>
  </si>
  <si>
    <t>=D188</t>
  </si>
  <si>
    <t>=D189</t>
  </si>
  <si>
    <t>=$B$186</t>
  </si>
  <si>
    <t>=GL("Cell","CatName",$D226)</t>
  </si>
  <si>
    <t>=-GL("cell","Balance",,Start,End,$D226,,,,,,,,,,,,"False")</t>
  </si>
  <si>
    <t>=GL("Rows","Accounts",,,,D227,,,)</t>
  </si>
  <si>
    <t>=D228</t>
  </si>
  <si>
    <t>=D229</t>
  </si>
  <si>
    <t>=$B$226</t>
  </si>
  <si>
    <t>=GL("Cell","CatName",$D246)</t>
  </si>
  <si>
    <t>=-GL("cell","Balance",,Start,End,$D246,,,,,,,,,,,,"False")</t>
  </si>
  <si>
    <t>=GL("Rows","Accounts",,,,D247,,,)</t>
  </si>
  <si>
    <t>=$B$246</t>
  </si>
  <si>
    <t>=GL("Cell","CatName",$D249)</t>
  </si>
  <si>
    <t>=-GL("cell","Balance",,Start,End,$D249,,,,,,,,,,,,"False")</t>
  </si>
  <si>
    <t>=D249</t>
  </si>
  <si>
    <t>=GL("Rows","Accounts",,,,D250,,,)</t>
  </si>
  <si>
    <t>=D251</t>
  </si>
  <si>
    <t>=D252</t>
  </si>
  <si>
    <t>=$B$249</t>
  </si>
  <si>
    <t>=GL("Cell","CatName",$D273)</t>
  </si>
  <si>
    <t>=-GL("cell","Balance",,Start,End,$D273,,,,,,,,,,,,"False")</t>
  </si>
  <si>
    <t>=GL("Rows","Accounts",,,,D274,,,)</t>
  </si>
  <si>
    <t>=D275</t>
  </si>
  <si>
    <t>=D276</t>
  </si>
  <si>
    <t>=$B$273</t>
  </si>
  <si>
    <t>=GL("Cell","CatName",$D279)</t>
  </si>
  <si>
    <t>=-GL("cell","Balance",,Start,End,$D279,,,,,,,,,,,,"False")</t>
  </si>
  <si>
    <t>=GL("Rows","Accounts",,,,D280,,,)</t>
  </si>
  <si>
    <t>=$B$279</t>
  </si>
  <si>
    <t>=GL("Cell","CatName",$D282)</t>
  </si>
  <si>
    <t>=-GL("cell","Balance",,Start,End,$D282,,,,,,,,,,,,"False")</t>
  </si>
  <si>
    <t>=D282</t>
  </si>
  <si>
    <t>=GL("Rows","Accounts",,,,D283,,,)</t>
  </si>
  <si>
    <t>=D284</t>
  </si>
  <si>
    <t>=D285</t>
  </si>
  <si>
    <t>=$B$282</t>
  </si>
  <si>
    <t>=GL("Cell","CatName",$D303)</t>
  </si>
  <si>
    <t>=-GL("cell","Balance",,Start,End,$D303,,,,,,,,,,,,"False")</t>
  </si>
  <si>
    <t>=GL("Rows","Accounts",,,,D304,,,)</t>
  </si>
  <si>
    <t>=D305</t>
  </si>
  <si>
    <t>=D306</t>
  </si>
  <si>
    <t>=$B$303</t>
  </si>
  <si>
    <t>=GL("Cell","CatName",$D339)</t>
  </si>
  <si>
    <t>=-GL("cell","Balance",,Start,End,$D339,,,,,,,,,,,,"False")</t>
  </si>
  <si>
    <t>=GL("Rows","Accounts",,,,D340,,,)</t>
  </si>
  <si>
    <t>=$B$339</t>
  </si>
  <si>
    <t>=GL("Cell","CatName",$D342)</t>
  </si>
  <si>
    <t>=-GL("cell","Balance",,Start,End,$D342,,,,,,,,,,,,"False")</t>
  </si>
  <si>
    <t>=D342</t>
  </si>
  <si>
    <t>=GL("Rows","Accounts",,,,D343,,,)</t>
  </si>
  <si>
    <t>=$B$342</t>
  </si>
  <si>
    <t>=GL("Cell","CatName",$D345)</t>
  </si>
  <si>
    <t>=-GL("cell","Balance",,Start,End,$D345,,,,,,,,,,,,"False")</t>
  </si>
  <si>
    <t>=D345</t>
  </si>
  <si>
    <t>=GL("Rows","Accounts",,,,D346,,,)</t>
  </si>
  <si>
    <t>=$B$345</t>
  </si>
  <si>
    <t>=GL("Cell","CatName",$D348)</t>
  </si>
  <si>
    <t>=-GL("cell","Balance",,Start,End,$D348,,,,,,,,,,,,"False")</t>
  </si>
  <si>
    <t>=D348</t>
  </si>
  <si>
    <t>=GL("Rows","Accounts",,,,D349,,,)</t>
  </si>
  <si>
    <t>=$B$348</t>
  </si>
  <si>
    <t>Note - you may wish to change the category numbers listed in the yellow cells below</t>
  </si>
  <si>
    <t>hide</t>
  </si>
  <si>
    <t>Note - this column is used to conditionally hide rows when the net change = zero.</t>
  </si>
  <si>
    <t>=IF(H8=0,"Hide","Show")</t>
  </si>
  <si>
    <t>=IF(H9=0,"Hide","Show")</t>
  </si>
  <si>
    <t>=GL("Cell","AccountName",$F9)</t>
  </si>
  <si>
    <t>=-GL("cell","Balance",$F9,Start,End,,,,,,,,,,,,,"False")</t>
  </si>
  <si>
    <t>=$B$8</t>
  </si>
  <si>
    <t>=IF(H11=0,"Hide","Show")</t>
  </si>
  <si>
    <t>=IF(H12=0,"Hide","Show")</t>
  </si>
  <si>
    <t>=GL("Cell","AccountName",$F12)</t>
  </si>
  <si>
    <t>=-GL("cell","Balance",$F12,Start,End,,,,,,,,,,,,,"False")</t>
  </si>
  <si>
    <t>=IF(H14=0,"Hide","Show")</t>
  </si>
  <si>
    <t>=IF(H15=0,"Hide","Show")</t>
  </si>
  <si>
    <t>=GL("Cell","AccountName",$F15)</t>
  </si>
  <si>
    <t>=-GL("cell","Balance",$F15,Start,End,,,,,,,,,,,,,"False")</t>
  </si>
  <si>
    <t>=IF(H17=0,"Hide","Show")</t>
  </si>
  <si>
    <t>=IF(H18=0,"Hide","Show")</t>
  </si>
  <si>
    <t>=GL("Cell","AccountName",$F18)</t>
  </si>
  <si>
    <t>=-GL("cell","Balance",$F18,Start,End,,,,,,,,,,,,,"False")</t>
  </si>
  <si>
    <t>=IF(H20=0,"Hide","Show")</t>
  </si>
  <si>
    <t>=IF(H21=0,"Hide","Show")</t>
  </si>
  <si>
    <t>=GL("Cell","AccountName",$F21)</t>
  </si>
  <si>
    <t>=-GL("cell","Balance",$F21,Start,End,,,,,,,,,,,,,"False")</t>
  </si>
  <si>
    <t>=IF(H23=0,"Hide","Show")</t>
  </si>
  <si>
    <t>=IF(H24=0,"Hide","Show")</t>
  </si>
  <si>
    <t>=GL("Cell","AccountName",$F24)</t>
  </si>
  <si>
    <t>=-GL("cell","Balance",$F24,Start,End,,,,,,,,,,,,,"False")</t>
  </si>
  <si>
    <t>=IF(H26=0,"Hide","Show")</t>
  </si>
  <si>
    <t>=IF(H27=0,"Hide","Show")</t>
  </si>
  <si>
    <t>=GL("Cell","AccountName",$F27)</t>
  </si>
  <si>
    <t>=-GL("cell","Balance",$F27,Start,End,,,,,,,,,,,,,"False")</t>
  </si>
  <si>
    <t>=IF(H29=0,"Hide","Show")</t>
  </si>
  <si>
    <t>=IF(H30=0,"Hide","Show")</t>
  </si>
  <si>
    <t>=GL("Cell","AccountName",$F30)</t>
  </si>
  <si>
    <t>=-GL("cell","Balance",$F30,Start,End,,,,,,,,,,,,,"False")</t>
  </si>
  <si>
    <t>=IF(H32=0,"Hide","Show")</t>
  </si>
  <si>
    <t>=IF(H33=0,"Hide","Show")</t>
  </si>
  <si>
    <t>=GL("Cell","AccountName",$F33)</t>
  </si>
  <si>
    <t>=-GL("cell","Balance",$F33,Start,End,,,,,,,,,,,,,"False")</t>
  </si>
  <si>
    <t>=IF(H35=0,"Hide","Show")</t>
  </si>
  <si>
    <t>=IF(H36=0,"Hide","Show")</t>
  </si>
  <si>
    <t>=GL("Cell","AccountName",$F36)</t>
  </si>
  <si>
    <t>=-GL("cell","Balance",$F36,Start,End,,,,,,,,,,,,,"False")</t>
  </si>
  <si>
    <t>=IF(H38=0,"Hide","Show")</t>
  </si>
  <si>
    <t>=IF(H39=0,"Hide","Show")</t>
  </si>
  <si>
    <t>=GL("Cell","AccountName",$F39)</t>
  </si>
  <si>
    <t>=-GL("cell","Balance",$F39,Start,End,,,,,,,,,,,,,"False")</t>
  </si>
  <si>
    <t>=IF(H41=0,"Hide","Show")</t>
  </si>
  <si>
    <t>=IF(H42=0,"Hide","Show")</t>
  </si>
  <si>
    <t>=GL("Cell","AccountName",$F42)</t>
  </si>
  <si>
    <t>=-GL("cell","Balance",$F42,Start,End,,,,,,,,,,,,,"False")</t>
  </si>
  <si>
    <t>=IF(H44=0,"Hide","Show")</t>
  </si>
  <si>
    <t>=IF(H45=0,"Hide","Show")</t>
  </si>
  <si>
    <t>=GL("Cell","AccountName",$F45)</t>
  </si>
  <si>
    <t>=-GL("cell","Balance",$F45,Start,End,,,,,,,,,,,,,"False")</t>
  </si>
  <si>
    <t>=IF(H47=0,"Hide","Show")</t>
  </si>
  <si>
    <t>=IF(H48=0,"Hide","Show")</t>
  </si>
  <si>
    <t>=GL("Cell","AccountName",$F48)</t>
  </si>
  <si>
    <t>=-GL("cell","Balance",$F48,Start,End,,,,,,,,,,,,,"False")</t>
  </si>
  <si>
    <t>=IF(H50=0,"Hide","Show")</t>
  </si>
  <si>
    <t>=IF(H51=0,"Hide","Show")</t>
  </si>
  <si>
    <t>=GL("Cell","AccountName",$F51)</t>
  </si>
  <si>
    <t>=-GL("cell","Balance",$F51,Start,End,,,,,,,,,,,,,"False")</t>
  </si>
  <si>
    <t>=IF(H53=0,"Hide","Show")</t>
  </si>
  <si>
    <t>=IF(H54=0,"Hide","Show")</t>
  </si>
  <si>
    <t>=GL("Cell","AccountName",$F54)</t>
  </si>
  <si>
    <t>=-GL("cell","Balance",$F54,Start,End,,,,,,,,,,,,,"False")</t>
  </si>
  <si>
    <t>=IF(H56=0,"Hide","Show")</t>
  </si>
  <si>
    <t>=IF(H57=0,"Hide","Show")</t>
  </si>
  <si>
    <t>=GL("Cell","AccountName",$F57)</t>
  </si>
  <si>
    <t>=-GL("cell","Balance",$F57,Start,End,,,,,,,,,,,,,"False")</t>
  </si>
  <si>
    <t>=IF(H10=0,"Hide","Show")</t>
  </si>
  <si>
    <t>=IF(H13=0,"Hide","Show")</t>
  </si>
  <si>
    <t>=IF(H16=0,"Hide","Show")</t>
  </si>
  <si>
    <t>=IF(H19=0,"Hide","Show")</t>
  </si>
  <si>
    <t>=IF(H22=0,"Hide","Show")</t>
  </si>
  <si>
    <t>=IF(H25=0,"Hide","Show")</t>
  </si>
  <si>
    <t>=IF(H28=0,"Hide","Show")</t>
  </si>
  <si>
    <t>=IF(H31=0,"Hide","Show")</t>
  </si>
  <si>
    <t>=IF(H34=0,"Hide","Show")</t>
  </si>
  <si>
    <t>=IF(H37=0,"Hide","Show")</t>
  </si>
  <si>
    <t>=IF(H40=0,"Hide","Show")</t>
  </si>
  <si>
    <t>=IF(H43=0,"Hide","Show")</t>
  </si>
  <si>
    <t>=IF(H46=0,"Hide","Show")</t>
  </si>
  <si>
    <t>=IF(H49=0,"Hide","Show")</t>
  </si>
  <si>
    <t>=IF(H52=0,"Hide","Show")</t>
  </si>
  <si>
    <t>=IF(H55=0,"Hide","Show")</t>
  </si>
  <si>
    <t>=IF(H58=0,"Hide","Show")</t>
  </si>
  <si>
    <t>=IF(H59=0,"Hide","Show")</t>
  </si>
  <si>
    <t>=IF(H60=0,"Hide","Show")</t>
  </si>
  <si>
    <t>=IF(H61=0,"Hide","Show")</t>
  </si>
  <si>
    <t>=IF(H62=0,"Hide","Show")</t>
  </si>
  <si>
    <t>=IF(H63=0,"Hide","Show")</t>
  </si>
  <si>
    <t>=IF(H65=0,"Hide","Show")</t>
  </si>
  <si>
    <t>=IF(H66=0,"Hide","Show")</t>
  </si>
  <si>
    <t>=IF(H67=0,"Hide","Show")</t>
  </si>
  <si>
    <t>=IF(H68=0,"Hide","Show")</t>
  </si>
  <si>
    <t>=IF(H69=0,"Hide","Show")</t>
  </si>
  <si>
    <t>=IF(H70=0,"Hide","Show")</t>
  </si>
  <si>
    <t>=IF(H71=0,"Hide","Show")</t>
  </si>
  <si>
    <t>=IF(H72=0,"Hide","Show")</t>
  </si>
  <si>
    <t>=IF(H73=0,"Hide","Show")</t>
  </si>
  <si>
    <t>=IF(H74=0,"Hide","Show")</t>
  </si>
  <si>
    <t>=IF(H75=0,"Hide","Show")</t>
  </si>
  <si>
    <t>=IF(H76=0,"Hide","Show")</t>
  </si>
  <si>
    <t>=IF(H77=0,"Hide","Show")</t>
  </si>
  <si>
    <t>=IF(H78=0,"Hide","Show")</t>
  </si>
  <si>
    <t>=IF(H79=0,"Hide","Show")</t>
  </si>
  <si>
    <t>=IF(H80=0,"Hide","Show")</t>
  </si>
  <si>
    <t>=IF(H81=0,"Hide","Show")</t>
  </si>
  <si>
    <t>=IF(H82=0,"Hide","Show")</t>
  </si>
  <si>
    <t>=IF(H84=0,"Hide","Show")</t>
  </si>
  <si>
    <t>=IF(H85=0,"Hide","Show")</t>
  </si>
  <si>
    <t>=GL("Cell","AccountName",$F85)</t>
  </si>
  <si>
    <t>=-GL("cell","Balance",$F85,Start,End,,,,,,,,,,,,,"False")</t>
  </si>
  <si>
    <t>=IF(H87=0,"Hide","Show")</t>
  </si>
  <si>
    <t>=IF(H88=0,"Hide","Show")</t>
  </si>
  <si>
    <t>=IF(H89=0,"Hide","Show")</t>
  </si>
  <si>
    <t>=IF(H90=0,"Hide","Show")</t>
  </si>
  <si>
    <t>=IF(H91=0,"Hide","Show")</t>
  </si>
  <si>
    <t>=IF(H92=0,"Hide","Show")</t>
  </si>
  <si>
    <t>=IF(H93=0,"Hide","Show")</t>
  </si>
  <si>
    <t>=IF(H94=0,"Hide","Show")</t>
  </si>
  <si>
    <t>=IF(H95=0,"Hide","Show")</t>
  </si>
  <si>
    <t>=IF(H96=0,"Hide","Show")</t>
  </si>
  <si>
    <t>=IF(H97=0,"Hide","Show")</t>
  </si>
  <si>
    <t>=IF(H98=0,"Hide","Show")</t>
  </si>
  <si>
    <t>=IF(H99=0,"Hide","Show")</t>
  </si>
  <si>
    <t>=IF(H100=0,"Hide","Show")</t>
  </si>
  <si>
    <t>=IF(H101=0,"Hide","Show")</t>
  </si>
  <si>
    <t>=IF(H102=0,"Hide","Show")</t>
  </si>
  <si>
    <t>=IF(H103=0,"Hide","Show")</t>
  </si>
  <si>
    <t>=IF(H104=0,"Hide","Show")</t>
  </si>
  <si>
    <t>=IF(H105=0,"Hide","Show")</t>
  </si>
  <si>
    <t>=IF(H106=0,"Hide","Show")</t>
  </si>
  <si>
    <t>=IF(H107=0,"Hide","Show")</t>
  </si>
  <si>
    <t>=IF(H108=0,"Hide","Show")</t>
  </si>
  <si>
    <t>=IF(H109=0,"Hide","Show")</t>
  </si>
  <si>
    <t>=IF(H110=0,"Hide","Show")</t>
  </si>
  <si>
    <t>=IF(H111=0,"Hide","Show")</t>
  </si>
  <si>
    <t>=IF(H112=0,"Hide","Show")</t>
  </si>
  <si>
    <t>=IF(H113=0,"Hide","Show")</t>
  </si>
  <si>
    <t>=IF(H114=0,"Hide","Show")</t>
  </si>
  <si>
    <t>=IF(H115=0,"Hide","Show")</t>
  </si>
  <si>
    <t>=IF(H116=0,"Hide","Show")</t>
  </si>
  <si>
    <t>=IF(H117=0,"Hide","Show")</t>
  </si>
  <si>
    <t>=IF(H118=0,"Hide","Show")</t>
  </si>
  <si>
    <t>=IF(H119=0,"Hide","Show")</t>
  </si>
  <si>
    <t>=IF(H120=0,"Hide","Show")</t>
  </si>
  <si>
    <t>=IF(H121=0,"Hide","Show")</t>
  </si>
  <si>
    <t>=IF(H122=0,"Hide","Show")</t>
  </si>
  <si>
    <t>=IF(H123=0,"Hide","Show")</t>
  </si>
  <si>
    <t>=IF(H124=0,"Hide","Show")</t>
  </si>
  <si>
    <t>=IF(H125=0,"Hide","Show")</t>
  </si>
  <si>
    <t>=IF(H126=0,"Hide","Show")</t>
  </si>
  <si>
    <t>=IF(H127=0,"Hide","Show")</t>
  </si>
  <si>
    <t>=IF(H128=0,"Hide","Show")</t>
  </si>
  <si>
    <t>=IF(H129=0,"Hide","Show")</t>
  </si>
  <si>
    <t>=IF(H130=0,"Hide","Show")</t>
  </si>
  <si>
    <t>=IF(H131=0,"Hide","Show")</t>
  </si>
  <si>
    <t>=IF(H132=0,"Hide","Show")</t>
  </si>
  <si>
    <t>=IF(H133=0,"Hide","Show")</t>
  </si>
  <si>
    <t>=IF(H134=0,"Hide","Show")</t>
  </si>
  <si>
    <t>=IF(H135=0,"Hide","Show")</t>
  </si>
  <si>
    <t>=IF(H136=0,"Hide","Show")</t>
  </si>
  <si>
    <t>=IF(H137=0,"Hide","Show")</t>
  </si>
  <si>
    <t>=IF(H138=0,"Hide","Show")</t>
  </si>
  <si>
    <t>=IF(H139=0,"Hide","Show")</t>
  </si>
  <si>
    <t>=IF(H140=0,"Hide","Show")</t>
  </si>
  <si>
    <t>=IF(H141=0,"Hide","Show")</t>
  </si>
  <si>
    <t>=IF(H142=0,"Hide","Show")</t>
  </si>
  <si>
    <t>=IF(H143=0,"Hide","Show")</t>
  </si>
  <si>
    <t>=IF(H144=0,"Hide","Show")</t>
  </si>
  <si>
    <t>=IF(H145=0,"Hide","Show")</t>
  </si>
  <si>
    <t>=IF(H146=0,"Hide","Show")</t>
  </si>
  <si>
    <t>=IF(H147=0,"Hide","Show")</t>
  </si>
  <si>
    <t>=IF(H148=0,"Hide","Show")</t>
  </si>
  <si>
    <t>=IF(H149=0,"Hide","Show")</t>
  </si>
  <si>
    <t>=IF(H150=0,"Hide","Show")</t>
  </si>
  <si>
    <t>=IF(H151=0,"Hide","Show")</t>
  </si>
  <si>
    <t>=IF(H152=0,"Hide","Show")</t>
  </si>
  <si>
    <t>=IF(H153=0,"Hide","Show")</t>
  </si>
  <si>
    <t>=IF(H154=0,"Hide","Show")</t>
  </si>
  <si>
    <t>=IF(H155=0,"Hide","Show")</t>
  </si>
  <si>
    <t>=IF(H156=0,"Hide","Show")</t>
  </si>
  <si>
    <t>=IF(H157=0,"Hide","Show")</t>
  </si>
  <si>
    <t>=IF(H158=0,"Hide","Show")</t>
  </si>
  <si>
    <t>=IF(H159=0,"Hide","Show")</t>
  </si>
  <si>
    <t>=IF(H160=0,"Hide","Show")</t>
  </si>
  <si>
    <t>=IF(H161=0,"Hide","Show")</t>
  </si>
  <si>
    <t>=IF(H162=0,"Hide","Show")</t>
  </si>
  <si>
    <t>=IF(H163=0,"Hide","Show")</t>
  </si>
  <si>
    <t>=IF(H164=0,"Hide","Show")</t>
  </si>
  <si>
    <t>=IF(H165=0,"Hide","Show")</t>
  </si>
  <si>
    <t>=IF(H166=0,"Hide","Show")</t>
  </si>
  <si>
    <t>=IF(H167=0,"Hide","Show")</t>
  </si>
  <si>
    <t>=IF(H168=0,"Hide","Show")</t>
  </si>
  <si>
    <t>=IF(H169=0,"Hide","Show")</t>
  </si>
  <si>
    <t>=IF(H170=0,"Hide","Show")</t>
  </si>
  <si>
    <t>=IF(H171=0,"Hide","Show")</t>
  </si>
  <si>
    <t>=IF(H172=0,"Hide","Show")</t>
  </si>
  <si>
    <t>=IF(H173=0,"Hide","Show")</t>
  </si>
  <si>
    <t>=IF(H174=0,"Hide","Show")</t>
  </si>
  <si>
    <t>=IF(H175=0,"Hide","Show")</t>
  </si>
  <si>
    <t>=IF(H176=0,"Hide","Show")</t>
  </si>
  <si>
    <t>=IF(H177=0,"Hide","Show")</t>
  </si>
  <si>
    <t>=IF(H178=0,"Hide","Show")</t>
  </si>
  <si>
    <t>=IF(H179=0,"Hide","Show")</t>
  </si>
  <si>
    <t>=IF(H180=0,"Hide","Show")</t>
  </si>
  <si>
    <t>=IF(H181=0,"Hide","Show")</t>
  </si>
  <si>
    <t>=IF(H182=0,"Hide","Show")</t>
  </si>
  <si>
    <t>=IF(H183=0,"Hide","Show")</t>
  </si>
  <si>
    <t>=IF(H184=0,"Hide","Show")</t>
  </si>
  <si>
    <t>=IF(H186=0,"Hide","Show")</t>
  </si>
  <si>
    <t>=IF(H187=0,"Hide","Show")</t>
  </si>
  <si>
    <t>=IF(H188=0,"Hide","Show")</t>
  </si>
  <si>
    <t>=IF(H189=0,"Hide","Show")</t>
  </si>
  <si>
    <t>=IF(H190=0,"Hide","Show")</t>
  </si>
  <si>
    <t>=IF(H191=0,"Hide","Show")</t>
  </si>
  <si>
    <t>=IF(H192=0,"Hide","Show")</t>
  </si>
  <si>
    <t>=IF(H193=0,"Hide","Show")</t>
  </si>
  <si>
    <t>=IF(H194=0,"Hide","Show")</t>
  </si>
  <si>
    <t>=IF(H195=0,"Hide","Show")</t>
  </si>
  <si>
    <t>=IF(H196=0,"Hide","Show")</t>
  </si>
  <si>
    <t>=IF(H197=0,"Hide","Show")</t>
  </si>
  <si>
    <t>=IF(H198=0,"Hide","Show")</t>
  </si>
  <si>
    <t>=IF(H199=0,"Hide","Show")</t>
  </si>
  <si>
    <t>=IF(H200=0,"Hide","Show")</t>
  </si>
  <si>
    <t>=IF(H201=0,"Hide","Show")</t>
  </si>
  <si>
    <t>=IF(H202=0,"Hide","Show")</t>
  </si>
  <si>
    <t>=IF(H203=0,"Hide","Show")</t>
  </si>
  <si>
    <t>=IF(H204=0,"Hide","Show")</t>
  </si>
  <si>
    <t>=IF(H205=0,"Hide","Show")</t>
  </si>
  <si>
    <t>=IF(H206=0,"Hide","Show")</t>
  </si>
  <si>
    <t>=IF(H207=0,"Hide","Show")</t>
  </si>
  <si>
    <t>=IF(H208=0,"Hide","Show")</t>
  </si>
  <si>
    <t>=IF(H209=0,"Hide","Show")</t>
  </si>
  <si>
    <t>=IF(H210=0,"Hide","Show")</t>
  </si>
  <si>
    <t>=IF(H211=0,"Hide","Show")</t>
  </si>
  <si>
    <t>=IF(H212=0,"Hide","Show")</t>
  </si>
  <si>
    <t>=IF(H213=0,"Hide","Show")</t>
  </si>
  <si>
    <t>=IF(H214=0,"Hide","Show")</t>
  </si>
  <si>
    <t>=IF(H215=0,"Hide","Show")</t>
  </si>
  <si>
    <t>=IF(H216=0,"Hide","Show")</t>
  </si>
  <si>
    <t>=IF(H217=0,"Hide","Show")</t>
  </si>
  <si>
    <t>=IF(H218=0,"Hide","Show")</t>
  </si>
  <si>
    <t>=IF(H219=0,"Hide","Show")</t>
  </si>
  <si>
    <t>=IF(H220=0,"Hide","Show")</t>
  </si>
  <si>
    <t>=IF(H221=0,"Hide","Show")</t>
  </si>
  <si>
    <t>=IF(H222=0,"Hide","Show")</t>
  </si>
  <si>
    <t>=IF(H223=0,"Hide","Show")</t>
  </si>
  <si>
    <t>=IF(H224=0,"Hide","Show")</t>
  </si>
  <si>
    <t>=IF(H226=0,"Hide","Show")</t>
  </si>
  <si>
    <t>=IF(H227=0,"Hide","Show")</t>
  </si>
  <si>
    <t>=IF(H228=0,"Hide","Show")</t>
  </si>
  <si>
    <t>=IF(H229=0,"Hide","Show")</t>
  </si>
  <si>
    <t>=IF(H230=0,"Hide","Show")</t>
  </si>
  <si>
    <t>=IF(H231=0,"Hide","Show")</t>
  </si>
  <si>
    <t>=IF(H232=0,"Hide","Show")</t>
  </si>
  <si>
    <t>=IF(H233=0,"Hide","Show")</t>
  </si>
  <si>
    <t>=IF(H234=0,"Hide","Show")</t>
  </si>
  <si>
    <t>=IF(H235=0,"Hide","Show")</t>
  </si>
  <si>
    <t>=IF(H236=0,"Hide","Show")</t>
  </si>
  <si>
    <t>=IF(H237=0,"Hide","Show")</t>
  </si>
  <si>
    <t>=IF(H238=0,"Hide","Show")</t>
  </si>
  <si>
    <t>=IF(H239=0,"Hide","Show")</t>
  </si>
  <si>
    <t>=IF(H240=0,"Hide","Show")</t>
  </si>
  <si>
    <t>=IF(H241=0,"Hide","Show")</t>
  </si>
  <si>
    <t>=IF(H242=0,"Hide","Show")</t>
  </si>
  <si>
    <t>=IF(H243=0,"Hide","Show")</t>
  </si>
  <si>
    <t>=IF(H244=0,"Hide","Show")</t>
  </si>
  <si>
    <t>=IF(H246=0,"Hide","Show")</t>
  </si>
  <si>
    <t>=IF(H247=0,"Hide","Show")</t>
  </si>
  <si>
    <t>=GL("Cell","AccountName",$F247)</t>
  </si>
  <si>
    <t>=-GL("cell","Balance",$F247,Start,End,,,,,,,,,,,,,"False")</t>
  </si>
  <si>
    <t>=IF(H249=0,"Hide","Show")</t>
  </si>
  <si>
    <t>=IF(H250=0,"Hide","Show")</t>
  </si>
  <si>
    <t>=IF(H251=0,"Hide","Show")</t>
  </si>
  <si>
    <t>=IF(H252=0,"Hide","Show")</t>
  </si>
  <si>
    <t>=IF(H253=0,"Hide","Show")</t>
  </si>
  <si>
    <t>=IF(H254=0,"Hide","Show")</t>
  </si>
  <si>
    <t>=IF(H255=0,"Hide","Show")</t>
  </si>
  <si>
    <t>=IF(H256=0,"Hide","Show")</t>
  </si>
  <si>
    <t>=IF(H257=0,"Hide","Show")</t>
  </si>
  <si>
    <t>=IF(H258=0,"Hide","Show")</t>
  </si>
  <si>
    <t>=IF(H259=0,"Hide","Show")</t>
  </si>
  <si>
    <t>=IF(H260=0,"Hide","Show")</t>
  </si>
  <si>
    <t>=IF(H261=0,"Hide","Show")</t>
  </si>
  <si>
    <t>=IF(H262=0,"Hide","Show")</t>
  </si>
  <si>
    <t>=IF(H263=0,"Hide","Show")</t>
  </si>
  <si>
    <t>=IF(H264=0,"Hide","Show")</t>
  </si>
  <si>
    <t>=IF(H265=0,"Hide","Show")</t>
  </si>
  <si>
    <t>=IF(H266=0,"Hide","Show")</t>
  </si>
  <si>
    <t>=IF(H267=0,"Hide","Show")</t>
  </si>
  <si>
    <t>=IF(H268=0,"Hide","Show")</t>
  </si>
  <si>
    <t>=IF(H269=0,"Hide","Show")</t>
  </si>
  <si>
    <t>=IF(H270=0,"Hide","Show")</t>
  </si>
  <si>
    <t>=IF(H271=0,"Hide","Show")</t>
  </si>
  <si>
    <t>=IF(H273=0,"Hide","Show")</t>
  </si>
  <si>
    <t>=IF(H274=0,"Hide","Show")</t>
  </si>
  <si>
    <t>=GL("Cell","AccountName",$F274)</t>
  </si>
  <si>
    <t>=-GL("cell","Balance",$F274,Start,End,,,,,,,,,,,,,"False")</t>
  </si>
  <si>
    <t>=IF(H275=0,"Hide","Show")</t>
  </si>
  <si>
    <t>=GL("Cell","AccountName",$F275)</t>
  </si>
  <si>
    <t>=-GL("cell","Balance",$F275,Start,End,,,,,,,,,,,,,"False")</t>
  </si>
  <si>
    <t>=IF(H276=0,"Hide","Show")</t>
  </si>
  <si>
    <t>=GL("Cell","AccountName",$F276)</t>
  </si>
  <si>
    <t>=-GL("cell","Balance",$F276,Start,End,,,,,,,,,,,,,"False")</t>
  </si>
  <si>
    <t>=IF(H277=0,"Hide","Show")</t>
  </si>
  <si>
    <t>=GL("Cell","AccountName",$F277)</t>
  </si>
  <si>
    <t>=-GL("cell","Balance",$F277,Start,End,,,,,,,,,,,,,"False")</t>
  </si>
  <si>
    <t>=IF(H279=0,"Hide","Show")</t>
  </si>
  <si>
    <t>=IF(H280=0,"Hide","Show")</t>
  </si>
  <si>
    <t>=GL("Cell","AccountName",$F280)</t>
  </si>
  <si>
    <t>=-GL("cell","Balance",$F280,Start,End,,,,,,,,,,,,,"False")</t>
  </si>
  <si>
    <t>=IF(H282=0,"Hide","Show")</t>
  </si>
  <si>
    <t>=IF(H283=0,"Hide","Show")</t>
  </si>
  <si>
    <t>=IF(H284=0,"Hide","Show")</t>
  </si>
  <si>
    <t>=IF(H285=0,"Hide","Show")</t>
  </si>
  <si>
    <t>=IF(H286=0,"Hide","Show")</t>
  </si>
  <si>
    <t>=IF(H287=0,"Hide","Show")</t>
  </si>
  <si>
    <t>=IF(H288=0,"Hide","Show")</t>
  </si>
  <si>
    <t>=IF(H289=0,"Hide","Show")</t>
  </si>
  <si>
    <t>=IF(H290=0,"Hide","Show")</t>
  </si>
  <si>
    <t>=IF(H291=0,"Hide","Show")</t>
  </si>
  <si>
    <t>=IF(H292=0,"Hide","Show")</t>
  </si>
  <si>
    <t>=IF(H293=0,"Hide","Show")</t>
  </si>
  <si>
    <t>=IF(H294=0,"Hide","Show")</t>
  </si>
  <si>
    <t>=IF(H295=0,"Hide","Show")</t>
  </si>
  <si>
    <t>=IF(H296=0,"Hide","Show")</t>
  </si>
  <si>
    <t>=IF(H297=0,"Hide","Show")</t>
  </si>
  <si>
    <t>=IF(H298=0,"Hide","Show")</t>
  </si>
  <si>
    <t>=IF(H299=0,"Hide","Show")</t>
  </si>
  <si>
    <t>=IF(H300=0,"Hide","Show")</t>
  </si>
  <si>
    <t>=IF(H301=0,"Hide","Show")</t>
  </si>
  <si>
    <t>=IF(H303=0,"Hide","Show")</t>
  </si>
  <si>
    <t>=IF(H304=0,"Hide","Show")</t>
  </si>
  <si>
    <t>=IF(H305=0,"Hide","Show")</t>
  </si>
  <si>
    <t>=IF(H306=0,"Hide","Show")</t>
  </si>
  <si>
    <t>=IF(H307=0,"Hide","Show")</t>
  </si>
  <si>
    <t>=IF(H308=0,"Hide","Show")</t>
  </si>
  <si>
    <t>=IF(H309=0,"Hide","Show")</t>
  </si>
  <si>
    <t>=IF(H310=0,"Hide","Show")</t>
  </si>
  <si>
    <t>=IF(H311=0,"Hide","Show")</t>
  </si>
  <si>
    <t>=IF(H312=0,"Hide","Show")</t>
  </si>
  <si>
    <t>=IF(H313=0,"Hide","Show")</t>
  </si>
  <si>
    <t>=IF(H314=0,"Hide","Show")</t>
  </si>
  <si>
    <t>=IF(H315=0,"Hide","Show")</t>
  </si>
  <si>
    <t>=IF(H316=0,"Hide","Show")</t>
  </si>
  <si>
    <t>=IF(H317=0,"Hide","Show")</t>
  </si>
  <si>
    <t>=IF(H318=0,"Hide","Show")</t>
  </si>
  <si>
    <t>=IF(H319=0,"Hide","Show")</t>
  </si>
  <si>
    <t>=IF(H320=0,"Hide","Show")</t>
  </si>
  <si>
    <t>=IF(H321=0,"Hide","Show")</t>
  </si>
  <si>
    <t>=IF(H322=0,"Hide","Show")</t>
  </si>
  <si>
    <t>=IF(H323=0,"Hide","Show")</t>
  </si>
  <si>
    <t>=IF(H324=0,"Hide","Show")</t>
  </si>
  <si>
    <t>=IF(H325=0,"Hide","Show")</t>
  </si>
  <si>
    <t>=IF(H326=0,"Hide","Show")</t>
  </si>
  <si>
    <t>=IF(H327=0,"Hide","Show")</t>
  </si>
  <si>
    <t>=IF(H328=0,"Hide","Show")</t>
  </si>
  <si>
    <t>=IF(H329=0,"Hide","Show")</t>
  </si>
  <si>
    <t>=IF(H330=0,"Hide","Show")</t>
  </si>
  <si>
    <t>=IF(H331=0,"Hide","Show")</t>
  </si>
  <si>
    <t>=IF(H332=0,"Hide","Show")</t>
  </si>
  <si>
    <t>=IF(H333=0,"Hide","Show")</t>
  </si>
  <si>
    <t>=IF(H334=0,"Hide","Show")</t>
  </si>
  <si>
    <t>=IF(H335=0,"Hide","Show")</t>
  </si>
  <si>
    <t>=IF(H336=0,"Hide","Show")</t>
  </si>
  <si>
    <t>=IF(H337=0,"Hide","Show")</t>
  </si>
  <si>
    <t>=IF(H339=0,"Hide","Show")</t>
  </si>
  <si>
    <t>=IF(H340=0,"Hide","Show")</t>
  </si>
  <si>
    <t>=GL("Cell","AccountName",$F340)</t>
  </si>
  <si>
    <t>=-GL("cell","Balance",$F340,Start,End,,,,,,,,,,,,,"False")</t>
  </si>
  <si>
    <t>=IF(H342=0,"Hide","Show")</t>
  </si>
  <si>
    <t>=IF(H343=0,"Hide","Show")</t>
  </si>
  <si>
    <t>=GL("Cell","AccountName",$F343)</t>
  </si>
  <si>
    <t>=-GL("cell","Balance",$F343,Start,End,,,,,,,,,,,,,"False")</t>
  </si>
  <si>
    <t>=IF(H345=0,"Hide","Show")</t>
  </si>
  <si>
    <t>=IF(H346=0,"Hide","Show")</t>
  </si>
  <si>
    <t>=GL("Cell","AccountName",$F346)</t>
  </si>
  <si>
    <t>=-GL("cell","Balance",$F346,Start,End,,,,,,,,,,,,,"False")</t>
  </si>
  <si>
    <t>=IF(H348=0,"Hide","Show")</t>
  </si>
  <si>
    <t>=IF(H349=0,"Hide","Show")</t>
  </si>
  <si>
    <t>=GL("Cell","AccountName",$F349)</t>
  </si>
  <si>
    <t>=-GL("cell","Balance",$F349,Start,End,,,,,,,,,,,,,"False")</t>
  </si>
  <si>
    <t>=GL("Cell","AccountName",$F10)</t>
  </si>
  <si>
    <t>=GL("Cell","AccountName",$F11)</t>
  </si>
  <si>
    <t>=GL("Cell","AccountName",$F13)</t>
  </si>
  <si>
    <t>=GL("Cell","AccountName",$F14)</t>
  </si>
  <si>
    <t>=GL("Cell","AccountName",$F16)</t>
  </si>
  <si>
    <t>=GL("Cell","AccountName",$F17)</t>
  </si>
  <si>
    <t>=GL("Cell","AccountName",$F19)</t>
  </si>
  <si>
    <t>=GL("Cell","AccountName",$F20)</t>
  </si>
  <si>
    <t>=GL("Cell","AccountName",$F22)</t>
  </si>
  <si>
    <t>=GL("Cell","AccountName",$F23)</t>
  </si>
  <si>
    <t>=GL("Cell","AccountName",$F25)</t>
  </si>
  <si>
    <t>=GL("Cell","AccountName",$F26)</t>
  </si>
  <si>
    <t>=GL("Cell","AccountName",$F28)</t>
  </si>
  <si>
    <t>=GL("Cell","AccountName",$F29)</t>
  </si>
  <si>
    <t>=GL("Cell","AccountName",$F31)</t>
  </si>
  <si>
    <t>=GL("Cell","AccountName",$F32)</t>
  </si>
  <si>
    <t>=GL("Cell","AccountName",$F34)</t>
  </si>
  <si>
    <t>=GL("Cell","AccountName",$F35)</t>
  </si>
  <si>
    <t>=GL("Cell","AccountName",$F37)</t>
  </si>
  <si>
    <t>=GL("Cell","AccountName",$F38)</t>
  </si>
  <si>
    <t>=GL("Cell","AccountName",$F40)</t>
  </si>
  <si>
    <t>=GL("Cell","AccountName",$F41)</t>
  </si>
  <si>
    <t>=GL("Cell","AccountName",$F43)</t>
  </si>
  <si>
    <t>=GL("Cell","AccountName",$F44)</t>
  </si>
  <si>
    <t>=GL("Cell","AccountName",$F46)</t>
  </si>
  <si>
    <t>=GL("Cell","AccountName",$F47)</t>
  </si>
  <si>
    <t>=GL("Cell","AccountName",$F49)</t>
  </si>
  <si>
    <t>=GL("Cell","AccountName",$F50)</t>
  </si>
  <si>
    <t>=GL("Cell","AccountName",$F52)</t>
  </si>
  <si>
    <t>=-GL("cell","Balance",$F10,Start,End,,,,,,,,,,,,,"False")</t>
  </si>
  <si>
    <t>=-GL("cell","Balance",$F11,Start,End,,,,,,,,,,,,,"False")</t>
  </si>
  <si>
    <t>=-GL("cell","Balance",$F13,Start,End,,,,,,,,,,,,,"False")</t>
  </si>
  <si>
    <t>=-GL("cell","Balance",$F14,Start,End,,,,,,,,,,,,,"False")</t>
  </si>
  <si>
    <t>=-GL("cell","Balance",$F16,Start,End,,,,,,,,,,,,,"False")</t>
  </si>
  <si>
    <t>=-GL("cell","Balance",$F17,Start,End,,,,,,,,,,,,,"False")</t>
  </si>
  <si>
    <t>=-GL("cell","Balance",$F19,Start,End,,,,,,,,,,,,,"False")</t>
  </si>
  <si>
    <t>=-GL("cell","Balance",$F20,Start,End,,,,,,,,,,,,,"False")</t>
  </si>
  <si>
    <t>=-GL("cell","Balance",$F22,Start,End,,,,,,,,,,,,,"False")</t>
  </si>
  <si>
    <t>=-GL("cell","Balance",$F23,Start,End,,,,,,,,,,,,,"False")</t>
  </si>
  <si>
    <t>=-GL("cell","Balance",$F25,Start,End,,,,,,,,,,,,,"False")</t>
  </si>
  <si>
    <t>=-GL("cell","Balance",$F26,Start,End,,,,,,,,,,,,,"False")</t>
  </si>
  <si>
    <t>=-GL("cell","Balance",$F28,Start,End,,,,,,,,,,,,,"False")</t>
  </si>
  <si>
    <t>=-GL("cell","Balance",$F29,Start,End,,,,,,,,,,,,,"False")</t>
  </si>
  <si>
    <t>=-GL("cell","Balance",$F31,Start,End,,,,,,,,,,,,,"False")</t>
  </si>
  <si>
    <t>=-GL("cell","Balance",$F32,Start,End,,,,,,,,,,,,,"False")</t>
  </si>
  <si>
    <t>=-GL("cell","Balance",$F34,Start,End,,,,,,,,,,,,,"False")</t>
  </si>
  <si>
    <t>=-GL("cell","Balance",$F35,Start,End,,,,,,,,,,,,,"False")</t>
  </si>
  <si>
    <t>=-GL("cell","Balance",$F37,Start,End,,,,,,,,,,,,,"False")</t>
  </si>
  <si>
    <t>=-GL("cell","Balance",$F38,Start,End,,,,,,,,,,,,,"False")</t>
  </si>
  <si>
    <t>=-GL("cell","Balance",$F40,Start,End,,,,,,,,,,,,,"False")</t>
  </si>
  <si>
    <t>=-GL("cell","Balance",$F41,Start,End,,,,,,,,,,,,,"False")</t>
  </si>
  <si>
    <t>=-GL("cell","Balance",$F43,Start,End,,,,,,,,,,,,,"False")</t>
  </si>
  <si>
    <t>=-GL("cell","Balance",$F44,Start,End,,,,,,,,,,,,,"False")</t>
  </si>
  <si>
    <t>=-GL("cell","Balance",$F46,Start,End,,,,,,,,,,,,,"False")</t>
  </si>
  <si>
    <t>=-GL("cell","Balance",$F47,Start,End,,,,,,,,,,,,,"False")</t>
  </si>
  <si>
    <t>=-GL("cell","Balance",$F49,Start,End,,,,,,,,,,,,,"False")</t>
  </si>
  <si>
    <t>=-GL("cell","Balance",$F50,Start,End,,,,,,,,,,,,,"False")</t>
  </si>
  <si>
    <t>=-GL("cell","Balance",$F52,Start,End,,,,,,,,,,,,,"False")</t>
  </si>
  <si>
    <t>=GL("Cell","AccountName",$F55)</t>
  </si>
  <si>
    <t>=GL("Cell","AccountName",$F56)</t>
  </si>
  <si>
    <t>=GL("Cell","AccountName",$F58)</t>
  </si>
  <si>
    <t>=GL("Cell","AccountName",$F59)</t>
  </si>
  <si>
    <t>=GL("Cell","AccountName",$F60)</t>
  </si>
  <si>
    <t>=GL("Cell","AccountName",$F61)</t>
  </si>
  <si>
    <t>=GL("Cell","AccountName",$F62)</t>
  </si>
  <si>
    <t>=GL("Cell","AccountName",$F63)</t>
  </si>
  <si>
    <t>=-GL("cell","Balance",$F55,Start,End,,,,,,,,,,,,,"False")</t>
  </si>
  <si>
    <t>=-GL("cell","Balance",$F56,Start,End,,,,,,,,,,,,,"False")</t>
  </si>
  <si>
    <t>=-GL("cell","Balance",$F58,Start,End,,,,,,,,,,,,,"False")</t>
  </si>
  <si>
    <t>=-GL("cell","Balance",$F59,Start,End,,,,,,,,,,,,,"False")</t>
  </si>
  <si>
    <t>=-GL("cell","Balance",$F60,Start,End,,,,,,,,,,,,,"False")</t>
  </si>
  <si>
    <t>=-GL("cell","Balance",$F61,Start,End,,,,,,,,,,,,,"False")</t>
  </si>
  <si>
    <t>=-GL("cell","Balance",$F62,Start,End,,,,,,,,,,,,,"False")</t>
  </si>
  <si>
    <t>=-GL("cell","Balance",$F63,Start,End,,,,,,,,,,,,,"False")</t>
  </si>
  <si>
    <t>=GL("Cell","AccountName",$F66)</t>
  </si>
  <si>
    <t>=GL("Cell","AccountName",$F67)</t>
  </si>
  <si>
    <t>=GL("Cell","AccountName",$F68)</t>
  </si>
  <si>
    <t>=GL("Cell","AccountName",$F69)</t>
  </si>
  <si>
    <t>=GL("Cell","AccountName",$F70)</t>
  </si>
  <si>
    <t>=GL("Cell","AccountName",$F71)</t>
  </si>
  <si>
    <t>=GL("Cell","AccountName",$F72)</t>
  </si>
  <si>
    <t>=GL("Cell","AccountName",$F73)</t>
  </si>
  <si>
    <t>=GL("Cell","AccountName",$F74)</t>
  </si>
  <si>
    <t>=GL("Cell","AccountName",$F75)</t>
  </si>
  <si>
    <t>=GL("Cell","AccountName",$F76)</t>
  </si>
  <si>
    <t>=GL("Cell","AccountName",$F77)</t>
  </si>
  <si>
    <t>=GL("Cell","AccountName",$F78)</t>
  </si>
  <si>
    <t>=GL("Cell","AccountName",$F79)</t>
  </si>
  <si>
    <t>=GL("Cell","AccountName",$F80)</t>
  </si>
  <si>
    <t>=GL("Cell","AccountName",$F81)</t>
  </si>
  <si>
    <t>=GL("Cell","AccountName",$F82)</t>
  </si>
  <si>
    <t>=-GL("cell","Balance",$F66,Start,End,,,,,,,,,,,,,"False")</t>
  </si>
  <si>
    <t>=-GL("cell","Balance",$F67,Start,End,,,,,,,,,,,,,"False")</t>
  </si>
  <si>
    <t>=-GL("cell","Balance",$F68,Start,End,,,,,,,,,,,,,"False")</t>
  </si>
  <si>
    <t>=-GL("cell","Balance",$F69,Start,End,,,,,,,,,,,,,"False")</t>
  </si>
  <si>
    <t>=-GL("cell","Balance",$F70,Start,End,,,,,,,,,,,,,"False")</t>
  </si>
  <si>
    <t>=-GL("cell","Balance",$F71,Start,End,,,,,,,,,,,,,"False")</t>
  </si>
  <si>
    <t>=-GL("cell","Balance",$F72,Start,End,,,,,,,,,,,,,"False")</t>
  </si>
  <si>
    <t>=-GL("cell","Balance",$F73,Start,End,,,,,,,,,,,,,"False")</t>
  </si>
  <si>
    <t>=-GL("cell","Balance",$F74,Start,End,,,,,,,,,,,,,"False")</t>
  </si>
  <si>
    <t>=-GL("cell","Balance",$F75,Start,End,,,,,,,,,,,,,"False")</t>
  </si>
  <si>
    <t>=-GL("cell","Balance",$F76,Start,End,,,,,,,,,,,,,"False")</t>
  </si>
  <si>
    <t>=-GL("cell","Balance",$F77,Start,End,,,,,,,,,,,,,"False")</t>
  </si>
  <si>
    <t>=-GL("cell","Balance",$F78,Start,End,,,,,,,,,,,,,"False")</t>
  </si>
  <si>
    <t>=-GL("cell","Balance",$F79,Start,End,,,,,,,,,,,,,"False")</t>
  </si>
  <si>
    <t>=-GL("cell","Balance",$F80,Start,End,,,,,,,,,,,,,"False")</t>
  </si>
  <si>
    <t>=-GL("cell","Balance",$F81,Start,End,,,,,,,,,,,,,"False")</t>
  </si>
  <si>
    <t>=-GL("cell","Balance",$F82,Start,End,,,,,,,,,,,,,"False")</t>
  </si>
  <si>
    <t>=GL("Cell","AccountName",$F88)</t>
  </si>
  <si>
    <t>=GL("Cell","AccountName",$F89)</t>
  </si>
  <si>
    <t>=GL("Cell","AccountName",$F90)</t>
  </si>
  <si>
    <t>=GL("Cell","AccountName",$F91)</t>
  </si>
  <si>
    <t>=GL("Cell","AccountName",$F92)</t>
  </si>
  <si>
    <t>=GL("Cell","AccountName",$F93)</t>
  </si>
  <si>
    <t>=GL("Cell","AccountName",$F94)</t>
  </si>
  <si>
    <t>=GL("Cell","AccountName",$F95)</t>
  </si>
  <si>
    <t>=GL("Cell","AccountName",$F96)</t>
  </si>
  <si>
    <t>=GL("Cell","AccountName",$F97)</t>
  </si>
  <si>
    <t>=GL("Cell","AccountName",$F98)</t>
  </si>
  <si>
    <t>=GL("Cell","AccountName",$F99)</t>
  </si>
  <si>
    <t>=GL("Cell","AccountName",$F100)</t>
  </si>
  <si>
    <t>=GL("Cell","AccountName",$F101)</t>
  </si>
  <si>
    <t>=GL("Cell","AccountName",$F102)</t>
  </si>
  <si>
    <t>=GL("Cell","AccountName",$F103)</t>
  </si>
  <si>
    <t>=GL("Cell","AccountName",$F104)</t>
  </si>
  <si>
    <t>=GL("Cell","AccountName",$F105)</t>
  </si>
  <si>
    <t>=GL("Cell","AccountName",$F106)</t>
  </si>
  <si>
    <t>=GL("Cell","AccountName",$F107)</t>
  </si>
  <si>
    <t>=GL("Cell","AccountName",$F108)</t>
  </si>
  <si>
    <t>=GL("Cell","AccountName",$F109)</t>
  </si>
  <si>
    <t>=GL("Cell","AccountName",$F110)</t>
  </si>
  <si>
    <t>=GL("Cell","AccountName",$F111)</t>
  </si>
  <si>
    <t>=GL("Cell","AccountName",$F112)</t>
  </si>
  <si>
    <t>=GL("Cell","AccountName",$F113)</t>
  </si>
  <si>
    <t>=GL("Cell","AccountName",$F114)</t>
  </si>
  <si>
    <t>=GL("Cell","AccountName",$F115)</t>
  </si>
  <si>
    <t>=GL("Cell","AccountName",$F116)</t>
  </si>
  <si>
    <t>=GL("Cell","AccountName",$F117)</t>
  </si>
  <si>
    <t>=GL("Cell","AccountName",$F118)</t>
  </si>
  <si>
    <t>=GL("Cell","AccountName",$F119)</t>
  </si>
  <si>
    <t>=GL("Cell","AccountName",$F120)</t>
  </si>
  <si>
    <t>=GL("Cell","AccountName",$F121)</t>
  </si>
  <si>
    <t>=GL("Cell","AccountName",$F122)</t>
  </si>
  <si>
    <t>=GL("Cell","AccountName",$F123)</t>
  </si>
  <si>
    <t>=GL("Cell","AccountName",$F124)</t>
  </si>
  <si>
    <t>=GL("Cell","AccountName",$F125)</t>
  </si>
  <si>
    <t>=GL("Cell","AccountName",$F126)</t>
  </si>
  <si>
    <t>=GL("Cell","AccountName",$F127)</t>
  </si>
  <si>
    <t>=GL("Cell","AccountName",$F128)</t>
  </si>
  <si>
    <t>=GL("Cell","AccountName",$F129)</t>
  </si>
  <si>
    <t>=GL("Cell","AccountName",$F130)</t>
  </si>
  <si>
    <t>=GL("Cell","AccountName",$F131)</t>
  </si>
  <si>
    <t>=GL("Cell","AccountName",$F132)</t>
  </si>
  <si>
    <t>=GL("Cell","AccountName",$F133)</t>
  </si>
  <si>
    <t>=GL("Cell","AccountName",$F134)</t>
  </si>
  <si>
    <t>=GL("Cell","AccountName",$F135)</t>
  </si>
  <si>
    <t>=GL("Cell","AccountName",$F136)</t>
  </si>
  <si>
    <t>=GL("Cell","AccountName",$F137)</t>
  </si>
  <si>
    <t>=GL("Cell","AccountName",$F138)</t>
  </si>
  <si>
    <t>=GL("Cell","AccountName",$F139)</t>
  </si>
  <si>
    <t>=GL("Cell","AccountName",$F140)</t>
  </si>
  <si>
    <t>=GL("Cell","AccountName",$F141)</t>
  </si>
  <si>
    <t>=GL("Cell","AccountName",$F142)</t>
  </si>
  <si>
    <t>=GL("Cell","AccountName",$F143)</t>
  </si>
  <si>
    <t>=GL("Cell","AccountName",$F144)</t>
  </si>
  <si>
    <t>=GL("Cell","AccountName",$F145)</t>
  </si>
  <si>
    <t>=GL("Cell","AccountName",$F146)</t>
  </si>
  <si>
    <t>=GL("Cell","AccountName",$F147)</t>
  </si>
  <si>
    <t>=GL("Cell","AccountName",$F148)</t>
  </si>
  <si>
    <t>=GL("Cell","AccountName",$F149)</t>
  </si>
  <si>
    <t>=GL("Cell","AccountName",$F150)</t>
  </si>
  <si>
    <t>=GL("Cell","AccountName",$F151)</t>
  </si>
  <si>
    <t>=GL("Cell","AccountName",$F152)</t>
  </si>
  <si>
    <t>=GL("Cell","AccountName",$F153)</t>
  </si>
  <si>
    <t>=GL("Cell","AccountName",$F154)</t>
  </si>
  <si>
    <t>=GL("Cell","AccountName",$F155)</t>
  </si>
  <si>
    <t>=GL("Cell","AccountName",$F156)</t>
  </si>
  <si>
    <t>=GL("Cell","AccountName",$F157)</t>
  </si>
  <si>
    <t>=GL("Cell","AccountName",$F158)</t>
  </si>
  <si>
    <t>=GL("Cell","AccountName",$F159)</t>
  </si>
  <si>
    <t>=GL("Cell","AccountName",$F160)</t>
  </si>
  <si>
    <t>=GL("Cell","AccountName",$F161)</t>
  </si>
  <si>
    <t>=GL("Cell","AccountName",$F162)</t>
  </si>
  <si>
    <t>=GL("Cell","AccountName",$F163)</t>
  </si>
  <si>
    <t>=GL("Cell","AccountName",$F164)</t>
  </si>
  <si>
    <t>=GL("Cell","AccountName",$F165)</t>
  </si>
  <si>
    <t>=GL("Cell","AccountName",$F166)</t>
  </si>
  <si>
    <t>=GL("Cell","AccountName",$F167)</t>
  </si>
  <si>
    <t>=GL("Cell","AccountName",$F168)</t>
  </si>
  <si>
    <t>=GL("Cell","AccountName",$F169)</t>
  </si>
  <si>
    <t>=GL("Cell","AccountName",$F170)</t>
  </si>
  <si>
    <t>=GL("Cell","AccountName",$F171)</t>
  </si>
  <si>
    <t>=GL("Cell","AccountName",$F172)</t>
  </si>
  <si>
    <t>=GL("Cell","AccountName",$F173)</t>
  </si>
  <si>
    <t>=GL("Cell","AccountName",$F174)</t>
  </si>
  <si>
    <t>=GL("Cell","AccountName",$F175)</t>
  </si>
  <si>
    <t>=GL("Cell","AccountName",$F176)</t>
  </si>
  <si>
    <t>=GL("Cell","AccountName",$F177)</t>
  </si>
  <si>
    <t>=GL("Cell","AccountName",$F178)</t>
  </si>
  <si>
    <t>=GL("Cell","AccountName",$F179)</t>
  </si>
  <si>
    <t>=GL("Cell","AccountName",$F180)</t>
  </si>
  <si>
    <t>=GL("Cell","AccountName",$F181)</t>
  </si>
  <si>
    <t>=GL("Cell","AccountName",$F182)</t>
  </si>
  <si>
    <t>=GL("Cell","AccountName",$F183)</t>
  </si>
  <si>
    <t>=GL("Cell","AccountName",$F184)</t>
  </si>
  <si>
    <t>=-GL("cell","Balance",$F88,Start,End,,,,,,,,,,,,,"False")</t>
  </si>
  <si>
    <t>=-GL("cell","Balance",$F89,Start,End,,,,,,,,,,,,,"False")</t>
  </si>
  <si>
    <t>=-GL("cell","Balance",$F90,Start,End,,,,,,,,,,,,,"False")</t>
  </si>
  <si>
    <t>=-GL("cell","Balance",$F91,Start,End,,,,,,,,,,,,,"False")</t>
  </si>
  <si>
    <t>=-GL("cell","Balance",$F92,Start,End,,,,,,,,,,,,,"False")</t>
  </si>
  <si>
    <t>=-GL("cell","Balance",$F93,Start,End,,,,,,,,,,,,,"False")</t>
  </si>
  <si>
    <t>=-GL("cell","Balance",$F94,Start,End,,,,,,,,,,,,,"False")</t>
  </si>
  <si>
    <t>=-GL("cell","Balance",$F95,Start,End,,,,,,,,,,,,,"False")</t>
  </si>
  <si>
    <t>=-GL("cell","Balance",$F96,Start,End,,,,,,,,,,,,,"False")</t>
  </si>
  <si>
    <t>=-GL("cell","Balance",$F97,Start,End,,,,,,,,,,,,,"False")</t>
  </si>
  <si>
    <t>=-GL("cell","Balance",$F98,Start,End,,,,,,,,,,,,,"False")</t>
  </si>
  <si>
    <t>=-GL("cell","Balance",$F99,Start,End,,,,,,,,,,,,,"False")</t>
  </si>
  <si>
    <t>=-GL("cell","Balance",$F100,Start,End,,,,,,,,,,,,,"False")</t>
  </si>
  <si>
    <t>=-GL("cell","Balance",$F101,Start,End,,,,,,,,,,,,,"False")</t>
  </si>
  <si>
    <t>=-GL("cell","Balance",$F102,Start,End,,,,,,,,,,,,,"False")</t>
  </si>
  <si>
    <t>=-GL("cell","Balance",$F103,Start,End,,,,,,,,,,,,,"False")</t>
  </si>
  <si>
    <t>=-GL("cell","Balance",$F104,Start,End,,,,,,,,,,,,,"False")</t>
  </si>
  <si>
    <t>=-GL("cell","Balance",$F105,Start,End,,,,,,,,,,,,,"False")</t>
  </si>
  <si>
    <t>=-GL("cell","Balance",$F106,Start,End,,,,,,,,,,,,,"False")</t>
  </si>
  <si>
    <t>=-GL("cell","Balance",$F107,Start,End,,,,,,,,,,,,,"False")</t>
  </si>
  <si>
    <t>=-GL("cell","Balance",$F108,Start,End,,,,,,,,,,,,,"False")</t>
  </si>
  <si>
    <t>=-GL("cell","Balance",$F109,Start,End,,,,,,,,,,,,,"False")</t>
  </si>
  <si>
    <t>=-GL("cell","Balance",$F110,Start,End,,,,,,,,,,,,,"False")</t>
  </si>
  <si>
    <t>=-GL("cell","Balance",$F111,Start,End,,,,,,,,,,,,,"False")</t>
  </si>
  <si>
    <t>=-GL("cell","Balance",$F112,Start,End,,,,,,,,,,,,,"False")</t>
  </si>
  <si>
    <t>=-GL("cell","Balance",$F113,Start,End,,,,,,,,,,,,,"False")</t>
  </si>
  <si>
    <t>=-GL("cell","Balance",$F114,Start,End,,,,,,,,,,,,,"False")</t>
  </si>
  <si>
    <t>=-GL("cell","Balance",$F115,Start,End,,,,,,,,,,,,,"False")</t>
  </si>
  <si>
    <t>=-GL("cell","Balance",$F116,Start,End,,,,,,,,,,,,,"False")</t>
  </si>
  <si>
    <t>=-GL("cell","Balance",$F117,Start,End,,,,,,,,,,,,,"False")</t>
  </si>
  <si>
    <t>=-GL("cell","Balance",$F118,Start,End,,,,,,,,,,,,,"False")</t>
  </si>
  <si>
    <t>=-GL("cell","Balance",$F119,Start,End,,,,,,,,,,,,,"False")</t>
  </si>
  <si>
    <t>=-GL("cell","Balance",$F120,Start,End,,,,,,,,,,,,,"False")</t>
  </si>
  <si>
    <t>=-GL("cell","Balance",$F121,Start,End,,,,,,,,,,,,,"False")</t>
  </si>
  <si>
    <t>=-GL("cell","Balance",$F122,Start,End,,,,,,,,,,,,,"False")</t>
  </si>
  <si>
    <t>=-GL("cell","Balance",$F123,Start,End,,,,,,,,,,,,,"False")</t>
  </si>
  <si>
    <t>=-GL("cell","Balance",$F124,Start,End,,,,,,,,,,,,,"False")</t>
  </si>
  <si>
    <t>=-GL("cell","Balance",$F125,Start,End,,,,,,,,,,,,,"False")</t>
  </si>
  <si>
    <t>=-GL("cell","Balance",$F126,Start,End,,,,,,,,,,,,,"False")</t>
  </si>
  <si>
    <t>=-GL("cell","Balance",$F127,Start,End,,,,,,,,,,,,,"False")</t>
  </si>
  <si>
    <t>=-GL("cell","Balance",$F128,Start,End,,,,,,,,,,,,,"False")</t>
  </si>
  <si>
    <t>=-GL("cell","Balance",$F129,Start,End,,,,,,,,,,,,,"False")</t>
  </si>
  <si>
    <t>=-GL("cell","Balance",$F130,Start,End,,,,,,,,,,,,,"False")</t>
  </si>
  <si>
    <t>=-GL("cell","Balance",$F131,Start,End,,,,,,,,,,,,,"False")</t>
  </si>
  <si>
    <t>=-GL("cell","Balance",$F132,Start,End,,,,,,,,,,,,,"False")</t>
  </si>
  <si>
    <t>=-GL("cell","Balance",$F133,Start,End,,,,,,,,,,,,,"False")</t>
  </si>
  <si>
    <t>=-GL("cell","Balance",$F134,Start,End,,,,,,,,,,,,,"False")</t>
  </si>
  <si>
    <t>=-GL("cell","Balance",$F135,Start,End,,,,,,,,,,,,,"False")</t>
  </si>
  <si>
    <t>=-GL("cell","Balance",$F136,Start,End,,,,,,,,,,,,,"False")</t>
  </si>
  <si>
    <t>=-GL("cell","Balance",$F137,Start,End,,,,,,,,,,,,,"False")</t>
  </si>
  <si>
    <t>=-GL("cell","Balance",$F138,Start,End,,,,,,,,,,,,,"False")</t>
  </si>
  <si>
    <t>=-GL("cell","Balance",$F139,Start,End,,,,,,,,,,,,,"False")</t>
  </si>
  <si>
    <t>=-GL("cell","Balance",$F140,Start,End,,,,,,,,,,,,,"False")</t>
  </si>
  <si>
    <t>=-GL("cell","Balance",$F141,Start,End,,,,,,,,,,,,,"False")</t>
  </si>
  <si>
    <t>=-GL("cell","Balance",$F142,Start,End,,,,,,,,,,,,,"False")</t>
  </si>
  <si>
    <t>=-GL("cell","Balance",$F143,Start,End,,,,,,,,,,,,,"False")</t>
  </si>
  <si>
    <t>=-GL("cell","Balance",$F144,Start,End,,,,,,,,,,,,,"False")</t>
  </si>
  <si>
    <t>=-GL("cell","Balance",$F145,Start,End,,,,,,,,,,,,,"False")</t>
  </si>
  <si>
    <t>=-GL("cell","Balance",$F146,Start,End,,,,,,,,,,,,,"False")</t>
  </si>
  <si>
    <t>=-GL("cell","Balance",$F147,Start,End,,,,,,,,,,,,,"False")</t>
  </si>
  <si>
    <t>=-GL("cell","Balance",$F148,Start,End,,,,,,,,,,,,,"False")</t>
  </si>
  <si>
    <t>=-GL("cell","Balance",$F149,Start,End,,,,,,,,,,,,,"False")</t>
  </si>
  <si>
    <t>=-GL("cell","Balance",$F150,Start,End,,,,,,,,,,,,,"False")</t>
  </si>
  <si>
    <t>=-GL("cell","Balance",$F151,Start,End,,,,,,,,,,,,,"False")</t>
  </si>
  <si>
    <t>=-GL("cell","Balance",$F152,Start,End,,,,,,,,,,,,,"False")</t>
  </si>
  <si>
    <t>=-GL("cell","Balance",$F153,Start,End,,,,,,,,,,,,,"False")</t>
  </si>
  <si>
    <t>=-GL("cell","Balance",$F154,Start,End,,,,,,,,,,,,,"False")</t>
  </si>
  <si>
    <t>=-GL("cell","Balance",$F155,Start,End,,,,,,,,,,,,,"False")</t>
  </si>
  <si>
    <t>=-GL("cell","Balance",$F156,Start,End,,,,,,,,,,,,,"False")</t>
  </si>
  <si>
    <t>=-GL("cell","Balance",$F157,Start,End,,,,,,,,,,,,,"False")</t>
  </si>
  <si>
    <t>=-GL("cell","Balance",$F158,Start,End,,,,,,,,,,,,,"False")</t>
  </si>
  <si>
    <t>=-GL("cell","Balance",$F159,Start,End,,,,,,,,,,,,,"False")</t>
  </si>
  <si>
    <t>=-GL("cell","Balance",$F160,Start,End,,,,,,,,,,,,,"False")</t>
  </si>
  <si>
    <t>=-GL("cell","Balance",$F161,Start,End,,,,,,,,,,,,,"False")</t>
  </si>
  <si>
    <t>=-GL("cell","Balance",$F162,Start,End,,,,,,,,,,,,,"False")</t>
  </si>
  <si>
    <t>=-GL("cell","Balance",$F163,Start,End,,,,,,,,,,,,,"False")</t>
  </si>
  <si>
    <t>=-GL("cell","Balance",$F164,Start,End,,,,,,,,,,,,,"False")</t>
  </si>
  <si>
    <t>=-GL("cell","Balance",$F165,Start,End,,,,,,,,,,,,,"False")</t>
  </si>
  <si>
    <t>=-GL("cell","Balance",$F166,Start,End,,,,,,,,,,,,,"False")</t>
  </si>
  <si>
    <t>=-GL("cell","Balance",$F167,Start,End,,,,,,,,,,,,,"False")</t>
  </si>
  <si>
    <t>=-GL("cell","Balance",$F168,Start,End,,,,,,,,,,,,,"False")</t>
  </si>
  <si>
    <t>=-GL("cell","Balance",$F169,Start,End,,,,,,,,,,,,,"False")</t>
  </si>
  <si>
    <t>=-GL("cell","Balance",$F170,Start,End,,,,,,,,,,,,,"False")</t>
  </si>
  <si>
    <t>=-GL("cell","Balance",$F171,Start,End,,,,,,,,,,,,,"False")</t>
  </si>
  <si>
    <t>=-GL("cell","Balance",$F172,Start,End,,,,,,,,,,,,,"False")</t>
  </si>
  <si>
    <t>=-GL("cell","Balance",$F173,Start,End,,,,,,,,,,,,,"False")</t>
  </si>
  <si>
    <t>=-GL("cell","Balance",$F174,Start,End,,,,,,,,,,,,,"False")</t>
  </si>
  <si>
    <t>=-GL("cell","Balance",$F175,Start,End,,,,,,,,,,,,,"False")</t>
  </si>
  <si>
    <t>=-GL("cell","Balance",$F176,Start,End,,,,,,,,,,,,,"False")</t>
  </si>
  <si>
    <t>=-GL("cell","Balance",$F177,Start,End,,,,,,,,,,,,,"False")</t>
  </si>
  <si>
    <t>=-GL("cell","Balance",$F178,Start,End,,,,,,,,,,,,,"False")</t>
  </si>
  <si>
    <t>=-GL("cell","Balance",$F179,Start,End,,,,,,,,,,,,,"False")</t>
  </si>
  <si>
    <t>=-GL("cell","Balance",$F180,Start,End,,,,,,,,,,,,,"False")</t>
  </si>
  <si>
    <t>=-GL("cell","Balance",$F181,Start,End,,,,,,,,,,,,,"False")</t>
  </si>
  <si>
    <t>=-GL("cell","Balance",$F182,Start,End,,,,,,,,,,,,,"False")</t>
  </si>
  <si>
    <t>=-GL("cell","Balance",$F183,Start,End,,,,,,,,,,,,,"False")</t>
  </si>
  <si>
    <t>=-GL("cell","Balance",$F184,Start,End,,,,,,,,,,,,,"False")</t>
  </si>
  <si>
    <t>=GL("Cell","AccountName",$F187)</t>
  </si>
  <si>
    <t>=GL("Cell","AccountName",$F188)</t>
  </si>
  <si>
    <t>=GL("Cell","AccountName",$F189)</t>
  </si>
  <si>
    <t>=GL("Cell","AccountName",$F190)</t>
  </si>
  <si>
    <t>=GL("Cell","AccountName",$F191)</t>
  </si>
  <si>
    <t>=GL("Cell","AccountName",$F192)</t>
  </si>
  <si>
    <t>=GL("Cell","AccountName",$F193)</t>
  </si>
  <si>
    <t>=GL("Cell","AccountName",$F194)</t>
  </si>
  <si>
    <t>=GL("Cell","AccountName",$F195)</t>
  </si>
  <si>
    <t>=GL("Cell","AccountName",$F196)</t>
  </si>
  <si>
    <t>=GL("Cell","AccountName",$F197)</t>
  </si>
  <si>
    <t>=GL("Cell","AccountName",$F198)</t>
  </si>
  <si>
    <t>=GL("Cell","AccountName",$F199)</t>
  </si>
  <si>
    <t>=GL("Cell","AccountName",$F200)</t>
  </si>
  <si>
    <t>=GL("Cell","AccountName",$F201)</t>
  </si>
  <si>
    <t>=GL("Cell","AccountName",$F202)</t>
  </si>
  <si>
    <t>=GL("Cell","AccountName",$F203)</t>
  </si>
  <si>
    <t>=GL("Cell","AccountName",$F204)</t>
  </si>
  <si>
    <t>=GL("Cell","AccountName",$F205)</t>
  </si>
  <si>
    <t>=GL("Cell","AccountName",$F206)</t>
  </si>
  <si>
    <t>=GL("Cell","AccountName",$F207)</t>
  </si>
  <si>
    <t>=GL("Cell","AccountName",$F208)</t>
  </si>
  <si>
    <t>=GL("Cell","AccountName",$F209)</t>
  </si>
  <si>
    <t>=GL("Cell","AccountName",$F210)</t>
  </si>
  <si>
    <t>=GL("Cell","AccountName",$F211)</t>
  </si>
  <si>
    <t>=GL("Cell","AccountName",$F212)</t>
  </si>
  <si>
    <t>=GL("Cell","AccountName",$F213)</t>
  </si>
  <si>
    <t>=GL("Cell","AccountName",$F214)</t>
  </si>
  <si>
    <t>=GL("Cell","AccountName",$F215)</t>
  </si>
  <si>
    <t>=GL("Cell","AccountName",$F216)</t>
  </si>
  <si>
    <t>=GL("Cell","AccountName",$F217)</t>
  </si>
  <si>
    <t>=GL("Cell","AccountName",$F218)</t>
  </si>
  <si>
    <t>=GL("Cell","AccountName",$F219)</t>
  </si>
  <si>
    <t>=GL("Cell","AccountName",$F220)</t>
  </si>
  <si>
    <t>=GL("Cell","AccountName",$F221)</t>
  </si>
  <si>
    <t>=GL("Cell","AccountName",$F222)</t>
  </si>
  <si>
    <t>=GL("Cell","AccountName",$F223)</t>
  </si>
  <si>
    <t>=GL("Cell","AccountName",$F224)</t>
  </si>
  <si>
    <t>=-GL("cell","Balance",$F187,Start,End,,,,,,,,,,,,,"False")</t>
  </si>
  <si>
    <t>=-GL("cell","Balance",$F188,Start,End,,,,,,,,,,,,,"False")</t>
  </si>
  <si>
    <t>=-GL("cell","Balance",$F189,Start,End,,,,,,,,,,,,,"False")</t>
  </si>
  <si>
    <t>=-GL("cell","Balance",$F190,Start,End,,,,,,,,,,,,,"False")</t>
  </si>
  <si>
    <t>=-GL("cell","Balance",$F191,Start,End,,,,,,,,,,,,,"False")</t>
  </si>
  <si>
    <t>=-GL("cell","Balance",$F192,Start,End,,,,,,,,,,,,,"False")</t>
  </si>
  <si>
    <t>=-GL("cell","Balance",$F193,Start,End,,,,,,,,,,,,,"False")</t>
  </si>
  <si>
    <t>=-GL("cell","Balance",$F194,Start,End,,,,,,,,,,,,,"False")</t>
  </si>
  <si>
    <t>=-GL("cell","Balance",$F195,Start,End,,,,,,,,,,,,,"False")</t>
  </si>
  <si>
    <t>=-GL("cell","Balance",$F196,Start,End,,,,,,,,,,,,,"False")</t>
  </si>
  <si>
    <t>=-GL("cell","Balance",$F197,Start,End,,,,,,,,,,,,,"False")</t>
  </si>
  <si>
    <t>=-GL("cell","Balance",$F198,Start,End,,,,,,,,,,,,,"False")</t>
  </si>
  <si>
    <t>=-GL("cell","Balance",$F199,Start,End,,,,,,,,,,,,,"False")</t>
  </si>
  <si>
    <t>=-GL("cell","Balance",$F200,Start,End,,,,,,,,,,,,,"False")</t>
  </si>
  <si>
    <t>=-GL("cell","Balance",$F201,Start,End,,,,,,,,,,,,,"False")</t>
  </si>
  <si>
    <t>=-GL("cell","Balance",$F202,Start,End,,,,,,,,,,,,,"False")</t>
  </si>
  <si>
    <t>=-GL("cell","Balance",$F203,Start,End,,,,,,,,,,,,,"False")</t>
  </si>
  <si>
    <t>=-GL("cell","Balance",$F204,Start,End,,,,,,,,,,,,,"False")</t>
  </si>
  <si>
    <t>=-GL("cell","Balance",$F205,Start,End,,,,,,,,,,,,,"False")</t>
  </si>
  <si>
    <t>=-GL("cell","Balance",$F206,Start,End,,,,,,,,,,,,,"False")</t>
  </si>
  <si>
    <t>=-GL("cell","Balance",$F207,Start,End,,,,,,,,,,,,,"False")</t>
  </si>
  <si>
    <t>=-GL("cell","Balance",$F208,Start,End,,,,,,,,,,,,,"False")</t>
  </si>
  <si>
    <t>=-GL("cell","Balance",$F209,Start,End,,,,,,,,,,,,,"False")</t>
  </si>
  <si>
    <t>=-GL("cell","Balance",$F210,Start,End,,,,,,,,,,,,,"False")</t>
  </si>
  <si>
    <t>=-GL("cell","Balance",$F211,Start,End,,,,,,,,,,,,,"False")</t>
  </si>
  <si>
    <t>=-GL("cell","Balance",$F212,Start,End,,,,,,,,,,,,,"False")</t>
  </si>
  <si>
    <t>=-GL("cell","Balance",$F213,Start,End,,,,,,,,,,,,,"False")</t>
  </si>
  <si>
    <t>=-GL("cell","Balance",$F214,Start,End,,,,,,,,,,,,,"False")</t>
  </si>
  <si>
    <t>=-GL("cell","Balance",$F215,Start,End,,,,,,,,,,,,,"False")</t>
  </si>
  <si>
    <t>=-GL("cell","Balance",$F216,Start,End,,,,,,,,,,,,,"False")</t>
  </si>
  <si>
    <t>=-GL("cell","Balance",$F217,Start,End,,,,,,,,,,,,,"False")</t>
  </si>
  <si>
    <t>=-GL("cell","Balance",$F218,Start,End,,,,,,,,,,,,,"False")</t>
  </si>
  <si>
    <t>=-GL("cell","Balance",$F219,Start,End,,,,,,,,,,,,,"False")</t>
  </si>
  <si>
    <t>=-GL("cell","Balance",$F220,Start,End,,,,,,,,,,,,,"False")</t>
  </si>
  <si>
    <t>=-GL("cell","Balance",$F221,Start,End,,,,,,,,,,,,,"False")</t>
  </si>
  <si>
    <t>=-GL("cell","Balance",$F222,Start,End,,,,,,,,,,,,,"False")</t>
  </si>
  <si>
    <t>=-GL("cell","Balance",$F223,Start,End,,,,,,,,,,,,,"False")</t>
  </si>
  <si>
    <t>=-GL("cell","Balance",$F224,Start,End,,,,,,,,,,,,,"False")</t>
  </si>
  <si>
    <t>=GL("Cell","AccountName",$F227)</t>
  </si>
  <si>
    <t>=GL("Cell","AccountName",$F228)</t>
  </si>
  <si>
    <t>=GL("Cell","AccountName",$F229)</t>
  </si>
  <si>
    <t>=GL("Cell","AccountName",$F230)</t>
  </si>
  <si>
    <t>=GL("Cell","AccountName",$F231)</t>
  </si>
  <si>
    <t>=GL("Cell","AccountName",$F232)</t>
  </si>
  <si>
    <t>=GL("Cell","AccountName",$F233)</t>
  </si>
  <si>
    <t>=GL("Cell","AccountName",$F234)</t>
  </si>
  <si>
    <t>=GL("Cell","AccountName",$F235)</t>
  </si>
  <si>
    <t>=GL("Cell","AccountName",$F236)</t>
  </si>
  <si>
    <t>=GL("Cell","AccountName",$F237)</t>
  </si>
  <si>
    <t>=GL("Cell","AccountName",$F238)</t>
  </si>
  <si>
    <t>=GL("Cell","AccountName",$F239)</t>
  </si>
  <si>
    <t>=GL("Cell","AccountName",$F240)</t>
  </si>
  <si>
    <t>=GL("Cell","AccountName",$F241)</t>
  </si>
  <si>
    <t>=GL("Cell","AccountName",$F242)</t>
  </si>
  <si>
    <t>=GL("Cell","AccountName",$F243)</t>
  </si>
  <si>
    <t>=GL("Cell","AccountName",$F244)</t>
  </si>
  <si>
    <t>=-GL("cell","Balance",$F227,Start,End,,,,,,,,,,,,,"False")</t>
  </si>
  <si>
    <t>=-GL("cell","Balance",$F228,Start,End,,,,,,,,,,,,,"False")</t>
  </si>
  <si>
    <t>=-GL("cell","Balance",$F229,Start,End,,,,,,,,,,,,,"False")</t>
  </si>
  <si>
    <t>=-GL("cell","Balance",$F230,Start,End,,,,,,,,,,,,,"False")</t>
  </si>
  <si>
    <t>=-GL("cell","Balance",$F231,Start,End,,,,,,,,,,,,,"False")</t>
  </si>
  <si>
    <t>=-GL("cell","Balance",$F232,Start,End,,,,,,,,,,,,,"False")</t>
  </si>
  <si>
    <t>=-GL("cell","Balance",$F233,Start,End,,,,,,,,,,,,,"False")</t>
  </si>
  <si>
    <t>=-GL("cell","Balance",$F234,Start,End,,,,,,,,,,,,,"False")</t>
  </si>
  <si>
    <t>=-GL("cell","Balance",$F235,Start,End,,,,,,,,,,,,,"False")</t>
  </si>
  <si>
    <t>=-GL("cell","Balance",$F236,Start,End,,,,,,,,,,,,,"False")</t>
  </si>
  <si>
    <t>=-GL("cell","Balance",$F237,Start,End,,,,,,,,,,,,,"False")</t>
  </si>
  <si>
    <t>=-GL("cell","Balance",$F238,Start,End,,,,,,,,,,,,,"False")</t>
  </si>
  <si>
    <t>=-GL("cell","Balance",$F239,Start,End,,,,,,,,,,,,,"False")</t>
  </si>
  <si>
    <t>=-GL("cell","Balance",$F240,Start,End,,,,,,,,,,,,,"False")</t>
  </si>
  <si>
    <t>=-GL("cell","Balance",$F241,Start,End,,,,,,,,,,,,,"False")</t>
  </si>
  <si>
    <t>=-GL("cell","Balance",$F242,Start,End,,,,,,,,,,,,,"False")</t>
  </si>
  <si>
    <t>=-GL("cell","Balance",$F243,Start,End,,,,,,,,,,,,,"False")</t>
  </si>
  <si>
    <t>=-GL("cell","Balance",$F244,Start,End,,,,,,,,,,,,,"False")</t>
  </si>
  <si>
    <t>=GL("Cell","AccountName",$F250)</t>
  </si>
  <si>
    <t>=GL("Cell","AccountName",$F251)</t>
  </si>
  <si>
    <t>=GL("Cell","AccountName",$F252)</t>
  </si>
  <si>
    <t>=GL("Cell","AccountName",$F253)</t>
  </si>
  <si>
    <t>=GL("Cell","AccountName",$F254)</t>
  </si>
  <si>
    <t>=GL("Cell","AccountName",$F255)</t>
  </si>
  <si>
    <t>=GL("Cell","AccountName",$F256)</t>
  </si>
  <si>
    <t>=GL("Cell","AccountName",$F257)</t>
  </si>
  <si>
    <t>=GL("Cell","AccountName",$F258)</t>
  </si>
  <si>
    <t>=GL("Cell","AccountName",$F259)</t>
  </si>
  <si>
    <t>=GL("Cell","AccountName",$F260)</t>
  </si>
  <si>
    <t>=GL("Cell","AccountName",$F261)</t>
  </si>
  <si>
    <t>=GL("Cell","AccountName",$F262)</t>
  </si>
  <si>
    <t>=GL("Cell","AccountName",$F263)</t>
  </si>
  <si>
    <t>=GL("Cell","AccountName",$F264)</t>
  </si>
  <si>
    <t>=GL("Cell","AccountName",$F265)</t>
  </si>
  <si>
    <t>=GL("Cell","AccountName",$F266)</t>
  </si>
  <si>
    <t>=GL("Cell","AccountName",$F267)</t>
  </si>
  <si>
    <t>=GL("Cell","AccountName",$F268)</t>
  </si>
  <si>
    <t>=GL("Cell","AccountName",$F269)</t>
  </si>
  <si>
    <t>=GL("Cell","AccountName",$F270)</t>
  </si>
  <si>
    <t>=GL("Cell","AccountName",$F271)</t>
  </si>
  <si>
    <t>=-GL("cell","Balance",$F250,Start,End,,,,,,,,,,,,,"False")</t>
  </si>
  <si>
    <t>=-GL("cell","Balance",$F251,Start,End,,,,,,,,,,,,,"False")</t>
  </si>
  <si>
    <t>=-GL("cell","Balance",$F252,Start,End,,,,,,,,,,,,,"False")</t>
  </si>
  <si>
    <t>=-GL("cell","Balance",$F253,Start,End,,,,,,,,,,,,,"False")</t>
  </si>
  <si>
    <t>=-GL("cell","Balance",$F254,Start,End,,,,,,,,,,,,,"False")</t>
  </si>
  <si>
    <t>=-GL("cell","Balance",$F255,Start,End,,,,,,,,,,,,,"False")</t>
  </si>
  <si>
    <t>=-GL("cell","Balance",$F256,Start,End,,,,,,,,,,,,,"False")</t>
  </si>
  <si>
    <t>=-GL("cell","Balance",$F257,Start,End,,,,,,,,,,,,,"False")</t>
  </si>
  <si>
    <t>=-GL("cell","Balance",$F258,Start,End,,,,,,,,,,,,,"False")</t>
  </si>
  <si>
    <t>=-GL("cell","Balance",$F259,Start,End,,,,,,,,,,,,,"False")</t>
  </si>
  <si>
    <t>=-GL("cell","Balance",$F260,Start,End,,,,,,,,,,,,,"False")</t>
  </si>
  <si>
    <t>=-GL("cell","Balance",$F261,Start,End,,,,,,,,,,,,,"False")</t>
  </si>
  <si>
    <t>=-GL("cell","Balance",$F262,Start,End,,,,,,,,,,,,,"False")</t>
  </si>
  <si>
    <t>=-GL("cell","Balance",$F263,Start,End,,,,,,,,,,,,,"False")</t>
  </si>
  <si>
    <t>=-GL("cell","Balance",$F264,Start,End,,,,,,,,,,,,,"False")</t>
  </si>
  <si>
    <t>=-GL("cell","Balance",$F265,Start,End,,,,,,,,,,,,,"False")</t>
  </si>
  <si>
    <t>=-GL("cell","Balance",$F266,Start,End,,,,,,,,,,,,,"False")</t>
  </si>
  <si>
    <t>=-GL("cell","Balance",$F267,Start,End,,,,,,,,,,,,,"False")</t>
  </si>
  <si>
    <t>=-GL("cell","Balance",$F268,Start,End,,,,,,,,,,,,,"False")</t>
  </si>
  <si>
    <t>=-GL("cell","Balance",$F269,Start,End,,,,,,,,,,,,,"False")</t>
  </si>
  <si>
    <t>=-GL("cell","Balance",$F270,Start,End,,,,,,,,,,,,,"False")</t>
  </si>
  <si>
    <t>=-GL("cell","Balance",$F271,Start,End,,,,,,,,,,,,,"False")</t>
  </si>
  <si>
    <t>=GL("Cell","AccountName",$F283)</t>
  </si>
  <si>
    <t>=GL("Cell","AccountName",$F284)</t>
  </si>
  <si>
    <t>=GL("Cell","AccountName",$F285)</t>
  </si>
  <si>
    <t>=GL("Cell","AccountName",$F286)</t>
  </si>
  <si>
    <t>=GL("Cell","AccountName",$F287)</t>
  </si>
  <si>
    <t>=GL("Cell","AccountName",$F288)</t>
  </si>
  <si>
    <t>=GL("Cell","AccountName",$F289)</t>
  </si>
  <si>
    <t>=GL("Cell","AccountName",$F290)</t>
  </si>
  <si>
    <t>=GL("Cell","AccountName",$F291)</t>
  </si>
  <si>
    <t>=GL("Cell","AccountName",$F292)</t>
  </si>
  <si>
    <t>=GL("Cell","AccountName",$F293)</t>
  </si>
  <si>
    <t>=GL("Cell","AccountName",$F294)</t>
  </si>
  <si>
    <t>=GL("Cell","AccountName",$F295)</t>
  </si>
  <si>
    <t>=GL("Cell","AccountName",$F296)</t>
  </si>
  <si>
    <t>=GL("Cell","AccountName",$F297)</t>
  </si>
  <si>
    <t>=GL("Cell","AccountName",$F298)</t>
  </si>
  <si>
    <t>=GL("Cell","AccountName",$F299)</t>
  </si>
  <si>
    <t>=GL("Cell","AccountName",$F300)</t>
  </si>
  <si>
    <t>=GL("Cell","AccountName",$F301)</t>
  </si>
  <si>
    <t>=-GL("cell","Balance",$F283,Start,End,,,,,,,,,,,,,"False")</t>
  </si>
  <si>
    <t>=-GL("cell","Balance",$F284,Start,End,,,,,,,,,,,,,"False")</t>
  </si>
  <si>
    <t>=-GL("cell","Balance",$F285,Start,End,,,,,,,,,,,,,"False")</t>
  </si>
  <si>
    <t>=-GL("cell","Balance",$F286,Start,End,,,,,,,,,,,,,"False")</t>
  </si>
  <si>
    <t>=-GL("cell","Balance",$F287,Start,End,,,,,,,,,,,,,"False")</t>
  </si>
  <si>
    <t>=-GL("cell","Balance",$F288,Start,End,,,,,,,,,,,,,"False")</t>
  </si>
  <si>
    <t>=-GL("cell","Balance",$F289,Start,End,,,,,,,,,,,,,"False")</t>
  </si>
  <si>
    <t>=-GL("cell","Balance",$F290,Start,End,,,,,,,,,,,,,"False")</t>
  </si>
  <si>
    <t>=-GL("cell","Balance",$F291,Start,End,,,,,,,,,,,,,"False")</t>
  </si>
  <si>
    <t>=-GL("cell","Balance",$F292,Start,End,,,,,,,,,,,,,"False")</t>
  </si>
  <si>
    <t>=-GL("cell","Balance",$F293,Start,End,,,,,,,,,,,,,"False")</t>
  </si>
  <si>
    <t>=-GL("cell","Balance",$F294,Start,End,,,,,,,,,,,,,"False")</t>
  </si>
  <si>
    <t>=-GL("cell","Balance",$F295,Start,End,,,,,,,,,,,,,"False")</t>
  </si>
  <si>
    <t>=-GL("cell","Balance",$F296,Start,End,,,,,,,,,,,,,"False")</t>
  </si>
  <si>
    <t>=-GL("cell","Balance",$F297,Start,End,,,,,,,,,,,,,"False")</t>
  </si>
  <si>
    <t>=-GL("cell","Balance",$F298,Start,End,,,,,,,,,,,,,"False")</t>
  </si>
  <si>
    <t>=-GL("cell","Balance",$F299,Start,End,,,,,,,,,,,,,"False")</t>
  </si>
  <si>
    <t>=-GL("cell","Balance",$F300,Start,End,,,,,,,,,,,,,"False")</t>
  </si>
  <si>
    <t>=-GL("cell","Balance",$F301,Start,End,,,,,,,,,,,,,"False")</t>
  </si>
  <si>
    <t>=GL("Cell","AccountName",$F304)</t>
  </si>
  <si>
    <t>=GL("Cell","AccountName",$F305)</t>
  </si>
  <si>
    <t>=GL("Cell","AccountName",$F306)</t>
  </si>
  <si>
    <t>=GL("Cell","AccountName",$F307)</t>
  </si>
  <si>
    <t>=GL("Cell","AccountName",$F308)</t>
  </si>
  <si>
    <t>=GL("Cell","AccountName",$F309)</t>
  </si>
  <si>
    <t>=GL("Cell","AccountName",$F310)</t>
  </si>
  <si>
    <t>=GL("Cell","AccountName",$F311)</t>
  </si>
  <si>
    <t>=GL("Cell","AccountName",$F312)</t>
  </si>
  <si>
    <t>=GL("Cell","AccountName",$F313)</t>
  </si>
  <si>
    <t>=GL("Cell","AccountName",$F314)</t>
  </si>
  <si>
    <t>=GL("Cell","AccountName",$F315)</t>
  </si>
  <si>
    <t>=GL("Cell","AccountName",$F316)</t>
  </si>
  <si>
    <t>=GL("Cell","AccountName",$F317)</t>
  </si>
  <si>
    <t>=GL("Cell","AccountName",$F318)</t>
  </si>
  <si>
    <t>=GL("Cell","AccountName",$F319)</t>
  </si>
  <si>
    <t>=GL("Cell","AccountName",$F320)</t>
  </si>
  <si>
    <t>=GL("Cell","AccountName",$F321)</t>
  </si>
  <si>
    <t>=GL("Cell","AccountName",$F322)</t>
  </si>
  <si>
    <t>=GL("Cell","AccountName",$F323)</t>
  </si>
  <si>
    <t>=GL("Cell","AccountName",$F324)</t>
  </si>
  <si>
    <t>=GL("Cell","AccountName",$F325)</t>
  </si>
  <si>
    <t>=GL("Cell","AccountName",$F326)</t>
  </si>
  <si>
    <t>=GL("Cell","AccountName",$F327)</t>
  </si>
  <si>
    <t>=GL("Cell","AccountName",$F328)</t>
  </si>
  <si>
    <t>=GL("Cell","AccountName",$F329)</t>
  </si>
  <si>
    <t>=GL("Cell","AccountName",$F330)</t>
  </si>
  <si>
    <t>=GL("Cell","AccountName",$F331)</t>
  </si>
  <si>
    <t>=GL("Cell","AccountName",$F332)</t>
  </si>
  <si>
    <t>=GL("Cell","AccountName",$F333)</t>
  </si>
  <si>
    <t>=GL("Cell","AccountName",$F334)</t>
  </si>
  <si>
    <t>=GL("Cell","AccountName",$F335)</t>
  </si>
  <si>
    <t>=GL("Cell","AccountName",$F336)</t>
  </si>
  <si>
    <t>=GL("Cell","AccountName",$F337)</t>
  </si>
  <si>
    <t>=-GL("cell","Balance",$F304,Start,End,,,,,,,,,,,,,"False")</t>
  </si>
  <si>
    <t>=-GL("cell","Balance",$F305,Start,End,,,,,,,,,,,,,"False")</t>
  </si>
  <si>
    <t>=-GL("cell","Balance",$F306,Start,End,,,,,,,,,,,,,"False")</t>
  </si>
  <si>
    <t>=-GL("cell","Balance",$F307,Start,End,,,,,,,,,,,,,"False")</t>
  </si>
  <si>
    <t>=-GL("cell","Balance",$F308,Start,End,,,,,,,,,,,,,"False")</t>
  </si>
  <si>
    <t>=-GL("cell","Balance",$F309,Start,End,,,,,,,,,,,,,"False")</t>
  </si>
  <si>
    <t>=-GL("cell","Balance",$F310,Start,End,,,,,,,,,,,,,"False")</t>
  </si>
  <si>
    <t>=-GL("cell","Balance",$F311,Start,End,,,,,,,,,,,,,"False")</t>
  </si>
  <si>
    <t>=-GL("cell","Balance",$F312,Start,End,,,,,,,,,,,,,"False")</t>
  </si>
  <si>
    <t>=-GL("cell","Balance",$F313,Start,End,,,,,,,,,,,,,"False")</t>
  </si>
  <si>
    <t>=-GL("cell","Balance",$F314,Start,End,,,,,,,,,,,,,"False")</t>
  </si>
  <si>
    <t>=-GL("cell","Balance",$F315,Start,End,,,,,,,,,,,,,"False")</t>
  </si>
  <si>
    <t>=-GL("cell","Balance",$F316,Start,End,,,,,,,,,,,,,"False")</t>
  </si>
  <si>
    <t>=-GL("cell","Balance",$F317,Start,End,,,,,,,,,,,,,"False")</t>
  </si>
  <si>
    <t>=-GL("cell","Balance",$F318,Start,End,,,,,,,,,,,,,"False")</t>
  </si>
  <si>
    <t>=-GL("cell","Balance",$F319,Start,End,,,,,,,,,,,,,"False")</t>
  </si>
  <si>
    <t>=-GL("cell","Balance",$F320,Start,End,,,,,,,,,,,,,"False")</t>
  </si>
  <si>
    <t>=-GL("cell","Balance",$F321,Start,End,,,,,,,,,,,,,"False")</t>
  </si>
  <si>
    <t>=-GL("cell","Balance",$F322,Start,End,,,,,,,,,,,,,"False")</t>
  </si>
  <si>
    <t>=-GL("cell","Balance",$F323,Start,End,,,,,,,,,,,,,"False")</t>
  </si>
  <si>
    <t>=-GL("cell","Balance",$F324,Start,End,,,,,,,,,,,,,"False")</t>
  </si>
  <si>
    <t>=-GL("cell","Balance",$F325,Start,End,,,,,,,,,,,,,"False")</t>
  </si>
  <si>
    <t>=-GL("cell","Balance",$F326,Start,End,,,,,,,,,,,,,"False")</t>
  </si>
  <si>
    <t>=-GL("cell","Balance",$F327,Start,End,,,,,,,,,,,,,"False")</t>
  </si>
  <si>
    <t>=-GL("cell","Balance",$F328,Start,End,,,,,,,,,,,,,"False")</t>
  </si>
  <si>
    <t>=-GL("cell","Balance",$F329,Start,End,,,,,,,,,,,,,"False")</t>
  </si>
  <si>
    <t>=-GL("cell","Balance",$F330,Start,End,,,,,,,,,,,,,"False")</t>
  </si>
  <si>
    <t>=-GL("cell","Balance",$F331,Start,End,,,,,,,,,,,,,"False")</t>
  </si>
  <si>
    <t>=-GL("cell","Balance",$F332,Start,End,,,,,,,,,,,,,"False")</t>
  </si>
  <si>
    <t>=-GL("cell","Balance",$F333,Start,End,,,,,,,,,,,,,"False")</t>
  </si>
  <si>
    <t>=-GL("cell","Balance",$F334,Start,End,,,,,,,,,,,,,"False")</t>
  </si>
  <si>
    <t>=-GL("cell","Balance",$F335,Start,End,,,,,,,,,,,,,"False")</t>
  </si>
  <si>
    <t>=-GL("cell","Balance",$F336,Start,End,,,,,,,,,,,,,"False")</t>
  </si>
  <si>
    <t>=-GL("cell","Balance",$F337,Start,End,,,,,,,,,,,,,"False")</t>
  </si>
  <si>
    <t>Demo Data</t>
  </si>
  <si>
    <t>Click here for downloads</t>
  </si>
  <si>
    <t>Questions About This Report</t>
  </si>
  <si>
    <t>Click here to contact sample reports</t>
  </si>
  <si>
    <t>The chart of accounts structure of the demo data used to create this report contains 3 segments (Division-Account-Department).  Categories may also differ from this demo set to your structure.  Category numbers are set in column D of the 'Income Statement' worksheet.  See the shaded cells in the worksheets (in design mode).</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</si>
  <si>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</si>
  <si>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</si>
  <si>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</si>
  <si>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</si>
  <si>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</si>
  <si>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</si>
  <si>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</si>
  <si>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</si>
  <si>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</si>
  <si>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</si>
  <si>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</si>
  <si>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</si>
  <si>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</si>
  <si>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</si>
  <si>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</si>
  <si>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is a P&amp;L statement reporting for each company specified and by category.  This report assumes that although the GL account numbers may differ, the category structure is the same amongst all companies.</t>
  </si>
  <si>
    <t>�</t>
  </si>
  <si>
    <t>Auto+Hide+Values+Formulas=Sheet2,Sheet3+FormulasOnly</t>
  </si>
  <si>
    <t>Auto+Hide+Values+Formulas=Sheet4,Sheet2,Sheet3</t>
  </si>
  <si>
    <t>Auto+Hide+Values+Formulas=Sheet4,Sheet2,Sheet3+FormulasOnly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</si>
</sst>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29"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u/>
      <sz val="10"/>
      <color indexed="12"/>
      <name val="Arial"/>
      <family val="2"/>
    </font>
    <font>
      <sz val="10"/>
      <name val="Arial"/>
      <family val="2"/>
    </font>
    <font>
      <sz val="10"/>
      <name val="Calibri"/>
      <family val="2"/>
      <scheme val="minor"/>
    </font>
    <font>
      <b/>
      <sz val="11"/>
      <name val="Calibri"/>
      <family val="2"/>
      <scheme val="minor"/>
    </font>
    <font>
      <sz val="10"/>
      <color theme="0" tint="-0.499984740745262"/>
      <name val="Calibri"/>
      <family val="2"/>
      <scheme val="minor"/>
    </font>
    <font>
      <sz val="9"/>
      <color indexed="55"/>
      <name val="Segoe UI"/>
      <family val="2"/>
    </font>
    <font>
      <sz val="9"/>
      <name val="Segoe UI"/>
      <family val="2"/>
    </font>
    <font>
      <sz val="11"/>
      <name val="Segoe UI"/>
      <family val="2"/>
    </font>
    <font>
      <sz val="11"/>
      <color indexed="55"/>
      <name val="Segoe UI"/>
      <family val="2"/>
    </font>
    <font>
      <b/>
      <sz val="18"/>
      <color theme="6" tint="-0.249977111117893"/>
      <name val="Segoe UI"/>
      <family val="2"/>
    </font>
    <font>
      <b/>
      <sz val="16"/>
      <color theme="6" tint="-0.249977111117893"/>
      <name val="Segoe UI"/>
      <family val="2"/>
    </font>
    <font>
      <b/>
      <i/>
      <sz val="12"/>
      <color theme="6" tint="-0.249977111117893"/>
      <name val="Segoe UI"/>
      <family val="2"/>
    </font>
    <font>
      <b/>
      <i/>
      <sz val="11"/>
      <color indexed="48"/>
      <name val="Segoe UI"/>
      <family val="2"/>
    </font>
    <font>
      <b/>
      <sz val="11"/>
      <color theme="0"/>
      <name val="Segoe UI"/>
      <family val="2"/>
    </font>
    <font>
      <b/>
      <sz val="10"/>
      <name val="Segoe UI"/>
      <family val="2"/>
    </font>
    <font>
      <sz val="10"/>
      <name val="Segoe UI"/>
      <family val="2"/>
    </font>
    <font>
      <b/>
      <sz val="14"/>
      <color theme="0"/>
      <name val="Segoe UI"/>
      <family val="2"/>
    </font>
    <font>
      <sz val="10"/>
      <name val="Arial"/>
      <family val="2"/>
    </font>
    <font>
      <b/>
      <sz val="9"/>
      <color indexed="55"/>
      <name val="Segoe UI"/>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8">
    <fill>
      <patternFill patternType="none"/>
    </fill>
    <fill>
      <patternFill patternType="gray125"/>
    </fill>
    <fill>
      <patternFill patternType="solid">
        <fgColor theme="6" tint="-0.499984740745262"/>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rgb="FFFFFFCC"/>
      </patternFill>
    </fill>
    <fill>
      <patternFill patternType="solid">
        <fgColor theme="5" tint="0.79998168889431442"/>
        <bgColor indexed="64"/>
      </patternFill>
    </fill>
  </fills>
  <borders count="10">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s>
  <cellStyleXfs count="10">
    <xf numFmtId="0" fontId="0" fillId="0" borderId="0"/>
    <xf numFmtId="43" fontId="3" fillId="0" borderId="0" applyFont="0" applyFill="0" applyBorder="0" applyAlignment="0" applyProtection="0"/>
    <xf numFmtId="0" fontId="5" fillId="0" borderId="0"/>
    <xf numFmtId="0" fontId="7" fillId="0" borderId="0"/>
    <xf numFmtId="0" fontId="23" fillId="6" borderId="9" applyNumberFormat="0" applyFont="0" applyAlignment="0" applyProtection="0"/>
    <xf numFmtId="0" fontId="3" fillId="0" borderId="0"/>
    <xf numFmtId="0" fontId="2" fillId="0" borderId="0"/>
    <xf numFmtId="0" fontId="1" fillId="0" borderId="0"/>
    <xf numFmtId="0" fontId="1" fillId="0" borderId="0"/>
    <xf numFmtId="0" fontId="6" fillId="0" borderId="0" applyNumberFormat="0" applyFill="0" applyBorder="0" applyAlignment="0" applyProtection="0">
      <alignment vertical="top"/>
      <protection locked="0"/>
    </xf>
  </cellStyleXfs>
  <cellXfs count="43">
    <xf numFmtId="0" fontId="0" fillId="0" borderId="0" xfId="0"/>
    <xf numFmtId="0" fontId="0" fillId="0" borderId="0" xfId="0" quotePrefix="1"/>
    <xf numFmtId="0" fontId="8" fillId="0" borderId="0" xfId="0" applyFont="1"/>
    <xf numFmtId="0" fontId="9" fillId="3" borderId="0" xfId="0" applyFont="1" applyFill="1"/>
    <xf numFmtId="0" fontId="10" fillId="0" borderId="0" xfId="0" applyFont="1"/>
    <xf numFmtId="0" fontId="11" fillId="0" borderId="0" xfId="0" applyFont="1"/>
    <xf numFmtId="0" fontId="12" fillId="0" borderId="0" xfId="0" applyFont="1"/>
    <xf numFmtId="0" fontId="13" fillId="0" borderId="0" xfId="0" applyFont="1"/>
    <xf numFmtId="0" fontId="14" fillId="0" borderId="0" xfId="0" applyFont="1"/>
    <xf numFmtId="43" fontId="13" fillId="0" borderId="0" xfId="1" applyFont="1"/>
    <xf numFmtId="0" fontId="15" fillId="0" borderId="0" xfId="0" applyFont="1" applyFill="1" applyBorder="1" applyAlignment="1"/>
    <xf numFmtId="0" fontId="16" fillId="0" borderId="0" xfId="0" applyFont="1" applyFill="1" applyBorder="1" applyAlignment="1"/>
    <xf numFmtId="0" fontId="17" fillId="0" borderId="0" xfId="0" applyFont="1" applyFill="1" applyBorder="1" applyAlignment="1"/>
    <xf numFmtId="0" fontId="18" fillId="0" borderId="0" xfId="0" applyFont="1" applyFill="1" applyBorder="1" applyAlignment="1"/>
    <xf numFmtId="43" fontId="14" fillId="0" borderId="0" xfId="1" applyFont="1"/>
    <xf numFmtId="43" fontId="19" fillId="2" borderId="0" xfId="1" applyFont="1" applyFill="1" applyAlignment="1">
      <alignment horizontal="right"/>
    </xf>
    <xf numFmtId="0" fontId="20" fillId="4" borderId="1" xfId="0" applyFont="1" applyFill="1" applyBorder="1"/>
    <xf numFmtId="0" fontId="11" fillId="5" borderId="0" xfId="0" applyFont="1" applyFill="1"/>
    <xf numFmtId="0" fontId="14" fillId="5" borderId="0" xfId="0" applyFont="1" applyFill="1"/>
    <xf numFmtId="0" fontId="12" fillId="5" borderId="0" xfId="0" applyFont="1" applyFill="1"/>
    <xf numFmtId="43" fontId="12" fillId="5" borderId="0" xfId="1" applyFont="1" applyFill="1"/>
    <xf numFmtId="0" fontId="20" fillId="4" borderId="2" xfId="0" applyFont="1" applyFill="1" applyBorder="1"/>
    <xf numFmtId="0" fontId="21" fillId="0" borderId="3" xfId="0" applyFont="1" applyBorder="1"/>
    <xf numFmtId="0" fontId="21" fillId="0" borderId="0" xfId="0" applyFont="1" applyBorder="1"/>
    <xf numFmtId="1" fontId="22" fillId="2" borderId="0" xfId="1" applyNumberFormat="1" applyFont="1" applyFill="1" applyAlignment="1">
      <alignment horizontal="right"/>
    </xf>
    <xf numFmtId="43" fontId="20" fillId="4" borderId="5" xfId="1" applyFont="1" applyFill="1" applyBorder="1"/>
    <xf numFmtId="43" fontId="21" fillId="0" borderId="4" xfId="1" applyFont="1" applyBorder="1"/>
    <xf numFmtId="0" fontId="20" fillId="0" borderId="6" xfId="0" applyFont="1" applyBorder="1"/>
    <xf numFmtId="43" fontId="20" fillId="0" borderId="8" xfId="1" applyFont="1" applyBorder="1"/>
    <xf numFmtId="0" fontId="20" fillId="0" borderId="7" xfId="0" applyFont="1" applyBorder="1"/>
    <xf numFmtId="0" fontId="24" fillId="6" borderId="9" xfId="4" applyFont="1"/>
    <xf numFmtId="0" fontId="24" fillId="6" borderId="9" xfId="4" applyFont="1" applyAlignment="1">
      <alignment wrapText="1"/>
    </xf>
    <xf numFmtId="0" fontId="25" fillId="0" borderId="0" xfId="7" applyFont="1"/>
    <xf numFmtId="0" fontId="25" fillId="0" borderId="0" xfId="7" applyFont="1" applyAlignment="1">
      <alignment vertical="top"/>
    </xf>
    <xf numFmtId="0" fontId="25" fillId="0" borderId="0" xfId="7" applyFont="1" applyAlignment="1">
      <alignment vertical="top" wrapText="1"/>
    </xf>
    <xf numFmtId="0" fontId="26" fillId="0" borderId="0" xfId="7" applyFont="1" applyAlignment="1">
      <alignment vertical="top"/>
    </xf>
    <xf numFmtId="0" fontId="27" fillId="0" borderId="0" xfId="7" applyFont="1" applyAlignment="1">
      <alignment vertical="top"/>
    </xf>
    <xf numFmtId="0" fontId="28" fillId="0" borderId="0" xfId="7" applyFont="1" applyAlignment="1">
      <alignment vertical="top"/>
    </xf>
    <xf numFmtId="0" fontId="25" fillId="0" borderId="0" xfId="8" applyFont="1" applyAlignment="1">
      <alignment vertical="top" wrapText="1"/>
    </xf>
    <xf numFmtId="0" fontId="6" fillId="0" borderId="0" xfId="9" applyAlignment="1" applyProtection="1">
      <alignment vertical="top"/>
    </xf>
    <xf numFmtId="0" fontId="21" fillId="0" borderId="0" xfId="5" applyFont="1"/>
    <xf numFmtId="0" fontId="20" fillId="0" borderId="0" xfId="5" applyFont="1" applyAlignment="1">
      <alignment vertical="top"/>
    </xf>
    <xf numFmtId="0" fontId="21" fillId="7" borderId="0" xfId="5" applyFont="1" applyFill="1" applyAlignment="1">
      <alignment vertical="top" wrapText="1"/>
    </xf>
  </cellXfs>
  <cellStyles count="10">
    <cellStyle name="Comma" xfId="1" builtinId="3"/>
    <cellStyle name="Hyperlink 3" xfId="9"/>
    <cellStyle name="Normal" xfId="0" builtinId="0"/>
    <cellStyle name="Normal 2" xfId="2"/>
    <cellStyle name="Normal 2 2" xfId="3"/>
    <cellStyle name="Normal 2 4" xfId="5"/>
    <cellStyle name="Normal 3" xfId="6"/>
    <cellStyle name="Normal 3 22" xfId="8"/>
    <cellStyle name="Normal 4" xfId="7"/>
    <cellStyle name="Note" xfId="4" builtin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3EAF1"/>
      <rgbColor rgb="00CCFFFF"/>
      <rgbColor rgb="00CCFFCC"/>
      <rgbColor rgb="00E1E1D1"/>
      <rgbColor rgb="0099CCFF"/>
      <rgbColor rgb="00FF99CC"/>
      <rgbColor rgb="00CC99FF"/>
      <rgbColor rgb="00FFCC99"/>
      <rgbColor rgb="000074AB"/>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9"/>
  <sheetViews>
    <sheetView showGridLines="0" tabSelected="1" topLeftCell="B2" workbookViewId="0"/>
  </sheetViews>
  <sheetFormatPr defaultColWidth="9.140625" defaultRowHeight="14.25" x14ac:dyDescent="0.25"/>
  <cols>
    <col min="1" max="1" width="3.42578125" style="32" hidden="1" customWidth="1"/>
    <col min="2" max="2" width="10.28515625" style="32" customWidth="1"/>
    <col min="3" max="3" width="27.140625" style="33" customWidth="1"/>
    <col min="4" max="4" width="77.28515625" style="34" customWidth="1"/>
    <col min="5" max="5" width="36.42578125" style="32" customWidth="1"/>
    <col min="6" max="16384" width="9.140625" style="32"/>
  </cols>
  <sheetData>
    <row r="1" spans="1:5" hidden="1" x14ac:dyDescent="0.25">
      <c r="A1" s="32" t="s">
        <v>1730</v>
      </c>
    </row>
    <row r="7" spans="1:5" ht="30.75" x14ac:dyDescent="0.25">
      <c r="C7" s="35" t="s">
        <v>6</v>
      </c>
    </row>
    <row r="9" spans="1:5" x14ac:dyDescent="0.25">
      <c r="C9" s="36"/>
    </row>
    <row r="10" spans="1:5" ht="42.75" x14ac:dyDescent="0.25">
      <c r="C10" s="37" t="s">
        <v>7</v>
      </c>
      <c r="D10" s="38" t="s">
        <v>1745</v>
      </c>
    </row>
    <row r="11" spans="1:5" x14ac:dyDescent="0.25">
      <c r="C11" s="37"/>
    </row>
    <row r="12" spans="1:5" x14ac:dyDescent="0.25">
      <c r="C12" s="37" t="s">
        <v>8</v>
      </c>
      <c r="D12" s="34" t="s">
        <v>1731</v>
      </c>
    </row>
    <row r="13" spans="1:5" s="40" customFormat="1" ht="57" x14ac:dyDescent="0.25">
      <c r="C13" s="41" t="s">
        <v>1725</v>
      </c>
      <c r="D13" s="42" t="s">
        <v>1729</v>
      </c>
    </row>
    <row r="14" spans="1:5" x14ac:dyDescent="0.25">
      <c r="C14" s="37"/>
    </row>
    <row r="15" spans="1:5" ht="57" x14ac:dyDescent="0.25">
      <c r="C15" s="37" t="s">
        <v>9</v>
      </c>
      <c r="D15" s="34" t="s">
        <v>1732</v>
      </c>
      <c r="E15" s="39" t="s">
        <v>1726</v>
      </c>
    </row>
    <row r="16" spans="1:5" x14ac:dyDescent="0.25">
      <c r="C16" s="37"/>
      <c r="E16" s="33"/>
    </row>
    <row r="17" spans="3:5" ht="28.5" x14ac:dyDescent="0.25">
      <c r="C17" s="37" t="s">
        <v>1727</v>
      </c>
      <c r="D17" s="34" t="s">
        <v>1733</v>
      </c>
      <c r="E17" s="39" t="s">
        <v>1728</v>
      </c>
    </row>
    <row r="18" spans="3:5" x14ac:dyDescent="0.25">
      <c r="C18" s="37"/>
      <c r="E18" s="33"/>
    </row>
    <row r="19" spans="3:5" ht="57" x14ac:dyDescent="0.25">
      <c r="C19" s="37" t="s">
        <v>1734</v>
      </c>
      <c r="D19" s="34" t="s">
        <v>1735</v>
      </c>
      <c r="E19" s="39" t="s">
        <v>1736</v>
      </c>
    </row>
    <row r="20" spans="3:5" x14ac:dyDescent="0.25">
      <c r="C20" s="37"/>
      <c r="E20" s="33"/>
    </row>
    <row r="21" spans="3:5" ht="30.75" customHeight="1" x14ac:dyDescent="0.25">
      <c r="C21" s="37" t="s">
        <v>10</v>
      </c>
      <c r="D21" s="34" t="s">
        <v>1737</v>
      </c>
      <c r="E21" s="39" t="s">
        <v>1738</v>
      </c>
    </row>
    <row r="22" spans="3:5" x14ac:dyDescent="0.25">
      <c r="C22" s="37"/>
      <c r="E22" s="33"/>
    </row>
    <row r="23" spans="3:5" ht="14.25" customHeight="1" x14ac:dyDescent="0.25">
      <c r="C23" s="37" t="s">
        <v>11</v>
      </c>
      <c r="D23" s="34" t="s">
        <v>1739</v>
      </c>
      <c r="E23" s="39" t="s">
        <v>1740</v>
      </c>
    </row>
    <row r="24" spans="3:5" x14ac:dyDescent="0.25">
      <c r="C24" s="37"/>
      <c r="E24" s="33"/>
    </row>
    <row r="25" spans="3:5" ht="15" customHeight="1" x14ac:dyDescent="0.25">
      <c r="C25" s="37" t="s">
        <v>12</v>
      </c>
      <c r="D25" s="34" t="s">
        <v>1741</v>
      </c>
      <c r="E25" s="39" t="s">
        <v>1742</v>
      </c>
    </row>
    <row r="26" spans="3:5" x14ac:dyDescent="0.25">
      <c r="C26" s="37"/>
    </row>
    <row r="27" spans="3:5" ht="71.25" x14ac:dyDescent="0.25">
      <c r="C27" s="37" t="s">
        <v>13</v>
      </c>
      <c r="D27" s="34" t="s">
        <v>1743</v>
      </c>
    </row>
    <row r="28" spans="3:5" x14ac:dyDescent="0.25">
      <c r="C28" s="37"/>
    </row>
    <row r="29" spans="3:5" ht="17.25" customHeight="1" x14ac:dyDescent="0.25">
      <c r="C29" s="37" t="s">
        <v>14</v>
      </c>
      <c r="D29" s="34" t="s">
        <v>1744</v>
      </c>
    </row>
  </sheetData>
  <hyperlinks>
    <hyperlink ref="E21" r:id="rId1"/>
    <hyperlink ref="E17" r:id="rId2"/>
    <hyperlink ref="E15" r:id="rId3"/>
    <hyperlink ref="E25" r:id="rId4"/>
    <hyperlink ref="E19" r:id="rId5"/>
    <hyperlink ref="E23"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topLeftCell="B2" workbookViewId="0"/>
  </sheetViews>
  <sheetFormatPr defaultColWidth="9.140625" defaultRowHeight="12.75" x14ac:dyDescent="0.2"/>
  <cols>
    <col min="1" max="1" width="8.85546875" style="2" hidden="1" customWidth="1"/>
    <col min="2" max="3" width="9.140625" style="2"/>
    <col min="4" max="4" width="12.85546875" style="2" customWidth="1"/>
    <col min="5" max="16384" width="9.140625" style="2"/>
  </cols>
  <sheetData>
    <row r="1" spans="1:5" hidden="1" x14ac:dyDescent="0.2">
      <c r="A1" s="4" t="s">
        <v>141</v>
      </c>
      <c r="B1" s="4"/>
      <c r="C1" s="4"/>
      <c r="D1" s="4" t="s">
        <v>3</v>
      </c>
      <c r="E1" s="4" t="s">
        <v>4</v>
      </c>
    </row>
    <row r="2" spans="1:5" x14ac:dyDescent="0.2">
      <c r="A2" s="4"/>
    </row>
    <row r="3" spans="1:5" ht="15" x14ac:dyDescent="0.25">
      <c r="A3" s="4"/>
      <c r="D3" s="3" t="s">
        <v>50</v>
      </c>
      <c r="E3" s="3"/>
    </row>
    <row r="5" spans="1:5" x14ac:dyDescent="0.2">
      <c r="A5" s="4" t="s">
        <v>2</v>
      </c>
      <c r="D5" s="2" t="s">
        <v>378</v>
      </c>
      <c r="E5" s="2" t="str">
        <f>"1/1/2017"</f>
        <v>1/1/2017</v>
      </c>
    </row>
    <row r="6" spans="1:5" ht="16.5" customHeight="1" x14ac:dyDescent="0.2">
      <c r="A6" s="4" t="s">
        <v>2</v>
      </c>
      <c r="D6" s="2" t="s">
        <v>379</v>
      </c>
      <c r="E6" s="2" t="str">
        <f>"6/30/2017"</f>
        <v>6/30/2017</v>
      </c>
    </row>
  </sheetData>
  <phoneticPr fontId="4"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0"/>
  <sheetViews>
    <sheetView showGridLines="0" topLeftCell="E2" zoomScaleNormal="100" workbookViewId="0"/>
  </sheetViews>
  <sheetFormatPr defaultColWidth="9.140625" defaultRowHeight="16.5" x14ac:dyDescent="0.3"/>
  <cols>
    <col min="1" max="1" width="8.85546875" style="8" hidden="1" customWidth="1"/>
    <col min="2" max="2" width="17.140625" style="8" hidden="1" customWidth="1"/>
    <col min="3" max="3" width="8.85546875" style="8" hidden="1" customWidth="1"/>
    <col min="4" max="4" width="18" style="5" hidden="1" customWidth="1"/>
    <col min="5" max="5" width="8.28515625" style="6" customWidth="1"/>
    <col min="6" max="6" width="38.5703125" style="7" bestFit="1" customWidth="1"/>
    <col min="7" max="7" width="51.28515625" style="7" customWidth="1"/>
    <col min="8" max="8" width="35.7109375" style="9" customWidth="1"/>
    <col min="9" max="9" width="15.5703125" style="7" bestFit="1" customWidth="1"/>
    <col min="10" max="16384" width="9.140625" style="7"/>
  </cols>
  <sheetData>
    <row r="1" spans="1:8" hidden="1" x14ac:dyDescent="0.3">
      <c r="A1" s="17" t="s">
        <v>1748</v>
      </c>
      <c r="B1" s="17" t="s">
        <v>139</v>
      </c>
      <c r="C1" s="17" t="s">
        <v>0</v>
      </c>
      <c r="D1" s="17" t="s">
        <v>0</v>
      </c>
      <c r="E1" s="19"/>
      <c r="F1" s="19" t="s">
        <v>1</v>
      </c>
      <c r="G1" s="19"/>
      <c r="H1" s="20"/>
    </row>
    <row r="2" spans="1:8" x14ac:dyDescent="0.3">
      <c r="A2" s="17"/>
      <c r="B2" s="17"/>
    </row>
    <row r="3" spans="1:8" ht="26.25" x14ac:dyDescent="0.45">
      <c r="A3" s="17"/>
      <c r="B3" s="17"/>
      <c r="F3" s="10" t="s">
        <v>5</v>
      </c>
      <c r="G3" s="10"/>
      <c r="H3" s="24" t="str">
        <f>"From "&amp;Start</f>
        <v>From 1/1/2017</v>
      </c>
    </row>
    <row r="4" spans="1:8" ht="25.5" x14ac:dyDescent="0.5">
      <c r="A4" s="17"/>
      <c r="B4" s="17"/>
      <c r="F4" s="11"/>
      <c r="G4" s="11"/>
      <c r="H4" s="24" t="str">
        <f>"To "&amp;End</f>
        <v>To 6/30/2017</v>
      </c>
    </row>
    <row r="5" spans="1:8" ht="84" hidden="1" customHeight="1" x14ac:dyDescent="0.3">
      <c r="A5" s="17" t="s">
        <v>775</v>
      </c>
      <c r="B5" s="31" t="s">
        <v>776</v>
      </c>
      <c r="D5" s="31" t="s">
        <v>774</v>
      </c>
      <c r="F5" s="12"/>
      <c r="G5" s="12"/>
      <c r="H5" s="13"/>
    </row>
    <row r="6" spans="1:8" s="8" customFormat="1" x14ac:dyDescent="0.3">
      <c r="A6" s="18"/>
      <c r="B6" s="18"/>
      <c r="D6" s="5"/>
      <c r="E6" s="5"/>
      <c r="H6" s="14"/>
    </row>
    <row r="7" spans="1:8" s="8" customFormat="1" ht="20.25" x14ac:dyDescent="0.35">
      <c r="A7" s="18"/>
      <c r="B7" s="18"/>
      <c r="D7" s="5"/>
      <c r="E7" s="5"/>
      <c r="F7" s="15"/>
      <c r="G7" s="15"/>
      <c r="H7" s="24" t="s">
        <v>152</v>
      </c>
    </row>
    <row r="8" spans="1:8" x14ac:dyDescent="0.3">
      <c r="A8" s="18"/>
      <c r="B8" s="18" t="str">
        <f>IF(H8=0,"Hide","Show")</f>
        <v>Show</v>
      </c>
      <c r="D8" s="30">
        <v>31</v>
      </c>
      <c r="F8" s="21" t="str">
        <f>"Sales"</f>
        <v>Sales</v>
      </c>
      <c r="G8" s="16"/>
      <c r="H8" s="25">
        <f>489665.09</f>
        <v>489665.09</v>
      </c>
    </row>
    <row r="9" spans="1:8" x14ac:dyDescent="0.3">
      <c r="A9" s="18"/>
      <c r="B9" s="18" t="str">
        <f>IF(H9=0,"Hide","Show")</f>
        <v>Show</v>
      </c>
      <c r="D9" s="5">
        <f>D8</f>
        <v>31</v>
      </c>
      <c r="F9" s="22" t="str">
        <f>"000-4100-00"</f>
        <v>000-4100-00</v>
      </c>
      <c r="G9" s="23" t="str">
        <f>"Sales"</f>
        <v>Sales</v>
      </c>
      <c r="H9" s="26">
        <v>9331.69</v>
      </c>
    </row>
    <row r="10" spans="1:8" x14ac:dyDescent="0.3">
      <c r="A10" s="18" t="s">
        <v>41</v>
      </c>
      <c r="B10" s="18" t="str">
        <f t="shared" ref="B10:B52" si="0">IF(H10=0,"Hide","Show")</f>
        <v>Show</v>
      </c>
      <c r="D10" s="5">
        <f t="shared" ref="D10:D52" si="1">D9</f>
        <v>31</v>
      </c>
      <c r="F10" s="22" t="str">
        <f>"000-4110-01"</f>
        <v>000-4110-01</v>
      </c>
      <c r="G10" s="23" t="str">
        <f>"US Sales - Retail/Parts"</f>
        <v>US Sales - Retail/Parts</v>
      </c>
      <c r="H10" s="26">
        <v>7037.95</v>
      </c>
    </row>
    <row r="11" spans="1:8" x14ac:dyDescent="0.3">
      <c r="A11" s="18" t="s">
        <v>41</v>
      </c>
      <c r="B11" s="18" t="str">
        <f t="shared" si="0"/>
        <v>Show</v>
      </c>
      <c r="D11" s="5">
        <f t="shared" si="1"/>
        <v>31</v>
      </c>
      <c r="F11" s="22" t="str">
        <f>"000-4110-02"</f>
        <v>000-4110-02</v>
      </c>
      <c r="G11" s="23" t="str">
        <f>"US Sales - Finished Goods"</f>
        <v>US Sales - Finished Goods</v>
      </c>
      <c r="H11" s="26">
        <v>472876.05</v>
      </c>
    </row>
    <row r="12" spans="1:8" hidden="1" x14ac:dyDescent="0.3">
      <c r="A12" s="18" t="s">
        <v>41</v>
      </c>
      <c r="B12" s="18" t="str">
        <f t="shared" si="0"/>
        <v>Hide</v>
      </c>
      <c r="D12" s="5">
        <f t="shared" si="1"/>
        <v>31</v>
      </c>
      <c r="F12" s="22" t="str">
        <f>"000-4111-01"</f>
        <v>000-4111-01</v>
      </c>
      <c r="G12" s="23" t="str">
        <f>"Canadian Sales - Retail/Parts"</f>
        <v>Canadian Sales - Retail/Parts</v>
      </c>
      <c r="H12" s="26">
        <v>0</v>
      </c>
    </row>
    <row r="13" spans="1:8" hidden="1" x14ac:dyDescent="0.3">
      <c r="A13" s="18" t="s">
        <v>41</v>
      </c>
      <c r="B13" s="18" t="str">
        <f t="shared" si="0"/>
        <v>Hide</v>
      </c>
      <c r="D13" s="5">
        <f t="shared" si="1"/>
        <v>31</v>
      </c>
      <c r="F13" s="22" t="str">
        <f>"000-4111-02"</f>
        <v>000-4111-02</v>
      </c>
      <c r="G13" s="23" t="str">
        <f>"Canadian Sales - Finished Goods"</f>
        <v>Canadian Sales - Finished Goods</v>
      </c>
      <c r="H13" s="26">
        <v>0</v>
      </c>
    </row>
    <row r="14" spans="1:8" hidden="1" x14ac:dyDescent="0.3">
      <c r="A14" s="18" t="s">
        <v>41</v>
      </c>
      <c r="B14" s="18" t="str">
        <f t="shared" si="0"/>
        <v>Hide</v>
      </c>
      <c r="D14" s="5">
        <f t="shared" si="1"/>
        <v>31</v>
      </c>
      <c r="F14" s="22" t="str">
        <f>"000-4112-01"</f>
        <v>000-4112-01</v>
      </c>
      <c r="G14" s="23" t="str">
        <f>"AustralAsian Sales - Retail/Parts"</f>
        <v>AustralAsian Sales - Retail/Parts</v>
      </c>
      <c r="H14" s="26">
        <v>0</v>
      </c>
    </row>
    <row r="15" spans="1:8" hidden="1" x14ac:dyDescent="0.3">
      <c r="A15" s="18" t="s">
        <v>41</v>
      </c>
      <c r="B15" s="18" t="str">
        <f t="shared" si="0"/>
        <v>Hide</v>
      </c>
      <c r="D15" s="5">
        <f t="shared" si="1"/>
        <v>31</v>
      </c>
      <c r="F15" s="22" t="str">
        <f>"000-4112-02"</f>
        <v>000-4112-02</v>
      </c>
      <c r="G15" s="23" t="str">
        <f>"AustralAsian Sales - Finished Goods"</f>
        <v>AustralAsian Sales - Finished Goods</v>
      </c>
      <c r="H15" s="26">
        <v>0</v>
      </c>
    </row>
    <row r="16" spans="1:8" hidden="1" x14ac:dyDescent="0.3">
      <c r="A16" s="18" t="s">
        <v>41</v>
      </c>
      <c r="B16" s="18" t="str">
        <f t="shared" si="0"/>
        <v>Hide</v>
      </c>
      <c r="D16" s="5">
        <f t="shared" si="1"/>
        <v>31</v>
      </c>
      <c r="F16" s="22" t="str">
        <f>"000-4114-01"</f>
        <v>000-4114-01</v>
      </c>
      <c r="G16" s="23" t="str">
        <f>"Germany Sales - Retail/Parts"</f>
        <v>Germany Sales - Retail/Parts</v>
      </c>
      <c r="H16" s="26">
        <v>0</v>
      </c>
    </row>
    <row r="17" spans="1:8" hidden="1" x14ac:dyDescent="0.3">
      <c r="A17" s="18" t="s">
        <v>41</v>
      </c>
      <c r="B17" s="18" t="str">
        <f t="shared" si="0"/>
        <v>Hide</v>
      </c>
      <c r="D17" s="5">
        <f t="shared" si="1"/>
        <v>31</v>
      </c>
      <c r="F17" s="22" t="str">
        <f>"000-4114-02"</f>
        <v>000-4114-02</v>
      </c>
      <c r="G17" s="23" t="str">
        <f>"Germany Sales - Finished Goods"</f>
        <v>Germany Sales - Finished Goods</v>
      </c>
      <c r="H17" s="26">
        <v>0</v>
      </c>
    </row>
    <row r="18" spans="1:8" hidden="1" x14ac:dyDescent="0.3">
      <c r="A18" s="18" t="s">
        <v>41</v>
      </c>
      <c r="B18" s="18" t="str">
        <f t="shared" si="0"/>
        <v>Hide</v>
      </c>
      <c r="D18" s="5">
        <f t="shared" si="1"/>
        <v>31</v>
      </c>
      <c r="F18" s="22" t="str">
        <f>"000-4115-01"</f>
        <v>000-4115-01</v>
      </c>
      <c r="G18" s="23" t="str">
        <f>"United Kingdom Sales - Retail/Parts"</f>
        <v>United Kingdom Sales - Retail/Parts</v>
      </c>
      <c r="H18" s="26">
        <v>0</v>
      </c>
    </row>
    <row r="19" spans="1:8" hidden="1" x14ac:dyDescent="0.3">
      <c r="A19" s="18" t="s">
        <v>41</v>
      </c>
      <c r="B19" s="18" t="str">
        <f t="shared" si="0"/>
        <v>Hide</v>
      </c>
      <c r="D19" s="5">
        <f t="shared" si="1"/>
        <v>31</v>
      </c>
      <c r="F19" s="22" t="str">
        <f>"000-4115-02"</f>
        <v>000-4115-02</v>
      </c>
      <c r="G19" s="23" t="str">
        <f>"United Kingdom Sales - Finished Goods"</f>
        <v>United Kingdom Sales - Finished Goods</v>
      </c>
      <c r="H19" s="26">
        <v>0</v>
      </c>
    </row>
    <row r="20" spans="1:8" hidden="1" x14ac:dyDescent="0.3">
      <c r="A20" s="18" t="s">
        <v>41</v>
      </c>
      <c r="B20" s="18" t="str">
        <f t="shared" si="0"/>
        <v>Hide</v>
      </c>
      <c r="D20" s="5">
        <f t="shared" si="1"/>
        <v>31</v>
      </c>
      <c r="F20" s="22" t="str">
        <f>"000-4116-01"</f>
        <v>000-4116-01</v>
      </c>
      <c r="G20" s="23" t="str">
        <f>"South Africa - Retail/Parts"</f>
        <v>South Africa - Retail/Parts</v>
      </c>
      <c r="H20" s="26">
        <v>0</v>
      </c>
    </row>
    <row r="21" spans="1:8" hidden="1" x14ac:dyDescent="0.3">
      <c r="A21" s="18" t="s">
        <v>41</v>
      </c>
      <c r="B21" s="18" t="str">
        <f t="shared" si="0"/>
        <v>Hide</v>
      </c>
      <c r="D21" s="5">
        <f t="shared" si="1"/>
        <v>31</v>
      </c>
      <c r="F21" s="22" t="str">
        <f>"000-4116-02"</f>
        <v>000-4116-02</v>
      </c>
      <c r="G21" s="23" t="str">
        <f>"South Africa Sales - Finished Goods"</f>
        <v>South Africa Sales - Finished Goods</v>
      </c>
      <c r="H21" s="26">
        <v>0</v>
      </c>
    </row>
    <row r="22" spans="1:8" hidden="1" x14ac:dyDescent="0.3">
      <c r="A22" s="18" t="s">
        <v>41</v>
      </c>
      <c r="B22" s="18" t="str">
        <f t="shared" si="0"/>
        <v>Hide</v>
      </c>
      <c r="D22" s="5">
        <f t="shared" si="1"/>
        <v>31</v>
      </c>
      <c r="F22" s="22" t="str">
        <f>"000-4117-01"</f>
        <v>000-4117-01</v>
      </c>
      <c r="G22" s="23" t="str">
        <f>"Singapore Sales - Retail/Parts"</f>
        <v>Singapore Sales - Retail/Parts</v>
      </c>
      <c r="H22" s="26">
        <v>0</v>
      </c>
    </row>
    <row r="23" spans="1:8" hidden="1" x14ac:dyDescent="0.3">
      <c r="A23" s="18" t="s">
        <v>41</v>
      </c>
      <c r="B23" s="18" t="str">
        <f t="shared" si="0"/>
        <v>Hide</v>
      </c>
      <c r="D23" s="5">
        <f t="shared" si="1"/>
        <v>31</v>
      </c>
      <c r="F23" s="22" t="str">
        <f>"000-4117-02"</f>
        <v>000-4117-02</v>
      </c>
      <c r="G23" s="23" t="str">
        <f>"Singapore Sales - Finished Goods"</f>
        <v>Singapore Sales - Finished Goods</v>
      </c>
      <c r="H23" s="26">
        <v>0</v>
      </c>
    </row>
    <row r="24" spans="1:8" hidden="1" x14ac:dyDescent="0.3">
      <c r="A24" s="18" t="s">
        <v>41</v>
      </c>
      <c r="B24" s="18" t="str">
        <f t="shared" si="0"/>
        <v>Hide</v>
      </c>
      <c r="D24" s="5">
        <f t="shared" si="1"/>
        <v>31</v>
      </c>
      <c r="F24" s="22" t="str">
        <f>"000-4120-00"</f>
        <v>000-4120-00</v>
      </c>
      <c r="G24" s="23" t="str">
        <f>"US Sales - Service Plans"</f>
        <v>US Sales - Service Plans</v>
      </c>
      <c r="H24" s="26">
        <v>0</v>
      </c>
    </row>
    <row r="25" spans="1:8" hidden="1" x14ac:dyDescent="0.3">
      <c r="A25" s="18" t="s">
        <v>41</v>
      </c>
      <c r="B25" s="18" t="str">
        <f t="shared" si="0"/>
        <v>Hide</v>
      </c>
      <c r="D25" s="5">
        <f t="shared" si="1"/>
        <v>31</v>
      </c>
      <c r="F25" s="22" t="str">
        <f>"000-4121-00"</f>
        <v>000-4121-00</v>
      </c>
      <c r="G25" s="23" t="str">
        <f>"Canadian Sales - Service Plans"</f>
        <v>Canadian Sales - Service Plans</v>
      </c>
      <c r="H25" s="26">
        <v>0</v>
      </c>
    </row>
    <row r="26" spans="1:8" hidden="1" x14ac:dyDescent="0.3">
      <c r="A26" s="18" t="s">
        <v>41</v>
      </c>
      <c r="B26" s="18" t="str">
        <f t="shared" si="0"/>
        <v>Hide</v>
      </c>
      <c r="D26" s="5">
        <f t="shared" si="1"/>
        <v>31</v>
      </c>
      <c r="F26" s="22" t="str">
        <f>"000-4122-00"</f>
        <v>000-4122-00</v>
      </c>
      <c r="G26" s="23" t="str">
        <f>"AustralAsian Sales - Service Plans"</f>
        <v>AustralAsian Sales - Service Plans</v>
      </c>
      <c r="H26" s="26">
        <v>0</v>
      </c>
    </row>
    <row r="27" spans="1:8" hidden="1" x14ac:dyDescent="0.3">
      <c r="A27" s="18" t="s">
        <v>41</v>
      </c>
      <c r="B27" s="18" t="str">
        <f t="shared" si="0"/>
        <v>Hide</v>
      </c>
      <c r="D27" s="5">
        <f t="shared" si="1"/>
        <v>31</v>
      </c>
      <c r="F27" s="22" t="str">
        <f>"000-4124-00"</f>
        <v>000-4124-00</v>
      </c>
      <c r="G27" s="23" t="str">
        <f>"Germany Sales - Service Plans"</f>
        <v>Germany Sales - Service Plans</v>
      </c>
      <c r="H27" s="26">
        <v>0</v>
      </c>
    </row>
    <row r="28" spans="1:8" hidden="1" x14ac:dyDescent="0.3">
      <c r="A28" s="18" t="s">
        <v>41</v>
      </c>
      <c r="B28" s="18" t="str">
        <f t="shared" si="0"/>
        <v>Hide</v>
      </c>
      <c r="D28" s="5">
        <f t="shared" si="1"/>
        <v>31</v>
      </c>
      <c r="F28" s="22" t="str">
        <f>"000-4125-00"</f>
        <v>000-4125-00</v>
      </c>
      <c r="G28" s="23" t="str">
        <f>"United Kingdom Sales - Service Plans"</f>
        <v>United Kingdom Sales - Service Plans</v>
      </c>
      <c r="H28" s="26">
        <v>0</v>
      </c>
    </row>
    <row r="29" spans="1:8" hidden="1" x14ac:dyDescent="0.3">
      <c r="A29" s="18" t="s">
        <v>41</v>
      </c>
      <c r="B29" s="18" t="str">
        <f t="shared" si="0"/>
        <v>Hide</v>
      </c>
      <c r="D29" s="5">
        <f t="shared" si="1"/>
        <v>31</v>
      </c>
      <c r="F29" s="22" t="str">
        <f>"000-4126-00"</f>
        <v>000-4126-00</v>
      </c>
      <c r="G29" s="23" t="str">
        <f>"South Africa Sales - Service Plans"</f>
        <v>South Africa Sales - Service Plans</v>
      </c>
      <c r="H29" s="26">
        <v>0</v>
      </c>
    </row>
    <row r="30" spans="1:8" hidden="1" x14ac:dyDescent="0.3">
      <c r="A30" s="18" t="s">
        <v>41</v>
      </c>
      <c r="B30" s="18" t="str">
        <f t="shared" si="0"/>
        <v>Hide</v>
      </c>
      <c r="D30" s="5">
        <f t="shared" si="1"/>
        <v>31</v>
      </c>
      <c r="F30" s="22" t="str">
        <f>"000-4127-00"</f>
        <v>000-4127-00</v>
      </c>
      <c r="G30" s="23" t="str">
        <f>"Singapore Sales - Service Plans"</f>
        <v>Singapore Sales - Service Plans</v>
      </c>
      <c r="H30" s="26">
        <v>0</v>
      </c>
    </row>
    <row r="31" spans="1:8" hidden="1" x14ac:dyDescent="0.3">
      <c r="A31" s="18" t="s">
        <v>41</v>
      </c>
      <c r="B31" s="18" t="str">
        <f t="shared" si="0"/>
        <v>Hide</v>
      </c>
      <c r="D31" s="5">
        <f t="shared" si="1"/>
        <v>31</v>
      </c>
      <c r="F31" s="22" t="str">
        <f>"000-4130-00"</f>
        <v>000-4130-00</v>
      </c>
      <c r="G31" s="23" t="str">
        <f>"US Sales - Installation Charges"</f>
        <v>US Sales - Installation Charges</v>
      </c>
      <c r="H31" s="26">
        <v>0</v>
      </c>
    </row>
    <row r="32" spans="1:8" hidden="1" x14ac:dyDescent="0.3">
      <c r="A32" s="18" t="s">
        <v>41</v>
      </c>
      <c r="B32" s="18" t="str">
        <f t="shared" si="0"/>
        <v>Hide</v>
      </c>
      <c r="D32" s="5">
        <f t="shared" si="1"/>
        <v>31</v>
      </c>
      <c r="F32" s="22" t="str">
        <f>"000-4131-00"</f>
        <v>000-4131-00</v>
      </c>
      <c r="G32" s="23" t="str">
        <f>"Canadian Sales - Installation Charges"</f>
        <v>Canadian Sales - Installation Charges</v>
      </c>
      <c r="H32" s="26">
        <v>0</v>
      </c>
    </row>
    <row r="33" spans="1:8" hidden="1" x14ac:dyDescent="0.3">
      <c r="A33" s="18" t="s">
        <v>41</v>
      </c>
      <c r="B33" s="18" t="str">
        <f t="shared" si="0"/>
        <v>Hide</v>
      </c>
      <c r="D33" s="5">
        <f t="shared" si="1"/>
        <v>31</v>
      </c>
      <c r="F33" s="22" t="str">
        <f>"000-4132-00"</f>
        <v>000-4132-00</v>
      </c>
      <c r="G33" s="23" t="str">
        <f>"AustralAsian Sales - Installation Charges"</f>
        <v>AustralAsian Sales - Installation Charges</v>
      </c>
      <c r="H33" s="26">
        <v>0</v>
      </c>
    </row>
    <row r="34" spans="1:8" hidden="1" x14ac:dyDescent="0.3">
      <c r="A34" s="18" t="s">
        <v>41</v>
      </c>
      <c r="B34" s="18" t="str">
        <f t="shared" si="0"/>
        <v>Hide</v>
      </c>
      <c r="D34" s="5">
        <f t="shared" si="1"/>
        <v>31</v>
      </c>
      <c r="F34" s="22" t="str">
        <f>"000-4134-00"</f>
        <v>000-4134-00</v>
      </c>
      <c r="G34" s="23" t="str">
        <f>"Germany Sales - Installation Charges"</f>
        <v>Germany Sales - Installation Charges</v>
      </c>
      <c r="H34" s="26">
        <v>0</v>
      </c>
    </row>
    <row r="35" spans="1:8" hidden="1" x14ac:dyDescent="0.3">
      <c r="A35" s="18" t="s">
        <v>41</v>
      </c>
      <c r="B35" s="18" t="str">
        <f t="shared" si="0"/>
        <v>Hide</v>
      </c>
      <c r="D35" s="5">
        <f t="shared" si="1"/>
        <v>31</v>
      </c>
      <c r="F35" s="22" t="str">
        <f>"000-4135-00"</f>
        <v>000-4135-00</v>
      </c>
      <c r="G35" s="23" t="str">
        <f>"United Kingdom Sales - Installation Charges"</f>
        <v>United Kingdom Sales - Installation Charges</v>
      </c>
      <c r="H35" s="26">
        <v>0</v>
      </c>
    </row>
    <row r="36" spans="1:8" hidden="1" x14ac:dyDescent="0.3">
      <c r="A36" s="18" t="s">
        <v>41</v>
      </c>
      <c r="B36" s="18" t="str">
        <f t="shared" si="0"/>
        <v>Hide</v>
      </c>
      <c r="D36" s="5">
        <f t="shared" si="1"/>
        <v>31</v>
      </c>
      <c r="F36" s="22" t="str">
        <f>"000-4136-00"</f>
        <v>000-4136-00</v>
      </c>
      <c r="G36" s="23" t="str">
        <f>"South Africa Sales - Installation Charges"</f>
        <v>South Africa Sales - Installation Charges</v>
      </c>
      <c r="H36" s="26">
        <v>0</v>
      </c>
    </row>
    <row r="37" spans="1:8" hidden="1" x14ac:dyDescent="0.3">
      <c r="A37" s="18" t="s">
        <v>41</v>
      </c>
      <c r="B37" s="18" t="str">
        <f t="shared" si="0"/>
        <v>Hide</v>
      </c>
      <c r="D37" s="5">
        <f t="shared" si="1"/>
        <v>31</v>
      </c>
      <c r="F37" s="22" t="str">
        <f>"000-4137-00"</f>
        <v>000-4137-00</v>
      </c>
      <c r="G37" s="23" t="str">
        <f>"Singapore Sales - Installation Charges"</f>
        <v>Singapore Sales - Installation Charges</v>
      </c>
      <c r="H37" s="26">
        <v>0</v>
      </c>
    </row>
    <row r="38" spans="1:8" x14ac:dyDescent="0.3">
      <c r="A38" s="18" t="s">
        <v>41</v>
      </c>
      <c r="B38" s="18" t="str">
        <f t="shared" si="0"/>
        <v>Show</v>
      </c>
      <c r="D38" s="5">
        <f t="shared" si="1"/>
        <v>31</v>
      </c>
      <c r="F38" s="22" t="str">
        <f>"000-4140-00"</f>
        <v>000-4140-00</v>
      </c>
      <c r="G38" s="23" t="str">
        <f>"US Sales - Repair Charges"</f>
        <v>US Sales - Repair Charges</v>
      </c>
      <c r="H38" s="26">
        <v>419.4</v>
      </c>
    </row>
    <row r="39" spans="1:8" hidden="1" x14ac:dyDescent="0.3">
      <c r="A39" s="18" t="s">
        <v>41</v>
      </c>
      <c r="B39" s="18" t="str">
        <f t="shared" si="0"/>
        <v>Hide</v>
      </c>
      <c r="D39" s="5">
        <f t="shared" si="1"/>
        <v>31</v>
      </c>
      <c r="F39" s="22" t="str">
        <f>"000-4141-00"</f>
        <v>000-4141-00</v>
      </c>
      <c r="G39" s="23" t="str">
        <f>"Canadian Sales - Repair Charges"</f>
        <v>Canadian Sales - Repair Charges</v>
      </c>
      <c r="H39" s="26">
        <v>0</v>
      </c>
    </row>
    <row r="40" spans="1:8" hidden="1" x14ac:dyDescent="0.3">
      <c r="A40" s="18" t="s">
        <v>41</v>
      </c>
      <c r="B40" s="18" t="str">
        <f t="shared" si="0"/>
        <v>Hide</v>
      </c>
      <c r="D40" s="5">
        <f t="shared" si="1"/>
        <v>31</v>
      </c>
      <c r="F40" s="22" t="str">
        <f>"000-4142-00"</f>
        <v>000-4142-00</v>
      </c>
      <c r="G40" s="23" t="str">
        <f>"AustralAsian Sales - Repair Charges"</f>
        <v>AustralAsian Sales - Repair Charges</v>
      </c>
      <c r="H40" s="26">
        <v>0</v>
      </c>
    </row>
    <row r="41" spans="1:8" hidden="1" x14ac:dyDescent="0.3">
      <c r="A41" s="18" t="s">
        <v>41</v>
      </c>
      <c r="B41" s="18" t="str">
        <f t="shared" si="0"/>
        <v>Hide</v>
      </c>
      <c r="D41" s="5">
        <f t="shared" si="1"/>
        <v>31</v>
      </c>
      <c r="F41" s="22" t="str">
        <f>"000-4176-00"</f>
        <v>000-4176-00</v>
      </c>
      <c r="G41" s="23" t="str">
        <f>"South Africa Sales Discount"</f>
        <v>South Africa Sales Discount</v>
      </c>
      <c r="H41" s="26">
        <v>0</v>
      </c>
    </row>
    <row r="42" spans="1:8" hidden="1" x14ac:dyDescent="0.3">
      <c r="A42" s="18" t="s">
        <v>41</v>
      </c>
      <c r="B42" s="18" t="str">
        <f t="shared" si="0"/>
        <v>Hide</v>
      </c>
      <c r="D42" s="5">
        <f t="shared" si="1"/>
        <v>31</v>
      </c>
      <c r="F42" s="22" t="str">
        <f>"000-4177-00"</f>
        <v>000-4177-00</v>
      </c>
      <c r="G42" s="23" t="str">
        <f>"Germany Sales Discount"</f>
        <v>Germany Sales Discount</v>
      </c>
      <c r="H42" s="26">
        <v>0</v>
      </c>
    </row>
    <row r="43" spans="1:8" hidden="1" x14ac:dyDescent="0.3">
      <c r="A43" s="18" t="s">
        <v>41</v>
      </c>
      <c r="B43" s="18" t="str">
        <f t="shared" si="0"/>
        <v>Hide</v>
      </c>
      <c r="D43" s="5">
        <f t="shared" si="1"/>
        <v>31</v>
      </c>
      <c r="F43" s="22" t="str">
        <f>"000-4178-00"</f>
        <v>000-4178-00</v>
      </c>
      <c r="G43" s="23" t="str">
        <f>"Singapore Sales Discount"</f>
        <v>Singapore Sales Discount</v>
      </c>
      <c r="H43" s="26">
        <v>0</v>
      </c>
    </row>
    <row r="44" spans="1:8" hidden="1" x14ac:dyDescent="0.3">
      <c r="A44" s="18" t="s">
        <v>41</v>
      </c>
      <c r="B44" s="18" t="str">
        <f t="shared" si="0"/>
        <v>Hide</v>
      </c>
      <c r="D44" s="5">
        <f t="shared" si="1"/>
        <v>31</v>
      </c>
      <c r="F44" s="22" t="str">
        <f>"000-4179-00"</f>
        <v>000-4179-00</v>
      </c>
      <c r="G44" s="23" t="str">
        <f>"United Kingdom Sales Discount"</f>
        <v>United Kingdom Sales Discount</v>
      </c>
      <c r="H44" s="26">
        <v>0</v>
      </c>
    </row>
    <row r="45" spans="1:8" hidden="1" x14ac:dyDescent="0.3">
      <c r="A45" s="18" t="s">
        <v>41</v>
      </c>
      <c r="B45" s="18" t="str">
        <f t="shared" si="0"/>
        <v>Hide</v>
      </c>
      <c r="D45" s="5">
        <f t="shared" si="1"/>
        <v>31</v>
      </c>
      <c r="F45" s="22" t="str">
        <f>"000-4186-00"</f>
        <v>000-4186-00</v>
      </c>
      <c r="G45" s="23" t="str">
        <f>"United Kingdom Trade Discount"</f>
        <v>United Kingdom Trade Discount</v>
      </c>
      <c r="H45" s="26">
        <v>0</v>
      </c>
    </row>
    <row r="46" spans="1:8" hidden="1" x14ac:dyDescent="0.3">
      <c r="A46" s="18" t="s">
        <v>41</v>
      </c>
      <c r="B46" s="18" t="str">
        <f t="shared" si="0"/>
        <v>Hide</v>
      </c>
      <c r="D46" s="5">
        <f t="shared" si="1"/>
        <v>31</v>
      </c>
      <c r="F46" s="22" t="str">
        <f>"000-4187-00"</f>
        <v>000-4187-00</v>
      </c>
      <c r="G46" s="23" t="str">
        <f>"Singapore Trade Discount"</f>
        <v>Singapore Trade Discount</v>
      </c>
      <c r="H46" s="26">
        <v>0</v>
      </c>
    </row>
    <row r="47" spans="1:8" hidden="1" x14ac:dyDescent="0.3">
      <c r="A47" s="18" t="s">
        <v>41</v>
      </c>
      <c r="B47" s="18" t="str">
        <f t="shared" si="0"/>
        <v>Hide</v>
      </c>
      <c r="D47" s="5">
        <f t="shared" si="1"/>
        <v>31</v>
      </c>
      <c r="F47" s="22" t="str">
        <f>"000-4188-00"</f>
        <v>000-4188-00</v>
      </c>
      <c r="G47" s="23" t="str">
        <f>"Germany Trade Discount"</f>
        <v>Germany Trade Discount</v>
      </c>
      <c r="H47" s="26">
        <v>0</v>
      </c>
    </row>
    <row r="48" spans="1:8" hidden="1" x14ac:dyDescent="0.3">
      <c r="A48" s="18" t="s">
        <v>41</v>
      </c>
      <c r="B48" s="18" t="str">
        <f t="shared" si="0"/>
        <v>Hide</v>
      </c>
      <c r="D48" s="5">
        <f t="shared" si="1"/>
        <v>31</v>
      </c>
      <c r="F48" s="22" t="str">
        <f>"000-4189-00"</f>
        <v>000-4189-00</v>
      </c>
      <c r="G48" s="23" t="str">
        <f>"South Africa Trade Discount"</f>
        <v>South Africa Trade Discount</v>
      </c>
      <c r="H48" s="26">
        <v>0</v>
      </c>
    </row>
    <row r="49" spans="1:8" hidden="1" x14ac:dyDescent="0.3">
      <c r="A49" s="18" t="s">
        <v>41</v>
      </c>
      <c r="B49" s="18" t="str">
        <f t="shared" si="0"/>
        <v>Hide</v>
      </c>
      <c r="D49" s="5">
        <f t="shared" si="1"/>
        <v>31</v>
      </c>
      <c r="F49" s="22" t="str">
        <f>"000-4200-00"</f>
        <v>000-4200-00</v>
      </c>
      <c r="G49" s="23" t="str">
        <f>"Project Revenue/Sales"</f>
        <v>Project Revenue/Sales</v>
      </c>
      <c r="H49" s="26">
        <v>0</v>
      </c>
    </row>
    <row r="50" spans="1:8" hidden="1" x14ac:dyDescent="0.3">
      <c r="A50" s="18" t="s">
        <v>41</v>
      </c>
      <c r="B50" s="18" t="str">
        <f t="shared" si="0"/>
        <v>Hide</v>
      </c>
      <c r="D50" s="5">
        <f t="shared" si="1"/>
        <v>31</v>
      </c>
      <c r="F50" s="22" t="str">
        <f>"000-4210-01"</f>
        <v>000-4210-01</v>
      </c>
      <c r="G50" s="23" t="str">
        <f>"Project Billings"</f>
        <v>Project Billings</v>
      </c>
      <c r="H50" s="26">
        <v>0</v>
      </c>
    </row>
    <row r="51" spans="1:8" hidden="1" x14ac:dyDescent="0.3">
      <c r="A51" s="18" t="s">
        <v>41</v>
      </c>
      <c r="B51" s="18" t="str">
        <f t="shared" si="0"/>
        <v>Hide</v>
      </c>
      <c r="D51" s="5">
        <f t="shared" si="1"/>
        <v>31</v>
      </c>
      <c r="F51" s="22" t="str">
        <f>"000-4280-01"</f>
        <v>000-4280-01</v>
      </c>
      <c r="G51" s="23" t="str">
        <f>"Unbilled Project Revenue"</f>
        <v>Unbilled Project Revenue</v>
      </c>
      <c r="H51" s="26">
        <v>0</v>
      </c>
    </row>
    <row r="52" spans="1:8" hidden="1" x14ac:dyDescent="0.3">
      <c r="A52" s="18" t="s">
        <v>41</v>
      </c>
      <c r="B52" s="18" t="str">
        <f t="shared" si="0"/>
        <v>Hide</v>
      </c>
      <c r="D52" s="5">
        <f t="shared" si="1"/>
        <v>31</v>
      </c>
      <c r="F52" s="22" t="str">
        <f>"000-4500-01"</f>
        <v>000-4500-01</v>
      </c>
      <c r="G52" s="23" t="str">
        <f>"Project Revenue"</f>
        <v>Project Revenue</v>
      </c>
      <c r="H52" s="26">
        <v>0</v>
      </c>
    </row>
    <row r="53" spans="1:8" x14ac:dyDescent="0.3">
      <c r="A53" s="18"/>
      <c r="B53" s="18" t="str">
        <f>$B$8</f>
        <v>Show</v>
      </c>
      <c r="F53" s="27"/>
      <c r="G53" s="29"/>
      <c r="H53" s="28"/>
    </row>
    <row r="54" spans="1:8" hidden="1" x14ac:dyDescent="0.3">
      <c r="A54" s="18"/>
      <c r="B54" s="18" t="str">
        <f>IF(H54=0,"Hide","Show")</f>
        <v>Hide</v>
      </c>
      <c r="D54" s="30">
        <v>32</v>
      </c>
      <c r="F54" s="21" t="str">
        <f>"Sales Returns and Discounts"</f>
        <v>Sales Returns and Discounts</v>
      </c>
      <c r="G54" s="16"/>
      <c r="H54" s="25">
        <v>0</v>
      </c>
    </row>
    <row r="55" spans="1:8" hidden="1" x14ac:dyDescent="0.3">
      <c r="A55" s="18"/>
      <c r="B55" s="18" t="str">
        <f>IF(H55=0,"Hide","Show")</f>
        <v>Hide</v>
      </c>
      <c r="D55" s="5">
        <f>D54</f>
        <v>32</v>
      </c>
      <c r="F55" s="22" t="str">
        <f>"000-4180-00"</f>
        <v>000-4180-00</v>
      </c>
      <c r="G55" s="23" t="str">
        <f>"US Sales Discounts"</f>
        <v>US Sales Discounts</v>
      </c>
      <c r="H55" s="26">
        <v>0</v>
      </c>
    </row>
    <row r="56" spans="1:8" hidden="1" x14ac:dyDescent="0.3">
      <c r="A56" s="18" t="s">
        <v>41</v>
      </c>
      <c r="B56" s="18" t="str">
        <f t="shared" ref="B56:B63" si="2">IF(H56=0,"Hide","Show")</f>
        <v>Hide</v>
      </c>
      <c r="D56" s="5">
        <f t="shared" ref="D56:D63" si="3">D55</f>
        <v>32</v>
      </c>
      <c r="F56" s="22" t="str">
        <f>"000-4181-00"</f>
        <v>000-4181-00</v>
      </c>
      <c r="G56" s="23" t="str">
        <f>"Canadian Sales Discounts"</f>
        <v>Canadian Sales Discounts</v>
      </c>
      <c r="H56" s="26">
        <v>0</v>
      </c>
    </row>
    <row r="57" spans="1:8" hidden="1" x14ac:dyDescent="0.3">
      <c r="A57" s="18" t="s">
        <v>41</v>
      </c>
      <c r="B57" s="18" t="str">
        <f t="shared" si="2"/>
        <v>Hide</v>
      </c>
      <c r="D57" s="5">
        <f t="shared" si="3"/>
        <v>32</v>
      </c>
      <c r="F57" s="22" t="str">
        <f>"000-4182-00"</f>
        <v>000-4182-00</v>
      </c>
      <c r="G57" s="23" t="str">
        <f>"AustralAsian Sales Discounts"</f>
        <v>AustralAsian Sales Discounts</v>
      </c>
      <c r="H57" s="26">
        <v>0</v>
      </c>
    </row>
    <row r="58" spans="1:8" hidden="1" x14ac:dyDescent="0.3">
      <c r="A58" s="18" t="s">
        <v>41</v>
      </c>
      <c r="B58" s="18" t="str">
        <f t="shared" si="2"/>
        <v>Hide</v>
      </c>
      <c r="D58" s="5">
        <f t="shared" si="3"/>
        <v>32</v>
      </c>
      <c r="F58" s="22" t="str">
        <f>"000-4183-00"</f>
        <v>000-4183-00</v>
      </c>
      <c r="G58" s="23" t="str">
        <f>"US Sales Trade Discounts"</f>
        <v>US Sales Trade Discounts</v>
      </c>
      <c r="H58" s="26">
        <v>0</v>
      </c>
    </row>
    <row r="59" spans="1:8" hidden="1" x14ac:dyDescent="0.3">
      <c r="A59" s="18" t="s">
        <v>41</v>
      </c>
      <c r="B59" s="18" t="str">
        <f t="shared" si="2"/>
        <v>Hide</v>
      </c>
      <c r="D59" s="5">
        <f t="shared" si="3"/>
        <v>32</v>
      </c>
      <c r="F59" s="22" t="str">
        <f>"000-4184-00"</f>
        <v>000-4184-00</v>
      </c>
      <c r="G59" s="23" t="str">
        <f>"Canadian Sales Trade Discounts"</f>
        <v>Canadian Sales Trade Discounts</v>
      </c>
      <c r="H59" s="26">
        <v>0</v>
      </c>
    </row>
    <row r="60" spans="1:8" hidden="1" x14ac:dyDescent="0.3">
      <c r="A60" s="18" t="s">
        <v>41</v>
      </c>
      <c r="B60" s="18" t="str">
        <f t="shared" si="2"/>
        <v>Hide</v>
      </c>
      <c r="D60" s="5">
        <f t="shared" si="3"/>
        <v>32</v>
      </c>
      <c r="F60" s="22" t="str">
        <f>"000-4185-00"</f>
        <v>000-4185-00</v>
      </c>
      <c r="G60" s="23" t="str">
        <f>"AustralAsian Trade Discounts"</f>
        <v>AustralAsian Trade Discounts</v>
      </c>
      <c r="H60" s="26">
        <v>0</v>
      </c>
    </row>
    <row r="61" spans="1:8" hidden="1" x14ac:dyDescent="0.3">
      <c r="A61" s="18" t="s">
        <v>41</v>
      </c>
      <c r="B61" s="18" t="str">
        <f t="shared" si="2"/>
        <v>Hide</v>
      </c>
      <c r="D61" s="5">
        <f t="shared" si="3"/>
        <v>32</v>
      </c>
      <c r="F61" s="22" t="str">
        <f>"000-4190-00"</f>
        <v>000-4190-00</v>
      </c>
      <c r="G61" s="23" t="str">
        <f>"US Sales Returns"</f>
        <v>US Sales Returns</v>
      </c>
      <c r="H61" s="26">
        <v>0</v>
      </c>
    </row>
    <row r="62" spans="1:8" hidden="1" x14ac:dyDescent="0.3">
      <c r="A62" s="18" t="s">
        <v>41</v>
      </c>
      <c r="B62" s="18" t="str">
        <f t="shared" si="2"/>
        <v>Hide</v>
      </c>
      <c r="D62" s="5">
        <f t="shared" si="3"/>
        <v>32</v>
      </c>
      <c r="F62" s="22" t="str">
        <f>"000-4191-00"</f>
        <v>000-4191-00</v>
      </c>
      <c r="G62" s="23" t="str">
        <f>"Canadian Sales Returns"</f>
        <v>Canadian Sales Returns</v>
      </c>
      <c r="H62" s="26">
        <v>0</v>
      </c>
    </row>
    <row r="63" spans="1:8" hidden="1" x14ac:dyDescent="0.3">
      <c r="A63" s="18" t="s">
        <v>41</v>
      </c>
      <c r="B63" s="18" t="str">
        <f t="shared" si="2"/>
        <v>Hide</v>
      </c>
      <c r="D63" s="5">
        <f t="shared" si="3"/>
        <v>32</v>
      </c>
      <c r="F63" s="22" t="str">
        <f>"000-4192-00"</f>
        <v>000-4192-00</v>
      </c>
      <c r="G63" s="23" t="str">
        <f>"AustralAsian Sales Returns"</f>
        <v>AustralAsian Sales Returns</v>
      </c>
      <c r="H63" s="26">
        <v>0</v>
      </c>
    </row>
    <row r="64" spans="1:8" hidden="1" x14ac:dyDescent="0.3">
      <c r="A64" s="18"/>
      <c r="B64" s="18" t="str">
        <f>$B$54</f>
        <v>Hide</v>
      </c>
      <c r="F64" s="27"/>
      <c r="G64" s="29"/>
      <c r="H64" s="28"/>
    </row>
    <row r="65" spans="1:8" x14ac:dyDescent="0.3">
      <c r="A65" s="18"/>
      <c r="B65" s="18" t="str">
        <f>IF(H65=0,"Hide","Show")</f>
        <v>Show</v>
      </c>
      <c r="D65" s="30">
        <v>33</v>
      </c>
      <c r="F65" s="21" t="str">
        <f>"Cost of Goods Sold"</f>
        <v>Cost of Goods Sold</v>
      </c>
      <c r="G65" s="16"/>
      <c r="H65" s="25">
        <v>-244108.99</v>
      </c>
    </row>
    <row r="66" spans="1:8" x14ac:dyDescent="0.3">
      <c r="A66" s="18"/>
      <c r="B66" s="18" t="str">
        <f>IF(H66=0,"Hide","Show")</f>
        <v>Show</v>
      </c>
      <c r="D66" s="5">
        <f>D65</f>
        <v>33</v>
      </c>
      <c r="F66" s="22" t="str">
        <f>"000-4510-01"</f>
        <v>000-4510-01</v>
      </c>
      <c r="G66" s="23" t="str">
        <f>"Cost of Goods Sold - Retail/Parts"</f>
        <v>Cost of Goods Sold - Retail/Parts</v>
      </c>
      <c r="H66" s="26">
        <v>-244224.43</v>
      </c>
    </row>
    <row r="67" spans="1:8" hidden="1" x14ac:dyDescent="0.3">
      <c r="A67" s="18" t="s">
        <v>41</v>
      </c>
      <c r="B67" s="18" t="str">
        <f t="shared" ref="B67:B82" si="4">IF(H67=0,"Hide","Show")</f>
        <v>Hide</v>
      </c>
      <c r="D67" s="5">
        <f t="shared" ref="D67:D82" si="5">D66</f>
        <v>33</v>
      </c>
      <c r="F67" s="22" t="str">
        <f>"000-4510-02"</f>
        <v>000-4510-02</v>
      </c>
      <c r="G67" s="23" t="str">
        <f>"Cost of Goods Sold - Finished Goods"</f>
        <v>Cost of Goods Sold - Finished Goods</v>
      </c>
      <c r="H67" s="26">
        <v>0</v>
      </c>
    </row>
    <row r="68" spans="1:8" hidden="1" x14ac:dyDescent="0.3">
      <c r="A68" s="18" t="s">
        <v>41</v>
      </c>
      <c r="B68" s="18" t="str">
        <f t="shared" si="4"/>
        <v>Hide</v>
      </c>
      <c r="D68" s="5">
        <f t="shared" si="5"/>
        <v>33</v>
      </c>
      <c r="F68" s="22" t="str">
        <f>"000-4520-01"</f>
        <v>000-4520-01</v>
      </c>
      <c r="G68" s="23" t="str">
        <f>"CoGS - Material"</f>
        <v>CoGS - Material</v>
      </c>
      <c r="H68" s="26">
        <v>0</v>
      </c>
    </row>
    <row r="69" spans="1:8" hidden="1" x14ac:dyDescent="0.3">
      <c r="A69" s="18" t="s">
        <v>41</v>
      </c>
      <c r="B69" s="18" t="str">
        <f t="shared" si="4"/>
        <v>Hide</v>
      </c>
      <c r="D69" s="5">
        <f t="shared" si="5"/>
        <v>33</v>
      </c>
      <c r="F69" s="22" t="str">
        <f>"000-4520-02"</f>
        <v>000-4520-02</v>
      </c>
      <c r="G69" s="23" t="str">
        <f>"CoGS - Material Fixed OH"</f>
        <v>CoGS - Material Fixed OH</v>
      </c>
      <c r="H69" s="26">
        <v>0</v>
      </c>
    </row>
    <row r="70" spans="1:8" hidden="1" x14ac:dyDescent="0.3">
      <c r="A70" s="18" t="s">
        <v>41</v>
      </c>
      <c r="B70" s="18" t="str">
        <f t="shared" si="4"/>
        <v>Hide</v>
      </c>
      <c r="D70" s="5">
        <f t="shared" si="5"/>
        <v>33</v>
      </c>
      <c r="F70" s="22" t="str">
        <f>"000-4520-03"</f>
        <v>000-4520-03</v>
      </c>
      <c r="G70" s="23" t="str">
        <f>"CoGS - Material Var. OH"</f>
        <v>CoGS - Material Var. OH</v>
      </c>
      <c r="H70" s="26">
        <v>0</v>
      </c>
    </row>
    <row r="71" spans="1:8" hidden="1" x14ac:dyDescent="0.3">
      <c r="A71" s="18" t="s">
        <v>41</v>
      </c>
      <c r="B71" s="18" t="str">
        <f t="shared" si="4"/>
        <v>Hide</v>
      </c>
      <c r="D71" s="5">
        <f t="shared" si="5"/>
        <v>33</v>
      </c>
      <c r="F71" s="22" t="str">
        <f>"000-4520-04"</f>
        <v>000-4520-04</v>
      </c>
      <c r="G71" s="23" t="str">
        <f>"CoGS - Labor"</f>
        <v>CoGS - Labor</v>
      </c>
      <c r="H71" s="26">
        <v>0</v>
      </c>
    </row>
    <row r="72" spans="1:8" hidden="1" x14ac:dyDescent="0.3">
      <c r="A72" s="18" t="s">
        <v>41</v>
      </c>
      <c r="B72" s="18" t="str">
        <f t="shared" si="4"/>
        <v>Hide</v>
      </c>
      <c r="D72" s="5">
        <f t="shared" si="5"/>
        <v>33</v>
      </c>
      <c r="F72" s="22" t="str">
        <f>"000-4520-05"</f>
        <v>000-4520-05</v>
      </c>
      <c r="G72" s="23" t="str">
        <f>"CoGS - Labor Fixed OH"</f>
        <v>CoGS - Labor Fixed OH</v>
      </c>
      <c r="H72" s="26">
        <v>0</v>
      </c>
    </row>
    <row r="73" spans="1:8" hidden="1" x14ac:dyDescent="0.3">
      <c r="A73" s="18" t="s">
        <v>41</v>
      </c>
      <c r="B73" s="18" t="str">
        <f t="shared" si="4"/>
        <v>Hide</v>
      </c>
      <c r="D73" s="5">
        <f t="shared" si="5"/>
        <v>33</v>
      </c>
      <c r="F73" s="22" t="str">
        <f>"000-4520-06"</f>
        <v>000-4520-06</v>
      </c>
      <c r="G73" s="23" t="str">
        <f>"CoGS - Labor Var. OH"</f>
        <v>CoGS - Labor Var. OH</v>
      </c>
      <c r="H73" s="26">
        <v>0</v>
      </c>
    </row>
    <row r="74" spans="1:8" hidden="1" x14ac:dyDescent="0.3">
      <c r="A74" s="18" t="s">
        <v>41</v>
      </c>
      <c r="B74" s="18" t="str">
        <f t="shared" si="4"/>
        <v>Hide</v>
      </c>
      <c r="D74" s="5">
        <f t="shared" si="5"/>
        <v>33</v>
      </c>
      <c r="F74" s="22" t="str">
        <f>"000-4520-07"</f>
        <v>000-4520-07</v>
      </c>
      <c r="G74" s="23" t="str">
        <f>"CoGS - Machine"</f>
        <v>CoGS - Machine</v>
      </c>
      <c r="H74" s="26">
        <v>0</v>
      </c>
    </row>
    <row r="75" spans="1:8" hidden="1" x14ac:dyDescent="0.3">
      <c r="A75" s="18" t="s">
        <v>41</v>
      </c>
      <c r="B75" s="18" t="str">
        <f t="shared" si="4"/>
        <v>Hide</v>
      </c>
      <c r="D75" s="5">
        <f t="shared" si="5"/>
        <v>33</v>
      </c>
      <c r="F75" s="22" t="str">
        <f>"000-4520-08"</f>
        <v>000-4520-08</v>
      </c>
      <c r="G75" s="23" t="str">
        <f>"CoGS - Machine Fixed OH"</f>
        <v>CoGS - Machine Fixed OH</v>
      </c>
      <c r="H75" s="26">
        <v>0</v>
      </c>
    </row>
    <row r="76" spans="1:8" hidden="1" x14ac:dyDescent="0.3">
      <c r="A76" s="18" t="s">
        <v>41</v>
      </c>
      <c r="B76" s="18" t="str">
        <f t="shared" si="4"/>
        <v>Hide</v>
      </c>
      <c r="D76" s="5">
        <f t="shared" si="5"/>
        <v>33</v>
      </c>
      <c r="F76" s="22" t="str">
        <f>"000-4520-09"</f>
        <v>000-4520-09</v>
      </c>
      <c r="G76" s="23" t="str">
        <f>"CoGS - Machine Var. OH"</f>
        <v>CoGS - Machine Var. OH</v>
      </c>
      <c r="H76" s="26">
        <v>0</v>
      </c>
    </row>
    <row r="77" spans="1:8" hidden="1" x14ac:dyDescent="0.3">
      <c r="A77" s="18" t="s">
        <v>41</v>
      </c>
      <c r="B77" s="18" t="str">
        <f t="shared" si="4"/>
        <v>Hide</v>
      </c>
      <c r="D77" s="5">
        <f t="shared" si="5"/>
        <v>33</v>
      </c>
      <c r="F77" s="22" t="str">
        <f>"000-4530-01"</f>
        <v>000-4530-01</v>
      </c>
      <c r="G77" s="23" t="str">
        <f>"Cost of Goods Sold/Expense"</f>
        <v>Cost of Goods Sold/Expense</v>
      </c>
      <c r="H77" s="26">
        <v>0</v>
      </c>
    </row>
    <row r="78" spans="1:8" x14ac:dyDescent="0.3">
      <c r="A78" s="18" t="s">
        <v>41</v>
      </c>
      <c r="B78" s="18" t="str">
        <f t="shared" si="4"/>
        <v>Show</v>
      </c>
      <c r="D78" s="5">
        <f t="shared" si="5"/>
        <v>33</v>
      </c>
      <c r="F78" s="22" t="str">
        <f>"000-4600-00"</f>
        <v>000-4600-00</v>
      </c>
      <c r="G78" s="23" t="str">
        <f>"Purchases Discounts Taken"</f>
        <v>Purchases Discounts Taken</v>
      </c>
      <c r="H78" s="26">
        <v>115.44</v>
      </c>
    </row>
    <row r="79" spans="1:8" hidden="1" x14ac:dyDescent="0.3">
      <c r="A79" s="18" t="s">
        <v>41</v>
      </c>
      <c r="B79" s="18" t="str">
        <f t="shared" si="4"/>
        <v>Hide</v>
      </c>
      <c r="D79" s="5">
        <f t="shared" si="5"/>
        <v>33</v>
      </c>
      <c r="F79" s="22" t="str">
        <f>"000-4601-00"</f>
        <v>000-4601-00</v>
      </c>
      <c r="G79" s="23" t="str">
        <f>"Purchases Trade Discounts"</f>
        <v>Purchases Trade Discounts</v>
      </c>
      <c r="H79" s="26">
        <v>0</v>
      </c>
    </row>
    <row r="80" spans="1:8" hidden="1" x14ac:dyDescent="0.3">
      <c r="A80" s="18" t="s">
        <v>41</v>
      </c>
      <c r="B80" s="18" t="str">
        <f t="shared" si="4"/>
        <v>Hide</v>
      </c>
      <c r="D80" s="5">
        <f t="shared" si="5"/>
        <v>33</v>
      </c>
      <c r="F80" s="22" t="str">
        <f>"000-4700-00"</f>
        <v>000-4700-00</v>
      </c>
      <c r="G80" s="23" t="str">
        <f>"Shrinkage and Waste"</f>
        <v>Shrinkage and Waste</v>
      </c>
      <c r="H80" s="26">
        <v>0</v>
      </c>
    </row>
    <row r="81" spans="1:8" hidden="1" x14ac:dyDescent="0.3">
      <c r="A81" s="18" t="s">
        <v>41</v>
      </c>
      <c r="B81" s="18" t="str">
        <f t="shared" si="4"/>
        <v>Hide</v>
      </c>
      <c r="D81" s="5">
        <f t="shared" si="5"/>
        <v>33</v>
      </c>
      <c r="F81" s="22" t="str">
        <f>"000-4710-00"</f>
        <v>000-4710-00</v>
      </c>
      <c r="G81" s="23" t="str">
        <f>"Freight and Handling"</f>
        <v>Freight and Handling</v>
      </c>
      <c r="H81" s="26">
        <v>0</v>
      </c>
    </row>
    <row r="82" spans="1:8" hidden="1" x14ac:dyDescent="0.3">
      <c r="A82" s="18" t="s">
        <v>41</v>
      </c>
      <c r="B82" s="18" t="str">
        <f t="shared" si="4"/>
        <v>Hide</v>
      </c>
      <c r="D82" s="5">
        <f t="shared" si="5"/>
        <v>33</v>
      </c>
      <c r="F82" s="22" t="str">
        <f>"000-4720-00"</f>
        <v>000-4720-00</v>
      </c>
      <c r="G82" s="23" t="str">
        <f>"International Freight and Handling"</f>
        <v>International Freight and Handling</v>
      </c>
      <c r="H82" s="26">
        <v>0</v>
      </c>
    </row>
    <row r="83" spans="1:8" x14ac:dyDescent="0.3">
      <c r="A83" s="18"/>
      <c r="B83" s="18" t="str">
        <f>$B$65</f>
        <v>Show</v>
      </c>
      <c r="F83" s="27"/>
      <c r="G83" s="29"/>
      <c r="H83" s="28"/>
    </row>
    <row r="84" spans="1:8" hidden="1" x14ac:dyDescent="0.3">
      <c r="A84" s="18"/>
      <c r="B84" s="18" t="str">
        <f>IF(H84=0,"Hide","Show")</f>
        <v>Hide</v>
      </c>
      <c r="D84" s="30">
        <v>34</v>
      </c>
      <c r="F84" s="21" t="str">
        <f>"Selling Expense"</f>
        <v>Selling Expense</v>
      </c>
      <c r="G84" s="16"/>
      <c r="H84" s="25">
        <v>0</v>
      </c>
    </row>
    <row r="85" spans="1:8" hidden="1" x14ac:dyDescent="0.3">
      <c r="A85" s="18"/>
      <c r="B85" s="18" t="str">
        <f>IF(H85=0,"Hide","Show")</f>
        <v>Hide</v>
      </c>
      <c r="D85" s="5">
        <f>D84</f>
        <v>34</v>
      </c>
      <c r="F85" s="22" t="str">
        <f>"000-6800-01"</f>
        <v>000-6800-01</v>
      </c>
      <c r="G85" s="23" t="str">
        <f>"Project Expenses"</f>
        <v>Project Expenses</v>
      </c>
      <c r="H85" s="26">
        <v>0</v>
      </c>
    </row>
    <row r="86" spans="1:8" hidden="1" x14ac:dyDescent="0.3">
      <c r="A86" s="18"/>
      <c r="B86" s="18" t="str">
        <f>$B$84</f>
        <v>Hide</v>
      </c>
      <c r="F86" s="27"/>
      <c r="G86" s="29"/>
      <c r="H86" s="28"/>
    </row>
    <row r="87" spans="1:8" x14ac:dyDescent="0.3">
      <c r="A87" s="18"/>
      <c r="B87" s="18" t="str">
        <f>IF(H87=0,"Hide","Show")</f>
        <v>Show</v>
      </c>
      <c r="D87" s="30">
        <v>35</v>
      </c>
      <c r="F87" s="21" t="str">
        <f>"Administrative Expense"</f>
        <v>Administrative Expense</v>
      </c>
      <c r="G87" s="16"/>
      <c r="H87" s="25">
        <v>-15</v>
      </c>
    </row>
    <row r="88" spans="1:8" hidden="1" x14ac:dyDescent="0.3">
      <c r="A88" s="18"/>
      <c r="B88" s="18" t="str">
        <f>IF(H88=0,"Hide","Show")</f>
        <v>Hide</v>
      </c>
      <c r="D88" s="5">
        <f>D87</f>
        <v>35</v>
      </c>
      <c r="F88" s="22" t="str">
        <f>"000-6170-04"</f>
        <v>000-6170-04</v>
      </c>
      <c r="G88" s="23" t="str">
        <f>"Repairs &amp; Maintenance Expense-Staff"</f>
        <v>Repairs &amp; Maintenance Expense-Staff</v>
      </c>
      <c r="H88" s="26">
        <v>0</v>
      </c>
    </row>
    <row r="89" spans="1:8" hidden="1" x14ac:dyDescent="0.3">
      <c r="A89" s="18" t="s">
        <v>41</v>
      </c>
      <c r="B89" s="18" t="str">
        <f t="shared" ref="B89:B152" si="6">IF(H89=0,"Hide","Show")</f>
        <v>Hide</v>
      </c>
      <c r="D89" s="5">
        <f t="shared" ref="D89:D152" si="7">D88</f>
        <v>35</v>
      </c>
      <c r="F89" s="22" t="str">
        <f>"000-6170-05"</f>
        <v>000-6170-05</v>
      </c>
      <c r="G89" s="23" t="str">
        <f>"Repairs &amp; Maintenance Expense-Line"</f>
        <v>Repairs &amp; Maintenance Expense-Line</v>
      </c>
      <c r="H89" s="26">
        <v>0</v>
      </c>
    </row>
    <row r="90" spans="1:8" hidden="1" x14ac:dyDescent="0.3">
      <c r="A90" s="18" t="s">
        <v>41</v>
      </c>
      <c r="B90" s="18" t="str">
        <f t="shared" si="6"/>
        <v>Hide</v>
      </c>
      <c r="D90" s="5">
        <f t="shared" si="7"/>
        <v>35</v>
      </c>
      <c r="F90" s="22" t="str">
        <f>"000-6400-00"</f>
        <v>000-6400-00</v>
      </c>
      <c r="G90" s="23" t="str">
        <f>"Life Insurance - Administration"</f>
        <v>Life Insurance - Administration</v>
      </c>
      <c r="H90" s="26">
        <v>0</v>
      </c>
    </row>
    <row r="91" spans="1:8" hidden="1" x14ac:dyDescent="0.3">
      <c r="A91" s="18" t="s">
        <v>41</v>
      </c>
      <c r="B91" s="18" t="str">
        <f t="shared" si="6"/>
        <v>Hide</v>
      </c>
      <c r="D91" s="5">
        <f t="shared" si="7"/>
        <v>35</v>
      </c>
      <c r="F91" s="22" t="str">
        <f>"000-6410-00"</f>
        <v>000-6410-00</v>
      </c>
      <c r="G91" s="23" t="str">
        <f>"Vehicle Insurance"</f>
        <v>Vehicle Insurance</v>
      </c>
      <c r="H91" s="26">
        <v>0</v>
      </c>
    </row>
    <row r="92" spans="1:8" hidden="1" x14ac:dyDescent="0.3">
      <c r="A92" s="18" t="s">
        <v>41</v>
      </c>
      <c r="B92" s="18" t="str">
        <f t="shared" si="6"/>
        <v>Hide</v>
      </c>
      <c r="D92" s="5">
        <f t="shared" si="7"/>
        <v>35</v>
      </c>
      <c r="F92" s="22" t="str">
        <f>"000-6420-00"</f>
        <v>000-6420-00</v>
      </c>
      <c r="G92" s="23" t="str">
        <f>"Liability Insurance"</f>
        <v>Liability Insurance</v>
      </c>
      <c r="H92" s="26">
        <v>0</v>
      </c>
    </row>
    <row r="93" spans="1:8" hidden="1" x14ac:dyDescent="0.3">
      <c r="A93" s="18" t="s">
        <v>41</v>
      </c>
      <c r="B93" s="18" t="str">
        <f t="shared" si="6"/>
        <v>Hide</v>
      </c>
      <c r="D93" s="5">
        <f t="shared" si="7"/>
        <v>35</v>
      </c>
      <c r="F93" s="22" t="str">
        <f>"000-6430-00"</f>
        <v>000-6430-00</v>
      </c>
      <c r="G93" s="23" t="str">
        <f>"Casualty Insurance"</f>
        <v>Casualty Insurance</v>
      </c>
      <c r="H93" s="26">
        <v>0</v>
      </c>
    </row>
    <row r="94" spans="1:8" hidden="1" x14ac:dyDescent="0.3">
      <c r="A94" s="18" t="s">
        <v>41</v>
      </c>
      <c r="B94" s="18" t="str">
        <f t="shared" si="6"/>
        <v>Hide</v>
      </c>
      <c r="D94" s="5">
        <f t="shared" si="7"/>
        <v>35</v>
      </c>
      <c r="F94" s="22" t="str">
        <f>"000-6500-04"</f>
        <v>000-6500-04</v>
      </c>
      <c r="G94" s="23" t="str">
        <f>"Postage/Freight Expense-Staff"</f>
        <v>Postage/Freight Expense-Staff</v>
      </c>
      <c r="H94" s="26">
        <v>0</v>
      </c>
    </row>
    <row r="95" spans="1:8" hidden="1" x14ac:dyDescent="0.3">
      <c r="A95" s="18" t="s">
        <v>41</v>
      </c>
      <c r="B95" s="18" t="str">
        <f t="shared" si="6"/>
        <v>Hide</v>
      </c>
      <c r="D95" s="5">
        <f t="shared" si="7"/>
        <v>35</v>
      </c>
      <c r="F95" s="22" t="str">
        <f>"000-6500-05"</f>
        <v>000-6500-05</v>
      </c>
      <c r="G95" s="23" t="str">
        <f>"Postage/Freight Expense-Line"</f>
        <v>Postage/Freight Expense-Line</v>
      </c>
      <c r="H95" s="26">
        <v>0</v>
      </c>
    </row>
    <row r="96" spans="1:8" hidden="1" x14ac:dyDescent="0.3">
      <c r="A96" s="18" t="s">
        <v>41</v>
      </c>
      <c r="B96" s="18" t="str">
        <f t="shared" si="6"/>
        <v>Hide</v>
      </c>
      <c r="D96" s="5">
        <f t="shared" si="7"/>
        <v>35</v>
      </c>
      <c r="F96" s="22" t="str">
        <f>"000-6600-00"</f>
        <v>000-6600-00</v>
      </c>
      <c r="G96" s="23" t="str">
        <f>"Bank Fees"</f>
        <v>Bank Fees</v>
      </c>
      <c r="H96" s="26">
        <v>0</v>
      </c>
    </row>
    <row r="97" spans="1:8" hidden="1" x14ac:dyDescent="0.3">
      <c r="A97" s="18" t="s">
        <v>41</v>
      </c>
      <c r="B97" s="18" t="str">
        <f t="shared" si="6"/>
        <v>Hide</v>
      </c>
      <c r="D97" s="5">
        <f t="shared" si="7"/>
        <v>35</v>
      </c>
      <c r="F97" s="22" t="str">
        <f>"000-6610-00"</f>
        <v>000-6610-00</v>
      </c>
      <c r="G97" s="23" t="str">
        <f>"Advertising Expense"</f>
        <v>Advertising Expense</v>
      </c>
      <c r="H97" s="26">
        <v>0</v>
      </c>
    </row>
    <row r="98" spans="1:8" hidden="1" x14ac:dyDescent="0.3">
      <c r="A98" s="18" t="s">
        <v>41</v>
      </c>
      <c r="B98" s="18" t="str">
        <f t="shared" si="6"/>
        <v>Hide</v>
      </c>
      <c r="D98" s="5">
        <f t="shared" si="7"/>
        <v>35</v>
      </c>
      <c r="F98" s="22" t="str">
        <f>"000-6620-00"</f>
        <v>000-6620-00</v>
      </c>
      <c r="G98" s="23" t="str">
        <f>"Direct Mail Advertising Expense"</f>
        <v>Direct Mail Advertising Expense</v>
      </c>
      <c r="H98" s="26">
        <v>0</v>
      </c>
    </row>
    <row r="99" spans="1:8" hidden="1" x14ac:dyDescent="0.3">
      <c r="A99" s="18" t="s">
        <v>41</v>
      </c>
      <c r="B99" s="18" t="str">
        <f t="shared" si="6"/>
        <v>Hide</v>
      </c>
      <c r="D99" s="5">
        <f t="shared" si="7"/>
        <v>35</v>
      </c>
      <c r="F99" s="22" t="str">
        <f>"000-6700-00"</f>
        <v>000-6700-00</v>
      </c>
      <c r="G99" s="23" t="str">
        <f>"Bad Debts Expense"</f>
        <v>Bad Debts Expense</v>
      </c>
      <c r="H99" s="26">
        <v>0</v>
      </c>
    </row>
    <row r="100" spans="1:8" hidden="1" x14ac:dyDescent="0.3">
      <c r="A100" s="18" t="s">
        <v>41</v>
      </c>
      <c r="B100" s="18" t="str">
        <f t="shared" si="6"/>
        <v>Hide</v>
      </c>
      <c r="D100" s="5">
        <f t="shared" si="7"/>
        <v>35</v>
      </c>
      <c r="F100" s="22" t="str">
        <f>"000-6701-00"</f>
        <v>000-6701-00</v>
      </c>
      <c r="G100" s="23" t="str">
        <f>"Write-Off Expense"</f>
        <v>Write-Off Expense</v>
      </c>
      <c r="H100" s="26">
        <v>0</v>
      </c>
    </row>
    <row r="101" spans="1:8" hidden="1" x14ac:dyDescent="0.3">
      <c r="A101" s="18" t="s">
        <v>41</v>
      </c>
      <c r="B101" s="18" t="str">
        <f t="shared" si="6"/>
        <v>Hide</v>
      </c>
      <c r="D101" s="5">
        <f t="shared" si="7"/>
        <v>35</v>
      </c>
      <c r="F101" s="22" t="str">
        <f>"000-6710-00"</f>
        <v>000-6710-00</v>
      </c>
      <c r="G101" s="23" t="str">
        <f>"Collection Costs"</f>
        <v>Collection Costs</v>
      </c>
      <c r="H101" s="26">
        <v>0</v>
      </c>
    </row>
    <row r="102" spans="1:8" hidden="1" x14ac:dyDescent="0.3">
      <c r="A102" s="18" t="s">
        <v>41</v>
      </c>
      <c r="B102" s="18" t="str">
        <f t="shared" si="6"/>
        <v>Hide</v>
      </c>
      <c r="D102" s="5">
        <f t="shared" si="7"/>
        <v>35</v>
      </c>
      <c r="F102" s="22" t="str">
        <f>"000-6720-00"</f>
        <v>000-6720-00</v>
      </c>
      <c r="G102" s="23" t="str">
        <f>"Legal Fees"</f>
        <v>Legal Fees</v>
      </c>
      <c r="H102" s="26">
        <v>0</v>
      </c>
    </row>
    <row r="103" spans="1:8" hidden="1" x14ac:dyDescent="0.3">
      <c r="A103" s="18" t="s">
        <v>41</v>
      </c>
      <c r="B103" s="18" t="str">
        <f t="shared" si="6"/>
        <v>Hide</v>
      </c>
      <c r="D103" s="5">
        <f t="shared" si="7"/>
        <v>35</v>
      </c>
      <c r="F103" s="22" t="str">
        <f>"000-6730-00"</f>
        <v>000-6730-00</v>
      </c>
      <c r="G103" s="23" t="str">
        <f>"Accounting Fees"</f>
        <v>Accounting Fees</v>
      </c>
      <c r="H103" s="26">
        <v>0</v>
      </c>
    </row>
    <row r="104" spans="1:8" hidden="1" x14ac:dyDescent="0.3">
      <c r="A104" s="18" t="s">
        <v>41</v>
      </c>
      <c r="B104" s="18" t="str">
        <f t="shared" si="6"/>
        <v>Hide</v>
      </c>
      <c r="D104" s="5">
        <f t="shared" si="7"/>
        <v>35</v>
      </c>
      <c r="F104" s="22" t="str">
        <f>"000-6740-00"</f>
        <v>000-6740-00</v>
      </c>
      <c r="G104" s="23" t="str">
        <f>"Fines &amp; Penalties"</f>
        <v>Fines &amp; Penalties</v>
      </c>
      <c r="H104" s="26">
        <v>0</v>
      </c>
    </row>
    <row r="105" spans="1:8" hidden="1" x14ac:dyDescent="0.3">
      <c r="A105" s="18" t="s">
        <v>41</v>
      </c>
      <c r="B105" s="18" t="str">
        <f t="shared" si="6"/>
        <v>Hide</v>
      </c>
      <c r="D105" s="5">
        <f t="shared" si="7"/>
        <v>35</v>
      </c>
      <c r="F105" s="22" t="str">
        <f>"000-6750-00"</f>
        <v>000-6750-00</v>
      </c>
      <c r="G105" s="23" t="str">
        <f>"Licenses &amp; Fees"</f>
        <v>Licenses &amp; Fees</v>
      </c>
      <c r="H105" s="26">
        <v>0</v>
      </c>
    </row>
    <row r="106" spans="1:8" hidden="1" x14ac:dyDescent="0.3">
      <c r="A106" s="18" t="s">
        <v>41</v>
      </c>
      <c r="B106" s="18" t="str">
        <f t="shared" si="6"/>
        <v>Hide</v>
      </c>
      <c r="D106" s="5">
        <f t="shared" si="7"/>
        <v>35</v>
      </c>
      <c r="F106" s="22" t="str">
        <f>"000-6760-00"</f>
        <v>000-6760-00</v>
      </c>
      <c r="G106" s="23" t="str">
        <f>"Recruiting &amp; Moving Expense"</f>
        <v>Recruiting &amp; Moving Expense</v>
      </c>
      <c r="H106" s="26">
        <v>0</v>
      </c>
    </row>
    <row r="107" spans="1:8" hidden="1" x14ac:dyDescent="0.3">
      <c r="A107" s="18" t="s">
        <v>41</v>
      </c>
      <c r="B107" s="18" t="str">
        <f t="shared" si="6"/>
        <v>Hide</v>
      </c>
      <c r="D107" s="5">
        <f t="shared" si="7"/>
        <v>35</v>
      </c>
      <c r="F107" s="22" t="str">
        <f>"000-6770-00"</f>
        <v>000-6770-00</v>
      </c>
      <c r="G107" s="23" t="str">
        <f>"Company Meetings"</f>
        <v>Company Meetings</v>
      </c>
      <c r="H107" s="26">
        <v>0</v>
      </c>
    </row>
    <row r="108" spans="1:8" hidden="1" x14ac:dyDescent="0.3">
      <c r="A108" s="18" t="s">
        <v>41</v>
      </c>
      <c r="B108" s="18" t="str">
        <f t="shared" si="6"/>
        <v>Hide</v>
      </c>
      <c r="D108" s="5">
        <f t="shared" si="7"/>
        <v>35</v>
      </c>
      <c r="F108" s="22" t="str">
        <f>"000-6790-00"</f>
        <v>000-6790-00</v>
      </c>
      <c r="G108" s="23" t="str">
        <f>"Warranty Expense"</f>
        <v>Warranty Expense</v>
      </c>
      <c r="H108" s="26">
        <v>0</v>
      </c>
    </row>
    <row r="109" spans="1:8" hidden="1" x14ac:dyDescent="0.3">
      <c r="A109" s="18" t="s">
        <v>41</v>
      </c>
      <c r="B109" s="18" t="str">
        <f t="shared" si="6"/>
        <v>Hide</v>
      </c>
      <c r="D109" s="5">
        <f t="shared" si="7"/>
        <v>35</v>
      </c>
      <c r="F109" s="22" t="str">
        <f>"100-6110-00"</f>
        <v>100-6110-00</v>
      </c>
      <c r="G109" s="23" t="str">
        <f>"Company Car - Administration"</f>
        <v>Company Car - Administration</v>
      </c>
      <c r="H109" s="26">
        <v>0</v>
      </c>
    </row>
    <row r="110" spans="1:8" hidden="1" x14ac:dyDescent="0.3">
      <c r="A110" s="18" t="s">
        <v>41</v>
      </c>
      <c r="B110" s="18" t="str">
        <f t="shared" si="6"/>
        <v>Hide</v>
      </c>
      <c r="D110" s="5">
        <f t="shared" si="7"/>
        <v>35</v>
      </c>
      <c r="F110" s="22" t="str">
        <f>"100-6120-00"</f>
        <v>100-6120-00</v>
      </c>
      <c r="G110" s="23" t="str">
        <f>"Supplies/Rental - Administration"</f>
        <v>Supplies/Rental - Administration</v>
      </c>
      <c r="H110" s="26">
        <v>0</v>
      </c>
    </row>
    <row r="111" spans="1:8" hidden="1" x14ac:dyDescent="0.3">
      <c r="A111" s="18" t="s">
        <v>41</v>
      </c>
      <c r="B111" s="18" t="str">
        <f t="shared" si="6"/>
        <v>Hide</v>
      </c>
      <c r="D111" s="5">
        <f t="shared" si="7"/>
        <v>35</v>
      </c>
      <c r="F111" s="22" t="str">
        <f>"100-6130-00"</f>
        <v>100-6130-00</v>
      </c>
      <c r="G111" s="23" t="str">
        <f>"Supplies/Hardware - Administration"</f>
        <v>Supplies/Hardware - Administration</v>
      </c>
      <c r="H111" s="26">
        <v>0</v>
      </c>
    </row>
    <row r="112" spans="1:8" hidden="1" x14ac:dyDescent="0.3">
      <c r="A112" s="18" t="s">
        <v>41</v>
      </c>
      <c r="B112" s="18" t="str">
        <f t="shared" si="6"/>
        <v>Hide</v>
      </c>
      <c r="D112" s="5">
        <f t="shared" si="7"/>
        <v>35</v>
      </c>
      <c r="F112" s="22" t="str">
        <f>"100-6140-00"</f>
        <v>100-6140-00</v>
      </c>
      <c r="G112" s="23" t="str">
        <f>"Supplies/Software - Administation"</f>
        <v>Supplies/Software - Administation</v>
      </c>
      <c r="H112" s="26">
        <v>0</v>
      </c>
    </row>
    <row r="113" spans="1:8" hidden="1" x14ac:dyDescent="0.3">
      <c r="A113" s="18" t="s">
        <v>41</v>
      </c>
      <c r="B113" s="18" t="str">
        <f t="shared" si="6"/>
        <v>Hide</v>
      </c>
      <c r="D113" s="5">
        <f t="shared" si="7"/>
        <v>35</v>
      </c>
      <c r="F113" s="22" t="str">
        <f>"100-6150-00"</f>
        <v>100-6150-00</v>
      </c>
      <c r="G113" s="23" t="str">
        <f>"Supplies-Allocated - Administration"</f>
        <v>Supplies-Allocated - Administration</v>
      </c>
      <c r="H113" s="26">
        <v>0</v>
      </c>
    </row>
    <row r="114" spans="1:8" hidden="1" x14ac:dyDescent="0.3">
      <c r="A114" s="18" t="s">
        <v>41</v>
      </c>
      <c r="B114" s="18" t="str">
        <f t="shared" si="6"/>
        <v>Hide</v>
      </c>
      <c r="D114" s="5">
        <f t="shared" si="7"/>
        <v>35</v>
      </c>
      <c r="F114" s="22" t="str">
        <f>"100-6160-00"</f>
        <v>100-6160-00</v>
      </c>
      <c r="G114" s="23" t="str">
        <f>"Dues &amp; Subscriptions - Administration"</f>
        <v>Dues &amp; Subscriptions - Administration</v>
      </c>
      <c r="H114" s="26">
        <v>0</v>
      </c>
    </row>
    <row r="115" spans="1:8" hidden="1" x14ac:dyDescent="0.3">
      <c r="A115" s="18" t="s">
        <v>41</v>
      </c>
      <c r="B115" s="18" t="str">
        <f t="shared" si="6"/>
        <v>Hide</v>
      </c>
      <c r="D115" s="5">
        <f t="shared" si="7"/>
        <v>35</v>
      </c>
      <c r="F115" s="22" t="str">
        <f>"100-6170-00"</f>
        <v>100-6170-00</v>
      </c>
      <c r="G115" s="23" t="str">
        <f>"Repairs &amp; Maintenance - Administration"</f>
        <v>Repairs &amp; Maintenance - Administration</v>
      </c>
      <c r="H115" s="26">
        <v>0</v>
      </c>
    </row>
    <row r="116" spans="1:8" hidden="1" x14ac:dyDescent="0.3">
      <c r="A116" s="18" t="s">
        <v>41</v>
      </c>
      <c r="B116" s="18" t="str">
        <f t="shared" si="6"/>
        <v>Hide</v>
      </c>
      <c r="D116" s="5">
        <f t="shared" si="7"/>
        <v>35</v>
      </c>
      <c r="F116" s="22" t="str">
        <f>"100-6180-00"</f>
        <v>100-6180-00</v>
      </c>
      <c r="G116" s="23" t="str">
        <f>"Rent Expense - Administration"</f>
        <v>Rent Expense - Administration</v>
      </c>
      <c r="H116" s="26">
        <v>0</v>
      </c>
    </row>
    <row r="117" spans="1:8" hidden="1" x14ac:dyDescent="0.3">
      <c r="A117" s="18" t="s">
        <v>41</v>
      </c>
      <c r="B117" s="18" t="str">
        <f t="shared" si="6"/>
        <v>Hide</v>
      </c>
      <c r="D117" s="5">
        <f t="shared" si="7"/>
        <v>35</v>
      </c>
      <c r="F117" s="22" t="str">
        <f>"100-6190-00"</f>
        <v>100-6190-00</v>
      </c>
      <c r="G117" s="23" t="str">
        <f>"Utilities Expense - Administration"</f>
        <v>Utilities Expense - Administration</v>
      </c>
      <c r="H117" s="26">
        <v>0</v>
      </c>
    </row>
    <row r="118" spans="1:8" hidden="1" x14ac:dyDescent="0.3">
      <c r="A118" s="18" t="s">
        <v>41</v>
      </c>
      <c r="B118" s="18" t="str">
        <f t="shared" si="6"/>
        <v>Hide</v>
      </c>
      <c r="D118" s="5">
        <f t="shared" si="7"/>
        <v>35</v>
      </c>
      <c r="F118" s="22" t="str">
        <f>"100-6500-00"</f>
        <v>100-6500-00</v>
      </c>
      <c r="G118" s="23" t="str">
        <f>"Postage/Freight - Administration"</f>
        <v>Postage/Freight - Administration</v>
      </c>
      <c r="H118" s="26">
        <v>0</v>
      </c>
    </row>
    <row r="119" spans="1:8" hidden="1" x14ac:dyDescent="0.3">
      <c r="A119" s="18" t="s">
        <v>41</v>
      </c>
      <c r="B119" s="18" t="str">
        <f t="shared" si="6"/>
        <v>Hide</v>
      </c>
      <c r="D119" s="5">
        <f t="shared" si="7"/>
        <v>35</v>
      </c>
      <c r="F119" s="22" t="str">
        <f>"100-6510-00"</f>
        <v>100-6510-00</v>
      </c>
      <c r="G119" s="23" t="str">
        <f>"Telephone - Administration"</f>
        <v>Telephone - Administration</v>
      </c>
      <c r="H119" s="26">
        <v>0</v>
      </c>
    </row>
    <row r="120" spans="1:8" hidden="1" x14ac:dyDescent="0.3">
      <c r="A120" s="18" t="s">
        <v>41</v>
      </c>
      <c r="B120" s="18" t="str">
        <f t="shared" si="6"/>
        <v>Hide</v>
      </c>
      <c r="D120" s="5">
        <f t="shared" si="7"/>
        <v>35</v>
      </c>
      <c r="F120" s="22" t="str">
        <f>"100-6520-00"</f>
        <v>100-6520-00</v>
      </c>
      <c r="G120" s="23" t="str">
        <f>"Travel - Administration"</f>
        <v>Travel - Administration</v>
      </c>
      <c r="H120" s="26">
        <v>0</v>
      </c>
    </row>
    <row r="121" spans="1:8" hidden="1" x14ac:dyDescent="0.3">
      <c r="A121" s="18" t="s">
        <v>41</v>
      </c>
      <c r="B121" s="18" t="str">
        <f t="shared" si="6"/>
        <v>Hide</v>
      </c>
      <c r="D121" s="5">
        <f t="shared" si="7"/>
        <v>35</v>
      </c>
      <c r="F121" s="22" t="str">
        <f>"100-6530-00"</f>
        <v>100-6530-00</v>
      </c>
      <c r="G121" s="23" t="str">
        <f>"Meals/Entertainment - Administration"</f>
        <v>Meals/Entertainment - Administration</v>
      </c>
      <c r="H121" s="26">
        <v>0</v>
      </c>
    </row>
    <row r="122" spans="1:8" hidden="1" x14ac:dyDescent="0.3">
      <c r="A122" s="18" t="s">
        <v>41</v>
      </c>
      <c r="B122" s="18" t="str">
        <f t="shared" si="6"/>
        <v>Hide</v>
      </c>
      <c r="D122" s="5">
        <f t="shared" si="7"/>
        <v>35</v>
      </c>
      <c r="F122" s="22" t="str">
        <f>"200-6120-00"</f>
        <v>200-6120-00</v>
      </c>
      <c r="G122" s="23" t="str">
        <f>"Supplies/Rental - Accounting"</f>
        <v>Supplies/Rental - Accounting</v>
      </c>
      <c r="H122" s="26">
        <v>0</v>
      </c>
    </row>
    <row r="123" spans="1:8" hidden="1" x14ac:dyDescent="0.3">
      <c r="A123" s="18" t="s">
        <v>41</v>
      </c>
      <c r="B123" s="18" t="str">
        <f t="shared" si="6"/>
        <v>Hide</v>
      </c>
      <c r="D123" s="5">
        <f t="shared" si="7"/>
        <v>35</v>
      </c>
      <c r="F123" s="22" t="str">
        <f>"200-6130-00"</f>
        <v>200-6130-00</v>
      </c>
      <c r="G123" s="23" t="str">
        <f>"Supplies/Hardware - Accounting"</f>
        <v>Supplies/Hardware - Accounting</v>
      </c>
      <c r="H123" s="26">
        <v>0</v>
      </c>
    </row>
    <row r="124" spans="1:8" hidden="1" x14ac:dyDescent="0.3">
      <c r="A124" s="18" t="s">
        <v>41</v>
      </c>
      <c r="B124" s="18" t="str">
        <f t="shared" si="6"/>
        <v>Hide</v>
      </c>
      <c r="D124" s="5">
        <f t="shared" si="7"/>
        <v>35</v>
      </c>
      <c r="F124" s="22" t="str">
        <f>"200-6140-00"</f>
        <v>200-6140-00</v>
      </c>
      <c r="G124" s="23" t="str">
        <f>"Supplies/Software - Accounting"</f>
        <v>Supplies/Software - Accounting</v>
      </c>
      <c r="H124" s="26">
        <v>0</v>
      </c>
    </row>
    <row r="125" spans="1:8" hidden="1" x14ac:dyDescent="0.3">
      <c r="A125" s="18" t="s">
        <v>41</v>
      </c>
      <c r="B125" s="18" t="str">
        <f t="shared" si="6"/>
        <v>Hide</v>
      </c>
      <c r="D125" s="5">
        <f t="shared" si="7"/>
        <v>35</v>
      </c>
      <c r="F125" s="22" t="str">
        <f>"200-6150-00"</f>
        <v>200-6150-00</v>
      </c>
      <c r="G125" s="23" t="str">
        <f>"Supplies-Allocated - Accounting"</f>
        <v>Supplies-Allocated - Accounting</v>
      </c>
      <c r="H125" s="26">
        <v>0</v>
      </c>
    </row>
    <row r="126" spans="1:8" hidden="1" x14ac:dyDescent="0.3">
      <c r="A126" s="18" t="s">
        <v>41</v>
      </c>
      <c r="B126" s="18" t="str">
        <f t="shared" si="6"/>
        <v>Hide</v>
      </c>
      <c r="D126" s="5">
        <f t="shared" si="7"/>
        <v>35</v>
      </c>
      <c r="F126" s="22" t="str">
        <f>"200-6160-00"</f>
        <v>200-6160-00</v>
      </c>
      <c r="G126" s="23" t="str">
        <f>"Dues &amp; Subscriptions - Accounting"</f>
        <v>Dues &amp; Subscriptions - Accounting</v>
      </c>
      <c r="H126" s="26">
        <v>0</v>
      </c>
    </row>
    <row r="127" spans="1:8" hidden="1" x14ac:dyDescent="0.3">
      <c r="A127" s="18" t="s">
        <v>41</v>
      </c>
      <c r="B127" s="18" t="str">
        <f t="shared" si="6"/>
        <v>Hide</v>
      </c>
      <c r="D127" s="5">
        <f t="shared" si="7"/>
        <v>35</v>
      </c>
      <c r="F127" s="22" t="str">
        <f>"200-6170-00"</f>
        <v>200-6170-00</v>
      </c>
      <c r="G127" s="23" t="str">
        <f>"Repairs &amp; Maintenance - Accounting"</f>
        <v>Repairs &amp; Maintenance - Accounting</v>
      </c>
      <c r="H127" s="26">
        <v>0</v>
      </c>
    </row>
    <row r="128" spans="1:8" hidden="1" x14ac:dyDescent="0.3">
      <c r="A128" s="18" t="s">
        <v>41</v>
      </c>
      <c r="B128" s="18" t="str">
        <f t="shared" si="6"/>
        <v>Hide</v>
      </c>
      <c r="D128" s="5">
        <f t="shared" si="7"/>
        <v>35</v>
      </c>
      <c r="F128" s="22" t="str">
        <f>"200-6180-00"</f>
        <v>200-6180-00</v>
      </c>
      <c r="G128" s="23" t="str">
        <f>"Rent Expense - Accounting"</f>
        <v>Rent Expense - Accounting</v>
      </c>
      <c r="H128" s="26">
        <v>0</v>
      </c>
    </row>
    <row r="129" spans="1:8" hidden="1" x14ac:dyDescent="0.3">
      <c r="A129" s="18" t="s">
        <v>41</v>
      </c>
      <c r="B129" s="18" t="str">
        <f t="shared" si="6"/>
        <v>Hide</v>
      </c>
      <c r="D129" s="5">
        <f t="shared" si="7"/>
        <v>35</v>
      </c>
      <c r="F129" s="22" t="str">
        <f>"200-6190-00"</f>
        <v>200-6190-00</v>
      </c>
      <c r="G129" s="23" t="str">
        <f>"Utilities Expense - Accounting"</f>
        <v>Utilities Expense - Accounting</v>
      </c>
      <c r="H129" s="26">
        <v>0</v>
      </c>
    </row>
    <row r="130" spans="1:8" hidden="1" x14ac:dyDescent="0.3">
      <c r="A130" s="18" t="s">
        <v>41</v>
      </c>
      <c r="B130" s="18" t="str">
        <f t="shared" si="6"/>
        <v>Hide</v>
      </c>
      <c r="D130" s="5">
        <f t="shared" si="7"/>
        <v>35</v>
      </c>
      <c r="F130" s="22" t="str">
        <f>"200-6500-00"</f>
        <v>200-6500-00</v>
      </c>
      <c r="G130" s="23" t="str">
        <f>"Postage/Freight  - Accounting"</f>
        <v>Postage/Freight  - Accounting</v>
      </c>
      <c r="H130" s="26">
        <v>0</v>
      </c>
    </row>
    <row r="131" spans="1:8" hidden="1" x14ac:dyDescent="0.3">
      <c r="A131" s="18" t="s">
        <v>41</v>
      </c>
      <c r="B131" s="18" t="str">
        <f t="shared" si="6"/>
        <v>Hide</v>
      </c>
      <c r="D131" s="5">
        <f t="shared" si="7"/>
        <v>35</v>
      </c>
      <c r="F131" s="22" t="str">
        <f>"200-6510-00"</f>
        <v>200-6510-00</v>
      </c>
      <c r="G131" s="23" t="str">
        <f>"Telephone - Accounting"</f>
        <v>Telephone - Accounting</v>
      </c>
      <c r="H131" s="26">
        <v>0</v>
      </c>
    </row>
    <row r="132" spans="1:8" hidden="1" x14ac:dyDescent="0.3">
      <c r="A132" s="18" t="s">
        <v>41</v>
      </c>
      <c r="B132" s="18" t="str">
        <f t="shared" si="6"/>
        <v>Hide</v>
      </c>
      <c r="D132" s="5">
        <f t="shared" si="7"/>
        <v>35</v>
      </c>
      <c r="F132" s="22" t="str">
        <f>"200-6520-00"</f>
        <v>200-6520-00</v>
      </c>
      <c r="G132" s="23" t="str">
        <f>"Travel - Accounting"</f>
        <v>Travel - Accounting</v>
      </c>
      <c r="H132" s="26">
        <v>0</v>
      </c>
    </row>
    <row r="133" spans="1:8" hidden="1" x14ac:dyDescent="0.3">
      <c r="A133" s="18" t="s">
        <v>41</v>
      </c>
      <c r="B133" s="18" t="str">
        <f t="shared" si="6"/>
        <v>Hide</v>
      </c>
      <c r="D133" s="5">
        <f t="shared" si="7"/>
        <v>35</v>
      </c>
      <c r="F133" s="22" t="str">
        <f>"200-6530-00"</f>
        <v>200-6530-00</v>
      </c>
      <c r="G133" s="23" t="str">
        <f>"Meals/Entertainment - Accounting"</f>
        <v>Meals/Entertainment - Accounting</v>
      </c>
      <c r="H133" s="26">
        <v>0</v>
      </c>
    </row>
    <row r="134" spans="1:8" hidden="1" x14ac:dyDescent="0.3">
      <c r="A134" s="18" t="s">
        <v>41</v>
      </c>
      <c r="B134" s="18" t="str">
        <f t="shared" si="6"/>
        <v>Hide</v>
      </c>
      <c r="D134" s="5">
        <f t="shared" si="7"/>
        <v>35</v>
      </c>
      <c r="F134" s="22" t="str">
        <f>"300-6120-00"</f>
        <v>300-6120-00</v>
      </c>
      <c r="G134" s="23" t="str">
        <f>"Supplies/Rental - Sales"</f>
        <v>Supplies/Rental - Sales</v>
      </c>
      <c r="H134" s="26">
        <v>0</v>
      </c>
    </row>
    <row r="135" spans="1:8" hidden="1" x14ac:dyDescent="0.3">
      <c r="A135" s="18" t="s">
        <v>41</v>
      </c>
      <c r="B135" s="18" t="str">
        <f t="shared" si="6"/>
        <v>Hide</v>
      </c>
      <c r="D135" s="5">
        <f t="shared" si="7"/>
        <v>35</v>
      </c>
      <c r="F135" s="22" t="str">
        <f>"300-6130-00"</f>
        <v>300-6130-00</v>
      </c>
      <c r="G135" s="23" t="str">
        <f>"Supplies/Hardware - Sales"</f>
        <v>Supplies/Hardware - Sales</v>
      </c>
      <c r="H135" s="26">
        <v>0</v>
      </c>
    </row>
    <row r="136" spans="1:8" hidden="1" x14ac:dyDescent="0.3">
      <c r="A136" s="18" t="s">
        <v>41</v>
      </c>
      <c r="B136" s="18" t="str">
        <f t="shared" si="6"/>
        <v>Hide</v>
      </c>
      <c r="D136" s="5">
        <f t="shared" si="7"/>
        <v>35</v>
      </c>
      <c r="F136" s="22" t="str">
        <f>"300-6140-00"</f>
        <v>300-6140-00</v>
      </c>
      <c r="G136" s="23" t="str">
        <f>"Supplies/Software - Sales"</f>
        <v>Supplies/Software - Sales</v>
      </c>
      <c r="H136" s="26">
        <v>0</v>
      </c>
    </row>
    <row r="137" spans="1:8" hidden="1" x14ac:dyDescent="0.3">
      <c r="A137" s="18" t="s">
        <v>41</v>
      </c>
      <c r="B137" s="18" t="str">
        <f t="shared" si="6"/>
        <v>Hide</v>
      </c>
      <c r="D137" s="5">
        <f t="shared" si="7"/>
        <v>35</v>
      </c>
      <c r="F137" s="22" t="str">
        <f>"300-6150-00"</f>
        <v>300-6150-00</v>
      </c>
      <c r="G137" s="23" t="str">
        <f>"Supplies-Allocated - Sales"</f>
        <v>Supplies-Allocated - Sales</v>
      </c>
      <c r="H137" s="26">
        <v>0</v>
      </c>
    </row>
    <row r="138" spans="1:8" hidden="1" x14ac:dyDescent="0.3">
      <c r="A138" s="18" t="s">
        <v>41</v>
      </c>
      <c r="B138" s="18" t="str">
        <f t="shared" si="6"/>
        <v>Hide</v>
      </c>
      <c r="D138" s="5">
        <f t="shared" si="7"/>
        <v>35</v>
      </c>
      <c r="F138" s="22" t="str">
        <f>"300-6160-00"</f>
        <v>300-6160-00</v>
      </c>
      <c r="G138" s="23" t="str">
        <f>"Dues &amp; Subscriptions - Sales"</f>
        <v>Dues &amp; Subscriptions - Sales</v>
      </c>
      <c r="H138" s="26">
        <v>0</v>
      </c>
    </row>
    <row r="139" spans="1:8" hidden="1" x14ac:dyDescent="0.3">
      <c r="A139" s="18" t="s">
        <v>41</v>
      </c>
      <c r="B139" s="18" t="str">
        <f t="shared" si="6"/>
        <v>Hide</v>
      </c>
      <c r="D139" s="5">
        <f t="shared" si="7"/>
        <v>35</v>
      </c>
      <c r="F139" s="22" t="str">
        <f>"300-6170-00"</f>
        <v>300-6170-00</v>
      </c>
      <c r="G139" s="23" t="str">
        <f>"Repairs &amp; Maintenance - Sales"</f>
        <v>Repairs &amp; Maintenance - Sales</v>
      </c>
      <c r="H139" s="26">
        <v>0</v>
      </c>
    </row>
    <row r="140" spans="1:8" hidden="1" x14ac:dyDescent="0.3">
      <c r="A140" s="18" t="s">
        <v>41</v>
      </c>
      <c r="B140" s="18" t="str">
        <f t="shared" si="6"/>
        <v>Hide</v>
      </c>
      <c r="D140" s="5">
        <f t="shared" si="7"/>
        <v>35</v>
      </c>
      <c r="F140" s="22" t="str">
        <f>"300-6180-00"</f>
        <v>300-6180-00</v>
      </c>
      <c r="G140" s="23" t="str">
        <f>"Rent Expense - Sales"</f>
        <v>Rent Expense - Sales</v>
      </c>
      <c r="H140" s="26">
        <v>0</v>
      </c>
    </row>
    <row r="141" spans="1:8" hidden="1" x14ac:dyDescent="0.3">
      <c r="A141" s="18" t="s">
        <v>41</v>
      </c>
      <c r="B141" s="18" t="str">
        <f t="shared" si="6"/>
        <v>Hide</v>
      </c>
      <c r="D141" s="5">
        <f t="shared" si="7"/>
        <v>35</v>
      </c>
      <c r="F141" s="22" t="str">
        <f>"300-6190-00"</f>
        <v>300-6190-00</v>
      </c>
      <c r="G141" s="23" t="str">
        <f>"Utilities Expense - Sales"</f>
        <v>Utilities Expense - Sales</v>
      </c>
      <c r="H141" s="26">
        <v>0</v>
      </c>
    </row>
    <row r="142" spans="1:8" hidden="1" x14ac:dyDescent="0.3">
      <c r="A142" s="18" t="s">
        <v>41</v>
      </c>
      <c r="B142" s="18" t="str">
        <f t="shared" si="6"/>
        <v>Hide</v>
      </c>
      <c r="D142" s="5">
        <f t="shared" si="7"/>
        <v>35</v>
      </c>
      <c r="F142" s="22" t="str">
        <f>"300-6500-00"</f>
        <v>300-6500-00</v>
      </c>
      <c r="G142" s="23" t="str">
        <f>"Postage/Freight - Sales"</f>
        <v>Postage/Freight - Sales</v>
      </c>
      <c r="H142" s="26">
        <v>0</v>
      </c>
    </row>
    <row r="143" spans="1:8" hidden="1" x14ac:dyDescent="0.3">
      <c r="A143" s="18" t="s">
        <v>41</v>
      </c>
      <c r="B143" s="18" t="str">
        <f t="shared" si="6"/>
        <v>Hide</v>
      </c>
      <c r="D143" s="5">
        <f t="shared" si="7"/>
        <v>35</v>
      </c>
      <c r="F143" s="22" t="str">
        <f>"300-6510-00"</f>
        <v>300-6510-00</v>
      </c>
      <c r="G143" s="23" t="str">
        <f>"Telephone - Sales"</f>
        <v>Telephone - Sales</v>
      </c>
      <c r="H143" s="26">
        <v>0</v>
      </c>
    </row>
    <row r="144" spans="1:8" hidden="1" x14ac:dyDescent="0.3">
      <c r="A144" s="18" t="s">
        <v>41</v>
      </c>
      <c r="B144" s="18" t="str">
        <f t="shared" si="6"/>
        <v>Hide</v>
      </c>
      <c r="D144" s="5">
        <f t="shared" si="7"/>
        <v>35</v>
      </c>
      <c r="F144" s="22" t="str">
        <f>"300-6520-00"</f>
        <v>300-6520-00</v>
      </c>
      <c r="G144" s="23" t="str">
        <f>"Travel - Sales"</f>
        <v>Travel - Sales</v>
      </c>
      <c r="H144" s="26">
        <v>0</v>
      </c>
    </row>
    <row r="145" spans="1:8" hidden="1" x14ac:dyDescent="0.3">
      <c r="A145" s="18" t="s">
        <v>41</v>
      </c>
      <c r="B145" s="18" t="str">
        <f t="shared" si="6"/>
        <v>Hide</v>
      </c>
      <c r="D145" s="5">
        <f t="shared" si="7"/>
        <v>35</v>
      </c>
      <c r="F145" s="22" t="str">
        <f>"300-6530-00"</f>
        <v>300-6530-00</v>
      </c>
      <c r="G145" s="23" t="str">
        <f>"Meals/Entertainment - Sales"</f>
        <v>Meals/Entertainment - Sales</v>
      </c>
      <c r="H145" s="26">
        <v>0</v>
      </c>
    </row>
    <row r="146" spans="1:8" hidden="1" x14ac:dyDescent="0.3">
      <c r="A146" s="18" t="s">
        <v>41</v>
      </c>
      <c r="B146" s="18" t="str">
        <f t="shared" si="6"/>
        <v>Hide</v>
      </c>
      <c r="D146" s="5">
        <f t="shared" si="7"/>
        <v>35</v>
      </c>
      <c r="F146" s="22" t="str">
        <f>"400-5600-00"</f>
        <v>400-5600-00</v>
      </c>
      <c r="G146" s="23" t="str">
        <f>"Contract Services - Service/Installation"</f>
        <v>Contract Services - Service/Installation</v>
      </c>
      <c r="H146" s="26">
        <v>0</v>
      </c>
    </row>
    <row r="147" spans="1:8" hidden="1" x14ac:dyDescent="0.3">
      <c r="A147" s="18" t="s">
        <v>41</v>
      </c>
      <c r="B147" s="18" t="str">
        <f t="shared" si="6"/>
        <v>Hide</v>
      </c>
      <c r="D147" s="5">
        <f t="shared" si="7"/>
        <v>35</v>
      </c>
      <c r="F147" s="22" t="str">
        <f>"400-6110-00"</f>
        <v>400-6110-00</v>
      </c>
      <c r="G147" s="23" t="str">
        <f>"Fleet Vehicle Expense"</f>
        <v>Fleet Vehicle Expense</v>
      </c>
      <c r="H147" s="26">
        <v>0</v>
      </c>
    </row>
    <row r="148" spans="1:8" hidden="1" x14ac:dyDescent="0.3">
      <c r="A148" s="18" t="s">
        <v>41</v>
      </c>
      <c r="B148" s="18" t="str">
        <f t="shared" si="6"/>
        <v>Hide</v>
      </c>
      <c r="D148" s="5">
        <f t="shared" si="7"/>
        <v>35</v>
      </c>
      <c r="F148" s="22" t="str">
        <f>"400-6120-00"</f>
        <v>400-6120-00</v>
      </c>
      <c r="G148" s="23" t="str">
        <f>"Supplies/Rental - Service/Installation"</f>
        <v>Supplies/Rental - Service/Installation</v>
      </c>
      <c r="H148" s="26">
        <v>0</v>
      </c>
    </row>
    <row r="149" spans="1:8" hidden="1" x14ac:dyDescent="0.3">
      <c r="A149" s="18" t="s">
        <v>41</v>
      </c>
      <c r="B149" s="18" t="str">
        <f t="shared" si="6"/>
        <v>Hide</v>
      </c>
      <c r="D149" s="5">
        <f t="shared" si="7"/>
        <v>35</v>
      </c>
      <c r="F149" s="22" t="str">
        <f>"400-6130-00"</f>
        <v>400-6130-00</v>
      </c>
      <c r="G149" s="23" t="str">
        <f>"Supplies/Hardware - Service/Installation"</f>
        <v>Supplies/Hardware - Service/Installation</v>
      </c>
      <c r="H149" s="26">
        <v>0</v>
      </c>
    </row>
    <row r="150" spans="1:8" hidden="1" x14ac:dyDescent="0.3">
      <c r="A150" s="18" t="s">
        <v>41</v>
      </c>
      <c r="B150" s="18" t="str">
        <f t="shared" si="6"/>
        <v>Hide</v>
      </c>
      <c r="D150" s="5">
        <f t="shared" si="7"/>
        <v>35</v>
      </c>
      <c r="F150" s="22" t="str">
        <f>"400-6140-00"</f>
        <v>400-6140-00</v>
      </c>
      <c r="G150" s="23" t="str">
        <f>"Supplies/Software - Service/Installation"</f>
        <v>Supplies/Software - Service/Installation</v>
      </c>
      <c r="H150" s="26">
        <v>0</v>
      </c>
    </row>
    <row r="151" spans="1:8" hidden="1" x14ac:dyDescent="0.3">
      <c r="A151" s="18" t="s">
        <v>41</v>
      </c>
      <c r="B151" s="18" t="str">
        <f t="shared" si="6"/>
        <v>Hide</v>
      </c>
      <c r="D151" s="5">
        <f t="shared" si="7"/>
        <v>35</v>
      </c>
      <c r="F151" s="22" t="str">
        <f>"400-6150-00"</f>
        <v>400-6150-00</v>
      </c>
      <c r="G151" s="23" t="str">
        <f>"Supplies-Allocated - Services/Installation"</f>
        <v>Supplies-Allocated - Services/Installation</v>
      </c>
      <c r="H151" s="26">
        <v>0</v>
      </c>
    </row>
    <row r="152" spans="1:8" hidden="1" x14ac:dyDescent="0.3">
      <c r="A152" s="18" t="s">
        <v>41</v>
      </c>
      <c r="B152" s="18" t="str">
        <f t="shared" si="6"/>
        <v>Hide</v>
      </c>
      <c r="D152" s="5">
        <f t="shared" si="7"/>
        <v>35</v>
      </c>
      <c r="F152" s="22" t="str">
        <f>"400-6160-00"</f>
        <v>400-6160-00</v>
      </c>
      <c r="G152" s="23" t="str">
        <f>"Dues &amp; Subscriptions - Service/Installation"</f>
        <v>Dues &amp; Subscriptions - Service/Installation</v>
      </c>
      <c r="H152" s="26">
        <v>0</v>
      </c>
    </row>
    <row r="153" spans="1:8" hidden="1" x14ac:dyDescent="0.3">
      <c r="A153" s="18" t="s">
        <v>41</v>
      </c>
      <c r="B153" s="18" t="str">
        <f t="shared" ref="B153:B184" si="8">IF(H153=0,"Hide","Show")</f>
        <v>Hide</v>
      </c>
      <c r="D153" s="5">
        <f t="shared" ref="D153:D184" si="9">D152</f>
        <v>35</v>
      </c>
      <c r="F153" s="22" t="str">
        <f>"400-6170-00"</f>
        <v>400-6170-00</v>
      </c>
      <c r="G153" s="23" t="str">
        <f>"Repairs &amp; Maintenance - Service/Installation"</f>
        <v>Repairs &amp; Maintenance - Service/Installation</v>
      </c>
      <c r="H153" s="26">
        <v>0</v>
      </c>
    </row>
    <row r="154" spans="1:8" hidden="1" x14ac:dyDescent="0.3">
      <c r="A154" s="18" t="s">
        <v>41</v>
      </c>
      <c r="B154" s="18" t="str">
        <f t="shared" si="8"/>
        <v>Hide</v>
      </c>
      <c r="D154" s="5">
        <f t="shared" si="9"/>
        <v>35</v>
      </c>
      <c r="F154" s="22" t="str">
        <f>"400-6180-00"</f>
        <v>400-6180-00</v>
      </c>
      <c r="G154" s="23" t="str">
        <f>"Rent Expense - Service/Installation"</f>
        <v>Rent Expense - Service/Installation</v>
      </c>
      <c r="H154" s="26">
        <v>0</v>
      </c>
    </row>
    <row r="155" spans="1:8" hidden="1" x14ac:dyDescent="0.3">
      <c r="A155" s="18" t="s">
        <v>41</v>
      </c>
      <c r="B155" s="18" t="str">
        <f t="shared" si="8"/>
        <v>Hide</v>
      </c>
      <c r="D155" s="5">
        <f t="shared" si="9"/>
        <v>35</v>
      </c>
      <c r="F155" s="22" t="str">
        <f>"400-6190-00"</f>
        <v>400-6190-00</v>
      </c>
      <c r="G155" s="23" t="str">
        <f>"Utilities Expense - Service/Installation"</f>
        <v>Utilities Expense - Service/Installation</v>
      </c>
      <c r="H155" s="26">
        <v>0</v>
      </c>
    </row>
    <row r="156" spans="1:8" hidden="1" x14ac:dyDescent="0.3">
      <c r="A156" s="18" t="s">
        <v>41</v>
      </c>
      <c r="B156" s="18" t="str">
        <f t="shared" si="8"/>
        <v>Hide</v>
      </c>
      <c r="D156" s="5">
        <f t="shared" si="9"/>
        <v>35</v>
      </c>
      <c r="F156" s="22" t="str">
        <f>"400-6500-00"</f>
        <v>400-6500-00</v>
      </c>
      <c r="G156" s="23" t="str">
        <f>"Postage/Freight - Service/Installation"</f>
        <v>Postage/Freight - Service/Installation</v>
      </c>
      <c r="H156" s="26">
        <v>0</v>
      </c>
    </row>
    <row r="157" spans="1:8" hidden="1" x14ac:dyDescent="0.3">
      <c r="A157" s="18" t="s">
        <v>41</v>
      </c>
      <c r="B157" s="18" t="str">
        <f t="shared" si="8"/>
        <v>Hide</v>
      </c>
      <c r="D157" s="5">
        <f t="shared" si="9"/>
        <v>35</v>
      </c>
      <c r="F157" s="22" t="str">
        <f>"400-6510-00"</f>
        <v>400-6510-00</v>
      </c>
      <c r="G157" s="23" t="str">
        <f>"Telephone - Service/Installation"</f>
        <v>Telephone - Service/Installation</v>
      </c>
      <c r="H157" s="26">
        <v>0</v>
      </c>
    </row>
    <row r="158" spans="1:8" hidden="1" x14ac:dyDescent="0.3">
      <c r="A158" s="18" t="s">
        <v>41</v>
      </c>
      <c r="B158" s="18" t="str">
        <f t="shared" si="8"/>
        <v>Hide</v>
      </c>
      <c r="D158" s="5">
        <f t="shared" si="9"/>
        <v>35</v>
      </c>
      <c r="F158" s="22" t="str">
        <f>"400-6520-00"</f>
        <v>400-6520-00</v>
      </c>
      <c r="G158" s="23" t="str">
        <f>"Travel - Service/Installation"</f>
        <v>Travel - Service/Installation</v>
      </c>
      <c r="H158" s="26">
        <v>0</v>
      </c>
    </row>
    <row r="159" spans="1:8" hidden="1" x14ac:dyDescent="0.3">
      <c r="A159" s="18" t="s">
        <v>41</v>
      </c>
      <c r="B159" s="18" t="str">
        <f t="shared" si="8"/>
        <v>Hide</v>
      </c>
      <c r="D159" s="5">
        <f t="shared" si="9"/>
        <v>35</v>
      </c>
      <c r="F159" s="22" t="str">
        <f>"400-6530-00"</f>
        <v>400-6530-00</v>
      </c>
      <c r="G159" s="23" t="str">
        <f>"Meals/Entertainment - Service/Installation"</f>
        <v>Meals/Entertainment - Service/Installation</v>
      </c>
      <c r="H159" s="26">
        <v>0</v>
      </c>
    </row>
    <row r="160" spans="1:8" hidden="1" x14ac:dyDescent="0.3">
      <c r="A160" s="18" t="s">
        <v>41</v>
      </c>
      <c r="B160" s="18" t="str">
        <f t="shared" si="8"/>
        <v>Hide</v>
      </c>
      <c r="D160" s="5">
        <f t="shared" si="9"/>
        <v>35</v>
      </c>
      <c r="F160" s="22" t="str">
        <f>"500-5600-00"</f>
        <v>500-5600-00</v>
      </c>
      <c r="G160" s="23" t="str">
        <f>"Contract Services - Consulting/Training"</f>
        <v>Contract Services - Consulting/Training</v>
      </c>
      <c r="H160" s="26">
        <v>0</v>
      </c>
    </row>
    <row r="161" spans="1:8" hidden="1" x14ac:dyDescent="0.3">
      <c r="A161" s="18" t="s">
        <v>41</v>
      </c>
      <c r="B161" s="18" t="str">
        <f t="shared" si="8"/>
        <v>Hide</v>
      </c>
      <c r="D161" s="5">
        <f t="shared" si="9"/>
        <v>35</v>
      </c>
      <c r="F161" s="22" t="str">
        <f>"500-6120-00"</f>
        <v>500-6120-00</v>
      </c>
      <c r="G161" s="23" t="str">
        <f>"Supplies/Rental - Consulting/Training"</f>
        <v>Supplies/Rental - Consulting/Training</v>
      </c>
      <c r="H161" s="26">
        <v>0</v>
      </c>
    </row>
    <row r="162" spans="1:8" hidden="1" x14ac:dyDescent="0.3">
      <c r="A162" s="18" t="s">
        <v>41</v>
      </c>
      <c r="B162" s="18" t="str">
        <f t="shared" si="8"/>
        <v>Hide</v>
      </c>
      <c r="D162" s="5">
        <f t="shared" si="9"/>
        <v>35</v>
      </c>
      <c r="F162" s="22" t="str">
        <f>"500-6130-00"</f>
        <v>500-6130-00</v>
      </c>
      <c r="G162" s="23" t="str">
        <f>"Supplies/Hardware - Consulting/Training"</f>
        <v>Supplies/Hardware - Consulting/Training</v>
      </c>
      <c r="H162" s="26">
        <v>0</v>
      </c>
    </row>
    <row r="163" spans="1:8" hidden="1" x14ac:dyDescent="0.3">
      <c r="A163" s="18" t="s">
        <v>41</v>
      </c>
      <c r="B163" s="18" t="str">
        <f t="shared" si="8"/>
        <v>Hide</v>
      </c>
      <c r="D163" s="5">
        <f t="shared" si="9"/>
        <v>35</v>
      </c>
      <c r="F163" s="22" t="str">
        <f>"500-6140-00"</f>
        <v>500-6140-00</v>
      </c>
      <c r="G163" s="23" t="str">
        <f>"Supplies/Software - Consulting/Training"</f>
        <v>Supplies/Software - Consulting/Training</v>
      </c>
      <c r="H163" s="26">
        <v>0</v>
      </c>
    </row>
    <row r="164" spans="1:8" x14ac:dyDescent="0.3">
      <c r="A164" s="18" t="s">
        <v>41</v>
      </c>
      <c r="B164" s="18" t="str">
        <f t="shared" si="8"/>
        <v>Show</v>
      </c>
      <c r="D164" s="5">
        <f t="shared" si="9"/>
        <v>35</v>
      </c>
      <c r="F164" s="22" t="str">
        <f>"500-6150-00"</f>
        <v>500-6150-00</v>
      </c>
      <c r="G164" s="23" t="str">
        <f>"Supplies-Allocated - Consulting/Training"</f>
        <v>Supplies-Allocated - Consulting/Training</v>
      </c>
      <c r="H164" s="26">
        <v>-15</v>
      </c>
    </row>
    <row r="165" spans="1:8" hidden="1" x14ac:dyDescent="0.3">
      <c r="A165" s="18" t="s">
        <v>41</v>
      </c>
      <c r="B165" s="18" t="str">
        <f t="shared" si="8"/>
        <v>Hide</v>
      </c>
      <c r="D165" s="5">
        <f t="shared" si="9"/>
        <v>35</v>
      </c>
      <c r="F165" s="22" t="str">
        <f>"500-6160-00"</f>
        <v>500-6160-00</v>
      </c>
      <c r="G165" s="23" t="str">
        <f>"Dues &amp; Subscriptions - Consulting/Training"</f>
        <v>Dues &amp; Subscriptions - Consulting/Training</v>
      </c>
      <c r="H165" s="26">
        <v>0</v>
      </c>
    </row>
    <row r="166" spans="1:8" hidden="1" x14ac:dyDescent="0.3">
      <c r="A166" s="18" t="s">
        <v>41</v>
      </c>
      <c r="B166" s="18" t="str">
        <f t="shared" si="8"/>
        <v>Hide</v>
      </c>
      <c r="D166" s="5">
        <f t="shared" si="9"/>
        <v>35</v>
      </c>
      <c r="F166" s="22" t="str">
        <f>"500-6170-00"</f>
        <v>500-6170-00</v>
      </c>
      <c r="G166" s="23" t="str">
        <f>"Repairs &amp; Maintenance - Consulting/Training"</f>
        <v>Repairs &amp; Maintenance - Consulting/Training</v>
      </c>
      <c r="H166" s="26">
        <v>0</v>
      </c>
    </row>
    <row r="167" spans="1:8" hidden="1" x14ac:dyDescent="0.3">
      <c r="A167" s="18" t="s">
        <v>41</v>
      </c>
      <c r="B167" s="18" t="str">
        <f t="shared" si="8"/>
        <v>Hide</v>
      </c>
      <c r="D167" s="5">
        <f t="shared" si="9"/>
        <v>35</v>
      </c>
      <c r="F167" s="22" t="str">
        <f>"500-6180-00"</f>
        <v>500-6180-00</v>
      </c>
      <c r="G167" s="23" t="str">
        <f>"Rent Expense - Consulting/Training"</f>
        <v>Rent Expense - Consulting/Training</v>
      </c>
      <c r="H167" s="26">
        <v>0</v>
      </c>
    </row>
    <row r="168" spans="1:8" hidden="1" x14ac:dyDescent="0.3">
      <c r="A168" s="18" t="s">
        <v>41</v>
      </c>
      <c r="B168" s="18" t="str">
        <f t="shared" si="8"/>
        <v>Hide</v>
      </c>
      <c r="D168" s="5">
        <f t="shared" si="9"/>
        <v>35</v>
      </c>
      <c r="F168" s="22" t="str">
        <f>"500-6190-00"</f>
        <v>500-6190-00</v>
      </c>
      <c r="G168" s="23" t="str">
        <f>"Utilities Expense - Consulting/Training"</f>
        <v>Utilities Expense - Consulting/Training</v>
      </c>
      <c r="H168" s="26">
        <v>0</v>
      </c>
    </row>
    <row r="169" spans="1:8" hidden="1" x14ac:dyDescent="0.3">
      <c r="A169" s="18" t="s">
        <v>41</v>
      </c>
      <c r="B169" s="18" t="str">
        <f t="shared" si="8"/>
        <v>Hide</v>
      </c>
      <c r="D169" s="5">
        <f t="shared" si="9"/>
        <v>35</v>
      </c>
      <c r="F169" s="22" t="str">
        <f>"500-6500-00"</f>
        <v>500-6500-00</v>
      </c>
      <c r="G169" s="23" t="str">
        <f>"Postage/Freight - Consulting/Training"</f>
        <v>Postage/Freight - Consulting/Training</v>
      </c>
      <c r="H169" s="26">
        <v>0</v>
      </c>
    </row>
    <row r="170" spans="1:8" hidden="1" x14ac:dyDescent="0.3">
      <c r="A170" s="18" t="s">
        <v>41</v>
      </c>
      <c r="B170" s="18" t="str">
        <f t="shared" si="8"/>
        <v>Hide</v>
      </c>
      <c r="D170" s="5">
        <f t="shared" si="9"/>
        <v>35</v>
      </c>
      <c r="F170" s="22" t="str">
        <f>"500-6510-00"</f>
        <v>500-6510-00</v>
      </c>
      <c r="G170" s="23" t="str">
        <f>"Telephone - Consulting/Training"</f>
        <v>Telephone - Consulting/Training</v>
      </c>
      <c r="H170" s="26">
        <v>0</v>
      </c>
    </row>
    <row r="171" spans="1:8" hidden="1" x14ac:dyDescent="0.3">
      <c r="A171" s="18" t="s">
        <v>41</v>
      </c>
      <c r="B171" s="18" t="str">
        <f t="shared" si="8"/>
        <v>Hide</v>
      </c>
      <c r="D171" s="5">
        <f t="shared" si="9"/>
        <v>35</v>
      </c>
      <c r="F171" s="22" t="str">
        <f>"500-6520-00"</f>
        <v>500-6520-00</v>
      </c>
      <c r="G171" s="23" t="str">
        <f>"Travel - Consulting/Training"</f>
        <v>Travel - Consulting/Training</v>
      </c>
      <c r="H171" s="26">
        <v>0</v>
      </c>
    </row>
    <row r="172" spans="1:8" hidden="1" x14ac:dyDescent="0.3">
      <c r="A172" s="18" t="s">
        <v>41</v>
      </c>
      <c r="B172" s="18" t="str">
        <f t="shared" si="8"/>
        <v>Hide</v>
      </c>
      <c r="D172" s="5">
        <f t="shared" si="9"/>
        <v>35</v>
      </c>
      <c r="F172" s="22" t="str">
        <f>"500-6530-00"</f>
        <v>500-6530-00</v>
      </c>
      <c r="G172" s="23" t="str">
        <f>"Meals/Entertainment - Consulting/Training"</f>
        <v>Meals/Entertainment - Consulting/Training</v>
      </c>
      <c r="H172" s="26">
        <v>0</v>
      </c>
    </row>
    <row r="173" spans="1:8" hidden="1" x14ac:dyDescent="0.3">
      <c r="A173" s="18" t="s">
        <v>41</v>
      </c>
      <c r="B173" s="18" t="str">
        <f t="shared" si="8"/>
        <v>Hide</v>
      </c>
      <c r="D173" s="5">
        <f t="shared" si="9"/>
        <v>35</v>
      </c>
      <c r="F173" s="22" t="str">
        <f>"600-6120-00"</f>
        <v>600-6120-00</v>
      </c>
      <c r="G173" s="23" t="str">
        <f>"Supplies/Rental - Purchasing/Receiving"</f>
        <v>Supplies/Rental - Purchasing/Receiving</v>
      </c>
      <c r="H173" s="26">
        <v>0</v>
      </c>
    </row>
    <row r="174" spans="1:8" hidden="1" x14ac:dyDescent="0.3">
      <c r="A174" s="18" t="s">
        <v>41</v>
      </c>
      <c r="B174" s="18" t="str">
        <f t="shared" si="8"/>
        <v>Hide</v>
      </c>
      <c r="D174" s="5">
        <f t="shared" si="9"/>
        <v>35</v>
      </c>
      <c r="F174" s="22" t="str">
        <f>"600-6130-00"</f>
        <v>600-6130-00</v>
      </c>
      <c r="G174" s="23" t="str">
        <f>"Supplies/Hardware - Purchasing/Receiving"</f>
        <v>Supplies/Hardware - Purchasing/Receiving</v>
      </c>
      <c r="H174" s="26">
        <v>0</v>
      </c>
    </row>
    <row r="175" spans="1:8" hidden="1" x14ac:dyDescent="0.3">
      <c r="A175" s="18" t="s">
        <v>41</v>
      </c>
      <c r="B175" s="18" t="str">
        <f t="shared" si="8"/>
        <v>Hide</v>
      </c>
      <c r="D175" s="5">
        <f t="shared" si="9"/>
        <v>35</v>
      </c>
      <c r="F175" s="22" t="str">
        <f>"600-6140-00"</f>
        <v>600-6140-00</v>
      </c>
      <c r="G175" s="23" t="str">
        <f>"Supplies/Software - Purchases/Receiving"</f>
        <v>Supplies/Software - Purchases/Receiving</v>
      </c>
      <c r="H175" s="26">
        <v>0</v>
      </c>
    </row>
    <row r="176" spans="1:8" hidden="1" x14ac:dyDescent="0.3">
      <c r="A176" s="18" t="s">
        <v>41</v>
      </c>
      <c r="B176" s="18" t="str">
        <f t="shared" si="8"/>
        <v>Hide</v>
      </c>
      <c r="D176" s="5">
        <f t="shared" si="9"/>
        <v>35</v>
      </c>
      <c r="F176" s="22" t="str">
        <f>"600-6150-00"</f>
        <v>600-6150-00</v>
      </c>
      <c r="G176" s="23" t="str">
        <f>"Supplies-Allocated - Purchases/Receiving"</f>
        <v>Supplies-Allocated - Purchases/Receiving</v>
      </c>
      <c r="H176" s="26">
        <v>0</v>
      </c>
    </row>
    <row r="177" spans="1:8" hidden="1" x14ac:dyDescent="0.3">
      <c r="A177" s="18" t="s">
        <v>41</v>
      </c>
      <c r="B177" s="18" t="str">
        <f t="shared" si="8"/>
        <v>Hide</v>
      </c>
      <c r="D177" s="5">
        <f t="shared" si="9"/>
        <v>35</v>
      </c>
      <c r="F177" s="22" t="str">
        <f>"600-6160-00"</f>
        <v>600-6160-00</v>
      </c>
      <c r="G177" s="23" t="str">
        <f>"Dues &amp; Subscriptions - Purchasing/Receiving"</f>
        <v>Dues &amp; Subscriptions - Purchasing/Receiving</v>
      </c>
      <c r="H177" s="26">
        <v>0</v>
      </c>
    </row>
    <row r="178" spans="1:8" hidden="1" x14ac:dyDescent="0.3">
      <c r="A178" s="18" t="s">
        <v>41</v>
      </c>
      <c r="B178" s="18" t="str">
        <f t="shared" si="8"/>
        <v>Hide</v>
      </c>
      <c r="D178" s="5">
        <f t="shared" si="9"/>
        <v>35</v>
      </c>
      <c r="F178" s="22" t="str">
        <f>"600-6170-00"</f>
        <v>600-6170-00</v>
      </c>
      <c r="G178" s="23" t="str">
        <f>"Repairs &amp; Maintenance - Purchasing/Receiving"</f>
        <v>Repairs &amp; Maintenance - Purchasing/Receiving</v>
      </c>
      <c r="H178" s="26">
        <v>0</v>
      </c>
    </row>
    <row r="179" spans="1:8" hidden="1" x14ac:dyDescent="0.3">
      <c r="A179" s="18" t="s">
        <v>41</v>
      </c>
      <c r="B179" s="18" t="str">
        <f t="shared" si="8"/>
        <v>Hide</v>
      </c>
      <c r="D179" s="5">
        <f t="shared" si="9"/>
        <v>35</v>
      </c>
      <c r="F179" s="22" t="str">
        <f>"600-6180-00"</f>
        <v>600-6180-00</v>
      </c>
      <c r="G179" s="23" t="str">
        <f>"Rent Expense - Purchasing/Receiving"</f>
        <v>Rent Expense - Purchasing/Receiving</v>
      </c>
      <c r="H179" s="26">
        <v>0</v>
      </c>
    </row>
    <row r="180" spans="1:8" hidden="1" x14ac:dyDescent="0.3">
      <c r="A180" s="18" t="s">
        <v>41</v>
      </c>
      <c r="B180" s="18" t="str">
        <f t="shared" si="8"/>
        <v>Hide</v>
      </c>
      <c r="D180" s="5">
        <f t="shared" si="9"/>
        <v>35</v>
      </c>
      <c r="F180" s="22" t="str">
        <f>"600-6190-00"</f>
        <v>600-6190-00</v>
      </c>
      <c r="G180" s="23" t="str">
        <f>"Utilities Expense - Purchasing/Receiving"</f>
        <v>Utilities Expense - Purchasing/Receiving</v>
      </c>
      <c r="H180" s="26">
        <v>0</v>
      </c>
    </row>
    <row r="181" spans="1:8" hidden="1" x14ac:dyDescent="0.3">
      <c r="A181" s="18" t="s">
        <v>41</v>
      </c>
      <c r="B181" s="18" t="str">
        <f t="shared" si="8"/>
        <v>Hide</v>
      </c>
      <c r="D181" s="5">
        <f t="shared" si="9"/>
        <v>35</v>
      </c>
      <c r="F181" s="22" t="str">
        <f>"600-6500-00"</f>
        <v>600-6500-00</v>
      </c>
      <c r="G181" s="23" t="str">
        <f>"Postage/Freight - Purchasing/Receiving"</f>
        <v>Postage/Freight - Purchasing/Receiving</v>
      </c>
      <c r="H181" s="26">
        <v>0</v>
      </c>
    </row>
    <row r="182" spans="1:8" hidden="1" x14ac:dyDescent="0.3">
      <c r="A182" s="18" t="s">
        <v>41</v>
      </c>
      <c r="B182" s="18" t="str">
        <f t="shared" si="8"/>
        <v>Hide</v>
      </c>
      <c r="D182" s="5">
        <f t="shared" si="9"/>
        <v>35</v>
      </c>
      <c r="F182" s="22" t="str">
        <f>"600-6510-00"</f>
        <v>600-6510-00</v>
      </c>
      <c r="G182" s="23" t="str">
        <f>"Telephone - Purchasing/Receiving"</f>
        <v>Telephone - Purchasing/Receiving</v>
      </c>
      <c r="H182" s="26">
        <v>0</v>
      </c>
    </row>
    <row r="183" spans="1:8" hidden="1" x14ac:dyDescent="0.3">
      <c r="A183" s="18" t="s">
        <v>41</v>
      </c>
      <c r="B183" s="18" t="str">
        <f t="shared" si="8"/>
        <v>Hide</v>
      </c>
      <c r="D183" s="5">
        <f t="shared" si="9"/>
        <v>35</v>
      </c>
      <c r="F183" s="22" t="str">
        <f>"600-6520-00"</f>
        <v>600-6520-00</v>
      </c>
      <c r="G183" s="23" t="str">
        <f>"Travel - Purchasing/Receiving"</f>
        <v>Travel - Purchasing/Receiving</v>
      </c>
      <c r="H183" s="26">
        <v>0</v>
      </c>
    </row>
    <row r="184" spans="1:8" hidden="1" x14ac:dyDescent="0.3">
      <c r="A184" s="18" t="s">
        <v>41</v>
      </c>
      <c r="B184" s="18" t="str">
        <f t="shared" si="8"/>
        <v>Hide</v>
      </c>
      <c r="D184" s="5">
        <f t="shared" si="9"/>
        <v>35</v>
      </c>
      <c r="F184" s="22" t="str">
        <f>"600-6530-00"</f>
        <v>600-6530-00</v>
      </c>
      <c r="G184" s="23" t="str">
        <f>"Meals/Entertainment - Purchasing/Receiving"</f>
        <v>Meals/Entertainment - Purchasing/Receiving</v>
      </c>
      <c r="H184" s="26">
        <v>0</v>
      </c>
    </row>
    <row r="185" spans="1:8" x14ac:dyDescent="0.3">
      <c r="A185" s="18"/>
      <c r="B185" s="18" t="str">
        <f>$B$87</f>
        <v>Show</v>
      </c>
      <c r="F185" s="27"/>
      <c r="G185" s="29"/>
      <c r="H185" s="28"/>
    </row>
    <row r="186" spans="1:8" x14ac:dyDescent="0.3">
      <c r="A186" s="18"/>
      <c r="B186" s="18" t="str">
        <f>IF(H186=0,"Hide","Show")</f>
        <v>Show</v>
      </c>
      <c r="D186" s="30">
        <v>36</v>
      </c>
      <c r="F186" s="21" t="str">
        <f>"Salaries Expense"</f>
        <v>Salaries Expense</v>
      </c>
      <c r="G186" s="16"/>
      <c r="H186" s="25">
        <v>-259524.22</v>
      </c>
    </row>
    <row r="187" spans="1:8" x14ac:dyDescent="0.3">
      <c r="A187" s="18"/>
      <c r="B187" s="18" t="str">
        <f>IF(H187=0,"Hide","Show")</f>
        <v>Show</v>
      </c>
      <c r="D187" s="5">
        <f>D186</f>
        <v>36</v>
      </c>
      <c r="F187" s="22" t="str">
        <f>"000-5100-00"</f>
        <v>000-5100-00</v>
      </c>
      <c r="G187" s="23" t="str">
        <f>"Salaries and Wages"</f>
        <v>Salaries and Wages</v>
      </c>
      <c r="H187" s="26">
        <v>-244834.1</v>
      </c>
    </row>
    <row r="188" spans="1:8" hidden="1" x14ac:dyDescent="0.3">
      <c r="A188" s="18" t="s">
        <v>41</v>
      </c>
      <c r="B188" s="18" t="str">
        <f t="shared" ref="B188:B224" si="10">IF(H188=0,"Hide","Show")</f>
        <v>Hide</v>
      </c>
      <c r="D188" s="5">
        <f t="shared" ref="D188:D224" si="11">D187</f>
        <v>36</v>
      </c>
      <c r="F188" s="22" t="str">
        <f>"100-5100-00"</f>
        <v>100-5100-00</v>
      </c>
      <c r="G188" s="23" t="str">
        <f>"Salaries and Wages - Administration"</f>
        <v>Salaries and Wages - Administration</v>
      </c>
      <c r="H188" s="26">
        <v>0</v>
      </c>
    </row>
    <row r="189" spans="1:8" hidden="1" x14ac:dyDescent="0.3">
      <c r="A189" s="18" t="s">
        <v>41</v>
      </c>
      <c r="B189" s="18" t="str">
        <f t="shared" si="10"/>
        <v>Hide</v>
      </c>
      <c r="D189" s="5">
        <f t="shared" si="11"/>
        <v>36</v>
      </c>
      <c r="F189" s="22" t="str">
        <f>"100-5110-00"</f>
        <v>100-5110-00</v>
      </c>
      <c r="G189" s="23" t="str">
        <f>"Overtime Pay - Administration"</f>
        <v>Overtime Pay - Administration</v>
      </c>
      <c r="H189" s="26">
        <v>0</v>
      </c>
    </row>
    <row r="190" spans="1:8" hidden="1" x14ac:dyDescent="0.3">
      <c r="A190" s="18" t="s">
        <v>41</v>
      </c>
      <c r="B190" s="18" t="str">
        <f t="shared" si="10"/>
        <v>Hide</v>
      </c>
      <c r="D190" s="5">
        <f t="shared" si="11"/>
        <v>36</v>
      </c>
      <c r="F190" s="22" t="str">
        <f>"100-5120-00"</f>
        <v>100-5120-00</v>
      </c>
      <c r="G190" s="23" t="str">
        <f>"Bonuses - Administration"</f>
        <v>Bonuses - Administration</v>
      </c>
      <c r="H190" s="26">
        <v>0</v>
      </c>
    </row>
    <row r="191" spans="1:8" hidden="1" x14ac:dyDescent="0.3">
      <c r="A191" s="18" t="s">
        <v>41</v>
      </c>
      <c r="B191" s="18" t="str">
        <f t="shared" si="10"/>
        <v>Hide</v>
      </c>
      <c r="D191" s="5">
        <f t="shared" si="11"/>
        <v>36</v>
      </c>
      <c r="F191" s="22" t="str">
        <f>"100-5140-00"</f>
        <v>100-5140-00</v>
      </c>
      <c r="G191" s="23" t="str">
        <f>"Profit Sharing - Administration"</f>
        <v>Profit Sharing - Administration</v>
      </c>
      <c r="H191" s="26">
        <v>0</v>
      </c>
    </row>
    <row r="192" spans="1:8" hidden="1" x14ac:dyDescent="0.3">
      <c r="A192" s="18" t="s">
        <v>41</v>
      </c>
      <c r="B192" s="18" t="str">
        <f t="shared" si="10"/>
        <v>Hide</v>
      </c>
      <c r="D192" s="5">
        <f t="shared" si="11"/>
        <v>36</v>
      </c>
      <c r="F192" s="22" t="str">
        <f>"200-5100-00"</f>
        <v>200-5100-00</v>
      </c>
      <c r="G192" s="23" t="str">
        <f>"Salaries and Wages - Accounting"</f>
        <v>Salaries and Wages - Accounting</v>
      </c>
      <c r="H192" s="26">
        <v>0</v>
      </c>
    </row>
    <row r="193" spans="1:8" hidden="1" x14ac:dyDescent="0.3">
      <c r="A193" s="18" t="s">
        <v>41</v>
      </c>
      <c r="B193" s="18" t="str">
        <f t="shared" si="10"/>
        <v>Hide</v>
      </c>
      <c r="D193" s="5">
        <f t="shared" si="11"/>
        <v>36</v>
      </c>
      <c r="F193" s="22" t="str">
        <f>"200-5110-00"</f>
        <v>200-5110-00</v>
      </c>
      <c r="G193" s="23" t="str">
        <f>"Overtime Pay - Accounting"</f>
        <v>Overtime Pay - Accounting</v>
      </c>
      <c r="H193" s="26">
        <v>0</v>
      </c>
    </row>
    <row r="194" spans="1:8" hidden="1" x14ac:dyDescent="0.3">
      <c r="A194" s="18" t="s">
        <v>41</v>
      </c>
      <c r="B194" s="18" t="str">
        <f t="shared" si="10"/>
        <v>Hide</v>
      </c>
      <c r="D194" s="5">
        <f t="shared" si="11"/>
        <v>36</v>
      </c>
      <c r="F194" s="22" t="str">
        <f>"200-5120-00"</f>
        <v>200-5120-00</v>
      </c>
      <c r="G194" s="23" t="str">
        <f>"Bonuses - Accounting"</f>
        <v>Bonuses - Accounting</v>
      </c>
      <c r="H194" s="26">
        <v>0</v>
      </c>
    </row>
    <row r="195" spans="1:8" hidden="1" x14ac:dyDescent="0.3">
      <c r="A195" s="18" t="s">
        <v>41</v>
      </c>
      <c r="B195" s="18" t="str">
        <f t="shared" si="10"/>
        <v>Hide</v>
      </c>
      <c r="D195" s="5">
        <f t="shared" si="11"/>
        <v>36</v>
      </c>
      <c r="F195" s="22" t="str">
        <f>"200-5140-00"</f>
        <v>200-5140-00</v>
      </c>
      <c r="G195" s="23" t="str">
        <f>"Profit Sharing - Accounting"</f>
        <v>Profit Sharing - Accounting</v>
      </c>
      <c r="H195" s="26">
        <v>0</v>
      </c>
    </row>
    <row r="196" spans="1:8" hidden="1" x14ac:dyDescent="0.3">
      <c r="A196" s="18" t="s">
        <v>41</v>
      </c>
      <c r="B196" s="18" t="str">
        <f t="shared" si="10"/>
        <v>Hide</v>
      </c>
      <c r="D196" s="5">
        <f t="shared" si="11"/>
        <v>36</v>
      </c>
      <c r="F196" s="22" t="str">
        <f>"300-5100-00"</f>
        <v>300-5100-00</v>
      </c>
      <c r="G196" s="23" t="str">
        <f>"Salaries and Wages - Sales"</f>
        <v>Salaries and Wages - Sales</v>
      </c>
      <c r="H196" s="26">
        <v>0</v>
      </c>
    </row>
    <row r="197" spans="1:8" hidden="1" x14ac:dyDescent="0.3">
      <c r="A197" s="18" t="s">
        <v>41</v>
      </c>
      <c r="B197" s="18" t="str">
        <f t="shared" si="10"/>
        <v>Hide</v>
      </c>
      <c r="D197" s="5">
        <f t="shared" si="11"/>
        <v>36</v>
      </c>
      <c r="F197" s="22" t="str">
        <f>"300-5110-00"</f>
        <v>300-5110-00</v>
      </c>
      <c r="G197" s="23" t="str">
        <f>"Overtime Pay - Sales"</f>
        <v>Overtime Pay - Sales</v>
      </c>
      <c r="H197" s="26">
        <v>0</v>
      </c>
    </row>
    <row r="198" spans="1:8" hidden="1" x14ac:dyDescent="0.3">
      <c r="A198" s="18" t="s">
        <v>41</v>
      </c>
      <c r="B198" s="18" t="str">
        <f t="shared" si="10"/>
        <v>Hide</v>
      </c>
      <c r="D198" s="5">
        <f t="shared" si="11"/>
        <v>36</v>
      </c>
      <c r="F198" s="22" t="str">
        <f>"300-5120-00"</f>
        <v>300-5120-00</v>
      </c>
      <c r="G198" s="23" t="str">
        <f>"Bonuses - Sales"</f>
        <v>Bonuses - Sales</v>
      </c>
      <c r="H198" s="26">
        <v>0</v>
      </c>
    </row>
    <row r="199" spans="1:8" x14ac:dyDescent="0.3">
      <c r="A199" s="18" t="s">
        <v>41</v>
      </c>
      <c r="B199" s="18" t="str">
        <f t="shared" si="10"/>
        <v>Show</v>
      </c>
      <c r="D199" s="5">
        <f t="shared" si="11"/>
        <v>36</v>
      </c>
      <c r="F199" s="22" t="str">
        <f>"300-5130-00"</f>
        <v>300-5130-00</v>
      </c>
      <c r="G199" s="23" t="str">
        <f>"Commissions - Sales"</f>
        <v>Commissions - Sales</v>
      </c>
      <c r="H199" s="26">
        <v>-14690.12</v>
      </c>
    </row>
    <row r="200" spans="1:8" hidden="1" x14ac:dyDescent="0.3">
      <c r="A200" s="18" t="s">
        <v>41</v>
      </c>
      <c r="B200" s="18" t="str">
        <f t="shared" si="10"/>
        <v>Hide</v>
      </c>
      <c r="D200" s="5">
        <f t="shared" si="11"/>
        <v>36</v>
      </c>
      <c r="F200" s="22" t="str">
        <f>"300-5140-00"</f>
        <v>300-5140-00</v>
      </c>
      <c r="G200" s="23" t="str">
        <f>"Profit Sharing - Sales"</f>
        <v>Profit Sharing - Sales</v>
      </c>
      <c r="H200" s="26">
        <v>0</v>
      </c>
    </row>
    <row r="201" spans="1:8" hidden="1" x14ac:dyDescent="0.3">
      <c r="A201" s="18" t="s">
        <v>41</v>
      </c>
      <c r="B201" s="18" t="str">
        <f t="shared" si="10"/>
        <v>Hide</v>
      </c>
      <c r="D201" s="5">
        <f t="shared" si="11"/>
        <v>36</v>
      </c>
      <c r="F201" s="22" t="str">
        <f>"400-5100-00"</f>
        <v>400-5100-00</v>
      </c>
      <c r="G201" s="23" t="str">
        <f>"Salaries and Wages - Service/Installation US"</f>
        <v>Salaries and Wages - Service/Installation US</v>
      </c>
      <c r="H201" s="26">
        <v>0</v>
      </c>
    </row>
    <row r="202" spans="1:8" hidden="1" x14ac:dyDescent="0.3">
      <c r="A202" s="18" t="s">
        <v>41</v>
      </c>
      <c r="B202" s="18" t="str">
        <f t="shared" si="10"/>
        <v>Hide</v>
      </c>
      <c r="D202" s="5">
        <f t="shared" si="11"/>
        <v>36</v>
      </c>
      <c r="F202" s="22" t="str">
        <f>"400-5101-00"</f>
        <v>400-5101-00</v>
      </c>
      <c r="G202" s="23" t="str">
        <f>"Salaries and Wages - Service/Installation Canada"</f>
        <v>Salaries and Wages - Service/Installation Canada</v>
      </c>
      <c r="H202" s="26">
        <v>0</v>
      </c>
    </row>
    <row r="203" spans="1:8" hidden="1" x14ac:dyDescent="0.3">
      <c r="A203" s="18" t="s">
        <v>41</v>
      </c>
      <c r="B203" s="18" t="str">
        <f t="shared" si="10"/>
        <v>Hide</v>
      </c>
      <c r="D203" s="5">
        <f t="shared" si="11"/>
        <v>36</v>
      </c>
      <c r="F203" s="22" t="str">
        <f>"400-5110-00"</f>
        <v>400-5110-00</v>
      </c>
      <c r="G203" s="23" t="str">
        <f>"Overtime Pay - Service/Installation US"</f>
        <v>Overtime Pay - Service/Installation US</v>
      </c>
      <c r="H203" s="26">
        <v>0</v>
      </c>
    </row>
    <row r="204" spans="1:8" hidden="1" x14ac:dyDescent="0.3">
      <c r="A204" s="18" t="s">
        <v>41</v>
      </c>
      <c r="B204" s="18" t="str">
        <f t="shared" si="10"/>
        <v>Hide</v>
      </c>
      <c r="D204" s="5">
        <f t="shared" si="11"/>
        <v>36</v>
      </c>
      <c r="F204" s="22" t="str">
        <f>"400-5111-00"</f>
        <v>400-5111-00</v>
      </c>
      <c r="G204" s="23" t="str">
        <f>"Overtime Pay - Service/Installation Canada"</f>
        <v>Overtime Pay - Service/Installation Canada</v>
      </c>
      <c r="H204" s="26">
        <v>0</v>
      </c>
    </row>
    <row r="205" spans="1:8" hidden="1" x14ac:dyDescent="0.3">
      <c r="A205" s="18" t="s">
        <v>41</v>
      </c>
      <c r="B205" s="18" t="str">
        <f t="shared" si="10"/>
        <v>Hide</v>
      </c>
      <c r="D205" s="5">
        <f t="shared" si="11"/>
        <v>36</v>
      </c>
      <c r="F205" s="22" t="str">
        <f>"400-5120-00"</f>
        <v>400-5120-00</v>
      </c>
      <c r="G205" s="23" t="str">
        <f>"Bonuses - Services/Installation US"</f>
        <v>Bonuses - Services/Installation US</v>
      </c>
      <c r="H205" s="26">
        <v>0</v>
      </c>
    </row>
    <row r="206" spans="1:8" hidden="1" x14ac:dyDescent="0.3">
      <c r="A206" s="18" t="s">
        <v>41</v>
      </c>
      <c r="B206" s="18" t="str">
        <f t="shared" si="10"/>
        <v>Hide</v>
      </c>
      <c r="D206" s="5">
        <f t="shared" si="11"/>
        <v>36</v>
      </c>
      <c r="F206" s="22" t="str">
        <f>"400-5121-00"</f>
        <v>400-5121-00</v>
      </c>
      <c r="G206" s="23" t="str">
        <f>"Bonuses - Services/Installation Canada"</f>
        <v>Bonuses - Services/Installation Canada</v>
      </c>
      <c r="H206" s="26">
        <v>0</v>
      </c>
    </row>
    <row r="207" spans="1:8" hidden="1" x14ac:dyDescent="0.3">
      <c r="A207" s="18" t="s">
        <v>41</v>
      </c>
      <c r="B207" s="18" t="str">
        <f t="shared" si="10"/>
        <v>Hide</v>
      </c>
      <c r="D207" s="5">
        <f t="shared" si="11"/>
        <v>36</v>
      </c>
      <c r="F207" s="22" t="str">
        <f>"400-5130-00"</f>
        <v>400-5130-00</v>
      </c>
      <c r="G207" s="23" t="str">
        <f>"Commissions - Service/Installation US"</f>
        <v>Commissions - Service/Installation US</v>
      </c>
      <c r="H207" s="26">
        <v>0</v>
      </c>
    </row>
    <row r="208" spans="1:8" hidden="1" x14ac:dyDescent="0.3">
      <c r="A208" s="18" t="s">
        <v>41</v>
      </c>
      <c r="B208" s="18" t="str">
        <f t="shared" si="10"/>
        <v>Hide</v>
      </c>
      <c r="D208" s="5">
        <f t="shared" si="11"/>
        <v>36</v>
      </c>
      <c r="F208" s="22" t="str">
        <f>"400-5131-00"</f>
        <v>400-5131-00</v>
      </c>
      <c r="G208" s="23" t="str">
        <f>"Commissions - Service/Installation Canada"</f>
        <v>Commissions - Service/Installation Canada</v>
      </c>
      <c r="H208" s="26">
        <v>0</v>
      </c>
    </row>
    <row r="209" spans="1:8" hidden="1" x14ac:dyDescent="0.3">
      <c r="A209" s="18" t="s">
        <v>41</v>
      </c>
      <c r="B209" s="18" t="str">
        <f t="shared" si="10"/>
        <v>Hide</v>
      </c>
      <c r="D209" s="5">
        <f t="shared" si="11"/>
        <v>36</v>
      </c>
      <c r="F209" s="22" t="str">
        <f>"400-5140-00"</f>
        <v>400-5140-00</v>
      </c>
      <c r="G209" s="23" t="str">
        <f>"Profit Sharing - Service/Installation US"</f>
        <v>Profit Sharing - Service/Installation US</v>
      </c>
      <c r="H209" s="26">
        <v>0</v>
      </c>
    </row>
    <row r="210" spans="1:8" hidden="1" x14ac:dyDescent="0.3">
      <c r="A210" s="18" t="s">
        <v>41</v>
      </c>
      <c r="B210" s="18" t="str">
        <f t="shared" si="10"/>
        <v>Hide</v>
      </c>
      <c r="D210" s="5">
        <f t="shared" si="11"/>
        <v>36</v>
      </c>
      <c r="F210" s="22" t="str">
        <f>"400-5141-00"</f>
        <v>400-5141-00</v>
      </c>
      <c r="G210" s="23" t="str">
        <f>"Profit Sharing - Service/Installation Canada"</f>
        <v>Profit Sharing - Service/Installation Canada</v>
      </c>
      <c r="H210" s="26">
        <v>0</v>
      </c>
    </row>
    <row r="211" spans="1:8" hidden="1" x14ac:dyDescent="0.3">
      <c r="A211" s="18" t="s">
        <v>41</v>
      </c>
      <c r="B211" s="18" t="str">
        <f t="shared" si="10"/>
        <v>Hide</v>
      </c>
      <c r="D211" s="5">
        <f t="shared" si="11"/>
        <v>36</v>
      </c>
      <c r="F211" s="22" t="str">
        <f>"500-5100-00"</f>
        <v>500-5100-00</v>
      </c>
      <c r="G211" s="23" t="str">
        <f>"Salaries and Wages - Consulting/Training US"</f>
        <v>Salaries and Wages - Consulting/Training US</v>
      </c>
      <c r="H211" s="26">
        <v>0</v>
      </c>
    </row>
    <row r="212" spans="1:8" hidden="1" x14ac:dyDescent="0.3">
      <c r="A212" s="18" t="s">
        <v>41</v>
      </c>
      <c r="B212" s="18" t="str">
        <f t="shared" si="10"/>
        <v>Hide</v>
      </c>
      <c r="D212" s="5">
        <f t="shared" si="11"/>
        <v>36</v>
      </c>
      <c r="F212" s="22" t="str">
        <f>"500-5101-00"</f>
        <v>500-5101-00</v>
      </c>
      <c r="G212" s="23" t="str">
        <f>"Salaries and Wages - Consulting/Training Canada"</f>
        <v>Salaries and Wages - Consulting/Training Canada</v>
      </c>
      <c r="H212" s="26">
        <v>0</v>
      </c>
    </row>
    <row r="213" spans="1:8" hidden="1" x14ac:dyDescent="0.3">
      <c r="A213" s="18" t="s">
        <v>41</v>
      </c>
      <c r="B213" s="18" t="str">
        <f t="shared" si="10"/>
        <v>Hide</v>
      </c>
      <c r="D213" s="5">
        <f t="shared" si="11"/>
        <v>36</v>
      </c>
      <c r="F213" s="22" t="str">
        <f>"500-5110-00"</f>
        <v>500-5110-00</v>
      </c>
      <c r="G213" s="23" t="str">
        <f>"Overtime Pay - Consulting/Training US"</f>
        <v>Overtime Pay - Consulting/Training US</v>
      </c>
      <c r="H213" s="26">
        <v>0</v>
      </c>
    </row>
    <row r="214" spans="1:8" hidden="1" x14ac:dyDescent="0.3">
      <c r="A214" s="18" t="s">
        <v>41</v>
      </c>
      <c r="B214" s="18" t="str">
        <f t="shared" si="10"/>
        <v>Hide</v>
      </c>
      <c r="D214" s="5">
        <f t="shared" si="11"/>
        <v>36</v>
      </c>
      <c r="F214" s="22" t="str">
        <f>"500-5111-00"</f>
        <v>500-5111-00</v>
      </c>
      <c r="G214" s="23" t="str">
        <f>"Overtime Pay - Consulting/Training Canada"</f>
        <v>Overtime Pay - Consulting/Training Canada</v>
      </c>
      <c r="H214" s="26">
        <v>0</v>
      </c>
    </row>
    <row r="215" spans="1:8" hidden="1" x14ac:dyDescent="0.3">
      <c r="A215" s="18" t="s">
        <v>41</v>
      </c>
      <c r="B215" s="18" t="str">
        <f t="shared" si="10"/>
        <v>Hide</v>
      </c>
      <c r="D215" s="5">
        <f t="shared" si="11"/>
        <v>36</v>
      </c>
      <c r="F215" s="22" t="str">
        <f>"500-5120-00"</f>
        <v>500-5120-00</v>
      </c>
      <c r="G215" s="23" t="str">
        <f>"Bonuses - Consulting/Training US"</f>
        <v>Bonuses - Consulting/Training US</v>
      </c>
      <c r="H215" s="26">
        <v>0</v>
      </c>
    </row>
    <row r="216" spans="1:8" hidden="1" x14ac:dyDescent="0.3">
      <c r="A216" s="18" t="s">
        <v>41</v>
      </c>
      <c r="B216" s="18" t="str">
        <f t="shared" si="10"/>
        <v>Hide</v>
      </c>
      <c r="D216" s="5">
        <f t="shared" si="11"/>
        <v>36</v>
      </c>
      <c r="F216" s="22" t="str">
        <f>"500-5121-00"</f>
        <v>500-5121-00</v>
      </c>
      <c r="G216" s="23" t="str">
        <f>"Bonuses - Consulting/Training Canada"</f>
        <v>Bonuses - Consulting/Training Canada</v>
      </c>
      <c r="H216" s="26">
        <v>0</v>
      </c>
    </row>
    <row r="217" spans="1:8" hidden="1" x14ac:dyDescent="0.3">
      <c r="A217" s="18" t="s">
        <v>41</v>
      </c>
      <c r="B217" s="18" t="str">
        <f t="shared" si="10"/>
        <v>Hide</v>
      </c>
      <c r="D217" s="5">
        <f t="shared" si="11"/>
        <v>36</v>
      </c>
      <c r="F217" s="22" t="str">
        <f>"500-5130-00"</f>
        <v>500-5130-00</v>
      </c>
      <c r="G217" s="23" t="str">
        <f>"Commissions - Consulting/Training US"</f>
        <v>Commissions - Consulting/Training US</v>
      </c>
      <c r="H217" s="26">
        <v>0</v>
      </c>
    </row>
    <row r="218" spans="1:8" hidden="1" x14ac:dyDescent="0.3">
      <c r="A218" s="18" t="s">
        <v>41</v>
      </c>
      <c r="B218" s="18" t="str">
        <f t="shared" si="10"/>
        <v>Hide</v>
      </c>
      <c r="D218" s="5">
        <f t="shared" si="11"/>
        <v>36</v>
      </c>
      <c r="F218" s="22" t="str">
        <f>"500-5131-00"</f>
        <v>500-5131-00</v>
      </c>
      <c r="G218" s="23" t="str">
        <f>"Commissions - Consulting/Training Canada"</f>
        <v>Commissions - Consulting/Training Canada</v>
      </c>
      <c r="H218" s="26">
        <v>0</v>
      </c>
    </row>
    <row r="219" spans="1:8" hidden="1" x14ac:dyDescent="0.3">
      <c r="A219" s="18" t="s">
        <v>41</v>
      </c>
      <c r="B219" s="18" t="str">
        <f t="shared" si="10"/>
        <v>Hide</v>
      </c>
      <c r="D219" s="5">
        <f t="shared" si="11"/>
        <v>36</v>
      </c>
      <c r="F219" s="22" t="str">
        <f>"500-5140-00"</f>
        <v>500-5140-00</v>
      </c>
      <c r="G219" s="23" t="str">
        <f>"Profit Sharing - Consulting/Training US"</f>
        <v>Profit Sharing - Consulting/Training US</v>
      </c>
      <c r="H219" s="26">
        <v>0</v>
      </c>
    </row>
    <row r="220" spans="1:8" hidden="1" x14ac:dyDescent="0.3">
      <c r="A220" s="18" t="s">
        <v>41</v>
      </c>
      <c r="B220" s="18" t="str">
        <f t="shared" si="10"/>
        <v>Hide</v>
      </c>
      <c r="D220" s="5">
        <f t="shared" si="11"/>
        <v>36</v>
      </c>
      <c r="F220" s="22" t="str">
        <f>"500-5141-00"</f>
        <v>500-5141-00</v>
      </c>
      <c r="G220" s="23" t="str">
        <f>"Profit Sharing - Consulting/Training Canada"</f>
        <v>Profit Sharing - Consulting/Training Canada</v>
      </c>
      <c r="H220" s="26">
        <v>0</v>
      </c>
    </row>
    <row r="221" spans="1:8" hidden="1" x14ac:dyDescent="0.3">
      <c r="A221" s="18" t="s">
        <v>41</v>
      </c>
      <c r="B221" s="18" t="str">
        <f t="shared" si="10"/>
        <v>Hide</v>
      </c>
      <c r="D221" s="5">
        <f t="shared" si="11"/>
        <v>36</v>
      </c>
      <c r="F221" s="22" t="str">
        <f>"600-5100-00"</f>
        <v>600-5100-00</v>
      </c>
      <c r="G221" s="23" t="str">
        <f>"Salaries and Wages - Purchasing/Receiving"</f>
        <v>Salaries and Wages - Purchasing/Receiving</v>
      </c>
      <c r="H221" s="26">
        <v>0</v>
      </c>
    </row>
    <row r="222" spans="1:8" hidden="1" x14ac:dyDescent="0.3">
      <c r="A222" s="18" t="s">
        <v>41</v>
      </c>
      <c r="B222" s="18" t="str">
        <f t="shared" si="10"/>
        <v>Hide</v>
      </c>
      <c r="D222" s="5">
        <f t="shared" si="11"/>
        <v>36</v>
      </c>
      <c r="F222" s="22" t="str">
        <f>"600-5110-00"</f>
        <v>600-5110-00</v>
      </c>
      <c r="G222" s="23" t="str">
        <f>"Overtime Pay - Purchasing/Receiving"</f>
        <v>Overtime Pay - Purchasing/Receiving</v>
      </c>
      <c r="H222" s="26">
        <v>0</v>
      </c>
    </row>
    <row r="223" spans="1:8" hidden="1" x14ac:dyDescent="0.3">
      <c r="A223" s="18" t="s">
        <v>41</v>
      </c>
      <c r="B223" s="18" t="str">
        <f t="shared" si="10"/>
        <v>Hide</v>
      </c>
      <c r="D223" s="5">
        <f t="shared" si="11"/>
        <v>36</v>
      </c>
      <c r="F223" s="22" t="str">
        <f>"600-5120-00"</f>
        <v>600-5120-00</v>
      </c>
      <c r="G223" s="23" t="str">
        <f>"Bonuses - Purchasing/Receiving"</f>
        <v>Bonuses - Purchasing/Receiving</v>
      </c>
      <c r="H223" s="26">
        <v>0</v>
      </c>
    </row>
    <row r="224" spans="1:8" hidden="1" x14ac:dyDescent="0.3">
      <c r="A224" s="18" t="s">
        <v>41</v>
      </c>
      <c r="B224" s="18" t="str">
        <f t="shared" si="10"/>
        <v>Hide</v>
      </c>
      <c r="D224" s="5">
        <f t="shared" si="11"/>
        <v>36</v>
      </c>
      <c r="F224" s="22" t="str">
        <f>"600-5140-00"</f>
        <v>600-5140-00</v>
      </c>
      <c r="G224" s="23" t="str">
        <f>"Profit Sharing - Purchasing/Receiving"</f>
        <v>Profit Sharing - Purchasing/Receiving</v>
      </c>
      <c r="H224" s="26">
        <v>0</v>
      </c>
    </row>
    <row r="225" spans="1:8" x14ac:dyDescent="0.3">
      <c r="A225" s="18"/>
      <c r="B225" s="18" t="str">
        <f>$B$186</f>
        <v>Show</v>
      </c>
      <c r="F225" s="27"/>
      <c r="G225" s="29"/>
      <c r="H225" s="28"/>
    </row>
    <row r="226" spans="1:8" x14ac:dyDescent="0.3">
      <c r="A226" s="18"/>
      <c r="B226" s="18" t="str">
        <f>IF(H226=0,"Hide","Show")</f>
        <v>Show</v>
      </c>
      <c r="D226" s="30">
        <v>37</v>
      </c>
      <c r="F226" s="21" t="str">
        <f>"Other Employee Expenses"</f>
        <v>Other Employee Expenses</v>
      </c>
      <c r="G226" s="16"/>
      <c r="H226" s="25">
        <v>-8592.56</v>
      </c>
    </row>
    <row r="227" spans="1:8" x14ac:dyDescent="0.3">
      <c r="A227" s="18"/>
      <c r="B227" s="18" t="str">
        <f>IF(H227=0,"Hide","Show")</f>
        <v>Show</v>
      </c>
      <c r="D227" s="5">
        <f>D226</f>
        <v>37</v>
      </c>
      <c r="F227" s="22" t="str">
        <f>"100-5150-00"</f>
        <v>100-5150-00</v>
      </c>
      <c r="G227" s="23" t="str">
        <f>"Employee Benefits - Administration"</f>
        <v>Employee Benefits - Administration</v>
      </c>
      <c r="H227" s="26">
        <v>-8592.56</v>
      </c>
    </row>
    <row r="228" spans="1:8" hidden="1" x14ac:dyDescent="0.3">
      <c r="A228" s="18" t="s">
        <v>41</v>
      </c>
      <c r="B228" s="18" t="str">
        <f t="shared" ref="B228:B244" si="12">IF(H228=0,"Hide","Show")</f>
        <v>Hide</v>
      </c>
      <c r="D228" s="5">
        <f t="shared" ref="D228:D244" si="13">D227</f>
        <v>37</v>
      </c>
      <c r="F228" s="22" t="str">
        <f>"100-5160-00"</f>
        <v>100-5160-00</v>
      </c>
      <c r="G228" s="23" t="str">
        <f>"Health Insurance Expense - Administration"</f>
        <v>Health Insurance Expense - Administration</v>
      </c>
      <c r="H228" s="26">
        <v>0</v>
      </c>
    </row>
    <row r="229" spans="1:8" hidden="1" x14ac:dyDescent="0.3">
      <c r="A229" s="18" t="s">
        <v>41</v>
      </c>
      <c r="B229" s="18" t="str">
        <f t="shared" si="12"/>
        <v>Hide</v>
      </c>
      <c r="D229" s="5">
        <f t="shared" si="13"/>
        <v>37</v>
      </c>
      <c r="F229" s="22" t="str">
        <f>"100-6100-00"</f>
        <v>100-6100-00</v>
      </c>
      <c r="G229" s="23" t="str">
        <f>"Training - Administration"</f>
        <v>Training - Administration</v>
      </c>
      <c r="H229" s="26">
        <v>0</v>
      </c>
    </row>
    <row r="230" spans="1:8" hidden="1" x14ac:dyDescent="0.3">
      <c r="A230" s="18" t="s">
        <v>41</v>
      </c>
      <c r="B230" s="18" t="str">
        <f t="shared" si="12"/>
        <v>Hide</v>
      </c>
      <c r="D230" s="5">
        <f t="shared" si="13"/>
        <v>37</v>
      </c>
      <c r="F230" s="22" t="str">
        <f>"200-5150-00"</f>
        <v>200-5150-00</v>
      </c>
      <c r="G230" s="23" t="str">
        <f>"Employee Benefits - Accounting"</f>
        <v>Employee Benefits - Accounting</v>
      </c>
      <c r="H230" s="26">
        <v>0</v>
      </c>
    </row>
    <row r="231" spans="1:8" hidden="1" x14ac:dyDescent="0.3">
      <c r="A231" s="18" t="s">
        <v>41</v>
      </c>
      <c r="B231" s="18" t="str">
        <f t="shared" si="12"/>
        <v>Hide</v>
      </c>
      <c r="D231" s="5">
        <f t="shared" si="13"/>
        <v>37</v>
      </c>
      <c r="F231" s="22" t="str">
        <f>"200-5160-00"</f>
        <v>200-5160-00</v>
      </c>
      <c r="G231" s="23" t="str">
        <f>"Health Insurance Expense - Accounting"</f>
        <v>Health Insurance Expense - Accounting</v>
      </c>
      <c r="H231" s="26">
        <v>0</v>
      </c>
    </row>
    <row r="232" spans="1:8" hidden="1" x14ac:dyDescent="0.3">
      <c r="A232" s="18" t="s">
        <v>41</v>
      </c>
      <c r="B232" s="18" t="str">
        <f t="shared" si="12"/>
        <v>Hide</v>
      </c>
      <c r="D232" s="5">
        <f t="shared" si="13"/>
        <v>37</v>
      </c>
      <c r="F232" s="22" t="str">
        <f>"200-6100-00"</f>
        <v>200-6100-00</v>
      </c>
      <c r="G232" s="23" t="str">
        <f>"Training - Accounting"</f>
        <v>Training - Accounting</v>
      </c>
      <c r="H232" s="26">
        <v>0</v>
      </c>
    </row>
    <row r="233" spans="1:8" hidden="1" x14ac:dyDescent="0.3">
      <c r="A233" s="18" t="s">
        <v>41</v>
      </c>
      <c r="B233" s="18" t="str">
        <f t="shared" si="12"/>
        <v>Hide</v>
      </c>
      <c r="D233" s="5">
        <f t="shared" si="13"/>
        <v>37</v>
      </c>
      <c r="F233" s="22" t="str">
        <f>"300-5150-00"</f>
        <v>300-5150-00</v>
      </c>
      <c r="G233" s="23" t="str">
        <f>"Employee Benefits - Sales"</f>
        <v>Employee Benefits - Sales</v>
      </c>
      <c r="H233" s="26">
        <v>0</v>
      </c>
    </row>
    <row r="234" spans="1:8" hidden="1" x14ac:dyDescent="0.3">
      <c r="A234" s="18" t="s">
        <v>41</v>
      </c>
      <c r="B234" s="18" t="str">
        <f t="shared" si="12"/>
        <v>Hide</v>
      </c>
      <c r="D234" s="5">
        <f t="shared" si="13"/>
        <v>37</v>
      </c>
      <c r="F234" s="22" t="str">
        <f>"300-5160-00"</f>
        <v>300-5160-00</v>
      </c>
      <c r="G234" s="23" t="str">
        <f>"Health Insurance Expense - Sales"</f>
        <v>Health Insurance Expense - Sales</v>
      </c>
      <c r="H234" s="26">
        <v>0</v>
      </c>
    </row>
    <row r="235" spans="1:8" hidden="1" x14ac:dyDescent="0.3">
      <c r="A235" s="18" t="s">
        <v>41</v>
      </c>
      <c r="B235" s="18" t="str">
        <f t="shared" si="12"/>
        <v>Hide</v>
      </c>
      <c r="D235" s="5">
        <f t="shared" si="13"/>
        <v>37</v>
      </c>
      <c r="F235" s="22" t="str">
        <f>"300-6100-00"</f>
        <v>300-6100-00</v>
      </c>
      <c r="G235" s="23" t="str">
        <f>"Training - Sales"</f>
        <v>Training - Sales</v>
      </c>
      <c r="H235" s="26">
        <v>0</v>
      </c>
    </row>
    <row r="236" spans="1:8" hidden="1" x14ac:dyDescent="0.3">
      <c r="A236" s="18" t="s">
        <v>41</v>
      </c>
      <c r="B236" s="18" t="str">
        <f t="shared" si="12"/>
        <v>Hide</v>
      </c>
      <c r="D236" s="5">
        <f t="shared" si="13"/>
        <v>37</v>
      </c>
      <c r="F236" s="22" t="str">
        <f>"400-5150-00"</f>
        <v>400-5150-00</v>
      </c>
      <c r="G236" s="23" t="str">
        <f>"Employee Benefits - Service/Installation"</f>
        <v>Employee Benefits - Service/Installation</v>
      </c>
      <c r="H236" s="26">
        <v>0</v>
      </c>
    </row>
    <row r="237" spans="1:8" hidden="1" x14ac:dyDescent="0.3">
      <c r="A237" s="18" t="s">
        <v>41</v>
      </c>
      <c r="B237" s="18" t="str">
        <f t="shared" si="12"/>
        <v>Hide</v>
      </c>
      <c r="D237" s="5">
        <f t="shared" si="13"/>
        <v>37</v>
      </c>
      <c r="F237" s="22" t="str">
        <f>"400-5160-00"</f>
        <v>400-5160-00</v>
      </c>
      <c r="G237" s="23" t="str">
        <f>"Health Insurance Expense - Service/Installation"</f>
        <v>Health Insurance Expense - Service/Installation</v>
      </c>
      <c r="H237" s="26">
        <v>0</v>
      </c>
    </row>
    <row r="238" spans="1:8" hidden="1" x14ac:dyDescent="0.3">
      <c r="A238" s="18" t="s">
        <v>41</v>
      </c>
      <c r="B238" s="18" t="str">
        <f t="shared" si="12"/>
        <v>Hide</v>
      </c>
      <c r="D238" s="5">
        <f t="shared" si="13"/>
        <v>37</v>
      </c>
      <c r="F238" s="22" t="str">
        <f>"400-6100-00"</f>
        <v>400-6100-00</v>
      </c>
      <c r="G238" s="23" t="str">
        <f>"Training - Service/installation"</f>
        <v>Training - Service/installation</v>
      </c>
      <c r="H238" s="26">
        <v>0</v>
      </c>
    </row>
    <row r="239" spans="1:8" hidden="1" x14ac:dyDescent="0.3">
      <c r="A239" s="18" t="s">
        <v>41</v>
      </c>
      <c r="B239" s="18" t="str">
        <f t="shared" si="12"/>
        <v>Hide</v>
      </c>
      <c r="D239" s="5">
        <f t="shared" si="13"/>
        <v>37</v>
      </c>
      <c r="F239" s="22" t="str">
        <f>"500-5150-00"</f>
        <v>500-5150-00</v>
      </c>
      <c r="G239" s="23" t="str">
        <f>"Employee Benefits - Consulting/Training"</f>
        <v>Employee Benefits - Consulting/Training</v>
      </c>
      <c r="H239" s="26">
        <v>0</v>
      </c>
    </row>
    <row r="240" spans="1:8" hidden="1" x14ac:dyDescent="0.3">
      <c r="A240" s="18" t="s">
        <v>41</v>
      </c>
      <c r="B240" s="18" t="str">
        <f t="shared" si="12"/>
        <v>Hide</v>
      </c>
      <c r="D240" s="5">
        <f t="shared" si="13"/>
        <v>37</v>
      </c>
      <c r="F240" s="22" t="str">
        <f>"500-5160-00"</f>
        <v>500-5160-00</v>
      </c>
      <c r="G240" s="23" t="str">
        <f>"Health Insurance Expense - Consulting/Training"</f>
        <v>Health Insurance Expense - Consulting/Training</v>
      </c>
      <c r="H240" s="26">
        <v>0</v>
      </c>
    </row>
    <row r="241" spans="1:8" hidden="1" x14ac:dyDescent="0.3">
      <c r="A241" s="18" t="s">
        <v>41</v>
      </c>
      <c r="B241" s="18" t="str">
        <f t="shared" si="12"/>
        <v>Hide</v>
      </c>
      <c r="D241" s="5">
        <f t="shared" si="13"/>
        <v>37</v>
      </c>
      <c r="F241" s="22" t="str">
        <f>"500-6100-00"</f>
        <v>500-6100-00</v>
      </c>
      <c r="G241" s="23" t="str">
        <f>"Training - Consulting/Training"</f>
        <v>Training - Consulting/Training</v>
      </c>
      <c r="H241" s="26">
        <v>0</v>
      </c>
    </row>
    <row r="242" spans="1:8" hidden="1" x14ac:dyDescent="0.3">
      <c r="A242" s="18" t="s">
        <v>41</v>
      </c>
      <c r="B242" s="18" t="str">
        <f t="shared" si="12"/>
        <v>Hide</v>
      </c>
      <c r="D242" s="5">
        <f t="shared" si="13"/>
        <v>37</v>
      </c>
      <c r="F242" s="22" t="str">
        <f>"600-5150-00"</f>
        <v>600-5150-00</v>
      </c>
      <c r="G242" s="23" t="str">
        <f>"Employee Benefits - Purchasing/Receiving"</f>
        <v>Employee Benefits - Purchasing/Receiving</v>
      </c>
      <c r="H242" s="26">
        <v>0</v>
      </c>
    </row>
    <row r="243" spans="1:8" hidden="1" x14ac:dyDescent="0.3">
      <c r="A243" s="18" t="s">
        <v>41</v>
      </c>
      <c r="B243" s="18" t="str">
        <f t="shared" si="12"/>
        <v>Hide</v>
      </c>
      <c r="D243" s="5">
        <f t="shared" si="13"/>
        <v>37</v>
      </c>
      <c r="F243" s="22" t="str">
        <f>"600-5160-00"</f>
        <v>600-5160-00</v>
      </c>
      <c r="G243" s="23" t="str">
        <f>"Health Insurance Expense - Purchasing/Receiving"</f>
        <v>Health Insurance Expense - Purchasing/Receiving</v>
      </c>
      <c r="H243" s="26">
        <v>0</v>
      </c>
    </row>
    <row r="244" spans="1:8" hidden="1" x14ac:dyDescent="0.3">
      <c r="A244" s="18" t="s">
        <v>41</v>
      </c>
      <c r="B244" s="18" t="str">
        <f t="shared" si="12"/>
        <v>Hide</v>
      </c>
      <c r="D244" s="5">
        <f t="shared" si="13"/>
        <v>37</v>
      </c>
      <c r="F244" s="22" t="str">
        <f>"600-6100-00"</f>
        <v>600-6100-00</v>
      </c>
      <c r="G244" s="23" t="str">
        <f>"Training - Purchasing/Receiving"</f>
        <v>Training - Purchasing/Receiving</v>
      </c>
      <c r="H244" s="26">
        <v>0</v>
      </c>
    </row>
    <row r="245" spans="1:8" x14ac:dyDescent="0.3">
      <c r="A245" s="18"/>
      <c r="B245" s="18" t="str">
        <f>$B$226</f>
        <v>Show</v>
      </c>
      <c r="F245" s="27"/>
      <c r="G245" s="29"/>
      <c r="H245" s="28"/>
    </row>
    <row r="246" spans="1:8" hidden="1" x14ac:dyDescent="0.3">
      <c r="A246" s="18"/>
      <c r="B246" s="18" t="str">
        <f>IF(H246=0,"Hide","Show")</f>
        <v>Hide</v>
      </c>
      <c r="D246" s="30">
        <v>38</v>
      </c>
      <c r="F246" s="21" t="str">
        <f>"Interest Expense"</f>
        <v>Interest Expense</v>
      </c>
      <c r="G246" s="16"/>
      <c r="H246" s="25">
        <v>0</v>
      </c>
    </row>
    <row r="247" spans="1:8" hidden="1" x14ac:dyDescent="0.3">
      <c r="A247" s="18"/>
      <c r="B247" s="18" t="str">
        <f>IF(H247=0,"Hide","Show")</f>
        <v>Hide</v>
      </c>
      <c r="D247" s="5">
        <f>D246</f>
        <v>38</v>
      </c>
      <c r="F247" s="22"/>
      <c r="G247" s="23" t="str">
        <f>"Cash - Operating Account"</f>
        <v>Cash - Operating Account</v>
      </c>
      <c r="H247" s="26">
        <v>0</v>
      </c>
    </row>
    <row r="248" spans="1:8" hidden="1" x14ac:dyDescent="0.3">
      <c r="A248" s="18"/>
      <c r="B248" s="18" t="str">
        <f>$B$246</f>
        <v>Hide</v>
      </c>
      <c r="F248" s="27"/>
      <c r="G248" s="29"/>
      <c r="H248" s="28"/>
    </row>
    <row r="249" spans="1:8" x14ac:dyDescent="0.3">
      <c r="A249" s="18"/>
      <c r="B249" s="18" t="str">
        <f>IF(H249=0,"Hide","Show")</f>
        <v>Show</v>
      </c>
      <c r="D249" s="30">
        <v>39</v>
      </c>
      <c r="F249" s="21" t="str">
        <f>"Tax Expense"</f>
        <v>Tax Expense</v>
      </c>
      <c r="G249" s="16"/>
      <c r="H249" s="25">
        <v>-18281.16</v>
      </c>
    </row>
    <row r="250" spans="1:8" hidden="1" x14ac:dyDescent="0.3">
      <c r="A250" s="18"/>
      <c r="B250" s="18" t="str">
        <f>IF(H250=0,"Hide","Show")</f>
        <v>Hide</v>
      </c>
      <c r="D250" s="5">
        <f>D249</f>
        <v>39</v>
      </c>
      <c r="F250" s="22" t="str">
        <f>"000-5200-00"</f>
        <v>000-5200-00</v>
      </c>
      <c r="G250" s="23" t="str">
        <f>"CPP Expense"</f>
        <v>CPP Expense</v>
      </c>
      <c r="H250" s="26">
        <v>0</v>
      </c>
    </row>
    <row r="251" spans="1:8" hidden="1" x14ac:dyDescent="0.3">
      <c r="A251" s="18" t="s">
        <v>41</v>
      </c>
      <c r="B251" s="18" t="str">
        <f t="shared" ref="B251:B271" si="14">IF(H251=0,"Hide","Show")</f>
        <v>Hide</v>
      </c>
      <c r="D251" s="5">
        <f t="shared" ref="D251:D271" si="15">D250</f>
        <v>39</v>
      </c>
      <c r="F251" s="22" t="str">
        <f>"000-5210-00"</f>
        <v>000-5210-00</v>
      </c>
      <c r="G251" s="23" t="str">
        <f>"QPP Expense"</f>
        <v>QPP Expense</v>
      </c>
      <c r="H251" s="26">
        <v>0</v>
      </c>
    </row>
    <row r="252" spans="1:8" hidden="1" x14ac:dyDescent="0.3">
      <c r="A252" s="18" t="s">
        <v>41</v>
      </c>
      <c r="B252" s="18" t="str">
        <f t="shared" si="14"/>
        <v>Hide</v>
      </c>
      <c r="D252" s="5">
        <f t="shared" si="15"/>
        <v>39</v>
      </c>
      <c r="F252" s="22" t="str">
        <f>"000-5220-00"</f>
        <v>000-5220-00</v>
      </c>
      <c r="G252" s="23" t="str">
        <f>"UIC Expense"</f>
        <v>UIC Expense</v>
      </c>
      <c r="H252" s="26">
        <v>0</v>
      </c>
    </row>
    <row r="253" spans="1:8" hidden="1" x14ac:dyDescent="0.3">
      <c r="A253" s="18" t="s">
        <v>41</v>
      </c>
      <c r="B253" s="18" t="str">
        <f t="shared" si="14"/>
        <v>Hide</v>
      </c>
      <c r="D253" s="5">
        <f t="shared" si="15"/>
        <v>39</v>
      </c>
      <c r="F253" s="22" t="str">
        <f>"000-5300-00"</f>
        <v>000-5300-00</v>
      </c>
      <c r="G253" s="23" t="str">
        <f>"SUTA Tax Expense"</f>
        <v>SUTA Tax Expense</v>
      </c>
      <c r="H253" s="26">
        <v>0</v>
      </c>
    </row>
    <row r="254" spans="1:8" hidden="1" x14ac:dyDescent="0.3">
      <c r="A254" s="18" t="s">
        <v>41</v>
      </c>
      <c r="B254" s="18" t="str">
        <f t="shared" si="14"/>
        <v>Hide</v>
      </c>
      <c r="D254" s="5">
        <f t="shared" si="15"/>
        <v>39</v>
      </c>
      <c r="F254" s="22" t="str">
        <f>"000-5400-00"</f>
        <v>000-5400-00</v>
      </c>
      <c r="G254" s="23" t="str">
        <f>"FUTA Tax Expense"</f>
        <v>FUTA Tax Expense</v>
      </c>
      <c r="H254" s="26">
        <v>0</v>
      </c>
    </row>
    <row r="255" spans="1:8" hidden="1" x14ac:dyDescent="0.3">
      <c r="A255" s="18" t="s">
        <v>41</v>
      </c>
      <c r="B255" s="18" t="str">
        <f t="shared" si="14"/>
        <v>Hide</v>
      </c>
      <c r="D255" s="5">
        <f t="shared" si="15"/>
        <v>39</v>
      </c>
      <c r="F255" s="22" t="str">
        <f>"000-5500-00"</f>
        <v>000-5500-00</v>
      </c>
      <c r="G255" s="23" t="str">
        <f>"Workers Compensation Tax Expense"</f>
        <v>Workers Compensation Tax Expense</v>
      </c>
      <c r="H255" s="26">
        <v>0</v>
      </c>
    </row>
    <row r="256" spans="1:8" hidden="1" x14ac:dyDescent="0.3">
      <c r="A256" s="18" t="s">
        <v>41</v>
      </c>
      <c r="B256" s="18" t="str">
        <f t="shared" si="14"/>
        <v>Hide</v>
      </c>
      <c r="D256" s="5">
        <f t="shared" si="15"/>
        <v>39</v>
      </c>
      <c r="F256" s="22" t="str">
        <f>"000-6630-00"</f>
        <v>000-6630-00</v>
      </c>
      <c r="G256" s="23" t="str">
        <f>"IL State Sales Tax Expense"</f>
        <v>IL State Sales Tax Expense</v>
      </c>
      <c r="H256" s="26">
        <v>0</v>
      </c>
    </row>
    <row r="257" spans="1:8" hidden="1" x14ac:dyDescent="0.3">
      <c r="A257" s="18" t="s">
        <v>41</v>
      </c>
      <c r="B257" s="18" t="str">
        <f t="shared" si="14"/>
        <v>Hide</v>
      </c>
      <c r="D257" s="5">
        <f t="shared" si="15"/>
        <v>39</v>
      </c>
      <c r="F257" s="22" t="str">
        <f>"000-6635-00"</f>
        <v>000-6635-00</v>
      </c>
      <c r="G257" s="23" t="str">
        <f>"Import Tax Expense"</f>
        <v>Import Tax Expense</v>
      </c>
      <c r="H257" s="26">
        <v>0</v>
      </c>
    </row>
    <row r="258" spans="1:8" hidden="1" x14ac:dyDescent="0.3">
      <c r="A258" s="18" t="s">
        <v>41</v>
      </c>
      <c r="B258" s="18" t="str">
        <f t="shared" si="14"/>
        <v>Hide</v>
      </c>
      <c r="D258" s="5">
        <f t="shared" si="15"/>
        <v>39</v>
      </c>
      <c r="F258" s="22" t="str">
        <f>"000-6640-00"</f>
        <v>000-6640-00</v>
      </c>
      <c r="G258" s="23" t="str">
        <f>"Chicago City Sales Tax Expense"</f>
        <v>Chicago City Sales Tax Expense</v>
      </c>
      <c r="H258" s="26">
        <v>0</v>
      </c>
    </row>
    <row r="259" spans="1:8" hidden="1" x14ac:dyDescent="0.3">
      <c r="A259" s="18" t="s">
        <v>41</v>
      </c>
      <c r="B259" s="18" t="str">
        <f t="shared" si="14"/>
        <v>Hide</v>
      </c>
      <c r="D259" s="5">
        <f t="shared" si="15"/>
        <v>39</v>
      </c>
      <c r="F259" s="22" t="str">
        <f>"000-6650-00"</f>
        <v>000-6650-00</v>
      </c>
      <c r="G259" s="23" t="str">
        <f>"Australia Sales Tax Expense"</f>
        <v>Australia Sales Tax Expense</v>
      </c>
      <c r="H259" s="26">
        <v>0</v>
      </c>
    </row>
    <row r="260" spans="1:8" hidden="1" x14ac:dyDescent="0.3">
      <c r="A260" s="18" t="s">
        <v>41</v>
      </c>
      <c r="B260" s="18" t="str">
        <f t="shared" si="14"/>
        <v>Hide</v>
      </c>
      <c r="D260" s="5">
        <f t="shared" si="15"/>
        <v>39</v>
      </c>
      <c r="F260" s="22" t="str">
        <f>"000-6651-00"</f>
        <v>000-6651-00</v>
      </c>
      <c r="G260" s="23" t="str">
        <f>"PST Expense"</f>
        <v>PST Expense</v>
      </c>
      <c r="H260" s="26">
        <v>0</v>
      </c>
    </row>
    <row r="261" spans="1:8" hidden="1" x14ac:dyDescent="0.3">
      <c r="A261" s="18" t="s">
        <v>41</v>
      </c>
      <c r="B261" s="18" t="str">
        <f t="shared" si="14"/>
        <v>Hide</v>
      </c>
      <c r="D261" s="5">
        <f t="shared" si="15"/>
        <v>39</v>
      </c>
      <c r="F261" s="22" t="str">
        <f>"000-6652-00"</f>
        <v>000-6652-00</v>
      </c>
      <c r="G261" s="23" t="str">
        <f>"PPS Expense"</f>
        <v>PPS Expense</v>
      </c>
      <c r="H261" s="26">
        <v>0</v>
      </c>
    </row>
    <row r="262" spans="1:8" hidden="1" x14ac:dyDescent="0.3">
      <c r="A262" s="18" t="s">
        <v>41</v>
      </c>
      <c r="B262" s="18" t="str">
        <f t="shared" si="14"/>
        <v>Hide</v>
      </c>
      <c r="D262" s="5">
        <f t="shared" si="15"/>
        <v>39</v>
      </c>
      <c r="F262" s="22" t="str">
        <f>"000-6660-00"</f>
        <v>000-6660-00</v>
      </c>
      <c r="G262" s="23" t="str">
        <f>"PST Expense"</f>
        <v>PST Expense</v>
      </c>
      <c r="H262" s="26">
        <v>0</v>
      </c>
    </row>
    <row r="263" spans="1:8" hidden="1" x14ac:dyDescent="0.3">
      <c r="A263" s="18" t="s">
        <v>41</v>
      </c>
      <c r="B263" s="18" t="str">
        <f t="shared" si="14"/>
        <v>Hide</v>
      </c>
      <c r="D263" s="5">
        <f t="shared" si="15"/>
        <v>39</v>
      </c>
      <c r="F263" s="22" t="str">
        <f>"000-6661-00"</f>
        <v>000-6661-00</v>
      </c>
      <c r="G263" s="23" t="str">
        <f>"QST Expense"</f>
        <v>QST Expense</v>
      </c>
      <c r="H263" s="26">
        <v>0</v>
      </c>
    </row>
    <row r="264" spans="1:8" hidden="1" x14ac:dyDescent="0.3">
      <c r="A264" s="18" t="s">
        <v>41</v>
      </c>
      <c r="B264" s="18" t="str">
        <f t="shared" si="14"/>
        <v>Hide</v>
      </c>
      <c r="D264" s="5">
        <f t="shared" si="15"/>
        <v>39</v>
      </c>
      <c r="F264" s="22" t="str">
        <f>"000-8100-00"</f>
        <v>000-8100-00</v>
      </c>
      <c r="G264" s="23" t="str">
        <f>"Federal Income Taxes"</f>
        <v>Federal Income Taxes</v>
      </c>
      <c r="H264" s="26">
        <v>0</v>
      </c>
    </row>
    <row r="265" spans="1:8" hidden="1" x14ac:dyDescent="0.3">
      <c r="A265" s="18" t="s">
        <v>41</v>
      </c>
      <c r="B265" s="18" t="str">
        <f t="shared" si="14"/>
        <v>Hide</v>
      </c>
      <c r="D265" s="5">
        <f t="shared" si="15"/>
        <v>39</v>
      </c>
      <c r="F265" s="22" t="str">
        <f>"000-8110-00"</f>
        <v>000-8110-00</v>
      </c>
      <c r="G265" s="23" t="str">
        <f>"State Income Taxes"</f>
        <v>State Income Taxes</v>
      </c>
      <c r="H265" s="26">
        <v>0</v>
      </c>
    </row>
    <row r="266" spans="1:8" x14ac:dyDescent="0.3">
      <c r="A266" s="18" t="s">
        <v>41</v>
      </c>
      <c r="B266" s="18" t="str">
        <f t="shared" si="14"/>
        <v>Show</v>
      </c>
      <c r="D266" s="5">
        <f t="shared" si="15"/>
        <v>39</v>
      </c>
      <c r="F266" s="22" t="str">
        <f>"100-5170-00"</f>
        <v>100-5170-00</v>
      </c>
      <c r="G266" s="23" t="str">
        <f>"Payroll Taxes - Administration"</f>
        <v>Payroll Taxes - Administration</v>
      </c>
      <c r="H266" s="26">
        <v>-3465.06</v>
      </c>
    </row>
    <row r="267" spans="1:8" x14ac:dyDescent="0.3">
      <c r="A267" s="18" t="s">
        <v>41</v>
      </c>
      <c r="B267" s="18" t="str">
        <f t="shared" si="14"/>
        <v>Show</v>
      </c>
      <c r="D267" s="5">
        <f t="shared" si="15"/>
        <v>39</v>
      </c>
      <c r="F267" s="22" t="str">
        <f>"200-5170-00"</f>
        <v>200-5170-00</v>
      </c>
      <c r="G267" s="23" t="str">
        <f>"Payroll Taxes - Accounting"</f>
        <v>Payroll Taxes - Accounting</v>
      </c>
      <c r="H267" s="26">
        <v>-14816.1</v>
      </c>
    </row>
    <row r="268" spans="1:8" hidden="1" x14ac:dyDescent="0.3">
      <c r="A268" s="18" t="s">
        <v>41</v>
      </c>
      <c r="B268" s="18" t="str">
        <f t="shared" si="14"/>
        <v>Hide</v>
      </c>
      <c r="D268" s="5">
        <f t="shared" si="15"/>
        <v>39</v>
      </c>
      <c r="F268" s="22" t="str">
        <f>"300-5170-00"</f>
        <v>300-5170-00</v>
      </c>
      <c r="G268" s="23" t="str">
        <f>"Payroll Taxes - Sales"</f>
        <v>Payroll Taxes - Sales</v>
      </c>
      <c r="H268" s="26">
        <v>0</v>
      </c>
    </row>
    <row r="269" spans="1:8" hidden="1" x14ac:dyDescent="0.3">
      <c r="A269" s="18" t="s">
        <v>41</v>
      </c>
      <c r="B269" s="18" t="str">
        <f t="shared" si="14"/>
        <v>Hide</v>
      </c>
      <c r="D269" s="5">
        <f t="shared" si="15"/>
        <v>39</v>
      </c>
      <c r="F269" s="22" t="str">
        <f>"400-5170-00"</f>
        <v>400-5170-00</v>
      </c>
      <c r="G269" s="23" t="str">
        <f>"Payroll Taxes - Service/Installation"</f>
        <v>Payroll Taxes - Service/Installation</v>
      </c>
      <c r="H269" s="26">
        <v>0</v>
      </c>
    </row>
    <row r="270" spans="1:8" hidden="1" x14ac:dyDescent="0.3">
      <c r="A270" s="18" t="s">
        <v>41</v>
      </c>
      <c r="B270" s="18" t="str">
        <f t="shared" si="14"/>
        <v>Hide</v>
      </c>
      <c r="D270" s="5">
        <f t="shared" si="15"/>
        <v>39</v>
      </c>
      <c r="F270" s="22" t="str">
        <f>"500-5170-00"</f>
        <v>500-5170-00</v>
      </c>
      <c r="G270" s="23" t="str">
        <f>"Payroll Taxes - Consulting/Training"</f>
        <v>Payroll Taxes - Consulting/Training</v>
      </c>
      <c r="H270" s="26">
        <v>0</v>
      </c>
    </row>
    <row r="271" spans="1:8" hidden="1" x14ac:dyDescent="0.3">
      <c r="A271" s="18" t="s">
        <v>41</v>
      </c>
      <c r="B271" s="18" t="str">
        <f t="shared" si="14"/>
        <v>Hide</v>
      </c>
      <c r="D271" s="5">
        <f t="shared" si="15"/>
        <v>39</v>
      </c>
      <c r="F271" s="22" t="str">
        <f>"600-5170-00"</f>
        <v>600-5170-00</v>
      </c>
      <c r="G271" s="23" t="str">
        <f>"Payroll Taxes - Purchasing/Receiving"</f>
        <v>Payroll Taxes - Purchasing/Receiving</v>
      </c>
      <c r="H271" s="26">
        <v>0</v>
      </c>
    </row>
    <row r="272" spans="1:8" x14ac:dyDescent="0.3">
      <c r="A272" s="18"/>
      <c r="B272" s="18" t="str">
        <f>$B$249</f>
        <v>Show</v>
      </c>
      <c r="F272" s="27"/>
      <c r="G272" s="29"/>
      <c r="H272" s="28"/>
    </row>
    <row r="273" spans="1:8" hidden="1" x14ac:dyDescent="0.3">
      <c r="A273" s="18"/>
      <c r="B273" s="18" t="str">
        <f>IF(H273=0,"Hide","Show")</f>
        <v>Hide</v>
      </c>
      <c r="D273" s="30">
        <v>40</v>
      </c>
      <c r="F273" s="21" t="str">
        <f>"Depreciation Expense"</f>
        <v>Depreciation Expense</v>
      </c>
      <c r="G273" s="16"/>
      <c r="H273" s="25">
        <v>0</v>
      </c>
    </row>
    <row r="274" spans="1:8" hidden="1" x14ac:dyDescent="0.3">
      <c r="A274" s="18"/>
      <c r="B274" s="18" t="str">
        <f>IF(H274=0,"Hide","Show")</f>
        <v>Hide</v>
      </c>
      <c r="D274" s="5">
        <f>D273</f>
        <v>40</v>
      </c>
      <c r="F274" s="22" t="str">
        <f>"000-6200-00"</f>
        <v>000-6200-00</v>
      </c>
      <c r="G274" s="23" t="str">
        <f>"Depreciation Expense - Furniture &amp; Fixtures"</f>
        <v>Depreciation Expense - Furniture &amp; Fixtures</v>
      </c>
      <c r="H274" s="26">
        <v>0</v>
      </c>
    </row>
    <row r="275" spans="1:8" hidden="1" x14ac:dyDescent="0.3">
      <c r="A275" s="18" t="s">
        <v>41</v>
      </c>
      <c r="B275" s="18" t="str">
        <f t="shared" ref="B275:B277" si="16">IF(H275=0,"Hide","Show")</f>
        <v>Hide</v>
      </c>
      <c r="D275" s="5">
        <f t="shared" ref="D275:D277" si="17">D274</f>
        <v>40</v>
      </c>
      <c r="F275" s="22" t="str">
        <f>"000-6210-00"</f>
        <v>000-6210-00</v>
      </c>
      <c r="G275" s="23" t="str">
        <f>"Depreciation Expense - Computer Equipment"</f>
        <v>Depreciation Expense - Computer Equipment</v>
      </c>
      <c r="H275" s="26">
        <v>0</v>
      </c>
    </row>
    <row r="276" spans="1:8" hidden="1" x14ac:dyDescent="0.3">
      <c r="A276" s="18" t="s">
        <v>41</v>
      </c>
      <c r="B276" s="18" t="str">
        <f t="shared" si="16"/>
        <v>Hide</v>
      </c>
      <c r="D276" s="5">
        <f t="shared" si="17"/>
        <v>40</v>
      </c>
      <c r="F276" s="22" t="str">
        <f>"000-6220-00"</f>
        <v>000-6220-00</v>
      </c>
      <c r="G276" s="23" t="str">
        <f>"Depreciation Expense - Machinery &amp; Equipment"</f>
        <v>Depreciation Expense - Machinery &amp; Equipment</v>
      </c>
      <c r="H276" s="26">
        <v>0</v>
      </c>
    </row>
    <row r="277" spans="1:8" hidden="1" x14ac:dyDescent="0.3">
      <c r="A277" s="18" t="s">
        <v>41</v>
      </c>
      <c r="B277" s="18" t="str">
        <f t="shared" si="16"/>
        <v>Hide</v>
      </c>
      <c r="D277" s="5">
        <f t="shared" si="17"/>
        <v>40</v>
      </c>
      <c r="F277" s="22" t="str">
        <f>"000-6230-00"</f>
        <v>000-6230-00</v>
      </c>
      <c r="G277" s="23" t="str">
        <f>"Depreciation Expense - Fleet Vehicles"</f>
        <v>Depreciation Expense - Fleet Vehicles</v>
      </c>
      <c r="H277" s="26">
        <v>0</v>
      </c>
    </row>
    <row r="278" spans="1:8" hidden="1" x14ac:dyDescent="0.3">
      <c r="A278" s="18"/>
      <c r="B278" s="18" t="str">
        <f>$B$273</f>
        <v>Hide</v>
      </c>
      <c r="F278" s="27"/>
      <c r="G278" s="29"/>
      <c r="H278" s="28"/>
    </row>
    <row r="279" spans="1:8" hidden="1" x14ac:dyDescent="0.3">
      <c r="A279" s="18"/>
      <c r="B279" s="18" t="str">
        <f>IF(H279=0,"Hide","Show")</f>
        <v>Hide</v>
      </c>
      <c r="D279" s="30">
        <v>41</v>
      </c>
      <c r="F279" s="21" t="str">
        <f>"Income Tax Expense"</f>
        <v>Income Tax Expense</v>
      </c>
      <c r="G279" s="16"/>
      <c r="H279" s="25">
        <v>0</v>
      </c>
    </row>
    <row r="280" spans="1:8" hidden="1" x14ac:dyDescent="0.3">
      <c r="A280" s="18"/>
      <c r="B280" s="18" t="str">
        <f>IF(H280=0,"Hide","Show")</f>
        <v>Hide</v>
      </c>
      <c r="D280" s="5">
        <f>D279</f>
        <v>41</v>
      </c>
      <c r="F280" s="22"/>
      <c r="G280" s="23" t="str">
        <f>"Cash - Operating Account"</f>
        <v>Cash - Operating Account</v>
      </c>
      <c r="H280" s="26">
        <v>0</v>
      </c>
    </row>
    <row r="281" spans="1:8" hidden="1" x14ac:dyDescent="0.3">
      <c r="A281" s="18"/>
      <c r="B281" s="18" t="str">
        <f>$B$279</f>
        <v>Hide</v>
      </c>
      <c r="F281" s="27"/>
      <c r="G281" s="29"/>
      <c r="H281" s="28"/>
    </row>
    <row r="282" spans="1:8" hidden="1" x14ac:dyDescent="0.3">
      <c r="A282" s="18"/>
      <c r="B282" s="18" t="str">
        <f>IF(H282=0,"Hide","Show")</f>
        <v>Hide</v>
      </c>
      <c r="D282" s="30">
        <v>42</v>
      </c>
      <c r="F282" s="21" t="str">
        <f>"Other Expenses"</f>
        <v>Other Expenses</v>
      </c>
      <c r="G282" s="16"/>
      <c r="H282" s="25">
        <v>0</v>
      </c>
    </row>
    <row r="283" spans="1:8" hidden="1" x14ac:dyDescent="0.3">
      <c r="A283" s="18"/>
      <c r="B283" s="18" t="str">
        <f>IF(H283=0,"Hide","Show")</f>
        <v>Hide</v>
      </c>
      <c r="D283" s="5">
        <f>D282</f>
        <v>42</v>
      </c>
      <c r="F283" s="22" t="str">
        <f>"000-4731-00"</f>
        <v>000-4731-00</v>
      </c>
      <c r="G283" s="23" t="str">
        <f>"Withholding offset"</f>
        <v>Withholding offset</v>
      </c>
      <c r="H283" s="26">
        <v>0</v>
      </c>
    </row>
    <row r="284" spans="1:8" hidden="1" x14ac:dyDescent="0.3">
      <c r="A284" s="18" t="s">
        <v>41</v>
      </c>
      <c r="B284" s="18" t="str">
        <f t="shared" ref="B284:B301" si="18">IF(H284=0,"Hide","Show")</f>
        <v>Hide</v>
      </c>
      <c r="D284" s="5">
        <f t="shared" ref="D284:D301" si="19">D283</f>
        <v>42</v>
      </c>
      <c r="F284" s="22" t="str">
        <f>"000-4740-00"</f>
        <v>000-4740-00</v>
      </c>
      <c r="G284" s="23" t="str">
        <f>"Assembly Variance"</f>
        <v>Assembly Variance</v>
      </c>
      <c r="H284" s="26">
        <v>0</v>
      </c>
    </row>
    <row r="285" spans="1:8" hidden="1" x14ac:dyDescent="0.3">
      <c r="A285" s="18" t="s">
        <v>41</v>
      </c>
      <c r="B285" s="18" t="str">
        <f t="shared" si="18"/>
        <v>Hide</v>
      </c>
      <c r="D285" s="5">
        <f t="shared" si="19"/>
        <v>42</v>
      </c>
      <c r="F285" s="22" t="str">
        <f>"000-5615-00"</f>
        <v>000-5615-00</v>
      </c>
      <c r="G285" s="23" t="str">
        <f>"Floor Stock Expense"</f>
        <v>Floor Stock Expense</v>
      </c>
      <c r="H285" s="26">
        <v>0</v>
      </c>
    </row>
    <row r="286" spans="1:8" hidden="1" x14ac:dyDescent="0.3">
      <c r="A286" s="18" t="s">
        <v>41</v>
      </c>
      <c r="B286" s="18" t="str">
        <f t="shared" si="18"/>
        <v>Hide</v>
      </c>
      <c r="D286" s="5">
        <f t="shared" si="19"/>
        <v>42</v>
      </c>
      <c r="F286" s="22" t="str">
        <f>"000-5700-00"</f>
        <v>000-5700-00</v>
      </c>
      <c r="G286" s="23" t="str">
        <f>"Non-Inventoried Purchase Item"</f>
        <v>Non-Inventoried Purchase Item</v>
      </c>
      <c r="H286" s="26">
        <v>0</v>
      </c>
    </row>
    <row r="287" spans="1:8" hidden="1" x14ac:dyDescent="0.3">
      <c r="A287" s="18" t="s">
        <v>41</v>
      </c>
      <c r="B287" s="18" t="str">
        <f t="shared" si="18"/>
        <v>Hide</v>
      </c>
      <c r="D287" s="5">
        <f t="shared" si="19"/>
        <v>42</v>
      </c>
      <c r="F287" s="22" t="str">
        <f>"000-6780-00"</f>
        <v>000-6780-00</v>
      </c>
      <c r="G287" s="23" t="str">
        <f>"Miscellaneous Expense"</f>
        <v>Miscellaneous Expense</v>
      </c>
      <c r="H287" s="26">
        <v>0</v>
      </c>
    </row>
    <row r="288" spans="1:8" hidden="1" x14ac:dyDescent="0.3">
      <c r="A288" s="18" t="s">
        <v>41</v>
      </c>
      <c r="B288" s="18" t="str">
        <f t="shared" si="18"/>
        <v>Hide</v>
      </c>
      <c r="D288" s="5">
        <f t="shared" si="19"/>
        <v>42</v>
      </c>
      <c r="F288" s="22" t="str">
        <f>"000-8010-00"</f>
        <v>000-8010-00</v>
      </c>
      <c r="G288" s="23" t="str">
        <f>"Finance Charge Expense"</f>
        <v>Finance Charge Expense</v>
      </c>
      <c r="H288" s="26">
        <v>0</v>
      </c>
    </row>
    <row r="289" spans="1:8" hidden="1" x14ac:dyDescent="0.3">
      <c r="A289" s="18" t="s">
        <v>41</v>
      </c>
      <c r="B289" s="18" t="str">
        <f t="shared" si="18"/>
        <v>Hide</v>
      </c>
      <c r="D289" s="5">
        <f t="shared" si="19"/>
        <v>42</v>
      </c>
      <c r="F289" s="22" t="str">
        <f>"000-8020-00"</f>
        <v>000-8020-00</v>
      </c>
      <c r="G289" s="23" t="str">
        <f>"Interest Expense"</f>
        <v>Interest Expense</v>
      </c>
      <c r="H289" s="26">
        <v>0</v>
      </c>
    </row>
    <row r="290" spans="1:8" hidden="1" x14ac:dyDescent="0.3">
      <c r="A290" s="18" t="s">
        <v>41</v>
      </c>
      <c r="B290" s="18" t="str">
        <f t="shared" si="18"/>
        <v>Hide</v>
      </c>
      <c r="D290" s="5">
        <f t="shared" si="19"/>
        <v>42</v>
      </c>
      <c r="F290" s="22" t="str">
        <f>"000-8200-00"</f>
        <v>000-8200-00</v>
      </c>
      <c r="G290" s="23" t="str">
        <f>"Realized Loss on MC Transactions"</f>
        <v>Realized Loss on MC Transactions</v>
      </c>
      <c r="H290" s="26">
        <v>0</v>
      </c>
    </row>
    <row r="291" spans="1:8" hidden="1" x14ac:dyDescent="0.3">
      <c r="A291" s="18" t="s">
        <v>41</v>
      </c>
      <c r="B291" s="18" t="str">
        <f t="shared" si="18"/>
        <v>Hide</v>
      </c>
      <c r="D291" s="5">
        <f t="shared" si="19"/>
        <v>42</v>
      </c>
      <c r="F291" s="22" t="str">
        <f>"000-8201-00"</f>
        <v>000-8201-00</v>
      </c>
      <c r="G291" s="23" t="str">
        <f>"Realized Loss on MC Transactions - Z - C$ - SELL"</f>
        <v>Realized Loss on MC Transactions - Z - C$ - SELL</v>
      </c>
      <c r="H291" s="26">
        <v>0</v>
      </c>
    </row>
    <row r="292" spans="1:8" hidden="1" x14ac:dyDescent="0.3">
      <c r="A292" s="18" t="s">
        <v>41</v>
      </c>
      <c r="B292" s="18" t="str">
        <f t="shared" si="18"/>
        <v>Hide</v>
      </c>
      <c r="D292" s="5">
        <f t="shared" si="19"/>
        <v>42</v>
      </c>
      <c r="F292" s="22" t="str">
        <f>"000-8202-00"</f>
        <v>000-8202-00</v>
      </c>
      <c r="G292" s="23" t="str">
        <f>"Realized Loss on MC Transactions - Z - C$ - BUY"</f>
        <v>Realized Loss on MC Transactions - Z - C$ - BUY</v>
      </c>
      <c r="H292" s="26">
        <v>0</v>
      </c>
    </row>
    <row r="293" spans="1:8" hidden="1" x14ac:dyDescent="0.3">
      <c r="A293" s="18" t="s">
        <v>41</v>
      </c>
      <c r="B293" s="18" t="str">
        <f t="shared" si="18"/>
        <v>Hide</v>
      </c>
      <c r="D293" s="5">
        <f t="shared" si="19"/>
        <v>42</v>
      </c>
      <c r="F293" s="22" t="str">
        <f>"000-8203-00"</f>
        <v>000-8203-00</v>
      </c>
      <c r="G293" s="23" t="str">
        <f>"Realized Loss on MC Transactions - Z - C$ - AVG"</f>
        <v>Realized Loss on MC Transactions - Z - C$ - AVG</v>
      </c>
      <c r="H293" s="26">
        <v>0</v>
      </c>
    </row>
    <row r="294" spans="1:8" hidden="1" x14ac:dyDescent="0.3">
      <c r="A294" s="18" t="s">
        <v>41</v>
      </c>
      <c r="B294" s="18" t="str">
        <f t="shared" si="18"/>
        <v>Hide</v>
      </c>
      <c r="D294" s="5">
        <f t="shared" si="19"/>
        <v>42</v>
      </c>
      <c r="F294" s="22" t="str">
        <f>"000-8300-00"</f>
        <v>000-8300-00</v>
      </c>
      <c r="G294" s="23" t="str">
        <f>"Unrealized Loss on MC Transactions"</f>
        <v>Unrealized Loss on MC Transactions</v>
      </c>
      <c r="H294" s="26">
        <v>0</v>
      </c>
    </row>
    <row r="295" spans="1:8" hidden="1" x14ac:dyDescent="0.3">
      <c r="A295" s="18" t="s">
        <v>41</v>
      </c>
      <c r="B295" s="18" t="str">
        <f t="shared" si="18"/>
        <v>Hide</v>
      </c>
      <c r="D295" s="5">
        <f t="shared" si="19"/>
        <v>42</v>
      </c>
      <c r="F295" s="22" t="str">
        <f>"000-8301-00"</f>
        <v>000-8301-00</v>
      </c>
      <c r="G295" s="23" t="str">
        <f>"Unrealized Loss on MC Transactions - Canada"</f>
        <v>Unrealized Loss on MC Transactions - Canada</v>
      </c>
      <c r="H295" s="26">
        <v>0</v>
      </c>
    </row>
    <row r="296" spans="1:8" hidden="1" x14ac:dyDescent="0.3">
      <c r="A296" s="18" t="s">
        <v>41</v>
      </c>
      <c r="B296" s="18" t="str">
        <f t="shared" si="18"/>
        <v>Hide</v>
      </c>
      <c r="D296" s="5">
        <f t="shared" si="19"/>
        <v>42</v>
      </c>
      <c r="F296" s="22" t="str">
        <f>"000-8302-00"</f>
        <v>000-8302-00</v>
      </c>
      <c r="G296" s="23" t="str">
        <f>"Unrealized Loss on MC Transactions - Australia"</f>
        <v>Unrealized Loss on MC Transactions - Australia</v>
      </c>
      <c r="H296" s="26">
        <v>0</v>
      </c>
    </row>
    <row r="297" spans="1:8" hidden="1" x14ac:dyDescent="0.3">
      <c r="A297" s="18" t="s">
        <v>41</v>
      </c>
      <c r="B297" s="18" t="str">
        <f t="shared" si="18"/>
        <v>Hide</v>
      </c>
      <c r="D297" s="5">
        <f t="shared" si="19"/>
        <v>42</v>
      </c>
      <c r="F297" s="22" t="str">
        <f>"000-8303-00"</f>
        <v>000-8303-00</v>
      </c>
      <c r="G297" s="23" t="str">
        <f>"Unrealized Loss on MC Transactions - New Zealand"</f>
        <v>Unrealized Loss on MC Transactions - New Zealand</v>
      </c>
      <c r="H297" s="26">
        <v>0</v>
      </c>
    </row>
    <row r="298" spans="1:8" hidden="1" x14ac:dyDescent="0.3">
      <c r="A298" s="18" t="s">
        <v>41</v>
      </c>
      <c r="B298" s="18" t="str">
        <f t="shared" si="18"/>
        <v>Hide</v>
      </c>
      <c r="D298" s="5">
        <f t="shared" si="19"/>
        <v>42</v>
      </c>
      <c r="F298" s="22" t="str">
        <f>"000-8304-00"</f>
        <v>000-8304-00</v>
      </c>
      <c r="G298" s="23" t="str">
        <f>"Unrealized Loss on MC Transactions - Germany"</f>
        <v>Unrealized Loss on MC Transactions - Germany</v>
      </c>
      <c r="H298" s="26">
        <v>0</v>
      </c>
    </row>
    <row r="299" spans="1:8" hidden="1" x14ac:dyDescent="0.3">
      <c r="A299" s="18" t="s">
        <v>41</v>
      </c>
      <c r="B299" s="18" t="str">
        <f t="shared" si="18"/>
        <v>Hide</v>
      </c>
      <c r="D299" s="5">
        <f t="shared" si="19"/>
        <v>42</v>
      </c>
      <c r="F299" s="22" t="str">
        <f>"000-8305-00"</f>
        <v>000-8305-00</v>
      </c>
      <c r="G299" s="23" t="str">
        <f>"Unrealized Loss on MC Transactions - United Kingdo"</f>
        <v>Unrealized Loss on MC Transactions - United Kingdo</v>
      </c>
      <c r="H299" s="26">
        <v>0</v>
      </c>
    </row>
    <row r="300" spans="1:8" hidden="1" x14ac:dyDescent="0.3">
      <c r="A300" s="18" t="s">
        <v>41</v>
      </c>
      <c r="B300" s="18" t="str">
        <f t="shared" si="18"/>
        <v>Hide</v>
      </c>
      <c r="D300" s="5">
        <f t="shared" si="19"/>
        <v>42</v>
      </c>
      <c r="F300" s="22" t="str">
        <f>"000-8306-00"</f>
        <v>000-8306-00</v>
      </c>
      <c r="G300" s="23" t="str">
        <f>"Unrealized Loss on MC Transactions - South Africa"</f>
        <v>Unrealized Loss on MC Transactions - South Africa</v>
      </c>
      <c r="H300" s="26">
        <v>0</v>
      </c>
    </row>
    <row r="301" spans="1:8" hidden="1" x14ac:dyDescent="0.3">
      <c r="A301" s="18" t="s">
        <v>41</v>
      </c>
      <c r="B301" s="18" t="str">
        <f t="shared" si="18"/>
        <v>Hide</v>
      </c>
      <c r="D301" s="5">
        <f t="shared" si="19"/>
        <v>42</v>
      </c>
      <c r="F301" s="22" t="str">
        <f>"000-8307-00"</f>
        <v>000-8307-00</v>
      </c>
      <c r="G301" s="23" t="str">
        <f>"Unrealized Loss on MC Transactions - Singapore"</f>
        <v>Unrealized Loss on MC Transactions - Singapore</v>
      </c>
      <c r="H301" s="26">
        <v>0</v>
      </c>
    </row>
    <row r="302" spans="1:8" hidden="1" x14ac:dyDescent="0.3">
      <c r="A302" s="18"/>
      <c r="B302" s="18" t="str">
        <f>$B$282</f>
        <v>Hide</v>
      </c>
      <c r="F302" s="27"/>
      <c r="G302" s="29"/>
      <c r="H302" s="28"/>
    </row>
    <row r="303" spans="1:8" hidden="1" x14ac:dyDescent="0.3">
      <c r="A303" s="18"/>
      <c r="B303" s="18" t="str">
        <f>IF(H303=0,"Hide","Show")</f>
        <v>Hide</v>
      </c>
      <c r="D303" s="30">
        <v>43</v>
      </c>
      <c r="F303" s="21" t="str">
        <f>"Other Income"</f>
        <v>Other Income</v>
      </c>
      <c r="G303" s="16"/>
      <c r="H303" s="25">
        <v>0</v>
      </c>
    </row>
    <row r="304" spans="1:8" hidden="1" x14ac:dyDescent="0.3">
      <c r="A304" s="18"/>
      <c r="B304" s="18" t="str">
        <f>IF(H304=0,"Hide","Show")</f>
        <v>Hide</v>
      </c>
      <c r="D304" s="5">
        <f>D303</f>
        <v>43</v>
      </c>
      <c r="F304" s="22" t="str">
        <f>"000-7010-00"</f>
        <v>000-7010-00</v>
      </c>
      <c r="G304" s="23" t="str">
        <f>"Finance Charge Income"</f>
        <v>Finance Charge Income</v>
      </c>
      <c r="H304" s="26">
        <v>0</v>
      </c>
    </row>
    <row r="305" spans="1:8" hidden="1" x14ac:dyDescent="0.3">
      <c r="A305" s="18" t="s">
        <v>41</v>
      </c>
      <c r="B305" s="18" t="str">
        <f t="shared" ref="B305:B337" si="20">IF(H305=0,"Hide","Show")</f>
        <v>Hide</v>
      </c>
      <c r="D305" s="5">
        <f t="shared" ref="D305:D337" si="21">D304</f>
        <v>43</v>
      </c>
      <c r="F305" s="22" t="str">
        <f>"000-7020-00"</f>
        <v>000-7020-00</v>
      </c>
      <c r="G305" s="23" t="str">
        <f>"Interest Income"</f>
        <v>Interest Income</v>
      </c>
      <c r="H305" s="26">
        <v>0</v>
      </c>
    </row>
    <row r="306" spans="1:8" hidden="1" x14ac:dyDescent="0.3">
      <c r="A306" s="18" t="s">
        <v>41</v>
      </c>
      <c r="B306" s="18" t="str">
        <f t="shared" si="20"/>
        <v>Hide</v>
      </c>
      <c r="D306" s="5">
        <f t="shared" si="21"/>
        <v>43</v>
      </c>
      <c r="F306" s="22" t="str">
        <f>"000-7040-00"</f>
        <v>000-7040-00</v>
      </c>
      <c r="G306" s="23" t="str">
        <f>"Miscellaneous Income"</f>
        <v>Miscellaneous Income</v>
      </c>
      <c r="H306" s="26">
        <v>0</v>
      </c>
    </row>
    <row r="307" spans="1:8" hidden="1" x14ac:dyDescent="0.3">
      <c r="A307" s="18" t="s">
        <v>41</v>
      </c>
      <c r="B307" s="18" t="str">
        <f t="shared" si="20"/>
        <v>Hide</v>
      </c>
      <c r="D307" s="5">
        <f t="shared" si="21"/>
        <v>43</v>
      </c>
      <c r="F307" s="22" t="str">
        <f>"000-7041-00"</f>
        <v>000-7041-00</v>
      </c>
      <c r="G307" s="23" t="str">
        <f>"Freight Income"</f>
        <v>Freight Income</v>
      </c>
      <c r="H307" s="26">
        <v>0</v>
      </c>
    </row>
    <row r="308" spans="1:8" hidden="1" x14ac:dyDescent="0.3">
      <c r="A308" s="18" t="s">
        <v>41</v>
      </c>
      <c r="B308" s="18" t="str">
        <f t="shared" si="20"/>
        <v>Hide</v>
      </c>
      <c r="D308" s="5">
        <f t="shared" si="21"/>
        <v>43</v>
      </c>
      <c r="F308" s="22" t="str">
        <f>"000-7100-00"</f>
        <v>000-7100-00</v>
      </c>
      <c r="G308" s="23" t="str">
        <f>"Realized Gain on MC Transactions"</f>
        <v>Realized Gain on MC Transactions</v>
      </c>
      <c r="H308" s="26">
        <v>0</v>
      </c>
    </row>
    <row r="309" spans="1:8" hidden="1" x14ac:dyDescent="0.3">
      <c r="A309" s="18" t="s">
        <v>41</v>
      </c>
      <c r="B309" s="18" t="str">
        <f t="shared" si="20"/>
        <v>Hide</v>
      </c>
      <c r="D309" s="5">
        <f t="shared" si="21"/>
        <v>43</v>
      </c>
      <c r="F309" s="22" t="str">
        <f>"000-7101-00"</f>
        <v>000-7101-00</v>
      </c>
      <c r="G309" s="23" t="str">
        <f>"Realized Gain on MC Transactions - Z - C$ - SELL"</f>
        <v>Realized Gain on MC Transactions - Z - C$ - SELL</v>
      </c>
      <c r="H309" s="26">
        <v>0</v>
      </c>
    </row>
    <row r="310" spans="1:8" hidden="1" x14ac:dyDescent="0.3">
      <c r="A310" s="18" t="s">
        <v>41</v>
      </c>
      <c r="B310" s="18" t="str">
        <f t="shared" si="20"/>
        <v>Hide</v>
      </c>
      <c r="D310" s="5">
        <f t="shared" si="21"/>
        <v>43</v>
      </c>
      <c r="F310" s="22" t="str">
        <f>"000-7102-00"</f>
        <v>000-7102-00</v>
      </c>
      <c r="G310" s="23" t="str">
        <f>"Realized Gain on MC Transactions - Z - C$ - BUY"</f>
        <v>Realized Gain on MC Transactions - Z - C$ - BUY</v>
      </c>
      <c r="H310" s="26">
        <v>0</v>
      </c>
    </row>
    <row r="311" spans="1:8" hidden="1" x14ac:dyDescent="0.3">
      <c r="A311" s="18" t="s">
        <v>41</v>
      </c>
      <c r="B311" s="18" t="str">
        <f t="shared" si="20"/>
        <v>Hide</v>
      </c>
      <c r="D311" s="5">
        <f t="shared" si="21"/>
        <v>43</v>
      </c>
      <c r="F311" s="22" t="str">
        <f>"000-7103-00"</f>
        <v>000-7103-00</v>
      </c>
      <c r="G311" s="23" t="str">
        <f>"Realized Gain on MC Transactions - Z - C$ - AVG"</f>
        <v>Realized Gain on MC Transactions - Z - C$ - AVG</v>
      </c>
      <c r="H311" s="26">
        <v>0</v>
      </c>
    </row>
    <row r="312" spans="1:8" hidden="1" x14ac:dyDescent="0.3">
      <c r="A312" s="18" t="s">
        <v>41</v>
      </c>
      <c r="B312" s="18" t="str">
        <f t="shared" si="20"/>
        <v>Hide</v>
      </c>
      <c r="D312" s="5">
        <f t="shared" si="21"/>
        <v>43</v>
      </c>
      <c r="F312" s="22" t="str">
        <f>"000-7200-00"</f>
        <v>000-7200-00</v>
      </c>
      <c r="G312" s="23" t="str">
        <f>"Unrealized Gain on MC Transactions"</f>
        <v>Unrealized Gain on MC Transactions</v>
      </c>
      <c r="H312" s="26">
        <v>0</v>
      </c>
    </row>
    <row r="313" spans="1:8" hidden="1" x14ac:dyDescent="0.3">
      <c r="A313" s="18" t="s">
        <v>41</v>
      </c>
      <c r="B313" s="18" t="str">
        <f t="shared" si="20"/>
        <v>Hide</v>
      </c>
      <c r="D313" s="5">
        <f t="shared" si="21"/>
        <v>43</v>
      </c>
      <c r="F313" s="22" t="str">
        <f>"000-7201-00"</f>
        <v>000-7201-00</v>
      </c>
      <c r="G313" s="23" t="str">
        <f>"Unrealized Gain on MC Transactions-Canada"</f>
        <v>Unrealized Gain on MC Transactions-Canada</v>
      </c>
      <c r="H313" s="26">
        <v>0</v>
      </c>
    </row>
    <row r="314" spans="1:8" hidden="1" x14ac:dyDescent="0.3">
      <c r="A314" s="18" t="s">
        <v>41</v>
      </c>
      <c r="B314" s="18" t="str">
        <f t="shared" si="20"/>
        <v>Hide</v>
      </c>
      <c r="D314" s="5">
        <f t="shared" si="21"/>
        <v>43</v>
      </c>
      <c r="F314" s="22" t="str">
        <f>"000-7202-00"</f>
        <v>000-7202-00</v>
      </c>
      <c r="G314" s="23" t="str">
        <f>"Unrealized Gain on MC Transactions - Australia"</f>
        <v>Unrealized Gain on MC Transactions - Australia</v>
      </c>
      <c r="H314" s="26">
        <v>0</v>
      </c>
    </row>
    <row r="315" spans="1:8" hidden="1" x14ac:dyDescent="0.3">
      <c r="A315" s="18" t="s">
        <v>41</v>
      </c>
      <c r="B315" s="18" t="str">
        <f t="shared" si="20"/>
        <v>Hide</v>
      </c>
      <c r="D315" s="5">
        <f t="shared" si="21"/>
        <v>43</v>
      </c>
      <c r="F315" s="22" t="str">
        <f>"000-7203-00"</f>
        <v>000-7203-00</v>
      </c>
      <c r="G315" s="23" t="str">
        <f>"Unrealized Gain on MC Transactions - New Zealand"</f>
        <v>Unrealized Gain on MC Transactions - New Zealand</v>
      </c>
      <c r="H315" s="26">
        <v>0</v>
      </c>
    </row>
    <row r="316" spans="1:8" hidden="1" x14ac:dyDescent="0.3">
      <c r="A316" s="18" t="s">
        <v>41</v>
      </c>
      <c r="B316" s="18" t="str">
        <f t="shared" si="20"/>
        <v>Hide</v>
      </c>
      <c r="D316" s="5">
        <f t="shared" si="21"/>
        <v>43</v>
      </c>
      <c r="F316" s="22" t="str">
        <f>"000-7204-00"</f>
        <v>000-7204-00</v>
      </c>
      <c r="G316" s="23" t="str">
        <f>"Unrealized Gain on MC Transactions - Germany"</f>
        <v>Unrealized Gain on MC Transactions - Germany</v>
      </c>
      <c r="H316" s="26">
        <v>0</v>
      </c>
    </row>
    <row r="317" spans="1:8" hidden="1" x14ac:dyDescent="0.3">
      <c r="A317" s="18" t="s">
        <v>41</v>
      </c>
      <c r="B317" s="18" t="str">
        <f t="shared" si="20"/>
        <v>Hide</v>
      </c>
      <c r="D317" s="5">
        <f t="shared" si="21"/>
        <v>43</v>
      </c>
      <c r="F317" s="22" t="str">
        <f>"000-7205-00"</f>
        <v>000-7205-00</v>
      </c>
      <c r="G317" s="23" t="str">
        <f>"Unrealized Gain on MC Transactions - United Kingdo"</f>
        <v>Unrealized Gain on MC Transactions - United Kingdo</v>
      </c>
      <c r="H317" s="26">
        <v>0</v>
      </c>
    </row>
    <row r="318" spans="1:8" hidden="1" x14ac:dyDescent="0.3">
      <c r="A318" s="18" t="s">
        <v>41</v>
      </c>
      <c r="B318" s="18" t="str">
        <f t="shared" si="20"/>
        <v>Hide</v>
      </c>
      <c r="D318" s="5">
        <f t="shared" si="21"/>
        <v>43</v>
      </c>
      <c r="F318" s="22" t="str">
        <f>"000-7206-00"</f>
        <v>000-7206-00</v>
      </c>
      <c r="G318" s="23" t="str">
        <f>"Unrealized Gain on MC Transactions - South Africa"</f>
        <v>Unrealized Gain on MC Transactions - South Africa</v>
      </c>
      <c r="H318" s="26">
        <v>0</v>
      </c>
    </row>
    <row r="319" spans="1:8" hidden="1" x14ac:dyDescent="0.3">
      <c r="A319" s="18" t="s">
        <v>41</v>
      </c>
      <c r="B319" s="18" t="str">
        <f t="shared" si="20"/>
        <v>Hide</v>
      </c>
      <c r="D319" s="5">
        <f t="shared" si="21"/>
        <v>43</v>
      </c>
      <c r="F319" s="22" t="str">
        <f>"000-7207-00"</f>
        <v>000-7207-00</v>
      </c>
      <c r="G319" s="23" t="str">
        <f>"Unrealized Gain on MC Transactions - Singapore"</f>
        <v>Unrealized Gain on MC Transactions - Singapore</v>
      </c>
      <c r="H319" s="26">
        <v>0</v>
      </c>
    </row>
    <row r="320" spans="1:8" hidden="1" x14ac:dyDescent="0.3">
      <c r="A320" s="18" t="s">
        <v>41</v>
      </c>
      <c r="B320" s="18" t="str">
        <f t="shared" si="20"/>
        <v>Hide</v>
      </c>
      <c r="D320" s="5">
        <f t="shared" si="21"/>
        <v>43</v>
      </c>
      <c r="F320" s="22" t="str">
        <f>"000-7300-00"</f>
        <v>000-7300-00</v>
      </c>
      <c r="G320" s="23" t="str">
        <f>"Rounding Writeoff due to MC Trx"</f>
        <v>Rounding Writeoff due to MC Trx</v>
      </c>
      <c r="H320" s="26">
        <v>0</v>
      </c>
    </row>
    <row r="321" spans="1:8" hidden="1" x14ac:dyDescent="0.3">
      <c r="A321" s="18" t="s">
        <v>41</v>
      </c>
      <c r="B321" s="18" t="str">
        <f t="shared" si="20"/>
        <v>Hide</v>
      </c>
      <c r="D321" s="5">
        <f t="shared" si="21"/>
        <v>43</v>
      </c>
      <c r="F321" s="22" t="str">
        <f>"000-7301-00"</f>
        <v>000-7301-00</v>
      </c>
      <c r="G321" s="23" t="str">
        <f>"Rounding Writeoff - Canada"</f>
        <v>Rounding Writeoff - Canada</v>
      </c>
      <c r="H321" s="26">
        <v>0</v>
      </c>
    </row>
    <row r="322" spans="1:8" hidden="1" x14ac:dyDescent="0.3">
      <c r="A322" s="18" t="s">
        <v>41</v>
      </c>
      <c r="B322" s="18" t="str">
        <f t="shared" si="20"/>
        <v>Hide</v>
      </c>
      <c r="D322" s="5">
        <f t="shared" si="21"/>
        <v>43</v>
      </c>
      <c r="F322" s="22" t="str">
        <f>"000-7302-00"</f>
        <v>000-7302-00</v>
      </c>
      <c r="G322" s="23" t="str">
        <f>"Rounding Writeoff - Australia"</f>
        <v>Rounding Writeoff - Australia</v>
      </c>
      <c r="H322" s="26">
        <v>0</v>
      </c>
    </row>
    <row r="323" spans="1:8" hidden="1" x14ac:dyDescent="0.3">
      <c r="A323" s="18" t="s">
        <v>41</v>
      </c>
      <c r="B323" s="18" t="str">
        <f t="shared" si="20"/>
        <v>Hide</v>
      </c>
      <c r="D323" s="5">
        <f t="shared" si="21"/>
        <v>43</v>
      </c>
      <c r="F323" s="22" t="str">
        <f>"000-7303-00"</f>
        <v>000-7303-00</v>
      </c>
      <c r="G323" s="23" t="str">
        <f>"Rounding Writeoff - New Zealand"</f>
        <v>Rounding Writeoff - New Zealand</v>
      </c>
      <c r="H323" s="26">
        <v>0</v>
      </c>
    </row>
    <row r="324" spans="1:8" hidden="1" x14ac:dyDescent="0.3">
      <c r="A324" s="18" t="s">
        <v>41</v>
      </c>
      <c r="B324" s="18" t="str">
        <f t="shared" si="20"/>
        <v>Hide</v>
      </c>
      <c r="D324" s="5">
        <f t="shared" si="21"/>
        <v>43</v>
      </c>
      <c r="F324" s="22" t="str">
        <f>"000-7304-00"</f>
        <v>000-7304-00</v>
      </c>
      <c r="G324" s="23" t="str">
        <f>"Rounding Writeoff - Germany"</f>
        <v>Rounding Writeoff - Germany</v>
      </c>
      <c r="H324" s="26">
        <v>0</v>
      </c>
    </row>
    <row r="325" spans="1:8" hidden="1" x14ac:dyDescent="0.3">
      <c r="A325" s="18" t="s">
        <v>41</v>
      </c>
      <c r="B325" s="18" t="str">
        <f t="shared" si="20"/>
        <v>Hide</v>
      </c>
      <c r="D325" s="5">
        <f t="shared" si="21"/>
        <v>43</v>
      </c>
      <c r="F325" s="22" t="str">
        <f>"000-7305-00"</f>
        <v>000-7305-00</v>
      </c>
      <c r="G325" s="23" t="str">
        <f>"Rounding Writeoff - United Kingdom"</f>
        <v>Rounding Writeoff - United Kingdom</v>
      </c>
      <c r="H325" s="26">
        <v>0</v>
      </c>
    </row>
    <row r="326" spans="1:8" hidden="1" x14ac:dyDescent="0.3">
      <c r="A326" s="18" t="s">
        <v>41</v>
      </c>
      <c r="B326" s="18" t="str">
        <f t="shared" si="20"/>
        <v>Hide</v>
      </c>
      <c r="D326" s="5">
        <f t="shared" si="21"/>
        <v>43</v>
      </c>
      <c r="F326" s="22" t="str">
        <f>"000-7306-00"</f>
        <v>000-7306-00</v>
      </c>
      <c r="G326" s="23" t="str">
        <f>"Rounding Writeoff - South Africa"</f>
        <v>Rounding Writeoff - South Africa</v>
      </c>
      <c r="H326" s="26">
        <v>0</v>
      </c>
    </row>
    <row r="327" spans="1:8" hidden="1" x14ac:dyDescent="0.3">
      <c r="A327" s="18" t="s">
        <v>41</v>
      </c>
      <c r="B327" s="18" t="str">
        <f t="shared" si="20"/>
        <v>Hide</v>
      </c>
      <c r="D327" s="5">
        <f t="shared" si="21"/>
        <v>43</v>
      </c>
      <c r="F327" s="22" t="str">
        <f>"000-7307-00"</f>
        <v>000-7307-00</v>
      </c>
      <c r="G327" s="23" t="str">
        <f>"Rounding Writeoff - Singapore"</f>
        <v>Rounding Writeoff - Singapore</v>
      </c>
      <c r="H327" s="26">
        <v>0</v>
      </c>
    </row>
    <row r="328" spans="1:8" hidden="1" x14ac:dyDescent="0.3">
      <c r="A328" s="18" t="s">
        <v>41</v>
      </c>
      <c r="B328" s="18" t="str">
        <f t="shared" si="20"/>
        <v>Hide</v>
      </c>
      <c r="D328" s="5">
        <f t="shared" si="21"/>
        <v>43</v>
      </c>
      <c r="F328" s="22" t="str">
        <f>"000-7400-00"</f>
        <v>000-7400-00</v>
      </c>
      <c r="G328" s="23" t="str">
        <f>"Rounding Difference due to MC Trx"</f>
        <v>Rounding Difference due to MC Trx</v>
      </c>
      <c r="H328" s="26">
        <v>0</v>
      </c>
    </row>
    <row r="329" spans="1:8" hidden="1" x14ac:dyDescent="0.3">
      <c r="A329" s="18" t="s">
        <v>41</v>
      </c>
      <c r="B329" s="18" t="str">
        <f t="shared" si="20"/>
        <v>Hide</v>
      </c>
      <c r="D329" s="5">
        <f t="shared" si="21"/>
        <v>43</v>
      </c>
      <c r="F329" s="22" t="str">
        <f>"000-7401-00"</f>
        <v>000-7401-00</v>
      </c>
      <c r="G329" s="23" t="str">
        <f>"Rounding Difference - Canada"</f>
        <v>Rounding Difference - Canada</v>
      </c>
      <c r="H329" s="26">
        <v>0</v>
      </c>
    </row>
    <row r="330" spans="1:8" hidden="1" x14ac:dyDescent="0.3">
      <c r="A330" s="18" t="s">
        <v>41</v>
      </c>
      <c r="B330" s="18" t="str">
        <f t="shared" si="20"/>
        <v>Hide</v>
      </c>
      <c r="D330" s="5">
        <f t="shared" si="21"/>
        <v>43</v>
      </c>
      <c r="F330" s="22" t="str">
        <f>"000-7402-00"</f>
        <v>000-7402-00</v>
      </c>
      <c r="G330" s="23" t="str">
        <f>"Rounding Difference - Australia"</f>
        <v>Rounding Difference - Australia</v>
      </c>
      <c r="H330" s="26">
        <v>0</v>
      </c>
    </row>
    <row r="331" spans="1:8" hidden="1" x14ac:dyDescent="0.3">
      <c r="A331" s="18" t="s">
        <v>41</v>
      </c>
      <c r="B331" s="18" t="str">
        <f t="shared" si="20"/>
        <v>Hide</v>
      </c>
      <c r="D331" s="5">
        <f t="shared" si="21"/>
        <v>43</v>
      </c>
      <c r="F331" s="22" t="str">
        <f>"000-7403-00"</f>
        <v>000-7403-00</v>
      </c>
      <c r="G331" s="23" t="str">
        <f>"Rounding Difference - New Zealand"</f>
        <v>Rounding Difference - New Zealand</v>
      </c>
      <c r="H331" s="26">
        <v>0</v>
      </c>
    </row>
    <row r="332" spans="1:8" hidden="1" x14ac:dyDescent="0.3">
      <c r="A332" s="18" t="s">
        <v>41</v>
      </c>
      <c r="B332" s="18" t="str">
        <f t="shared" si="20"/>
        <v>Hide</v>
      </c>
      <c r="D332" s="5">
        <f t="shared" si="21"/>
        <v>43</v>
      </c>
      <c r="F332" s="22" t="str">
        <f>"000-7404-00"</f>
        <v>000-7404-00</v>
      </c>
      <c r="G332" s="23" t="str">
        <f>"Rounding Difference - Germany"</f>
        <v>Rounding Difference - Germany</v>
      </c>
      <c r="H332" s="26">
        <v>0</v>
      </c>
    </row>
    <row r="333" spans="1:8" hidden="1" x14ac:dyDescent="0.3">
      <c r="A333" s="18" t="s">
        <v>41</v>
      </c>
      <c r="B333" s="18" t="str">
        <f t="shared" si="20"/>
        <v>Hide</v>
      </c>
      <c r="D333" s="5">
        <f t="shared" si="21"/>
        <v>43</v>
      </c>
      <c r="F333" s="22" t="str">
        <f>"000-7405-00"</f>
        <v>000-7405-00</v>
      </c>
      <c r="G333" s="23" t="str">
        <f>"Rounding Difference - United Kingdom"</f>
        <v>Rounding Difference - United Kingdom</v>
      </c>
      <c r="H333" s="26">
        <v>0</v>
      </c>
    </row>
    <row r="334" spans="1:8" hidden="1" x14ac:dyDescent="0.3">
      <c r="A334" s="18" t="s">
        <v>41</v>
      </c>
      <c r="B334" s="18" t="str">
        <f t="shared" si="20"/>
        <v>Hide</v>
      </c>
      <c r="D334" s="5">
        <f t="shared" si="21"/>
        <v>43</v>
      </c>
      <c r="F334" s="22" t="str">
        <f>"000-7406-00"</f>
        <v>000-7406-00</v>
      </c>
      <c r="G334" s="23" t="str">
        <f>"Rounding Difference - South Africa"</f>
        <v>Rounding Difference - South Africa</v>
      </c>
      <c r="H334" s="26">
        <v>0</v>
      </c>
    </row>
    <row r="335" spans="1:8" hidden="1" x14ac:dyDescent="0.3">
      <c r="A335" s="18" t="s">
        <v>41</v>
      </c>
      <c r="B335" s="18" t="str">
        <f t="shared" si="20"/>
        <v>Hide</v>
      </c>
      <c r="D335" s="5">
        <f t="shared" si="21"/>
        <v>43</v>
      </c>
      <c r="F335" s="22" t="str">
        <f>"000-7407-00"</f>
        <v>000-7407-00</v>
      </c>
      <c r="G335" s="23" t="str">
        <f>"Rounding Difference - Singapore"</f>
        <v>Rounding Difference - Singapore</v>
      </c>
      <c r="H335" s="26">
        <v>0</v>
      </c>
    </row>
    <row r="336" spans="1:8" hidden="1" x14ac:dyDescent="0.3">
      <c r="A336" s="18" t="s">
        <v>41</v>
      </c>
      <c r="B336" s="18" t="str">
        <f t="shared" si="20"/>
        <v>Hide</v>
      </c>
      <c r="D336" s="5">
        <f t="shared" si="21"/>
        <v>43</v>
      </c>
      <c r="F336" s="22" t="str">
        <f>"000-8030-00"</f>
        <v>000-8030-00</v>
      </c>
      <c r="G336" s="23" t="str">
        <f>"Gain or Loss on Sale of Assets"</f>
        <v>Gain or Loss on Sale of Assets</v>
      </c>
      <c r="H336" s="26">
        <v>0</v>
      </c>
    </row>
    <row r="337" spans="1:8" hidden="1" x14ac:dyDescent="0.3">
      <c r="A337" s="18" t="s">
        <v>41</v>
      </c>
      <c r="B337" s="18" t="str">
        <f t="shared" si="20"/>
        <v>Hide</v>
      </c>
      <c r="D337" s="5">
        <f t="shared" si="21"/>
        <v>43</v>
      </c>
      <c r="F337" s="22" t="str">
        <f>"000-8610-00"</f>
        <v>000-8610-00</v>
      </c>
      <c r="G337" s="23" t="str">
        <f>"Project Deferred Revenue"</f>
        <v>Project Deferred Revenue</v>
      </c>
      <c r="H337" s="26">
        <v>0</v>
      </c>
    </row>
    <row r="338" spans="1:8" hidden="1" x14ac:dyDescent="0.3">
      <c r="A338" s="18"/>
      <c r="B338" s="18" t="str">
        <f>$B$303</f>
        <v>Hide</v>
      </c>
      <c r="F338" s="27"/>
      <c r="G338" s="29"/>
      <c r="H338" s="28"/>
    </row>
    <row r="339" spans="1:8" hidden="1" x14ac:dyDescent="0.3">
      <c r="A339" s="18"/>
      <c r="B339" s="18" t="str">
        <f>IF(H339=0,"Hide","Show")</f>
        <v>Hide</v>
      </c>
      <c r="D339" s="30">
        <v>44</v>
      </c>
      <c r="F339" s="21" t="str">
        <f>"Charges Not Using Working Capital"</f>
        <v>Charges Not Using Working Capital</v>
      </c>
      <c r="G339" s="16"/>
      <c r="H339" s="25">
        <v>0</v>
      </c>
    </row>
    <row r="340" spans="1:8" hidden="1" x14ac:dyDescent="0.3">
      <c r="A340" s="18"/>
      <c r="B340" s="18" t="str">
        <f>IF(H340=0,"Hide","Show")</f>
        <v>Hide</v>
      </c>
      <c r="D340" s="5">
        <f>D339</f>
        <v>44</v>
      </c>
      <c r="F340" s="22"/>
      <c r="G340" s="23" t="str">
        <f>"Cash - Operating Account"</f>
        <v>Cash - Operating Account</v>
      </c>
      <c r="H340" s="26">
        <v>0</v>
      </c>
    </row>
    <row r="341" spans="1:8" hidden="1" x14ac:dyDescent="0.3">
      <c r="A341" s="18"/>
      <c r="B341" s="18" t="str">
        <f>$B$339</f>
        <v>Hide</v>
      </c>
      <c r="F341" s="27"/>
      <c r="G341" s="29"/>
      <c r="H341" s="28"/>
    </row>
    <row r="342" spans="1:8" hidden="1" x14ac:dyDescent="0.3">
      <c r="A342" s="18"/>
      <c r="B342" s="18" t="str">
        <f>IF(H342=0,"Hide","Show")</f>
        <v>Hide</v>
      </c>
      <c r="D342" s="30">
        <v>45</v>
      </c>
      <c r="F342" s="21" t="str">
        <f>"Revenues Not Producing Working Capital"</f>
        <v>Revenues Not Producing Working Capital</v>
      </c>
      <c r="G342" s="16"/>
      <c r="H342" s="25">
        <v>0</v>
      </c>
    </row>
    <row r="343" spans="1:8" hidden="1" x14ac:dyDescent="0.3">
      <c r="A343" s="18"/>
      <c r="B343" s="18" t="str">
        <f>IF(H343=0,"Hide","Show")</f>
        <v>Hide</v>
      </c>
      <c r="D343" s="5">
        <f>D342</f>
        <v>45</v>
      </c>
      <c r="F343" s="22"/>
      <c r="G343" s="23" t="str">
        <f>"Cash - Operating Account"</f>
        <v>Cash - Operating Account</v>
      </c>
      <c r="H343" s="26">
        <v>0</v>
      </c>
    </row>
    <row r="344" spans="1:8" hidden="1" x14ac:dyDescent="0.3">
      <c r="A344" s="18"/>
      <c r="B344" s="18" t="str">
        <f>$B$342</f>
        <v>Hide</v>
      </c>
      <c r="F344" s="27"/>
      <c r="G344" s="29"/>
      <c r="H344" s="28"/>
    </row>
    <row r="345" spans="1:8" hidden="1" x14ac:dyDescent="0.3">
      <c r="A345" s="18"/>
      <c r="B345" s="18" t="str">
        <f>IF(H345=0,"Hide","Show")</f>
        <v>Hide</v>
      </c>
      <c r="D345" s="30">
        <v>46</v>
      </c>
      <c r="F345" s="21" t="str">
        <f>"Gain/Loss on Asset Disposal"</f>
        <v>Gain/Loss on Asset Disposal</v>
      </c>
      <c r="G345" s="16"/>
      <c r="H345" s="25">
        <v>0</v>
      </c>
    </row>
    <row r="346" spans="1:8" hidden="1" x14ac:dyDescent="0.3">
      <c r="A346" s="18"/>
      <c r="B346" s="18" t="str">
        <f>IF(H346=0,"Hide","Show")</f>
        <v>Hide</v>
      </c>
      <c r="D346" s="5">
        <f>D345</f>
        <v>46</v>
      </c>
      <c r="F346" s="22"/>
      <c r="G346" s="23" t="str">
        <f>"Cash - Operating Account"</f>
        <v>Cash - Operating Account</v>
      </c>
      <c r="H346" s="26">
        <v>0</v>
      </c>
    </row>
    <row r="347" spans="1:8" hidden="1" x14ac:dyDescent="0.3">
      <c r="A347" s="18"/>
      <c r="B347" s="18" t="str">
        <f>$B$345</f>
        <v>Hide</v>
      </c>
      <c r="F347" s="27"/>
      <c r="G347" s="29"/>
      <c r="H347" s="28"/>
    </row>
    <row r="348" spans="1:8" hidden="1" x14ac:dyDescent="0.3">
      <c r="A348" s="18"/>
      <c r="B348" s="18" t="str">
        <f>IF(H348=0,"Hide","Show")</f>
        <v>Hide</v>
      </c>
      <c r="D348" s="30">
        <v>47</v>
      </c>
      <c r="F348" s="21" t="str">
        <f>"Amortization of Intangible Assets"</f>
        <v>Amortization of Intangible Assets</v>
      </c>
      <c r="G348" s="16"/>
      <c r="H348" s="25">
        <v>0</v>
      </c>
    </row>
    <row r="349" spans="1:8" hidden="1" x14ac:dyDescent="0.3">
      <c r="A349" s="18"/>
      <c r="B349" s="18" t="str">
        <f>IF(H349=0,"Hide","Show")</f>
        <v>Hide</v>
      </c>
      <c r="D349" s="5">
        <f>D348</f>
        <v>47</v>
      </c>
      <c r="F349" s="22" t="str">
        <f>"000-6300-00"</f>
        <v>000-6300-00</v>
      </c>
      <c r="G349" s="23" t="str">
        <f>"Amortization - Software"</f>
        <v>Amortization - Software</v>
      </c>
      <c r="H349" s="26">
        <v>0</v>
      </c>
    </row>
    <row r="350" spans="1:8" hidden="1" x14ac:dyDescent="0.3">
      <c r="A350" s="18"/>
      <c r="B350" s="18" t="str">
        <f>$B$348</f>
        <v>Hide</v>
      </c>
      <c r="F350" s="27"/>
      <c r="G350" s="29"/>
      <c r="H350" s="28"/>
    </row>
  </sheetData>
  <phoneticPr fontId="4" type="noConversion"/>
  <pageMargins left="0.75" right="0.75" top="1" bottom="1" header="0.5" footer="0.5"/>
  <pageSetup scale="61"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workbookViewId="0"/>
  </sheetViews>
  <sheetFormatPr defaultRowHeight="12.75" x14ac:dyDescent="0.2"/>
  <sheetData>
    <row r="1" spans="1:8" x14ac:dyDescent="0.2">
      <c r="A1" s="1" t="s">
        <v>1747</v>
      </c>
      <c r="B1" s="1" t="s">
        <v>139</v>
      </c>
      <c r="C1" s="1" t="s">
        <v>0</v>
      </c>
      <c r="D1" s="1" t="s">
        <v>0</v>
      </c>
      <c r="F1" s="1" t="s">
        <v>1</v>
      </c>
    </row>
    <row r="3" spans="1:8" x14ac:dyDescent="0.2">
      <c r="F3" s="1" t="s">
        <v>5</v>
      </c>
      <c r="H3" s="1" t="s">
        <v>153</v>
      </c>
    </row>
    <row r="4" spans="1:8" x14ac:dyDescent="0.2">
      <c r="H4" s="1" t="s">
        <v>154</v>
      </c>
    </row>
    <row r="5" spans="1:8" x14ac:dyDescent="0.2">
      <c r="A5" s="1" t="s">
        <v>775</v>
      </c>
      <c r="B5" s="1" t="s">
        <v>776</v>
      </c>
      <c r="D5" s="1" t="s">
        <v>774</v>
      </c>
    </row>
    <row r="7" spans="1:8" x14ac:dyDescent="0.2">
      <c r="H7" s="1" t="s">
        <v>152</v>
      </c>
    </row>
    <row r="8" spans="1:8" x14ac:dyDescent="0.2">
      <c r="B8" s="1" t="s">
        <v>777</v>
      </c>
      <c r="D8" s="1" t="s">
        <v>51</v>
      </c>
      <c r="F8" s="1" t="s">
        <v>618</v>
      </c>
      <c r="H8" s="1" t="s">
        <v>619</v>
      </c>
    </row>
    <row r="9" spans="1:8" x14ac:dyDescent="0.2">
      <c r="B9" s="1" t="s">
        <v>778</v>
      </c>
      <c r="D9" s="1" t="s">
        <v>620</v>
      </c>
      <c r="F9" s="1" t="s">
        <v>621</v>
      </c>
      <c r="G9" s="1" t="s">
        <v>779</v>
      </c>
      <c r="H9" s="1" t="s">
        <v>780</v>
      </c>
    </row>
    <row r="10" spans="1:8" x14ac:dyDescent="0.2">
      <c r="B10" s="1" t="s">
        <v>781</v>
      </c>
    </row>
    <row r="11" spans="1:8" x14ac:dyDescent="0.2">
      <c r="B11" s="1" t="s">
        <v>782</v>
      </c>
      <c r="D11" s="1" t="s">
        <v>52</v>
      </c>
      <c r="F11" s="1" t="s">
        <v>622</v>
      </c>
      <c r="H11" s="1" t="s">
        <v>623</v>
      </c>
    </row>
    <row r="12" spans="1:8" x14ac:dyDescent="0.2">
      <c r="B12" s="1" t="s">
        <v>783</v>
      </c>
      <c r="D12" s="1" t="s">
        <v>624</v>
      </c>
      <c r="F12" s="1" t="s">
        <v>625</v>
      </c>
      <c r="G12" s="1" t="s">
        <v>784</v>
      </c>
      <c r="H12" s="1" t="s">
        <v>785</v>
      </c>
    </row>
    <row r="13" spans="1:8" x14ac:dyDescent="0.2">
      <c r="B13" s="1" t="s">
        <v>626</v>
      </c>
    </row>
    <row r="14" spans="1:8" x14ac:dyDescent="0.2">
      <c r="B14" s="1" t="s">
        <v>786</v>
      </c>
      <c r="D14" s="1" t="s">
        <v>53</v>
      </c>
      <c r="F14" s="1" t="s">
        <v>627</v>
      </c>
      <c r="H14" s="1" t="s">
        <v>628</v>
      </c>
    </row>
    <row r="15" spans="1:8" x14ac:dyDescent="0.2">
      <c r="B15" s="1" t="s">
        <v>787</v>
      </c>
      <c r="D15" s="1" t="s">
        <v>155</v>
      </c>
      <c r="F15" s="1" t="s">
        <v>629</v>
      </c>
      <c r="G15" s="1" t="s">
        <v>788</v>
      </c>
      <c r="H15" s="1" t="s">
        <v>789</v>
      </c>
    </row>
    <row r="16" spans="1:8" x14ac:dyDescent="0.2">
      <c r="B16" s="1" t="s">
        <v>630</v>
      </c>
    </row>
    <row r="17" spans="2:8" x14ac:dyDescent="0.2">
      <c r="B17" s="1" t="s">
        <v>790</v>
      </c>
      <c r="D17" s="1" t="s">
        <v>191</v>
      </c>
      <c r="F17" s="1" t="s">
        <v>631</v>
      </c>
      <c r="H17" s="1" t="s">
        <v>632</v>
      </c>
    </row>
    <row r="18" spans="2:8" x14ac:dyDescent="0.2">
      <c r="B18" s="1" t="s">
        <v>791</v>
      </c>
      <c r="D18" s="1" t="s">
        <v>158</v>
      </c>
      <c r="F18" s="1" t="s">
        <v>633</v>
      </c>
      <c r="G18" s="1" t="s">
        <v>792</v>
      </c>
      <c r="H18" s="1" t="s">
        <v>793</v>
      </c>
    </row>
    <row r="19" spans="2:8" x14ac:dyDescent="0.2">
      <c r="B19" s="1" t="s">
        <v>634</v>
      </c>
    </row>
    <row r="20" spans="2:8" x14ac:dyDescent="0.2">
      <c r="B20" s="1" t="s">
        <v>794</v>
      </c>
      <c r="D20" s="1" t="s">
        <v>192</v>
      </c>
      <c r="F20" s="1" t="s">
        <v>635</v>
      </c>
      <c r="H20" s="1" t="s">
        <v>636</v>
      </c>
    </row>
    <row r="21" spans="2:8" x14ac:dyDescent="0.2">
      <c r="B21" s="1" t="s">
        <v>795</v>
      </c>
      <c r="D21" s="1" t="s">
        <v>15</v>
      </c>
      <c r="F21" s="1" t="s">
        <v>637</v>
      </c>
      <c r="G21" s="1" t="s">
        <v>796</v>
      </c>
      <c r="H21" s="1" t="s">
        <v>797</v>
      </c>
    </row>
    <row r="22" spans="2:8" x14ac:dyDescent="0.2">
      <c r="B22" s="1" t="s">
        <v>638</v>
      </c>
    </row>
    <row r="23" spans="2:8" x14ac:dyDescent="0.2">
      <c r="B23" s="1" t="s">
        <v>798</v>
      </c>
      <c r="D23" s="1" t="s">
        <v>118</v>
      </c>
      <c r="F23" s="1" t="s">
        <v>639</v>
      </c>
      <c r="H23" s="1" t="s">
        <v>640</v>
      </c>
    </row>
    <row r="24" spans="2:8" x14ac:dyDescent="0.2">
      <c r="B24" s="1" t="s">
        <v>799</v>
      </c>
      <c r="D24" s="1" t="s">
        <v>18</v>
      </c>
      <c r="F24" s="1" t="s">
        <v>641</v>
      </c>
      <c r="G24" s="1" t="s">
        <v>800</v>
      </c>
      <c r="H24" s="1" t="s">
        <v>801</v>
      </c>
    </row>
    <row r="25" spans="2:8" x14ac:dyDescent="0.2">
      <c r="B25" s="1" t="s">
        <v>642</v>
      </c>
    </row>
    <row r="26" spans="2:8" x14ac:dyDescent="0.2">
      <c r="B26" s="1" t="s">
        <v>802</v>
      </c>
      <c r="D26" s="1" t="s">
        <v>193</v>
      </c>
      <c r="F26" s="1" t="s">
        <v>643</v>
      </c>
      <c r="H26" s="1" t="s">
        <v>644</v>
      </c>
    </row>
    <row r="27" spans="2:8" x14ac:dyDescent="0.2">
      <c r="B27" s="1" t="s">
        <v>803</v>
      </c>
      <c r="D27" s="1" t="s">
        <v>19</v>
      </c>
      <c r="F27" s="1" t="s">
        <v>645</v>
      </c>
      <c r="G27" s="1" t="s">
        <v>804</v>
      </c>
      <c r="H27" s="1" t="s">
        <v>805</v>
      </c>
    </row>
    <row r="28" spans="2:8" x14ac:dyDescent="0.2">
      <c r="B28" s="1" t="s">
        <v>646</v>
      </c>
    </row>
    <row r="29" spans="2:8" x14ac:dyDescent="0.2">
      <c r="B29" s="1" t="s">
        <v>806</v>
      </c>
      <c r="D29" s="1" t="s">
        <v>194</v>
      </c>
      <c r="F29" s="1" t="s">
        <v>647</v>
      </c>
      <c r="H29" s="1" t="s">
        <v>648</v>
      </c>
    </row>
    <row r="30" spans="2:8" x14ac:dyDescent="0.2">
      <c r="B30" s="1" t="s">
        <v>807</v>
      </c>
      <c r="D30" s="1" t="s">
        <v>22</v>
      </c>
      <c r="F30" s="1" t="s">
        <v>649</v>
      </c>
      <c r="G30" s="1" t="s">
        <v>808</v>
      </c>
      <c r="H30" s="1" t="s">
        <v>809</v>
      </c>
    </row>
    <row r="31" spans="2:8" x14ac:dyDescent="0.2">
      <c r="B31" s="1" t="s">
        <v>650</v>
      </c>
    </row>
    <row r="32" spans="2:8" x14ac:dyDescent="0.2">
      <c r="B32" s="1" t="s">
        <v>810</v>
      </c>
      <c r="D32" s="1" t="s">
        <v>120</v>
      </c>
      <c r="F32" s="1" t="s">
        <v>651</v>
      </c>
      <c r="H32" s="1" t="s">
        <v>652</v>
      </c>
    </row>
    <row r="33" spans="2:8" x14ac:dyDescent="0.2">
      <c r="B33" s="1" t="s">
        <v>811</v>
      </c>
      <c r="D33" s="1" t="s">
        <v>45</v>
      </c>
      <c r="F33" s="1" t="s">
        <v>653</v>
      </c>
      <c r="G33" s="1" t="s">
        <v>812</v>
      </c>
      <c r="H33" s="1" t="s">
        <v>813</v>
      </c>
    </row>
    <row r="34" spans="2:8" x14ac:dyDescent="0.2">
      <c r="B34" s="1" t="s">
        <v>654</v>
      </c>
    </row>
    <row r="35" spans="2:8" x14ac:dyDescent="0.2">
      <c r="B35" s="1" t="s">
        <v>814</v>
      </c>
      <c r="D35" s="1" t="s">
        <v>123</v>
      </c>
      <c r="F35" s="1" t="s">
        <v>655</v>
      </c>
      <c r="H35" s="1" t="s">
        <v>656</v>
      </c>
    </row>
    <row r="36" spans="2:8" x14ac:dyDescent="0.2">
      <c r="B36" s="1" t="s">
        <v>815</v>
      </c>
      <c r="D36" s="1" t="s">
        <v>24</v>
      </c>
      <c r="F36" s="1" t="s">
        <v>657</v>
      </c>
      <c r="G36" s="1" t="s">
        <v>816</v>
      </c>
      <c r="H36" s="1" t="s">
        <v>817</v>
      </c>
    </row>
    <row r="37" spans="2:8" x14ac:dyDescent="0.2">
      <c r="B37" s="1" t="s">
        <v>658</v>
      </c>
    </row>
    <row r="38" spans="2:8" x14ac:dyDescent="0.2">
      <c r="B38" s="1" t="s">
        <v>818</v>
      </c>
      <c r="D38" s="1" t="s">
        <v>58</v>
      </c>
      <c r="F38" s="1" t="s">
        <v>659</v>
      </c>
      <c r="H38" s="1" t="s">
        <v>660</v>
      </c>
    </row>
    <row r="39" spans="2:8" x14ac:dyDescent="0.2">
      <c r="B39" s="1" t="s">
        <v>819</v>
      </c>
      <c r="D39" s="1" t="s">
        <v>46</v>
      </c>
      <c r="F39" s="1" t="s">
        <v>661</v>
      </c>
      <c r="G39" s="1" t="s">
        <v>820</v>
      </c>
      <c r="H39" s="1" t="s">
        <v>821</v>
      </c>
    </row>
    <row r="40" spans="2:8" x14ac:dyDescent="0.2">
      <c r="B40" s="1" t="s">
        <v>662</v>
      </c>
    </row>
    <row r="41" spans="2:8" x14ac:dyDescent="0.2">
      <c r="B41" s="1" t="s">
        <v>822</v>
      </c>
      <c r="D41" s="1" t="s">
        <v>57</v>
      </c>
      <c r="F41" s="1" t="s">
        <v>663</v>
      </c>
      <c r="H41" s="1" t="s">
        <v>664</v>
      </c>
    </row>
    <row r="42" spans="2:8" x14ac:dyDescent="0.2">
      <c r="B42" s="1" t="s">
        <v>823</v>
      </c>
      <c r="D42" s="1" t="s">
        <v>173</v>
      </c>
      <c r="F42" s="1" t="s">
        <v>665</v>
      </c>
      <c r="G42" s="1" t="s">
        <v>824</v>
      </c>
      <c r="H42" s="1" t="s">
        <v>825</v>
      </c>
    </row>
    <row r="43" spans="2:8" x14ac:dyDescent="0.2">
      <c r="B43" s="1" t="s">
        <v>666</v>
      </c>
    </row>
    <row r="44" spans="2:8" x14ac:dyDescent="0.2">
      <c r="B44" s="1" t="s">
        <v>826</v>
      </c>
      <c r="D44" s="1" t="s">
        <v>56</v>
      </c>
      <c r="F44" s="1" t="s">
        <v>667</v>
      </c>
      <c r="H44" s="1" t="s">
        <v>668</v>
      </c>
    </row>
    <row r="45" spans="2:8" x14ac:dyDescent="0.2">
      <c r="B45" s="1" t="s">
        <v>827</v>
      </c>
      <c r="D45" s="1" t="s">
        <v>27</v>
      </c>
      <c r="F45" s="1" t="s">
        <v>669</v>
      </c>
      <c r="G45" s="1" t="s">
        <v>828</v>
      </c>
      <c r="H45" s="1" t="s">
        <v>829</v>
      </c>
    </row>
    <row r="46" spans="2:8" x14ac:dyDescent="0.2">
      <c r="B46" s="1" t="s">
        <v>670</v>
      </c>
    </row>
    <row r="47" spans="2:8" x14ac:dyDescent="0.2">
      <c r="B47" s="1" t="s">
        <v>830</v>
      </c>
      <c r="D47" s="1" t="s">
        <v>195</v>
      </c>
      <c r="F47" s="1" t="s">
        <v>671</v>
      </c>
      <c r="H47" s="1" t="s">
        <v>672</v>
      </c>
    </row>
    <row r="48" spans="2:8" x14ac:dyDescent="0.2">
      <c r="B48" s="1" t="s">
        <v>831</v>
      </c>
      <c r="D48" s="1" t="s">
        <v>134</v>
      </c>
      <c r="F48" s="1" t="s">
        <v>673</v>
      </c>
      <c r="G48" s="1" t="s">
        <v>832</v>
      </c>
      <c r="H48" s="1" t="s">
        <v>833</v>
      </c>
    </row>
    <row r="49" spans="2:8" x14ac:dyDescent="0.2">
      <c r="B49" s="1" t="s">
        <v>674</v>
      </c>
    </row>
    <row r="50" spans="2:8" x14ac:dyDescent="0.2">
      <c r="B50" s="1" t="s">
        <v>834</v>
      </c>
      <c r="D50" s="1" t="s">
        <v>196</v>
      </c>
      <c r="F50" s="1" t="s">
        <v>675</v>
      </c>
      <c r="H50" s="1" t="s">
        <v>676</v>
      </c>
    </row>
    <row r="51" spans="2:8" x14ac:dyDescent="0.2">
      <c r="B51" s="1" t="s">
        <v>835</v>
      </c>
      <c r="D51" s="1" t="s">
        <v>30</v>
      </c>
      <c r="F51" s="1" t="s">
        <v>677</v>
      </c>
      <c r="G51" s="1" t="s">
        <v>836</v>
      </c>
      <c r="H51" s="1" t="s">
        <v>837</v>
      </c>
    </row>
    <row r="52" spans="2:8" x14ac:dyDescent="0.2">
      <c r="B52" s="1" t="s">
        <v>678</v>
      </c>
    </row>
    <row r="53" spans="2:8" x14ac:dyDescent="0.2">
      <c r="B53" s="1" t="s">
        <v>838</v>
      </c>
      <c r="D53" s="1" t="s">
        <v>55</v>
      </c>
      <c r="F53" s="1" t="s">
        <v>679</v>
      </c>
      <c r="H53" s="1" t="s">
        <v>680</v>
      </c>
    </row>
    <row r="54" spans="2:8" x14ac:dyDescent="0.2">
      <c r="B54" s="1" t="s">
        <v>839</v>
      </c>
      <c r="D54" s="1" t="s">
        <v>143</v>
      </c>
      <c r="F54" s="1" t="s">
        <v>681</v>
      </c>
      <c r="G54" s="1" t="s">
        <v>840</v>
      </c>
      <c r="H54" s="1" t="s">
        <v>841</v>
      </c>
    </row>
    <row r="55" spans="2:8" x14ac:dyDescent="0.2">
      <c r="B55" s="1" t="s">
        <v>682</v>
      </c>
    </row>
    <row r="56" spans="2:8" x14ac:dyDescent="0.2">
      <c r="B56" s="1" t="s">
        <v>842</v>
      </c>
      <c r="D56" s="1" t="s">
        <v>54</v>
      </c>
      <c r="F56" s="1" t="s">
        <v>683</v>
      </c>
      <c r="H56" s="1" t="s">
        <v>684</v>
      </c>
    </row>
    <row r="57" spans="2:8" x14ac:dyDescent="0.2">
      <c r="B57" s="1" t="s">
        <v>843</v>
      </c>
      <c r="D57" s="1" t="s">
        <v>685</v>
      </c>
      <c r="F57" s="1" t="s">
        <v>686</v>
      </c>
      <c r="G57" s="1" t="s">
        <v>844</v>
      </c>
      <c r="H57" s="1" t="s">
        <v>845</v>
      </c>
    </row>
    <row r="58" spans="2:8" x14ac:dyDescent="0.2">
      <c r="B58" s="1" t="s">
        <v>687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workbookViewId="0"/>
  </sheetViews>
  <sheetFormatPr defaultRowHeight="12.75" x14ac:dyDescent="0.2"/>
  <sheetData>
    <row r="1" spans="1:8" x14ac:dyDescent="0.2">
      <c r="A1" s="1" t="s">
        <v>1747</v>
      </c>
      <c r="B1" s="1" t="s">
        <v>139</v>
      </c>
      <c r="C1" s="1" t="s">
        <v>0</v>
      </c>
      <c r="D1" s="1" t="s">
        <v>0</v>
      </c>
      <c r="F1" s="1" t="s">
        <v>1</v>
      </c>
    </row>
    <row r="3" spans="1:8" x14ac:dyDescent="0.2">
      <c r="F3" s="1" t="s">
        <v>5</v>
      </c>
      <c r="H3" s="1" t="s">
        <v>153</v>
      </c>
    </row>
    <row r="4" spans="1:8" x14ac:dyDescent="0.2">
      <c r="H4" s="1" t="s">
        <v>154</v>
      </c>
    </row>
    <row r="5" spans="1:8" x14ac:dyDescent="0.2">
      <c r="A5" s="1" t="s">
        <v>775</v>
      </c>
      <c r="B5" s="1" t="s">
        <v>776</v>
      </c>
      <c r="D5" s="1" t="s">
        <v>774</v>
      </c>
    </row>
    <row r="7" spans="1:8" x14ac:dyDescent="0.2">
      <c r="H7" s="1" t="s">
        <v>152</v>
      </c>
    </row>
    <row r="8" spans="1:8" x14ac:dyDescent="0.2">
      <c r="B8" s="1" t="s">
        <v>777</v>
      </c>
      <c r="D8" s="1" t="s">
        <v>51</v>
      </c>
      <c r="F8" s="1" t="s">
        <v>1746</v>
      </c>
      <c r="H8" s="1" t="s">
        <v>1746</v>
      </c>
    </row>
    <row r="9" spans="1:8" x14ac:dyDescent="0.2">
      <c r="B9" s="1" t="s">
        <v>778</v>
      </c>
      <c r="D9" s="1" t="s">
        <v>620</v>
      </c>
      <c r="F9" s="1" t="s">
        <v>621</v>
      </c>
      <c r="G9" s="1" t="s">
        <v>779</v>
      </c>
      <c r="H9" s="1" t="s">
        <v>780</v>
      </c>
    </row>
    <row r="10" spans="1:8" x14ac:dyDescent="0.2">
      <c r="B10" s="1" t="s">
        <v>781</v>
      </c>
    </row>
    <row r="11" spans="1:8" x14ac:dyDescent="0.2">
      <c r="B11" s="1" t="s">
        <v>782</v>
      </c>
      <c r="D11" s="1" t="s">
        <v>52</v>
      </c>
      <c r="F11" s="1" t="s">
        <v>622</v>
      </c>
      <c r="H11" s="1" t="s">
        <v>623</v>
      </c>
    </row>
    <row r="12" spans="1:8" x14ac:dyDescent="0.2">
      <c r="B12" s="1" t="s">
        <v>783</v>
      </c>
      <c r="D12" s="1" t="s">
        <v>624</v>
      </c>
      <c r="F12" s="1" t="s">
        <v>625</v>
      </c>
      <c r="G12" s="1" t="s">
        <v>784</v>
      </c>
      <c r="H12" s="1" t="s">
        <v>785</v>
      </c>
    </row>
    <row r="13" spans="1:8" x14ac:dyDescent="0.2">
      <c r="B13" s="1" t="s">
        <v>626</v>
      </c>
    </row>
    <row r="14" spans="1:8" x14ac:dyDescent="0.2">
      <c r="B14" s="1" t="s">
        <v>786</v>
      </c>
      <c r="D14" s="1" t="s">
        <v>53</v>
      </c>
      <c r="F14" s="1" t="s">
        <v>627</v>
      </c>
      <c r="H14" s="1" t="s">
        <v>628</v>
      </c>
    </row>
    <row r="15" spans="1:8" x14ac:dyDescent="0.2">
      <c r="B15" s="1" t="s">
        <v>787</v>
      </c>
      <c r="D15" s="1" t="s">
        <v>155</v>
      </c>
      <c r="F15" s="1" t="s">
        <v>629</v>
      </c>
      <c r="G15" s="1" t="s">
        <v>788</v>
      </c>
      <c r="H15" s="1" t="s">
        <v>789</v>
      </c>
    </row>
    <row r="16" spans="1:8" x14ac:dyDescent="0.2">
      <c r="B16" s="1" t="s">
        <v>630</v>
      </c>
    </row>
    <row r="17" spans="2:8" x14ac:dyDescent="0.2">
      <c r="B17" s="1" t="s">
        <v>790</v>
      </c>
      <c r="D17" s="1" t="s">
        <v>191</v>
      </c>
      <c r="F17" s="1" t="s">
        <v>631</v>
      </c>
      <c r="H17" s="1" t="s">
        <v>632</v>
      </c>
    </row>
    <row r="18" spans="2:8" x14ac:dyDescent="0.2">
      <c r="B18" s="1" t="s">
        <v>791</v>
      </c>
      <c r="D18" s="1" t="s">
        <v>158</v>
      </c>
      <c r="F18" s="1" t="s">
        <v>633</v>
      </c>
      <c r="G18" s="1" t="s">
        <v>792</v>
      </c>
      <c r="H18" s="1" t="s">
        <v>793</v>
      </c>
    </row>
    <row r="19" spans="2:8" x14ac:dyDescent="0.2">
      <c r="B19" s="1" t="s">
        <v>634</v>
      </c>
    </row>
    <row r="20" spans="2:8" x14ac:dyDescent="0.2">
      <c r="B20" s="1" t="s">
        <v>794</v>
      </c>
      <c r="D20" s="1" t="s">
        <v>192</v>
      </c>
      <c r="F20" s="1" t="s">
        <v>635</v>
      </c>
      <c r="H20" s="1" t="s">
        <v>636</v>
      </c>
    </row>
    <row r="21" spans="2:8" x14ac:dyDescent="0.2">
      <c r="B21" s="1" t="s">
        <v>795</v>
      </c>
      <c r="D21" s="1" t="s">
        <v>15</v>
      </c>
      <c r="F21" s="1" t="s">
        <v>637</v>
      </c>
      <c r="G21" s="1" t="s">
        <v>796</v>
      </c>
      <c r="H21" s="1" t="s">
        <v>797</v>
      </c>
    </row>
    <row r="22" spans="2:8" x14ac:dyDescent="0.2">
      <c r="B22" s="1" t="s">
        <v>638</v>
      </c>
    </row>
    <row r="23" spans="2:8" x14ac:dyDescent="0.2">
      <c r="B23" s="1" t="s">
        <v>798</v>
      </c>
      <c r="D23" s="1" t="s">
        <v>118</v>
      </c>
      <c r="F23" s="1" t="s">
        <v>639</v>
      </c>
      <c r="H23" s="1" t="s">
        <v>640</v>
      </c>
    </row>
    <row r="24" spans="2:8" x14ac:dyDescent="0.2">
      <c r="B24" s="1" t="s">
        <v>799</v>
      </c>
      <c r="D24" s="1" t="s">
        <v>18</v>
      </c>
      <c r="F24" s="1" t="s">
        <v>641</v>
      </c>
      <c r="G24" s="1" t="s">
        <v>800</v>
      </c>
      <c r="H24" s="1" t="s">
        <v>801</v>
      </c>
    </row>
    <row r="25" spans="2:8" x14ac:dyDescent="0.2">
      <c r="B25" s="1" t="s">
        <v>642</v>
      </c>
    </row>
    <row r="26" spans="2:8" x14ac:dyDescent="0.2">
      <c r="B26" s="1" t="s">
        <v>802</v>
      </c>
      <c r="D26" s="1" t="s">
        <v>193</v>
      </c>
      <c r="F26" s="1" t="s">
        <v>643</v>
      </c>
      <c r="H26" s="1" t="s">
        <v>644</v>
      </c>
    </row>
    <row r="27" spans="2:8" x14ac:dyDescent="0.2">
      <c r="B27" s="1" t="s">
        <v>803</v>
      </c>
      <c r="D27" s="1" t="s">
        <v>19</v>
      </c>
      <c r="F27" s="1" t="s">
        <v>645</v>
      </c>
      <c r="G27" s="1" t="s">
        <v>804</v>
      </c>
      <c r="H27" s="1" t="s">
        <v>805</v>
      </c>
    </row>
    <row r="28" spans="2:8" x14ac:dyDescent="0.2">
      <c r="B28" s="1" t="s">
        <v>646</v>
      </c>
    </row>
    <row r="29" spans="2:8" x14ac:dyDescent="0.2">
      <c r="B29" s="1" t="s">
        <v>806</v>
      </c>
      <c r="D29" s="1" t="s">
        <v>194</v>
      </c>
      <c r="F29" s="1" t="s">
        <v>647</v>
      </c>
      <c r="H29" s="1" t="s">
        <v>648</v>
      </c>
    </row>
    <row r="30" spans="2:8" x14ac:dyDescent="0.2">
      <c r="B30" s="1" t="s">
        <v>807</v>
      </c>
      <c r="D30" s="1" t="s">
        <v>22</v>
      </c>
      <c r="F30" s="1" t="s">
        <v>649</v>
      </c>
      <c r="G30" s="1" t="s">
        <v>808</v>
      </c>
      <c r="H30" s="1" t="s">
        <v>809</v>
      </c>
    </row>
    <row r="31" spans="2:8" x14ac:dyDescent="0.2">
      <c r="B31" s="1" t="s">
        <v>650</v>
      </c>
    </row>
    <row r="32" spans="2:8" x14ac:dyDescent="0.2">
      <c r="B32" s="1" t="s">
        <v>810</v>
      </c>
      <c r="D32" s="1" t="s">
        <v>120</v>
      </c>
      <c r="F32" s="1" t="s">
        <v>651</v>
      </c>
      <c r="H32" s="1" t="s">
        <v>652</v>
      </c>
    </row>
    <row r="33" spans="2:8" x14ac:dyDescent="0.2">
      <c r="B33" s="1" t="s">
        <v>811</v>
      </c>
      <c r="D33" s="1" t="s">
        <v>45</v>
      </c>
      <c r="F33" s="1" t="s">
        <v>653</v>
      </c>
      <c r="G33" s="1" t="s">
        <v>812</v>
      </c>
      <c r="H33" s="1" t="s">
        <v>813</v>
      </c>
    </row>
    <row r="34" spans="2:8" x14ac:dyDescent="0.2">
      <c r="B34" s="1" t="s">
        <v>654</v>
      </c>
    </row>
    <row r="35" spans="2:8" x14ac:dyDescent="0.2">
      <c r="B35" s="1" t="s">
        <v>814</v>
      </c>
      <c r="D35" s="1" t="s">
        <v>123</v>
      </c>
      <c r="F35" s="1" t="s">
        <v>655</v>
      </c>
      <c r="H35" s="1" t="s">
        <v>656</v>
      </c>
    </row>
    <row r="36" spans="2:8" x14ac:dyDescent="0.2">
      <c r="B36" s="1" t="s">
        <v>815</v>
      </c>
      <c r="D36" s="1" t="s">
        <v>24</v>
      </c>
      <c r="F36" s="1" t="s">
        <v>657</v>
      </c>
      <c r="G36" s="1" t="s">
        <v>816</v>
      </c>
      <c r="H36" s="1" t="s">
        <v>817</v>
      </c>
    </row>
    <row r="37" spans="2:8" x14ac:dyDescent="0.2">
      <c r="B37" s="1" t="s">
        <v>658</v>
      </c>
    </row>
    <row r="38" spans="2:8" x14ac:dyDescent="0.2">
      <c r="B38" s="1" t="s">
        <v>818</v>
      </c>
      <c r="D38" s="1" t="s">
        <v>58</v>
      </c>
      <c r="F38" s="1" t="s">
        <v>659</v>
      </c>
      <c r="H38" s="1" t="s">
        <v>660</v>
      </c>
    </row>
    <row r="39" spans="2:8" x14ac:dyDescent="0.2">
      <c r="B39" s="1" t="s">
        <v>819</v>
      </c>
      <c r="D39" s="1" t="s">
        <v>46</v>
      </c>
      <c r="F39" s="1" t="s">
        <v>661</v>
      </c>
      <c r="G39" s="1" t="s">
        <v>820</v>
      </c>
      <c r="H39" s="1" t="s">
        <v>821</v>
      </c>
    </row>
    <row r="40" spans="2:8" x14ac:dyDescent="0.2">
      <c r="B40" s="1" t="s">
        <v>662</v>
      </c>
    </row>
    <row r="41" spans="2:8" x14ac:dyDescent="0.2">
      <c r="B41" s="1" t="s">
        <v>822</v>
      </c>
      <c r="D41" s="1" t="s">
        <v>57</v>
      </c>
      <c r="F41" s="1" t="s">
        <v>663</v>
      </c>
      <c r="H41" s="1" t="s">
        <v>664</v>
      </c>
    </row>
    <row r="42" spans="2:8" x14ac:dyDescent="0.2">
      <c r="B42" s="1" t="s">
        <v>823</v>
      </c>
      <c r="D42" s="1" t="s">
        <v>173</v>
      </c>
      <c r="F42" s="1" t="s">
        <v>665</v>
      </c>
      <c r="G42" s="1" t="s">
        <v>824</v>
      </c>
      <c r="H42" s="1" t="s">
        <v>825</v>
      </c>
    </row>
    <row r="43" spans="2:8" x14ac:dyDescent="0.2">
      <c r="B43" s="1" t="s">
        <v>666</v>
      </c>
    </row>
    <row r="44" spans="2:8" x14ac:dyDescent="0.2">
      <c r="B44" s="1" t="s">
        <v>826</v>
      </c>
      <c r="D44" s="1" t="s">
        <v>56</v>
      </c>
      <c r="F44" s="1" t="s">
        <v>667</v>
      </c>
      <c r="H44" s="1" t="s">
        <v>668</v>
      </c>
    </row>
    <row r="45" spans="2:8" x14ac:dyDescent="0.2">
      <c r="B45" s="1" t="s">
        <v>827</v>
      </c>
      <c r="D45" s="1" t="s">
        <v>27</v>
      </c>
      <c r="F45" s="1" t="s">
        <v>669</v>
      </c>
      <c r="G45" s="1" t="s">
        <v>828</v>
      </c>
      <c r="H45" s="1" t="s">
        <v>829</v>
      </c>
    </row>
    <row r="46" spans="2:8" x14ac:dyDescent="0.2">
      <c r="B46" s="1" t="s">
        <v>670</v>
      </c>
    </row>
    <row r="47" spans="2:8" x14ac:dyDescent="0.2">
      <c r="B47" s="1" t="s">
        <v>830</v>
      </c>
      <c r="D47" s="1" t="s">
        <v>195</v>
      </c>
      <c r="F47" s="1" t="s">
        <v>671</v>
      </c>
      <c r="H47" s="1" t="s">
        <v>672</v>
      </c>
    </row>
    <row r="48" spans="2:8" x14ac:dyDescent="0.2">
      <c r="B48" s="1" t="s">
        <v>831</v>
      </c>
      <c r="D48" s="1" t="s">
        <v>134</v>
      </c>
      <c r="F48" s="1" t="s">
        <v>673</v>
      </c>
      <c r="G48" s="1" t="s">
        <v>832</v>
      </c>
      <c r="H48" s="1" t="s">
        <v>833</v>
      </c>
    </row>
    <row r="49" spans="2:8" x14ac:dyDescent="0.2">
      <c r="B49" s="1" t="s">
        <v>674</v>
      </c>
    </row>
    <row r="50" spans="2:8" x14ac:dyDescent="0.2">
      <c r="B50" s="1" t="s">
        <v>834</v>
      </c>
      <c r="D50" s="1" t="s">
        <v>196</v>
      </c>
      <c r="F50" s="1" t="s">
        <v>675</v>
      </c>
      <c r="H50" s="1" t="s">
        <v>676</v>
      </c>
    </row>
    <row r="51" spans="2:8" x14ac:dyDescent="0.2">
      <c r="B51" s="1" t="s">
        <v>835</v>
      </c>
      <c r="D51" s="1" t="s">
        <v>30</v>
      </c>
      <c r="F51" s="1" t="s">
        <v>677</v>
      </c>
      <c r="G51" s="1" t="s">
        <v>836</v>
      </c>
      <c r="H51" s="1" t="s">
        <v>837</v>
      </c>
    </row>
    <row r="52" spans="2:8" x14ac:dyDescent="0.2">
      <c r="B52" s="1" t="s">
        <v>678</v>
      </c>
    </row>
    <row r="53" spans="2:8" x14ac:dyDescent="0.2">
      <c r="B53" s="1" t="s">
        <v>838</v>
      </c>
      <c r="D53" s="1" t="s">
        <v>55</v>
      </c>
      <c r="F53" s="1" t="s">
        <v>679</v>
      </c>
      <c r="H53" s="1" t="s">
        <v>680</v>
      </c>
    </row>
    <row r="54" spans="2:8" x14ac:dyDescent="0.2">
      <c r="B54" s="1" t="s">
        <v>839</v>
      </c>
      <c r="D54" s="1" t="s">
        <v>143</v>
      </c>
      <c r="F54" s="1" t="s">
        <v>681</v>
      </c>
      <c r="G54" s="1" t="s">
        <v>840</v>
      </c>
      <c r="H54" s="1" t="s">
        <v>841</v>
      </c>
    </row>
    <row r="55" spans="2:8" x14ac:dyDescent="0.2">
      <c r="B55" s="1" t="s">
        <v>682</v>
      </c>
    </row>
    <row r="56" spans="2:8" x14ac:dyDescent="0.2">
      <c r="B56" s="1" t="s">
        <v>842</v>
      </c>
      <c r="D56" s="1" t="s">
        <v>54</v>
      </c>
      <c r="F56" s="1" t="s">
        <v>683</v>
      </c>
      <c r="H56" s="1" t="s">
        <v>684</v>
      </c>
    </row>
    <row r="57" spans="2:8" x14ac:dyDescent="0.2">
      <c r="B57" s="1" t="s">
        <v>843</v>
      </c>
      <c r="D57" s="1" t="s">
        <v>685</v>
      </c>
      <c r="F57" s="1" t="s">
        <v>686</v>
      </c>
      <c r="G57" s="1" t="s">
        <v>844</v>
      </c>
      <c r="H57" s="1" t="s">
        <v>845</v>
      </c>
    </row>
    <row r="58" spans="2:8" x14ac:dyDescent="0.2">
      <c r="B58" s="1" t="s">
        <v>687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0"/>
  <sheetViews>
    <sheetView workbookViewId="0"/>
  </sheetViews>
  <sheetFormatPr defaultRowHeight="12.75" x14ac:dyDescent="0.2"/>
  <sheetData>
    <row r="1" spans="1:8" x14ac:dyDescent="0.2">
      <c r="A1" s="1" t="s">
        <v>1749</v>
      </c>
      <c r="B1" s="1" t="s">
        <v>139</v>
      </c>
      <c r="C1" s="1" t="s">
        <v>0</v>
      </c>
      <c r="D1" s="1" t="s">
        <v>0</v>
      </c>
      <c r="F1" s="1" t="s">
        <v>1</v>
      </c>
    </row>
    <row r="3" spans="1:8" x14ac:dyDescent="0.2">
      <c r="F3" s="1" t="s">
        <v>5</v>
      </c>
      <c r="H3" s="1" t="s">
        <v>153</v>
      </c>
    </row>
    <row r="4" spans="1:8" x14ac:dyDescent="0.2">
      <c r="H4" s="1" t="s">
        <v>154</v>
      </c>
    </row>
    <row r="5" spans="1:8" x14ac:dyDescent="0.2">
      <c r="A5" s="1" t="s">
        <v>775</v>
      </c>
      <c r="B5" s="1" t="s">
        <v>776</v>
      </c>
      <c r="D5" s="1" t="s">
        <v>774</v>
      </c>
    </row>
    <row r="7" spans="1:8" x14ac:dyDescent="0.2">
      <c r="H7" s="1" t="s">
        <v>152</v>
      </c>
    </row>
    <row r="8" spans="1:8" x14ac:dyDescent="0.2">
      <c r="B8" s="1" t="s">
        <v>777</v>
      </c>
      <c r="D8" s="1" t="s">
        <v>51</v>
      </c>
      <c r="F8" s="1" t="s">
        <v>618</v>
      </c>
      <c r="H8" s="1" t="s">
        <v>619</v>
      </c>
    </row>
    <row r="9" spans="1:8" x14ac:dyDescent="0.2">
      <c r="B9" s="1" t="s">
        <v>778</v>
      </c>
      <c r="D9" s="1" t="s">
        <v>620</v>
      </c>
      <c r="F9" s="1" t="s">
        <v>621</v>
      </c>
      <c r="G9" s="1" t="s">
        <v>779</v>
      </c>
      <c r="H9" s="1" t="s">
        <v>780</v>
      </c>
    </row>
    <row r="10" spans="1:8" x14ac:dyDescent="0.2">
      <c r="A10" s="1" t="s">
        <v>41</v>
      </c>
      <c r="B10" s="1" t="s">
        <v>846</v>
      </c>
      <c r="D10" s="1" t="s">
        <v>688</v>
      </c>
      <c r="F10" s="1" t="s">
        <v>132</v>
      </c>
      <c r="G10" s="1" t="s">
        <v>1161</v>
      </c>
      <c r="H10" s="1" t="s">
        <v>1190</v>
      </c>
    </row>
    <row r="11" spans="1:8" x14ac:dyDescent="0.2">
      <c r="A11" s="1" t="s">
        <v>41</v>
      </c>
      <c r="B11" s="1" t="s">
        <v>782</v>
      </c>
      <c r="D11" s="1" t="s">
        <v>689</v>
      </c>
      <c r="F11" s="1" t="s">
        <v>59</v>
      </c>
      <c r="G11" s="1" t="s">
        <v>1162</v>
      </c>
      <c r="H11" s="1" t="s">
        <v>1191</v>
      </c>
    </row>
    <row r="12" spans="1:8" x14ac:dyDescent="0.2">
      <c r="A12" s="1" t="s">
        <v>41</v>
      </c>
      <c r="B12" s="1" t="s">
        <v>783</v>
      </c>
      <c r="D12" s="1" t="s">
        <v>624</v>
      </c>
      <c r="F12" s="1" t="s">
        <v>60</v>
      </c>
      <c r="G12" s="1" t="s">
        <v>784</v>
      </c>
      <c r="H12" s="1" t="s">
        <v>785</v>
      </c>
    </row>
    <row r="13" spans="1:8" x14ac:dyDescent="0.2">
      <c r="A13" s="1" t="s">
        <v>41</v>
      </c>
      <c r="B13" s="1" t="s">
        <v>847</v>
      </c>
      <c r="D13" s="1" t="s">
        <v>190</v>
      </c>
      <c r="F13" s="1" t="s">
        <v>160</v>
      </c>
      <c r="G13" s="1" t="s">
        <v>1163</v>
      </c>
      <c r="H13" s="1" t="s">
        <v>1192</v>
      </c>
    </row>
    <row r="14" spans="1:8" x14ac:dyDescent="0.2">
      <c r="A14" s="1" t="s">
        <v>41</v>
      </c>
      <c r="B14" s="1" t="s">
        <v>786</v>
      </c>
      <c r="D14" s="1" t="s">
        <v>197</v>
      </c>
      <c r="F14" s="1" t="s">
        <v>61</v>
      </c>
      <c r="G14" s="1" t="s">
        <v>1164</v>
      </c>
      <c r="H14" s="1" t="s">
        <v>1193</v>
      </c>
    </row>
    <row r="15" spans="1:8" x14ac:dyDescent="0.2">
      <c r="A15" s="1" t="s">
        <v>41</v>
      </c>
      <c r="B15" s="1" t="s">
        <v>787</v>
      </c>
      <c r="D15" s="1" t="s">
        <v>155</v>
      </c>
      <c r="F15" s="1" t="s">
        <v>62</v>
      </c>
      <c r="G15" s="1" t="s">
        <v>788</v>
      </c>
      <c r="H15" s="1" t="s">
        <v>789</v>
      </c>
    </row>
    <row r="16" spans="1:8" x14ac:dyDescent="0.2">
      <c r="A16" s="1" t="s">
        <v>41</v>
      </c>
      <c r="B16" s="1" t="s">
        <v>848</v>
      </c>
      <c r="D16" s="1" t="s">
        <v>156</v>
      </c>
      <c r="F16" s="1" t="s">
        <v>64</v>
      </c>
      <c r="G16" s="1" t="s">
        <v>1165</v>
      </c>
      <c r="H16" s="1" t="s">
        <v>1194</v>
      </c>
    </row>
    <row r="17" spans="1:8" x14ac:dyDescent="0.2">
      <c r="A17" s="1" t="s">
        <v>41</v>
      </c>
      <c r="B17" s="1" t="s">
        <v>790</v>
      </c>
      <c r="D17" s="1" t="s">
        <v>157</v>
      </c>
      <c r="F17" s="1" t="s">
        <v>162</v>
      </c>
      <c r="G17" s="1" t="s">
        <v>1166</v>
      </c>
      <c r="H17" s="1" t="s">
        <v>1195</v>
      </c>
    </row>
    <row r="18" spans="1:8" x14ac:dyDescent="0.2">
      <c r="A18" s="1" t="s">
        <v>41</v>
      </c>
      <c r="B18" s="1" t="s">
        <v>791</v>
      </c>
      <c r="D18" s="1" t="s">
        <v>158</v>
      </c>
      <c r="F18" s="1" t="s">
        <v>65</v>
      </c>
      <c r="G18" s="1" t="s">
        <v>792</v>
      </c>
      <c r="H18" s="1" t="s">
        <v>793</v>
      </c>
    </row>
    <row r="19" spans="1:8" x14ac:dyDescent="0.2">
      <c r="A19" s="1" t="s">
        <v>41</v>
      </c>
      <c r="B19" s="1" t="s">
        <v>849</v>
      </c>
      <c r="D19" s="1" t="s">
        <v>159</v>
      </c>
      <c r="F19" s="1" t="s">
        <v>66</v>
      </c>
      <c r="G19" s="1" t="s">
        <v>1167</v>
      </c>
      <c r="H19" s="1" t="s">
        <v>1196</v>
      </c>
    </row>
    <row r="20" spans="1:8" x14ac:dyDescent="0.2">
      <c r="A20" s="1" t="s">
        <v>41</v>
      </c>
      <c r="B20" s="1" t="s">
        <v>794</v>
      </c>
      <c r="D20" s="1" t="s">
        <v>161</v>
      </c>
      <c r="F20" s="1" t="s">
        <v>67</v>
      </c>
      <c r="G20" s="1" t="s">
        <v>1168</v>
      </c>
      <c r="H20" s="1" t="s">
        <v>1197</v>
      </c>
    </row>
    <row r="21" spans="1:8" x14ac:dyDescent="0.2">
      <c r="A21" s="1" t="s">
        <v>41</v>
      </c>
      <c r="B21" s="1" t="s">
        <v>795</v>
      </c>
      <c r="D21" s="1" t="s">
        <v>15</v>
      </c>
      <c r="F21" s="1" t="s">
        <v>163</v>
      </c>
      <c r="G21" s="1" t="s">
        <v>796</v>
      </c>
      <c r="H21" s="1" t="s">
        <v>797</v>
      </c>
    </row>
    <row r="22" spans="1:8" x14ac:dyDescent="0.2">
      <c r="A22" s="1" t="s">
        <v>41</v>
      </c>
      <c r="B22" s="1" t="s">
        <v>850</v>
      </c>
      <c r="D22" s="1" t="s">
        <v>16</v>
      </c>
      <c r="F22" s="1" t="s">
        <v>68</v>
      </c>
      <c r="G22" s="1" t="s">
        <v>1169</v>
      </c>
      <c r="H22" s="1" t="s">
        <v>1198</v>
      </c>
    </row>
    <row r="23" spans="1:8" x14ac:dyDescent="0.2">
      <c r="A23" s="1" t="s">
        <v>41</v>
      </c>
      <c r="B23" s="1" t="s">
        <v>798</v>
      </c>
      <c r="D23" s="1" t="s">
        <v>17</v>
      </c>
      <c r="F23" s="1" t="s">
        <v>69</v>
      </c>
      <c r="G23" s="1" t="s">
        <v>1170</v>
      </c>
      <c r="H23" s="1" t="s">
        <v>1199</v>
      </c>
    </row>
    <row r="24" spans="1:8" x14ac:dyDescent="0.2">
      <c r="A24" s="1" t="s">
        <v>41</v>
      </c>
      <c r="B24" s="1" t="s">
        <v>799</v>
      </c>
      <c r="D24" s="1" t="s">
        <v>18</v>
      </c>
      <c r="F24" s="1" t="s">
        <v>70</v>
      </c>
      <c r="G24" s="1" t="s">
        <v>800</v>
      </c>
      <c r="H24" s="1" t="s">
        <v>801</v>
      </c>
    </row>
    <row r="25" spans="1:8" x14ac:dyDescent="0.2">
      <c r="A25" s="1" t="s">
        <v>41</v>
      </c>
      <c r="B25" s="1" t="s">
        <v>851</v>
      </c>
      <c r="D25" s="1" t="s">
        <v>42</v>
      </c>
      <c r="F25" s="1" t="s">
        <v>164</v>
      </c>
      <c r="G25" s="1" t="s">
        <v>1171</v>
      </c>
      <c r="H25" s="1" t="s">
        <v>1200</v>
      </c>
    </row>
    <row r="26" spans="1:8" x14ac:dyDescent="0.2">
      <c r="A26" s="1" t="s">
        <v>41</v>
      </c>
      <c r="B26" s="1" t="s">
        <v>802</v>
      </c>
      <c r="D26" s="1" t="s">
        <v>63</v>
      </c>
      <c r="F26" s="1" t="s">
        <v>71</v>
      </c>
      <c r="G26" s="1" t="s">
        <v>1172</v>
      </c>
      <c r="H26" s="1" t="s">
        <v>1201</v>
      </c>
    </row>
    <row r="27" spans="1:8" x14ac:dyDescent="0.2">
      <c r="A27" s="1" t="s">
        <v>41</v>
      </c>
      <c r="B27" s="1" t="s">
        <v>803</v>
      </c>
      <c r="D27" s="1" t="s">
        <v>19</v>
      </c>
      <c r="F27" s="1" t="s">
        <v>165</v>
      </c>
      <c r="G27" s="1" t="s">
        <v>804</v>
      </c>
      <c r="H27" s="1" t="s">
        <v>805</v>
      </c>
    </row>
    <row r="28" spans="1:8" x14ac:dyDescent="0.2">
      <c r="A28" s="1" t="s">
        <v>41</v>
      </c>
      <c r="B28" s="1" t="s">
        <v>852</v>
      </c>
      <c r="D28" s="1" t="s">
        <v>20</v>
      </c>
      <c r="F28" s="1" t="s">
        <v>166</v>
      </c>
      <c r="G28" s="1" t="s">
        <v>1173</v>
      </c>
      <c r="H28" s="1" t="s">
        <v>1202</v>
      </c>
    </row>
    <row r="29" spans="1:8" x14ac:dyDescent="0.2">
      <c r="A29" s="1" t="s">
        <v>41</v>
      </c>
      <c r="B29" s="1" t="s">
        <v>806</v>
      </c>
      <c r="D29" s="1" t="s">
        <v>21</v>
      </c>
      <c r="F29" s="1" t="s">
        <v>167</v>
      </c>
      <c r="G29" s="1" t="s">
        <v>1174</v>
      </c>
      <c r="H29" s="1" t="s">
        <v>1203</v>
      </c>
    </row>
    <row r="30" spans="1:8" x14ac:dyDescent="0.2">
      <c r="A30" s="1" t="s">
        <v>41</v>
      </c>
      <c r="B30" s="1" t="s">
        <v>807</v>
      </c>
      <c r="D30" s="1" t="s">
        <v>22</v>
      </c>
      <c r="F30" s="1" t="s">
        <v>168</v>
      </c>
      <c r="G30" s="1" t="s">
        <v>808</v>
      </c>
      <c r="H30" s="1" t="s">
        <v>809</v>
      </c>
    </row>
    <row r="31" spans="1:8" x14ac:dyDescent="0.2">
      <c r="A31" s="1" t="s">
        <v>41</v>
      </c>
      <c r="B31" s="1" t="s">
        <v>853</v>
      </c>
      <c r="D31" s="1" t="s">
        <v>43</v>
      </c>
      <c r="F31" s="1" t="s">
        <v>73</v>
      </c>
      <c r="G31" s="1" t="s">
        <v>1175</v>
      </c>
      <c r="H31" s="1" t="s">
        <v>1204</v>
      </c>
    </row>
    <row r="32" spans="1:8" x14ac:dyDescent="0.2">
      <c r="A32" s="1" t="s">
        <v>41</v>
      </c>
      <c r="B32" s="1" t="s">
        <v>810</v>
      </c>
      <c r="D32" s="1" t="s">
        <v>44</v>
      </c>
      <c r="F32" s="1" t="s">
        <v>169</v>
      </c>
      <c r="G32" s="1" t="s">
        <v>1176</v>
      </c>
      <c r="H32" s="1" t="s">
        <v>1205</v>
      </c>
    </row>
    <row r="33" spans="1:8" x14ac:dyDescent="0.2">
      <c r="A33" s="1" t="s">
        <v>41</v>
      </c>
      <c r="B33" s="1" t="s">
        <v>811</v>
      </c>
      <c r="D33" s="1" t="s">
        <v>45</v>
      </c>
      <c r="F33" s="1" t="s">
        <v>74</v>
      </c>
      <c r="G33" s="1" t="s">
        <v>812</v>
      </c>
      <c r="H33" s="1" t="s">
        <v>813</v>
      </c>
    </row>
    <row r="34" spans="1:8" x14ac:dyDescent="0.2">
      <c r="A34" s="1" t="s">
        <v>41</v>
      </c>
      <c r="B34" s="1" t="s">
        <v>854</v>
      </c>
      <c r="D34" s="1" t="s">
        <v>72</v>
      </c>
      <c r="F34" s="1" t="s">
        <v>170</v>
      </c>
      <c r="G34" s="1" t="s">
        <v>1177</v>
      </c>
      <c r="H34" s="1" t="s">
        <v>1206</v>
      </c>
    </row>
    <row r="35" spans="1:8" x14ac:dyDescent="0.2">
      <c r="A35" s="1" t="s">
        <v>41</v>
      </c>
      <c r="B35" s="1" t="s">
        <v>814</v>
      </c>
      <c r="D35" s="1" t="s">
        <v>23</v>
      </c>
      <c r="F35" s="1" t="s">
        <v>172</v>
      </c>
      <c r="G35" s="1" t="s">
        <v>1178</v>
      </c>
      <c r="H35" s="1" t="s">
        <v>1207</v>
      </c>
    </row>
    <row r="36" spans="1:8" x14ac:dyDescent="0.2">
      <c r="A36" s="1" t="s">
        <v>41</v>
      </c>
      <c r="B36" s="1" t="s">
        <v>815</v>
      </c>
      <c r="D36" s="1" t="s">
        <v>24</v>
      </c>
      <c r="F36" s="1" t="s">
        <v>174</v>
      </c>
      <c r="G36" s="1" t="s">
        <v>816</v>
      </c>
      <c r="H36" s="1" t="s">
        <v>817</v>
      </c>
    </row>
    <row r="37" spans="1:8" x14ac:dyDescent="0.2">
      <c r="A37" s="1" t="s">
        <v>41</v>
      </c>
      <c r="B37" s="1" t="s">
        <v>855</v>
      </c>
      <c r="D37" s="1" t="s">
        <v>25</v>
      </c>
      <c r="F37" s="1" t="s">
        <v>176</v>
      </c>
      <c r="G37" s="1" t="s">
        <v>1179</v>
      </c>
      <c r="H37" s="1" t="s">
        <v>1208</v>
      </c>
    </row>
    <row r="38" spans="1:8" x14ac:dyDescent="0.2">
      <c r="A38" s="1" t="s">
        <v>41</v>
      </c>
      <c r="B38" s="1" t="s">
        <v>818</v>
      </c>
      <c r="D38" s="1" t="s">
        <v>26</v>
      </c>
      <c r="F38" s="1" t="s">
        <v>75</v>
      </c>
      <c r="G38" s="1" t="s">
        <v>1180</v>
      </c>
      <c r="H38" s="1" t="s">
        <v>1209</v>
      </c>
    </row>
    <row r="39" spans="1:8" x14ac:dyDescent="0.2">
      <c r="A39" s="1" t="s">
        <v>41</v>
      </c>
      <c r="B39" s="1" t="s">
        <v>819</v>
      </c>
      <c r="D39" s="1" t="s">
        <v>46</v>
      </c>
      <c r="F39" s="1" t="s">
        <v>76</v>
      </c>
      <c r="G39" s="1" t="s">
        <v>820</v>
      </c>
      <c r="H39" s="1" t="s">
        <v>821</v>
      </c>
    </row>
    <row r="40" spans="1:8" x14ac:dyDescent="0.2">
      <c r="A40" s="1" t="s">
        <v>41</v>
      </c>
      <c r="B40" s="1" t="s">
        <v>856</v>
      </c>
      <c r="D40" s="1" t="s">
        <v>133</v>
      </c>
      <c r="F40" s="1" t="s">
        <v>77</v>
      </c>
      <c r="G40" s="1" t="s">
        <v>1181</v>
      </c>
      <c r="H40" s="1" t="s">
        <v>1210</v>
      </c>
    </row>
    <row r="41" spans="1:8" x14ac:dyDescent="0.2">
      <c r="A41" s="1" t="s">
        <v>41</v>
      </c>
      <c r="B41" s="1" t="s">
        <v>822</v>
      </c>
      <c r="D41" s="1" t="s">
        <v>171</v>
      </c>
      <c r="F41" s="1" t="s">
        <v>177</v>
      </c>
      <c r="G41" s="1" t="s">
        <v>1182</v>
      </c>
      <c r="H41" s="1" t="s">
        <v>1211</v>
      </c>
    </row>
    <row r="42" spans="1:8" x14ac:dyDescent="0.2">
      <c r="A42" s="1" t="s">
        <v>41</v>
      </c>
      <c r="B42" s="1" t="s">
        <v>823</v>
      </c>
      <c r="D42" s="1" t="s">
        <v>173</v>
      </c>
      <c r="F42" s="1" t="s">
        <v>178</v>
      </c>
      <c r="G42" s="1" t="s">
        <v>824</v>
      </c>
      <c r="H42" s="1" t="s">
        <v>825</v>
      </c>
    </row>
    <row r="43" spans="1:8" x14ac:dyDescent="0.2">
      <c r="A43" s="1" t="s">
        <v>41</v>
      </c>
      <c r="B43" s="1" t="s">
        <v>857</v>
      </c>
      <c r="D43" s="1" t="s">
        <v>175</v>
      </c>
      <c r="F43" s="1" t="s">
        <v>180</v>
      </c>
      <c r="G43" s="1" t="s">
        <v>1183</v>
      </c>
      <c r="H43" s="1" t="s">
        <v>1212</v>
      </c>
    </row>
    <row r="44" spans="1:8" x14ac:dyDescent="0.2">
      <c r="A44" s="1" t="s">
        <v>41</v>
      </c>
      <c r="B44" s="1" t="s">
        <v>826</v>
      </c>
      <c r="D44" s="1" t="s">
        <v>142</v>
      </c>
      <c r="F44" s="1" t="s">
        <v>181</v>
      </c>
      <c r="G44" s="1" t="s">
        <v>1184</v>
      </c>
      <c r="H44" s="1" t="s">
        <v>1213</v>
      </c>
    </row>
    <row r="45" spans="1:8" x14ac:dyDescent="0.2">
      <c r="A45" s="1" t="s">
        <v>41</v>
      </c>
      <c r="B45" s="1" t="s">
        <v>827</v>
      </c>
      <c r="D45" s="1" t="s">
        <v>27</v>
      </c>
      <c r="F45" s="1" t="s">
        <v>182</v>
      </c>
      <c r="G45" s="1" t="s">
        <v>828</v>
      </c>
      <c r="H45" s="1" t="s">
        <v>829</v>
      </c>
    </row>
    <row r="46" spans="1:8" x14ac:dyDescent="0.2">
      <c r="A46" s="1" t="s">
        <v>41</v>
      </c>
      <c r="B46" s="1" t="s">
        <v>858</v>
      </c>
      <c r="D46" s="1" t="s">
        <v>28</v>
      </c>
      <c r="F46" s="1" t="s">
        <v>183</v>
      </c>
      <c r="G46" s="1" t="s">
        <v>1185</v>
      </c>
      <c r="H46" s="1" t="s">
        <v>1214</v>
      </c>
    </row>
    <row r="47" spans="1:8" x14ac:dyDescent="0.2">
      <c r="A47" s="1" t="s">
        <v>41</v>
      </c>
      <c r="B47" s="1" t="s">
        <v>830</v>
      </c>
      <c r="D47" s="1" t="s">
        <v>29</v>
      </c>
      <c r="F47" s="1" t="s">
        <v>184</v>
      </c>
      <c r="G47" s="1" t="s">
        <v>1186</v>
      </c>
      <c r="H47" s="1" t="s">
        <v>1215</v>
      </c>
    </row>
    <row r="48" spans="1:8" x14ac:dyDescent="0.2">
      <c r="A48" s="1" t="s">
        <v>41</v>
      </c>
      <c r="B48" s="1" t="s">
        <v>831</v>
      </c>
      <c r="D48" s="1" t="s">
        <v>134</v>
      </c>
      <c r="F48" s="1" t="s">
        <v>185</v>
      </c>
      <c r="G48" s="1" t="s">
        <v>832</v>
      </c>
      <c r="H48" s="1" t="s">
        <v>833</v>
      </c>
    </row>
    <row r="49" spans="1:8" x14ac:dyDescent="0.2">
      <c r="A49" s="1" t="s">
        <v>41</v>
      </c>
      <c r="B49" s="1" t="s">
        <v>859</v>
      </c>
      <c r="D49" s="1" t="s">
        <v>179</v>
      </c>
      <c r="F49" s="1" t="s">
        <v>186</v>
      </c>
      <c r="G49" s="1" t="s">
        <v>1187</v>
      </c>
      <c r="H49" s="1" t="s">
        <v>1216</v>
      </c>
    </row>
    <row r="50" spans="1:8" x14ac:dyDescent="0.2">
      <c r="A50" s="1" t="s">
        <v>41</v>
      </c>
      <c r="B50" s="1" t="s">
        <v>834</v>
      </c>
      <c r="D50" s="1" t="s">
        <v>135</v>
      </c>
      <c r="F50" s="1" t="s">
        <v>187</v>
      </c>
      <c r="G50" s="1" t="s">
        <v>1188</v>
      </c>
      <c r="H50" s="1" t="s">
        <v>1217</v>
      </c>
    </row>
    <row r="51" spans="1:8" x14ac:dyDescent="0.2">
      <c r="A51" s="1" t="s">
        <v>41</v>
      </c>
      <c r="B51" s="1" t="s">
        <v>835</v>
      </c>
      <c r="D51" s="1" t="s">
        <v>30</v>
      </c>
      <c r="F51" s="1" t="s">
        <v>188</v>
      </c>
      <c r="G51" s="1" t="s">
        <v>836</v>
      </c>
      <c r="H51" s="1" t="s">
        <v>837</v>
      </c>
    </row>
    <row r="52" spans="1:8" x14ac:dyDescent="0.2">
      <c r="A52" s="1" t="s">
        <v>41</v>
      </c>
      <c r="B52" s="1" t="s">
        <v>860</v>
      </c>
      <c r="D52" s="1" t="s">
        <v>31</v>
      </c>
      <c r="F52" s="1" t="s">
        <v>189</v>
      </c>
      <c r="G52" s="1" t="s">
        <v>1189</v>
      </c>
      <c r="H52" s="1" t="s">
        <v>1218</v>
      </c>
    </row>
    <row r="53" spans="1:8" x14ac:dyDescent="0.2">
      <c r="B53" s="1" t="s">
        <v>781</v>
      </c>
    </row>
    <row r="54" spans="1:8" x14ac:dyDescent="0.2">
      <c r="B54" s="1" t="s">
        <v>839</v>
      </c>
      <c r="D54" s="1" t="s">
        <v>52</v>
      </c>
      <c r="F54" s="1" t="s">
        <v>366</v>
      </c>
      <c r="H54" s="1" t="s">
        <v>690</v>
      </c>
    </row>
    <row r="55" spans="1:8" x14ac:dyDescent="0.2">
      <c r="B55" s="1" t="s">
        <v>861</v>
      </c>
      <c r="D55" s="1" t="s">
        <v>47</v>
      </c>
      <c r="F55" s="1" t="s">
        <v>691</v>
      </c>
      <c r="G55" s="1" t="s">
        <v>1219</v>
      </c>
      <c r="H55" s="1" t="s">
        <v>1227</v>
      </c>
    </row>
    <row r="56" spans="1:8" x14ac:dyDescent="0.2">
      <c r="A56" s="1" t="s">
        <v>41</v>
      </c>
      <c r="B56" s="1" t="s">
        <v>842</v>
      </c>
      <c r="D56" s="1" t="s">
        <v>81</v>
      </c>
      <c r="F56" s="1" t="s">
        <v>198</v>
      </c>
      <c r="G56" s="1" t="s">
        <v>1220</v>
      </c>
      <c r="H56" s="1" t="s">
        <v>1228</v>
      </c>
    </row>
    <row r="57" spans="1:8" x14ac:dyDescent="0.2">
      <c r="A57" s="1" t="s">
        <v>41</v>
      </c>
      <c r="B57" s="1" t="s">
        <v>843</v>
      </c>
      <c r="D57" s="1" t="s">
        <v>685</v>
      </c>
      <c r="F57" s="1" t="s">
        <v>199</v>
      </c>
      <c r="G57" s="1" t="s">
        <v>844</v>
      </c>
      <c r="H57" s="1" t="s">
        <v>845</v>
      </c>
    </row>
    <row r="58" spans="1:8" x14ac:dyDescent="0.2">
      <c r="A58" s="1" t="s">
        <v>41</v>
      </c>
      <c r="B58" s="1" t="s">
        <v>862</v>
      </c>
      <c r="D58" s="1" t="s">
        <v>84</v>
      </c>
      <c r="F58" s="1" t="s">
        <v>78</v>
      </c>
      <c r="G58" s="1" t="s">
        <v>1221</v>
      </c>
      <c r="H58" s="1" t="s">
        <v>1229</v>
      </c>
    </row>
    <row r="59" spans="1:8" x14ac:dyDescent="0.2">
      <c r="A59" s="1" t="s">
        <v>41</v>
      </c>
      <c r="B59" s="1" t="s">
        <v>863</v>
      </c>
      <c r="D59" s="1" t="s">
        <v>86</v>
      </c>
      <c r="F59" s="1" t="s">
        <v>201</v>
      </c>
      <c r="G59" s="1" t="s">
        <v>1222</v>
      </c>
      <c r="H59" s="1" t="s">
        <v>1230</v>
      </c>
    </row>
    <row r="60" spans="1:8" x14ac:dyDescent="0.2">
      <c r="A60" s="1" t="s">
        <v>41</v>
      </c>
      <c r="B60" s="1" t="s">
        <v>864</v>
      </c>
      <c r="D60" s="1" t="s">
        <v>32</v>
      </c>
      <c r="F60" s="1" t="s">
        <v>202</v>
      </c>
      <c r="G60" s="1" t="s">
        <v>1223</v>
      </c>
      <c r="H60" s="1" t="s">
        <v>1231</v>
      </c>
    </row>
    <row r="61" spans="1:8" x14ac:dyDescent="0.2">
      <c r="A61" s="1" t="s">
        <v>41</v>
      </c>
      <c r="B61" s="1" t="s">
        <v>865</v>
      </c>
      <c r="D61" s="1" t="s">
        <v>33</v>
      </c>
      <c r="F61" s="1" t="s">
        <v>79</v>
      </c>
      <c r="G61" s="1" t="s">
        <v>1224</v>
      </c>
      <c r="H61" s="1" t="s">
        <v>1232</v>
      </c>
    </row>
    <row r="62" spans="1:8" x14ac:dyDescent="0.2">
      <c r="A62" s="1" t="s">
        <v>41</v>
      </c>
      <c r="B62" s="1" t="s">
        <v>866</v>
      </c>
      <c r="D62" s="1" t="s">
        <v>34</v>
      </c>
      <c r="F62" s="1" t="s">
        <v>203</v>
      </c>
      <c r="G62" s="1" t="s">
        <v>1225</v>
      </c>
      <c r="H62" s="1" t="s">
        <v>1233</v>
      </c>
    </row>
    <row r="63" spans="1:8" x14ac:dyDescent="0.2">
      <c r="A63" s="1" t="s">
        <v>41</v>
      </c>
      <c r="B63" s="1" t="s">
        <v>867</v>
      </c>
      <c r="D63" s="1" t="s">
        <v>200</v>
      </c>
      <c r="F63" s="1" t="s">
        <v>204</v>
      </c>
      <c r="G63" s="1" t="s">
        <v>1226</v>
      </c>
      <c r="H63" s="1" t="s">
        <v>1234</v>
      </c>
    </row>
    <row r="64" spans="1:8" x14ac:dyDescent="0.2">
      <c r="B64" s="1" t="s">
        <v>367</v>
      </c>
    </row>
    <row r="65" spans="1:8" x14ac:dyDescent="0.2">
      <c r="B65" s="1" t="s">
        <v>868</v>
      </c>
      <c r="D65" s="1" t="s">
        <v>53</v>
      </c>
      <c r="F65" s="1" t="s">
        <v>692</v>
      </c>
      <c r="H65" s="1" t="s">
        <v>693</v>
      </c>
    </row>
    <row r="66" spans="1:8" x14ac:dyDescent="0.2">
      <c r="B66" s="1" t="s">
        <v>869</v>
      </c>
      <c r="D66" s="1" t="s">
        <v>35</v>
      </c>
      <c r="F66" s="1" t="s">
        <v>694</v>
      </c>
      <c r="G66" s="1" t="s">
        <v>1235</v>
      </c>
      <c r="H66" s="1" t="s">
        <v>1252</v>
      </c>
    </row>
    <row r="67" spans="1:8" x14ac:dyDescent="0.2">
      <c r="A67" s="1" t="s">
        <v>41</v>
      </c>
      <c r="B67" s="1" t="s">
        <v>870</v>
      </c>
      <c r="D67" s="1" t="s">
        <v>36</v>
      </c>
      <c r="F67" s="1" t="s">
        <v>80</v>
      </c>
      <c r="G67" s="1" t="s">
        <v>1236</v>
      </c>
      <c r="H67" s="1" t="s">
        <v>1253</v>
      </c>
    </row>
    <row r="68" spans="1:8" x14ac:dyDescent="0.2">
      <c r="A68" s="1" t="s">
        <v>41</v>
      </c>
      <c r="B68" s="1" t="s">
        <v>871</v>
      </c>
      <c r="D68" s="1" t="s">
        <v>695</v>
      </c>
      <c r="F68" s="1" t="s">
        <v>205</v>
      </c>
      <c r="G68" s="1" t="s">
        <v>1237</v>
      </c>
      <c r="H68" s="1" t="s">
        <v>1254</v>
      </c>
    </row>
    <row r="69" spans="1:8" x14ac:dyDescent="0.2">
      <c r="A69" s="1" t="s">
        <v>41</v>
      </c>
      <c r="B69" s="1" t="s">
        <v>872</v>
      </c>
      <c r="D69" s="1" t="s">
        <v>696</v>
      </c>
      <c r="F69" s="1" t="s">
        <v>206</v>
      </c>
      <c r="G69" s="1" t="s">
        <v>1238</v>
      </c>
      <c r="H69" s="1" t="s">
        <v>1255</v>
      </c>
    </row>
    <row r="70" spans="1:8" x14ac:dyDescent="0.2">
      <c r="A70" s="1" t="s">
        <v>41</v>
      </c>
      <c r="B70" s="1" t="s">
        <v>873</v>
      </c>
      <c r="D70" s="1" t="s">
        <v>144</v>
      </c>
      <c r="F70" s="1" t="s">
        <v>208</v>
      </c>
      <c r="G70" s="1" t="s">
        <v>1239</v>
      </c>
      <c r="H70" s="1" t="s">
        <v>1256</v>
      </c>
    </row>
    <row r="71" spans="1:8" x14ac:dyDescent="0.2">
      <c r="A71" s="1" t="s">
        <v>41</v>
      </c>
      <c r="B71" s="1" t="s">
        <v>874</v>
      </c>
      <c r="D71" s="1" t="s">
        <v>90</v>
      </c>
      <c r="F71" s="1" t="s">
        <v>210</v>
      </c>
      <c r="G71" s="1" t="s">
        <v>1240</v>
      </c>
      <c r="H71" s="1" t="s">
        <v>1257</v>
      </c>
    </row>
    <row r="72" spans="1:8" x14ac:dyDescent="0.2">
      <c r="A72" s="1" t="s">
        <v>41</v>
      </c>
      <c r="B72" s="1" t="s">
        <v>875</v>
      </c>
      <c r="D72" s="1" t="s">
        <v>37</v>
      </c>
      <c r="F72" s="1" t="s">
        <v>212</v>
      </c>
      <c r="G72" s="1" t="s">
        <v>1241</v>
      </c>
      <c r="H72" s="1" t="s">
        <v>1258</v>
      </c>
    </row>
    <row r="73" spans="1:8" x14ac:dyDescent="0.2">
      <c r="A73" s="1" t="s">
        <v>41</v>
      </c>
      <c r="B73" s="1" t="s">
        <v>876</v>
      </c>
      <c r="D73" s="1" t="s">
        <v>38</v>
      </c>
      <c r="F73" s="1" t="s">
        <v>214</v>
      </c>
      <c r="G73" s="1" t="s">
        <v>1242</v>
      </c>
      <c r="H73" s="1" t="s">
        <v>1259</v>
      </c>
    </row>
    <row r="74" spans="1:8" x14ac:dyDescent="0.2">
      <c r="A74" s="1" t="s">
        <v>41</v>
      </c>
      <c r="B74" s="1" t="s">
        <v>877</v>
      </c>
      <c r="D74" s="1" t="s">
        <v>39</v>
      </c>
      <c r="F74" s="1" t="s">
        <v>216</v>
      </c>
      <c r="G74" s="1" t="s">
        <v>1243</v>
      </c>
      <c r="H74" s="1" t="s">
        <v>1260</v>
      </c>
    </row>
    <row r="75" spans="1:8" x14ac:dyDescent="0.2">
      <c r="A75" s="1" t="s">
        <v>41</v>
      </c>
      <c r="B75" s="1" t="s">
        <v>878</v>
      </c>
      <c r="D75" s="1" t="s">
        <v>207</v>
      </c>
      <c r="F75" s="1" t="s">
        <v>218</v>
      </c>
      <c r="G75" s="1" t="s">
        <v>1244</v>
      </c>
      <c r="H75" s="1" t="s">
        <v>1261</v>
      </c>
    </row>
    <row r="76" spans="1:8" x14ac:dyDescent="0.2">
      <c r="A76" s="1" t="s">
        <v>41</v>
      </c>
      <c r="B76" s="1" t="s">
        <v>879</v>
      </c>
      <c r="D76" s="1" t="s">
        <v>209</v>
      </c>
      <c r="F76" s="1" t="s">
        <v>220</v>
      </c>
      <c r="G76" s="1" t="s">
        <v>1245</v>
      </c>
      <c r="H76" s="1" t="s">
        <v>1262</v>
      </c>
    </row>
    <row r="77" spans="1:8" x14ac:dyDescent="0.2">
      <c r="A77" s="1" t="s">
        <v>41</v>
      </c>
      <c r="B77" s="1" t="s">
        <v>880</v>
      </c>
      <c r="D77" s="1" t="s">
        <v>211</v>
      </c>
      <c r="F77" s="1" t="s">
        <v>221</v>
      </c>
      <c r="G77" s="1" t="s">
        <v>1246</v>
      </c>
      <c r="H77" s="1" t="s">
        <v>1263</v>
      </c>
    </row>
    <row r="78" spans="1:8" x14ac:dyDescent="0.2">
      <c r="A78" s="1" t="s">
        <v>41</v>
      </c>
      <c r="B78" s="1" t="s">
        <v>881</v>
      </c>
      <c r="D78" s="1" t="s">
        <v>213</v>
      </c>
      <c r="F78" s="1" t="s">
        <v>82</v>
      </c>
      <c r="G78" s="1" t="s">
        <v>1247</v>
      </c>
      <c r="H78" s="1" t="s">
        <v>1264</v>
      </c>
    </row>
    <row r="79" spans="1:8" x14ac:dyDescent="0.2">
      <c r="A79" s="1" t="s">
        <v>41</v>
      </c>
      <c r="B79" s="1" t="s">
        <v>882</v>
      </c>
      <c r="D79" s="1" t="s">
        <v>215</v>
      </c>
      <c r="F79" s="1" t="s">
        <v>222</v>
      </c>
      <c r="G79" s="1" t="s">
        <v>1248</v>
      </c>
      <c r="H79" s="1" t="s">
        <v>1265</v>
      </c>
    </row>
    <row r="80" spans="1:8" x14ac:dyDescent="0.2">
      <c r="A80" s="1" t="s">
        <v>41</v>
      </c>
      <c r="B80" s="1" t="s">
        <v>883</v>
      </c>
      <c r="D80" s="1" t="s">
        <v>217</v>
      </c>
      <c r="F80" s="1" t="s">
        <v>83</v>
      </c>
      <c r="G80" s="1" t="s">
        <v>1249</v>
      </c>
      <c r="H80" s="1" t="s">
        <v>1266</v>
      </c>
    </row>
    <row r="81" spans="1:8" x14ac:dyDescent="0.2">
      <c r="A81" s="1" t="s">
        <v>41</v>
      </c>
      <c r="B81" s="1" t="s">
        <v>884</v>
      </c>
      <c r="D81" s="1" t="s">
        <v>219</v>
      </c>
      <c r="F81" s="1" t="s">
        <v>85</v>
      </c>
      <c r="G81" s="1" t="s">
        <v>1250</v>
      </c>
      <c r="H81" s="1" t="s">
        <v>1267</v>
      </c>
    </row>
    <row r="82" spans="1:8" x14ac:dyDescent="0.2">
      <c r="A82" s="1" t="s">
        <v>41</v>
      </c>
      <c r="B82" s="1" t="s">
        <v>885</v>
      </c>
      <c r="D82" s="1" t="s">
        <v>40</v>
      </c>
      <c r="F82" s="1" t="s">
        <v>87</v>
      </c>
      <c r="G82" s="1" t="s">
        <v>1251</v>
      </c>
      <c r="H82" s="1" t="s">
        <v>1268</v>
      </c>
    </row>
    <row r="83" spans="1:8" x14ac:dyDescent="0.2">
      <c r="B83" s="1" t="s">
        <v>697</v>
      </c>
    </row>
    <row r="84" spans="1:8" x14ac:dyDescent="0.2">
      <c r="B84" s="1" t="s">
        <v>886</v>
      </c>
      <c r="D84" s="1" t="s">
        <v>191</v>
      </c>
      <c r="F84" s="1" t="s">
        <v>698</v>
      </c>
      <c r="H84" s="1" t="s">
        <v>699</v>
      </c>
    </row>
    <row r="85" spans="1:8" x14ac:dyDescent="0.2">
      <c r="B85" s="1" t="s">
        <v>887</v>
      </c>
      <c r="D85" s="1" t="s">
        <v>223</v>
      </c>
      <c r="F85" s="1" t="s">
        <v>700</v>
      </c>
      <c r="G85" s="1" t="s">
        <v>888</v>
      </c>
      <c r="H85" s="1" t="s">
        <v>889</v>
      </c>
    </row>
    <row r="86" spans="1:8" x14ac:dyDescent="0.2">
      <c r="B86" s="1" t="s">
        <v>701</v>
      </c>
    </row>
    <row r="87" spans="1:8" x14ac:dyDescent="0.2">
      <c r="B87" s="1" t="s">
        <v>890</v>
      </c>
      <c r="D87" s="1" t="s">
        <v>192</v>
      </c>
      <c r="F87" s="1" t="s">
        <v>702</v>
      </c>
      <c r="H87" s="1" t="s">
        <v>703</v>
      </c>
    </row>
    <row r="88" spans="1:8" x14ac:dyDescent="0.2">
      <c r="B88" s="1" t="s">
        <v>891</v>
      </c>
      <c r="D88" s="1" t="s">
        <v>704</v>
      </c>
      <c r="F88" s="1" t="s">
        <v>705</v>
      </c>
      <c r="G88" s="1" t="s">
        <v>1269</v>
      </c>
      <c r="H88" s="1" t="s">
        <v>1366</v>
      </c>
    </row>
    <row r="89" spans="1:8" x14ac:dyDescent="0.2">
      <c r="A89" s="1" t="s">
        <v>41</v>
      </c>
      <c r="B89" s="1" t="s">
        <v>892</v>
      </c>
      <c r="D89" s="1" t="s">
        <v>48</v>
      </c>
      <c r="F89" s="1" t="s">
        <v>224</v>
      </c>
      <c r="G89" s="1" t="s">
        <v>1270</v>
      </c>
      <c r="H89" s="1" t="s">
        <v>1367</v>
      </c>
    </row>
    <row r="90" spans="1:8" x14ac:dyDescent="0.2">
      <c r="A90" s="1" t="s">
        <v>41</v>
      </c>
      <c r="B90" s="1" t="s">
        <v>893</v>
      </c>
      <c r="D90" s="1" t="s">
        <v>706</v>
      </c>
      <c r="F90" s="1" t="s">
        <v>226</v>
      </c>
      <c r="G90" s="1" t="s">
        <v>1271</v>
      </c>
      <c r="H90" s="1" t="s">
        <v>1368</v>
      </c>
    </row>
    <row r="91" spans="1:8" x14ac:dyDescent="0.2">
      <c r="A91" s="1" t="s">
        <v>41</v>
      </c>
      <c r="B91" s="1" t="s">
        <v>894</v>
      </c>
      <c r="D91" s="1" t="s">
        <v>707</v>
      </c>
      <c r="F91" s="1" t="s">
        <v>88</v>
      </c>
      <c r="G91" s="1" t="s">
        <v>1272</v>
      </c>
      <c r="H91" s="1" t="s">
        <v>1369</v>
      </c>
    </row>
    <row r="92" spans="1:8" x14ac:dyDescent="0.2">
      <c r="A92" s="1" t="s">
        <v>41</v>
      </c>
      <c r="B92" s="1" t="s">
        <v>895</v>
      </c>
      <c r="D92" s="1" t="s">
        <v>368</v>
      </c>
      <c r="F92" s="1" t="s">
        <v>89</v>
      </c>
      <c r="G92" s="1" t="s">
        <v>1273</v>
      </c>
      <c r="H92" s="1" t="s">
        <v>1370</v>
      </c>
    </row>
    <row r="93" spans="1:8" x14ac:dyDescent="0.2">
      <c r="A93" s="1" t="s">
        <v>41</v>
      </c>
      <c r="B93" s="1" t="s">
        <v>896</v>
      </c>
      <c r="D93" s="1" t="s">
        <v>145</v>
      </c>
      <c r="F93" s="1" t="s">
        <v>91</v>
      </c>
      <c r="G93" s="1" t="s">
        <v>1274</v>
      </c>
      <c r="H93" s="1" t="s">
        <v>1371</v>
      </c>
    </row>
    <row r="94" spans="1:8" x14ac:dyDescent="0.2">
      <c r="A94" s="1" t="s">
        <v>41</v>
      </c>
      <c r="B94" s="1" t="s">
        <v>897</v>
      </c>
      <c r="D94" s="1" t="s">
        <v>49</v>
      </c>
      <c r="F94" s="1" t="s">
        <v>231</v>
      </c>
      <c r="G94" s="1" t="s">
        <v>1275</v>
      </c>
      <c r="H94" s="1" t="s">
        <v>1372</v>
      </c>
    </row>
    <row r="95" spans="1:8" x14ac:dyDescent="0.2">
      <c r="A95" s="1" t="s">
        <v>41</v>
      </c>
      <c r="B95" s="1" t="s">
        <v>898</v>
      </c>
      <c r="D95" s="1" t="s">
        <v>225</v>
      </c>
      <c r="F95" s="1" t="s">
        <v>232</v>
      </c>
      <c r="G95" s="1" t="s">
        <v>1276</v>
      </c>
      <c r="H95" s="1" t="s">
        <v>1373</v>
      </c>
    </row>
    <row r="96" spans="1:8" x14ac:dyDescent="0.2">
      <c r="A96" s="1" t="s">
        <v>41</v>
      </c>
      <c r="B96" s="1" t="s">
        <v>899</v>
      </c>
      <c r="D96" s="1" t="s">
        <v>227</v>
      </c>
      <c r="F96" s="1" t="s">
        <v>92</v>
      </c>
      <c r="G96" s="1" t="s">
        <v>1277</v>
      </c>
      <c r="H96" s="1" t="s">
        <v>1374</v>
      </c>
    </row>
    <row r="97" spans="1:8" x14ac:dyDescent="0.2">
      <c r="A97" s="1" t="s">
        <v>41</v>
      </c>
      <c r="B97" s="1" t="s">
        <v>900</v>
      </c>
      <c r="D97" s="1" t="s">
        <v>228</v>
      </c>
      <c r="F97" s="1" t="s">
        <v>93</v>
      </c>
      <c r="G97" s="1" t="s">
        <v>1278</v>
      </c>
      <c r="H97" s="1" t="s">
        <v>1375</v>
      </c>
    </row>
    <row r="98" spans="1:8" x14ac:dyDescent="0.2">
      <c r="A98" s="1" t="s">
        <v>41</v>
      </c>
      <c r="B98" s="1" t="s">
        <v>901</v>
      </c>
      <c r="D98" s="1" t="s">
        <v>229</v>
      </c>
      <c r="F98" s="1" t="s">
        <v>94</v>
      </c>
      <c r="G98" s="1" t="s">
        <v>1279</v>
      </c>
      <c r="H98" s="1" t="s">
        <v>1376</v>
      </c>
    </row>
    <row r="99" spans="1:8" x14ac:dyDescent="0.2">
      <c r="A99" s="1" t="s">
        <v>41</v>
      </c>
      <c r="B99" s="1" t="s">
        <v>902</v>
      </c>
      <c r="D99" s="1" t="s">
        <v>230</v>
      </c>
      <c r="F99" s="1" t="s">
        <v>95</v>
      </c>
      <c r="G99" s="1" t="s">
        <v>1280</v>
      </c>
      <c r="H99" s="1" t="s">
        <v>1377</v>
      </c>
    </row>
    <row r="100" spans="1:8" x14ac:dyDescent="0.2">
      <c r="A100" s="1" t="s">
        <v>41</v>
      </c>
      <c r="B100" s="1" t="s">
        <v>903</v>
      </c>
      <c r="D100" s="1" t="s">
        <v>146</v>
      </c>
      <c r="F100" s="1" t="s">
        <v>237</v>
      </c>
      <c r="G100" s="1" t="s">
        <v>1281</v>
      </c>
      <c r="H100" s="1" t="s">
        <v>1378</v>
      </c>
    </row>
    <row r="101" spans="1:8" x14ac:dyDescent="0.2">
      <c r="A101" s="1" t="s">
        <v>41</v>
      </c>
      <c r="B101" s="1" t="s">
        <v>904</v>
      </c>
      <c r="D101" s="1" t="s">
        <v>102</v>
      </c>
      <c r="F101" s="1" t="s">
        <v>96</v>
      </c>
      <c r="G101" s="1" t="s">
        <v>1282</v>
      </c>
      <c r="H101" s="1" t="s">
        <v>1379</v>
      </c>
    </row>
    <row r="102" spans="1:8" x14ac:dyDescent="0.2">
      <c r="A102" s="1" t="s">
        <v>41</v>
      </c>
      <c r="B102" s="1" t="s">
        <v>905</v>
      </c>
      <c r="D102" s="1" t="s">
        <v>233</v>
      </c>
      <c r="F102" s="1" t="s">
        <v>239</v>
      </c>
      <c r="G102" s="1" t="s">
        <v>1283</v>
      </c>
      <c r="H102" s="1" t="s">
        <v>1380</v>
      </c>
    </row>
    <row r="103" spans="1:8" x14ac:dyDescent="0.2">
      <c r="A103" s="1" t="s">
        <v>41</v>
      </c>
      <c r="B103" s="1" t="s">
        <v>906</v>
      </c>
      <c r="D103" s="1" t="s">
        <v>234</v>
      </c>
      <c r="F103" s="1" t="s">
        <v>97</v>
      </c>
      <c r="G103" s="1" t="s">
        <v>1284</v>
      </c>
      <c r="H103" s="1" t="s">
        <v>1381</v>
      </c>
    </row>
    <row r="104" spans="1:8" x14ac:dyDescent="0.2">
      <c r="A104" s="1" t="s">
        <v>41</v>
      </c>
      <c r="B104" s="1" t="s">
        <v>907</v>
      </c>
      <c r="D104" s="1" t="s">
        <v>235</v>
      </c>
      <c r="F104" s="1" t="s">
        <v>240</v>
      </c>
      <c r="G104" s="1" t="s">
        <v>1285</v>
      </c>
      <c r="H104" s="1" t="s">
        <v>1382</v>
      </c>
    </row>
    <row r="105" spans="1:8" x14ac:dyDescent="0.2">
      <c r="A105" s="1" t="s">
        <v>41</v>
      </c>
      <c r="B105" s="1" t="s">
        <v>908</v>
      </c>
      <c r="D105" s="1" t="s">
        <v>236</v>
      </c>
      <c r="F105" s="1" t="s">
        <v>98</v>
      </c>
      <c r="G105" s="1" t="s">
        <v>1286</v>
      </c>
      <c r="H105" s="1" t="s">
        <v>1383</v>
      </c>
    </row>
    <row r="106" spans="1:8" x14ac:dyDescent="0.2">
      <c r="A106" s="1" t="s">
        <v>41</v>
      </c>
      <c r="B106" s="1" t="s">
        <v>909</v>
      </c>
      <c r="D106" s="1" t="s">
        <v>238</v>
      </c>
      <c r="F106" s="1" t="s">
        <v>99</v>
      </c>
      <c r="G106" s="1" t="s">
        <v>1287</v>
      </c>
      <c r="H106" s="1" t="s">
        <v>1384</v>
      </c>
    </row>
    <row r="107" spans="1:8" x14ac:dyDescent="0.2">
      <c r="A107" s="1" t="s">
        <v>41</v>
      </c>
      <c r="B107" s="1" t="s">
        <v>910</v>
      </c>
      <c r="D107" s="1" t="s">
        <v>147</v>
      </c>
      <c r="F107" s="1" t="s">
        <v>100</v>
      </c>
      <c r="G107" s="1" t="s">
        <v>1288</v>
      </c>
      <c r="H107" s="1" t="s">
        <v>1385</v>
      </c>
    </row>
    <row r="108" spans="1:8" x14ac:dyDescent="0.2">
      <c r="A108" s="1" t="s">
        <v>41</v>
      </c>
      <c r="B108" s="1" t="s">
        <v>911</v>
      </c>
      <c r="D108" s="1" t="s">
        <v>140</v>
      </c>
      <c r="F108" s="1" t="s">
        <v>101</v>
      </c>
      <c r="G108" s="1" t="s">
        <v>1289</v>
      </c>
      <c r="H108" s="1" t="s">
        <v>1386</v>
      </c>
    </row>
    <row r="109" spans="1:8" x14ac:dyDescent="0.2">
      <c r="A109" s="1" t="s">
        <v>41</v>
      </c>
      <c r="B109" s="1" t="s">
        <v>912</v>
      </c>
      <c r="D109" s="1" t="s">
        <v>103</v>
      </c>
      <c r="F109" s="1" t="s">
        <v>380</v>
      </c>
      <c r="G109" s="1" t="s">
        <v>1290</v>
      </c>
      <c r="H109" s="1" t="s">
        <v>1387</v>
      </c>
    </row>
    <row r="110" spans="1:8" x14ac:dyDescent="0.2">
      <c r="A110" s="1" t="s">
        <v>41</v>
      </c>
      <c r="B110" s="1" t="s">
        <v>913</v>
      </c>
      <c r="D110" s="1" t="s">
        <v>104</v>
      </c>
      <c r="F110" s="1" t="s">
        <v>382</v>
      </c>
      <c r="G110" s="1" t="s">
        <v>1291</v>
      </c>
      <c r="H110" s="1" t="s">
        <v>1388</v>
      </c>
    </row>
    <row r="111" spans="1:8" x14ac:dyDescent="0.2">
      <c r="A111" s="1" t="s">
        <v>41</v>
      </c>
      <c r="B111" s="1" t="s">
        <v>914</v>
      </c>
      <c r="D111" s="1" t="s">
        <v>241</v>
      </c>
      <c r="F111" s="1" t="s">
        <v>383</v>
      </c>
      <c r="G111" s="1" t="s">
        <v>1292</v>
      </c>
      <c r="H111" s="1" t="s">
        <v>1389</v>
      </c>
    </row>
    <row r="112" spans="1:8" x14ac:dyDescent="0.2">
      <c r="A112" s="1" t="s">
        <v>41</v>
      </c>
      <c r="B112" s="1" t="s">
        <v>915</v>
      </c>
      <c r="D112" s="1" t="s">
        <v>242</v>
      </c>
      <c r="F112" s="1" t="s">
        <v>384</v>
      </c>
      <c r="G112" s="1" t="s">
        <v>1293</v>
      </c>
      <c r="H112" s="1" t="s">
        <v>1390</v>
      </c>
    </row>
    <row r="113" spans="1:8" x14ac:dyDescent="0.2">
      <c r="A113" s="1" t="s">
        <v>41</v>
      </c>
      <c r="B113" s="1" t="s">
        <v>916</v>
      </c>
      <c r="D113" s="1" t="s">
        <v>243</v>
      </c>
      <c r="F113" s="1" t="s">
        <v>385</v>
      </c>
      <c r="G113" s="1" t="s">
        <v>1294</v>
      </c>
      <c r="H113" s="1" t="s">
        <v>1391</v>
      </c>
    </row>
    <row r="114" spans="1:8" x14ac:dyDescent="0.2">
      <c r="A114" s="1" t="s">
        <v>41</v>
      </c>
      <c r="B114" s="1" t="s">
        <v>917</v>
      </c>
      <c r="D114" s="1" t="s">
        <v>381</v>
      </c>
      <c r="F114" s="1" t="s">
        <v>386</v>
      </c>
      <c r="G114" s="1" t="s">
        <v>1295</v>
      </c>
      <c r="H114" s="1" t="s">
        <v>1392</v>
      </c>
    </row>
    <row r="115" spans="1:8" x14ac:dyDescent="0.2">
      <c r="A115" s="1" t="s">
        <v>41</v>
      </c>
      <c r="B115" s="1" t="s">
        <v>918</v>
      </c>
      <c r="D115" s="1" t="s">
        <v>369</v>
      </c>
      <c r="F115" s="1" t="s">
        <v>387</v>
      </c>
      <c r="G115" s="1" t="s">
        <v>1296</v>
      </c>
      <c r="H115" s="1" t="s">
        <v>1393</v>
      </c>
    </row>
    <row r="116" spans="1:8" x14ac:dyDescent="0.2">
      <c r="A116" s="1" t="s">
        <v>41</v>
      </c>
      <c r="B116" s="1" t="s">
        <v>919</v>
      </c>
      <c r="D116" s="1" t="s">
        <v>244</v>
      </c>
      <c r="F116" s="1" t="s">
        <v>388</v>
      </c>
      <c r="G116" s="1" t="s">
        <v>1297</v>
      </c>
      <c r="H116" s="1" t="s">
        <v>1394</v>
      </c>
    </row>
    <row r="117" spans="1:8" x14ac:dyDescent="0.2">
      <c r="A117" s="1" t="s">
        <v>41</v>
      </c>
      <c r="B117" s="1" t="s">
        <v>920</v>
      </c>
      <c r="D117" s="1" t="s">
        <v>148</v>
      </c>
      <c r="F117" s="1" t="s">
        <v>389</v>
      </c>
      <c r="G117" s="1" t="s">
        <v>1298</v>
      </c>
      <c r="H117" s="1" t="s">
        <v>1395</v>
      </c>
    </row>
    <row r="118" spans="1:8" x14ac:dyDescent="0.2">
      <c r="A118" s="1" t="s">
        <v>41</v>
      </c>
      <c r="B118" s="1" t="s">
        <v>921</v>
      </c>
      <c r="D118" s="1" t="s">
        <v>105</v>
      </c>
      <c r="F118" s="1" t="s">
        <v>390</v>
      </c>
      <c r="G118" s="1" t="s">
        <v>1299</v>
      </c>
      <c r="H118" s="1" t="s">
        <v>1396</v>
      </c>
    </row>
    <row r="119" spans="1:8" x14ac:dyDescent="0.2">
      <c r="A119" s="1" t="s">
        <v>41</v>
      </c>
      <c r="B119" s="1" t="s">
        <v>922</v>
      </c>
      <c r="D119" s="1" t="s">
        <v>106</v>
      </c>
      <c r="F119" s="1" t="s">
        <v>391</v>
      </c>
      <c r="G119" s="1" t="s">
        <v>1300</v>
      </c>
      <c r="H119" s="1" t="s">
        <v>1397</v>
      </c>
    </row>
    <row r="120" spans="1:8" x14ac:dyDescent="0.2">
      <c r="A120" s="1" t="s">
        <v>41</v>
      </c>
      <c r="B120" s="1" t="s">
        <v>923</v>
      </c>
      <c r="D120" s="1" t="s">
        <v>107</v>
      </c>
      <c r="F120" s="1" t="s">
        <v>392</v>
      </c>
      <c r="G120" s="1" t="s">
        <v>1301</v>
      </c>
      <c r="H120" s="1" t="s">
        <v>1398</v>
      </c>
    </row>
    <row r="121" spans="1:8" x14ac:dyDescent="0.2">
      <c r="A121" s="1" t="s">
        <v>41</v>
      </c>
      <c r="B121" s="1" t="s">
        <v>924</v>
      </c>
      <c r="D121" s="1" t="s">
        <v>370</v>
      </c>
      <c r="F121" s="1" t="s">
        <v>393</v>
      </c>
      <c r="G121" s="1" t="s">
        <v>1302</v>
      </c>
      <c r="H121" s="1" t="s">
        <v>1399</v>
      </c>
    </row>
    <row r="122" spans="1:8" x14ac:dyDescent="0.2">
      <c r="A122" s="1" t="s">
        <v>41</v>
      </c>
      <c r="B122" s="1" t="s">
        <v>925</v>
      </c>
      <c r="D122" s="1" t="s">
        <v>245</v>
      </c>
      <c r="F122" s="1" t="s">
        <v>394</v>
      </c>
      <c r="G122" s="1" t="s">
        <v>1303</v>
      </c>
      <c r="H122" s="1" t="s">
        <v>1400</v>
      </c>
    </row>
    <row r="123" spans="1:8" x14ac:dyDescent="0.2">
      <c r="A123" s="1" t="s">
        <v>41</v>
      </c>
      <c r="B123" s="1" t="s">
        <v>926</v>
      </c>
      <c r="D123" s="1" t="s">
        <v>149</v>
      </c>
      <c r="F123" s="1" t="s">
        <v>395</v>
      </c>
      <c r="G123" s="1" t="s">
        <v>1304</v>
      </c>
      <c r="H123" s="1" t="s">
        <v>1401</v>
      </c>
    </row>
    <row r="124" spans="1:8" x14ac:dyDescent="0.2">
      <c r="A124" s="1" t="s">
        <v>41</v>
      </c>
      <c r="B124" s="1" t="s">
        <v>927</v>
      </c>
      <c r="D124" s="1" t="s">
        <v>108</v>
      </c>
      <c r="F124" s="1" t="s">
        <v>396</v>
      </c>
      <c r="G124" s="1" t="s">
        <v>1305</v>
      </c>
      <c r="H124" s="1" t="s">
        <v>1402</v>
      </c>
    </row>
    <row r="125" spans="1:8" x14ac:dyDescent="0.2">
      <c r="A125" s="1" t="s">
        <v>41</v>
      </c>
      <c r="B125" s="1" t="s">
        <v>928</v>
      </c>
      <c r="D125" s="1" t="s">
        <v>109</v>
      </c>
      <c r="F125" s="1" t="s">
        <v>397</v>
      </c>
      <c r="G125" s="1" t="s">
        <v>1306</v>
      </c>
      <c r="H125" s="1" t="s">
        <v>1403</v>
      </c>
    </row>
    <row r="126" spans="1:8" x14ac:dyDescent="0.2">
      <c r="A126" s="1" t="s">
        <v>41</v>
      </c>
      <c r="B126" s="1" t="s">
        <v>929</v>
      </c>
      <c r="D126" s="1" t="s">
        <v>110</v>
      </c>
      <c r="F126" s="1" t="s">
        <v>398</v>
      </c>
      <c r="G126" s="1" t="s">
        <v>1307</v>
      </c>
      <c r="H126" s="1" t="s">
        <v>1404</v>
      </c>
    </row>
    <row r="127" spans="1:8" x14ac:dyDescent="0.2">
      <c r="A127" s="1" t="s">
        <v>41</v>
      </c>
      <c r="B127" s="1" t="s">
        <v>930</v>
      </c>
      <c r="D127" s="1" t="s">
        <v>111</v>
      </c>
      <c r="F127" s="1" t="s">
        <v>399</v>
      </c>
      <c r="G127" s="1" t="s">
        <v>1308</v>
      </c>
      <c r="H127" s="1" t="s">
        <v>1405</v>
      </c>
    </row>
    <row r="128" spans="1:8" x14ac:dyDescent="0.2">
      <c r="A128" s="1" t="s">
        <v>41</v>
      </c>
      <c r="B128" s="1" t="s">
        <v>931</v>
      </c>
      <c r="D128" s="1" t="s">
        <v>112</v>
      </c>
      <c r="F128" s="1" t="s">
        <v>400</v>
      </c>
      <c r="G128" s="1" t="s">
        <v>1309</v>
      </c>
      <c r="H128" s="1" t="s">
        <v>1406</v>
      </c>
    </row>
    <row r="129" spans="1:8" x14ac:dyDescent="0.2">
      <c r="A129" s="1" t="s">
        <v>41</v>
      </c>
      <c r="B129" s="1" t="s">
        <v>932</v>
      </c>
      <c r="D129" s="1" t="s">
        <v>113</v>
      </c>
      <c r="F129" s="1" t="s">
        <v>401</v>
      </c>
      <c r="G129" s="1" t="s">
        <v>1310</v>
      </c>
      <c r="H129" s="1" t="s">
        <v>1407</v>
      </c>
    </row>
    <row r="130" spans="1:8" x14ac:dyDescent="0.2">
      <c r="A130" s="1" t="s">
        <v>41</v>
      </c>
      <c r="B130" s="1" t="s">
        <v>933</v>
      </c>
      <c r="D130" s="1" t="s">
        <v>250</v>
      </c>
      <c r="F130" s="1" t="s">
        <v>402</v>
      </c>
      <c r="G130" s="1" t="s">
        <v>1311</v>
      </c>
      <c r="H130" s="1" t="s">
        <v>1408</v>
      </c>
    </row>
    <row r="131" spans="1:8" x14ac:dyDescent="0.2">
      <c r="A131" s="1" t="s">
        <v>41</v>
      </c>
      <c r="B131" s="1" t="s">
        <v>934</v>
      </c>
      <c r="D131" s="1" t="s">
        <v>252</v>
      </c>
      <c r="F131" s="1" t="s">
        <v>403</v>
      </c>
      <c r="G131" s="1" t="s">
        <v>1312</v>
      </c>
      <c r="H131" s="1" t="s">
        <v>1409</v>
      </c>
    </row>
    <row r="132" spans="1:8" x14ac:dyDescent="0.2">
      <c r="A132" s="1" t="s">
        <v>41</v>
      </c>
      <c r="B132" s="1" t="s">
        <v>935</v>
      </c>
      <c r="D132" s="1" t="s">
        <v>254</v>
      </c>
      <c r="F132" s="1" t="s">
        <v>404</v>
      </c>
      <c r="G132" s="1" t="s">
        <v>1313</v>
      </c>
      <c r="H132" s="1" t="s">
        <v>1410</v>
      </c>
    </row>
    <row r="133" spans="1:8" x14ac:dyDescent="0.2">
      <c r="A133" s="1" t="s">
        <v>41</v>
      </c>
      <c r="B133" s="1" t="s">
        <v>936</v>
      </c>
      <c r="D133" s="1" t="s">
        <v>150</v>
      </c>
      <c r="F133" s="1" t="s">
        <v>405</v>
      </c>
      <c r="G133" s="1" t="s">
        <v>1314</v>
      </c>
      <c r="H133" s="1" t="s">
        <v>1411</v>
      </c>
    </row>
    <row r="134" spans="1:8" x14ac:dyDescent="0.2">
      <c r="A134" s="1" t="s">
        <v>41</v>
      </c>
      <c r="B134" s="1" t="s">
        <v>937</v>
      </c>
      <c r="D134" s="1" t="s">
        <v>114</v>
      </c>
      <c r="F134" s="1" t="s">
        <v>406</v>
      </c>
      <c r="G134" s="1" t="s">
        <v>1315</v>
      </c>
      <c r="H134" s="1" t="s">
        <v>1412</v>
      </c>
    </row>
    <row r="135" spans="1:8" x14ac:dyDescent="0.2">
      <c r="A135" s="1" t="s">
        <v>41</v>
      </c>
      <c r="B135" s="1" t="s">
        <v>938</v>
      </c>
      <c r="D135" s="1" t="s">
        <v>115</v>
      </c>
      <c r="F135" s="1" t="s">
        <v>407</v>
      </c>
      <c r="G135" s="1" t="s">
        <v>1316</v>
      </c>
      <c r="H135" s="1" t="s">
        <v>1413</v>
      </c>
    </row>
    <row r="136" spans="1:8" x14ac:dyDescent="0.2">
      <c r="A136" s="1" t="s">
        <v>41</v>
      </c>
      <c r="B136" s="1" t="s">
        <v>939</v>
      </c>
      <c r="D136" s="1" t="s">
        <v>116</v>
      </c>
      <c r="F136" s="1" t="s">
        <v>408</v>
      </c>
      <c r="G136" s="1" t="s">
        <v>1317</v>
      </c>
      <c r="H136" s="1" t="s">
        <v>1414</v>
      </c>
    </row>
    <row r="137" spans="1:8" x14ac:dyDescent="0.2">
      <c r="A137" s="1" t="s">
        <v>41</v>
      </c>
      <c r="B137" s="1" t="s">
        <v>940</v>
      </c>
      <c r="D137" s="1" t="s">
        <v>117</v>
      </c>
      <c r="F137" s="1" t="s">
        <v>410</v>
      </c>
      <c r="G137" s="1" t="s">
        <v>1318</v>
      </c>
      <c r="H137" s="1" t="s">
        <v>1415</v>
      </c>
    </row>
    <row r="138" spans="1:8" x14ac:dyDescent="0.2">
      <c r="A138" s="1" t="s">
        <v>41</v>
      </c>
      <c r="B138" s="1" t="s">
        <v>941</v>
      </c>
      <c r="D138" s="1" t="s">
        <v>259</v>
      </c>
      <c r="F138" s="1" t="s">
        <v>411</v>
      </c>
      <c r="G138" s="1" t="s">
        <v>1319</v>
      </c>
      <c r="H138" s="1" t="s">
        <v>1416</v>
      </c>
    </row>
    <row r="139" spans="1:8" x14ac:dyDescent="0.2">
      <c r="A139" s="1" t="s">
        <v>41</v>
      </c>
      <c r="B139" s="1" t="s">
        <v>942</v>
      </c>
      <c r="D139" s="1" t="s">
        <v>261</v>
      </c>
      <c r="F139" s="1" t="s">
        <v>412</v>
      </c>
      <c r="G139" s="1" t="s">
        <v>1320</v>
      </c>
      <c r="H139" s="1" t="s">
        <v>1417</v>
      </c>
    </row>
    <row r="140" spans="1:8" x14ac:dyDescent="0.2">
      <c r="A140" s="1" t="s">
        <v>41</v>
      </c>
      <c r="B140" s="1" t="s">
        <v>943</v>
      </c>
      <c r="D140" s="1" t="s">
        <v>263</v>
      </c>
      <c r="F140" s="1" t="s">
        <v>413</v>
      </c>
      <c r="G140" s="1" t="s">
        <v>1321</v>
      </c>
      <c r="H140" s="1" t="s">
        <v>1418</v>
      </c>
    </row>
    <row r="141" spans="1:8" x14ac:dyDescent="0.2">
      <c r="A141" s="1" t="s">
        <v>41</v>
      </c>
      <c r="B141" s="1" t="s">
        <v>944</v>
      </c>
      <c r="D141" s="1" t="s">
        <v>409</v>
      </c>
      <c r="F141" s="1" t="s">
        <v>414</v>
      </c>
      <c r="G141" s="1" t="s">
        <v>1322</v>
      </c>
      <c r="H141" s="1" t="s">
        <v>1419</v>
      </c>
    </row>
    <row r="142" spans="1:8" x14ac:dyDescent="0.2">
      <c r="A142" s="1" t="s">
        <v>41</v>
      </c>
      <c r="B142" s="1" t="s">
        <v>945</v>
      </c>
      <c r="D142" s="1" t="s">
        <v>371</v>
      </c>
      <c r="F142" s="1" t="s">
        <v>415</v>
      </c>
      <c r="G142" s="1" t="s">
        <v>1323</v>
      </c>
      <c r="H142" s="1" t="s">
        <v>1420</v>
      </c>
    </row>
    <row r="143" spans="1:8" x14ac:dyDescent="0.2">
      <c r="A143" s="1" t="s">
        <v>41</v>
      </c>
      <c r="B143" s="1" t="s">
        <v>946</v>
      </c>
      <c r="D143" s="1" t="s">
        <v>265</v>
      </c>
      <c r="F143" s="1" t="s">
        <v>416</v>
      </c>
      <c r="G143" s="1" t="s">
        <v>1324</v>
      </c>
      <c r="H143" s="1" t="s">
        <v>1421</v>
      </c>
    </row>
    <row r="144" spans="1:8" x14ac:dyDescent="0.2">
      <c r="A144" s="1" t="s">
        <v>41</v>
      </c>
      <c r="B144" s="1" t="s">
        <v>947</v>
      </c>
      <c r="D144" s="1" t="s">
        <v>266</v>
      </c>
      <c r="F144" s="1" t="s">
        <v>417</v>
      </c>
      <c r="G144" s="1" t="s">
        <v>1325</v>
      </c>
      <c r="H144" s="1" t="s">
        <v>1422</v>
      </c>
    </row>
    <row r="145" spans="1:8" x14ac:dyDescent="0.2">
      <c r="A145" s="1" t="s">
        <v>41</v>
      </c>
      <c r="B145" s="1" t="s">
        <v>948</v>
      </c>
      <c r="D145" s="1" t="s">
        <v>151</v>
      </c>
      <c r="F145" s="1" t="s">
        <v>418</v>
      </c>
      <c r="G145" s="1" t="s">
        <v>1326</v>
      </c>
      <c r="H145" s="1" t="s">
        <v>1423</v>
      </c>
    </row>
    <row r="146" spans="1:8" x14ac:dyDescent="0.2">
      <c r="A146" s="1" t="s">
        <v>41</v>
      </c>
      <c r="B146" s="1" t="s">
        <v>949</v>
      </c>
      <c r="D146" s="1" t="s">
        <v>137</v>
      </c>
      <c r="F146" s="1" t="s">
        <v>420</v>
      </c>
      <c r="G146" s="1" t="s">
        <v>1327</v>
      </c>
      <c r="H146" s="1" t="s">
        <v>1424</v>
      </c>
    </row>
    <row r="147" spans="1:8" x14ac:dyDescent="0.2">
      <c r="A147" s="1" t="s">
        <v>41</v>
      </c>
      <c r="B147" s="1" t="s">
        <v>950</v>
      </c>
      <c r="D147" s="1" t="s">
        <v>138</v>
      </c>
      <c r="F147" s="1" t="s">
        <v>421</v>
      </c>
      <c r="G147" s="1" t="s">
        <v>1328</v>
      </c>
      <c r="H147" s="1" t="s">
        <v>1425</v>
      </c>
    </row>
    <row r="148" spans="1:8" x14ac:dyDescent="0.2">
      <c r="A148" s="1" t="s">
        <v>41</v>
      </c>
      <c r="B148" s="1" t="s">
        <v>951</v>
      </c>
      <c r="D148" s="1" t="s">
        <v>119</v>
      </c>
      <c r="F148" s="1" t="s">
        <v>422</v>
      </c>
      <c r="G148" s="1" t="s">
        <v>1329</v>
      </c>
      <c r="H148" s="1" t="s">
        <v>1426</v>
      </c>
    </row>
    <row r="149" spans="1:8" x14ac:dyDescent="0.2">
      <c r="A149" s="1" t="s">
        <v>41</v>
      </c>
      <c r="B149" s="1" t="s">
        <v>952</v>
      </c>
      <c r="D149" s="1" t="s">
        <v>267</v>
      </c>
      <c r="F149" s="1" t="s">
        <v>423</v>
      </c>
      <c r="G149" s="1" t="s">
        <v>1330</v>
      </c>
      <c r="H149" s="1" t="s">
        <v>1427</v>
      </c>
    </row>
    <row r="150" spans="1:8" x14ac:dyDescent="0.2">
      <c r="A150" s="1" t="s">
        <v>41</v>
      </c>
      <c r="B150" s="1" t="s">
        <v>953</v>
      </c>
      <c r="D150" s="1" t="s">
        <v>419</v>
      </c>
      <c r="F150" s="1" t="s">
        <v>424</v>
      </c>
      <c r="G150" s="1" t="s">
        <v>1331</v>
      </c>
      <c r="H150" s="1" t="s">
        <v>1428</v>
      </c>
    </row>
    <row r="151" spans="1:8" x14ac:dyDescent="0.2">
      <c r="A151" s="1" t="s">
        <v>41</v>
      </c>
      <c r="B151" s="1" t="s">
        <v>954</v>
      </c>
      <c r="D151" s="1" t="s">
        <v>372</v>
      </c>
      <c r="F151" s="1" t="s">
        <v>425</v>
      </c>
      <c r="G151" s="1" t="s">
        <v>1332</v>
      </c>
      <c r="H151" s="1" t="s">
        <v>1429</v>
      </c>
    </row>
    <row r="152" spans="1:8" x14ac:dyDescent="0.2">
      <c r="A152" s="1" t="s">
        <v>41</v>
      </c>
      <c r="B152" s="1" t="s">
        <v>955</v>
      </c>
      <c r="D152" s="1" t="s">
        <v>268</v>
      </c>
      <c r="F152" s="1" t="s">
        <v>426</v>
      </c>
      <c r="G152" s="1" t="s">
        <v>1333</v>
      </c>
      <c r="H152" s="1" t="s">
        <v>1430</v>
      </c>
    </row>
    <row r="153" spans="1:8" x14ac:dyDescent="0.2">
      <c r="A153" s="1" t="s">
        <v>41</v>
      </c>
      <c r="B153" s="1" t="s">
        <v>956</v>
      </c>
      <c r="D153" s="1" t="s">
        <v>269</v>
      </c>
      <c r="F153" s="1" t="s">
        <v>427</v>
      </c>
      <c r="G153" s="1" t="s">
        <v>1334</v>
      </c>
      <c r="H153" s="1" t="s">
        <v>1431</v>
      </c>
    </row>
    <row r="154" spans="1:8" x14ac:dyDescent="0.2">
      <c r="A154" s="1" t="s">
        <v>41</v>
      </c>
      <c r="B154" s="1" t="s">
        <v>957</v>
      </c>
      <c r="D154" s="1" t="s">
        <v>271</v>
      </c>
      <c r="F154" s="1" t="s">
        <v>428</v>
      </c>
      <c r="G154" s="1" t="s">
        <v>1335</v>
      </c>
      <c r="H154" s="1" t="s">
        <v>1432</v>
      </c>
    </row>
    <row r="155" spans="1:8" x14ac:dyDescent="0.2">
      <c r="A155" s="1" t="s">
        <v>41</v>
      </c>
      <c r="B155" s="1" t="s">
        <v>958</v>
      </c>
      <c r="D155" s="1" t="s">
        <v>273</v>
      </c>
      <c r="F155" s="1" t="s">
        <v>429</v>
      </c>
      <c r="G155" s="1" t="s">
        <v>1336</v>
      </c>
      <c r="H155" s="1" t="s">
        <v>1433</v>
      </c>
    </row>
    <row r="156" spans="1:8" x14ac:dyDescent="0.2">
      <c r="A156" s="1" t="s">
        <v>41</v>
      </c>
      <c r="B156" s="1" t="s">
        <v>959</v>
      </c>
      <c r="D156" s="1" t="s">
        <v>275</v>
      </c>
      <c r="F156" s="1" t="s">
        <v>430</v>
      </c>
      <c r="G156" s="1" t="s">
        <v>1337</v>
      </c>
      <c r="H156" s="1" t="s">
        <v>1434</v>
      </c>
    </row>
    <row r="157" spans="1:8" x14ac:dyDescent="0.2">
      <c r="A157" s="1" t="s">
        <v>41</v>
      </c>
      <c r="B157" s="1" t="s">
        <v>960</v>
      </c>
      <c r="D157" s="1" t="s">
        <v>276</v>
      </c>
      <c r="F157" s="1" t="s">
        <v>431</v>
      </c>
      <c r="G157" s="1" t="s">
        <v>1338</v>
      </c>
      <c r="H157" s="1" t="s">
        <v>1435</v>
      </c>
    </row>
    <row r="158" spans="1:8" x14ac:dyDescent="0.2">
      <c r="A158" s="1" t="s">
        <v>41</v>
      </c>
      <c r="B158" s="1" t="s">
        <v>961</v>
      </c>
      <c r="D158" s="1" t="s">
        <v>278</v>
      </c>
      <c r="F158" s="1" t="s">
        <v>432</v>
      </c>
      <c r="G158" s="1" t="s">
        <v>1339</v>
      </c>
      <c r="H158" s="1" t="s">
        <v>1436</v>
      </c>
    </row>
    <row r="159" spans="1:8" x14ac:dyDescent="0.2">
      <c r="A159" s="1" t="s">
        <v>41</v>
      </c>
      <c r="B159" s="1" t="s">
        <v>962</v>
      </c>
      <c r="D159" s="1" t="s">
        <v>279</v>
      </c>
      <c r="F159" s="1" t="s">
        <v>433</v>
      </c>
      <c r="G159" s="1" t="s">
        <v>1340</v>
      </c>
      <c r="H159" s="1" t="s">
        <v>1437</v>
      </c>
    </row>
    <row r="160" spans="1:8" x14ac:dyDescent="0.2">
      <c r="A160" s="1" t="s">
        <v>41</v>
      </c>
      <c r="B160" s="1" t="s">
        <v>963</v>
      </c>
      <c r="D160" s="1" t="s">
        <v>281</v>
      </c>
      <c r="F160" s="1" t="s">
        <v>434</v>
      </c>
      <c r="G160" s="1" t="s">
        <v>1341</v>
      </c>
      <c r="H160" s="1" t="s">
        <v>1438</v>
      </c>
    </row>
    <row r="161" spans="1:8" x14ac:dyDescent="0.2">
      <c r="A161" s="1" t="s">
        <v>41</v>
      </c>
      <c r="B161" s="1" t="s">
        <v>964</v>
      </c>
      <c r="D161" s="1" t="s">
        <v>283</v>
      </c>
      <c r="F161" s="1" t="s">
        <v>435</v>
      </c>
      <c r="G161" s="1" t="s">
        <v>1342</v>
      </c>
      <c r="H161" s="1" t="s">
        <v>1439</v>
      </c>
    </row>
    <row r="162" spans="1:8" x14ac:dyDescent="0.2">
      <c r="A162" s="1" t="s">
        <v>41</v>
      </c>
      <c r="B162" s="1" t="s">
        <v>965</v>
      </c>
      <c r="D162" s="1" t="s">
        <v>285</v>
      </c>
      <c r="F162" s="1" t="s">
        <v>436</v>
      </c>
      <c r="G162" s="1" t="s">
        <v>1343</v>
      </c>
      <c r="H162" s="1" t="s">
        <v>1440</v>
      </c>
    </row>
    <row r="163" spans="1:8" x14ac:dyDescent="0.2">
      <c r="A163" s="1" t="s">
        <v>41</v>
      </c>
      <c r="B163" s="1" t="s">
        <v>966</v>
      </c>
      <c r="D163" s="1" t="s">
        <v>287</v>
      </c>
      <c r="F163" s="1" t="s">
        <v>437</v>
      </c>
      <c r="G163" s="1" t="s">
        <v>1344</v>
      </c>
      <c r="H163" s="1" t="s">
        <v>1441</v>
      </c>
    </row>
    <row r="164" spans="1:8" x14ac:dyDescent="0.2">
      <c r="A164" s="1" t="s">
        <v>41</v>
      </c>
      <c r="B164" s="1" t="s">
        <v>967</v>
      </c>
      <c r="D164" s="1" t="s">
        <v>289</v>
      </c>
      <c r="F164" s="1" t="s">
        <v>438</v>
      </c>
      <c r="G164" s="1" t="s">
        <v>1345</v>
      </c>
      <c r="H164" s="1" t="s">
        <v>1442</v>
      </c>
    </row>
    <row r="165" spans="1:8" x14ac:dyDescent="0.2">
      <c r="A165" s="1" t="s">
        <v>41</v>
      </c>
      <c r="B165" s="1" t="s">
        <v>968</v>
      </c>
      <c r="D165" s="1" t="s">
        <v>291</v>
      </c>
      <c r="F165" s="1" t="s">
        <v>439</v>
      </c>
      <c r="G165" s="1" t="s">
        <v>1346</v>
      </c>
      <c r="H165" s="1" t="s">
        <v>1443</v>
      </c>
    </row>
    <row r="166" spans="1:8" x14ac:dyDescent="0.2">
      <c r="A166" s="1" t="s">
        <v>41</v>
      </c>
      <c r="B166" s="1" t="s">
        <v>969</v>
      </c>
      <c r="D166" s="1" t="s">
        <v>293</v>
      </c>
      <c r="F166" s="1" t="s">
        <v>440</v>
      </c>
      <c r="G166" s="1" t="s">
        <v>1347</v>
      </c>
      <c r="H166" s="1" t="s">
        <v>1444</v>
      </c>
    </row>
    <row r="167" spans="1:8" x14ac:dyDescent="0.2">
      <c r="A167" s="1" t="s">
        <v>41</v>
      </c>
      <c r="B167" s="1" t="s">
        <v>970</v>
      </c>
      <c r="D167" s="1" t="s">
        <v>295</v>
      </c>
      <c r="F167" s="1" t="s">
        <v>442</v>
      </c>
      <c r="G167" s="1" t="s">
        <v>1348</v>
      </c>
      <c r="H167" s="1" t="s">
        <v>1445</v>
      </c>
    </row>
    <row r="168" spans="1:8" x14ac:dyDescent="0.2">
      <c r="A168" s="1" t="s">
        <v>41</v>
      </c>
      <c r="B168" s="1" t="s">
        <v>971</v>
      </c>
      <c r="D168" s="1" t="s">
        <v>297</v>
      </c>
      <c r="F168" s="1" t="s">
        <v>443</v>
      </c>
      <c r="G168" s="1" t="s">
        <v>1349</v>
      </c>
      <c r="H168" s="1" t="s">
        <v>1446</v>
      </c>
    </row>
    <row r="169" spans="1:8" x14ac:dyDescent="0.2">
      <c r="A169" s="1" t="s">
        <v>41</v>
      </c>
      <c r="B169" s="1" t="s">
        <v>972</v>
      </c>
      <c r="D169" s="1" t="s">
        <v>299</v>
      </c>
      <c r="F169" s="1" t="s">
        <v>444</v>
      </c>
      <c r="G169" s="1" t="s">
        <v>1350</v>
      </c>
      <c r="H169" s="1" t="s">
        <v>1447</v>
      </c>
    </row>
    <row r="170" spans="1:8" x14ac:dyDescent="0.2">
      <c r="A170" s="1" t="s">
        <v>41</v>
      </c>
      <c r="B170" s="1" t="s">
        <v>973</v>
      </c>
      <c r="D170" s="1" t="s">
        <v>301</v>
      </c>
      <c r="F170" s="1" t="s">
        <v>445</v>
      </c>
      <c r="G170" s="1" t="s">
        <v>1351</v>
      </c>
      <c r="H170" s="1" t="s">
        <v>1448</v>
      </c>
    </row>
    <row r="171" spans="1:8" x14ac:dyDescent="0.2">
      <c r="A171" s="1" t="s">
        <v>41</v>
      </c>
      <c r="B171" s="1" t="s">
        <v>974</v>
      </c>
      <c r="D171" s="1" t="s">
        <v>441</v>
      </c>
      <c r="F171" s="1" t="s">
        <v>446</v>
      </c>
      <c r="G171" s="1" t="s">
        <v>1352</v>
      </c>
      <c r="H171" s="1" t="s">
        <v>1449</v>
      </c>
    </row>
    <row r="172" spans="1:8" x14ac:dyDescent="0.2">
      <c r="A172" s="1" t="s">
        <v>41</v>
      </c>
      <c r="B172" s="1" t="s">
        <v>975</v>
      </c>
      <c r="D172" s="1" t="s">
        <v>373</v>
      </c>
      <c r="F172" s="1" t="s">
        <v>447</v>
      </c>
      <c r="G172" s="1" t="s">
        <v>1353</v>
      </c>
      <c r="H172" s="1" t="s">
        <v>1450</v>
      </c>
    </row>
    <row r="173" spans="1:8" x14ac:dyDescent="0.2">
      <c r="A173" s="1" t="s">
        <v>41</v>
      </c>
      <c r="B173" s="1" t="s">
        <v>976</v>
      </c>
      <c r="D173" s="1" t="s">
        <v>303</v>
      </c>
      <c r="F173" s="1" t="s">
        <v>448</v>
      </c>
      <c r="G173" s="1" t="s">
        <v>1354</v>
      </c>
      <c r="H173" s="1" t="s">
        <v>1451</v>
      </c>
    </row>
    <row r="174" spans="1:8" x14ac:dyDescent="0.2">
      <c r="A174" s="1" t="s">
        <v>41</v>
      </c>
      <c r="B174" s="1" t="s">
        <v>977</v>
      </c>
      <c r="D174" s="1" t="s">
        <v>304</v>
      </c>
      <c r="F174" s="1" t="s">
        <v>449</v>
      </c>
      <c r="G174" s="1" t="s">
        <v>1355</v>
      </c>
      <c r="H174" s="1" t="s">
        <v>1452</v>
      </c>
    </row>
    <row r="175" spans="1:8" x14ac:dyDescent="0.2">
      <c r="A175" s="1" t="s">
        <v>41</v>
      </c>
      <c r="B175" s="1" t="s">
        <v>978</v>
      </c>
      <c r="D175" s="1" t="s">
        <v>305</v>
      </c>
      <c r="F175" s="1" t="s">
        <v>450</v>
      </c>
      <c r="G175" s="1" t="s">
        <v>1356</v>
      </c>
      <c r="H175" s="1" t="s">
        <v>1453</v>
      </c>
    </row>
    <row r="176" spans="1:8" x14ac:dyDescent="0.2">
      <c r="A176" s="1" t="s">
        <v>41</v>
      </c>
      <c r="B176" s="1" t="s">
        <v>979</v>
      </c>
      <c r="D176" s="1" t="s">
        <v>306</v>
      </c>
      <c r="F176" s="1" t="s">
        <v>451</v>
      </c>
      <c r="G176" s="1" t="s">
        <v>1357</v>
      </c>
      <c r="H176" s="1" t="s">
        <v>1454</v>
      </c>
    </row>
    <row r="177" spans="1:8" x14ac:dyDescent="0.2">
      <c r="A177" s="1" t="s">
        <v>41</v>
      </c>
      <c r="B177" s="1" t="s">
        <v>980</v>
      </c>
      <c r="D177" s="1" t="s">
        <v>308</v>
      </c>
      <c r="F177" s="1" t="s">
        <v>452</v>
      </c>
      <c r="G177" s="1" t="s">
        <v>1358</v>
      </c>
      <c r="H177" s="1" t="s">
        <v>1455</v>
      </c>
    </row>
    <row r="178" spans="1:8" x14ac:dyDescent="0.2">
      <c r="A178" s="1" t="s">
        <v>41</v>
      </c>
      <c r="B178" s="1" t="s">
        <v>981</v>
      </c>
      <c r="D178" s="1" t="s">
        <v>310</v>
      </c>
      <c r="F178" s="1" t="s">
        <v>453</v>
      </c>
      <c r="G178" s="1" t="s">
        <v>1359</v>
      </c>
      <c r="H178" s="1" t="s">
        <v>1456</v>
      </c>
    </row>
    <row r="179" spans="1:8" x14ac:dyDescent="0.2">
      <c r="A179" s="1" t="s">
        <v>41</v>
      </c>
      <c r="B179" s="1" t="s">
        <v>982</v>
      </c>
      <c r="D179" s="1" t="s">
        <v>312</v>
      </c>
      <c r="F179" s="1" t="s">
        <v>454</v>
      </c>
      <c r="G179" s="1" t="s">
        <v>1360</v>
      </c>
      <c r="H179" s="1" t="s">
        <v>1457</v>
      </c>
    </row>
    <row r="180" spans="1:8" x14ac:dyDescent="0.2">
      <c r="A180" s="1" t="s">
        <v>41</v>
      </c>
      <c r="B180" s="1" t="s">
        <v>983</v>
      </c>
      <c r="D180" s="1" t="s">
        <v>314</v>
      </c>
      <c r="F180" s="1" t="s">
        <v>455</v>
      </c>
      <c r="G180" s="1" t="s">
        <v>1361</v>
      </c>
      <c r="H180" s="1" t="s">
        <v>1458</v>
      </c>
    </row>
    <row r="181" spans="1:8" x14ac:dyDescent="0.2">
      <c r="A181" s="1" t="s">
        <v>41</v>
      </c>
      <c r="B181" s="1" t="s">
        <v>984</v>
      </c>
      <c r="D181" s="1" t="s">
        <v>316</v>
      </c>
      <c r="F181" s="1" t="s">
        <v>456</v>
      </c>
      <c r="G181" s="1" t="s">
        <v>1362</v>
      </c>
      <c r="H181" s="1" t="s">
        <v>1459</v>
      </c>
    </row>
    <row r="182" spans="1:8" x14ac:dyDescent="0.2">
      <c r="A182" s="1" t="s">
        <v>41</v>
      </c>
      <c r="B182" s="1" t="s">
        <v>985</v>
      </c>
      <c r="D182" s="1" t="s">
        <v>318</v>
      </c>
      <c r="F182" s="1" t="s">
        <v>457</v>
      </c>
      <c r="G182" s="1" t="s">
        <v>1363</v>
      </c>
      <c r="H182" s="1" t="s">
        <v>1460</v>
      </c>
    </row>
    <row r="183" spans="1:8" x14ac:dyDescent="0.2">
      <c r="A183" s="1" t="s">
        <v>41</v>
      </c>
      <c r="B183" s="1" t="s">
        <v>986</v>
      </c>
      <c r="D183" s="1" t="s">
        <v>320</v>
      </c>
      <c r="F183" s="1" t="s">
        <v>458</v>
      </c>
      <c r="G183" s="1" t="s">
        <v>1364</v>
      </c>
      <c r="H183" s="1" t="s">
        <v>1461</v>
      </c>
    </row>
    <row r="184" spans="1:8" x14ac:dyDescent="0.2">
      <c r="A184" s="1" t="s">
        <v>41</v>
      </c>
      <c r="B184" s="1" t="s">
        <v>987</v>
      </c>
      <c r="D184" s="1" t="s">
        <v>322</v>
      </c>
      <c r="F184" s="1" t="s">
        <v>459</v>
      </c>
      <c r="G184" s="1" t="s">
        <v>1365</v>
      </c>
      <c r="H184" s="1" t="s">
        <v>1462</v>
      </c>
    </row>
    <row r="185" spans="1:8" x14ac:dyDescent="0.2">
      <c r="B185" s="1" t="s">
        <v>708</v>
      </c>
    </row>
    <row r="186" spans="1:8" x14ac:dyDescent="0.2">
      <c r="B186" s="1" t="s">
        <v>988</v>
      </c>
      <c r="D186" s="1" t="s">
        <v>118</v>
      </c>
      <c r="F186" s="1" t="s">
        <v>709</v>
      </c>
      <c r="H186" s="1" t="s">
        <v>710</v>
      </c>
    </row>
    <row r="187" spans="1:8" x14ac:dyDescent="0.2">
      <c r="B187" s="1" t="s">
        <v>989</v>
      </c>
      <c r="D187" s="1" t="s">
        <v>326</v>
      </c>
      <c r="F187" s="1" t="s">
        <v>711</v>
      </c>
      <c r="G187" s="1" t="s">
        <v>1463</v>
      </c>
      <c r="H187" s="1" t="s">
        <v>1501</v>
      </c>
    </row>
    <row r="188" spans="1:8" x14ac:dyDescent="0.2">
      <c r="A188" s="1" t="s">
        <v>41</v>
      </c>
      <c r="B188" s="1" t="s">
        <v>990</v>
      </c>
      <c r="D188" s="1" t="s">
        <v>328</v>
      </c>
      <c r="F188" s="1" t="s">
        <v>460</v>
      </c>
      <c r="G188" s="1" t="s">
        <v>1464</v>
      </c>
      <c r="H188" s="1" t="s">
        <v>1502</v>
      </c>
    </row>
    <row r="189" spans="1:8" x14ac:dyDescent="0.2">
      <c r="A189" s="1" t="s">
        <v>41</v>
      </c>
      <c r="B189" s="1" t="s">
        <v>991</v>
      </c>
      <c r="D189" s="1" t="s">
        <v>712</v>
      </c>
      <c r="F189" s="1" t="s">
        <v>461</v>
      </c>
      <c r="G189" s="1" t="s">
        <v>1465</v>
      </c>
      <c r="H189" s="1" t="s">
        <v>1503</v>
      </c>
    </row>
    <row r="190" spans="1:8" x14ac:dyDescent="0.2">
      <c r="A190" s="1" t="s">
        <v>41</v>
      </c>
      <c r="B190" s="1" t="s">
        <v>992</v>
      </c>
      <c r="D190" s="1" t="s">
        <v>713</v>
      </c>
      <c r="F190" s="1" t="s">
        <v>462</v>
      </c>
      <c r="G190" s="1" t="s">
        <v>1466</v>
      </c>
      <c r="H190" s="1" t="s">
        <v>1504</v>
      </c>
    </row>
    <row r="191" spans="1:8" x14ac:dyDescent="0.2">
      <c r="A191" s="1" t="s">
        <v>41</v>
      </c>
      <c r="B191" s="1" t="s">
        <v>993</v>
      </c>
      <c r="D191" s="1" t="s">
        <v>332</v>
      </c>
      <c r="F191" s="1" t="s">
        <v>463</v>
      </c>
      <c r="G191" s="1" t="s">
        <v>1467</v>
      </c>
      <c r="H191" s="1" t="s">
        <v>1505</v>
      </c>
    </row>
    <row r="192" spans="1:8" x14ac:dyDescent="0.2">
      <c r="A192" s="1" t="s">
        <v>41</v>
      </c>
      <c r="B192" s="1" t="s">
        <v>994</v>
      </c>
      <c r="D192" s="1" t="s">
        <v>334</v>
      </c>
      <c r="F192" s="1" t="s">
        <v>464</v>
      </c>
      <c r="G192" s="1" t="s">
        <v>1468</v>
      </c>
      <c r="H192" s="1" t="s">
        <v>1506</v>
      </c>
    </row>
    <row r="193" spans="1:8" x14ac:dyDescent="0.2">
      <c r="A193" s="1" t="s">
        <v>41</v>
      </c>
      <c r="B193" s="1" t="s">
        <v>995</v>
      </c>
      <c r="D193" s="1" t="s">
        <v>336</v>
      </c>
      <c r="F193" s="1" t="s">
        <v>465</v>
      </c>
      <c r="G193" s="1" t="s">
        <v>1469</v>
      </c>
      <c r="H193" s="1" t="s">
        <v>1507</v>
      </c>
    </row>
    <row r="194" spans="1:8" x14ac:dyDescent="0.2">
      <c r="A194" s="1" t="s">
        <v>41</v>
      </c>
      <c r="B194" s="1" t="s">
        <v>996</v>
      </c>
      <c r="D194" s="1" t="s">
        <v>338</v>
      </c>
      <c r="F194" s="1" t="s">
        <v>466</v>
      </c>
      <c r="G194" s="1" t="s">
        <v>1470</v>
      </c>
      <c r="H194" s="1" t="s">
        <v>1508</v>
      </c>
    </row>
    <row r="195" spans="1:8" x14ac:dyDescent="0.2">
      <c r="A195" s="1" t="s">
        <v>41</v>
      </c>
      <c r="B195" s="1" t="s">
        <v>997</v>
      </c>
      <c r="D195" s="1" t="s">
        <v>340</v>
      </c>
      <c r="F195" s="1" t="s">
        <v>467</v>
      </c>
      <c r="G195" s="1" t="s">
        <v>1471</v>
      </c>
      <c r="H195" s="1" t="s">
        <v>1509</v>
      </c>
    </row>
    <row r="196" spans="1:8" x14ac:dyDescent="0.2">
      <c r="A196" s="1" t="s">
        <v>41</v>
      </c>
      <c r="B196" s="1" t="s">
        <v>998</v>
      </c>
      <c r="D196" s="1" t="s">
        <v>342</v>
      </c>
      <c r="F196" s="1" t="s">
        <v>468</v>
      </c>
      <c r="G196" s="1" t="s">
        <v>1472</v>
      </c>
      <c r="H196" s="1" t="s">
        <v>1510</v>
      </c>
    </row>
    <row r="197" spans="1:8" x14ac:dyDescent="0.2">
      <c r="A197" s="1" t="s">
        <v>41</v>
      </c>
      <c r="B197" s="1" t="s">
        <v>999</v>
      </c>
      <c r="D197" s="1" t="s">
        <v>344</v>
      </c>
      <c r="F197" s="1" t="s">
        <v>469</v>
      </c>
      <c r="G197" s="1" t="s">
        <v>1473</v>
      </c>
      <c r="H197" s="1" t="s">
        <v>1511</v>
      </c>
    </row>
    <row r="198" spans="1:8" x14ac:dyDescent="0.2">
      <c r="A198" s="1" t="s">
        <v>41</v>
      </c>
      <c r="B198" s="1" t="s">
        <v>1000</v>
      </c>
      <c r="D198" s="1" t="s">
        <v>346</v>
      </c>
      <c r="F198" s="1" t="s">
        <v>470</v>
      </c>
      <c r="G198" s="1" t="s">
        <v>1474</v>
      </c>
      <c r="H198" s="1" t="s">
        <v>1512</v>
      </c>
    </row>
    <row r="199" spans="1:8" x14ac:dyDescent="0.2">
      <c r="A199" s="1" t="s">
        <v>41</v>
      </c>
      <c r="B199" s="1" t="s">
        <v>1001</v>
      </c>
      <c r="D199" s="1" t="s">
        <v>347</v>
      </c>
      <c r="F199" s="1" t="s">
        <v>471</v>
      </c>
      <c r="G199" s="1" t="s">
        <v>1475</v>
      </c>
      <c r="H199" s="1" t="s">
        <v>1513</v>
      </c>
    </row>
    <row r="200" spans="1:8" x14ac:dyDescent="0.2">
      <c r="A200" s="1" t="s">
        <v>41</v>
      </c>
      <c r="B200" s="1" t="s">
        <v>1002</v>
      </c>
      <c r="D200" s="1" t="s">
        <v>348</v>
      </c>
      <c r="F200" s="1" t="s">
        <v>472</v>
      </c>
      <c r="G200" s="1" t="s">
        <v>1476</v>
      </c>
      <c r="H200" s="1" t="s">
        <v>1514</v>
      </c>
    </row>
    <row r="201" spans="1:8" x14ac:dyDescent="0.2">
      <c r="A201" s="1" t="s">
        <v>41</v>
      </c>
      <c r="B201" s="1" t="s">
        <v>1003</v>
      </c>
      <c r="D201" s="1" t="s">
        <v>350</v>
      </c>
      <c r="F201" s="1" t="s">
        <v>473</v>
      </c>
      <c r="G201" s="1" t="s">
        <v>1477</v>
      </c>
      <c r="H201" s="1" t="s">
        <v>1515</v>
      </c>
    </row>
    <row r="202" spans="1:8" x14ac:dyDescent="0.2">
      <c r="A202" s="1" t="s">
        <v>41</v>
      </c>
      <c r="B202" s="1" t="s">
        <v>1004</v>
      </c>
      <c r="D202" s="1" t="s">
        <v>352</v>
      </c>
      <c r="F202" s="1" t="s">
        <v>474</v>
      </c>
      <c r="G202" s="1" t="s">
        <v>1478</v>
      </c>
      <c r="H202" s="1" t="s">
        <v>1516</v>
      </c>
    </row>
    <row r="203" spans="1:8" x14ac:dyDescent="0.2">
      <c r="A203" s="1" t="s">
        <v>41</v>
      </c>
      <c r="B203" s="1" t="s">
        <v>1005</v>
      </c>
      <c r="D203" s="1" t="s">
        <v>354</v>
      </c>
      <c r="F203" s="1" t="s">
        <v>476</v>
      </c>
      <c r="G203" s="1" t="s">
        <v>1479</v>
      </c>
      <c r="H203" s="1" t="s">
        <v>1517</v>
      </c>
    </row>
    <row r="204" spans="1:8" x14ac:dyDescent="0.2">
      <c r="A204" s="1" t="s">
        <v>41</v>
      </c>
      <c r="B204" s="1" t="s">
        <v>1006</v>
      </c>
      <c r="D204" s="1" t="s">
        <v>356</v>
      </c>
      <c r="F204" s="1" t="s">
        <v>477</v>
      </c>
      <c r="G204" s="1" t="s">
        <v>1480</v>
      </c>
      <c r="H204" s="1" t="s">
        <v>1518</v>
      </c>
    </row>
    <row r="205" spans="1:8" x14ac:dyDescent="0.2">
      <c r="A205" s="1" t="s">
        <v>41</v>
      </c>
      <c r="B205" s="1" t="s">
        <v>1007</v>
      </c>
      <c r="D205" s="1" t="s">
        <v>358</v>
      </c>
      <c r="F205" s="1" t="s">
        <v>478</v>
      </c>
      <c r="G205" s="1" t="s">
        <v>1481</v>
      </c>
      <c r="H205" s="1" t="s">
        <v>1519</v>
      </c>
    </row>
    <row r="206" spans="1:8" x14ac:dyDescent="0.2">
      <c r="A206" s="1" t="s">
        <v>41</v>
      </c>
      <c r="B206" s="1" t="s">
        <v>1008</v>
      </c>
      <c r="D206" s="1" t="s">
        <v>360</v>
      </c>
      <c r="F206" s="1" t="s">
        <v>480</v>
      </c>
      <c r="G206" s="1" t="s">
        <v>1482</v>
      </c>
      <c r="H206" s="1" t="s">
        <v>1520</v>
      </c>
    </row>
    <row r="207" spans="1:8" x14ac:dyDescent="0.2">
      <c r="A207" s="1" t="s">
        <v>41</v>
      </c>
      <c r="B207" s="1" t="s">
        <v>1009</v>
      </c>
      <c r="D207" s="1" t="s">
        <v>475</v>
      </c>
      <c r="F207" s="1" t="s">
        <v>481</v>
      </c>
      <c r="G207" s="1" t="s">
        <v>1483</v>
      </c>
      <c r="H207" s="1" t="s">
        <v>1521</v>
      </c>
    </row>
    <row r="208" spans="1:8" x14ac:dyDescent="0.2">
      <c r="A208" s="1" t="s">
        <v>41</v>
      </c>
      <c r="B208" s="1" t="s">
        <v>1010</v>
      </c>
      <c r="D208" s="1" t="s">
        <v>374</v>
      </c>
      <c r="F208" s="1" t="s">
        <v>482</v>
      </c>
      <c r="G208" s="1" t="s">
        <v>1484</v>
      </c>
      <c r="H208" s="1" t="s">
        <v>1522</v>
      </c>
    </row>
    <row r="209" spans="1:8" x14ac:dyDescent="0.2">
      <c r="A209" s="1" t="s">
        <v>41</v>
      </c>
      <c r="B209" s="1" t="s">
        <v>1011</v>
      </c>
      <c r="D209" s="1" t="s">
        <v>362</v>
      </c>
      <c r="F209" s="1" t="s">
        <v>484</v>
      </c>
      <c r="G209" s="1" t="s">
        <v>1485</v>
      </c>
      <c r="H209" s="1" t="s">
        <v>1523</v>
      </c>
    </row>
    <row r="210" spans="1:8" x14ac:dyDescent="0.2">
      <c r="A210" s="1" t="s">
        <v>41</v>
      </c>
      <c r="B210" s="1" t="s">
        <v>1012</v>
      </c>
      <c r="D210" s="1" t="s">
        <v>479</v>
      </c>
      <c r="F210" s="1" t="s">
        <v>485</v>
      </c>
      <c r="G210" s="1" t="s">
        <v>1486</v>
      </c>
      <c r="H210" s="1" t="s">
        <v>1524</v>
      </c>
    </row>
    <row r="211" spans="1:8" x14ac:dyDescent="0.2">
      <c r="A211" s="1" t="s">
        <v>41</v>
      </c>
      <c r="B211" s="1" t="s">
        <v>1013</v>
      </c>
      <c r="D211" s="1" t="s">
        <v>375</v>
      </c>
      <c r="F211" s="1" t="s">
        <v>486</v>
      </c>
      <c r="G211" s="1" t="s">
        <v>1487</v>
      </c>
      <c r="H211" s="1" t="s">
        <v>1525</v>
      </c>
    </row>
    <row r="212" spans="1:8" x14ac:dyDescent="0.2">
      <c r="A212" s="1" t="s">
        <v>41</v>
      </c>
      <c r="B212" s="1" t="s">
        <v>1014</v>
      </c>
      <c r="D212" s="1" t="s">
        <v>363</v>
      </c>
      <c r="F212" s="1" t="s">
        <v>488</v>
      </c>
      <c r="G212" s="1" t="s">
        <v>1488</v>
      </c>
      <c r="H212" s="1" t="s">
        <v>1526</v>
      </c>
    </row>
    <row r="213" spans="1:8" x14ac:dyDescent="0.2">
      <c r="A213" s="1" t="s">
        <v>41</v>
      </c>
      <c r="B213" s="1" t="s">
        <v>1015</v>
      </c>
      <c r="D213" s="1" t="s">
        <v>483</v>
      </c>
      <c r="F213" s="1" t="s">
        <v>489</v>
      </c>
      <c r="G213" s="1" t="s">
        <v>1489</v>
      </c>
      <c r="H213" s="1" t="s">
        <v>1527</v>
      </c>
    </row>
    <row r="214" spans="1:8" x14ac:dyDescent="0.2">
      <c r="A214" s="1" t="s">
        <v>41</v>
      </c>
      <c r="B214" s="1" t="s">
        <v>1016</v>
      </c>
      <c r="D214" s="1" t="s">
        <v>376</v>
      </c>
      <c r="F214" s="1" t="s">
        <v>490</v>
      </c>
      <c r="G214" s="1" t="s">
        <v>1490</v>
      </c>
      <c r="H214" s="1" t="s">
        <v>1528</v>
      </c>
    </row>
    <row r="215" spans="1:8" x14ac:dyDescent="0.2">
      <c r="A215" s="1" t="s">
        <v>41</v>
      </c>
      <c r="B215" s="1" t="s">
        <v>1017</v>
      </c>
      <c r="D215" s="1" t="s">
        <v>364</v>
      </c>
      <c r="F215" s="1" t="s">
        <v>492</v>
      </c>
      <c r="G215" s="1" t="s">
        <v>1491</v>
      </c>
      <c r="H215" s="1" t="s">
        <v>1529</v>
      </c>
    </row>
    <row r="216" spans="1:8" x14ac:dyDescent="0.2">
      <c r="A216" s="1" t="s">
        <v>41</v>
      </c>
      <c r="B216" s="1" t="s">
        <v>1018</v>
      </c>
      <c r="D216" s="1" t="s">
        <v>487</v>
      </c>
      <c r="F216" s="1" t="s">
        <v>494</v>
      </c>
      <c r="G216" s="1" t="s">
        <v>1492</v>
      </c>
      <c r="H216" s="1" t="s">
        <v>1530</v>
      </c>
    </row>
    <row r="217" spans="1:8" x14ac:dyDescent="0.2">
      <c r="A217" s="1" t="s">
        <v>41</v>
      </c>
      <c r="B217" s="1" t="s">
        <v>1019</v>
      </c>
      <c r="D217" s="1" t="s">
        <v>377</v>
      </c>
      <c r="F217" s="1" t="s">
        <v>496</v>
      </c>
      <c r="G217" s="1" t="s">
        <v>1493</v>
      </c>
      <c r="H217" s="1" t="s">
        <v>1531</v>
      </c>
    </row>
    <row r="218" spans="1:8" x14ac:dyDescent="0.2">
      <c r="A218" s="1" t="s">
        <v>41</v>
      </c>
      <c r="B218" s="1" t="s">
        <v>1020</v>
      </c>
      <c r="D218" s="1" t="s">
        <v>365</v>
      </c>
      <c r="F218" s="1" t="s">
        <v>498</v>
      </c>
      <c r="G218" s="1" t="s">
        <v>1494</v>
      </c>
      <c r="H218" s="1" t="s">
        <v>1532</v>
      </c>
    </row>
    <row r="219" spans="1:8" x14ac:dyDescent="0.2">
      <c r="A219" s="1" t="s">
        <v>41</v>
      </c>
      <c r="B219" s="1" t="s">
        <v>1021</v>
      </c>
      <c r="D219" s="1" t="s">
        <v>491</v>
      </c>
      <c r="F219" s="1" t="s">
        <v>500</v>
      </c>
      <c r="G219" s="1" t="s">
        <v>1495</v>
      </c>
      <c r="H219" s="1" t="s">
        <v>1533</v>
      </c>
    </row>
    <row r="220" spans="1:8" x14ac:dyDescent="0.2">
      <c r="A220" s="1" t="s">
        <v>41</v>
      </c>
      <c r="B220" s="1" t="s">
        <v>1022</v>
      </c>
      <c r="D220" s="1" t="s">
        <v>493</v>
      </c>
      <c r="F220" s="1" t="s">
        <v>502</v>
      </c>
      <c r="G220" s="1" t="s">
        <v>1496</v>
      </c>
      <c r="H220" s="1" t="s">
        <v>1534</v>
      </c>
    </row>
    <row r="221" spans="1:8" x14ac:dyDescent="0.2">
      <c r="A221" s="1" t="s">
        <v>41</v>
      </c>
      <c r="B221" s="1" t="s">
        <v>1023</v>
      </c>
      <c r="D221" s="1" t="s">
        <v>495</v>
      </c>
      <c r="F221" s="1" t="s">
        <v>503</v>
      </c>
      <c r="G221" s="1" t="s">
        <v>1497</v>
      </c>
      <c r="H221" s="1" t="s">
        <v>1535</v>
      </c>
    </row>
    <row r="222" spans="1:8" x14ac:dyDescent="0.2">
      <c r="A222" s="1" t="s">
        <v>41</v>
      </c>
      <c r="B222" s="1" t="s">
        <v>1024</v>
      </c>
      <c r="D222" s="1" t="s">
        <v>497</v>
      </c>
      <c r="F222" s="1" t="s">
        <v>504</v>
      </c>
      <c r="G222" s="1" t="s">
        <v>1498</v>
      </c>
      <c r="H222" s="1" t="s">
        <v>1536</v>
      </c>
    </row>
    <row r="223" spans="1:8" x14ac:dyDescent="0.2">
      <c r="A223" s="1" t="s">
        <v>41</v>
      </c>
      <c r="B223" s="1" t="s">
        <v>1025</v>
      </c>
      <c r="D223" s="1" t="s">
        <v>499</v>
      </c>
      <c r="F223" s="1" t="s">
        <v>506</v>
      </c>
      <c r="G223" s="1" t="s">
        <v>1499</v>
      </c>
      <c r="H223" s="1" t="s">
        <v>1537</v>
      </c>
    </row>
    <row r="224" spans="1:8" x14ac:dyDescent="0.2">
      <c r="A224" s="1" t="s">
        <v>41</v>
      </c>
      <c r="B224" s="1" t="s">
        <v>1026</v>
      </c>
      <c r="D224" s="1" t="s">
        <v>501</v>
      </c>
      <c r="F224" s="1" t="s">
        <v>508</v>
      </c>
      <c r="G224" s="1" t="s">
        <v>1500</v>
      </c>
      <c r="H224" s="1" t="s">
        <v>1538</v>
      </c>
    </row>
    <row r="225" spans="1:8" x14ac:dyDescent="0.2">
      <c r="B225" s="1" t="s">
        <v>714</v>
      </c>
    </row>
    <row r="226" spans="1:8" x14ac:dyDescent="0.2">
      <c r="B226" s="1" t="s">
        <v>1027</v>
      </c>
      <c r="D226" s="1" t="s">
        <v>193</v>
      </c>
      <c r="F226" s="1" t="s">
        <v>715</v>
      </c>
      <c r="H226" s="1" t="s">
        <v>716</v>
      </c>
    </row>
    <row r="227" spans="1:8" x14ac:dyDescent="0.2">
      <c r="B227" s="1" t="s">
        <v>1028</v>
      </c>
      <c r="D227" s="1" t="s">
        <v>505</v>
      </c>
      <c r="F227" s="1" t="s">
        <v>717</v>
      </c>
      <c r="G227" s="1" t="s">
        <v>1539</v>
      </c>
      <c r="H227" s="1" t="s">
        <v>1557</v>
      </c>
    </row>
    <row r="228" spans="1:8" x14ac:dyDescent="0.2">
      <c r="A228" s="1" t="s">
        <v>41</v>
      </c>
      <c r="B228" s="1" t="s">
        <v>1029</v>
      </c>
      <c r="D228" s="1" t="s">
        <v>507</v>
      </c>
      <c r="F228" s="1" t="s">
        <v>511</v>
      </c>
      <c r="G228" s="1" t="s">
        <v>1540</v>
      </c>
      <c r="H228" s="1" t="s">
        <v>1558</v>
      </c>
    </row>
    <row r="229" spans="1:8" x14ac:dyDescent="0.2">
      <c r="A229" s="1" t="s">
        <v>41</v>
      </c>
      <c r="B229" s="1" t="s">
        <v>1030</v>
      </c>
      <c r="D229" s="1" t="s">
        <v>718</v>
      </c>
      <c r="F229" s="1" t="s">
        <v>513</v>
      </c>
      <c r="G229" s="1" t="s">
        <v>1541</v>
      </c>
      <c r="H229" s="1" t="s">
        <v>1559</v>
      </c>
    </row>
    <row r="230" spans="1:8" x14ac:dyDescent="0.2">
      <c r="A230" s="1" t="s">
        <v>41</v>
      </c>
      <c r="B230" s="1" t="s">
        <v>1031</v>
      </c>
      <c r="D230" s="1" t="s">
        <v>719</v>
      </c>
      <c r="F230" s="1" t="s">
        <v>515</v>
      </c>
      <c r="G230" s="1" t="s">
        <v>1542</v>
      </c>
      <c r="H230" s="1" t="s">
        <v>1560</v>
      </c>
    </row>
    <row r="231" spans="1:8" x14ac:dyDescent="0.2">
      <c r="A231" s="1" t="s">
        <v>41</v>
      </c>
      <c r="B231" s="1" t="s">
        <v>1032</v>
      </c>
      <c r="D231" s="1" t="s">
        <v>509</v>
      </c>
      <c r="F231" s="1" t="s">
        <v>517</v>
      </c>
      <c r="G231" s="1" t="s">
        <v>1543</v>
      </c>
      <c r="H231" s="1" t="s">
        <v>1561</v>
      </c>
    </row>
    <row r="232" spans="1:8" x14ac:dyDescent="0.2">
      <c r="A232" s="1" t="s">
        <v>41</v>
      </c>
      <c r="B232" s="1" t="s">
        <v>1033</v>
      </c>
      <c r="D232" s="1" t="s">
        <v>510</v>
      </c>
      <c r="F232" s="1" t="s">
        <v>519</v>
      </c>
      <c r="G232" s="1" t="s">
        <v>1544</v>
      </c>
      <c r="H232" s="1" t="s">
        <v>1562</v>
      </c>
    </row>
    <row r="233" spans="1:8" x14ac:dyDescent="0.2">
      <c r="A233" s="1" t="s">
        <v>41</v>
      </c>
      <c r="B233" s="1" t="s">
        <v>1034</v>
      </c>
      <c r="D233" s="1" t="s">
        <v>512</v>
      </c>
      <c r="F233" s="1" t="s">
        <v>521</v>
      </c>
      <c r="G233" s="1" t="s">
        <v>1545</v>
      </c>
      <c r="H233" s="1" t="s">
        <v>1563</v>
      </c>
    </row>
    <row r="234" spans="1:8" x14ac:dyDescent="0.2">
      <c r="A234" s="1" t="s">
        <v>41</v>
      </c>
      <c r="B234" s="1" t="s">
        <v>1035</v>
      </c>
      <c r="D234" s="1" t="s">
        <v>514</v>
      </c>
      <c r="F234" s="1" t="s">
        <v>523</v>
      </c>
      <c r="G234" s="1" t="s">
        <v>1546</v>
      </c>
      <c r="H234" s="1" t="s">
        <v>1564</v>
      </c>
    </row>
    <row r="235" spans="1:8" x14ac:dyDescent="0.2">
      <c r="A235" s="1" t="s">
        <v>41</v>
      </c>
      <c r="B235" s="1" t="s">
        <v>1036</v>
      </c>
      <c r="D235" s="1" t="s">
        <v>516</v>
      </c>
      <c r="F235" s="1" t="s">
        <v>525</v>
      </c>
      <c r="G235" s="1" t="s">
        <v>1547</v>
      </c>
      <c r="H235" s="1" t="s">
        <v>1565</v>
      </c>
    </row>
    <row r="236" spans="1:8" x14ac:dyDescent="0.2">
      <c r="A236" s="1" t="s">
        <v>41</v>
      </c>
      <c r="B236" s="1" t="s">
        <v>1037</v>
      </c>
      <c r="D236" s="1" t="s">
        <v>518</v>
      </c>
      <c r="F236" s="1" t="s">
        <v>527</v>
      </c>
      <c r="G236" s="1" t="s">
        <v>1548</v>
      </c>
      <c r="H236" s="1" t="s">
        <v>1566</v>
      </c>
    </row>
    <row r="237" spans="1:8" x14ac:dyDescent="0.2">
      <c r="A237" s="1" t="s">
        <v>41</v>
      </c>
      <c r="B237" s="1" t="s">
        <v>1038</v>
      </c>
      <c r="D237" s="1" t="s">
        <v>520</v>
      </c>
      <c r="F237" s="1" t="s">
        <v>529</v>
      </c>
      <c r="G237" s="1" t="s">
        <v>1549</v>
      </c>
      <c r="H237" s="1" t="s">
        <v>1567</v>
      </c>
    </row>
    <row r="238" spans="1:8" x14ac:dyDescent="0.2">
      <c r="A238" s="1" t="s">
        <v>41</v>
      </c>
      <c r="B238" s="1" t="s">
        <v>1039</v>
      </c>
      <c r="D238" s="1" t="s">
        <v>522</v>
      </c>
      <c r="F238" s="1" t="s">
        <v>531</v>
      </c>
      <c r="G238" s="1" t="s">
        <v>1550</v>
      </c>
      <c r="H238" s="1" t="s">
        <v>1568</v>
      </c>
    </row>
    <row r="239" spans="1:8" x14ac:dyDescent="0.2">
      <c r="A239" s="1" t="s">
        <v>41</v>
      </c>
      <c r="B239" s="1" t="s">
        <v>1040</v>
      </c>
      <c r="D239" s="1" t="s">
        <v>524</v>
      </c>
      <c r="F239" s="1" t="s">
        <v>533</v>
      </c>
      <c r="G239" s="1" t="s">
        <v>1551</v>
      </c>
      <c r="H239" s="1" t="s">
        <v>1569</v>
      </c>
    </row>
    <row r="240" spans="1:8" x14ac:dyDescent="0.2">
      <c r="A240" s="1" t="s">
        <v>41</v>
      </c>
      <c r="B240" s="1" t="s">
        <v>1041</v>
      </c>
      <c r="D240" s="1" t="s">
        <v>526</v>
      </c>
      <c r="F240" s="1" t="s">
        <v>535</v>
      </c>
      <c r="G240" s="1" t="s">
        <v>1552</v>
      </c>
      <c r="H240" s="1" t="s">
        <v>1570</v>
      </c>
    </row>
    <row r="241" spans="1:8" x14ac:dyDescent="0.2">
      <c r="A241" s="1" t="s">
        <v>41</v>
      </c>
      <c r="B241" s="1" t="s">
        <v>1042</v>
      </c>
      <c r="D241" s="1" t="s">
        <v>528</v>
      </c>
      <c r="F241" s="1" t="s">
        <v>536</v>
      </c>
      <c r="G241" s="1" t="s">
        <v>1553</v>
      </c>
      <c r="H241" s="1" t="s">
        <v>1571</v>
      </c>
    </row>
    <row r="242" spans="1:8" x14ac:dyDescent="0.2">
      <c r="A242" s="1" t="s">
        <v>41</v>
      </c>
      <c r="B242" s="1" t="s">
        <v>1043</v>
      </c>
      <c r="D242" s="1" t="s">
        <v>530</v>
      </c>
      <c r="F242" s="1" t="s">
        <v>537</v>
      </c>
      <c r="G242" s="1" t="s">
        <v>1554</v>
      </c>
      <c r="H242" s="1" t="s">
        <v>1572</v>
      </c>
    </row>
    <row r="243" spans="1:8" x14ac:dyDescent="0.2">
      <c r="A243" s="1" t="s">
        <v>41</v>
      </c>
      <c r="B243" s="1" t="s">
        <v>1044</v>
      </c>
      <c r="D243" s="1" t="s">
        <v>532</v>
      </c>
      <c r="F243" s="1" t="s">
        <v>539</v>
      </c>
      <c r="G243" s="1" t="s">
        <v>1555</v>
      </c>
      <c r="H243" s="1" t="s">
        <v>1573</v>
      </c>
    </row>
    <row r="244" spans="1:8" x14ac:dyDescent="0.2">
      <c r="A244" s="1" t="s">
        <v>41</v>
      </c>
      <c r="B244" s="1" t="s">
        <v>1045</v>
      </c>
      <c r="D244" s="1" t="s">
        <v>534</v>
      </c>
      <c r="F244" s="1" t="s">
        <v>540</v>
      </c>
      <c r="G244" s="1" t="s">
        <v>1556</v>
      </c>
      <c r="H244" s="1" t="s">
        <v>1574</v>
      </c>
    </row>
    <row r="245" spans="1:8" x14ac:dyDescent="0.2">
      <c r="B245" s="1" t="s">
        <v>720</v>
      </c>
    </row>
    <row r="246" spans="1:8" x14ac:dyDescent="0.2">
      <c r="B246" s="1" t="s">
        <v>1046</v>
      </c>
      <c r="D246" s="1" t="s">
        <v>194</v>
      </c>
      <c r="F246" s="1" t="s">
        <v>721</v>
      </c>
      <c r="H246" s="1" t="s">
        <v>722</v>
      </c>
    </row>
    <row r="247" spans="1:8" x14ac:dyDescent="0.2">
      <c r="B247" s="1" t="s">
        <v>1047</v>
      </c>
      <c r="D247" s="1" t="s">
        <v>538</v>
      </c>
      <c r="F247" s="1" t="s">
        <v>723</v>
      </c>
      <c r="G247" s="1" t="s">
        <v>1048</v>
      </c>
      <c r="H247" s="1" t="s">
        <v>1049</v>
      </c>
    </row>
    <row r="248" spans="1:8" x14ac:dyDescent="0.2">
      <c r="B248" s="1" t="s">
        <v>724</v>
      </c>
    </row>
    <row r="249" spans="1:8" x14ac:dyDescent="0.2">
      <c r="B249" s="1" t="s">
        <v>1050</v>
      </c>
      <c r="D249" s="1" t="s">
        <v>120</v>
      </c>
      <c r="F249" s="1" t="s">
        <v>725</v>
      </c>
      <c r="H249" s="1" t="s">
        <v>726</v>
      </c>
    </row>
    <row r="250" spans="1:8" x14ac:dyDescent="0.2">
      <c r="B250" s="1" t="s">
        <v>1051</v>
      </c>
      <c r="D250" s="1" t="s">
        <v>727</v>
      </c>
      <c r="F250" s="1" t="s">
        <v>728</v>
      </c>
      <c r="G250" s="1" t="s">
        <v>1575</v>
      </c>
      <c r="H250" s="1" t="s">
        <v>1597</v>
      </c>
    </row>
    <row r="251" spans="1:8" x14ac:dyDescent="0.2">
      <c r="A251" s="1" t="s">
        <v>41</v>
      </c>
      <c r="B251" s="1" t="s">
        <v>1052</v>
      </c>
      <c r="D251" s="1" t="s">
        <v>541</v>
      </c>
      <c r="F251" s="1" t="s">
        <v>246</v>
      </c>
      <c r="G251" s="1" t="s">
        <v>1576</v>
      </c>
      <c r="H251" s="1" t="s">
        <v>1598</v>
      </c>
    </row>
    <row r="252" spans="1:8" x14ac:dyDescent="0.2">
      <c r="A252" s="1" t="s">
        <v>41</v>
      </c>
      <c r="B252" s="1" t="s">
        <v>1053</v>
      </c>
      <c r="D252" s="1" t="s">
        <v>729</v>
      </c>
      <c r="F252" s="1" t="s">
        <v>247</v>
      </c>
      <c r="G252" s="1" t="s">
        <v>1577</v>
      </c>
      <c r="H252" s="1" t="s">
        <v>1599</v>
      </c>
    </row>
    <row r="253" spans="1:8" x14ac:dyDescent="0.2">
      <c r="A253" s="1" t="s">
        <v>41</v>
      </c>
      <c r="B253" s="1" t="s">
        <v>1054</v>
      </c>
      <c r="D253" s="1" t="s">
        <v>730</v>
      </c>
      <c r="F253" s="1" t="s">
        <v>248</v>
      </c>
      <c r="G253" s="1" t="s">
        <v>1578</v>
      </c>
      <c r="H253" s="1" t="s">
        <v>1600</v>
      </c>
    </row>
    <row r="254" spans="1:8" x14ac:dyDescent="0.2">
      <c r="A254" s="1" t="s">
        <v>41</v>
      </c>
      <c r="B254" s="1" t="s">
        <v>1055</v>
      </c>
      <c r="D254" s="1" t="s">
        <v>542</v>
      </c>
      <c r="F254" s="1" t="s">
        <v>249</v>
      </c>
      <c r="G254" s="1" t="s">
        <v>1579</v>
      </c>
      <c r="H254" s="1" t="s">
        <v>1601</v>
      </c>
    </row>
    <row r="255" spans="1:8" x14ac:dyDescent="0.2">
      <c r="A255" s="1" t="s">
        <v>41</v>
      </c>
      <c r="B255" s="1" t="s">
        <v>1056</v>
      </c>
      <c r="D255" s="1" t="s">
        <v>543</v>
      </c>
      <c r="F255" s="1" t="s">
        <v>251</v>
      </c>
      <c r="G255" s="1" t="s">
        <v>1580</v>
      </c>
      <c r="H255" s="1" t="s">
        <v>1602</v>
      </c>
    </row>
    <row r="256" spans="1:8" x14ac:dyDescent="0.2">
      <c r="A256" s="1" t="s">
        <v>41</v>
      </c>
      <c r="B256" s="1" t="s">
        <v>1057</v>
      </c>
      <c r="D256" s="1" t="s">
        <v>544</v>
      </c>
      <c r="F256" s="1" t="s">
        <v>253</v>
      </c>
      <c r="G256" s="1" t="s">
        <v>1581</v>
      </c>
      <c r="H256" s="1" t="s">
        <v>1603</v>
      </c>
    </row>
    <row r="257" spans="1:8" x14ac:dyDescent="0.2">
      <c r="A257" s="1" t="s">
        <v>41</v>
      </c>
      <c r="B257" s="1" t="s">
        <v>1058</v>
      </c>
      <c r="D257" s="1" t="s">
        <v>545</v>
      </c>
      <c r="F257" s="1" t="s">
        <v>255</v>
      </c>
      <c r="G257" s="1" t="s">
        <v>1582</v>
      </c>
      <c r="H257" s="1" t="s">
        <v>1604</v>
      </c>
    </row>
    <row r="258" spans="1:8" x14ac:dyDescent="0.2">
      <c r="A258" s="1" t="s">
        <v>41</v>
      </c>
      <c r="B258" s="1" t="s">
        <v>1059</v>
      </c>
      <c r="D258" s="1" t="s">
        <v>546</v>
      </c>
      <c r="F258" s="1" t="s">
        <v>121</v>
      </c>
      <c r="G258" s="1" t="s">
        <v>1583</v>
      </c>
      <c r="H258" s="1" t="s">
        <v>1605</v>
      </c>
    </row>
    <row r="259" spans="1:8" x14ac:dyDescent="0.2">
      <c r="A259" s="1" t="s">
        <v>41</v>
      </c>
      <c r="B259" s="1" t="s">
        <v>1060</v>
      </c>
      <c r="D259" s="1" t="s">
        <v>547</v>
      </c>
      <c r="F259" s="1" t="s">
        <v>122</v>
      </c>
      <c r="G259" s="1" t="s">
        <v>1584</v>
      </c>
      <c r="H259" s="1" t="s">
        <v>1606</v>
      </c>
    </row>
    <row r="260" spans="1:8" x14ac:dyDescent="0.2">
      <c r="A260" s="1" t="s">
        <v>41</v>
      </c>
      <c r="B260" s="1" t="s">
        <v>1061</v>
      </c>
      <c r="D260" s="1" t="s">
        <v>548</v>
      </c>
      <c r="F260" s="1" t="s">
        <v>256</v>
      </c>
      <c r="G260" s="1" t="s">
        <v>1585</v>
      </c>
      <c r="H260" s="1" t="s">
        <v>1607</v>
      </c>
    </row>
    <row r="261" spans="1:8" x14ac:dyDescent="0.2">
      <c r="A261" s="1" t="s">
        <v>41</v>
      </c>
      <c r="B261" s="1" t="s">
        <v>1062</v>
      </c>
      <c r="D261" s="1" t="s">
        <v>549</v>
      </c>
      <c r="F261" s="1" t="s">
        <v>257</v>
      </c>
      <c r="G261" s="1" t="s">
        <v>1586</v>
      </c>
      <c r="H261" s="1" t="s">
        <v>1608</v>
      </c>
    </row>
    <row r="262" spans="1:8" x14ac:dyDescent="0.2">
      <c r="A262" s="1" t="s">
        <v>41</v>
      </c>
      <c r="B262" s="1" t="s">
        <v>1063</v>
      </c>
      <c r="D262" s="1" t="s">
        <v>550</v>
      </c>
      <c r="F262" s="1" t="s">
        <v>258</v>
      </c>
      <c r="G262" s="1" t="s">
        <v>1587</v>
      </c>
      <c r="H262" s="1" t="s">
        <v>1609</v>
      </c>
    </row>
    <row r="263" spans="1:8" x14ac:dyDescent="0.2">
      <c r="A263" s="1" t="s">
        <v>41</v>
      </c>
      <c r="B263" s="1" t="s">
        <v>1064</v>
      </c>
      <c r="D263" s="1" t="s">
        <v>551</v>
      </c>
      <c r="F263" s="1" t="s">
        <v>260</v>
      </c>
      <c r="G263" s="1" t="s">
        <v>1588</v>
      </c>
      <c r="H263" s="1" t="s">
        <v>1610</v>
      </c>
    </row>
    <row r="264" spans="1:8" x14ac:dyDescent="0.2">
      <c r="A264" s="1" t="s">
        <v>41</v>
      </c>
      <c r="B264" s="1" t="s">
        <v>1065</v>
      </c>
      <c r="D264" s="1" t="s">
        <v>552</v>
      </c>
      <c r="F264" s="1" t="s">
        <v>262</v>
      </c>
      <c r="G264" s="1" t="s">
        <v>1589</v>
      </c>
      <c r="H264" s="1" t="s">
        <v>1611</v>
      </c>
    </row>
    <row r="265" spans="1:8" x14ac:dyDescent="0.2">
      <c r="A265" s="1" t="s">
        <v>41</v>
      </c>
      <c r="B265" s="1" t="s">
        <v>1066</v>
      </c>
      <c r="D265" s="1" t="s">
        <v>553</v>
      </c>
      <c r="F265" s="1" t="s">
        <v>264</v>
      </c>
      <c r="G265" s="1" t="s">
        <v>1590</v>
      </c>
      <c r="H265" s="1" t="s">
        <v>1612</v>
      </c>
    </row>
    <row r="266" spans="1:8" x14ac:dyDescent="0.2">
      <c r="A266" s="1" t="s">
        <v>41</v>
      </c>
      <c r="B266" s="1" t="s">
        <v>1067</v>
      </c>
      <c r="D266" s="1" t="s">
        <v>554</v>
      </c>
      <c r="F266" s="1" t="s">
        <v>559</v>
      </c>
      <c r="G266" s="1" t="s">
        <v>1591</v>
      </c>
      <c r="H266" s="1" t="s">
        <v>1613</v>
      </c>
    </row>
    <row r="267" spans="1:8" x14ac:dyDescent="0.2">
      <c r="A267" s="1" t="s">
        <v>41</v>
      </c>
      <c r="B267" s="1" t="s">
        <v>1068</v>
      </c>
      <c r="D267" s="1" t="s">
        <v>555</v>
      </c>
      <c r="F267" s="1" t="s">
        <v>561</v>
      </c>
      <c r="G267" s="1" t="s">
        <v>1592</v>
      </c>
      <c r="H267" s="1" t="s">
        <v>1614</v>
      </c>
    </row>
    <row r="268" spans="1:8" x14ac:dyDescent="0.2">
      <c r="A268" s="1" t="s">
        <v>41</v>
      </c>
      <c r="B268" s="1" t="s">
        <v>1069</v>
      </c>
      <c r="D268" s="1" t="s">
        <v>556</v>
      </c>
      <c r="F268" s="1" t="s">
        <v>562</v>
      </c>
      <c r="G268" s="1" t="s">
        <v>1593</v>
      </c>
      <c r="H268" s="1" t="s">
        <v>1615</v>
      </c>
    </row>
    <row r="269" spans="1:8" x14ac:dyDescent="0.2">
      <c r="A269" s="1" t="s">
        <v>41</v>
      </c>
      <c r="B269" s="1" t="s">
        <v>1070</v>
      </c>
      <c r="D269" s="1" t="s">
        <v>557</v>
      </c>
      <c r="F269" s="1" t="s">
        <v>563</v>
      </c>
      <c r="G269" s="1" t="s">
        <v>1594</v>
      </c>
      <c r="H269" s="1" t="s">
        <v>1616</v>
      </c>
    </row>
    <row r="270" spans="1:8" x14ac:dyDescent="0.2">
      <c r="A270" s="1" t="s">
        <v>41</v>
      </c>
      <c r="B270" s="1" t="s">
        <v>1071</v>
      </c>
      <c r="D270" s="1" t="s">
        <v>558</v>
      </c>
      <c r="F270" s="1" t="s">
        <v>565</v>
      </c>
      <c r="G270" s="1" t="s">
        <v>1595</v>
      </c>
      <c r="H270" s="1" t="s">
        <v>1617</v>
      </c>
    </row>
    <row r="271" spans="1:8" x14ac:dyDescent="0.2">
      <c r="A271" s="1" t="s">
        <v>41</v>
      </c>
      <c r="B271" s="1" t="s">
        <v>1072</v>
      </c>
      <c r="D271" s="1" t="s">
        <v>560</v>
      </c>
      <c r="F271" s="1" t="s">
        <v>567</v>
      </c>
      <c r="G271" s="1" t="s">
        <v>1596</v>
      </c>
      <c r="H271" s="1" t="s">
        <v>1618</v>
      </c>
    </row>
    <row r="272" spans="1:8" x14ac:dyDescent="0.2">
      <c r="B272" s="1" t="s">
        <v>731</v>
      </c>
    </row>
    <row r="273" spans="1:8" x14ac:dyDescent="0.2">
      <c r="B273" s="1" t="s">
        <v>1073</v>
      </c>
      <c r="D273" s="1" t="s">
        <v>123</v>
      </c>
      <c r="F273" s="1" t="s">
        <v>732</v>
      </c>
      <c r="H273" s="1" t="s">
        <v>733</v>
      </c>
    </row>
    <row r="274" spans="1:8" x14ac:dyDescent="0.2">
      <c r="B274" s="1" t="s">
        <v>1074</v>
      </c>
      <c r="D274" s="1" t="s">
        <v>564</v>
      </c>
      <c r="F274" s="1" t="s">
        <v>734</v>
      </c>
      <c r="G274" s="1" t="s">
        <v>1075</v>
      </c>
      <c r="H274" s="1" t="s">
        <v>1076</v>
      </c>
    </row>
    <row r="275" spans="1:8" x14ac:dyDescent="0.2">
      <c r="A275" s="1" t="s">
        <v>41</v>
      </c>
      <c r="B275" s="1" t="s">
        <v>1077</v>
      </c>
      <c r="D275" s="1" t="s">
        <v>566</v>
      </c>
      <c r="F275" s="1" t="s">
        <v>124</v>
      </c>
      <c r="G275" s="1" t="s">
        <v>1078</v>
      </c>
      <c r="H275" s="1" t="s">
        <v>1079</v>
      </c>
    </row>
    <row r="276" spans="1:8" x14ac:dyDescent="0.2">
      <c r="A276" s="1" t="s">
        <v>41</v>
      </c>
      <c r="B276" s="1" t="s">
        <v>1080</v>
      </c>
      <c r="D276" s="1" t="s">
        <v>735</v>
      </c>
      <c r="F276" s="1" t="s">
        <v>125</v>
      </c>
      <c r="G276" s="1" t="s">
        <v>1081</v>
      </c>
      <c r="H276" s="1" t="s">
        <v>1082</v>
      </c>
    </row>
    <row r="277" spans="1:8" x14ac:dyDescent="0.2">
      <c r="A277" s="1" t="s">
        <v>41</v>
      </c>
      <c r="B277" s="1" t="s">
        <v>1083</v>
      </c>
      <c r="D277" s="1" t="s">
        <v>736</v>
      </c>
      <c r="F277" s="1" t="s">
        <v>126</v>
      </c>
      <c r="G277" s="1" t="s">
        <v>1084</v>
      </c>
      <c r="H277" s="1" t="s">
        <v>1085</v>
      </c>
    </row>
    <row r="278" spans="1:8" x14ac:dyDescent="0.2">
      <c r="B278" s="1" t="s">
        <v>737</v>
      </c>
    </row>
    <row r="279" spans="1:8" x14ac:dyDescent="0.2">
      <c r="B279" s="1" t="s">
        <v>1086</v>
      </c>
      <c r="D279" s="1" t="s">
        <v>58</v>
      </c>
      <c r="F279" s="1" t="s">
        <v>738</v>
      </c>
      <c r="H279" s="1" t="s">
        <v>739</v>
      </c>
    </row>
    <row r="280" spans="1:8" x14ac:dyDescent="0.2">
      <c r="B280" s="1" t="s">
        <v>1087</v>
      </c>
      <c r="D280" s="1" t="s">
        <v>568</v>
      </c>
      <c r="F280" s="1" t="s">
        <v>740</v>
      </c>
      <c r="G280" s="1" t="s">
        <v>1088</v>
      </c>
      <c r="H280" s="1" t="s">
        <v>1089</v>
      </c>
    </row>
    <row r="281" spans="1:8" x14ac:dyDescent="0.2">
      <c r="B281" s="1" t="s">
        <v>741</v>
      </c>
    </row>
    <row r="282" spans="1:8" x14ac:dyDescent="0.2">
      <c r="B282" s="1" t="s">
        <v>1090</v>
      </c>
      <c r="D282" s="1" t="s">
        <v>57</v>
      </c>
      <c r="F282" s="1" t="s">
        <v>742</v>
      </c>
      <c r="H282" s="1" t="s">
        <v>743</v>
      </c>
    </row>
    <row r="283" spans="1:8" x14ac:dyDescent="0.2">
      <c r="B283" s="1" t="s">
        <v>1091</v>
      </c>
      <c r="D283" s="1" t="s">
        <v>744</v>
      </c>
      <c r="F283" s="1" t="s">
        <v>745</v>
      </c>
      <c r="G283" s="1" t="s">
        <v>1619</v>
      </c>
      <c r="H283" s="1" t="s">
        <v>1638</v>
      </c>
    </row>
    <row r="284" spans="1:8" x14ac:dyDescent="0.2">
      <c r="A284" s="1" t="s">
        <v>41</v>
      </c>
      <c r="B284" s="1" t="s">
        <v>1092</v>
      </c>
      <c r="D284" s="1" t="s">
        <v>569</v>
      </c>
      <c r="F284" s="1" t="s">
        <v>270</v>
      </c>
      <c r="G284" s="1" t="s">
        <v>1620</v>
      </c>
      <c r="H284" s="1" t="s">
        <v>1639</v>
      </c>
    </row>
    <row r="285" spans="1:8" x14ac:dyDescent="0.2">
      <c r="A285" s="1" t="s">
        <v>41</v>
      </c>
      <c r="B285" s="1" t="s">
        <v>1093</v>
      </c>
      <c r="D285" s="1" t="s">
        <v>746</v>
      </c>
      <c r="F285" s="1" t="s">
        <v>272</v>
      </c>
      <c r="G285" s="1" t="s">
        <v>1621</v>
      </c>
      <c r="H285" s="1" t="s">
        <v>1640</v>
      </c>
    </row>
    <row r="286" spans="1:8" x14ac:dyDescent="0.2">
      <c r="A286" s="1" t="s">
        <v>41</v>
      </c>
      <c r="B286" s="1" t="s">
        <v>1094</v>
      </c>
      <c r="D286" s="1" t="s">
        <v>747</v>
      </c>
      <c r="F286" s="1" t="s">
        <v>274</v>
      </c>
      <c r="G286" s="1" t="s">
        <v>1622</v>
      </c>
      <c r="H286" s="1" t="s">
        <v>1641</v>
      </c>
    </row>
    <row r="287" spans="1:8" x14ac:dyDescent="0.2">
      <c r="A287" s="1" t="s">
        <v>41</v>
      </c>
      <c r="B287" s="1" t="s">
        <v>1095</v>
      </c>
      <c r="D287" s="1" t="s">
        <v>570</v>
      </c>
      <c r="F287" s="1" t="s">
        <v>136</v>
      </c>
      <c r="G287" s="1" t="s">
        <v>1623</v>
      </c>
      <c r="H287" s="1" t="s">
        <v>1642</v>
      </c>
    </row>
    <row r="288" spans="1:8" x14ac:dyDescent="0.2">
      <c r="A288" s="1" t="s">
        <v>41</v>
      </c>
      <c r="B288" s="1" t="s">
        <v>1096</v>
      </c>
      <c r="D288" s="1" t="s">
        <v>571</v>
      </c>
      <c r="F288" s="1" t="s">
        <v>277</v>
      </c>
      <c r="G288" s="1" t="s">
        <v>1624</v>
      </c>
      <c r="H288" s="1" t="s">
        <v>1643</v>
      </c>
    </row>
    <row r="289" spans="1:8" x14ac:dyDescent="0.2">
      <c r="A289" s="1" t="s">
        <v>41</v>
      </c>
      <c r="B289" s="1" t="s">
        <v>1097</v>
      </c>
      <c r="D289" s="1" t="s">
        <v>572</v>
      </c>
      <c r="F289" s="1" t="s">
        <v>131</v>
      </c>
      <c r="G289" s="1" t="s">
        <v>1625</v>
      </c>
      <c r="H289" s="1" t="s">
        <v>1644</v>
      </c>
    </row>
    <row r="290" spans="1:8" x14ac:dyDescent="0.2">
      <c r="A290" s="1" t="s">
        <v>41</v>
      </c>
      <c r="B290" s="1" t="s">
        <v>1098</v>
      </c>
      <c r="D290" s="1" t="s">
        <v>573</v>
      </c>
      <c r="F290" s="1" t="s">
        <v>280</v>
      </c>
      <c r="G290" s="1" t="s">
        <v>1626</v>
      </c>
      <c r="H290" s="1" t="s">
        <v>1645</v>
      </c>
    </row>
    <row r="291" spans="1:8" x14ac:dyDescent="0.2">
      <c r="A291" s="1" t="s">
        <v>41</v>
      </c>
      <c r="B291" s="1" t="s">
        <v>1099</v>
      </c>
      <c r="D291" s="1" t="s">
        <v>574</v>
      </c>
      <c r="F291" s="1" t="s">
        <v>282</v>
      </c>
      <c r="G291" s="1" t="s">
        <v>1627</v>
      </c>
      <c r="H291" s="1" t="s">
        <v>1646</v>
      </c>
    </row>
    <row r="292" spans="1:8" x14ac:dyDescent="0.2">
      <c r="A292" s="1" t="s">
        <v>41</v>
      </c>
      <c r="B292" s="1" t="s">
        <v>1100</v>
      </c>
      <c r="D292" s="1" t="s">
        <v>575</v>
      </c>
      <c r="F292" s="1" t="s">
        <v>284</v>
      </c>
      <c r="G292" s="1" t="s">
        <v>1628</v>
      </c>
      <c r="H292" s="1" t="s">
        <v>1647</v>
      </c>
    </row>
    <row r="293" spans="1:8" x14ac:dyDescent="0.2">
      <c r="A293" s="1" t="s">
        <v>41</v>
      </c>
      <c r="B293" s="1" t="s">
        <v>1101</v>
      </c>
      <c r="D293" s="1" t="s">
        <v>576</v>
      </c>
      <c r="F293" s="1" t="s">
        <v>286</v>
      </c>
      <c r="G293" s="1" t="s">
        <v>1629</v>
      </c>
      <c r="H293" s="1" t="s">
        <v>1648</v>
      </c>
    </row>
    <row r="294" spans="1:8" x14ac:dyDescent="0.2">
      <c r="A294" s="1" t="s">
        <v>41</v>
      </c>
      <c r="B294" s="1" t="s">
        <v>1102</v>
      </c>
      <c r="D294" s="1" t="s">
        <v>577</v>
      </c>
      <c r="F294" s="1" t="s">
        <v>288</v>
      </c>
      <c r="G294" s="1" t="s">
        <v>1630</v>
      </c>
      <c r="H294" s="1" t="s">
        <v>1649</v>
      </c>
    </row>
    <row r="295" spans="1:8" x14ac:dyDescent="0.2">
      <c r="A295" s="1" t="s">
        <v>41</v>
      </c>
      <c r="B295" s="1" t="s">
        <v>1103</v>
      </c>
      <c r="D295" s="1" t="s">
        <v>578</v>
      </c>
      <c r="F295" s="1" t="s">
        <v>290</v>
      </c>
      <c r="G295" s="1" t="s">
        <v>1631</v>
      </c>
      <c r="H295" s="1" t="s">
        <v>1650</v>
      </c>
    </row>
    <row r="296" spans="1:8" x14ac:dyDescent="0.2">
      <c r="A296" s="1" t="s">
        <v>41</v>
      </c>
      <c r="B296" s="1" t="s">
        <v>1104</v>
      </c>
      <c r="D296" s="1" t="s">
        <v>579</v>
      </c>
      <c r="F296" s="1" t="s">
        <v>292</v>
      </c>
      <c r="G296" s="1" t="s">
        <v>1632</v>
      </c>
      <c r="H296" s="1" t="s">
        <v>1651</v>
      </c>
    </row>
    <row r="297" spans="1:8" x14ac:dyDescent="0.2">
      <c r="A297" s="1" t="s">
        <v>41</v>
      </c>
      <c r="B297" s="1" t="s">
        <v>1105</v>
      </c>
      <c r="D297" s="1" t="s">
        <v>580</v>
      </c>
      <c r="F297" s="1" t="s">
        <v>294</v>
      </c>
      <c r="G297" s="1" t="s">
        <v>1633</v>
      </c>
      <c r="H297" s="1" t="s">
        <v>1652</v>
      </c>
    </row>
    <row r="298" spans="1:8" x14ac:dyDescent="0.2">
      <c r="A298" s="1" t="s">
        <v>41</v>
      </c>
      <c r="B298" s="1" t="s">
        <v>1106</v>
      </c>
      <c r="D298" s="1" t="s">
        <v>581</v>
      </c>
      <c r="F298" s="1" t="s">
        <v>296</v>
      </c>
      <c r="G298" s="1" t="s">
        <v>1634</v>
      </c>
      <c r="H298" s="1" t="s">
        <v>1653</v>
      </c>
    </row>
    <row r="299" spans="1:8" x14ac:dyDescent="0.2">
      <c r="A299" s="1" t="s">
        <v>41</v>
      </c>
      <c r="B299" s="1" t="s">
        <v>1107</v>
      </c>
      <c r="D299" s="1" t="s">
        <v>582</v>
      </c>
      <c r="F299" s="1" t="s">
        <v>298</v>
      </c>
      <c r="G299" s="1" t="s">
        <v>1635</v>
      </c>
      <c r="H299" s="1" t="s">
        <v>1654</v>
      </c>
    </row>
    <row r="300" spans="1:8" x14ac:dyDescent="0.2">
      <c r="A300" s="1" t="s">
        <v>41</v>
      </c>
      <c r="B300" s="1" t="s">
        <v>1108</v>
      </c>
      <c r="D300" s="1" t="s">
        <v>583</v>
      </c>
      <c r="F300" s="1" t="s">
        <v>300</v>
      </c>
      <c r="G300" s="1" t="s">
        <v>1636</v>
      </c>
      <c r="H300" s="1" t="s">
        <v>1655</v>
      </c>
    </row>
    <row r="301" spans="1:8" x14ac:dyDescent="0.2">
      <c r="A301" s="1" t="s">
        <v>41</v>
      </c>
      <c r="B301" s="1" t="s">
        <v>1109</v>
      </c>
      <c r="D301" s="1" t="s">
        <v>584</v>
      </c>
      <c r="F301" s="1" t="s">
        <v>302</v>
      </c>
      <c r="G301" s="1" t="s">
        <v>1637</v>
      </c>
      <c r="H301" s="1" t="s">
        <v>1656</v>
      </c>
    </row>
    <row r="302" spans="1:8" x14ac:dyDescent="0.2">
      <c r="B302" s="1" t="s">
        <v>748</v>
      </c>
    </row>
    <row r="303" spans="1:8" x14ac:dyDescent="0.2">
      <c r="B303" s="1" t="s">
        <v>1110</v>
      </c>
      <c r="D303" s="1" t="s">
        <v>56</v>
      </c>
      <c r="F303" s="1" t="s">
        <v>749</v>
      </c>
      <c r="H303" s="1" t="s">
        <v>750</v>
      </c>
    </row>
    <row r="304" spans="1:8" x14ac:dyDescent="0.2">
      <c r="B304" s="1" t="s">
        <v>1111</v>
      </c>
      <c r="D304" s="1" t="s">
        <v>585</v>
      </c>
      <c r="F304" s="1" t="s">
        <v>751</v>
      </c>
      <c r="G304" s="1" t="s">
        <v>1657</v>
      </c>
      <c r="H304" s="1" t="s">
        <v>1691</v>
      </c>
    </row>
    <row r="305" spans="1:8" x14ac:dyDescent="0.2">
      <c r="A305" s="1" t="s">
        <v>41</v>
      </c>
      <c r="B305" s="1" t="s">
        <v>1112</v>
      </c>
      <c r="D305" s="1" t="s">
        <v>586</v>
      </c>
      <c r="F305" s="1" t="s">
        <v>127</v>
      </c>
      <c r="G305" s="1" t="s">
        <v>1658</v>
      </c>
      <c r="H305" s="1" t="s">
        <v>1692</v>
      </c>
    </row>
    <row r="306" spans="1:8" x14ac:dyDescent="0.2">
      <c r="A306" s="1" t="s">
        <v>41</v>
      </c>
      <c r="B306" s="1" t="s">
        <v>1113</v>
      </c>
      <c r="D306" s="1" t="s">
        <v>752</v>
      </c>
      <c r="F306" s="1" t="s">
        <v>128</v>
      </c>
      <c r="G306" s="1" t="s">
        <v>1659</v>
      </c>
      <c r="H306" s="1" t="s">
        <v>1693</v>
      </c>
    </row>
    <row r="307" spans="1:8" x14ac:dyDescent="0.2">
      <c r="A307" s="1" t="s">
        <v>41</v>
      </c>
      <c r="B307" s="1" t="s">
        <v>1114</v>
      </c>
      <c r="D307" s="1" t="s">
        <v>753</v>
      </c>
      <c r="F307" s="1" t="s">
        <v>307</v>
      </c>
      <c r="G307" s="1" t="s">
        <v>1660</v>
      </c>
      <c r="H307" s="1" t="s">
        <v>1694</v>
      </c>
    </row>
    <row r="308" spans="1:8" x14ac:dyDescent="0.2">
      <c r="A308" s="1" t="s">
        <v>41</v>
      </c>
      <c r="B308" s="1" t="s">
        <v>1115</v>
      </c>
      <c r="D308" s="1" t="s">
        <v>587</v>
      </c>
      <c r="F308" s="1" t="s">
        <v>309</v>
      </c>
      <c r="G308" s="1" t="s">
        <v>1661</v>
      </c>
      <c r="H308" s="1" t="s">
        <v>1695</v>
      </c>
    </row>
    <row r="309" spans="1:8" x14ac:dyDescent="0.2">
      <c r="A309" s="1" t="s">
        <v>41</v>
      </c>
      <c r="B309" s="1" t="s">
        <v>1116</v>
      </c>
      <c r="D309" s="1" t="s">
        <v>588</v>
      </c>
      <c r="F309" s="1" t="s">
        <v>311</v>
      </c>
      <c r="G309" s="1" t="s">
        <v>1662</v>
      </c>
      <c r="H309" s="1" t="s">
        <v>1696</v>
      </c>
    </row>
    <row r="310" spans="1:8" x14ac:dyDescent="0.2">
      <c r="A310" s="1" t="s">
        <v>41</v>
      </c>
      <c r="B310" s="1" t="s">
        <v>1117</v>
      </c>
      <c r="D310" s="1" t="s">
        <v>589</v>
      </c>
      <c r="F310" s="1" t="s">
        <v>313</v>
      </c>
      <c r="G310" s="1" t="s">
        <v>1663</v>
      </c>
      <c r="H310" s="1" t="s">
        <v>1697</v>
      </c>
    </row>
    <row r="311" spans="1:8" x14ac:dyDescent="0.2">
      <c r="A311" s="1" t="s">
        <v>41</v>
      </c>
      <c r="B311" s="1" t="s">
        <v>1118</v>
      </c>
      <c r="D311" s="1" t="s">
        <v>590</v>
      </c>
      <c r="F311" s="1" t="s">
        <v>315</v>
      </c>
      <c r="G311" s="1" t="s">
        <v>1664</v>
      </c>
      <c r="H311" s="1" t="s">
        <v>1698</v>
      </c>
    </row>
    <row r="312" spans="1:8" x14ac:dyDescent="0.2">
      <c r="A312" s="1" t="s">
        <v>41</v>
      </c>
      <c r="B312" s="1" t="s">
        <v>1119</v>
      </c>
      <c r="D312" s="1" t="s">
        <v>591</v>
      </c>
      <c r="F312" s="1" t="s">
        <v>317</v>
      </c>
      <c r="G312" s="1" t="s">
        <v>1665</v>
      </c>
      <c r="H312" s="1" t="s">
        <v>1699</v>
      </c>
    </row>
    <row r="313" spans="1:8" x14ac:dyDescent="0.2">
      <c r="A313" s="1" t="s">
        <v>41</v>
      </c>
      <c r="B313" s="1" t="s">
        <v>1120</v>
      </c>
      <c r="D313" s="1" t="s">
        <v>592</v>
      </c>
      <c r="F313" s="1" t="s">
        <v>319</v>
      </c>
      <c r="G313" s="1" t="s">
        <v>1666</v>
      </c>
      <c r="H313" s="1" t="s">
        <v>1700</v>
      </c>
    </row>
    <row r="314" spans="1:8" x14ac:dyDescent="0.2">
      <c r="A314" s="1" t="s">
        <v>41</v>
      </c>
      <c r="B314" s="1" t="s">
        <v>1121</v>
      </c>
      <c r="D314" s="1" t="s">
        <v>593</v>
      </c>
      <c r="F314" s="1" t="s">
        <v>321</v>
      </c>
      <c r="G314" s="1" t="s">
        <v>1667</v>
      </c>
      <c r="H314" s="1" t="s">
        <v>1701</v>
      </c>
    </row>
    <row r="315" spans="1:8" x14ac:dyDescent="0.2">
      <c r="A315" s="1" t="s">
        <v>41</v>
      </c>
      <c r="B315" s="1" t="s">
        <v>1122</v>
      </c>
      <c r="D315" s="1" t="s">
        <v>594</v>
      </c>
      <c r="F315" s="1" t="s">
        <v>323</v>
      </c>
      <c r="G315" s="1" t="s">
        <v>1668</v>
      </c>
      <c r="H315" s="1" t="s">
        <v>1702</v>
      </c>
    </row>
    <row r="316" spans="1:8" x14ac:dyDescent="0.2">
      <c r="A316" s="1" t="s">
        <v>41</v>
      </c>
      <c r="B316" s="1" t="s">
        <v>1123</v>
      </c>
      <c r="D316" s="1" t="s">
        <v>595</v>
      </c>
      <c r="F316" s="1" t="s">
        <v>324</v>
      </c>
      <c r="G316" s="1" t="s">
        <v>1669</v>
      </c>
      <c r="H316" s="1" t="s">
        <v>1703</v>
      </c>
    </row>
    <row r="317" spans="1:8" x14ac:dyDescent="0.2">
      <c r="A317" s="1" t="s">
        <v>41</v>
      </c>
      <c r="B317" s="1" t="s">
        <v>1124</v>
      </c>
      <c r="D317" s="1" t="s">
        <v>596</v>
      </c>
      <c r="F317" s="1" t="s">
        <v>325</v>
      </c>
      <c r="G317" s="1" t="s">
        <v>1670</v>
      </c>
      <c r="H317" s="1" t="s">
        <v>1704</v>
      </c>
    </row>
    <row r="318" spans="1:8" x14ac:dyDescent="0.2">
      <c r="A318" s="1" t="s">
        <v>41</v>
      </c>
      <c r="B318" s="1" t="s">
        <v>1125</v>
      </c>
      <c r="D318" s="1" t="s">
        <v>597</v>
      </c>
      <c r="F318" s="1" t="s">
        <v>327</v>
      </c>
      <c r="G318" s="1" t="s">
        <v>1671</v>
      </c>
      <c r="H318" s="1" t="s">
        <v>1705</v>
      </c>
    </row>
    <row r="319" spans="1:8" x14ac:dyDescent="0.2">
      <c r="A319" s="1" t="s">
        <v>41</v>
      </c>
      <c r="B319" s="1" t="s">
        <v>1126</v>
      </c>
      <c r="D319" s="1" t="s">
        <v>598</v>
      </c>
      <c r="F319" s="1" t="s">
        <v>329</v>
      </c>
      <c r="G319" s="1" t="s">
        <v>1672</v>
      </c>
      <c r="H319" s="1" t="s">
        <v>1706</v>
      </c>
    </row>
    <row r="320" spans="1:8" x14ac:dyDescent="0.2">
      <c r="A320" s="1" t="s">
        <v>41</v>
      </c>
      <c r="B320" s="1" t="s">
        <v>1127</v>
      </c>
      <c r="D320" s="1" t="s">
        <v>599</v>
      </c>
      <c r="F320" s="1" t="s">
        <v>330</v>
      </c>
      <c r="G320" s="1" t="s">
        <v>1673</v>
      </c>
      <c r="H320" s="1" t="s">
        <v>1707</v>
      </c>
    </row>
    <row r="321" spans="1:8" x14ac:dyDescent="0.2">
      <c r="A321" s="1" t="s">
        <v>41</v>
      </c>
      <c r="B321" s="1" t="s">
        <v>1128</v>
      </c>
      <c r="D321" s="1" t="s">
        <v>600</v>
      </c>
      <c r="F321" s="1" t="s">
        <v>331</v>
      </c>
      <c r="G321" s="1" t="s">
        <v>1674</v>
      </c>
      <c r="H321" s="1" t="s">
        <v>1708</v>
      </c>
    </row>
    <row r="322" spans="1:8" x14ac:dyDescent="0.2">
      <c r="A322" s="1" t="s">
        <v>41</v>
      </c>
      <c r="B322" s="1" t="s">
        <v>1129</v>
      </c>
      <c r="D322" s="1" t="s">
        <v>601</v>
      </c>
      <c r="F322" s="1" t="s">
        <v>333</v>
      </c>
      <c r="G322" s="1" t="s">
        <v>1675</v>
      </c>
      <c r="H322" s="1" t="s">
        <v>1709</v>
      </c>
    </row>
    <row r="323" spans="1:8" x14ac:dyDescent="0.2">
      <c r="A323" s="1" t="s">
        <v>41</v>
      </c>
      <c r="B323" s="1" t="s">
        <v>1130</v>
      </c>
      <c r="D323" s="1" t="s">
        <v>602</v>
      </c>
      <c r="F323" s="1" t="s">
        <v>335</v>
      </c>
      <c r="G323" s="1" t="s">
        <v>1676</v>
      </c>
      <c r="H323" s="1" t="s">
        <v>1710</v>
      </c>
    </row>
    <row r="324" spans="1:8" x14ac:dyDescent="0.2">
      <c r="A324" s="1" t="s">
        <v>41</v>
      </c>
      <c r="B324" s="1" t="s">
        <v>1131</v>
      </c>
      <c r="D324" s="1" t="s">
        <v>603</v>
      </c>
      <c r="F324" s="1" t="s">
        <v>337</v>
      </c>
      <c r="G324" s="1" t="s">
        <v>1677</v>
      </c>
      <c r="H324" s="1" t="s">
        <v>1711</v>
      </c>
    </row>
    <row r="325" spans="1:8" x14ac:dyDescent="0.2">
      <c r="A325" s="1" t="s">
        <v>41</v>
      </c>
      <c r="B325" s="1" t="s">
        <v>1132</v>
      </c>
      <c r="D325" s="1" t="s">
        <v>604</v>
      </c>
      <c r="F325" s="1" t="s">
        <v>339</v>
      </c>
      <c r="G325" s="1" t="s">
        <v>1678</v>
      </c>
      <c r="H325" s="1" t="s">
        <v>1712</v>
      </c>
    </row>
    <row r="326" spans="1:8" x14ac:dyDescent="0.2">
      <c r="A326" s="1" t="s">
        <v>41</v>
      </c>
      <c r="B326" s="1" t="s">
        <v>1133</v>
      </c>
      <c r="D326" s="1" t="s">
        <v>605</v>
      </c>
      <c r="F326" s="1" t="s">
        <v>341</v>
      </c>
      <c r="G326" s="1" t="s">
        <v>1679</v>
      </c>
      <c r="H326" s="1" t="s">
        <v>1713</v>
      </c>
    </row>
    <row r="327" spans="1:8" x14ac:dyDescent="0.2">
      <c r="A327" s="1" t="s">
        <v>41</v>
      </c>
      <c r="B327" s="1" t="s">
        <v>1134</v>
      </c>
      <c r="D327" s="1" t="s">
        <v>606</v>
      </c>
      <c r="F327" s="1" t="s">
        <v>343</v>
      </c>
      <c r="G327" s="1" t="s">
        <v>1680</v>
      </c>
      <c r="H327" s="1" t="s">
        <v>1714</v>
      </c>
    </row>
    <row r="328" spans="1:8" x14ac:dyDescent="0.2">
      <c r="A328" s="1" t="s">
        <v>41</v>
      </c>
      <c r="B328" s="1" t="s">
        <v>1135</v>
      </c>
      <c r="D328" s="1" t="s">
        <v>607</v>
      </c>
      <c r="F328" s="1" t="s">
        <v>345</v>
      </c>
      <c r="G328" s="1" t="s">
        <v>1681</v>
      </c>
      <c r="H328" s="1" t="s">
        <v>1715</v>
      </c>
    </row>
    <row r="329" spans="1:8" x14ac:dyDescent="0.2">
      <c r="A329" s="1" t="s">
        <v>41</v>
      </c>
      <c r="B329" s="1" t="s">
        <v>1136</v>
      </c>
      <c r="D329" s="1" t="s">
        <v>608</v>
      </c>
      <c r="F329" s="1" t="s">
        <v>129</v>
      </c>
      <c r="G329" s="1" t="s">
        <v>1682</v>
      </c>
      <c r="H329" s="1" t="s">
        <v>1716</v>
      </c>
    </row>
    <row r="330" spans="1:8" x14ac:dyDescent="0.2">
      <c r="A330" s="1" t="s">
        <v>41</v>
      </c>
      <c r="B330" s="1" t="s">
        <v>1137</v>
      </c>
      <c r="D330" s="1" t="s">
        <v>609</v>
      </c>
      <c r="F330" s="1" t="s">
        <v>130</v>
      </c>
      <c r="G330" s="1" t="s">
        <v>1683</v>
      </c>
      <c r="H330" s="1" t="s">
        <v>1717</v>
      </c>
    </row>
    <row r="331" spans="1:8" x14ac:dyDescent="0.2">
      <c r="A331" s="1" t="s">
        <v>41</v>
      </c>
      <c r="B331" s="1" t="s">
        <v>1138</v>
      </c>
      <c r="D331" s="1" t="s">
        <v>610</v>
      </c>
      <c r="F331" s="1" t="s">
        <v>349</v>
      </c>
      <c r="G331" s="1" t="s">
        <v>1684</v>
      </c>
      <c r="H331" s="1" t="s">
        <v>1718</v>
      </c>
    </row>
    <row r="332" spans="1:8" x14ac:dyDescent="0.2">
      <c r="A332" s="1" t="s">
        <v>41</v>
      </c>
      <c r="B332" s="1" t="s">
        <v>1139</v>
      </c>
      <c r="D332" s="1" t="s">
        <v>611</v>
      </c>
      <c r="F332" s="1" t="s">
        <v>351</v>
      </c>
      <c r="G332" s="1" t="s">
        <v>1685</v>
      </c>
      <c r="H332" s="1" t="s">
        <v>1719</v>
      </c>
    </row>
    <row r="333" spans="1:8" x14ac:dyDescent="0.2">
      <c r="A333" s="1" t="s">
        <v>41</v>
      </c>
      <c r="B333" s="1" t="s">
        <v>1140</v>
      </c>
      <c r="D333" s="1" t="s">
        <v>612</v>
      </c>
      <c r="F333" s="1" t="s">
        <v>353</v>
      </c>
      <c r="G333" s="1" t="s">
        <v>1686</v>
      </c>
      <c r="H333" s="1" t="s">
        <v>1720</v>
      </c>
    </row>
    <row r="334" spans="1:8" x14ac:dyDescent="0.2">
      <c r="A334" s="1" t="s">
        <v>41</v>
      </c>
      <c r="B334" s="1" t="s">
        <v>1141</v>
      </c>
      <c r="D334" s="1" t="s">
        <v>613</v>
      </c>
      <c r="F334" s="1" t="s">
        <v>355</v>
      </c>
      <c r="G334" s="1" t="s">
        <v>1687</v>
      </c>
      <c r="H334" s="1" t="s">
        <v>1721</v>
      </c>
    </row>
    <row r="335" spans="1:8" x14ac:dyDescent="0.2">
      <c r="A335" s="1" t="s">
        <v>41</v>
      </c>
      <c r="B335" s="1" t="s">
        <v>1142</v>
      </c>
      <c r="D335" s="1" t="s">
        <v>614</v>
      </c>
      <c r="F335" s="1" t="s">
        <v>357</v>
      </c>
      <c r="G335" s="1" t="s">
        <v>1688</v>
      </c>
      <c r="H335" s="1" t="s">
        <v>1722</v>
      </c>
    </row>
    <row r="336" spans="1:8" x14ac:dyDescent="0.2">
      <c r="A336" s="1" t="s">
        <v>41</v>
      </c>
      <c r="B336" s="1" t="s">
        <v>1143</v>
      </c>
      <c r="D336" s="1" t="s">
        <v>615</v>
      </c>
      <c r="F336" s="1" t="s">
        <v>359</v>
      </c>
      <c r="G336" s="1" t="s">
        <v>1689</v>
      </c>
      <c r="H336" s="1" t="s">
        <v>1723</v>
      </c>
    </row>
    <row r="337" spans="1:8" x14ac:dyDescent="0.2">
      <c r="A337" s="1" t="s">
        <v>41</v>
      </c>
      <c r="B337" s="1" t="s">
        <v>1144</v>
      </c>
      <c r="D337" s="1" t="s">
        <v>616</v>
      </c>
      <c r="F337" s="1" t="s">
        <v>361</v>
      </c>
      <c r="G337" s="1" t="s">
        <v>1690</v>
      </c>
      <c r="H337" s="1" t="s">
        <v>1724</v>
      </c>
    </row>
    <row r="338" spans="1:8" x14ac:dyDescent="0.2">
      <c r="B338" s="1" t="s">
        <v>754</v>
      </c>
    </row>
    <row r="339" spans="1:8" x14ac:dyDescent="0.2">
      <c r="B339" s="1" t="s">
        <v>1145</v>
      </c>
      <c r="D339" s="1" t="s">
        <v>195</v>
      </c>
      <c r="F339" s="1" t="s">
        <v>755</v>
      </c>
      <c r="H339" s="1" t="s">
        <v>756</v>
      </c>
    </row>
    <row r="340" spans="1:8" x14ac:dyDescent="0.2">
      <c r="B340" s="1" t="s">
        <v>1146</v>
      </c>
      <c r="D340" s="1" t="s">
        <v>617</v>
      </c>
      <c r="F340" s="1" t="s">
        <v>757</v>
      </c>
      <c r="G340" s="1" t="s">
        <v>1147</v>
      </c>
      <c r="H340" s="1" t="s">
        <v>1148</v>
      </c>
    </row>
    <row r="341" spans="1:8" x14ac:dyDescent="0.2">
      <c r="B341" s="1" t="s">
        <v>758</v>
      </c>
    </row>
    <row r="342" spans="1:8" x14ac:dyDescent="0.2">
      <c r="B342" s="1" t="s">
        <v>1149</v>
      </c>
      <c r="D342" s="1" t="s">
        <v>196</v>
      </c>
      <c r="F342" s="1" t="s">
        <v>759</v>
      </c>
      <c r="H342" s="1" t="s">
        <v>760</v>
      </c>
    </row>
    <row r="343" spans="1:8" x14ac:dyDescent="0.2">
      <c r="B343" s="1" t="s">
        <v>1150</v>
      </c>
      <c r="D343" s="1" t="s">
        <v>761</v>
      </c>
      <c r="F343" s="1" t="s">
        <v>762</v>
      </c>
      <c r="G343" s="1" t="s">
        <v>1151</v>
      </c>
      <c r="H343" s="1" t="s">
        <v>1152</v>
      </c>
    </row>
    <row r="344" spans="1:8" x14ac:dyDescent="0.2">
      <c r="B344" s="1" t="s">
        <v>763</v>
      </c>
    </row>
    <row r="345" spans="1:8" x14ac:dyDescent="0.2">
      <c r="B345" s="1" t="s">
        <v>1153</v>
      </c>
      <c r="D345" s="1" t="s">
        <v>55</v>
      </c>
      <c r="F345" s="1" t="s">
        <v>764</v>
      </c>
      <c r="H345" s="1" t="s">
        <v>765</v>
      </c>
    </row>
    <row r="346" spans="1:8" x14ac:dyDescent="0.2">
      <c r="B346" s="1" t="s">
        <v>1154</v>
      </c>
      <c r="D346" s="1" t="s">
        <v>766</v>
      </c>
      <c r="F346" s="1" t="s">
        <v>767</v>
      </c>
      <c r="G346" s="1" t="s">
        <v>1155</v>
      </c>
      <c r="H346" s="1" t="s">
        <v>1156</v>
      </c>
    </row>
    <row r="347" spans="1:8" x14ac:dyDescent="0.2">
      <c r="B347" s="1" t="s">
        <v>768</v>
      </c>
    </row>
    <row r="348" spans="1:8" x14ac:dyDescent="0.2">
      <c r="B348" s="1" t="s">
        <v>1157</v>
      </c>
      <c r="D348" s="1" t="s">
        <v>54</v>
      </c>
      <c r="F348" s="1" t="s">
        <v>769</v>
      </c>
      <c r="H348" s="1" t="s">
        <v>770</v>
      </c>
    </row>
    <row r="349" spans="1:8" x14ac:dyDescent="0.2">
      <c r="B349" s="1" t="s">
        <v>1158</v>
      </c>
      <c r="D349" s="1" t="s">
        <v>771</v>
      </c>
      <c r="F349" s="1" t="s">
        <v>772</v>
      </c>
      <c r="G349" s="1" t="s">
        <v>1159</v>
      </c>
      <c r="H349" s="1" t="s">
        <v>1160</v>
      </c>
    </row>
    <row r="350" spans="1:8" x14ac:dyDescent="0.2">
      <c r="B350" s="1" t="s">
        <v>773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Read Me</vt:lpstr>
      <vt:lpstr>Options</vt:lpstr>
      <vt:lpstr>Income Statement</vt:lpstr>
      <vt:lpstr>End</vt:lpstr>
      <vt:lpstr>Start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Simple Income Statement</dc:title>
  <dc:subject>Jet Basics</dc:subject>
  <dc:creator>Scott Oshiro</dc:creator>
  <cp:keywords>P&amp;L; Profit and Loss</cp:keywords>
  <dc:description>Intended to match the Income Statement in Dynamics GP 2010.</dc:description>
  <cp:lastModifiedBy>Kim R. Duey</cp:lastModifiedBy>
  <cp:lastPrinted>2012-12-07T23:17:13Z</cp:lastPrinted>
  <dcterms:created xsi:type="dcterms:W3CDTF">2006-03-09T22:04:51Z</dcterms:created>
  <dcterms:modified xsi:type="dcterms:W3CDTF">2018-09-27T14:34:43Z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true</vt:bool>
  </property>
  <property fmtid="{D5CDD505-2E9C-101B-9397-08002B2CF9AE}" pid="4" name="OriginalName">
    <vt:lpwstr>GP Income Statement.xls</vt:lpwstr>
  </property>
  <property fmtid="{D5CDD505-2E9C-101B-9397-08002B2CF9AE}" pid="5" name="Jet Reports Last Version Refresh">
    <vt:lpwstr>Version 7.0.1  Released 3/12/2007 3:30:53 PM</vt:lpwstr>
  </property>
  <property fmtid="{D5CDD505-2E9C-101B-9397-08002B2CF9AE}" pid="6" name="Jet Reports Design Mode Active">
    <vt:bool>false</vt:bool>
  </property>
  <property fmtid="{D5CDD505-2E9C-101B-9397-08002B2CF9AE}" pid="7" name="Jet Reports Function Literals">
    <vt:lpwstr>,	;	,	{	}	[@[{0}]]	1033</vt:lpwstr>
  </property>
</Properties>
</file>