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265" r:id="rId1"/>
    <sheet name="Options" sheetId="63" state="hidden" r:id="rId2"/>
    <sheet name="Report" sheetId="1" r:id="rId3"/>
    <sheet name="Sheet2" sheetId="266" state="veryHidden" r:id="rId4"/>
    <sheet name="Sheet3" sheetId="267" state="veryHidden" r:id="rId5"/>
    <sheet name="Sheet4" sheetId="268" state="veryHidden" r:id="rId6"/>
    <sheet name="Sheet5" sheetId="269" state="veryHidden" r:id="rId7"/>
    <sheet name="Sheet6" sheetId="270" state="veryHidden" r:id="rId8"/>
    <sheet name="Sheet7" sheetId="271" state="veryHidden" r:id="rId9"/>
  </sheets>
  <externalReferences>
    <externalReference r:id="rId10"/>
  </externalReferences>
  <definedNames>
    <definedName name="HideEmptys">[1]Options!$D$8</definedName>
    <definedName name="ItemClass">Options!$E$6</definedName>
    <definedName name="Location">Options!$E$5</definedName>
    <definedName name="_xlnm.Print_Area" localSheetId="2">Report!$E$2:$U$165</definedName>
  </definedNames>
  <calcPr calcId="162913"/>
</workbook>
</file>

<file path=xl/calcChain.xml><?xml version="1.0" encoding="utf-8"?>
<calcChain xmlns="http://schemas.openxmlformats.org/spreadsheetml/2006/main">
  <c r="F5" i="1" l="1"/>
  <c r="F6" i="1"/>
  <c r="J9" i="1"/>
  <c r="K9" i="1"/>
  <c r="L9" i="1"/>
  <c r="M9" i="1"/>
  <c r="Q9" i="1"/>
  <c r="R9" i="1"/>
  <c r="S9" i="1"/>
  <c r="T9" i="1"/>
  <c r="D10" i="1"/>
  <c r="D11" i="1"/>
  <c r="E11" i="1"/>
  <c r="F11" i="1"/>
  <c r="G11" i="1"/>
  <c r="O11" i="1"/>
  <c r="D12" i="1"/>
  <c r="E12" i="1"/>
  <c r="F12" i="1"/>
  <c r="G12" i="1"/>
  <c r="O12" i="1"/>
  <c r="O27" i="1" s="1"/>
  <c r="D13" i="1"/>
  <c r="E13" i="1"/>
  <c r="F13" i="1"/>
  <c r="G13" i="1"/>
  <c r="O13" i="1"/>
  <c r="D14" i="1"/>
  <c r="E14" i="1"/>
  <c r="F14" i="1"/>
  <c r="G14" i="1"/>
  <c r="O14" i="1"/>
  <c r="D15" i="1"/>
  <c r="E15" i="1"/>
  <c r="F15" i="1"/>
  <c r="G15" i="1"/>
  <c r="O15" i="1"/>
  <c r="D16" i="1"/>
  <c r="E16" i="1"/>
  <c r="F16" i="1"/>
  <c r="G16" i="1"/>
  <c r="O16" i="1"/>
  <c r="D17" i="1"/>
  <c r="E17" i="1"/>
  <c r="F17" i="1"/>
  <c r="G17" i="1"/>
  <c r="O17" i="1"/>
  <c r="D18" i="1"/>
  <c r="E18" i="1"/>
  <c r="F18" i="1"/>
  <c r="G18" i="1"/>
  <c r="O18" i="1"/>
  <c r="D19" i="1"/>
  <c r="E19" i="1"/>
  <c r="F19" i="1"/>
  <c r="G19" i="1"/>
  <c r="O19" i="1"/>
  <c r="D20" i="1"/>
  <c r="E20" i="1"/>
  <c r="F20" i="1"/>
  <c r="G20" i="1"/>
  <c r="O20" i="1"/>
  <c r="D21" i="1"/>
  <c r="E21" i="1"/>
  <c r="F21" i="1"/>
  <c r="G21" i="1"/>
  <c r="O21" i="1"/>
  <c r="D22" i="1"/>
  <c r="E22" i="1"/>
  <c r="F22" i="1"/>
  <c r="G22" i="1"/>
  <c r="O22" i="1"/>
  <c r="D23" i="1"/>
  <c r="E23" i="1"/>
  <c r="F23" i="1"/>
  <c r="G23" i="1"/>
  <c r="O23" i="1"/>
  <c r="D24" i="1"/>
  <c r="E24" i="1"/>
  <c r="F24" i="1"/>
  <c r="G24" i="1"/>
  <c r="O24" i="1"/>
  <c r="D25" i="1"/>
  <c r="E25" i="1"/>
  <c r="F25" i="1"/>
  <c r="G25" i="1"/>
  <c r="O25" i="1"/>
  <c r="J27" i="1"/>
  <c r="K27" i="1"/>
  <c r="L27" i="1"/>
  <c r="M27" i="1"/>
  <c r="D29" i="1"/>
  <c r="D30" i="1"/>
  <c r="E30" i="1"/>
  <c r="F30" i="1"/>
  <c r="G30" i="1"/>
  <c r="O30" i="1"/>
  <c r="O32" i="1" s="1"/>
  <c r="J32" i="1"/>
  <c r="K32" i="1"/>
  <c r="L32" i="1"/>
  <c r="M32" i="1"/>
  <c r="D34" i="1"/>
  <c r="D35" i="1"/>
  <c r="E35" i="1"/>
  <c r="F35" i="1"/>
  <c r="G35" i="1"/>
  <c r="O35" i="1"/>
  <c r="O38" i="1" s="1"/>
  <c r="D36" i="1"/>
  <c r="E36" i="1"/>
  <c r="F36" i="1"/>
  <c r="G36" i="1"/>
  <c r="O36" i="1"/>
  <c r="J38" i="1"/>
  <c r="K38" i="1"/>
  <c r="L38" i="1"/>
  <c r="M38" i="1"/>
  <c r="D40" i="1"/>
  <c r="D41" i="1"/>
  <c r="E41" i="1"/>
  <c r="F41" i="1"/>
  <c r="G41" i="1"/>
  <c r="O41" i="1"/>
  <c r="D42" i="1"/>
  <c r="E42" i="1"/>
  <c r="F42" i="1"/>
  <c r="G42" i="1"/>
  <c r="O42" i="1"/>
  <c r="D43" i="1"/>
  <c r="E43" i="1"/>
  <c r="F43" i="1"/>
  <c r="G43" i="1"/>
  <c r="O43" i="1"/>
  <c r="D44" i="1"/>
  <c r="E44" i="1"/>
  <c r="F44" i="1"/>
  <c r="G44" i="1"/>
  <c r="O44" i="1"/>
  <c r="D45" i="1"/>
  <c r="E45" i="1"/>
  <c r="F45" i="1"/>
  <c r="G45" i="1"/>
  <c r="O45" i="1"/>
  <c r="D46" i="1"/>
  <c r="E46" i="1"/>
  <c r="F46" i="1"/>
  <c r="G46" i="1"/>
  <c r="O46" i="1"/>
  <c r="D47" i="1"/>
  <c r="E47" i="1"/>
  <c r="F47" i="1"/>
  <c r="G47" i="1"/>
  <c r="O47" i="1"/>
  <c r="J49" i="1"/>
  <c r="K49" i="1"/>
  <c r="L49" i="1"/>
  <c r="M49" i="1"/>
  <c r="O49" i="1"/>
  <c r="D51" i="1"/>
  <c r="D52" i="1"/>
  <c r="E52" i="1"/>
  <c r="F52" i="1"/>
  <c r="G52" i="1"/>
  <c r="O52" i="1"/>
  <c r="O55" i="1" s="1"/>
  <c r="D53" i="1"/>
  <c r="E53" i="1"/>
  <c r="F53" i="1"/>
  <c r="G53" i="1"/>
  <c r="O53" i="1"/>
  <c r="J55" i="1"/>
  <c r="K55" i="1"/>
  <c r="L55" i="1"/>
  <c r="M55" i="1"/>
  <c r="D57" i="1"/>
  <c r="D58" i="1"/>
  <c r="E58" i="1"/>
  <c r="F58" i="1"/>
  <c r="G58" i="1"/>
  <c r="O58" i="1"/>
  <c r="O60" i="1" s="1"/>
  <c r="J60" i="1"/>
  <c r="K60" i="1"/>
  <c r="L60" i="1"/>
  <c r="M60" i="1"/>
  <c r="D62" i="1"/>
  <c r="D63" i="1"/>
  <c r="E63" i="1"/>
  <c r="F63" i="1"/>
  <c r="G63" i="1"/>
  <c r="O63" i="1"/>
  <c r="O65" i="1" s="1"/>
  <c r="J65" i="1"/>
  <c r="K65" i="1"/>
  <c r="L65" i="1"/>
  <c r="M65" i="1"/>
  <c r="D67" i="1"/>
  <c r="D68" i="1"/>
  <c r="E68" i="1"/>
  <c r="F68" i="1"/>
  <c r="G68" i="1"/>
  <c r="O68" i="1"/>
  <c r="O70" i="1" s="1"/>
  <c r="J70" i="1"/>
  <c r="K70" i="1"/>
  <c r="L70" i="1"/>
  <c r="M70" i="1"/>
  <c r="D72" i="1"/>
  <c r="D73" i="1"/>
  <c r="E73" i="1"/>
  <c r="F73" i="1"/>
  <c r="G73" i="1"/>
  <c r="O73" i="1"/>
  <c r="O119" i="1" s="1"/>
  <c r="D74" i="1"/>
  <c r="E74" i="1"/>
  <c r="F74" i="1"/>
  <c r="G74" i="1"/>
  <c r="O74" i="1"/>
  <c r="D75" i="1"/>
  <c r="E75" i="1"/>
  <c r="F75" i="1"/>
  <c r="G75" i="1"/>
  <c r="O75" i="1"/>
  <c r="D76" i="1"/>
  <c r="E76" i="1"/>
  <c r="F76" i="1"/>
  <c r="G76" i="1"/>
  <c r="O76" i="1"/>
  <c r="D77" i="1"/>
  <c r="E77" i="1"/>
  <c r="F77" i="1"/>
  <c r="G77" i="1"/>
  <c r="O77" i="1"/>
  <c r="D78" i="1"/>
  <c r="E78" i="1"/>
  <c r="F78" i="1"/>
  <c r="G78" i="1"/>
  <c r="O78" i="1"/>
  <c r="D79" i="1"/>
  <c r="E79" i="1"/>
  <c r="F79" i="1"/>
  <c r="G79" i="1"/>
  <c r="O79" i="1"/>
  <c r="D80" i="1"/>
  <c r="E80" i="1"/>
  <c r="F80" i="1"/>
  <c r="G80" i="1"/>
  <c r="O80" i="1"/>
  <c r="D81" i="1"/>
  <c r="E81" i="1"/>
  <c r="F81" i="1"/>
  <c r="G81" i="1"/>
  <c r="O81" i="1"/>
  <c r="D82" i="1"/>
  <c r="E82" i="1"/>
  <c r="F82" i="1"/>
  <c r="G82" i="1"/>
  <c r="O82" i="1"/>
  <c r="D83" i="1"/>
  <c r="E83" i="1"/>
  <c r="F83" i="1"/>
  <c r="G83" i="1"/>
  <c r="O83" i="1"/>
  <c r="D84" i="1"/>
  <c r="E84" i="1"/>
  <c r="F84" i="1"/>
  <c r="G84" i="1"/>
  <c r="O84" i="1"/>
  <c r="D85" i="1"/>
  <c r="E85" i="1"/>
  <c r="F85" i="1"/>
  <c r="G85" i="1"/>
  <c r="O85" i="1"/>
  <c r="D86" i="1"/>
  <c r="E86" i="1"/>
  <c r="F86" i="1"/>
  <c r="G86" i="1"/>
  <c r="O86" i="1"/>
  <c r="D87" i="1"/>
  <c r="E87" i="1"/>
  <c r="F87" i="1"/>
  <c r="G87" i="1"/>
  <c r="O87" i="1"/>
  <c r="D88" i="1"/>
  <c r="E88" i="1"/>
  <c r="F88" i="1"/>
  <c r="G88" i="1"/>
  <c r="O88" i="1"/>
  <c r="D89" i="1"/>
  <c r="E89" i="1"/>
  <c r="F89" i="1"/>
  <c r="G89" i="1"/>
  <c r="O89" i="1"/>
  <c r="D90" i="1"/>
  <c r="E90" i="1"/>
  <c r="F90" i="1"/>
  <c r="G90" i="1"/>
  <c r="O90" i="1"/>
  <c r="D91" i="1"/>
  <c r="E91" i="1"/>
  <c r="F91" i="1"/>
  <c r="G91" i="1"/>
  <c r="O91" i="1"/>
  <c r="D92" i="1"/>
  <c r="E92" i="1"/>
  <c r="F92" i="1"/>
  <c r="G92" i="1"/>
  <c r="O92" i="1"/>
  <c r="D93" i="1"/>
  <c r="E93" i="1"/>
  <c r="F93" i="1"/>
  <c r="G93" i="1"/>
  <c r="O93" i="1"/>
  <c r="D94" i="1"/>
  <c r="E94" i="1"/>
  <c r="F94" i="1"/>
  <c r="G94" i="1"/>
  <c r="O94" i="1"/>
  <c r="D95" i="1"/>
  <c r="E95" i="1"/>
  <c r="F95" i="1"/>
  <c r="G95" i="1"/>
  <c r="O95" i="1"/>
  <c r="D96" i="1"/>
  <c r="E96" i="1"/>
  <c r="F96" i="1"/>
  <c r="G96" i="1"/>
  <c r="O96" i="1"/>
  <c r="D97" i="1"/>
  <c r="E97" i="1"/>
  <c r="F97" i="1"/>
  <c r="G97" i="1"/>
  <c r="O97" i="1"/>
  <c r="D98" i="1"/>
  <c r="E98" i="1"/>
  <c r="F98" i="1"/>
  <c r="G98" i="1"/>
  <c r="O98" i="1"/>
  <c r="D99" i="1"/>
  <c r="E99" i="1"/>
  <c r="F99" i="1"/>
  <c r="G99" i="1"/>
  <c r="O99" i="1"/>
  <c r="D100" i="1"/>
  <c r="E100" i="1"/>
  <c r="F100" i="1"/>
  <c r="G100" i="1"/>
  <c r="O100" i="1"/>
  <c r="D101" i="1"/>
  <c r="E101" i="1"/>
  <c r="F101" i="1"/>
  <c r="G101" i="1"/>
  <c r="O101" i="1"/>
  <c r="D102" i="1"/>
  <c r="E102" i="1"/>
  <c r="F102" i="1"/>
  <c r="G102" i="1"/>
  <c r="O102" i="1"/>
  <c r="D103" i="1"/>
  <c r="E103" i="1"/>
  <c r="F103" i="1"/>
  <c r="G103" i="1"/>
  <c r="O103" i="1"/>
  <c r="D104" i="1"/>
  <c r="E104" i="1"/>
  <c r="F104" i="1"/>
  <c r="G104" i="1"/>
  <c r="O104" i="1"/>
  <c r="D105" i="1"/>
  <c r="E105" i="1"/>
  <c r="F105" i="1"/>
  <c r="G105" i="1"/>
  <c r="O105" i="1"/>
  <c r="D106" i="1"/>
  <c r="E106" i="1"/>
  <c r="F106" i="1"/>
  <c r="G106" i="1"/>
  <c r="O106" i="1"/>
  <c r="D107" i="1"/>
  <c r="E107" i="1"/>
  <c r="F107" i="1"/>
  <c r="G107" i="1"/>
  <c r="O107" i="1"/>
  <c r="D108" i="1"/>
  <c r="E108" i="1"/>
  <c r="F108" i="1"/>
  <c r="G108" i="1"/>
  <c r="O108" i="1"/>
  <c r="D109" i="1"/>
  <c r="E109" i="1"/>
  <c r="F109" i="1"/>
  <c r="G109" i="1"/>
  <c r="O109" i="1"/>
  <c r="D110" i="1"/>
  <c r="E110" i="1"/>
  <c r="F110" i="1"/>
  <c r="G110" i="1"/>
  <c r="O110" i="1"/>
  <c r="D111" i="1"/>
  <c r="E111" i="1"/>
  <c r="F111" i="1"/>
  <c r="G111" i="1"/>
  <c r="O111" i="1"/>
  <c r="D112" i="1"/>
  <c r="E112" i="1"/>
  <c r="F112" i="1"/>
  <c r="G112" i="1"/>
  <c r="O112" i="1"/>
  <c r="D113" i="1"/>
  <c r="E113" i="1"/>
  <c r="F113" i="1"/>
  <c r="G113" i="1"/>
  <c r="O113" i="1"/>
  <c r="D114" i="1"/>
  <c r="E114" i="1"/>
  <c r="F114" i="1"/>
  <c r="G114" i="1"/>
  <c r="O114" i="1"/>
  <c r="D115" i="1"/>
  <c r="E115" i="1"/>
  <c r="F115" i="1"/>
  <c r="G115" i="1"/>
  <c r="O115" i="1"/>
  <c r="D116" i="1"/>
  <c r="E116" i="1"/>
  <c r="F116" i="1"/>
  <c r="G116" i="1"/>
  <c r="O116" i="1"/>
  <c r="D117" i="1"/>
  <c r="E117" i="1"/>
  <c r="F117" i="1"/>
  <c r="G117" i="1"/>
  <c r="O117" i="1"/>
  <c r="J119" i="1"/>
  <c r="K119" i="1"/>
  <c r="L119" i="1"/>
  <c r="M119" i="1"/>
  <c r="D121" i="1"/>
  <c r="D122" i="1"/>
  <c r="E122" i="1"/>
  <c r="F122" i="1"/>
  <c r="G122" i="1"/>
  <c r="O122" i="1"/>
  <c r="O140" i="1" s="1"/>
  <c r="D123" i="1"/>
  <c r="E123" i="1"/>
  <c r="F123" i="1"/>
  <c r="G123" i="1"/>
  <c r="O123" i="1"/>
  <c r="D124" i="1"/>
  <c r="E124" i="1"/>
  <c r="F124" i="1"/>
  <c r="G124" i="1"/>
  <c r="O124" i="1"/>
  <c r="D125" i="1"/>
  <c r="E125" i="1"/>
  <c r="F125" i="1"/>
  <c r="G125" i="1"/>
  <c r="O125" i="1"/>
  <c r="D126" i="1"/>
  <c r="E126" i="1"/>
  <c r="F126" i="1"/>
  <c r="G126" i="1"/>
  <c r="O126" i="1"/>
  <c r="D127" i="1"/>
  <c r="E127" i="1"/>
  <c r="F127" i="1"/>
  <c r="G127" i="1"/>
  <c r="O127" i="1"/>
  <c r="D128" i="1"/>
  <c r="E128" i="1"/>
  <c r="F128" i="1"/>
  <c r="G128" i="1"/>
  <c r="O128" i="1"/>
  <c r="D129" i="1"/>
  <c r="E129" i="1"/>
  <c r="F129" i="1"/>
  <c r="G129" i="1"/>
  <c r="O129" i="1"/>
  <c r="D130" i="1"/>
  <c r="E130" i="1"/>
  <c r="F130" i="1"/>
  <c r="G130" i="1"/>
  <c r="O130" i="1"/>
  <c r="D131" i="1"/>
  <c r="E131" i="1"/>
  <c r="F131" i="1"/>
  <c r="G131" i="1"/>
  <c r="O131" i="1"/>
  <c r="D132" i="1"/>
  <c r="E132" i="1"/>
  <c r="F132" i="1"/>
  <c r="G132" i="1"/>
  <c r="O132" i="1"/>
  <c r="D133" i="1"/>
  <c r="E133" i="1"/>
  <c r="F133" i="1"/>
  <c r="G133" i="1"/>
  <c r="O133" i="1"/>
  <c r="D134" i="1"/>
  <c r="E134" i="1"/>
  <c r="F134" i="1"/>
  <c r="G134" i="1"/>
  <c r="O134" i="1"/>
  <c r="D135" i="1"/>
  <c r="E135" i="1"/>
  <c r="F135" i="1"/>
  <c r="G135" i="1"/>
  <c r="O135" i="1"/>
  <c r="D136" i="1"/>
  <c r="E136" i="1"/>
  <c r="F136" i="1"/>
  <c r="G136" i="1"/>
  <c r="O136" i="1"/>
  <c r="D137" i="1"/>
  <c r="E137" i="1"/>
  <c r="F137" i="1"/>
  <c r="G137" i="1"/>
  <c r="O137" i="1"/>
  <c r="D138" i="1"/>
  <c r="E138" i="1"/>
  <c r="F138" i="1"/>
  <c r="G138" i="1"/>
  <c r="O138" i="1"/>
  <c r="J140" i="1"/>
  <c r="K140" i="1"/>
  <c r="L140" i="1"/>
  <c r="M140" i="1"/>
  <c r="D142" i="1"/>
  <c r="D143" i="1"/>
  <c r="E143" i="1"/>
  <c r="F143" i="1"/>
  <c r="G143" i="1"/>
  <c r="O143" i="1"/>
  <c r="D144" i="1"/>
  <c r="E144" i="1"/>
  <c r="F144" i="1"/>
  <c r="G144" i="1"/>
  <c r="O144" i="1"/>
  <c r="D145" i="1"/>
  <c r="E145" i="1"/>
  <c r="F145" i="1"/>
  <c r="G145" i="1"/>
  <c r="O145" i="1"/>
  <c r="D146" i="1"/>
  <c r="E146" i="1"/>
  <c r="F146" i="1"/>
  <c r="G146" i="1"/>
  <c r="O146" i="1"/>
  <c r="D147" i="1"/>
  <c r="E147" i="1"/>
  <c r="F147" i="1"/>
  <c r="G147" i="1"/>
  <c r="O147" i="1"/>
  <c r="D148" i="1"/>
  <c r="E148" i="1"/>
  <c r="F148" i="1"/>
  <c r="G148" i="1"/>
  <c r="O148" i="1"/>
  <c r="D149" i="1"/>
  <c r="E149" i="1"/>
  <c r="F149" i="1"/>
  <c r="G149" i="1"/>
  <c r="O149" i="1"/>
  <c r="D150" i="1"/>
  <c r="E150" i="1"/>
  <c r="F150" i="1"/>
  <c r="G150" i="1"/>
  <c r="O150" i="1"/>
  <c r="D151" i="1"/>
  <c r="E151" i="1"/>
  <c r="F151" i="1"/>
  <c r="G151" i="1"/>
  <c r="O151" i="1"/>
  <c r="D152" i="1"/>
  <c r="E152" i="1"/>
  <c r="F152" i="1"/>
  <c r="G152" i="1"/>
  <c r="O152" i="1"/>
  <c r="D153" i="1"/>
  <c r="E153" i="1"/>
  <c r="F153" i="1"/>
  <c r="G153" i="1"/>
  <c r="O153" i="1"/>
  <c r="D154" i="1"/>
  <c r="E154" i="1"/>
  <c r="F154" i="1"/>
  <c r="G154" i="1"/>
  <c r="O154" i="1"/>
  <c r="D155" i="1"/>
  <c r="E155" i="1"/>
  <c r="F155" i="1"/>
  <c r="G155" i="1"/>
  <c r="O155" i="1"/>
  <c r="D156" i="1"/>
  <c r="E156" i="1"/>
  <c r="F156" i="1"/>
  <c r="G156" i="1"/>
  <c r="O156" i="1"/>
  <c r="D157" i="1"/>
  <c r="E157" i="1"/>
  <c r="F157" i="1"/>
  <c r="G157" i="1"/>
  <c r="O157" i="1"/>
  <c r="D158" i="1"/>
  <c r="E158" i="1"/>
  <c r="F158" i="1"/>
  <c r="G158" i="1"/>
  <c r="O158" i="1"/>
  <c r="D159" i="1"/>
  <c r="E159" i="1"/>
  <c r="F159" i="1"/>
  <c r="G159" i="1"/>
  <c r="O159" i="1"/>
  <c r="F5" i="63"/>
  <c r="F6" i="63"/>
  <c r="V36" i="1"/>
  <c r="U44" i="1"/>
  <c r="U43" i="1"/>
  <c r="V42" i="1"/>
  <c r="V44" i="1" s="1"/>
  <c r="V46" i="1" s="1"/>
  <c r="U42" i="1"/>
  <c r="V53" i="1"/>
  <c r="U113" i="1"/>
  <c r="U114" i="1"/>
  <c r="U116" i="1"/>
  <c r="U117" i="1"/>
  <c r="U112" i="1"/>
  <c r="U111" i="1"/>
  <c r="U110" i="1"/>
  <c r="U109" i="1"/>
  <c r="U108" i="1"/>
  <c r="U107" i="1"/>
  <c r="U106" i="1"/>
  <c r="U105" i="1"/>
  <c r="U104" i="1"/>
  <c r="U103" i="1"/>
  <c r="U102" i="1"/>
  <c r="U101" i="1"/>
  <c r="U100" i="1"/>
  <c r="U99" i="1"/>
  <c r="U98" i="1"/>
  <c r="U97" i="1"/>
  <c r="U96" i="1"/>
  <c r="U95" i="1"/>
  <c r="U94" i="1"/>
  <c r="U93" i="1"/>
  <c r="U92" i="1"/>
  <c r="U91" i="1"/>
  <c r="U90" i="1"/>
  <c r="U89" i="1"/>
  <c r="U88" i="1"/>
  <c r="U87" i="1"/>
  <c r="U86" i="1"/>
  <c r="U85" i="1"/>
  <c r="U84" i="1"/>
  <c r="U83" i="1"/>
  <c r="U82" i="1"/>
  <c r="U81" i="1"/>
  <c r="U80" i="1"/>
  <c r="U79" i="1"/>
  <c r="U78" i="1"/>
  <c r="U77" i="1"/>
  <c r="U76" i="1"/>
  <c r="V75" i="1"/>
  <c r="V77" i="1" s="1"/>
  <c r="V79" i="1" s="1"/>
  <c r="V81" i="1" s="1"/>
  <c r="V83" i="1" s="1"/>
  <c r="V85" i="1" s="1"/>
  <c r="V87" i="1" s="1"/>
  <c r="V89" i="1" s="1"/>
  <c r="V91" i="1" s="1"/>
  <c r="V93" i="1" s="1"/>
  <c r="V95" i="1" s="1"/>
  <c r="V97" i="1" s="1"/>
  <c r="V99" i="1" s="1"/>
  <c r="V101" i="1" s="1"/>
  <c r="V103" i="1" s="1"/>
  <c r="V105" i="1" s="1"/>
  <c r="V107" i="1" s="1"/>
  <c r="V109" i="1" s="1"/>
  <c r="V111" i="1" s="1"/>
  <c r="V113" i="1" s="1"/>
  <c r="V115" i="1" s="1"/>
  <c r="V117" i="1" s="1"/>
  <c r="U75" i="1"/>
  <c r="V74" i="1"/>
  <c r="V76" i="1" s="1"/>
  <c r="V78" i="1" s="1"/>
  <c r="V80" i="1" s="1"/>
  <c r="V82" i="1" s="1"/>
  <c r="V84" i="1" s="1"/>
  <c r="V86" i="1" s="1"/>
  <c r="V88" i="1" s="1"/>
  <c r="V90" i="1" s="1"/>
  <c r="V92" i="1" s="1"/>
  <c r="V94" i="1" s="1"/>
  <c r="V96" i="1" s="1"/>
  <c r="V98" i="1" s="1"/>
  <c r="V100" i="1" s="1"/>
  <c r="V102" i="1" s="1"/>
  <c r="V104" i="1" s="1"/>
  <c r="V106" i="1" s="1"/>
  <c r="V108" i="1" s="1"/>
  <c r="V110" i="1" s="1"/>
  <c r="V112" i="1" s="1"/>
  <c r="V114" i="1" s="1"/>
  <c r="V116" i="1" s="1"/>
  <c r="U74" i="1"/>
  <c r="U123" i="1"/>
  <c r="U124" i="1"/>
  <c r="U138" i="1"/>
  <c r="U137" i="1"/>
  <c r="U136" i="1"/>
  <c r="U135" i="1"/>
  <c r="U130" i="1"/>
  <c r="U129" i="1"/>
  <c r="U128" i="1"/>
  <c r="U127" i="1"/>
  <c r="U126" i="1"/>
  <c r="U125" i="1"/>
  <c r="V123" i="1"/>
  <c r="V125" i="1" s="1"/>
  <c r="V127" i="1" s="1"/>
  <c r="V129" i="1" s="1"/>
  <c r="V131" i="1" s="1"/>
  <c r="V133" i="1" s="1"/>
  <c r="V135" i="1" s="1"/>
  <c r="V137" i="1" s="1"/>
  <c r="U150" i="1"/>
  <c r="U158" i="1"/>
  <c r="U157" i="1"/>
  <c r="U156" i="1"/>
  <c r="U155" i="1"/>
  <c r="U153" i="1"/>
  <c r="U149" i="1"/>
  <c r="U148" i="1"/>
  <c r="U147" i="1"/>
  <c r="U145" i="1"/>
  <c r="V144" i="1"/>
  <c r="V146" i="1" s="1"/>
  <c r="V148" i="1" s="1"/>
  <c r="V150" i="1" s="1"/>
  <c r="V152" i="1" s="1"/>
  <c r="V154" i="1" s="1"/>
  <c r="V156" i="1" s="1"/>
  <c r="V158" i="1" s="1"/>
  <c r="U14" i="1"/>
  <c r="U18" i="1"/>
  <c r="U25" i="1"/>
  <c r="U24" i="1"/>
  <c r="U23" i="1"/>
  <c r="U22" i="1"/>
  <c r="U21" i="1"/>
  <c r="U20" i="1"/>
  <c r="U19" i="1"/>
  <c r="U17" i="1"/>
  <c r="U16" i="1"/>
  <c r="U15" i="1"/>
  <c r="V13" i="1"/>
  <c r="V15" i="1" s="1"/>
  <c r="V17" i="1" s="1"/>
  <c r="V19" i="1" s="1"/>
  <c r="V21" i="1" s="1"/>
  <c r="V23" i="1" s="1"/>
  <c r="V25" i="1" s="1"/>
  <c r="U13" i="1"/>
  <c r="V12" i="1"/>
  <c r="V14" i="1" s="1"/>
  <c r="V16" i="1" s="1"/>
  <c r="V18" i="1" s="1"/>
  <c r="V20" i="1" s="1"/>
  <c r="V22" i="1" s="1"/>
  <c r="V24" i="1" s="1"/>
  <c r="U12" i="1"/>
  <c r="C12" i="1"/>
  <c r="C13" i="1" s="1"/>
  <c r="C14" i="1" s="1"/>
  <c r="C15" i="1" s="1"/>
  <c r="C16" i="1" s="1"/>
  <c r="C17" i="1" s="1"/>
  <c r="C18" i="1" s="1"/>
  <c r="C19" i="1" s="1"/>
  <c r="C20" i="1" s="1"/>
  <c r="C21" i="1" s="1"/>
  <c r="C22" i="1" s="1"/>
  <c r="C23" i="1" s="1"/>
  <c r="C24" i="1" s="1"/>
  <c r="C25" i="1" s="1"/>
  <c r="V143" i="1"/>
  <c r="V145" i="1" s="1"/>
  <c r="V147" i="1" s="1"/>
  <c r="V149" i="1" s="1"/>
  <c r="V151" i="1" s="1"/>
  <c r="V153" i="1" s="1"/>
  <c r="V155" i="1" s="1"/>
  <c r="V157" i="1" s="1"/>
  <c r="V159" i="1" s="1"/>
  <c r="C142" i="1"/>
  <c r="C143" i="1" s="1"/>
  <c r="V122" i="1"/>
  <c r="V124" i="1" s="1"/>
  <c r="V126" i="1" s="1"/>
  <c r="V128" i="1" s="1"/>
  <c r="V130" i="1" s="1"/>
  <c r="V132" i="1" s="1"/>
  <c r="V134" i="1" s="1"/>
  <c r="V136" i="1" s="1"/>
  <c r="V138" i="1" s="1"/>
  <c r="C121" i="1"/>
  <c r="C122" i="1" s="1"/>
  <c r="V73" i="1"/>
  <c r="C72" i="1"/>
  <c r="C73" i="1" s="1"/>
  <c r="V68" i="1"/>
  <c r="C67" i="1"/>
  <c r="C68" i="1" s="1"/>
  <c r="V63" i="1"/>
  <c r="C62" i="1"/>
  <c r="C63" i="1" s="1"/>
  <c r="V58" i="1"/>
  <c r="C57" i="1"/>
  <c r="C58" i="1" s="1"/>
  <c r="V52" i="1"/>
  <c r="C51" i="1"/>
  <c r="C52" i="1" s="1"/>
  <c r="V41" i="1"/>
  <c r="V43" i="1" s="1"/>
  <c r="V45" i="1" s="1"/>
  <c r="V47" i="1" s="1"/>
  <c r="C40" i="1"/>
  <c r="C41" i="1" s="1"/>
  <c r="V35" i="1"/>
  <c r="C34" i="1"/>
  <c r="C35" i="1" s="1"/>
  <c r="V30" i="1"/>
  <c r="C29" i="1"/>
  <c r="C30" i="1" s="1"/>
  <c r="C10" i="1"/>
  <c r="C11" i="1" s="1"/>
  <c r="V11" i="1"/>
  <c r="U131" i="1" l="1"/>
  <c r="C53" i="1"/>
  <c r="C74" i="1"/>
  <c r="C75" i="1" s="1"/>
  <c r="C76" i="1" s="1"/>
  <c r="C77" i="1" s="1"/>
  <c r="C78" i="1" s="1"/>
  <c r="C79" i="1" s="1"/>
  <c r="C80" i="1" s="1"/>
  <c r="C81" i="1" s="1"/>
  <c r="C82" i="1" s="1"/>
  <c r="C83" i="1" s="1"/>
  <c r="C84" i="1" s="1"/>
  <c r="C85" i="1" s="1"/>
  <c r="C86" i="1" s="1"/>
  <c r="C87" i="1" s="1"/>
  <c r="C88" i="1" s="1"/>
  <c r="C89" i="1" s="1"/>
  <c r="C90" i="1" s="1"/>
  <c r="C91" i="1" s="1"/>
  <c r="C92" i="1" s="1"/>
  <c r="C93" i="1" s="1"/>
  <c r="C94" i="1" s="1"/>
  <c r="C95" i="1" s="1"/>
  <c r="C96" i="1" s="1"/>
  <c r="C97" i="1" s="1"/>
  <c r="C98" i="1" s="1"/>
  <c r="C99" i="1" s="1"/>
  <c r="C100" i="1" s="1"/>
  <c r="C101" i="1" s="1"/>
  <c r="C102" i="1" s="1"/>
  <c r="C103" i="1" s="1"/>
  <c r="C104" i="1" s="1"/>
  <c r="C105" i="1" s="1"/>
  <c r="C106" i="1" s="1"/>
  <c r="C107" i="1" s="1"/>
  <c r="C108" i="1" s="1"/>
  <c r="C109" i="1" s="1"/>
  <c r="C110" i="1" s="1"/>
  <c r="C111" i="1" s="1"/>
  <c r="C112" i="1" s="1"/>
  <c r="C113" i="1" s="1"/>
  <c r="C114" i="1" s="1"/>
  <c r="C115" i="1" s="1"/>
  <c r="C116" i="1" s="1"/>
  <c r="C117" i="1" s="1"/>
  <c r="C144" i="1"/>
  <c r="C145" i="1" s="1"/>
  <c r="C146" i="1" s="1"/>
  <c r="C147" i="1" s="1"/>
  <c r="C148" i="1" s="1"/>
  <c r="C149" i="1" s="1"/>
  <c r="C150" i="1" s="1"/>
  <c r="C151" i="1" s="1"/>
  <c r="C152" i="1" s="1"/>
  <c r="C153" i="1" s="1"/>
  <c r="C154" i="1" s="1"/>
  <c r="C155" i="1" s="1"/>
  <c r="C156" i="1" s="1"/>
  <c r="C157" i="1" s="1"/>
  <c r="C158" i="1" s="1"/>
  <c r="C159" i="1" s="1"/>
  <c r="U146" i="1"/>
  <c r="U154" i="1"/>
  <c r="U152" i="1"/>
  <c r="C36" i="1"/>
  <c r="U151" i="1"/>
  <c r="U159" i="1"/>
  <c r="U134" i="1"/>
  <c r="C123" i="1"/>
  <c r="C124" i="1" s="1"/>
  <c r="C125" i="1" s="1"/>
  <c r="C126" i="1" s="1"/>
  <c r="C127" i="1" s="1"/>
  <c r="C128" i="1" s="1"/>
  <c r="C129" i="1" s="1"/>
  <c r="C130" i="1" s="1"/>
  <c r="C131" i="1" s="1"/>
  <c r="C132" i="1" s="1"/>
  <c r="C133" i="1" s="1"/>
  <c r="C134" i="1" s="1"/>
  <c r="C135" i="1" s="1"/>
  <c r="C136" i="1" s="1"/>
  <c r="C137" i="1" s="1"/>
  <c r="C138" i="1" s="1"/>
  <c r="U133" i="1"/>
  <c r="U144" i="1"/>
  <c r="C42" i="1"/>
  <c r="C43" i="1" s="1"/>
  <c r="C44" i="1" s="1"/>
  <c r="C45" i="1" s="1"/>
  <c r="C46" i="1" s="1"/>
  <c r="C47" i="1" s="1"/>
  <c r="U132" i="1"/>
  <c r="U115" i="1"/>
  <c r="U45" i="1"/>
  <c r="U46" i="1"/>
  <c r="U47" i="1"/>
  <c r="C64" i="1"/>
  <c r="C65" i="1" s="1"/>
  <c r="E65" i="1" s="1"/>
  <c r="C59" i="1"/>
  <c r="C60" i="1" s="1"/>
  <c r="E60" i="1" s="1"/>
  <c r="C118" i="1"/>
  <c r="C119" i="1" s="1"/>
  <c r="E119" i="1" s="1"/>
  <c r="C31" i="1"/>
  <c r="C32" i="1" s="1"/>
  <c r="E32" i="1" s="1"/>
  <c r="C48" i="1"/>
  <c r="C49" i="1" s="1"/>
  <c r="E49" i="1" s="1"/>
  <c r="C54" i="1"/>
  <c r="C55" i="1" s="1"/>
  <c r="E55" i="1" s="1"/>
  <c r="C139" i="1"/>
  <c r="C140" i="1" s="1"/>
  <c r="E140" i="1" s="1"/>
  <c r="C37" i="1"/>
  <c r="C38" i="1" s="1"/>
  <c r="E38" i="1" s="1"/>
  <c r="C160" i="1"/>
  <c r="C161" i="1" s="1"/>
  <c r="E161" i="1" s="1"/>
  <c r="C69" i="1"/>
  <c r="C70" i="1" s="1"/>
  <c r="E70" i="1" s="1"/>
  <c r="C26" i="1"/>
  <c r="C27" i="1" s="1"/>
  <c r="E27" i="1" s="1"/>
  <c r="E6" i="63"/>
  <c r="E5" i="63"/>
  <c r="U36" i="1" l="1"/>
  <c r="U53" i="1"/>
  <c r="M161" i="1" l="1"/>
  <c r="L161" i="1"/>
  <c r="K161" i="1"/>
  <c r="U63" i="1" l="1"/>
  <c r="U65" i="1" s="1"/>
  <c r="U58" i="1"/>
  <c r="U60" i="1" s="1"/>
  <c r="J161" i="1"/>
  <c r="O161" i="1"/>
  <c r="U41" i="1"/>
  <c r="U49" i="1" s="1"/>
  <c r="U143" i="1"/>
  <c r="U161" i="1" s="1"/>
  <c r="U73" i="1"/>
  <c r="U119" i="1" s="1"/>
  <c r="U52" i="1"/>
  <c r="U55" i="1" s="1"/>
  <c r="U35" i="1"/>
  <c r="U38" i="1" s="1"/>
  <c r="U122" i="1"/>
  <c r="U140" i="1" s="1"/>
  <c r="U68" i="1"/>
  <c r="U70" i="1" s="1"/>
  <c r="U30" i="1"/>
  <c r="U32" i="1" s="1"/>
  <c r="S164" i="1"/>
  <c r="U11" i="1"/>
  <c r="U27" i="1" s="1"/>
  <c r="M164" i="1"/>
  <c r="L164" i="1"/>
  <c r="K164" i="1"/>
  <c r="T164" i="1" l="1"/>
  <c r="R164" i="1"/>
  <c r="Q164" i="1"/>
  <c r="J164" i="1"/>
  <c r="U164" i="1" l="1"/>
  <c r="O164" i="1"/>
</calcChain>
</file>

<file path=xl/sharedStrings.xml><?xml version="1.0" encoding="utf-8"?>
<sst xmlns="http://schemas.openxmlformats.org/spreadsheetml/2006/main" count="2591" uniqueCount="2062">
  <si>
    <t>Hide</t>
  </si>
  <si>
    <t>Item Number</t>
  </si>
  <si>
    <t>Description</t>
  </si>
  <si>
    <t>Item Class</t>
  </si>
  <si>
    <t>Inventory By Location</t>
  </si>
  <si>
    <t>Current Cost</t>
  </si>
  <si>
    <t>Location:</t>
  </si>
  <si>
    <t>Item Class:</t>
  </si>
  <si>
    <t>Run Date:</t>
  </si>
  <si>
    <t>Class Code</t>
  </si>
  <si>
    <t>Grand Total</t>
  </si>
  <si>
    <t>Fit</t>
  </si>
  <si>
    <t>Location</t>
  </si>
  <si>
    <t>Title</t>
  </si>
  <si>
    <t>Value</t>
  </si>
  <si>
    <t>Lookup</t>
  </si>
  <si>
    <t>Option</t>
  </si>
  <si>
    <t>Item Description</t>
  </si>
  <si>
    <t xml:space="preserve">Report Readme </t>
  </si>
  <si>
    <t>About the report</t>
  </si>
  <si>
    <t>Version of Jet</t>
  </si>
  <si>
    <t>Services</t>
  </si>
  <si>
    <t>Training</t>
  </si>
  <si>
    <t>Sales</t>
  </si>
  <si>
    <t>DISCLAIMER</t>
  </si>
  <si>
    <t>Copyrights</t>
  </si>
  <si>
    <t>=NL("Lookup","Jet Item by Location","Location Code")</t>
  </si>
  <si>
    <t>=NL("Lookup","Jet Item by Location","Class Code")</t>
  </si>
  <si>
    <t>=NP("Eval","=Location")</t>
  </si>
  <si>
    <t>=NP("Eval","=ItemClass")</t>
  </si>
  <si>
    <t>=NP("Eval","=Today()")</t>
  </si>
  <si>
    <t>=C12</t>
  </si>
  <si>
    <t>=C13</t>
  </si>
  <si>
    <t>Hide+Auto</t>
  </si>
  <si>
    <t>Fit+Auto</t>
  </si>
  <si>
    <t>Auto</t>
  </si>
  <si>
    <t>=C15</t>
  </si>
  <si>
    <t>=C18</t>
  </si>
  <si>
    <t>=C23</t>
  </si>
  <si>
    <t>=C24</t>
  </si>
  <si>
    <t>=C26</t>
  </si>
  <si>
    <t>=C29</t>
  </si>
  <si>
    <t>=C30</t>
  </si>
  <si>
    <t>=C31</t>
  </si>
  <si>
    <t>=C34</t>
  </si>
  <si>
    <t>=C35</t>
  </si>
  <si>
    <t>=C37</t>
  </si>
  <si>
    <t>=C40</t>
  </si>
  <si>
    <t>=C41</t>
  </si>
  <si>
    <t>=C42</t>
  </si>
  <si>
    <t>=C43</t>
  </si>
  <si>
    <t>=C44</t>
  </si>
  <si>
    <t>=C45</t>
  </si>
  <si>
    <t>=C46</t>
  </si>
  <si>
    <t>=C48</t>
  </si>
  <si>
    <t>=C58</t>
  </si>
  <si>
    <t>=C63</t>
  </si>
  <si>
    <t>=C64</t>
  </si>
  <si>
    <t>=C67</t>
  </si>
  <si>
    <t>=C68</t>
  </si>
  <si>
    <t>=C69</t>
  </si>
  <si>
    <t>=C72</t>
  </si>
  <si>
    <t>=C73</t>
  </si>
  <si>
    <t>=C74</t>
  </si>
  <si>
    <t>=C75</t>
  </si>
  <si>
    <t>=C77</t>
  </si>
  <si>
    <t>=C82</t>
  </si>
  <si>
    <t>=C88</t>
  </si>
  <si>
    <t>=C93</t>
  </si>
  <si>
    <t>=C94</t>
  </si>
  <si>
    <t>=C95</t>
  </si>
  <si>
    <t>=C96</t>
  </si>
  <si>
    <t>=C97</t>
  </si>
  <si>
    <t>=C99</t>
  </si>
  <si>
    <t>=C105</t>
  </si>
  <si>
    <t>Report Options</t>
  </si>
  <si>
    <t>="RETURNS"</t>
  </si>
  <si>
    <t>="WAREHOUSE"</t>
  </si>
  <si>
    <t>=C52</t>
  </si>
  <si>
    <t>=C76</t>
  </si>
  <si>
    <t>=C79</t>
  </si>
  <si>
    <t>="FG-ACT"</t>
  </si>
  <si>
    <t>=C87</t>
  </si>
  <si>
    <t>="FG-STD"</t>
  </si>
  <si>
    <t>=C90</t>
  </si>
  <si>
    <t>="FINGOODS"</t>
  </si>
  <si>
    <t>=C98</t>
  </si>
  <si>
    <t>=C101</t>
  </si>
  <si>
    <t>=C104</t>
  </si>
  <si>
    <t>="MEMORY-1"</t>
  </si>
  <si>
    <t>=C107</t>
  </si>
  <si>
    <t>=NL("Rows=5","Jet Item by Location","Class Code","+Class Code",$F$6)</t>
  </si>
  <si>
    <t>=P9+1</t>
  </si>
  <si>
    <t>=C10</t>
  </si>
  <si>
    <t>=C11</t>
  </si>
  <si>
    <t>=NF($D11,G$8)</t>
  </si>
  <si>
    <t>=C19</t>
  </si>
  <si>
    <t>=C20</t>
  </si>
  <si>
    <t>=C57</t>
  </si>
  <si>
    <t>=C83</t>
  </si>
  <si>
    <t>=C84</t>
  </si>
  <si>
    <t>All listed locations</t>
  </si>
  <si>
    <t>=NL(,"Jet Item by Location",$H$8,$F$8,$F11)</t>
  </si>
  <si>
    <t>=NL(,"Jet Item by Location",$H$8,$F$8,$F12)</t>
  </si>
  <si>
    <t>=NL(,"Jet Item by Location",$H$8,$F$8,$F13)</t>
  </si>
  <si>
    <t>=NL(,"Jet Item by Location",$H$8,$F$8,$F14)</t>
  </si>
  <si>
    <t>=NL(,"Jet Item by Location",$H$8,$F$8,$F19)</t>
  </si>
  <si>
    <t>=NL(,"Jet Item by Location",$H$8,$F$8,$F24)</t>
  </si>
  <si>
    <t>=NL(,"Jet Item by Location",$H$8,$F$8,$F25)</t>
  </si>
  <si>
    <t>=NL(,"Jet Item by Location",$H$8,$F$8,$F30)</t>
  </si>
  <si>
    <t>=NL(,"Jet Item by Location",$H$8,$F$8,$F35)</t>
  </si>
  <si>
    <t>=NL(,"Jet Item by Location",$H$8,$F$8,$F36)</t>
  </si>
  <si>
    <t>=NL(,"Jet Item by Location",$H$8,$F$8,$F41)</t>
  </si>
  <si>
    <t>=NL(,"Jet Item by Location",$H$8,$F$8,$F42)</t>
  </si>
  <si>
    <t>=NL(,"Jet Item by Location",$H$8,$F$8,$F43)</t>
  </si>
  <si>
    <t>=NL(,"Jet Item by Location",$H$8,$F$8,$F44)</t>
  </si>
  <si>
    <t>=NL(,"Jet Item by Location",$H$8,$F$8,$F45)</t>
  </si>
  <si>
    <t>=NL(,"Jet Item by Location",$H$8,$F$8,$F46)</t>
  </si>
  <si>
    <t>=NL(,"Jet Item by Location",$H$8,$F$8,$F47)</t>
  </si>
  <si>
    <t>=NL(,"Jet Item by Location",$H$8,$F$8,$F58)</t>
  </si>
  <si>
    <t>=NL(,"Jet Item by Location",$H$8,$F$8,$F68)</t>
  </si>
  <si>
    <t>=NL(,"Jet Item by Location",$H$8,$F$8,$F73)</t>
  </si>
  <si>
    <t>=NL(,"Jet Item by Location",$H$8,$F$8,$F74)</t>
  </si>
  <si>
    <t>=NL(,"Jet Item by Location",$H$8,$F$8,$F75)</t>
  </si>
  <si>
    <t>=NL(,"Jet Item by Location",$H$8,$F$8,$F76)</t>
  </si>
  <si>
    <t>=NL(,"Jet Item by Location",$H$8,$F$8,$F77)</t>
  </si>
  <si>
    <t>=NL(,"Jet Item by Location",$H$8,$F$8,$F78)</t>
  </si>
  <si>
    <t>=NL(,"Jet Item by Location",$H$8,$F$8,$F83)</t>
  </si>
  <si>
    <t>=NL(,"Jet Item by Location",$H$8,$F$8,$F88)</t>
  </si>
  <si>
    <t>=NL(,"Jet Item by Location",$H$8,$F$8,$F89)</t>
  </si>
  <si>
    <t>=NL(,"Jet Item by Location",$H$8,$F$8,$F94)</t>
  </si>
  <si>
    <t>=NL(,"Jet Item by Location",$H$8,$F$8,$F95)</t>
  </si>
  <si>
    <t>=NL(,"Jet Item by Location",$H$8,$F$8,$F96)</t>
  </si>
  <si>
    <t>=NL(,"Jet Item by Location",$H$8,$F$8,$F97)</t>
  </si>
  <si>
    <t>=NL(,"Jet Item by Location",$H$8,$F$8,$F98)</t>
  </si>
  <si>
    <t>=NL(,"Jet Item by Location",$H$8,$F$8,$F99)</t>
  </si>
  <si>
    <t>=NL(,"Jet Item by Location",$H$8,$F$8,$F100)</t>
  </si>
  <si>
    <t>=NL(,"Jet Item by Location",$H$8,$F$8,$F105)</t>
  </si>
  <si>
    <t>=NL(,"Jet Item by Location",$H$8,$F$8,$F106)</t>
  </si>
  <si>
    <t>fit</t>
  </si>
  <si>
    <t>hide</t>
  </si>
  <si>
    <t>=NL("Columns","Jet Item by Location","Location Code","Location Code",$F$5,"Class Code",$F$6)</t>
  </si>
  <si>
    <t>fit+Auto</t>
  </si>
  <si>
    <t>Quantity on Hand</t>
  </si>
  <si>
    <t>=NL(,"Jet Item by Location","Quantity On Hand","Item Number",$F11,"Location Code","@@"&amp;J$9)</t>
  </si>
  <si>
    <t>=NL(,"Jet Item by Location","Quantity On Hand","Item Number",$F11,"Location Code","@@"&amp;K$9)</t>
  </si>
  <si>
    <t>=NL(,"Jet Item by Location","Quantity On Hand","Item Number",$F11,"Location Code","@@"&amp;L$9)</t>
  </si>
  <si>
    <t>=NL(,"Jet Item by Location","Quantity On Hand","Item Number",$F11,"Location Code","@@"&amp;M$9)</t>
  </si>
  <si>
    <t>=NL(,"Jet Item by Location","Quantity On Hand","Item Number",$F12,"Location Code","@@"&amp;J$9)</t>
  </si>
  <si>
    <t>=NL(,"Jet Item by Location","Quantity On Hand","Item Number",$F12,"Location Code","@@"&amp;K$9)</t>
  </si>
  <si>
    <t>=NL(,"Jet Item by Location","Quantity On Hand","Item Number",$F12,"Location Code","@@"&amp;L$9)</t>
  </si>
  <si>
    <t>=NL(,"Jet Item by Location","Quantity On Hand","Item Number",$F12,"Location Code","@@"&amp;M$9)</t>
  </si>
  <si>
    <t>=NL(,"Jet Item by Location","Quantity On Hand","Item Number",$F13,"Location Code","@@"&amp;J$9)</t>
  </si>
  <si>
    <t>=NL(,"Jet Item by Location","Quantity On Hand","Item Number",$F13,"Location Code","@@"&amp;K$9)</t>
  </si>
  <si>
    <t>=NL(,"Jet Item by Location","Quantity On Hand","Item Number",$F13,"Location Code","@@"&amp;L$9)</t>
  </si>
  <si>
    <t>=NL(,"Jet Item by Location","Quantity On Hand","Item Number",$F13,"Location Code","@@"&amp;M$9)</t>
  </si>
  <si>
    <t>=NL(,"Jet Item by Location","Quantity On Hand","Item Number",$F14,"Location Code","@@"&amp;J$9)</t>
  </si>
  <si>
    <t>=NL(,"Jet Item by Location","Quantity On Hand","Item Number",$F14,"Location Code","@@"&amp;K$9)</t>
  </si>
  <si>
    <t>=NL(,"Jet Item by Location","Quantity On Hand","Item Number",$F14,"Location Code","@@"&amp;L$9)</t>
  </si>
  <si>
    <t>=NL(,"Jet Item by Location","Quantity On Hand","Item Number",$F14,"Location Code","@@"&amp;M$9)</t>
  </si>
  <si>
    <t>=NL(,"Jet Item by Location","Quantity On Hand","Item Number",$F19,"Location Code","@@"&amp;J$9)</t>
  </si>
  <si>
    <t>=NL(,"Jet Item by Location","Quantity On Hand","Item Number",$F19,"Location Code","@@"&amp;K$9)</t>
  </si>
  <si>
    <t>=NL(,"Jet Item by Location","Quantity On Hand","Item Number",$F19,"Location Code","@@"&amp;L$9)</t>
  </si>
  <si>
    <t>=NL(,"Jet Item by Location","Quantity On Hand","Item Number",$F19,"Location Code","@@"&amp;M$9)</t>
  </si>
  <si>
    <t>=NL(,"Jet Item by Location","Quantity On Hand","Item Number",$F24,"Location Code","@@"&amp;J$9)</t>
  </si>
  <si>
    <t>=NL(,"Jet Item by Location","Quantity On Hand","Item Number",$F24,"Location Code","@@"&amp;K$9)</t>
  </si>
  <si>
    <t>=NL(,"Jet Item by Location","Quantity On Hand","Item Number",$F24,"Location Code","@@"&amp;L$9)</t>
  </si>
  <si>
    <t>=NL(,"Jet Item by Location","Quantity On Hand","Item Number",$F24,"Location Code","@@"&amp;M$9)</t>
  </si>
  <si>
    <t>=NL(,"Jet Item by Location","Quantity On Hand","Item Number",$F25,"Location Code","@@"&amp;J$9)</t>
  </si>
  <si>
    <t>=NL(,"Jet Item by Location","Quantity On Hand","Item Number",$F25,"Location Code","@@"&amp;K$9)</t>
  </si>
  <si>
    <t>=NL(,"Jet Item by Location","Quantity On Hand","Item Number",$F25,"Location Code","@@"&amp;L$9)</t>
  </si>
  <si>
    <t>=NL(,"Jet Item by Location","Quantity On Hand","Item Number",$F25,"Location Code","@@"&amp;M$9)</t>
  </si>
  <si>
    <t>=NL(,"Jet Item by Location","Quantity On Hand","Item Number",$F30,"Location Code","@@"&amp;J$9)</t>
  </si>
  <si>
    <t>=NL(,"Jet Item by Location","Quantity On Hand","Item Number",$F30,"Location Code","@@"&amp;K$9)</t>
  </si>
  <si>
    <t>=NL(,"Jet Item by Location","Quantity On Hand","Item Number",$F30,"Location Code","@@"&amp;L$9)</t>
  </si>
  <si>
    <t>=NL(,"Jet Item by Location","Quantity On Hand","Item Number",$F30,"Location Code","@@"&amp;M$9)</t>
  </si>
  <si>
    <t>=NL(,"Jet Item by Location","Quantity On Hand","Item Number",$F35,"Location Code","@@"&amp;J$9)</t>
  </si>
  <si>
    <t>=NL(,"Jet Item by Location","Quantity On Hand","Item Number",$F35,"Location Code","@@"&amp;K$9)</t>
  </si>
  <si>
    <t>=NL(,"Jet Item by Location","Quantity On Hand","Item Number",$F35,"Location Code","@@"&amp;L$9)</t>
  </si>
  <si>
    <t>=NL(,"Jet Item by Location","Quantity On Hand","Item Number",$F35,"Location Code","@@"&amp;M$9)</t>
  </si>
  <si>
    <t>=NL(,"Jet Item by Location","Quantity On Hand","Item Number",$F36,"Location Code","@@"&amp;J$9)</t>
  </si>
  <si>
    <t>=NL(,"Jet Item by Location","Quantity On Hand","Item Number",$F36,"Location Code","@@"&amp;K$9)</t>
  </si>
  <si>
    <t>=NL(,"Jet Item by Location","Quantity On Hand","Item Number",$F36,"Location Code","@@"&amp;L$9)</t>
  </si>
  <si>
    <t>=NL(,"Jet Item by Location","Quantity On Hand","Item Number",$F36,"Location Code","@@"&amp;M$9)</t>
  </si>
  <si>
    <t>=NL(,"Jet Item by Location","Quantity On Hand","Item Number",$F41,"Location Code","@@"&amp;J$9)</t>
  </si>
  <si>
    <t>=NL(,"Jet Item by Location","Quantity On Hand","Item Number",$F41,"Location Code","@@"&amp;K$9)</t>
  </si>
  <si>
    <t>=NL(,"Jet Item by Location","Quantity On Hand","Item Number",$F41,"Location Code","@@"&amp;L$9)</t>
  </si>
  <si>
    <t>=NL(,"Jet Item by Location","Quantity On Hand","Item Number",$F41,"Location Code","@@"&amp;M$9)</t>
  </si>
  <si>
    <t>=NL(,"Jet Item by Location","Quantity On Hand","Item Number",$F42,"Location Code","@@"&amp;J$9)</t>
  </si>
  <si>
    <t>=NL(,"Jet Item by Location","Quantity On Hand","Item Number",$F42,"Location Code","@@"&amp;K$9)</t>
  </si>
  <si>
    <t>=NL(,"Jet Item by Location","Quantity On Hand","Item Number",$F42,"Location Code","@@"&amp;L$9)</t>
  </si>
  <si>
    <t>=NL(,"Jet Item by Location","Quantity On Hand","Item Number",$F42,"Location Code","@@"&amp;M$9)</t>
  </si>
  <si>
    <t>=NL(,"Jet Item by Location","Quantity On Hand","Item Number",$F43,"Location Code","@@"&amp;J$9)</t>
  </si>
  <si>
    <t>=NL(,"Jet Item by Location","Quantity On Hand","Item Number",$F43,"Location Code","@@"&amp;K$9)</t>
  </si>
  <si>
    <t>=NL(,"Jet Item by Location","Quantity On Hand","Item Number",$F43,"Location Code","@@"&amp;L$9)</t>
  </si>
  <si>
    <t>=NL(,"Jet Item by Location","Quantity On Hand","Item Number",$F43,"Location Code","@@"&amp;M$9)</t>
  </si>
  <si>
    <t>=NL(,"Jet Item by Location","Quantity On Hand","Item Number",$F44,"Location Code","@@"&amp;J$9)</t>
  </si>
  <si>
    <t>=NL(,"Jet Item by Location","Quantity On Hand","Item Number",$F44,"Location Code","@@"&amp;K$9)</t>
  </si>
  <si>
    <t>=NL(,"Jet Item by Location","Quantity On Hand","Item Number",$F44,"Location Code","@@"&amp;L$9)</t>
  </si>
  <si>
    <t>=NL(,"Jet Item by Location","Quantity On Hand","Item Number",$F44,"Location Code","@@"&amp;M$9)</t>
  </si>
  <si>
    <t>=NL(,"Jet Item by Location","Quantity On Hand","Item Number",$F45,"Location Code","@@"&amp;J$9)</t>
  </si>
  <si>
    <t>=NL(,"Jet Item by Location","Quantity On Hand","Item Number",$F45,"Location Code","@@"&amp;K$9)</t>
  </si>
  <si>
    <t>=NL(,"Jet Item by Location","Quantity On Hand","Item Number",$F45,"Location Code","@@"&amp;L$9)</t>
  </si>
  <si>
    <t>=NL(,"Jet Item by Location","Quantity On Hand","Item Number",$F45,"Location Code","@@"&amp;M$9)</t>
  </si>
  <si>
    <t>=NL(,"Jet Item by Location","Quantity On Hand","Item Number",$F46,"Location Code","@@"&amp;J$9)</t>
  </si>
  <si>
    <t>=NL(,"Jet Item by Location","Quantity On Hand","Item Number",$F46,"Location Code","@@"&amp;K$9)</t>
  </si>
  <si>
    <t>=NL(,"Jet Item by Location","Quantity On Hand","Item Number",$F46,"Location Code","@@"&amp;L$9)</t>
  </si>
  <si>
    <t>=NL(,"Jet Item by Location","Quantity On Hand","Item Number",$F46,"Location Code","@@"&amp;M$9)</t>
  </si>
  <si>
    <t>=NL(,"Jet Item by Location","Quantity On Hand","Item Number",$F47,"Location Code","@@"&amp;J$9)</t>
  </si>
  <si>
    <t>=NL(,"Jet Item by Location","Quantity On Hand","Item Number",$F47,"Location Code","@@"&amp;K$9)</t>
  </si>
  <si>
    <t>=NL(,"Jet Item by Location","Quantity On Hand","Item Number",$F47,"Location Code","@@"&amp;L$9)</t>
  </si>
  <si>
    <t>=NL(,"Jet Item by Location","Quantity On Hand","Item Number",$F47,"Location Code","@@"&amp;M$9)</t>
  </si>
  <si>
    <t>=NL(,"Jet Item by Location","Quantity On Hand","Item Number",$F58,"Location Code","@@"&amp;J$9)</t>
  </si>
  <si>
    <t>=NL(,"Jet Item by Location","Quantity On Hand","Item Number",$F58,"Location Code","@@"&amp;K$9)</t>
  </si>
  <si>
    <t>=NL(,"Jet Item by Location","Quantity On Hand","Item Number",$F58,"Location Code","@@"&amp;L$9)</t>
  </si>
  <si>
    <t>=NL(,"Jet Item by Location","Quantity On Hand","Item Number",$F58,"Location Code","@@"&amp;M$9)</t>
  </si>
  <si>
    <t>=NL(,"Jet Item by Location","Quantity On Hand","Item Number",$F68,"Location Code","@@"&amp;J$9)</t>
  </si>
  <si>
    <t>=NL(,"Jet Item by Location","Quantity On Hand","Item Number",$F68,"Location Code","@@"&amp;K$9)</t>
  </si>
  <si>
    <t>=NL(,"Jet Item by Location","Quantity On Hand","Item Number",$F68,"Location Code","@@"&amp;L$9)</t>
  </si>
  <si>
    <t>=NL(,"Jet Item by Location","Quantity On Hand","Item Number",$F68,"Location Code","@@"&amp;M$9)</t>
  </si>
  <si>
    <t>=NL(,"Jet Item by Location","Quantity On Hand","Item Number",$F73,"Location Code","@@"&amp;J$9)</t>
  </si>
  <si>
    <t>=NL(,"Jet Item by Location","Quantity On Hand","Item Number",$F73,"Location Code","@@"&amp;K$9)</t>
  </si>
  <si>
    <t>=NL(,"Jet Item by Location","Quantity On Hand","Item Number",$F73,"Location Code","@@"&amp;L$9)</t>
  </si>
  <si>
    <t>=NL(,"Jet Item by Location","Quantity On Hand","Item Number",$F73,"Location Code","@@"&amp;M$9)</t>
  </si>
  <si>
    <t>=NL(,"Jet Item by Location","Quantity On Hand","Item Number",$F74,"Location Code","@@"&amp;J$9)</t>
  </si>
  <si>
    <t>=NL(,"Jet Item by Location","Quantity On Hand","Item Number",$F74,"Location Code","@@"&amp;K$9)</t>
  </si>
  <si>
    <t>=NL(,"Jet Item by Location","Quantity On Hand","Item Number",$F74,"Location Code","@@"&amp;L$9)</t>
  </si>
  <si>
    <t>=NL(,"Jet Item by Location","Quantity On Hand","Item Number",$F74,"Location Code","@@"&amp;M$9)</t>
  </si>
  <si>
    <t>=NL(,"Jet Item by Location","Quantity On Hand","Item Number",$F75,"Location Code","@@"&amp;J$9)</t>
  </si>
  <si>
    <t>=NL(,"Jet Item by Location","Quantity On Hand","Item Number",$F75,"Location Code","@@"&amp;K$9)</t>
  </si>
  <si>
    <t>=NL(,"Jet Item by Location","Quantity On Hand","Item Number",$F75,"Location Code","@@"&amp;L$9)</t>
  </si>
  <si>
    <t>=NL(,"Jet Item by Location","Quantity On Hand","Item Number",$F75,"Location Code","@@"&amp;M$9)</t>
  </si>
  <si>
    <t>=NL(,"Jet Item by Location","Quantity On Hand","Item Number",$F76,"Location Code","@@"&amp;J$9)</t>
  </si>
  <si>
    <t>=NL(,"Jet Item by Location","Quantity On Hand","Item Number",$F76,"Location Code","@@"&amp;K$9)</t>
  </si>
  <si>
    <t>=NL(,"Jet Item by Location","Quantity On Hand","Item Number",$F76,"Location Code","@@"&amp;L$9)</t>
  </si>
  <si>
    <t>=NL(,"Jet Item by Location","Quantity On Hand","Item Number",$F76,"Location Code","@@"&amp;M$9)</t>
  </si>
  <si>
    <t>=NL(,"Jet Item by Location","Quantity On Hand","Item Number",$F77,"Location Code","@@"&amp;J$9)</t>
  </si>
  <si>
    <t>=NL(,"Jet Item by Location","Quantity On Hand","Item Number",$F77,"Location Code","@@"&amp;K$9)</t>
  </si>
  <si>
    <t>=NL(,"Jet Item by Location","Quantity On Hand","Item Number",$F77,"Location Code","@@"&amp;L$9)</t>
  </si>
  <si>
    <t>=NL(,"Jet Item by Location","Quantity On Hand","Item Number",$F77,"Location Code","@@"&amp;M$9)</t>
  </si>
  <si>
    <t>=NL(,"Jet Item by Location","Quantity On Hand","Item Number",$F78,"Location Code","@@"&amp;J$9)</t>
  </si>
  <si>
    <t>=NL(,"Jet Item by Location","Quantity On Hand","Item Number",$F78,"Location Code","@@"&amp;K$9)</t>
  </si>
  <si>
    <t>=NL(,"Jet Item by Location","Quantity On Hand","Item Number",$F78,"Location Code","@@"&amp;L$9)</t>
  </si>
  <si>
    <t>=NL(,"Jet Item by Location","Quantity On Hand","Item Number",$F78,"Location Code","@@"&amp;M$9)</t>
  </si>
  <si>
    <t>=NL(,"Jet Item by Location","Quantity On Hand","Item Number",$F83,"Location Code","@@"&amp;J$9)</t>
  </si>
  <si>
    <t>=NL(,"Jet Item by Location","Quantity On Hand","Item Number",$F83,"Location Code","@@"&amp;K$9)</t>
  </si>
  <si>
    <t>=NL(,"Jet Item by Location","Quantity On Hand","Item Number",$F83,"Location Code","@@"&amp;L$9)</t>
  </si>
  <si>
    <t>=NL(,"Jet Item by Location","Quantity On Hand","Item Number",$F83,"Location Code","@@"&amp;M$9)</t>
  </si>
  <si>
    <t>=NL(,"Jet Item by Location","Quantity On Hand","Item Number",$F88,"Location Code","@@"&amp;J$9)</t>
  </si>
  <si>
    <t>=NL(,"Jet Item by Location","Quantity On Hand","Item Number",$F88,"Location Code","@@"&amp;K$9)</t>
  </si>
  <si>
    <t>=NL(,"Jet Item by Location","Quantity On Hand","Item Number",$F88,"Location Code","@@"&amp;L$9)</t>
  </si>
  <si>
    <t>=NL(,"Jet Item by Location","Quantity On Hand","Item Number",$F88,"Location Code","@@"&amp;M$9)</t>
  </si>
  <si>
    <t>=NL(,"Jet Item by Location","Quantity On Hand","Item Number",$F89,"Location Code","@@"&amp;J$9)</t>
  </si>
  <si>
    <t>=NL(,"Jet Item by Location","Quantity On Hand","Item Number",$F89,"Location Code","@@"&amp;K$9)</t>
  </si>
  <si>
    <t>=NL(,"Jet Item by Location","Quantity On Hand","Item Number",$F89,"Location Code","@@"&amp;L$9)</t>
  </si>
  <si>
    <t>=NL(,"Jet Item by Location","Quantity On Hand","Item Number",$F89,"Location Code","@@"&amp;M$9)</t>
  </si>
  <si>
    <t>=NL(,"Jet Item by Location","Quantity On Hand","Item Number",$F94,"Location Code","@@"&amp;J$9)</t>
  </si>
  <si>
    <t>=NL(,"Jet Item by Location","Quantity On Hand","Item Number",$F94,"Location Code","@@"&amp;K$9)</t>
  </si>
  <si>
    <t>=NL(,"Jet Item by Location","Quantity On Hand","Item Number",$F94,"Location Code","@@"&amp;L$9)</t>
  </si>
  <si>
    <t>=NL(,"Jet Item by Location","Quantity On Hand","Item Number",$F94,"Location Code","@@"&amp;M$9)</t>
  </si>
  <si>
    <t>=NL(,"Jet Item by Location","Quantity On Hand","Item Number",$F95,"Location Code","@@"&amp;J$9)</t>
  </si>
  <si>
    <t>=NL(,"Jet Item by Location","Quantity On Hand","Item Number",$F95,"Location Code","@@"&amp;K$9)</t>
  </si>
  <si>
    <t>=NL(,"Jet Item by Location","Quantity On Hand","Item Number",$F95,"Location Code","@@"&amp;L$9)</t>
  </si>
  <si>
    <t>=NL(,"Jet Item by Location","Quantity On Hand","Item Number",$F95,"Location Code","@@"&amp;M$9)</t>
  </si>
  <si>
    <t>=NL(,"Jet Item by Location","Quantity On Hand","Item Number",$F96,"Location Code","@@"&amp;J$9)</t>
  </si>
  <si>
    <t>=NL(,"Jet Item by Location","Quantity On Hand","Item Number",$F96,"Location Code","@@"&amp;K$9)</t>
  </si>
  <si>
    <t>=NL(,"Jet Item by Location","Quantity On Hand","Item Number",$F96,"Location Code","@@"&amp;L$9)</t>
  </si>
  <si>
    <t>=NL(,"Jet Item by Location","Quantity On Hand","Item Number",$F96,"Location Code","@@"&amp;M$9)</t>
  </si>
  <si>
    <t>=NL(,"Jet Item by Location","Quantity On Hand","Item Number",$F97,"Location Code","@@"&amp;J$9)</t>
  </si>
  <si>
    <t>=NL(,"Jet Item by Location","Quantity On Hand","Item Number",$F97,"Location Code","@@"&amp;K$9)</t>
  </si>
  <si>
    <t>=NL(,"Jet Item by Location","Quantity On Hand","Item Number",$F97,"Location Code","@@"&amp;L$9)</t>
  </si>
  <si>
    <t>=NL(,"Jet Item by Location","Quantity On Hand","Item Number",$F97,"Location Code","@@"&amp;M$9)</t>
  </si>
  <si>
    <t>=NL(,"Jet Item by Location","Quantity On Hand","Item Number",$F98,"Location Code","@@"&amp;J$9)</t>
  </si>
  <si>
    <t>=NL(,"Jet Item by Location","Quantity On Hand","Item Number",$F98,"Location Code","@@"&amp;K$9)</t>
  </si>
  <si>
    <t>=NL(,"Jet Item by Location","Quantity On Hand","Item Number",$F98,"Location Code","@@"&amp;L$9)</t>
  </si>
  <si>
    <t>=NL(,"Jet Item by Location","Quantity On Hand","Item Number",$F98,"Location Code","@@"&amp;M$9)</t>
  </si>
  <si>
    <t>=NL(,"Jet Item by Location","Quantity On Hand","Item Number",$F99,"Location Code","@@"&amp;J$9)</t>
  </si>
  <si>
    <t>=NL(,"Jet Item by Location","Quantity On Hand","Item Number",$F99,"Location Code","@@"&amp;K$9)</t>
  </si>
  <si>
    <t>=NL(,"Jet Item by Location","Quantity On Hand","Item Number",$F99,"Location Code","@@"&amp;L$9)</t>
  </si>
  <si>
    <t>=NL(,"Jet Item by Location","Quantity On Hand","Item Number",$F99,"Location Code","@@"&amp;M$9)</t>
  </si>
  <si>
    <t>=NL(,"Jet Item by Location","Quantity On Hand","Item Number",$F100,"Location Code","@@"&amp;J$9)</t>
  </si>
  <si>
    <t>=NL(,"Jet Item by Location","Quantity On Hand","Item Number",$F100,"Location Code","@@"&amp;K$9)</t>
  </si>
  <si>
    <t>=NL(,"Jet Item by Location","Quantity On Hand","Item Number",$F100,"Location Code","@@"&amp;L$9)</t>
  </si>
  <si>
    <t>=NL(,"Jet Item by Location","Quantity On Hand","Item Number",$F100,"Location Code","@@"&amp;M$9)</t>
  </si>
  <si>
    <t>=NL(,"Jet Item by Location","Quantity On Hand","Item Number",$F105,"Location Code","@@"&amp;J$9)</t>
  </si>
  <si>
    <t>=NL(,"Jet Item by Location","Quantity On Hand","Item Number",$F105,"Location Code","@@"&amp;K$9)</t>
  </si>
  <si>
    <t>=NL(,"Jet Item by Location","Quantity On Hand","Item Number",$F105,"Location Code","@@"&amp;L$9)</t>
  </si>
  <si>
    <t>=NL(,"Jet Item by Location","Quantity On Hand","Item Number",$F105,"Location Code","@@"&amp;M$9)</t>
  </si>
  <si>
    <t>=NL(,"Jet Item by Location","Quantity On Hand","Item Number",$F106,"Location Code","@@"&amp;J$9)</t>
  </si>
  <si>
    <t>=NL(,"Jet Item by Location","Quantity On Hand","Item Number",$F106,"Location Code","@@"&amp;K$9)</t>
  </si>
  <si>
    <t>=NL(,"Jet Item by Location","Quantity On Hand","Item Number",$F106,"Location Code","@@"&amp;L$9)</t>
  </si>
  <si>
    <t>=NL(,"Jet Item by Location","Quantity On Hand","Item Number",$F106,"Location Code","@@"&amp;M$9)</t>
  </si>
  <si>
    <t>=IFERROR($H11*NL(,"Jet Item by Location","Quantity On Hand","Item Number",$F11,"Location Code","@@"&amp;R$9),"")</t>
  </si>
  <si>
    <t>=IFERROR($H11*NL(,"Jet Item by Location","Quantity On Hand","Item Number",$F11,"Location Code","@@"&amp;S$9),"")</t>
  </si>
  <si>
    <t>=IFERROR($H11*NL(,"Jet Item by Location","Quantity On Hand","Item Number",$F11,"Location Code","@@"&amp;T$9),"")</t>
  </si>
  <si>
    <t>=IFERROR($H12*NL(,"Jet Item by Location","Quantity On Hand","Item Number",$F12,"Location Code","@@"&amp;R$9),"")</t>
  </si>
  <si>
    <t>=IFERROR($H12*NL(,"Jet Item by Location","Quantity On Hand","Item Number",$F12,"Location Code","@@"&amp;S$9),"")</t>
  </si>
  <si>
    <t>=IFERROR($H12*NL(,"Jet Item by Location","Quantity On Hand","Item Number",$F12,"Location Code","@@"&amp;T$9),"")</t>
  </si>
  <si>
    <t>=IFERROR($H13*NL(,"Jet Item by Location","Quantity On Hand","Item Number",$F13,"Location Code","@@"&amp;R$9),"")</t>
  </si>
  <si>
    <t>=IFERROR($H13*NL(,"Jet Item by Location","Quantity On Hand","Item Number",$F13,"Location Code","@@"&amp;S$9),"")</t>
  </si>
  <si>
    <t>=IFERROR($H13*NL(,"Jet Item by Location","Quantity On Hand","Item Number",$F13,"Location Code","@@"&amp;T$9),"")</t>
  </si>
  <si>
    <t>=IFERROR($H14*NL(,"Jet Item by Location","Quantity On Hand","Item Number",$F14,"Location Code","@@"&amp;R$9),"")</t>
  </si>
  <si>
    <t>=IFERROR($H14*NL(,"Jet Item by Location","Quantity On Hand","Item Number",$F14,"Location Code","@@"&amp;S$9),"")</t>
  </si>
  <si>
    <t>=IFERROR($H14*NL(,"Jet Item by Location","Quantity On Hand","Item Number",$F14,"Location Code","@@"&amp;T$9),"")</t>
  </si>
  <si>
    <t>=IFERROR($H19*NL(,"Jet Item by Location","Quantity On Hand","Item Number",$F19,"Location Code","@@"&amp;R$9),"")</t>
  </si>
  <si>
    <t>=IFERROR($H19*NL(,"Jet Item by Location","Quantity On Hand","Item Number",$F19,"Location Code","@@"&amp;S$9),"")</t>
  </si>
  <si>
    <t>=IFERROR($H19*NL(,"Jet Item by Location","Quantity On Hand","Item Number",$F19,"Location Code","@@"&amp;T$9),"")</t>
  </si>
  <si>
    <t>=IFERROR($H24*NL(,"Jet Item by Location","Quantity On Hand","Item Number",$F24,"Location Code","@@"&amp;R$9),"")</t>
  </si>
  <si>
    <t>=IFERROR($H24*NL(,"Jet Item by Location","Quantity On Hand","Item Number",$F24,"Location Code","@@"&amp;S$9),"")</t>
  </si>
  <si>
    <t>=IFERROR($H24*NL(,"Jet Item by Location","Quantity On Hand","Item Number",$F24,"Location Code","@@"&amp;T$9),"")</t>
  </si>
  <si>
    <t>=IFERROR($H25*NL(,"Jet Item by Location","Quantity On Hand","Item Number",$F25,"Location Code","@@"&amp;R$9),"")</t>
  </si>
  <si>
    <t>=IFERROR($H25*NL(,"Jet Item by Location","Quantity On Hand","Item Number",$F25,"Location Code","@@"&amp;S$9),"")</t>
  </si>
  <si>
    <t>=IFERROR($H25*NL(,"Jet Item by Location","Quantity On Hand","Item Number",$F25,"Location Code","@@"&amp;T$9),"")</t>
  </si>
  <si>
    <t>=IFERROR($H30*NL(,"Jet Item by Location","Quantity On Hand","Item Number",$F30,"Location Code","@@"&amp;R$9),"")</t>
  </si>
  <si>
    <t>=IFERROR($H30*NL(,"Jet Item by Location","Quantity On Hand","Item Number",$F30,"Location Code","@@"&amp;S$9),"")</t>
  </si>
  <si>
    <t>=IFERROR($H30*NL(,"Jet Item by Location","Quantity On Hand","Item Number",$F30,"Location Code","@@"&amp;T$9),"")</t>
  </si>
  <si>
    <t>=IFERROR($H35*NL(,"Jet Item by Location","Quantity On Hand","Item Number",$F35,"Location Code","@@"&amp;R$9),"")</t>
  </si>
  <si>
    <t>=IFERROR($H35*NL(,"Jet Item by Location","Quantity On Hand","Item Number",$F35,"Location Code","@@"&amp;S$9),"")</t>
  </si>
  <si>
    <t>=IFERROR($H35*NL(,"Jet Item by Location","Quantity On Hand","Item Number",$F35,"Location Code","@@"&amp;T$9),"")</t>
  </si>
  <si>
    <t>=IFERROR($H36*NL(,"Jet Item by Location","Quantity On Hand","Item Number",$F36,"Location Code","@@"&amp;R$9),"")</t>
  </si>
  <si>
    <t>=IFERROR($H36*NL(,"Jet Item by Location","Quantity On Hand","Item Number",$F36,"Location Code","@@"&amp;S$9),"")</t>
  </si>
  <si>
    <t>=IFERROR($H36*NL(,"Jet Item by Location","Quantity On Hand","Item Number",$F36,"Location Code","@@"&amp;T$9),"")</t>
  </si>
  <si>
    <t>=IFERROR($H41*NL(,"Jet Item by Location","Quantity On Hand","Item Number",$F41,"Location Code","@@"&amp;R$9),"")</t>
  </si>
  <si>
    <t>=IFERROR($H41*NL(,"Jet Item by Location","Quantity On Hand","Item Number",$F41,"Location Code","@@"&amp;S$9),"")</t>
  </si>
  <si>
    <t>=IFERROR($H41*NL(,"Jet Item by Location","Quantity On Hand","Item Number",$F41,"Location Code","@@"&amp;T$9),"")</t>
  </si>
  <si>
    <t>=IFERROR($H42*NL(,"Jet Item by Location","Quantity On Hand","Item Number",$F42,"Location Code","@@"&amp;R$9),"")</t>
  </si>
  <si>
    <t>=IFERROR($H42*NL(,"Jet Item by Location","Quantity On Hand","Item Number",$F42,"Location Code","@@"&amp;S$9),"")</t>
  </si>
  <si>
    <t>=IFERROR($H42*NL(,"Jet Item by Location","Quantity On Hand","Item Number",$F42,"Location Code","@@"&amp;T$9),"")</t>
  </si>
  <si>
    <t>=IFERROR($H43*NL(,"Jet Item by Location","Quantity On Hand","Item Number",$F43,"Location Code","@@"&amp;R$9),"")</t>
  </si>
  <si>
    <t>=IFERROR($H43*NL(,"Jet Item by Location","Quantity On Hand","Item Number",$F43,"Location Code","@@"&amp;S$9),"")</t>
  </si>
  <si>
    <t>=IFERROR($H43*NL(,"Jet Item by Location","Quantity On Hand","Item Number",$F43,"Location Code","@@"&amp;T$9),"")</t>
  </si>
  <si>
    <t>=IFERROR($H44*NL(,"Jet Item by Location","Quantity On Hand","Item Number",$F44,"Location Code","@@"&amp;R$9),"")</t>
  </si>
  <si>
    <t>=IFERROR($H44*NL(,"Jet Item by Location","Quantity On Hand","Item Number",$F44,"Location Code","@@"&amp;S$9),"")</t>
  </si>
  <si>
    <t>=IFERROR($H44*NL(,"Jet Item by Location","Quantity On Hand","Item Number",$F44,"Location Code","@@"&amp;T$9),"")</t>
  </si>
  <si>
    <t>=IFERROR($H45*NL(,"Jet Item by Location","Quantity On Hand","Item Number",$F45,"Location Code","@@"&amp;R$9),"")</t>
  </si>
  <si>
    <t>=IFERROR($H45*NL(,"Jet Item by Location","Quantity On Hand","Item Number",$F45,"Location Code","@@"&amp;S$9),"")</t>
  </si>
  <si>
    <t>=IFERROR($H45*NL(,"Jet Item by Location","Quantity On Hand","Item Number",$F45,"Location Code","@@"&amp;T$9),"")</t>
  </si>
  <si>
    <t>=IFERROR($H46*NL(,"Jet Item by Location","Quantity On Hand","Item Number",$F46,"Location Code","@@"&amp;R$9),"")</t>
  </si>
  <si>
    <t>=IFERROR($H46*NL(,"Jet Item by Location","Quantity On Hand","Item Number",$F46,"Location Code","@@"&amp;S$9),"")</t>
  </si>
  <si>
    <t>=IFERROR($H46*NL(,"Jet Item by Location","Quantity On Hand","Item Number",$F46,"Location Code","@@"&amp;T$9),"")</t>
  </si>
  <si>
    <t>=IFERROR($H47*NL(,"Jet Item by Location","Quantity On Hand","Item Number",$F47,"Location Code","@@"&amp;R$9),"")</t>
  </si>
  <si>
    <t>=IFERROR($H47*NL(,"Jet Item by Location","Quantity On Hand","Item Number",$F47,"Location Code","@@"&amp;S$9),"")</t>
  </si>
  <si>
    <t>=IFERROR($H47*NL(,"Jet Item by Location","Quantity On Hand","Item Number",$F47,"Location Code","@@"&amp;T$9),"")</t>
  </si>
  <si>
    <t>=IFERROR($H58*NL(,"Jet Item by Location","Quantity On Hand","Item Number",$F58,"Location Code","@@"&amp;R$9),"")</t>
  </si>
  <si>
    <t>=IFERROR($H58*NL(,"Jet Item by Location","Quantity On Hand","Item Number",$F58,"Location Code","@@"&amp;S$9),"")</t>
  </si>
  <si>
    <t>=IFERROR($H58*NL(,"Jet Item by Location","Quantity On Hand","Item Number",$F58,"Location Code","@@"&amp;T$9),"")</t>
  </si>
  <si>
    <t>=IFERROR($H68*NL(,"Jet Item by Location","Quantity On Hand","Item Number",$F68,"Location Code","@@"&amp;R$9),"")</t>
  </si>
  <si>
    <t>=IFERROR($H68*NL(,"Jet Item by Location","Quantity On Hand","Item Number",$F68,"Location Code","@@"&amp;S$9),"")</t>
  </si>
  <si>
    <t>=IFERROR($H68*NL(,"Jet Item by Location","Quantity On Hand","Item Number",$F68,"Location Code","@@"&amp;T$9),"")</t>
  </si>
  <si>
    <t>=IFERROR($H73*NL(,"Jet Item by Location","Quantity On Hand","Item Number",$F73,"Location Code","@@"&amp;R$9),"")</t>
  </si>
  <si>
    <t>=IFERROR($H73*NL(,"Jet Item by Location","Quantity On Hand","Item Number",$F73,"Location Code","@@"&amp;S$9),"")</t>
  </si>
  <si>
    <t>=IFERROR($H73*NL(,"Jet Item by Location","Quantity On Hand","Item Number",$F73,"Location Code","@@"&amp;T$9),"")</t>
  </si>
  <si>
    <t>=IFERROR($H74*NL(,"Jet Item by Location","Quantity On Hand","Item Number",$F74,"Location Code","@@"&amp;R$9),"")</t>
  </si>
  <si>
    <t>=IFERROR($H74*NL(,"Jet Item by Location","Quantity On Hand","Item Number",$F74,"Location Code","@@"&amp;S$9),"")</t>
  </si>
  <si>
    <t>=IFERROR($H74*NL(,"Jet Item by Location","Quantity On Hand","Item Number",$F74,"Location Code","@@"&amp;T$9),"")</t>
  </si>
  <si>
    <t>=IFERROR($H75*NL(,"Jet Item by Location","Quantity On Hand","Item Number",$F75,"Location Code","@@"&amp;R$9),"")</t>
  </si>
  <si>
    <t>=IFERROR($H75*NL(,"Jet Item by Location","Quantity On Hand","Item Number",$F75,"Location Code","@@"&amp;S$9),"")</t>
  </si>
  <si>
    <t>=IFERROR($H75*NL(,"Jet Item by Location","Quantity On Hand","Item Number",$F75,"Location Code","@@"&amp;T$9),"")</t>
  </si>
  <si>
    <t>=IFERROR($H76*NL(,"Jet Item by Location","Quantity On Hand","Item Number",$F76,"Location Code","@@"&amp;R$9),"")</t>
  </si>
  <si>
    <t>=IFERROR($H76*NL(,"Jet Item by Location","Quantity On Hand","Item Number",$F76,"Location Code","@@"&amp;S$9),"")</t>
  </si>
  <si>
    <t>=IFERROR($H76*NL(,"Jet Item by Location","Quantity On Hand","Item Number",$F76,"Location Code","@@"&amp;T$9),"")</t>
  </si>
  <si>
    <t>=IFERROR($H77*NL(,"Jet Item by Location","Quantity On Hand","Item Number",$F77,"Location Code","@@"&amp;R$9),"")</t>
  </si>
  <si>
    <t>=IFERROR($H77*NL(,"Jet Item by Location","Quantity On Hand","Item Number",$F77,"Location Code","@@"&amp;S$9),"")</t>
  </si>
  <si>
    <t>=IFERROR($H77*NL(,"Jet Item by Location","Quantity On Hand","Item Number",$F77,"Location Code","@@"&amp;T$9),"")</t>
  </si>
  <si>
    <t>=IFERROR($H78*NL(,"Jet Item by Location","Quantity On Hand","Item Number",$F78,"Location Code","@@"&amp;R$9),"")</t>
  </si>
  <si>
    <t>=IFERROR($H78*NL(,"Jet Item by Location","Quantity On Hand","Item Number",$F78,"Location Code","@@"&amp;S$9),"")</t>
  </si>
  <si>
    <t>=IFERROR($H78*NL(,"Jet Item by Location","Quantity On Hand","Item Number",$F78,"Location Code","@@"&amp;T$9),"")</t>
  </si>
  <si>
    <t>=IFERROR($H83*NL(,"Jet Item by Location","Quantity On Hand","Item Number",$F83,"Location Code","@@"&amp;R$9),"")</t>
  </si>
  <si>
    <t>=IFERROR($H83*NL(,"Jet Item by Location","Quantity On Hand","Item Number",$F83,"Location Code","@@"&amp;S$9),"")</t>
  </si>
  <si>
    <t>=IFERROR($H83*NL(,"Jet Item by Location","Quantity On Hand","Item Number",$F83,"Location Code","@@"&amp;T$9),"")</t>
  </si>
  <si>
    <t>=IFERROR($H88*NL(,"Jet Item by Location","Quantity On Hand","Item Number",$F88,"Location Code","@@"&amp;R$9),"")</t>
  </si>
  <si>
    <t>=IFERROR($H88*NL(,"Jet Item by Location","Quantity On Hand","Item Number",$F88,"Location Code","@@"&amp;S$9),"")</t>
  </si>
  <si>
    <t>=IFERROR($H88*NL(,"Jet Item by Location","Quantity On Hand","Item Number",$F88,"Location Code","@@"&amp;T$9),"")</t>
  </si>
  <si>
    <t>=IFERROR($H89*NL(,"Jet Item by Location","Quantity On Hand","Item Number",$F89,"Location Code","@@"&amp;R$9),"")</t>
  </si>
  <si>
    <t>=IFERROR($H89*NL(,"Jet Item by Location","Quantity On Hand","Item Number",$F89,"Location Code","@@"&amp;S$9),"")</t>
  </si>
  <si>
    <t>=IFERROR($H89*NL(,"Jet Item by Location","Quantity On Hand","Item Number",$F89,"Location Code","@@"&amp;T$9),"")</t>
  </si>
  <si>
    <t>=IFERROR($H94*NL(,"Jet Item by Location","Quantity On Hand","Item Number",$F94,"Location Code","@@"&amp;R$9),"")</t>
  </si>
  <si>
    <t>=IFERROR($H94*NL(,"Jet Item by Location","Quantity On Hand","Item Number",$F94,"Location Code","@@"&amp;S$9),"")</t>
  </si>
  <si>
    <t>=IFERROR($H94*NL(,"Jet Item by Location","Quantity On Hand","Item Number",$F94,"Location Code","@@"&amp;T$9),"")</t>
  </si>
  <si>
    <t>=IFERROR($H95*NL(,"Jet Item by Location","Quantity On Hand","Item Number",$F95,"Location Code","@@"&amp;R$9),"")</t>
  </si>
  <si>
    <t>=IFERROR($H95*NL(,"Jet Item by Location","Quantity On Hand","Item Number",$F95,"Location Code","@@"&amp;S$9),"")</t>
  </si>
  <si>
    <t>=IFERROR($H95*NL(,"Jet Item by Location","Quantity On Hand","Item Number",$F95,"Location Code","@@"&amp;T$9),"")</t>
  </si>
  <si>
    <t>=IFERROR($H96*NL(,"Jet Item by Location","Quantity On Hand","Item Number",$F96,"Location Code","@@"&amp;R$9),"")</t>
  </si>
  <si>
    <t>=IFERROR($H96*NL(,"Jet Item by Location","Quantity On Hand","Item Number",$F96,"Location Code","@@"&amp;S$9),"")</t>
  </si>
  <si>
    <t>=IFERROR($H96*NL(,"Jet Item by Location","Quantity On Hand","Item Number",$F96,"Location Code","@@"&amp;T$9),"")</t>
  </si>
  <si>
    <t>=IFERROR($H97*NL(,"Jet Item by Location","Quantity On Hand","Item Number",$F97,"Location Code","@@"&amp;R$9),"")</t>
  </si>
  <si>
    <t>=IFERROR($H97*NL(,"Jet Item by Location","Quantity On Hand","Item Number",$F97,"Location Code","@@"&amp;S$9),"")</t>
  </si>
  <si>
    <t>=IFERROR($H97*NL(,"Jet Item by Location","Quantity On Hand","Item Number",$F97,"Location Code","@@"&amp;T$9),"")</t>
  </si>
  <si>
    <t>=IFERROR($H98*NL(,"Jet Item by Location","Quantity On Hand","Item Number",$F98,"Location Code","@@"&amp;R$9),"")</t>
  </si>
  <si>
    <t>=IFERROR($H98*NL(,"Jet Item by Location","Quantity On Hand","Item Number",$F98,"Location Code","@@"&amp;S$9),"")</t>
  </si>
  <si>
    <t>=IFERROR($H98*NL(,"Jet Item by Location","Quantity On Hand","Item Number",$F98,"Location Code","@@"&amp;T$9),"")</t>
  </si>
  <si>
    <t>=IFERROR($H99*NL(,"Jet Item by Location","Quantity On Hand","Item Number",$F99,"Location Code","@@"&amp;R$9),"")</t>
  </si>
  <si>
    <t>=IFERROR($H99*NL(,"Jet Item by Location","Quantity On Hand","Item Number",$F99,"Location Code","@@"&amp;S$9),"")</t>
  </si>
  <si>
    <t>=IFERROR($H99*NL(,"Jet Item by Location","Quantity On Hand","Item Number",$F99,"Location Code","@@"&amp;T$9),"")</t>
  </si>
  <si>
    <t>=IFERROR($H100*NL(,"Jet Item by Location","Quantity On Hand","Item Number",$F100,"Location Code","@@"&amp;R$9),"")</t>
  </si>
  <si>
    <t>=IFERROR($H100*NL(,"Jet Item by Location","Quantity On Hand","Item Number",$F100,"Location Code","@@"&amp;S$9),"")</t>
  </si>
  <si>
    <t>=IFERROR($H100*NL(,"Jet Item by Location","Quantity On Hand","Item Number",$F100,"Location Code","@@"&amp;T$9),"")</t>
  </si>
  <si>
    <t>=IFERROR($H105*NL(,"Jet Item by Location","Quantity On Hand","Item Number",$F105,"Location Code","@@"&amp;R$9),"")</t>
  </si>
  <si>
    <t>=IFERROR($H105*NL(,"Jet Item by Location","Quantity On Hand","Item Number",$F105,"Location Code","@@"&amp;S$9),"")</t>
  </si>
  <si>
    <t>=IFERROR($H105*NL(,"Jet Item by Location","Quantity On Hand","Item Number",$F105,"Location Code","@@"&amp;T$9),"")</t>
  </si>
  <si>
    <t>=IFERROR($H106*NL(,"Jet Item by Location","Quantity On Hand","Item Number",$F106,"Location Code","@@"&amp;R$9),"")</t>
  </si>
  <si>
    <t>=IFERROR($H106*NL(,"Jet Item by Location","Quantity On Hand","Item Number",$F106,"Location Code","@@"&amp;S$9),"")</t>
  </si>
  <si>
    <t>=IFERROR($H106*NL(,"Jet Item by Location","Quantity On Hand","Item Number",$F106,"Location Code","@@"&amp;T$9),"")</t>
  </si>
  <si>
    <t>minimum width</t>
  </si>
  <si>
    <t>=D10</t>
  </si>
  <si>
    <t>=NL("Rows","Jet Item by Location",$E$8:$I$8,"Class Code","@@"&amp;$C11)</t>
  </si>
  <si>
    <t>=NF($D11,E$8)</t>
  </si>
  <si>
    <t>=NF($D11,$F$8)</t>
  </si>
  <si>
    <t>=SUM(J11:K11)</t>
  </si>
  <si>
    <t>=IFERROR($H11*NL(,"Jet Item by Location","Quantity On Hand","Item Number",$F11,"Location Code","@@"&amp;N$9),"")</t>
  </si>
  <si>
    <t>=SUM(N11:N11)</t>
  </si>
  <si>
    <t>="Total For:  "&amp;$C13</t>
  </si>
  <si>
    <t>=SUBTOTAL(9, J11:J12)</t>
  </si>
  <si>
    <t>=SUBTOTAL(9, L11:L12)</t>
  </si>
  <si>
    <t>=SUBTOTAL(9, O11:O12)</t>
  </si>
  <si>
    <t>=SUBTOTAL(9,J11:J15)</t>
  </si>
  <si>
    <t>=SUBTOTAL(9,L11:L15)</t>
  </si>
  <si>
    <t>=SUBTOTAL(9,N11:N15)</t>
  </si>
  <si>
    <t>=SUBTOTAL(9,O11:O15)</t>
  </si>
  <si>
    <t>=C14</t>
  </si>
  <si>
    <t>=NL(,"Jet Item by Location",$H$8,$F$8,$F15)</t>
  </si>
  <si>
    <t>=NL(,"Jet Item by Location","Quantity On Hand","Item Number",$F15,"Location Code","@@"&amp;J$9)</t>
  </si>
  <si>
    <t>=NL(,"Jet Item by Location","Quantity On Hand","Item Number",$F15,"Location Code","@@"&amp;K$9)</t>
  </si>
  <si>
    <t>=NL(,"Jet Item by Location","Quantity On Hand","Item Number",$F15,"Location Code","@@"&amp;L$9)</t>
  </si>
  <si>
    <t>=NL(,"Jet Item by Location","Quantity On Hand","Item Number",$F15,"Location Code","@@"&amp;M$9)</t>
  </si>
  <si>
    <t>=IFERROR($H15*NL(,"Jet Item by Location","Quantity On Hand","Item Number",$F15,"Location Code","@@"&amp;R$9),"")</t>
  </si>
  <si>
    <t>=IFERROR($H15*NL(,"Jet Item by Location","Quantity On Hand","Item Number",$F15,"Location Code","@@"&amp;S$9),"")</t>
  </si>
  <si>
    <t>=IFERROR($H15*NL(,"Jet Item by Location","Quantity On Hand","Item Number",$F15,"Location Code","@@"&amp;T$9),"")</t>
  </si>
  <si>
    <t>=C16</t>
  </si>
  <si>
    <t>=NL(,"Jet Item by Location",$H$8,$F$8,$F20)</t>
  </si>
  <si>
    <t>=NL(,"Jet Item by Location","Quantity On Hand","Item Number",$F20,"Location Code","@@"&amp;J$9)</t>
  </si>
  <si>
    <t>=NL(,"Jet Item by Location","Quantity On Hand","Item Number",$F20,"Location Code","@@"&amp;K$9)</t>
  </si>
  <si>
    <t>=NL(,"Jet Item by Location","Quantity On Hand","Item Number",$F20,"Location Code","@@"&amp;L$9)</t>
  </si>
  <si>
    <t>=NL(,"Jet Item by Location","Quantity On Hand","Item Number",$F20,"Location Code","@@"&amp;M$9)</t>
  </si>
  <si>
    <t>=IFERROR($H20*NL(,"Jet Item by Location","Quantity On Hand","Item Number",$F20,"Location Code","@@"&amp;R$9),"")</t>
  </si>
  <si>
    <t>=IFERROR($H20*NL(,"Jet Item by Location","Quantity On Hand","Item Number",$F20,"Location Code","@@"&amp;S$9),"")</t>
  </si>
  <si>
    <t>=IFERROR($H20*NL(,"Jet Item by Location","Quantity On Hand","Item Number",$F20,"Location Code","@@"&amp;T$9),"")</t>
  </si>
  <si>
    <t>=C21</t>
  </si>
  <si>
    <t>=C51</t>
  </si>
  <si>
    <t>=NL(,"Jet Item by Location",$H$8,$F$8,$F52)</t>
  </si>
  <si>
    <t>=NL(,"Jet Item by Location","Quantity On Hand","Item Number",$F52,"Location Code","@@"&amp;J$9)</t>
  </si>
  <si>
    <t>=NL(,"Jet Item by Location","Quantity On Hand","Item Number",$F52,"Location Code","@@"&amp;K$9)</t>
  </si>
  <si>
    <t>=NL(,"Jet Item by Location","Quantity On Hand","Item Number",$F52,"Location Code","@@"&amp;L$9)</t>
  </si>
  <si>
    <t>=NL(,"Jet Item by Location","Quantity On Hand","Item Number",$F52,"Location Code","@@"&amp;M$9)</t>
  </si>
  <si>
    <t>=IFERROR($H52*NL(,"Jet Item by Location","Quantity On Hand","Item Number",$F52,"Location Code","@@"&amp;R$9),"")</t>
  </si>
  <si>
    <t>=IFERROR($H52*NL(,"Jet Item by Location","Quantity On Hand","Item Number",$F52,"Location Code","@@"&amp;S$9),"")</t>
  </si>
  <si>
    <t>=IFERROR($H52*NL(,"Jet Item by Location","Quantity On Hand","Item Number",$F52,"Location Code","@@"&amp;T$9),"")</t>
  </si>
  <si>
    <t>=C59</t>
  </si>
  <si>
    <t>=C78</t>
  </si>
  <si>
    <t>=NL(,"Jet Item by Location",$H$8,$F$8,$F79)</t>
  </si>
  <si>
    <t>=NL(,"Jet Item by Location","Quantity On Hand","Item Number",$F79,"Location Code","@@"&amp;J$9)</t>
  </si>
  <si>
    <t>=NL(,"Jet Item by Location","Quantity On Hand","Item Number",$F79,"Location Code","@@"&amp;K$9)</t>
  </si>
  <si>
    <t>=NL(,"Jet Item by Location","Quantity On Hand","Item Number",$F79,"Location Code","@@"&amp;L$9)</t>
  </si>
  <si>
    <t>=NL(,"Jet Item by Location","Quantity On Hand","Item Number",$F79,"Location Code","@@"&amp;M$9)</t>
  </si>
  <si>
    <t>=IFERROR($H79*NL(,"Jet Item by Location","Quantity On Hand","Item Number",$F79,"Location Code","@@"&amp;R$9),"")</t>
  </si>
  <si>
    <t>=IFERROR($H79*NL(,"Jet Item by Location","Quantity On Hand","Item Number",$F79,"Location Code","@@"&amp;S$9),"")</t>
  </si>
  <si>
    <t>=IFERROR($H79*NL(,"Jet Item by Location","Quantity On Hand","Item Number",$F79,"Location Code","@@"&amp;T$9),"")</t>
  </si>
  <si>
    <t>=C80</t>
  </si>
  <si>
    <t>=NL(,"Jet Item by Location",$H$8,$F$8,$F84)</t>
  </si>
  <si>
    <t>=NL(,"Jet Item by Location","Quantity On Hand","Item Number",$F84,"Location Code","@@"&amp;J$9)</t>
  </si>
  <si>
    <t>=NL(,"Jet Item by Location","Quantity On Hand","Item Number",$F84,"Location Code","@@"&amp;K$9)</t>
  </si>
  <si>
    <t>=NL(,"Jet Item by Location","Quantity On Hand","Item Number",$F84,"Location Code","@@"&amp;L$9)</t>
  </si>
  <si>
    <t>=NL(,"Jet Item by Location","Quantity On Hand","Item Number",$F84,"Location Code","@@"&amp;M$9)</t>
  </si>
  <si>
    <t>=IFERROR($H84*NL(,"Jet Item by Location","Quantity On Hand","Item Number",$F84,"Location Code","@@"&amp;R$9),"")</t>
  </si>
  <si>
    <t>=IFERROR($H84*NL(,"Jet Item by Location","Quantity On Hand","Item Number",$F84,"Location Code","@@"&amp;S$9),"")</t>
  </si>
  <si>
    <t>=IFERROR($H84*NL(,"Jet Item by Location","Quantity On Hand","Item Number",$F84,"Location Code","@@"&amp;T$9),"")</t>
  </si>
  <si>
    <t>=C85</t>
  </si>
  <si>
    <t>=C89</t>
  </si>
  <si>
    <t>=NL(,"Jet Item by Location",$H$8,$F$8,$F90)</t>
  </si>
  <si>
    <t>=NL(,"Jet Item by Location","Quantity On Hand","Item Number",$F90,"Location Code","@@"&amp;J$9)</t>
  </si>
  <si>
    <t>=NL(,"Jet Item by Location","Quantity On Hand","Item Number",$F90,"Location Code","@@"&amp;K$9)</t>
  </si>
  <si>
    <t>=NL(,"Jet Item by Location","Quantity On Hand","Item Number",$F90,"Location Code","@@"&amp;L$9)</t>
  </si>
  <si>
    <t>=NL(,"Jet Item by Location","Quantity On Hand","Item Number",$F90,"Location Code","@@"&amp;M$9)</t>
  </si>
  <si>
    <t>=IFERROR($H90*NL(,"Jet Item by Location","Quantity On Hand","Item Number",$F90,"Location Code","@@"&amp;R$9),"")</t>
  </si>
  <si>
    <t>=IFERROR($H90*NL(,"Jet Item by Location","Quantity On Hand","Item Number",$F90,"Location Code","@@"&amp;S$9),"")</t>
  </si>
  <si>
    <t>=IFERROR($H90*NL(,"Jet Item by Location","Quantity On Hand","Item Number",$F90,"Location Code","@@"&amp;T$9),"")</t>
  </si>
  <si>
    <t>=C91</t>
  </si>
  <si>
    <t>=C100</t>
  </si>
  <si>
    <t>=NL(,"Jet Item by Location",$H$8,$F$8,$F101)</t>
  </si>
  <si>
    <t>=NL(,"Jet Item by Location","Quantity On Hand","Item Number",$F101,"Location Code","@@"&amp;J$9)</t>
  </si>
  <si>
    <t>=NL(,"Jet Item by Location","Quantity On Hand","Item Number",$F101,"Location Code","@@"&amp;K$9)</t>
  </si>
  <si>
    <t>=NL(,"Jet Item by Location","Quantity On Hand","Item Number",$F101,"Location Code","@@"&amp;L$9)</t>
  </si>
  <si>
    <t>=NL(,"Jet Item by Location","Quantity On Hand","Item Number",$F101,"Location Code","@@"&amp;M$9)</t>
  </si>
  <si>
    <t>=IFERROR($H101*NL(,"Jet Item by Location","Quantity On Hand","Item Number",$F101,"Location Code","@@"&amp;R$9),"")</t>
  </si>
  <si>
    <t>=IFERROR($H101*NL(,"Jet Item by Location","Quantity On Hand","Item Number",$F101,"Location Code","@@"&amp;S$9),"")</t>
  </si>
  <si>
    <t>=IFERROR($H101*NL(,"Jet Item by Location","Quantity On Hand","Item Number",$F101,"Location Code","@@"&amp;T$9),"")</t>
  </si>
  <si>
    <t>=C102</t>
  </si>
  <si>
    <t>=C106</t>
  </si>
  <si>
    <t>=NL(,"Jet Item by Location",$H$8,$F$8,$F107)</t>
  </si>
  <si>
    <t>=NL(,"Jet Item by Location","Quantity On Hand","Item Number",$F107,"Location Code","@@"&amp;J$9)</t>
  </si>
  <si>
    <t>=NL(,"Jet Item by Location","Quantity On Hand","Item Number",$F107,"Location Code","@@"&amp;K$9)</t>
  </si>
  <si>
    <t>=NL(,"Jet Item by Location","Quantity On Hand","Item Number",$F107,"Location Code","@@"&amp;L$9)</t>
  </si>
  <si>
    <t>=NL(,"Jet Item by Location","Quantity On Hand","Item Number",$F107,"Location Code","@@"&amp;M$9)</t>
  </si>
  <si>
    <t>=IFERROR($H107*NL(,"Jet Item by Location","Quantity On Hand","Item Number",$F107,"Location Code","@@"&amp;R$9),"")</t>
  </si>
  <si>
    <t>=IFERROR($H107*NL(,"Jet Item by Location","Quantity On Hand","Item Number",$F107,"Location Code","@@"&amp;S$9),"")</t>
  </si>
  <si>
    <t>=IFERROR($H107*NL(,"Jet Item by Location","Quantity On Hand","Item Number",$F107,"Location Code","@@"&amp;T$9),"")</t>
  </si>
  <si>
    <t>=C108</t>
  </si>
  <si>
    <t>="NORTH"</t>
  </si>
  <si>
    <t>=NL(,"Jet Item by Location",$H$8,$F$8,$F16)</t>
  </si>
  <si>
    <t>=NL(,"Jet Item by Location","Quantity On Hand","Item Number",$F16,"Location Code","@@"&amp;J$9)</t>
  </si>
  <si>
    <t>=NL(,"Jet Item by Location","Quantity On Hand","Item Number",$F16,"Location Code","@@"&amp;K$9)</t>
  </si>
  <si>
    <t>=NL(,"Jet Item by Location","Quantity On Hand","Item Number",$F16,"Location Code","@@"&amp;L$9)</t>
  </si>
  <si>
    <t>=NL(,"Jet Item by Location","Quantity On Hand","Item Number",$F16,"Location Code","@@"&amp;M$9)</t>
  </si>
  <si>
    <t>=NL(,"Jet Item by Location",$H$8,$F$8,$F17)</t>
  </si>
  <si>
    <t>=NL(,"Jet Item by Location","Quantity On Hand","Item Number",$F17,"Location Code","@@"&amp;J$9)</t>
  </si>
  <si>
    <t>=NL(,"Jet Item by Location","Quantity On Hand","Item Number",$F17,"Location Code","@@"&amp;K$9)</t>
  </si>
  <si>
    <t>=NL(,"Jet Item by Location","Quantity On Hand","Item Number",$F17,"Location Code","@@"&amp;L$9)</t>
  </si>
  <si>
    <t>=NL(,"Jet Item by Location","Quantity On Hand","Item Number",$F17,"Location Code","@@"&amp;M$9)</t>
  </si>
  <si>
    <t>=C17</t>
  </si>
  <si>
    <t>=NL(,"Jet Item by Location",$H$8,$F$8,$F18)</t>
  </si>
  <si>
    <t>=NL(,"Jet Item by Location","Quantity On Hand","Item Number",$F18,"Location Code","@@"&amp;J$9)</t>
  </si>
  <si>
    <t>=NL(,"Jet Item by Location","Quantity On Hand","Item Number",$F18,"Location Code","@@"&amp;K$9)</t>
  </si>
  <si>
    <t>=NL(,"Jet Item by Location","Quantity On Hand","Item Number",$F18,"Location Code","@@"&amp;L$9)</t>
  </si>
  <si>
    <t>=NL(,"Jet Item by Location","Quantity On Hand","Item Number",$F18,"Location Code","@@"&amp;M$9)</t>
  </si>
  <si>
    <t>=NL(,"Jet Item by Location",$H$8,$F$8,$F21)</t>
  </si>
  <si>
    <t>=NL(,"Jet Item by Location","Quantity On Hand","Item Number",$F21,"Location Code","@@"&amp;J$9)</t>
  </si>
  <si>
    <t>=NL(,"Jet Item by Location","Quantity On Hand","Item Number",$F21,"Location Code","@@"&amp;K$9)</t>
  </si>
  <si>
    <t>=NL(,"Jet Item by Location","Quantity On Hand","Item Number",$F21,"Location Code","@@"&amp;L$9)</t>
  </si>
  <si>
    <t>=NL(,"Jet Item by Location","Quantity On Hand","Item Number",$F21,"Location Code","@@"&amp;M$9)</t>
  </si>
  <si>
    <t>=NL(,"Jet Item by Location",$H$8,$F$8,$F22)</t>
  </si>
  <si>
    <t>=NL(,"Jet Item by Location","Quantity On Hand","Item Number",$F22,"Location Code","@@"&amp;J$9)</t>
  </si>
  <si>
    <t>=NL(,"Jet Item by Location","Quantity On Hand","Item Number",$F22,"Location Code","@@"&amp;K$9)</t>
  </si>
  <si>
    <t>=NL(,"Jet Item by Location","Quantity On Hand","Item Number",$F22,"Location Code","@@"&amp;L$9)</t>
  </si>
  <si>
    <t>=NL(,"Jet Item by Location","Quantity On Hand","Item Number",$F22,"Location Code","@@"&amp;M$9)</t>
  </si>
  <si>
    <t>=C22</t>
  </si>
  <si>
    <t>=NL(,"Jet Item by Location",$H$8,$F$8,$F23)</t>
  </si>
  <si>
    <t>=NL(,"Jet Item by Location","Quantity On Hand","Item Number",$F23,"Location Code","@@"&amp;J$9)</t>
  </si>
  <si>
    <t>=NL(,"Jet Item by Location","Quantity On Hand","Item Number",$F23,"Location Code","@@"&amp;K$9)</t>
  </si>
  <si>
    <t>=NL(,"Jet Item by Location","Quantity On Hand","Item Number",$F23,"Location Code","@@"&amp;L$9)</t>
  </si>
  <si>
    <t>=NL(,"Jet Item by Location","Quantity On Hand","Item Number",$F23,"Location Code","@@"&amp;M$9)</t>
  </si>
  <si>
    <t>=NL(,"Jet Item by Location",$H$8,$F$8,$F53)</t>
  </si>
  <si>
    <t>=NL(,"Jet Item by Location","Quantity On Hand","Item Number",$F53,"Location Code","@@"&amp;J$9)</t>
  </si>
  <si>
    <t>=NL(,"Jet Item by Location","Quantity On Hand","Item Number",$F53,"Location Code","@@"&amp;K$9)</t>
  </si>
  <si>
    <t>=NL(,"Jet Item by Location","Quantity On Hand","Item Number",$F53,"Location Code","@@"&amp;L$9)</t>
  </si>
  <si>
    <t>=NL(,"Jet Item by Location","Quantity On Hand","Item Number",$F53,"Location Code","@@"&amp;M$9)</t>
  </si>
  <si>
    <t>=C54</t>
  </si>
  <si>
    <t>=C62</t>
  </si>
  <si>
    <t>=NL(,"Jet Item by Location",$H$8,$F$8,$F63)</t>
  </si>
  <si>
    <t>=NL(,"Jet Item by Location","Quantity On Hand","Item Number",$F63,"Location Code","@@"&amp;J$9)</t>
  </si>
  <si>
    <t>=NL(,"Jet Item by Location","Quantity On Hand","Item Number",$F63,"Location Code","@@"&amp;K$9)</t>
  </si>
  <si>
    <t>=NL(,"Jet Item by Location","Quantity On Hand","Item Number",$F63,"Location Code","@@"&amp;L$9)</t>
  </si>
  <si>
    <t>=NL(,"Jet Item by Location","Quantity On Hand","Item Number",$F63,"Location Code","@@"&amp;M$9)</t>
  </si>
  <si>
    <t>=NL(,"Jet Item by Location",$H$8,$F$8,$F80)</t>
  </si>
  <si>
    <t>=NL(,"Jet Item by Location","Quantity On Hand","Item Number",$F80,"Location Code","@@"&amp;J$9)</t>
  </si>
  <si>
    <t>=NL(,"Jet Item by Location","Quantity On Hand","Item Number",$F80,"Location Code","@@"&amp;K$9)</t>
  </si>
  <si>
    <t>=NL(,"Jet Item by Location","Quantity On Hand","Item Number",$F80,"Location Code","@@"&amp;L$9)</t>
  </si>
  <si>
    <t>=NL(,"Jet Item by Location","Quantity On Hand","Item Number",$F80,"Location Code","@@"&amp;M$9)</t>
  </si>
  <si>
    <t>=NL(,"Jet Item by Location",$H$8,$F$8,$F81)</t>
  </si>
  <si>
    <t>=NL(,"Jet Item by Location","Quantity On Hand","Item Number",$F81,"Location Code","@@"&amp;J$9)</t>
  </si>
  <si>
    <t>=NL(,"Jet Item by Location","Quantity On Hand","Item Number",$F81,"Location Code","@@"&amp;K$9)</t>
  </si>
  <si>
    <t>=NL(,"Jet Item by Location","Quantity On Hand","Item Number",$F81,"Location Code","@@"&amp;L$9)</t>
  </si>
  <si>
    <t>=NL(,"Jet Item by Location","Quantity On Hand","Item Number",$F81,"Location Code","@@"&amp;M$9)</t>
  </si>
  <si>
    <t>=C81</t>
  </si>
  <si>
    <t>=NL(,"Jet Item by Location",$H$8,$F$8,$F82)</t>
  </si>
  <si>
    <t>=NL(,"Jet Item by Location","Quantity On Hand","Item Number",$F82,"Location Code","@@"&amp;J$9)</t>
  </si>
  <si>
    <t>=NL(,"Jet Item by Location","Quantity On Hand","Item Number",$F82,"Location Code","@@"&amp;K$9)</t>
  </si>
  <si>
    <t>=NL(,"Jet Item by Location","Quantity On Hand","Item Number",$F82,"Location Code","@@"&amp;L$9)</t>
  </si>
  <si>
    <t>=NL(,"Jet Item by Location","Quantity On Hand","Item Number",$F82,"Location Code","@@"&amp;M$9)</t>
  </si>
  <si>
    <t>=NL(,"Jet Item by Location",$H$8,$F$8,$F91)</t>
  </si>
  <si>
    <t>=NL(,"Jet Item by Location","Quantity On Hand","Item Number",$F91,"Location Code","@@"&amp;J$9)</t>
  </si>
  <si>
    <t>=NL(,"Jet Item by Location","Quantity On Hand","Item Number",$F91,"Location Code","@@"&amp;K$9)</t>
  </si>
  <si>
    <t>=NL(,"Jet Item by Location","Quantity On Hand","Item Number",$F91,"Location Code","@@"&amp;L$9)</t>
  </si>
  <si>
    <t>=NL(,"Jet Item by Location","Quantity On Hand","Item Number",$F91,"Location Code","@@"&amp;M$9)</t>
  </si>
  <si>
    <t>=NL(,"Jet Item by Location",$H$8,$F$8,$F92)</t>
  </si>
  <si>
    <t>=NL(,"Jet Item by Location","Quantity On Hand","Item Number",$F92,"Location Code","@@"&amp;J$9)</t>
  </si>
  <si>
    <t>=NL(,"Jet Item by Location","Quantity On Hand","Item Number",$F92,"Location Code","@@"&amp;K$9)</t>
  </si>
  <si>
    <t>=NL(,"Jet Item by Location","Quantity On Hand","Item Number",$F92,"Location Code","@@"&amp;L$9)</t>
  </si>
  <si>
    <t>=NL(,"Jet Item by Location","Quantity On Hand","Item Number",$F92,"Location Code","@@"&amp;M$9)</t>
  </si>
  <si>
    <t>=NL(,"Jet Item by Location",$H$8,$F$8,$F102)</t>
  </si>
  <si>
    <t>=NL(,"Jet Item by Location","Quantity On Hand","Item Number",$F102,"Location Code","@@"&amp;J$9)</t>
  </si>
  <si>
    <t>=NL(,"Jet Item by Location","Quantity On Hand","Item Number",$F102,"Location Code","@@"&amp;K$9)</t>
  </si>
  <si>
    <t>=NL(,"Jet Item by Location","Quantity On Hand","Item Number",$F102,"Location Code","@@"&amp;L$9)</t>
  </si>
  <si>
    <t>=NL(,"Jet Item by Location","Quantity On Hand","Item Number",$F102,"Location Code","@@"&amp;M$9)</t>
  </si>
  <si>
    <t>=NL(,"Jet Item by Location",$H$8,$F$8,$F103)</t>
  </si>
  <si>
    <t>=NL(,"Jet Item by Location","Quantity On Hand","Item Number",$F103,"Location Code","@@"&amp;J$9)</t>
  </si>
  <si>
    <t>=NL(,"Jet Item by Location","Quantity On Hand","Item Number",$F103,"Location Code","@@"&amp;K$9)</t>
  </si>
  <si>
    <t>=NL(,"Jet Item by Location","Quantity On Hand","Item Number",$F103,"Location Code","@@"&amp;L$9)</t>
  </si>
  <si>
    <t>=NL(,"Jet Item by Location","Quantity On Hand","Item Number",$F103,"Location Code","@@"&amp;M$9)</t>
  </si>
  <si>
    <t>=C103</t>
  </si>
  <si>
    <t>=NL(,"Jet Item by Location",$H$8,$F$8,$F104)</t>
  </si>
  <si>
    <t>=NL(,"Jet Item by Location","Quantity On Hand","Item Number",$F104,"Location Code","@@"&amp;J$9)</t>
  </si>
  <si>
    <t>=NL(,"Jet Item by Location","Quantity On Hand","Item Number",$F104,"Location Code","@@"&amp;K$9)</t>
  </si>
  <si>
    <t>=NL(,"Jet Item by Location","Quantity On Hand","Item Number",$F104,"Location Code","@@"&amp;L$9)</t>
  </si>
  <si>
    <t>=NL(,"Jet Item by Location","Quantity On Hand","Item Number",$F104,"Location Code","@@"&amp;M$9)</t>
  </si>
  <si>
    <t>=NL(,"Jet Item by Location",$H$8,$F$8,$F108)</t>
  </si>
  <si>
    <t>=NL(,"Jet Item by Location","Quantity On Hand","Item Number",$F108,"Location Code","@@"&amp;J$9)</t>
  </si>
  <si>
    <t>=NL(,"Jet Item by Location","Quantity On Hand","Item Number",$F108,"Location Code","@@"&amp;K$9)</t>
  </si>
  <si>
    <t>=NL(,"Jet Item by Location","Quantity On Hand","Item Number",$F108,"Location Code","@@"&amp;L$9)</t>
  </si>
  <si>
    <t>=NL(,"Jet Item by Location","Quantity On Hand","Item Number",$F108,"Location Code","@@"&amp;M$9)</t>
  </si>
  <si>
    <t>=NL(,"Jet Item by Location",$H$8,$F$8,$F109)</t>
  </si>
  <si>
    <t>=NL(,"Jet Item by Location","Quantity On Hand","Item Number",$F109,"Location Code","@@"&amp;J$9)</t>
  </si>
  <si>
    <t>=NL(,"Jet Item by Location","Quantity On Hand","Item Number",$F109,"Location Code","@@"&amp;K$9)</t>
  </si>
  <si>
    <t>=NL(,"Jet Item by Location","Quantity On Hand","Item Number",$F109,"Location Code","@@"&amp;L$9)</t>
  </si>
  <si>
    <t>=NL(,"Jet Item by Location","Quantity On Hand","Item Number",$F109,"Location Code","@@"&amp;M$9)</t>
  </si>
  <si>
    <t>=C109</t>
  </si>
  <si>
    <t>=NL(,"Jet Item by Location",$H$8,$F$8,$F110)</t>
  </si>
  <si>
    <t>=NL(,"Jet Item by Location","Quantity On Hand","Item Number",$F110,"Location Code","@@"&amp;J$9)</t>
  </si>
  <si>
    <t>=NL(,"Jet Item by Location","Quantity On Hand","Item Number",$F110,"Location Code","@@"&amp;K$9)</t>
  </si>
  <si>
    <t>=NL(,"Jet Item by Location","Quantity On Hand","Item Number",$F110,"Location Code","@@"&amp;L$9)</t>
  </si>
  <si>
    <t>=NL(,"Jet Item by Location","Quantity On Hand","Item Number",$F110,"Location Code","@@"&amp;M$9)</t>
  </si>
  <si>
    <t>=C110</t>
  </si>
  <si>
    <t>=NL(,"Jet Item by Location",$H$8,$F$8,$F111)</t>
  </si>
  <si>
    <t>=NL(,"Jet Item by Location","Quantity On Hand","Item Number",$F111,"Location Code","@@"&amp;J$9)</t>
  </si>
  <si>
    <t>=NL(,"Jet Item by Location","Quantity On Hand","Item Number",$F111,"Location Code","@@"&amp;K$9)</t>
  </si>
  <si>
    <t>=NL(,"Jet Item by Location","Quantity On Hand","Item Number",$F111,"Location Code","@@"&amp;L$9)</t>
  </si>
  <si>
    <t>=NL(,"Jet Item by Location","Quantity On Hand","Item Number",$F111,"Location Code","@@"&amp;M$9)</t>
  </si>
  <si>
    <t>=C111</t>
  </si>
  <si>
    <t>=NL(,"Jet Item by Location",$H$8,$F$8,$F112)</t>
  </si>
  <si>
    <t>=NL(,"Jet Item by Location","Quantity On Hand","Item Number",$F112,"Location Code","@@"&amp;J$9)</t>
  </si>
  <si>
    <t>=NL(,"Jet Item by Location","Quantity On Hand","Item Number",$F112,"Location Code","@@"&amp;K$9)</t>
  </si>
  <si>
    <t>=NL(,"Jet Item by Location","Quantity On Hand","Item Number",$F112,"Location Code","@@"&amp;L$9)</t>
  </si>
  <si>
    <t>=NL(,"Jet Item by Location","Quantity On Hand","Item Number",$F112,"Location Code","@@"&amp;M$9)</t>
  </si>
  <si>
    <t>=C112</t>
  </si>
  <si>
    <t>=NL(,"Jet Item by Location",$H$8,$F$8,$F113)</t>
  </si>
  <si>
    <t>=NL(,"Jet Item by Location","Quantity On Hand","Item Number",$F113,"Location Code","@@"&amp;J$9)</t>
  </si>
  <si>
    <t>=NL(,"Jet Item by Location","Quantity On Hand","Item Number",$F113,"Location Code","@@"&amp;K$9)</t>
  </si>
  <si>
    <t>=NL(,"Jet Item by Location","Quantity On Hand","Item Number",$F113,"Location Code","@@"&amp;L$9)</t>
  </si>
  <si>
    <t>=NL(,"Jet Item by Location","Quantity On Hand","Item Number",$F113,"Location Code","@@"&amp;M$9)</t>
  </si>
  <si>
    <t>=C113</t>
  </si>
  <si>
    <t>=NL(,"Jet Item by Location",$H$8,$F$8,$F114)</t>
  </si>
  <si>
    <t>=NL(,"Jet Item by Location","Quantity On Hand","Item Number",$F114,"Location Code","@@"&amp;J$9)</t>
  </si>
  <si>
    <t>=NL(,"Jet Item by Location","Quantity On Hand","Item Number",$F114,"Location Code","@@"&amp;K$9)</t>
  </si>
  <si>
    <t>=NL(,"Jet Item by Location","Quantity On Hand","Item Number",$F114,"Location Code","@@"&amp;L$9)</t>
  </si>
  <si>
    <t>=NL(,"Jet Item by Location","Quantity On Hand","Item Number",$F114,"Location Code","@@"&amp;M$9)</t>
  </si>
  <si>
    <t>=C114</t>
  </si>
  <si>
    <t>=NL(,"Jet Item by Location",$H$8,$F$8,$F115)</t>
  </si>
  <si>
    <t>=NL(,"Jet Item by Location","Quantity On Hand","Item Number",$F115,"Location Code","@@"&amp;J$9)</t>
  </si>
  <si>
    <t>=NL(,"Jet Item by Location","Quantity On Hand","Item Number",$F115,"Location Code","@@"&amp;K$9)</t>
  </si>
  <si>
    <t>=NL(,"Jet Item by Location","Quantity On Hand","Item Number",$F115,"Location Code","@@"&amp;L$9)</t>
  </si>
  <si>
    <t>=NL(,"Jet Item by Location","Quantity On Hand","Item Number",$F115,"Location Code","@@"&amp;M$9)</t>
  </si>
  <si>
    <t>=C115</t>
  </si>
  <si>
    <t>=NL(,"Jet Item by Location",$H$8,$F$8,$F116)</t>
  </si>
  <si>
    <t>=NL(,"Jet Item by Location","Quantity On Hand","Item Number",$F116,"Location Code","@@"&amp;J$9)</t>
  </si>
  <si>
    <t>=NL(,"Jet Item by Location","Quantity On Hand","Item Number",$F116,"Location Code","@@"&amp;K$9)</t>
  </si>
  <si>
    <t>=NL(,"Jet Item by Location","Quantity On Hand","Item Number",$F116,"Location Code","@@"&amp;L$9)</t>
  </si>
  <si>
    <t>=NL(,"Jet Item by Location","Quantity On Hand","Item Number",$F116,"Location Code","@@"&amp;M$9)</t>
  </si>
  <si>
    <t>=C116</t>
  </si>
  <si>
    <t>=NL(,"Jet Item by Location",$H$8,$F$8,$F117)</t>
  </si>
  <si>
    <t>=NL(,"Jet Item by Location","Quantity On Hand","Item Number",$F117,"Location Code","@@"&amp;J$9)</t>
  </si>
  <si>
    <t>=NL(,"Jet Item by Location","Quantity On Hand","Item Number",$F117,"Location Code","@@"&amp;K$9)</t>
  </si>
  <si>
    <t>=NL(,"Jet Item by Location","Quantity On Hand","Item Number",$F117,"Location Code","@@"&amp;L$9)</t>
  </si>
  <si>
    <t>=NL(,"Jet Item by Location","Quantity On Hand","Item Number",$F117,"Location Code","@@"&amp;M$9)</t>
  </si>
  <si>
    <t>=C118</t>
  </si>
  <si>
    <t>=C121</t>
  </si>
  <si>
    <t>=NL(,"Jet Item by Location",$H$8,$F$8,$F122)</t>
  </si>
  <si>
    <t>=NL(,"Jet Item by Location","Quantity On Hand","Item Number",$F122,"Location Code","@@"&amp;J$9)</t>
  </si>
  <si>
    <t>=NL(,"Jet Item by Location","Quantity On Hand","Item Number",$F122,"Location Code","@@"&amp;K$9)</t>
  </si>
  <si>
    <t>=NL(,"Jet Item by Location","Quantity On Hand","Item Number",$F122,"Location Code","@@"&amp;L$9)</t>
  </si>
  <si>
    <t>=NL(,"Jet Item by Location","Quantity On Hand","Item Number",$F122,"Location Code","@@"&amp;M$9)</t>
  </si>
  <si>
    <t>=C122</t>
  </si>
  <si>
    <t>=NL(,"Jet Item by Location",$H$8,$F$8,$F123)</t>
  </si>
  <si>
    <t>=NL(,"Jet Item by Location","Quantity On Hand","Item Number",$F123,"Location Code","@@"&amp;J$9)</t>
  </si>
  <si>
    <t>=NL(,"Jet Item by Location","Quantity On Hand","Item Number",$F123,"Location Code","@@"&amp;K$9)</t>
  </si>
  <si>
    <t>=NL(,"Jet Item by Location","Quantity On Hand","Item Number",$F123,"Location Code","@@"&amp;L$9)</t>
  </si>
  <si>
    <t>=NL(,"Jet Item by Location","Quantity On Hand","Item Number",$F123,"Location Code","@@"&amp;M$9)</t>
  </si>
  <si>
    <t>=C123</t>
  </si>
  <si>
    <t>=NL(,"Jet Item by Location",$H$8,$F$8,$F124)</t>
  </si>
  <si>
    <t>=NL(,"Jet Item by Location","Quantity On Hand","Item Number",$F124,"Location Code","@@"&amp;J$9)</t>
  </si>
  <si>
    <t>=NL(,"Jet Item by Location","Quantity On Hand","Item Number",$F124,"Location Code","@@"&amp;K$9)</t>
  </si>
  <si>
    <t>=NL(,"Jet Item by Location","Quantity On Hand","Item Number",$F124,"Location Code","@@"&amp;L$9)</t>
  </si>
  <si>
    <t>=NL(,"Jet Item by Location","Quantity On Hand","Item Number",$F124,"Location Code","@@"&amp;M$9)</t>
  </si>
  <si>
    <t>=C124</t>
  </si>
  <si>
    <t>=NL(,"Jet Item by Location",$H$8,$F$8,$F125)</t>
  </si>
  <si>
    <t>=NL(,"Jet Item by Location","Quantity On Hand","Item Number",$F125,"Location Code","@@"&amp;J$9)</t>
  </si>
  <si>
    <t>=NL(,"Jet Item by Location","Quantity On Hand","Item Number",$F125,"Location Code","@@"&amp;K$9)</t>
  </si>
  <si>
    <t>=NL(,"Jet Item by Location","Quantity On Hand","Item Number",$F125,"Location Code","@@"&amp;L$9)</t>
  </si>
  <si>
    <t>=NL(,"Jet Item by Location","Quantity On Hand","Item Number",$F125,"Location Code","@@"&amp;M$9)</t>
  </si>
  <si>
    <t>=C125</t>
  </si>
  <si>
    <t>=NL(,"Jet Item by Location",$H$8,$F$8,$F126)</t>
  </si>
  <si>
    <t>=NL(,"Jet Item by Location","Quantity On Hand","Item Number",$F126,"Location Code","@@"&amp;J$9)</t>
  </si>
  <si>
    <t>=NL(,"Jet Item by Location","Quantity On Hand","Item Number",$F126,"Location Code","@@"&amp;K$9)</t>
  </si>
  <si>
    <t>=NL(,"Jet Item by Location","Quantity On Hand","Item Number",$F126,"Location Code","@@"&amp;L$9)</t>
  </si>
  <si>
    <t>=NL(,"Jet Item by Location","Quantity On Hand","Item Number",$F126,"Location Code","@@"&amp;M$9)</t>
  </si>
  <si>
    <t>=C126</t>
  </si>
  <si>
    <t>=NL(,"Jet Item by Location",$H$8,$F$8,$F127)</t>
  </si>
  <si>
    <t>=NL(,"Jet Item by Location","Quantity On Hand","Item Number",$F127,"Location Code","@@"&amp;J$9)</t>
  </si>
  <si>
    <t>=NL(,"Jet Item by Location","Quantity On Hand","Item Number",$F127,"Location Code","@@"&amp;K$9)</t>
  </si>
  <si>
    <t>=NL(,"Jet Item by Location","Quantity On Hand","Item Number",$F127,"Location Code","@@"&amp;L$9)</t>
  </si>
  <si>
    <t>=NL(,"Jet Item by Location","Quantity On Hand","Item Number",$F127,"Location Code","@@"&amp;M$9)</t>
  </si>
  <si>
    <t>=C127</t>
  </si>
  <si>
    <t>=NL(,"Jet Item by Location",$H$8,$F$8,$F128)</t>
  </si>
  <si>
    <t>=NL(,"Jet Item by Location","Quantity On Hand","Item Number",$F128,"Location Code","@@"&amp;J$9)</t>
  </si>
  <si>
    <t>=NL(,"Jet Item by Location","Quantity On Hand","Item Number",$F128,"Location Code","@@"&amp;K$9)</t>
  </si>
  <si>
    <t>=NL(,"Jet Item by Location","Quantity On Hand","Item Number",$F128,"Location Code","@@"&amp;L$9)</t>
  </si>
  <si>
    <t>=NL(,"Jet Item by Location","Quantity On Hand","Item Number",$F128,"Location Code","@@"&amp;M$9)</t>
  </si>
  <si>
    <t>=C128</t>
  </si>
  <si>
    <t>=NL(,"Jet Item by Location",$H$8,$F$8,$F129)</t>
  </si>
  <si>
    <t>=NL(,"Jet Item by Location","Quantity On Hand","Item Number",$F129,"Location Code","@@"&amp;J$9)</t>
  </si>
  <si>
    <t>=NL(,"Jet Item by Location","Quantity On Hand","Item Number",$F129,"Location Code","@@"&amp;K$9)</t>
  </si>
  <si>
    <t>=NL(,"Jet Item by Location","Quantity On Hand","Item Number",$F129,"Location Code","@@"&amp;L$9)</t>
  </si>
  <si>
    <t>=NL(,"Jet Item by Location","Quantity On Hand","Item Number",$F129,"Location Code","@@"&amp;M$9)</t>
  </si>
  <si>
    <t>=C130</t>
  </si>
  <si>
    <t>=C133</t>
  </si>
  <si>
    <t>=NL(,"Jet Item by Location",$H$8,$F$8,$F134)</t>
  </si>
  <si>
    <t>=NL(,"Jet Item by Location","Quantity On Hand","Item Number",$F134,"Location Code","@@"&amp;J$9)</t>
  </si>
  <si>
    <t>=NL(,"Jet Item by Location","Quantity On Hand","Item Number",$F134,"Location Code","@@"&amp;K$9)</t>
  </si>
  <si>
    <t>=NL(,"Jet Item by Location","Quantity On Hand","Item Number",$F134,"Location Code","@@"&amp;L$9)</t>
  </si>
  <si>
    <t>=NL(,"Jet Item by Location","Quantity On Hand","Item Number",$F134,"Location Code","@@"&amp;M$9)</t>
  </si>
  <si>
    <t>=C134</t>
  </si>
  <si>
    <t>=NL(,"Jet Item by Location",$H$8,$F$8,$F135)</t>
  </si>
  <si>
    <t>=NL(,"Jet Item by Location","Quantity On Hand","Item Number",$F135,"Location Code","@@"&amp;J$9)</t>
  </si>
  <si>
    <t>=NL(,"Jet Item by Location","Quantity On Hand","Item Number",$F135,"Location Code","@@"&amp;K$9)</t>
  </si>
  <si>
    <t>=NL(,"Jet Item by Location","Quantity On Hand","Item Number",$F135,"Location Code","@@"&amp;L$9)</t>
  </si>
  <si>
    <t>=NL(,"Jet Item by Location","Quantity On Hand","Item Number",$F135,"Location Code","@@"&amp;M$9)</t>
  </si>
  <si>
    <t>=C135</t>
  </si>
  <si>
    <t>=NL(,"Jet Item by Location",$H$8,$F$8,$F136)</t>
  </si>
  <si>
    <t>=NL(,"Jet Item by Location","Quantity On Hand","Item Number",$F136,"Location Code","@@"&amp;J$9)</t>
  </si>
  <si>
    <t>=NL(,"Jet Item by Location","Quantity On Hand","Item Number",$F136,"Location Code","@@"&amp;K$9)</t>
  </si>
  <si>
    <t>=NL(,"Jet Item by Location","Quantity On Hand","Item Number",$F136,"Location Code","@@"&amp;L$9)</t>
  </si>
  <si>
    <t>=NL(,"Jet Item by Location","Quantity On Hand","Item Number",$F136,"Location Code","@@"&amp;M$9)</t>
  </si>
  <si>
    <t>=C136</t>
  </si>
  <si>
    <t>=NL(,"Jet Item by Location",$H$8,$F$8,$F137)</t>
  </si>
  <si>
    <t>=NL(,"Jet Item by Location","Quantity On Hand","Item Number",$F137,"Location Code","@@"&amp;J$9)</t>
  </si>
  <si>
    <t>=NL(,"Jet Item by Location","Quantity On Hand","Item Number",$F137,"Location Code","@@"&amp;K$9)</t>
  </si>
  <si>
    <t>=NL(,"Jet Item by Location","Quantity On Hand","Item Number",$F137,"Location Code","@@"&amp;L$9)</t>
  </si>
  <si>
    <t>=NL(,"Jet Item by Location","Quantity On Hand","Item Number",$F137,"Location Code","@@"&amp;M$9)</t>
  </si>
  <si>
    <t>=C142</t>
  </si>
  <si>
    <t>=NL(,"Jet Item by Location",$H$8,$F$8,$F143)</t>
  </si>
  <si>
    <t>=NL(,"Jet Item by Location","Quantity On Hand","Item Number",$F143,"Location Code","@@"&amp;J$9)</t>
  </si>
  <si>
    <t>=NL(,"Jet Item by Location","Quantity On Hand","Item Number",$F143,"Location Code","@@"&amp;K$9)</t>
  </si>
  <si>
    <t>=NL(,"Jet Item by Location","Quantity On Hand","Item Number",$F143,"Location Code","@@"&amp;L$9)</t>
  </si>
  <si>
    <t>=NL(,"Jet Item by Location","Quantity On Hand","Item Number",$F143,"Location Code","@@"&amp;M$9)</t>
  </si>
  <si>
    <t>=C143</t>
  </si>
  <si>
    <t>=NL(,"Jet Item by Location",$H$8,$F$8,$F144)</t>
  </si>
  <si>
    <t>=NL(,"Jet Item by Location","Quantity On Hand","Item Number",$F144,"Location Code","@@"&amp;J$9)</t>
  </si>
  <si>
    <t>=NL(,"Jet Item by Location","Quantity On Hand","Item Number",$F144,"Location Code","@@"&amp;K$9)</t>
  </si>
  <si>
    <t>=NL(,"Jet Item by Location","Quantity On Hand","Item Number",$F144,"Location Code","@@"&amp;L$9)</t>
  </si>
  <si>
    <t>=NL(,"Jet Item by Location","Quantity On Hand","Item Number",$F144,"Location Code","@@"&amp;M$9)</t>
  </si>
  <si>
    <t>=C144</t>
  </si>
  <si>
    <t>=NL(,"Jet Item by Location",$H$8,$F$8,$F145)</t>
  </si>
  <si>
    <t>=NL(,"Jet Item by Location","Quantity On Hand","Item Number",$F145,"Location Code","@@"&amp;J$9)</t>
  </si>
  <si>
    <t>=NL(,"Jet Item by Location","Quantity On Hand","Item Number",$F145,"Location Code","@@"&amp;K$9)</t>
  </si>
  <si>
    <t>=NL(,"Jet Item by Location","Quantity On Hand","Item Number",$F145,"Location Code","@@"&amp;L$9)</t>
  </si>
  <si>
    <t>=NL(,"Jet Item by Location","Quantity On Hand","Item Number",$F145,"Location Code","@@"&amp;M$9)</t>
  </si>
  <si>
    <t>=C145</t>
  </si>
  <si>
    <t>=NL(,"Jet Item by Location",$H$8,$F$8,$F146)</t>
  </si>
  <si>
    <t>=NL(,"Jet Item by Location","Quantity On Hand","Item Number",$F146,"Location Code","@@"&amp;J$9)</t>
  </si>
  <si>
    <t>=NL(,"Jet Item by Location","Quantity On Hand","Item Number",$F146,"Location Code","@@"&amp;K$9)</t>
  </si>
  <si>
    <t>=NL(,"Jet Item by Location","Quantity On Hand","Item Number",$F146,"Location Code","@@"&amp;L$9)</t>
  </si>
  <si>
    <t>=NL(,"Jet Item by Location","Quantity On Hand","Item Number",$F146,"Location Code","@@"&amp;M$9)</t>
  </si>
  <si>
    <t>=C146</t>
  </si>
  <si>
    <t>=NL(,"Jet Item by Location",$H$8,$F$8,$F147)</t>
  </si>
  <si>
    <t>=NL(,"Jet Item by Location","Quantity On Hand","Item Number",$F147,"Location Code","@@"&amp;J$9)</t>
  </si>
  <si>
    <t>=NL(,"Jet Item by Location","Quantity On Hand","Item Number",$F147,"Location Code","@@"&amp;K$9)</t>
  </si>
  <si>
    <t>=NL(,"Jet Item by Location","Quantity On Hand","Item Number",$F147,"Location Code","@@"&amp;L$9)</t>
  </si>
  <si>
    <t>=NL(,"Jet Item by Location","Quantity On Hand","Item Number",$F147,"Location Code","@@"&amp;M$9)</t>
  </si>
  <si>
    <t>=C147</t>
  </si>
  <si>
    <t>=NL(,"Jet Item by Location",$H$8,$F$8,$F148)</t>
  </si>
  <si>
    <t>=NL(,"Jet Item by Location","Quantity On Hand","Item Number",$F148,"Location Code","@@"&amp;J$9)</t>
  </si>
  <si>
    <t>=NL(,"Jet Item by Location","Quantity On Hand","Item Number",$F148,"Location Code","@@"&amp;K$9)</t>
  </si>
  <si>
    <t>=NL(,"Jet Item by Location","Quantity On Hand","Item Number",$F148,"Location Code","@@"&amp;L$9)</t>
  </si>
  <si>
    <t>=NL(,"Jet Item by Location","Quantity On Hand","Item Number",$F148,"Location Code","@@"&amp;M$9)</t>
  </si>
  <si>
    <t>=C148</t>
  </si>
  <si>
    <t>=NL(,"Jet Item by Location",$H$8,$F$8,$F149)</t>
  </si>
  <si>
    <t>=NL(,"Jet Item by Location","Quantity On Hand","Item Number",$F149,"Location Code","@@"&amp;J$9)</t>
  </si>
  <si>
    <t>=NL(,"Jet Item by Location","Quantity On Hand","Item Number",$F149,"Location Code","@@"&amp;K$9)</t>
  </si>
  <si>
    <t>=NL(,"Jet Item by Location","Quantity On Hand","Item Number",$F149,"Location Code","@@"&amp;L$9)</t>
  </si>
  <si>
    <t>=NL(,"Jet Item by Location","Quantity On Hand","Item Number",$F149,"Location Code","@@"&amp;M$9)</t>
  </si>
  <si>
    <t>=C149</t>
  </si>
  <si>
    <t>=NL(,"Jet Item by Location",$H$8,$F$8,$F150)</t>
  </si>
  <si>
    <t>=NL(,"Jet Item by Location","Quantity On Hand","Item Number",$F150,"Location Code","@@"&amp;J$9)</t>
  </si>
  <si>
    <t>=NL(,"Jet Item by Location","Quantity On Hand","Item Number",$F150,"Location Code","@@"&amp;K$9)</t>
  </si>
  <si>
    <t>=NL(,"Jet Item by Location","Quantity On Hand","Item Number",$F150,"Location Code","@@"&amp;L$9)</t>
  </si>
  <si>
    <t>=NL(,"Jet Item by Location","Quantity On Hand","Item Number",$F150,"Location Code","@@"&amp;M$9)</t>
  </si>
  <si>
    <t>=C150</t>
  </si>
  <si>
    <t>=NL(,"Jet Item by Location",$H$8,$F$8,$F151)</t>
  </si>
  <si>
    <t>=NL(,"Jet Item by Location","Quantity On Hand","Item Number",$F151,"Location Code","@@"&amp;J$9)</t>
  </si>
  <si>
    <t>=NL(,"Jet Item by Location","Quantity On Hand","Item Number",$F151,"Location Code","@@"&amp;K$9)</t>
  </si>
  <si>
    <t>=NL(,"Jet Item by Location","Quantity On Hand","Item Number",$F151,"Location Code","@@"&amp;L$9)</t>
  </si>
  <si>
    <t>=NL(,"Jet Item by Location","Quantity On Hand","Item Number",$F151,"Location Code","@@"&amp;M$9)</t>
  </si>
  <si>
    <t>=C151</t>
  </si>
  <si>
    <t>=NL(,"Jet Item by Location",$H$8,$F$8,$F152)</t>
  </si>
  <si>
    <t>=NL(,"Jet Item by Location","Quantity On Hand","Item Number",$F152,"Location Code","@@"&amp;J$9)</t>
  </si>
  <si>
    <t>=NL(,"Jet Item by Location","Quantity On Hand","Item Number",$F152,"Location Code","@@"&amp;K$9)</t>
  </si>
  <si>
    <t>=NL(,"Jet Item by Location","Quantity On Hand","Item Number",$F152,"Location Code","@@"&amp;L$9)</t>
  </si>
  <si>
    <t>=NL(,"Jet Item by Location","Quantity On Hand","Item Number",$F152,"Location Code","@@"&amp;M$9)</t>
  </si>
  <si>
    <t>=C152</t>
  </si>
  <si>
    <t>=NL(,"Jet Item by Location",$H$8,$F$8,$F153)</t>
  </si>
  <si>
    <t>=NL(,"Jet Item by Location","Quantity On Hand","Item Number",$F153,"Location Code","@@"&amp;J$9)</t>
  </si>
  <si>
    <t>=NL(,"Jet Item by Location","Quantity On Hand","Item Number",$F153,"Location Code","@@"&amp;K$9)</t>
  </si>
  <si>
    <t>=NL(,"Jet Item by Location","Quantity On Hand","Item Number",$F153,"Location Code","@@"&amp;L$9)</t>
  </si>
  <si>
    <t>=NL(,"Jet Item by Location","Quantity On Hand","Item Number",$F153,"Location Code","@@"&amp;M$9)</t>
  </si>
  <si>
    <t>=C153</t>
  </si>
  <si>
    <t>=NL(,"Jet Item by Location",$H$8,$F$8,$F154)</t>
  </si>
  <si>
    <t>=NL(,"Jet Item by Location","Quantity On Hand","Item Number",$F154,"Location Code","@@"&amp;J$9)</t>
  </si>
  <si>
    <t>=NL(,"Jet Item by Location","Quantity On Hand","Item Number",$F154,"Location Code","@@"&amp;K$9)</t>
  </si>
  <si>
    <t>=NL(,"Jet Item by Location","Quantity On Hand","Item Number",$F154,"Location Code","@@"&amp;L$9)</t>
  </si>
  <si>
    <t>=NL(,"Jet Item by Location","Quantity On Hand","Item Number",$F154,"Location Code","@@"&amp;M$9)</t>
  </si>
  <si>
    <t>=C154</t>
  </si>
  <si>
    <t>=NL(,"Jet Item by Location",$H$8,$F$8,$F155)</t>
  </si>
  <si>
    <t>=NL(,"Jet Item by Location","Quantity On Hand","Item Number",$F155,"Location Code","@@"&amp;J$9)</t>
  </si>
  <si>
    <t>=NL(,"Jet Item by Location","Quantity On Hand","Item Number",$F155,"Location Code","@@"&amp;K$9)</t>
  </si>
  <si>
    <t>=NL(,"Jet Item by Location","Quantity On Hand","Item Number",$F155,"Location Code","@@"&amp;L$9)</t>
  </si>
  <si>
    <t>=NL(,"Jet Item by Location","Quantity On Hand","Item Number",$F155,"Location Code","@@"&amp;M$9)</t>
  </si>
  <si>
    <t>=C155</t>
  </si>
  <si>
    <t>=NL(,"Jet Item by Location",$H$8,$F$8,$F156)</t>
  </si>
  <si>
    <t>=NL(,"Jet Item by Location","Quantity On Hand","Item Number",$F156,"Location Code","@@"&amp;J$9)</t>
  </si>
  <si>
    <t>=NL(,"Jet Item by Location","Quantity On Hand","Item Number",$F156,"Location Code","@@"&amp;K$9)</t>
  </si>
  <si>
    <t>=NL(,"Jet Item by Location","Quantity On Hand","Item Number",$F156,"Location Code","@@"&amp;L$9)</t>
  </si>
  <si>
    <t>=NL(,"Jet Item by Location","Quantity On Hand","Item Number",$F156,"Location Code","@@"&amp;M$9)</t>
  </si>
  <si>
    <t>=C157</t>
  </si>
  <si>
    <t>=C160</t>
  </si>
  <si>
    <t>="MODEMS"</t>
  </si>
  <si>
    <t>="PRINTERS-1"</t>
  </si>
  <si>
    <t>="PRINTERS-2"</t>
  </si>
  <si>
    <t>="RETAIL"</t>
  </si>
  <si>
    <t>="RM-ACT"</t>
  </si>
  <si>
    <t>="RM-STD"</t>
  </si>
  <si>
    <t>="DEPOT|NORTH|RETURNS|WAREHOUSE"</t>
  </si>
  <si>
    <t>="COMPONENTS..RM-STD"</t>
  </si>
  <si>
    <t>=SUM(J11:N11)</t>
  </si>
  <si>
    <t>=IFERROR($H11*NL(,"Jet Item by Location","Quantity On Hand","Item Number",$F11,"Location Code","@@"&amp;Q$9),"")</t>
  </si>
  <si>
    <t>=SUM(Q11:Q11)</t>
  </si>
  <si>
    <t>=V9+1</t>
  </si>
  <si>
    <t>=SUM(J12:N12)</t>
  </si>
  <si>
    <t>=IFERROR($H12*NL(,"Jet Item by Location","Quantity On Hand","Item Number",$F12,"Location Code","@@"&amp;Q$9),"")</t>
  </si>
  <si>
    <t>=SUM(Q12:Q12)</t>
  </si>
  <si>
    <t>=V10+1</t>
  </si>
  <si>
    <t>=SUM(J13:N13)</t>
  </si>
  <si>
    <t>=IFERROR($H13*NL(,"Jet Item by Location","Quantity On Hand","Item Number",$F13,"Location Code","@@"&amp;Q$9),"")</t>
  </si>
  <si>
    <t>=SUM(Q13:Q13)</t>
  </si>
  <si>
    <t>=V11+1</t>
  </si>
  <si>
    <t>=SUM(J14:N14)</t>
  </si>
  <si>
    <t>=IFERROR($H14*NL(,"Jet Item by Location","Quantity On Hand","Item Number",$F14,"Location Code","@@"&amp;Q$9),"")</t>
  </si>
  <si>
    <t>=SUM(Q14:Q14)</t>
  </si>
  <si>
    <t>=V12+1</t>
  </si>
  <si>
    <t>=SUM(J15:N15)</t>
  </si>
  <si>
    <t>=IFERROR($H15*NL(,"Jet Item by Location","Quantity On Hand","Item Number",$F15,"Location Code","@@"&amp;Q$9),"")</t>
  </si>
  <si>
    <t>=SUM(Q15:Q15)</t>
  </si>
  <si>
    <t>=V13+1</t>
  </si>
  <si>
    <t>=SUM(J16:N16)</t>
  </si>
  <si>
    <t>=IFERROR($H16*NL(,"Jet Item by Location","Quantity On Hand","Item Number",$F16,"Location Code","@@"&amp;Q$9),"")</t>
  </si>
  <si>
    <t>=IFERROR($H16*NL(,"Jet Item by Location","Quantity On Hand","Item Number",$F16,"Location Code","@@"&amp;R$9),"")</t>
  </si>
  <si>
    <t>=IFERROR($H16*NL(,"Jet Item by Location","Quantity On Hand","Item Number",$F16,"Location Code","@@"&amp;S$9),"")</t>
  </si>
  <si>
    <t>=IFERROR($H16*NL(,"Jet Item by Location","Quantity On Hand","Item Number",$F16,"Location Code","@@"&amp;T$9),"")</t>
  </si>
  <si>
    <t>=SUM(Q16:Q16)</t>
  </si>
  <si>
    <t>=V14+1</t>
  </si>
  <si>
    <t>=SUM(J17:N17)</t>
  </si>
  <si>
    <t>=IFERROR($H17*NL(,"Jet Item by Location","Quantity On Hand","Item Number",$F17,"Location Code","@@"&amp;Q$9),"")</t>
  </si>
  <si>
    <t>=IFERROR($H17*NL(,"Jet Item by Location","Quantity On Hand","Item Number",$F17,"Location Code","@@"&amp;R$9),"")</t>
  </si>
  <si>
    <t>=IFERROR($H17*NL(,"Jet Item by Location","Quantity On Hand","Item Number",$F17,"Location Code","@@"&amp;S$9),"")</t>
  </si>
  <si>
    <t>=IFERROR($H17*NL(,"Jet Item by Location","Quantity On Hand","Item Number",$F17,"Location Code","@@"&amp;T$9),"")</t>
  </si>
  <si>
    <t>=SUM(Q17:Q17)</t>
  </si>
  <si>
    <t>=V15+1</t>
  </si>
  <si>
    <t>=SUM(J18:N18)</t>
  </si>
  <si>
    <t>=IFERROR($H18*NL(,"Jet Item by Location","Quantity On Hand","Item Number",$F18,"Location Code","@@"&amp;Q$9),"")</t>
  </si>
  <si>
    <t>=IFERROR($H18*NL(,"Jet Item by Location","Quantity On Hand","Item Number",$F18,"Location Code","@@"&amp;R$9),"")</t>
  </si>
  <si>
    <t>=IFERROR($H18*NL(,"Jet Item by Location","Quantity On Hand","Item Number",$F18,"Location Code","@@"&amp;S$9),"")</t>
  </si>
  <si>
    <t>=IFERROR($H18*NL(,"Jet Item by Location","Quantity On Hand","Item Number",$F18,"Location Code","@@"&amp;T$9),"")</t>
  </si>
  <si>
    <t>=SUM(Q18:Q18)</t>
  </si>
  <si>
    <t>=V16+1</t>
  </si>
  <si>
    <t>=SUM(J19:N19)</t>
  </si>
  <si>
    <t>=IFERROR($H19*NL(,"Jet Item by Location","Quantity On Hand","Item Number",$F19,"Location Code","@@"&amp;Q$9),"")</t>
  </si>
  <si>
    <t>=SUM(Q19:Q19)</t>
  </si>
  <si>
    <t>=V17+1</t>
  </si>
  <si>
    <t>=SUM(J20:N20)</t>
  </si>
  <si>
    <t>=IFERROR($H20*NL(,"Jet Item by Location","Quantity On Hand","Item Number",$F20,"Location Code","@@"&amp;Q$9),"")</t>
  </si>
  <si>
    <t>=SUM(Q20:Q20)</t>
  </si>
  <si>
    <t>=V18+1</t>
  </si>
  <si>
    <t>=SUM(J21:N21)</t>
  </si>
  <si>
    <t>=IFERROR($H21*NL(,"Jet Item by Location","Quantity On Hand","Item Number",$F21,"Location Code","@@"&amp;Q$9),"")</t>
  </si>
  <si>
    <t>=IFERROR($H21*NL(,"Jet Item by Location","Quantity On Hand","Item Number",$F21,"Location Code","@@"&amp;R$9),"")</t>
  </si>
  <si>
    <t>=IFERROR($H21*NL(,"Jet Item by Location","Quantity On Hand","Item Number",$F21,"Location Code","@@"&amp;S$9),"")</t>
  </si>
  <si>
    <t>=IFERROR($H21*NL(,"Jet Item by Location","Quantity On Hand","Item Number",$F21,"Location Code","@@"&amp;T$9),"")</t>
  </si>
  <si>
    <t>=SUM(Q21:Q21)</t>
  </si>
  <si>
    <t>=V19+1</t>
  </si>
  <si>
    <t>=SUM(J22:N22)</t>
  </si>
  <si>
    <t>=IFERROR($H22*NL(,"Jet Item by Location","Quantity On Hand","Item Number",$F22,"Location Code","@@"&amp;Q$9),"")</t>
  </si>
  <si>
    <t>=IFERROR($H22*NL(,"Jet Item by Location","Quantity On Hand","Item Number",$F22,"Location Code","@@"&amp;R$9),"")</t>
  </si>
  <si>
    <t>=IFERROR($H22*NL(,"Jet Item by Location","Quantity On Hand","Item Number",$F22,"Location Code","@@"&amp;S$9),"")</t>
  </si>
  <si>
    <t>=IFERROR($H22*NL(,"Jet Item by Location","Quantity On Hand","Item Number",$F22,"Location Code","@@"&amp;T$9),"")</t>
  </si>
  <si>
    <t>=SUM(Q22:Q22)</t>
  </si>
  <si>
    <t>=V20+1</t>
  </si>
  <si>
    <t>=SUM(J23:N23)</t>
  </si>
  <si>
    <t>=IFERROR($H23*NL(,"Jet Item by Location","Quantity On Hand","Item Number",$F23,"Location Code","@@"&amp;Q$9),"")</t>
  </si>
  <si>
    <t>=IFERROR($H23*NL(,"Jet Item by Location","Quantity On Hand","Item Number",$F23,"Location Code","@@"&amp;R$9),"")</t>
  </si>
  <si>
    <t>=IFERROR($H23*NL(,"Jet Item by Location","Quantity On Hand","Item Number",$F23,"Location Code","@@"&amp;S$9),"")</t>
  </si>
  <si>
    <t>=IFERROR($H23*NL(,"Jet Item by Location","Quantity On Hand","Item Number",$F23,"Location Code","@@"&amp;T$9),"")</t>
  </si>
  <si>
    <t>=SUM(Q23:Q23)</t>
  </si>
  <si>
    <t>=V21+1</t>
  </si>
  <si>
    <t>=SUM(J24:N24)</t>
  </si>
  <si>
    <t>=IFERROR($H24*NL(,"Jet Item by Location","Quantity On Hand","Item Number",$F24,"Location Code","@@"&amp;Q$9),"")</t>
  </si>
  <si>
    <t>=SUM(Q24:Q24)</t>
  </si>
  <si>
    <t>=V22+1</t>
  </si>
  <si>
    <t>=SUM(J25:N25)</t>
  </si>
  <si>
    <t>=IFERROR($H25*NL(,"Jet Item by Location","Quantity On Hand","Item Number",$F25,"Location Code","@@"&amp;Q$9),"")</t>
  </si>
  <si>
    <t>=SUM(Q25:Q25)</t>
  </si>
  <si>
    <t>=V23+1</t>
  </si>
  <si>
    <t>="Total For:  "&amp;$C27</t>
  </si>
  <si>
    <t>=SUBTOTAL(9, J11:J26)</t>
  </si>
  <si>
    <t>=SUBTOTAL(9, K11:K26)</t>
  </si>
  <si>
    <t>=SUBTOTAL(9, L11:L26)</t>
  </si>
  <si>
    <t>=SUBTOTAL(9, M11:M26)</t>
  </si>
  <si>
    <t>=SUBTOTAL(9, O11:O26)</t>
  </si>
  <si>
    <t>=SUBTOTAL(9, U11:U26)</t>
  </si>
  <si>
    <t>=D29</t>
  </si>
  <si>
    <t>=NL("Rows","Jet Item by Location",$E$8:$I$8,"Class Code","@@"&amp;$C30)</t>
  </si>
  <si>
    <t>=SUM(J30:N30)</t>
  </si>
  <si>
    <t>=IFERROR($H30*NL(,"Jet Item by Location","Quantity On Hand","Item Number",$F30,"Location Code","@@"&amp;Q$9),"")</t>
  </si>
  <si>
    <t>=SUM(Q30:Q30)</t>
  </si>
  <si>
    <t>=V28+1</t>
  </si>
  <si>
    <t>="Total For:  "&amp;$C32</t>
  </si>
  <si>
    <t>=SUBTOTAL(9, J30:J31)</t>
  </si>
  <si>
    <t>=SUBTOTAL(9, K30:K31)</t>
  </si>
  <si>
    <t>=SUBTOTAL(9, L30:L31)</t>
  </si>
  <si>
    <t>=SUBTOTAL(9, M30:M31)</t>
  </si>
  <si>
    <t>=SUBTOTAL(9, O30:O31)</t>
  </si>
  <si>
    <t>=SUBTOTAL(9, U30:U31)</t>
  </si>
  <si>
    <t>=D34</t>
  </si>
  <si>
    <t>=NL("Rows","Jet Item by Location",$E$8:$I$8,"Class Code","@@"&amp;$C35)</t>
  </si>
  <si>
    <t>=SUM(J35:N35)</t>
  </si>
  <si>
    <t>=IFERROR($H35*NL(,"Jet Item by Location","Quantity On Hand","Item Number",$F35,"Location Code","@@"&amp;Q$9),"")</t>
  </si>
  <si>
    <t>=SUM(Q35:Q35)</t>
  </si>
  <si>
    <t>=V33+1</t>
  </si>
  <si>
    <t>=SUM(J36:N36)</t>
  </si>
  <si>
    <t>=IFERROR($H36*NL(,"Jet Item by Location","Quantity On Hand","Item Number",$F36,"Location Code","@@"&amp;Q$9),"")</t>
  </si>
  <si>
    <t>=SUM(Q36:Q36)</t>
  </si>
  <si>
    <t>=V34+1</t>
  </si>
  <si>
    <t>="Total For:  "&amp;$C38</t>
  </si>
  <si>
    <t>=SUBTOTAL(9, J35:J37)</t>
  </si>
  <si>
    <t>=SUBTOTAL(9, K35:K37)</t>
  </si>
  <si>
    <t>=SUBTOTAL(9, L35:L37)</t>
  </si>
  <si>
    <t>=SUBTOTAL(9, M35:M37)</t>
  </si>
  <si>
    <t>=SUBTOTAL(9, O35:O37)</t>
  </si>
  <si>
    <t>=SUBTOTAL(9, U35:U37)</t>
  </si>
  <si>
    <t>=D40</t>
  </si>
  <si>
    <t>=NL("Rows","Jet Item by Location",$E$8:$I$8,"Class Code","@@"&amp;$C41)</t>
  </si>
  <si>
    <t>=SUM(J41:N41)</t>
  </si>
  <si>
    <t>=IFERROR($H41*NL(,"Jet Item by Location","Quantity On Hand","Item Number",$F41,"Location Code","@@"&amp;Q$9),"")</t>
  </si>
  <si>
    <t>=SUM(Q41:Q41)</t>
  </si>
  <si>
    <t>=V39+1</t>
  </si>
  <si>
    <t>=SUM(J42:N42)</t>
  </si>
  <si>
    <t>=IFERROR($H42*NL(,"Jet Item by Location","Quantity On Hand","Item Number",$F42,"Location Code","@@"&amp;Q$9),"")</t>
  </si>
  <si>
    <t>=SUM(Q42:Q42)</t>
  </si>
  <si>
    <t>=V40+1</t>
  </si>
  <si>
    <t>=SUM(J43:N43)</t>
  </si>
  <si>
    <t>=IFERROR($H43*NL(,"Jet Item by Location","Quantity On Hand","Item Number",$F43,"Location Code","@@"&amp;Q$9),"")</t>
  </si>
  <si>
    <t>=SUM(Q43:Q43)</t>
  </si>
  <si>
    <t>=V41+1</t>
  </si>
  <si>
    <t>=SUM(J44:N44)</t>
  </si>
  <si>
    <t>=IFERROR($H44*NL(,"Jet Item by Location","Quantity On Hand","Item Number",$F44,"Location Code","@@"&amp;Q$9),"")</t>
  </si>
  <si>
    <t>=SUM(Q44:Q44)</t>
  </si>
  <si>
    <t>=V42+1</t>
  </si>
  <si>
    <t>=SUM(J45:N45)</t>
  </si>
  <si>
    <t>=IFERROR($H45*NL(,"Jet Item by Location","Quantity On Hand","Item Number",$F45,"Location Code","@@"&amp;Q$9),"")</t>
  </si>
  <si>
    <t>=SUM(Q45:Q45)</t>
  </si>
  <si>
    <t>=V43+1</t>
  </si>
  <si>
    <t>=SUM(J46:N46)</t>
  </si>
  <si>
    <t>=IFERROR($H46*NL(,"Jet Item by Location","Quantity On Hand","Item Number",$F46,"Location Code","@@"&amp;Q$9),"")</t>
  </si>
  <si>
    <t>=SUM(Q46:Q46)</t>
  </si>
  <si>
    <t>=V44+1</t>
  </si>
  <si>
    <t>=SUM(J47:N47)</t>
  </si>
  <si>
    <t>=IFERROR($H47*NL(,"Jet Item by Location","Quantity On Hand","Item Number",$F47,"Location Code","@@"&amp;Q$9),"")</t>
  </si>
  <si>
    <t>=SUM(Q47:Q47)</t>
  </si>
  <si>
    <t>=V45+1</t>
  </si>
  <si>
    <t>="Total For:  "&amp;$C49</t>
  </si>
  <si>
    <t>=SUBTOTAL(9, J41:J48)</t>
  </si>
  <si>
    <t>=SUBTOTAL(9, K41:K48)</t>
  </si>
  <si>
    <t>=SUBTOTAL(9, L41:L48)</t>
  </si>
  <si>
    <t>=SUBTOTAL(9, M41:M48)</t>
  </si>
  <si>
    <t>=SUBTOTAL(9, O41:O48)</t>
  </si>
  <si>
    <t>=SUBTOTAL(9, U41:U48)</t>
  </si>
  <si>
    <t>=D51</t>
  </si>
  <si>
    <t>=NL("Rows","Jet Item by Location",$E$8:$I$8,"Class Code","@@"&amp;$C52)</t>
  </si>
  <si>
    <t>=SUM(J52:N52)</t>
  </si>
  <si>
    <t>=IFERROR($H52*NL(,"Jet Item by Location","Quantity On Hand","Item Number",$F52,"Location Code","@@"&amp;Q$9),"")</t>
  </si>
  <si>
    <t>=SUM(Q52:Q52)</t>
  </si>
  <si>
    <t>=V50+1</t>
  </si>
  <si>
    <t>=SUM(J53:N53)</t>
  </si>
  <si>
    <t>=IFERROR($H53*NL(,"Jet Item by Location","Quantity On Hand","Item Number",$F53,"Location Code","@@"&amp;Q$9),"")</t>
  </si>
  <si>
    <t>=IFERROR($H53*NL(,"Jet Item by Location","Quantity On Hand","Item Number",$F53,"Location Code","@@"&amp;R$9),"")</t>
  </si>
  <si>
    <t>=IFERROR($H53*NL(,"Jet Item by Location","Quantity On Hand","Item Number",$F53,"Location Code","@@"&amp;S$9),"")</t>
  </si>
  <si>
    <t>=IFERROR($H53*NL(,"Jet Item by Location","Quantity On Hand","Item Number",$F53,"Location Code","@@"&amp;T$9),"")</t>
  </si>
  <si>
    <t>=SUM(Q53:Q53)</t>
  </si>
  <si>
    <t>=V51+1</t>
  </si>
  <si>
    <t>="Total For:  "&amp;$C55</t>
  </si>
  <si>
    <t>=SUBTOTAL(9, J52:J54)</t>
  </si>
  <si>
    <t>=SUBTOTAL(9, K52:K54)</t>
  </si>
  <si>
    <t>=SUBTOTAL(9, L52:L54)</t>
  </si>
  <si>
    <t>=SUBTOTAL(9, M52:M54)</t>
  </si>
  <si>
    <t>=SUBTOTAL(9, O52:O54)</t>
  </si>
  <si>
    <t>=SUBTOTAL(9, U52:U54)</t>
  </si>
  <si>
    <t>=D57</t>
  </si>
  <si>
    <t>=NL("Rows","Jet Item by Location",$E$8:$I$8,"Class Code","@@"&amp;$C58)</t>
  </si>
  <si>
    <t>=SUM(J58:N58)</t>
  </si>
  <si>
    <t>=IFERROR($H58*NL(,"Jet Item by Location","Quantity On Hand","Item Number",$F58,"Location Code","@@"&amp;Q$9),"")</t>
  </si>
  <si>
    <t>=SUM(Q58:Q58)</t>
  </si>
  <si>
    <t>=V56+1</t>
  </si>
  <si>
    <t>="Total For:  "&amp;$C60</t>
  </si>
  <si>
    <t>=SUBTOTAL(9, J58:J59)</t>
  </si>
  <si>
    <t>=SUBTOTAL(9, K58:K59)</t>
  </si>
  <si>
    <t>=SUBTOTAL(9, L58:L59)</t>
  </si>
  <si>
    <t>=SUBTOTAL(9, M58:M59)</t>
  </si>
  <si>
    <t>=SUBTOTAL(9, O58:O59)</t>
  </si>
  <si>
    <t>=SUBTOTAL(9, U58:U59)</t>
  </si>
  <si>
    <t>=D62</t>
  </si>
  <si>
    <t>=NL("Rows","Jet Item by Location",$E$8:$I$8,"Class Code","@@"&amp;$C63)</t>
  </si>
  <si>
    <t>=SUM(J63:N63)</t>
  </si>
  <si>
    <t>=IFERROR($H63*NL(,"Jet Item by Location","Quantity On Hand","Item Number",$F63,"Location Code","@@"&amp;Q$9),"")</t>
  </si>
  <si>
    <t>=IFERROR($H63*NL(,"Jet Item by Location","Quantity On Hand","Item Number",$F63,"Location Code","@@"&amp;R$9),"")</t>
  </si>
  <si>
    <t>=IFERROR($H63*NL(,"Jet Item by Location","Quantity On Hand","Item Number",$F63,"Location Code","@@"&amp;S$9),"")</t>
  </si>
  <si>
    <t>=IFERROR($H63*NL(,"Jet Item by Location","Quantity On Hand","Item Number",$F63,"Location Code","@@"&amp;T$9),"")</t>
  </si>
  <si>
    <t>=SUM(Q63:Q63)</t>
  </si>
  <si>
    <t>=V61+1</t>
  </si>
  <si>
    <t>="Total For:  "&amp;$C65</t>
  </si>
  <si>
    <t>=SUBTOTAL(9, J63:J64)</t>
  </si>
  <si>
    <t>=SUBTOTAL(9, K63:K64)</t>
  </si>
  <si>
    <t>=SUBTOTAL(9, L63:L64)</t>
  </si>
  <si>
    <t>=SUBTOTAL(9, M63:M64)</t>
  </si>
  <si>
    <t>=SUBTOTAL(9, O63:O64)</t>
  </si>
  <si>
    <t>=SUBTOTAL(9, U63:U64)</t>
  </si>
  <si>
    <t>=D67</t>
  </si>
  <si>
    <t>=NL("Rows","Jet Item by Location",$E$8:$I$8,"Class Code","@@"&amp;$C68)</t>
  </si>
  <si>
    <t>=SUM(J68:N68)</t>
  </si>
  <si>
    <t>=IFERROR($H68*NL(,"Jet Item by Location","Quantity On Hand","Item Number",$F68,"Location Code","@@"&amp;Q$9),"")</t>
  </si>
  <si>
    <t>=SUM(Q68:Q68)</t>
  </si>
  <si>
    <t>=V66+1</t>
  </si>
  <si>
    <t>="Total For:  "&amp;$C70</t>
  </si>
  <si>
    <t>=SUBTOTAL(9, J68:J69)</t>
  </si>
  <si>
    <t>=SUBTOTAL(9, K68:K69)</t>
  </si>
  <si>
    <t>=SUBTOTAL(9, L68:L69)</t>
  </si>
  <si>
    <t>=SUBTOTAL(9, M68:M69)</t>
  </si>
  <si>
    <t>=SUBTOTAL(9, O68:O69)</t>
  </si>
  <si>
    <t>=SUBTOTAL(9, U68:U69)</t>
  </si>
  <si>
    <t>=D72</t>
  </si>
  <si>
    <t>=NL("Rows","Jet Item by Location",$E$8:$I$8,"Class Code","@@"&amp;$C73)</t>
  </si>
  <si>
    <t>=SUM(J73:N73)</t>
  </si>
  <si>
    <t>=IFERROR($H73*NL(,"Jet Item by Location","Quantity On Hand","Item Number",$F73,"Location Code","@@"&amp;Q$9),"")</t>
  </si>
  <si>
    <t>=SUM(Q73:Q73)</t>
  </si>
  <si>
    <t>=V71+1</t>
  </si>
  <si>
    <t>=SUM(J74:N74)</t>
  </si>
  <si>
    <t>=IFERROR($H74*NL(,"Jet Item by Location","Quantity On Hand","Item Number",$F74,"Location Code","@@"&amp;Q$9),"")</t>
  </si>
  <si>
    <t>=SUM(Q74:Q74)</t>
  </si>
  <si>
    <t>=V72+1</t>
  </si>
  <si>
    <t>=SUM(J75:N75)</t>
  </si>
  <si>
    <t>=IFERROR($H75*NL(,"Jet Item by Location","Quantity On Hand","Item Number",$F75,"Location Code","@@"&amp;Q$9),"")</t>
  </si>
  <si>
    <t>=SUM(Q75:Q75)</t>
  </si>
  <si>
    <t>=V73+1</t>
  </si>
  <si>
    <t>=SUM(J76:N76)</t>
  </si>
  <si>
    <t>=IFERROR($H76*NL(,"Jet Item by Location","Quantity On Hand","Item Number",$F76,"Location Code","@@"&amp;Q$9),"")</t>
  </si>
  <si>
    <t>=SUM(Q76:Q76)</t>
  </si>
  <si>
    <t>=V74+1</t>
  </si>
  <si>
    <t>=SUM(J77:N77)</t>
  </si>
  <si>
    <t>=IFERROR($H77*NL(,"Jet Item by Location","Quantity On Hand","Item Number",$F77,"Location Code","@@"&amp;Q$9),"")</t>
  </si>
  <si>
    <t>=SUM(Q77:Q77)</t>
  </si>
  <si>
    <t>=V75+1</t>
  </si>
  <si>
    <t>=SUM(J78:N78)</t>
  </si>
  <si>
    <t>=IFERROR($H78*NL(,"Jet Item by Location","Quantity On Hand","Item Number",$F78,"Location Code","@@"&amp;Q$9),"")</t>
  </si>
  <si>
    <t>=SUM(Q78:Q78)</t>
  </si>
  <si>
    <t>=V76+1</t>
  </si>
  <si>
    <t>=SUM(J79:N79)</t>
  </si>
  <si>
    <t>=IFERROR($H79*NL(,"Jet Item by Location","Quantity On Hand","Item Number",$F79,"Location Code","@@"&amp;Q$9),"")</t>
  </si>
  <si>
    <t>=SUM(Q79:Q79)</t>
  </si>
  <si>
    <t>=V77+1</t>
  </si>
  <si>
    <t>=SUM(J80:N80)</t>
  </si>
  <si>
    <t>=IFERROR($H80*NL(,"Jet Item by Location","Quantity On Hand","Item Number",$F80,"Location Code","@@"&amp;Q$9),"")</t>
  </si>
  <si>
    <t>=IFERROR($H80*NL(,"Jet Item by Location","Quantity On Hand","Item Number",$F80,"Location Code","@@"&amp;R$9),"")</t>
  </si>
  <si>
    <t>=IFERROR($H80*NL(,"Jet Item by Location","Quantity On Hand","Item Number",$F80,"Location Code","@@"&amp;S$9),"")</t>
  </si>
  <si>
    <t>=IFERROR($H80*NL(,"Jet Item by Location","Quantity On Hand","Item Number",$F80,"Location Code","@@"&amp;T$9),"")</t>
  </si>
  <si>
    <t>=SUM(Q80:Q80)</t>
  </si>
  <si>
    <t>=V78+1</t>
  </si>
  <si>
    <t>=SUM(J81:N81)</t>
  </si>
  <si>
    <t>=IFERROR($H81*NL(,"Jet Item by Location","Quantity On Hand","Item Number",$F81,"Location Code","@@"&amp;Q$9),"")</t>
  </si>
  <si>
    <t>=IFERROR($H81*NL(,"Jet Item by Location","Quantity On Hand","Item Number",$F81,"Location Code","@@"&amp;R$9),"")</t>
  </si>
  <si>
    <t>=IFERROR($H81*NL(,"Jet Item by Location","Quantity On Hand","Item Number",$F81,"Location Code","@@"&amp;S$9),"")</t>
  </si>
  <si>
    <t>=IFERROR($H81*NL(,"Jet Item by Location","Quantity On Hand","Item Number",$F81,"Location Code","@@"&amp;T$9),"")</t>
  </si>
  <si>
    <t>=SUM(Q81:Q81)</t>
  </si>
  <si>
    <t>=V79+1</t>
  </si>
  <si>
    <t>=SUM(J82:N82)</t>
  </si>
  <si>
    <t>=IFERROR($H82*NL(,"Jet Item by Location","Quantity On Hand","Item Number",$F82,"Location Code","@@"&amp;Q$9),"")</t>
  </si>
  <si>
    <t>=IFERROR($H82*NL(,"Jet Item by Location","Quantity On Hand","Item Number",$F82,"Location Code","@@"&amp;R$9),"")</t>
  </si>
  <si>
    <t>=IFERROR($H82*NL(,"Jet Item by Location","Quantity On Hand","Item Number",$F82,"Location Code","@@"&amp;S$9),"")</t>
  </si>
  <si>
    <t>=IFERROR($H82*NL(,"Jet Item by Location","Quantity On Hand","Item Number",$F82,"Location Code","@@"&amp;T$9),"")</t>
  </si>
  <si>
    <t>=SUM(Q82:Q82)</t>
  </si>
  <si>
    <t>=V80+1</t>
  </si>
  <si>
    <t>=SUM(J83:N83)</t>
  </si>
  <si>
    <t>=IFERROR($H83*NL(,"Jet Item by Location","Quantity On Hand","Item Number",$F83,"Location Code","@@"&amp;Q$9),"")</t>
  </si>
  <si>
    <t>=SUM(Q83:Q83)</t>
  </si>
  <si>
    <t>=V81+1</t>
  </si>
  <si>
    <t>=SUM(J84:N84)</t>
  </si>
  <si>
    <t>=IFERROR($H84*NL(,"Jet Item by Location","Quantity On Hand","Item Number",$F84,"Location Code","@@"&amp;Q$9),"")</t>
  </si>
  <si>
    <t>=SUM(Q84:Q84)</t>
  </si>
  <si>
    <t>=V82+1</t>
  </si>
  <si>
    <t>=NL(,"Jet Item by Location",$H$8,$F$8,$F85)</t>
  </si>
  <si>
    <t>=NL(,"Jet Item by Location","Quantity On Hand","Item Number",$F85,"Location Code","@@"&amp;J$9)</t>
  </si>
  <si>
    <t>=NL(,"Jet Item by Location","Quantity On Hand","Item Number",$F85,"Location Code","@@"&amp;K$9)</t>
  </si>
  <si>
    <t>=NL(,"Jet Item by Location","Quantity On Hand","Item Number",$F85,"Location Code","@@"&amp;L$9)</t>
  </si>
  <si>
    <t>=NL(,"Jet Item by Location","Quantity On Hand","Item Number",$F85,"Location Code","@@"&amp;M$9)</t>
  </si>
  <si>
    <t>=SUM(J85:N85)</t>
  </si>
  <si>
    <t>=IFERROR($H85*NL(,"Jet Item by Location","Quantity On Hand","Item Number",$F85,"Location Code","@@"&amp;Q$9),"")</t>
  </si>
  <si>
    <t>=IFERROR($H85*NL(,"Jet Item by Location","Quantity On Hand","Item Number",$F85,"Location Code","@@"&amp;R$9),"")</t>
  </si>
  <si>
    <t>=IFERROR($H85*NL(,"Jet Item by Location","Quantity On Hand","Item Number",$F85,"Location Code","@@"&amp;S$9),"")</t>
  </si>
  <si>
    <t>=IFERROR($H85*NL(,"Jet Item by Location","Quantity On Hand","Item Number",$F85,"Location Code","@@"&amp;T$9),"")</t>
  </si>
  <si>
    <t>=SUM(Q85:Q85)</t>
  </si>
  <si>
    <t>=V83+1</t>
  </si>
  <si>
    <t>=NL(,"Jet Item by Location",$H$8,$F$8,$F86)</t>
  </si>
  <si>
    <t>=NL(,"Jet Item by Location","Quantity On Hand","Item Number",$F86,"Location Code","@@"&amp;J$9)</t>
  </si>
  <si>
    <t>=NL(,"Jet Item by Location","Quantity On Hand","Item Number",$F86,"Location Code","@@"&amp;K$9)</t>
  </si>
  <si>
    <t>=NL(,"Jet Item by Location","Quantity On Hand","Item Number",$F86,"Location Code","@@"&amp;L$9)</t>
  </si>
  <si>
    <t>=NL(,"Jet Item by Location","Quantity On Hand","Item Number",$F86,"Location Code","@@"&amp;M$9)</t>
  </si>
  <si>
    <t>=SUM(J86:N86)</t>
  </si>
  <si>
    <t>=IFERROR($H86*NL(,"Jet Item by Location","Quantity On Hand","Item Number",$F86,"Location Code","@@"&amp;Q$9),"")</t>
  </si>
  <si>
    <t>=IFERROR($H86*NL(,"Jet Item by Location","Quantity On Hand","Item Number",$F86,"Location Code","@@"&amp;R$9),"")</t>
  </si>
  <si>
    <t>=IFERROR($H86*NL(,"Jet Item by Location","Quantity On Hand","Item Number",$F86,"Location Code","@@"&amp;S$9),"")</t>
  </si>
  <si>
    <t>=IFERROR($H86*NL(,"Jet Item by Location","Quantity On Hand","Item Number",$F86,"Location Code","@@"&amp;T$9),"")</t>
  </si>
  <si>
    <t>=SUM(Q86:Q86)</t>
  </si>
  <si>
    <t>=V84+1</t>
  </si>
  <si>
    <t>=C86</t>
  </si>
  <si>
    <t>=NL(,"Jet Item by Location",$H$8,$F$8,$F87)</t>
  </si>
  <si>
    <t>=NL(,"Jet Item by Location","Quantity On Hand","Item Number",$F87,"Location Code","@@"&amp;J$9)</t>
  </si>
  <si>
    <t>=NL(,"Jet Item by Location","Quantity On Hand","Item Number",$F87,"Location Code","@@"&amp;K$9)</t>
  </si>
  <si>
    <t>=NL(,"Jet Item by Location","Quantity On Hand","Item Number",$F87,"Location Code","@@"&amp;L$9)</t>
  </si>
  <si>
    <t>=NL(,"Jet Item by Location","Quantity On Hand","Item Number",$F87,"Location Code","@@"&amp;M$9)</t>
  </si>
  <si>
    <t>=SUM(J87:N87)</t>
  </si>
  <si>
    <t>=IFERROR($H87*NL(,"Jet Item by Location","Quantity On Hand","Item Number",$F87,"Location Code","@@"&amp;Q$9),"")</t>
  </si>
  <si>
    <t>=IFERROR($H87*NL(,"Jet Item by Location","Quantity On Hand","Item Number",$F87,"Location Code","@@"&amp;R$9),"")</t>
  </si>
  <si>
    <t>=IFERROR($H87*NL(,"Jet Item by Location","Quantity On Hand","Item Number",$F87,"Location Code","@@"&amp;S$9),"")</t>
  </si>
  <si>
    <t>=IFERROR($H87*NL(,"Jet Item by Location","Quantity On Hand","Item Number",$F87,"Location Code","@@"&amp;T$9),"")</t>
  </si>
  <si>
    <t>=SUM(Q87:Q87)</t>
  </si>
  <si>
    <t>=V85+1</t>
  </si>
  <si>
    <t>=SUM(J88:N88)</t>
  </si>
  <si>
    <t>=IFERROR($H88*NL(,"Jet Item by Location","Quantity On Hand","Item Number",$F88,"Location Code","@@"&amp;Q$9),"")</t>
  </si>
  <si>
    <t>=SUM(Q88:Q88)</t>
  </si>
  <si>
    <t>=V86+1</t>
  </si>
  <si>
    <t>=SUM(J89:N89)</t>
  </si>
  <si>
    <t>=IFERROR($H89*NL(,"Jet Item by Location","Quantity On Hand","Item Number",$F89,"Location Code","@@"&amp;Q$9),"")</t>
  </si>
  <si>
    <t>=SUM(Q89:Q89)</t>
  </si>
  <si>
    <t>=V87+1</t>
  </si>
  <si>
    <t>=SUM(J90:N90)</t>
  </si>
  <si>
    <t>=IFERROR($H90*NL(,"Jet Item by Location","Quantity On Hand","Item Number",$F90,"Location Code","@@"&amp;Q$9),"")</t>
  </si>
  <si>
    <t>=SUM(Q90:Q90)</t>
  </si>
  <si>
    <t>=V88+1</t>
  </si>
  <si>
    <t>=SUM(J91:N91)</t>
  </si>
  <si>
    <t>=IFERROR($H91*NL(,"Jet Item by Location","Quantity On Hand","Item Number",$F91,"Location Code","@@"&amp;Q$9),"")</t>
  </si>
  <si>
    <t>=IFERROR($H91*NL(,"Jet Item by Location","Quantity On Hand","Item Number",$F91,"Location Code","@@"&amp;R$9),"")</t>
  </si>
  <si>
    <t>=IFERROR($H91*NL(,"Jet Item by Location","Quantity On Hand","Item Number",$F91,"Location Code","@@"&amp;S$9),"")</t>
  </si>
  <si>
    <t>=IFERROR($H91*NL(,"Jet Item by Location","Quantity On Hand","Item Number",$F91,"Location Code","@@"&amp;T$9),"")</t>
  </si>
  <si>
    <t>=SUM(Q91:Q91)</t>
  </si>
  <si>
    <t>=V89+1</t>
  </si>
  <si>
    <t>=SUM(J92:N92)</t>
  </si>
  <si>
    <t>=IFERROR($H92*NL(,"Jet Item by Location","Quantity On Hand","Item Number",$F92,"Location Code","@@"&amp;Q$9),"")</t>
  </si>
  <si>
    <t>=IFERROR($H92*NL(,"Jet Item by Location","Quantity On Hand","Item Number",$F92,"Location Code","@@"&amp;R$9),"")</t>
  </si>
  <si>
    <t>=IFERROR($H92*NL(,"Jet Item by Location","Quantity On Hand","Item Number",$F92,"Location Code","@@"&amp;S$9),"")</t>
  </si>
  <si>
    <t>=IFERROR($H92*NL(,"Jet Item by Location","Quantity On Hand","Item Number",$F92,"Location Code","@@"&amp;T$9),"")</t>
  </si>
  <si>
    <t>=SUM(Q92:Q92)</t>
  </si>
  <si>
    <t>=V90+1</t>
  </si>
  <si>
    <t>=C92</t>
  </si>
  <si>
    <t>=NL(,"Jet Item by Location",$H$8,$F$8,$F93)</t>
  </si>
  <si>
    <t>=NL(,"Jet Item by Location","Quantity On Hand","Item Number",$F93,"Location Code","@@"&amp;J$9)</t>
  </si>
  <si>
    <t>=NL(,"Jet Item by Location","Quantity On Hand","Item Number",$F93,"Location Code","@@"&amp;K$9)</t>
  </si>
  <si>
    <t>=NL(,"Jet Item by Location","Quantity On Hand","Item Number",$F93,"Location Code","@@"&amp;L$9)</t>
  </si>
  <si>
    <t>=NL(,"Jet Item by Location","Quantity On Hand","Item Number",$F93,"Location Code","@@"&amp;M$9)</t>
  </si>
  <si>
    <t>=SUM(J93:N93)</t>
  </si>
  <si>
    <t>=IFERROR($H93*NL(,"Jet Item by Location","Quantity On Hand","Item Number",$F93,"Location Code","@@"&amp;Q$9),"")</t>
  </si>
  <si>
    <t>=IFERROR($H93*NL(,"Jet Item by Location","Quantity On Hand","Item Number",$F93,"Location Code","@@"&amp;R$9),"")</t>
  </si>
  <si>
    <t>=IFERROR($H93*NL(,"Jet Item by Location","Quantity On Hand","Item Number",$F93,"Location Code","@@"&amp;S$9),"")</t>
  </si>
  <si>
    <t>=IFERROR($H93*NL(,"Jet Item by Location","Quantity On Hand","Item Number",$F93,"Location Code","@@"&amp;T$9),"")</t>
  </si>
  <si>
    <t>=SUM(Q93:Q93)</t>
  </si>
  <si>
    <t>=V91+1</t>
  </si>
  <si>
    <t>=SUM(J94:N94)</t>
  </si>
  <si>
    <t>=IFERROR($H94*NL(,"Jet Item by Location","Quantity On Hand","Item Number",$F94,"Location Code","@@"&amp;Q$9),"")</t>
  </si>
  <si>
    <t>=SUM(Q94:Q94)</t>
  </si>
  <si>
    <t>=V92+1</t>
  </si>
  <si>
    <t>=SUM(J95:N95)</t>
  </si>
  <si>
    <t>=IFERROR($H95*NL(,"Jet Item by Location","Quantity On Hand","Item Number",$F95,"Location Code","@@"&amp;Q$9),"")</t>
  </si>
  <si>
    <t>=SUM(Q95:Q95)</t>
  </si>
  <si>
    <t>=V93+1</t>
  </si>
  <si>
    <t>=SUM(J96:N96)</t>
  </si>
  <si>
    <t>=IFERROR($H96*NL(,"Jet Item by Location","Quantity On Hand","Item Number",$F96,"Location Code","@@"&amp;Q$9),"")</t>
  </si>
  <si>
    <t>=SUM(Q96:Q96)</t>
  </si>
  <si>
    <t>=V94+1</t>
  </si>
  <si>
    <t>=SUM(J97:N97)</t>
  </si>
  <si>
    <t>=IFERROR($H97*NL(,"Jet Item by Location","Quantity On Hand","Item Number",$F97,"Location Code","@@"&amp;Q$9),"")</t>
  </si>
  <si>
    <t>=SUM(Q97:Q97)</t>
  </si>
  <si>
    <t>=V95+1</t>
  </si>
  <si>
    <t>=SUM(J98:N98)</t>
  </si>
  <si>
    <t>=IFERROR($H98*NL(,"Jet Item by Location","Quantity On Hand","Item Number",$F98,"Location Code","@@"&amp;Q$9),"")</t>
  </si>
  <si>
    <t>=SUM(Q98:Q98)</t>
  </si>
  <si>
    <t>=V96+1</t>
  </si>
  <si>
    <t>=SUM(J99:N99)</t>
  </si>
  <si>
    <t>=IFERROR($H99*NL(,"Jet Item by Location","Quantity On Hand","Item Number",$F99,"Location Code","@@"&amp;Q$9),"")</t>
  </si>
  <si>
    <t>=SUM(Q99:Q99)</t>
  </si>
  <si>
    <t>=V97+1</t>
  </si>
  <si>
    <t>=SUM(J100:N100)</t>
  </si>
  <si>
    <t>=IFERROR($H100*NL(,"Jet Item by Location","Quantity On Hand","Item Number",$F100,"Location Code","@@"&amp;Q$9),"")</t>
  </si>
  <si>
    <t>=SUM(Q100:Q100)</t>
  </si>
  <si>
    <t>=V98+1</t>
  </si>
  <si>
    <t>=SUM(J101:N101)</t>
  </si>
  <si>
    <t>=IFERROR($H101*NL(,"Jet Item by Location","Quantity On Hand","Item Number",$F101,"Location Code","@@"&amp;Q$9),"")</t>
  </si>
  <si>
    <t>=SUM(Q101:Q101)</t>
  </si>
  <si>
    <t>=V99+1</t>
  </si>
  <si>
    <t>=SUM(J102:N102)</t>
  </si>
  <si>
    <t>=IFERROR($H102*NL(,"Jet Item by Location","Quantity On Hand","Item Number",$F102,"Location Code","@@"&amp;Q$9),"")</t>
  </si>
  <si>
    <t>=IFERROR($H102*NL(,"Jet Item by Location","Quantity On Hand","Item Number",$F102,"Location Code","@@"&amp;R$9),"")</t>
  </si>
  <si>
    <t>=IFERROR($H102*NL(,"Jet Item by Location","Quantity On Hand","Item Number",$F102,"Location Code","@@"&amp;S$9),"")</t>
  </si>
  <si>
    <t>=IFERROR($H102*NL(,"Jet Item by Location","Quantity On Hand","Item Number",$F102,"Location Code","@@"&amp;T$9),"")</t>
  </si>
  <si>
    <t>=SUM(Q102:Q102)</t>
  </si>
  <si>
    <t>=V100+1</t>
  </si>
  <si>
    <t>=SUM(J103:N103)</t>
  </si>
  <si>
    <t>=IFERROR($H103*NL(,"Jet Item by Location","Quantity On Hand","Item Number",$F103,"Location Code","@@"&amp;Q$9),"")</t>
  </si>
  <si>
    <t>=IFERROR($H103*NL(,"Jet Item by Location","Quantity On Hand","Item Number",$F103,"Location Code","@@"&amp;R$9),"")</t>
  </si>
  <si>
    <t>=IFERROR($H103*NL(,"Jet Item by Location","Quantity On Hand","Item Number",$F103,"Location Code","@@"&amp;S$9),"")</t>
  </si>
  <si>
    <t>=IFERROR($H103*NL(,"Jet Item by Location","Quantity On Hand","Item Number",$F103,"Location Code","@@"&amp;T$9),"")</t>
  </si>
  <si>
    <t>=SUM(Q103:Q103)</t>
  </si>
  <si>
    <t>=V101+1</t>
  </si>
  <si>
    <t>=SUM(J104:N104)</t>
  </si>
  <si>
    <t>=IFERROR($H104*NL(,"Jet Item by Location","Quantity On Hand","Item Number",$F104,"Location Code","@@"&amp;Q$9),"")</t>
  </si>
  <si>
    <t>=IFERROR($H104*NL(,"Jet Item by Location","Quantity On Hand","Item Number",$F104,"Location Code","@@"&amp;R$9),"")</t>
  </si>
  <si>
    <t>=IFERROR($H104*NL(,"Jet Item by Location","Quantity On Hand","Item Number",$F104,"Location Code","@@"&amp;S$9),"")</t>
  </si>
  <si>
    <t>=IFERROR($H104*NL(,"Jet Item by Location","Quantity On Hand","Item Number",$F104,"Location Code","@@"&amp;T$9),"")</t>
  </si>
  <si>
    <t>=SUM(Q104:Q104)</t>
  </si>
  <si>
    <t>=V102+1</t>
  </si>
  <si>
    <t>=SUM(J105:N105)</t>
  </si>
  <si>
    <t>=IFERROR($H105*NL(,"Jet Item by Location","Quantity On Hand","Item Number",$F105,"Location Code","@@"&amp;Q$9),"")</t>
  </si>
  <si>
    <t>=SUM(Q105:Q105)</t>
  </si>
  <si>
    <t>=V103+1</t>
  </si>
  <si>
    <t>=SUM(J106:N106)</t>
  </si>
  <si>
    <t>=IFERROR($H106*NL(,"Jet Item by Location","Quantity On Hand","Item Number",$F106,"Location Code","@@"&amp;Q$9),"")</t>
  </si>
  <si>
    <t>=SUM(Q106:Q106)</t>
  </si>
  <si>
    <t>=V104+1</t>
  </si>
  <si>
    <t>=SUM(J107:N107)</t>
  </si>
  <si>
    <t>=IFERROR($H107*NL(,"Jet Item by Location","Quantity On Hand","Item Number",$F107,"Location Code","@@"&amp;Q$9),"")</t>
  </si>
  <si>
    <t>=SUM(Q107:Q107)</t>
  </si>
  <si>
    <t>=V105+1</t>
  </si>
  <si>
    <t>=SUM(J108:N108)</t>
  </si>
  <si>
    <t>=IFERROR($H108*NL(,"Jet Item by Location","Quantity On Hand","Item Number",$F108,"Location Code","@@"&amp;Q$9),"")</t>
  </si>
  <si>
    <t>=IFERROR($H108*NL(,"Jet Item by Location","Quantity On Hand","Item Number",$F108,"Location Code","@@"&amp;R$9),"")</t>
  </si>
  <si>
    <t>=IFERROR($H108*NL(,"Jet Item by Location","Quantity On Hand","Item Number",$F108,"Location Code","@@"&amp;S$9),"")</t>
  </si>
  <si>
    <t>=IFERROR($H108*NL(,"Jet Item by Location","Quantity On Hand","Item Number",$F108,"Location Code","@@"&amp;T$9),"")</t>
  </si>
  <si>
    <t>=SUM(Q108:Q108)</t>
  </si>
  <si>
    <t>=V106+1</t>
  </si>
  <si>
    <t>=SUM(J109:N109)</t>
  </si>
  <si>
    <t>=IFERROR($H109*NL(,"Jet Item by Location","Quantity On Hand","Item Number",$F109,"Location Code","@@"&amp;Q$9),"")</t>
  </si>
  <si>
    <t>=IFERROR($H109*NL(,"Jet Item by Location","Quantity On Hand","Item Number",$F109,"Location Code","@@"&amp;R$9),"")</t>
  </si>
  <si>
    <t>=IFERROR($H109*NL(,"Jet Item by Location","Quantity On Hand","Item Number",$F109,"Location Code","@@"&amp;S$9),"")</t>
  </si>
  <si>
    <t>=IFERROR($H109*NL(,"Jet Item by Location","Quantity On Hand","Item Number",$F109,"Location Code","@@"&amp;T$9),"")</t>
  </si>
  <si>
    <t>=SUM(Q109:Q109)</t>
  </si>
  <si>
    <t>=V107+1</t>
  </si>
  <si>
    <t>=SUM(J110:N110)</t>
  </si>
  <si>
    <t>=IFERROR($H110*NL(,"Jet Item by Location","Quantity On Hand","Item Number",$F110,"Location Code","@@"&amp;Q$9),"")</t>
  </si>
  <si>
    <t>=IFERROR($H110*NL(,"Jet Item by Location","Quantity On Hand","Item Number",$F110,"Location Code","@@"&amp;R$9),"")</t>
  </si>
  <si>
    <t>=IFERROR($H110*NL(,"Jet Item by Location","Quantity On Hand","Item Number",$F110,"Location Code","@@"&amp;S$9),"")</t>
  </si>
  <si>
    <t>=IFERROR($H110*NL(,"Jet Item by Location","Quantity On Hand","Item Number",$F110,"Location Code","@@"&amp;T$9),"")</t>
  </si>
  <si>
    <t>=SUM(Q110:Q110)</t>
  </si>
  <si>
    <t>=V108+1</t>
  </si>
  <si>
    <t>=SUM(J111:N111)</t>
  </si>
  <si>
    <t>=IFERROR($H111*NL(,"Jet Item by Location","Quantity On Hand","Item Number",$F111,"Location Code","@@"&amp;Q$9),"")</t>
  </si>
  <si>
    <t>=IFERROR($H111*NL(,"Jet Item by Location","Quantity On Hand","Item Number",$F111,"Location Code","@@"&amp;R$9),"")</t>
  </si>
  <si>
    <t>=IFERROR($H111*NL(,"Jet Item by Location","Quantity On Hand","Item Number",$F111,"Location Code","@@"&amp;S$9),"")</t>
  </si>
  <si>
    <t>=IFERROR($H111*NL(,"Jet Item by Location","Quantity On Hand","Item Number",$F111,"Location Code","@@"&amp;T$9),"")</t>
  </si>
  <si>
    <t>=SUM(Q111:Q111)</t>
  </si>
  <si>
    <t>=V109+1</t>
  </si>
  <si>
    <t>=SUM(J112:N112)</t>
  </si>
  <si>
    <t>=IFERROR($H112*NL(,"Jet Item by Location","Quantity On Hand","Item Number",$F112,"Location Code","@@"&amp;Q$9),"")</t>
  </si>
  <si>
    <t>=IFERROR($H112*NL(,"Jet Item by Location","Quantity On Hand","Item Number",$F112,"Location Code","@@"&amp;R$9),"")</t>
  </si>
  <si>
    <t>=IFERROR($H112*NL(,"Jet Item by Location","Quantity On Hand","Item Number",$F112,"Location Code","@@"&amp;S$9),"")</t>
  </si>
  <si>
    <t>=IFERROR($H112*NL(,"Jet Item by Location","Quantity On Hand","Item Number",$F112,"Location Code","@@"&amp;T$9),"")</t>
  </si>
  <si>
    <t>=SUM(Q112:Q112)</t>
  </si>
  <si>
    <t>=V110+1</t>
  </si>
  <si>
    <t>=SUM(J113:N113)</t>
  </si>
  <si>
    <t>=IFERROR($H113*NL(,"Jet Item by Location","Quantity On Hand","Item Number",$F113,"Location Code","@@"&amp;Q$9),"")</t>
  </si>
  <si>
    <t>=IFERROR($H113*NL(,"Jet Item by Location","Quantity On Hand","Item Number",$F113,"Location Code","@@"&amp;R$9),"")</t>
  </si>
  <si>
    <t>=IFERROR($H113*NL(,"Jet Item by Location","Quantity On Hand","Item Number",$F113,"Location Code","@@"&amp;S$9),"")</t>
  </si>
  <si>
    <t>=IFERROR($H113*NL(,"Jet Item by Location","Quantity On Hand","Item Number",$F113,"Location Code","@@"&amp;T$9),"")</t>
  </si>
  <si>
    <t>=SUM(Q113:Q113)</t>
  </si>
  <si>
    <t>=V111+1</t>
  </si>
  <si>
    <t>=SUM(J114:N114)</t>
  </si>
  <si>
    <t>=IFERROR($H114*NL(,"Jet Item by Location","Quantity On Hand","Item Number",$F114,"Location Code","@@"&amp;Q$9),"")</t>
  </si>
  <si>
    <t>=IFERROR($H114*NL(,"Jet Item by Location","Quantity On Hand","Item Number",$F114,"Location Code","@@"&amp;R$9),"")</t>
  </si>
  <si>
    <t>=IFERROR($H114*NL(,"Jet Item by Location","Quantity On Hand","Item Number",$F114,"Location Code","@@"&amp;S$9),"")</t>
  </si>
  <si>
    <t>=IFERROR($H114*NL(,"Jet Item by Location","Quantity On Hand","Item Number",$F114,"Location Code","@@"&amp;T$9),"")</t>
  </si>
  <si>
    <t>=SUM(Q114:Q114)</t>
  </si>
  <si>
    <t>=V112+1</t>
  </si>
  <si>
    <t>=SUM(J115:N115)</t>
  </si>
  <si>
    <t>=IFERROR($H115*NL(,"Jet Item by Location","Quantity On Hand","Item Number",$F115,"Location Code","@@"&amp;Q$9),"")</t>
  </si>
  <si>
    <t>=IFERROR($H115*NL(,"Jet Item by Location","Quantity On Hand","Item Number",$F115,"Location Code","@@"&amp;R$9),"")</t>
  </si>
  <si>
    <t>=IFERROR($H115*NL(,"Jet Item by Location","Quantity On Hand","Item Number",$F115,"Location Code","@@"&amp;S$9),"")</t>
  </si>
  <si>
    <t>=IFERROR($H115*NL(,"Jet Item by Location","Quantity On Hand","Item Number",$F115,"Location Code","@@"&amp;T$9),"")</t>
  </si>
  <si>
    <t>=SUM(Q115:Q115)</t>
  </si>
  <si>
    <t>=V113+1</t>
  </si>
  <si>
    <t>=SUM(J116:N116)</t>
  </si>
  <si>
    <t>=IFERROR($H116*NL(,"Jet Item by Location","Quantity On Hand","Item Number",$F116,"Location Code","@@"&amp;Q$9),"")</t>
  </si>
  <si>
    <t>=IFERROR($H116*NL(,"Jet Item by Location","Quantity On Hand","Item Number",$F116,"Location Code","@@"&amp;R$9),"")</t>
  </si>
  <si>
    <t>=IFERROR($H116*NL(,"Jet Item by Location","Quantity On Hand","Item Number",$F116,"Location Code","@@"&amp;S$9),"")</t>
  </si>
  <si>
    <t>=IFERROR($H116*NL(,"Jet Item by Location","Quantity On Hand","Item Number",$F116,"Location Code","@@"&amp;T$9),"")</t>
  </si>
  <si>
    <t>=SUM(Q116:Q116)</t>
  </si>
  <si>
    <t>=V114+1</t>
  </si>
  <si>
    <t>=SUM(J117:N117)</t>
  </si>
  <si>
    <t>=IFERROR($H117*NL(,"Jet Item by Location","Quantity On Hand","Item Number",$F117,"Location Code","@@"&amp;Q$9),"")</t>
  </si>
  <si>
    <t>=IFERROR($H117*NL(,"Jet Item by Location","Quantity On Hand","Item Number",$F117,"Location Code","@@"&amp;R$9),"")</t>
  </si>
  <si>
    <t>=IFERROR($H117*NL(,"Jet Item by Location","Quantity On Hand","Item Number",$F117,"Location Code","@@"&amp;S$9),"")</t>
  </si>
  <si>
    <t>=IFERROR($H117*NL(,"Jet Item by Location","Quantity On Hand","Item Number",$F117,"Location Code","@@"&amp;T$9),"")</t>
  </si>
  <si>
    <t>=SUM(Q117:Q117)</t>
  </si>
  <si>
    <t>=V115+1</t>
  </si>
  <si>
    <t>="Total For:  "&amp;$C119</t>
  </si>
  <si>
    <t>=SUBTOTAL(9, J73:J118)</t>
  </si>
  <si>
    <t>=SUBTOTAL(9, K73:K118)</t>
  </si>
  <si>
    <t>=SUBTOTAL(9, L73:L118)</t>
  </si>
  <si>
    <t>=SUBTOTAL(9, M73:M118)</t>
  </si>
  <si>
    <t>=SUBTOTAL(9, O73:O118)</t>
  </si>
  <si>
    <t>=SUBTOTAL(9, U73:U118)</t>
  </si>
  <si>
    <t>=D121</t>
  </si>
  <si>
    <t>=NL("Rows","Jet Item by Location",$E$8:$I$8,"Class Code","@@"&amp;$C122)</t>
  </si>
  <si>
    <t>=SUM(J122:N122)</t>
  </si>
  <si>
    <t>=IFERROR($H122*NL(,"Jet Item by Location","Quantity On Hand","Item Number",$F122,"Location Code","@@"&amp;Q$9),"")</t>
  </si>
  <si>
    <t>=IFERROR($H122*NL(,"Jet Item by Location","Quantity On Hand","Item Number",$F122,"Location Code","@@"&amp;R$9),"")</t>
  </si>
  <si>
    <t>=IFERROR($H122*NL(,"Jet Item by Location","Quantity On Hand","Item Number",$F122,"Location Code","@@"&amp;S$9),"")</t>
  </si>
  <si>
    <t>=IFERROR($H122*NL(,"Jet Item by Location","Quantity On Hand","Item Number",$F122,"Location Code","@@"&amp;T$9),"")</t>
  </si>
  <si>
    <t>=SUM(Q122:Q122)</t>
  </si>
  <si>
    <t>=V120+1</t>
  </si>
  <si>
    <t>=SUM(J123:N123)</t>
  </si>
  <si>
    <t>=IFERROR($H123*NL(,"Jet Item by Location","Quantity On Hand","Item Number",$F123,"Location Code","@@"&amp;Q$9),"")</t>
  </si>
  <si>
    <t>=IFERROR($H123*NL(,"Jet Item by Location","Quantity On Hand","Item Number",$F123,"Location Code","@@"&amp;R$9),"")</t>
  </si>
  <si>
    <t>=IFERROR($H123*NL(,"Jet Item by Location","Quantity On Hand","Item Number",$F123,"Location Code","@@"&amp;S$9),"")</t>
  </si>
  <si>
    <t>=IFERROR($H123*NL(,"Jet Item by Location","Quantity On Hand","Item Number",$F123,"Location Code","@@"&amp;T$9),"")</t>
  </si>
  <si>
    <t>=SUM(Q123:Q123)</t>
  </si>
  <si>
    <t>=V121+1</t>
  </si>
  <si>
    <t>=SUM(J124:N124)</t>
  </si>
  <si>
    <t>=IFERROR($H124*NL(,"Jet Item by Location","Quantity On Hand","Item Number",$F124,"Location Code","@@"&amp;Q$9),"")</t>
  </si>
  <si>
    <t>=IFERROR($H124*NL(,"Jet Item by Location","Quantity On Hand","Item Number",$F124,"Location Code","@@"&amp;R$9),"")</t>
  </si>
  <si>
    <t>=IFERROR($H124*NL(,"Jet Item by Location","Quantity On Hand","Item Number",$F124,"Location Code","@@"&amp;S$9),"")</t>
  </si>
  <si>
    <t>=IFERROR($H124*NL(,"Jet Item by Location","Quantity On Hand","Item Number",$F124,"Location Code","@@"&amp;T$9),"")</t>
  </si>
  <si>
    <t>=SUM(Q124:Q124)</t>
  </si>
  <si>
    <t>=V122+1</t>
  </si>
  <si>
    <t>=SUM(J125:N125)</t>
  </si>
  <si>
    <t>=IFERROR($H125*NL(,"Jet Item by Location","Quantity On Hand","Item Number",$F125,"Location Code","@@"&amp;Q$9),"")</t>
  </si>
  <si>
    <t>=IFERROR($H125*NL(,"Jet Item by Location","Quantity On Hand","Item Number",$F125,"Location Code","@@"&amp;R$9),"")</t>
  </si>
  <si>
    <t>=IFERROR($H125*NL(,"Jet Item by Location","Quantity On Hand","Item Number",$F125,"Location Code","@@"&amp;S$9),"")</t>
  </si>
  <si>
    <t>=IFERROR($H125*NL(,"Jet Item by Location","Quantity On Hand","Item Number",$F125,"Location Code","@@"&amp;T$9),"")</t>
  </si>
  <si>
    <t>=SUM(Q125:Q125)</t>
  </si>
  <si>
    <t>=V123+1</t>
  </si>
  <si>
    <t>=SUM(J126:N126)</t>
  </si>
  <si>
    <t>=IFERROR($H126*NL(,"Jet Item by Location","Quantity On Hand","Item Number",$F126,"Location Code","@@"&amp;Q$9),"")</t>
  </si>
  <si>
    <t>=IFERROR($H126*NL(,"Jet Item by Location","Quantity On Hand","Item Number",$F126,"Location Code","@@"&amp;R$9),"")</t>
  </si>
  <si>
    <t>=IFERROR($H126*NL(,"Jet Item by Location","Quantity On Hand","Item Number",$F126,"Location Code","@@"&amp;S$9),"")</t>
  </si>
  <si>
    <t>=IFERROR($H126*NL(,"Jet Item by Location","Quantity On Hand","Item Number",$F126,"Location Code","@@"&amp;T$9),"")</t>
  </si>
  <si>
    <t>=SUM(Q126:Q126)</t>
  </si>
  <si>
    <t>=V124+1</t>
  </si>
  <si>
    <t>=SUM(J127:N127)</t>
  </si>
  <si>
    <t>=IFERROR($H127*NL(,"Jet Item by Location","Quantity On Hand","Item Number",$F127,"Location Code","@@"&amp;Q$9),"")</t>
  </si>
  <si>
    <t>=IFERROR($H127*NL(,"Jet Item by Location","Quantity On Hand","Item Number",$F127,"Location Code","@@"&amp;R$9),"")</t>
  </si>
  <si>
    <t>=IFERROR($H127*NL(,"Jet Item by Location","Quantity On Hand","Item Number",$F127,"Location Code","@@"&amp;S$9),"")</t>
  </si>
  <si>
    <t>=IFERROR($H127*NL(,"Jet Item by Location","Quantity On Hand","Item Number",$F127,"Location Code","@@"&amp;T$9),"")</t>
  </si>
  <si>
    <t>=SUM(Q127:Q127)</t>
  </si>
  <si>
    <t>=V125+1</t>
  </si>
  <si>
    <t>=SUM(J128:N128)</t>
  </si>
  <si>
    <t>=IFERROR($H128*NL(,"Jet Item by Location","Quantity On Hand","Item Number",$F128,"Location Code","@@"&amp;Q$9),"")</t>
  </si>
  <si>
    <t>=IFERROR($H128*NL(,"Jet Item by Location","Quantity On Hand","Item Number",$F128,"Location Code","@@"&amp;R$9),"")</t>
  </si>
  <si>
    <t>=IFERROR($H128*NL(,"Jet Item by Location","Quantity On Hand","Item Number",$F128,"Location Code","@@"&amp;S$9),"")</t>
  </si>
  <si>
    <t>=IFERROR($H128*NL(,"Jet Item by Location","Quantity On Hand","Item Number",$F128,"Location Code","@@"&amp;T$9),"")</t>
  </si>
  <si>
    <t>=SUM(Q128:Q128)</t>
  </si>
  <si>
    <t>=V126+1</t>
  </si>
  <si>
    <t>=SUM(J129:N129)</t>
  </si>
  <si>
    <t>=IFERROR($H129*NL(,"Jet Item by Location","Quantity On Hand","Item Number",$F129,"Location Code","@@"&amp;Q$9),"")</t>
  </si>
  <si>
    <t>=IFERROR($H129*NL(,"Jet Item by Location","Quantity On Hand","Item Number",$F129,"Location Code","@@"&amp;R$9),"")</t>
  </si>
  <si>
    <t>=IFERROR($H129*NL(,"Jet Item by Location","Quantity On Hand","Item Number",$F129,"Location Code","@@"&amp;S$9),"")</t>
  </si>
  <si>
    <t>=IFERROR($H129*NL(,"Jet Item by Location","Quantity On Hand","Item Number",$F129,"Location Code","@@"&amp;T$9),"")</t>
  </si>
  <si>
    <t>=SUM(Q129:Q129)</t>
  </si>
  <si>
    <t>=V127+1</t>
  </si>
  <si>
    <t>=C129</t>
  </si>
  <si>
    <t>=NL(,"Jet Item by Location",$H$8,$F$8,$F130)</t>
  </si>
  <si>
    <t>=NL(,"Jet Item by Location","Quantity On Hand","Item Number",$F130,"Location Code","@@"&amp;J$9)</t>
  </si>
  <si>
    <t>=NL(,"Jet Item by Location","Quantity On Hand","Item Number",$F130,"Location Code","@@"&amp;K$9)</t>
  </si>
  <si>
    <t>=NL(,"Jet Item by Location","Quantity On Hand","Item Number",$F130,"Location Code","@@"&amp;L$9)</t>
  </si>
  <si>
    <t>=NL(,"Jet Item by Location","Quantity On Hand","Item Number",$F130,"Location Code","@@"&amp;M$9)</t>
  </si>
  <si>
    <t>=SUM(J130:N130)</t>
  </si>
  <si>
    <t>=IFERROR($H130*NL(,"Jet Item by Location","Quantity On Hand","Item Number",$F130,"Location Code","@@"&amp;Q$9),"")</t>
  </si>
  <si>
    <t>=IFERROR($H130*NL(,"Jet Item by Location","Quantity On Hand","Item Number",$F130,"Location Code","@@"&amp;R$9),"")</t>
  </si>
  <si>
    <t>=IFERROR($H130*NL(,"Jet Item by Location","Quantity On Hand","Item Number",$F130,"Location Code","@@"&amp;S$9),"")</t>
  </si>
  <si>
    <t>=IFERROR($H130*NL(,"Jet Item by Location","Quantity On Hand","Item Number",$F130,"Location Code","@@"&amp;T$9),"")</t>
  </si>
  <si>
    <t>=SUM(Q130:Q130)</t>
  </si>
  <si>
    <t>=V128+1</t>
  </si>
  <si>
    <t>=NL(,"Jet Item by Location",$H$8,$F$8,$F131)</t>
  </si>
  <si>
    <t>=NL(,"Jet Item by Location","Quantity On Hand","Item Number",$F131,"Location Code","@@"&amp;J$9)</t>
  </si>
  <si>
    <t>=NL(,"Jet Item by Location","Quantity On Hand","Item Number",$F131,"Location Code","@@"&amp;K$9)</t>
  </si>
  <si>
    <t>=NL(,"Jet Item by Location","Quantity On Hand","Item Number",$F131,"Location Code","@@"&amp;L$9)</t>
  </si>
  <si>
    <t>=NL(,"Jet Item by Location","Quantity On Hand","Item Number",$F131,"Location Code","@@"&amp;M$9)</t>
  </si>
  <si>
    <t>=SUM(J131:N131)</t>
  </si>
  <si>
    <t>=IFERROR($H131*NL(,"Jet Item by Location","Quantity On Hand","Item Number",$F131,"Location Code","@@"&amp;Q$9),"")</t>
  </si>
  <si>
    <t>=IFERROR($H131*NL(,"Jet Item by Location","Quantity On Hand","Item Number",$F131,"Location Code","@@"&amp;R$9),"")</t>
  </si>
  <si>
    <t>=IFERROR($H131*NL(,"Jet Item by Location","Quantity On Hand","Item Number",$F131,"Location Code","@@"&amp;S$9),"")</t>
  </si>
  <si>
    <t>=IFERROR($H131*NL(,"Jet Item by Location","Quantity On Hand","Item Number",$F131,"Location Code","@@"&amp;T$9),"")</t>
  </si>
  <si>
    <t>=SUM(Q131:Q131)</t>
  </si>
  <si>
    <t>=V129+1</t>
  </si>
  <si>
    <t>=C131</t>
  </si>
  <si>
    <t>=NL(,"Jet Item by Location",$H$8,$F$8,$F132)</t>
  </si>
  <si>
    <t>=NL(,"Jet Item by Location","Quantity On Hand","Item Number",$F132,"Location Code","@@"&amp;J$9)</t>
  </si>
  <si>
    <t>=NL(,"Jet Item by Location","Quantity On Hand","Item Number",$F132,"Location Code","@@"&amp;K$9)</t>
  </si>
  <si>
    <t>=NL(,"Jet Item by Location","Quantity On Hand","Item Number",$F132,"Location Code","@@"&amp;L$9)</t>
  </si>
  <si>
    <t>=NL(,"Jet Item by Location","Quantity On Hand","Item Number",$F132,"Location Code","@@"&amp;M$9)</t>
  </si>
  <si>
    <t>=SUM(J132:N132)</t>
  </si>
  <si>
    <t>=IFERROR($H132*NL(,"Jet Item by Location","Quantity On Hand","Item Number",$F132,"Location Code","@@"&amp;Q$9),"")</t>
  </si>
  <si>
    <t>=IFERROR($H132*NL(,"Jet Item by Location","Quantity On Hand","Item Number",$F132,"Location Code","@@"&amp;R$9),"")</t>
  </si>
  <si>
    <t>=IFERROR($H132*NL(,"Jet Item by Location","Quantity On Hand","Item Number",$F132,"Location Code","@@"&amp;S$9),"")</t>
  </si>
  <si>
    <t>=IFERROR($H132*NL(,"Jet Item by Location","Quantity On Hand","Item Number",$F132,"Location Code","@@"&amp;T$9),"")</t>
  </si>
  <si>
    <t>=SUM(Q132:Q132)</t>
  </si>
  <si>
    <t>=V130+1</t>
  </si>
  <si>
    <t>=C132</t>
  </si>
  <si>
    <t>=NL(,"Jet Item by Location",$H$8,$F$8,$F133)</t>
  </si>
  <si>
    <t>=NL(,"Jet Item by Location","Quantity On Hand","Item Number",$F133,"Location Code","@@"&amp;J$9)</t>
  </si>
  <si>
    <t>=NL(,"Jet Item by Location","Quantity On Hand","Item Number",$F133,"Location Code","@@"&amp;K$9)</t>
  </si>
  <si>
    <t>=NL(,"Jet Item by Location","Quantity On Hand","Item Number",$F133,"Location Code","@@"&amp;L$9)</t>
  </si>
  <si>
    <t>=NL(,"Jet Item by Location","Quantity On Hand","Item Number",$F133,"Location Code","@@"&amp;M$9)</t>
  </si>
  <si>
    <t>=SUM(J133:N133)</t>
  </si>
  <si>
    <t>=IFERROR($H133*NL(,"Jet Item by Location","Quantity On Hand","Item Number",$F133,"Location Code","@@"&amp;Q$9),"")</t>
  </si>
  <si>
    <t>=IFERROR($H133*NL(,"Jet Item by Location","Quantity On Hand","Item Number",$F133,"Location Code","@@"&amp;R$9),"")</t>
  </si>
  <si>
    <t>=IFERROR($H133*NL(,"Jet Item by Location","Quantity On Hand","Item Number",$F133,"Location Code","@@"&amp;S$9),"")</t>
  </si>
  <si>
    <t>=IFERROR($H133*NL(,"Jet Item by Location","Quantity On Hand","Item Number",$F133,"Location Code","@@"&amp;T$9),"")</t>
  </si>
  <si>
    <t>=SUM(Q133:Q133)</t>
  </si>
  <si>
    <t>=V131+1</t>
  </si>
  <si>
    <t>=SUM(J134:N134)</t>
  </si>
  <si>
    <t>=IFERROR($H134*NL(,"Jet Item by Location","Quantity On Hand","Item Number",$F134,"Location Code","@@"&amp;Q$9),"")</t>
  </si>
  <si>
    <t>=IFERROR($H134*NL(,"Jet Item by Location","Quantity On Hand","Item Number",$F134,"Location Code","@@"&amp;R$9),"")</t>
  </si>
  <si>
    <t>=IFERROR($H134*NL(,"Jet Item by Location","Quantity On Hand","Item Number",$F134,"Location Code","@@"&amp;S$9),"")</t>
  </si>
  <si>
    <t>=IFERROR($H134*NL(,"Jet Item by Location","Quantity On Hand","Item Number",$F134,"Location Code","@@"&amp;T$9),"")</t>
  </si>
  <si>
    <t>=SUM(Q134:Q134)</t>
  </si>
  <si>
    <t>=V132+1</t>
  </si>
  <si>
    <t>=SUM(J135:N135)</t>
  </si>
  <si>
    <t>=IFERROR($H135*NL(,"Jet Item by Location","Quantity On Hand","Item Number",$F135,"Location Code","@@"&amp;Q$9),"")</t>
  </si>
  <si>
    <t>=IFERROR($H135*NL(,"Jet Item by Location","Quantity On Hand","Item Number",$F135,"Location Code","@@"&amp;R$9),"")</t>
  </si>
  <si>
    <t>=IFERROR($H135*NL(,"Jet Item by Location","Quantity On Hand","Item Number",$F135,"Location Code","@@"&amp;S$9),"")</t>
  </si>
  <si>
    <t>=IFERROR($H135*NL(,"Jet Item by Location","Quantity On Hand","Item Number",$F135,"Location Code","@@"&amp;T$9),"")</t>
  </si>
  <si>
    <t>=SUM(Q135:Q135)</t>
  </si>
  <si>
    <t>=V133+1</t>
  </si>
  <si>
    <t>=SUM(J136:N136)</t>
  </si>
  <si>
    <t>=IFERROR($H136*NL(,"Jet Item by Location","Quantity On Hand","Item Number",$F136,"Location Code","@@"&amp;Q$9),"")</t>
  </si>
  <si>
    <t>=IFERROR($H136*NL(,"Jet Item by Location","Quantity On Hand","Item Number",$F136,"Location Code","@@"&amp;R$9),"")</t>
  </si>
  <si>
    <t>=IFERROR($H136*NL(,"Jet Item by Location","Quantity On Hand","Item Number",$F136,"Location Code","@@"&amp;S$9),"")</t>
  </si>
  <si>
    <t>=IFERROR($H136*NL(,"Jet Item by Location","Quantity On Hand","Item Number",$F136,"Location Code","@@"&amp;T$9),"")</t>
  </si>
  <si>
    <t>=SUM(Q136:Q136)</t>
  </si>
  <si>
    <t>=V134+1</t>
  </si>
  <si>
    <t>=SUM(J137:N137)</t>
  </si>
  <si>
    <t>=IFERROR($H137*NL(,"Jet Item by Location","Quantity On Hand","Item Number",$F137,"Location Code","@@"&amp;Q$9),"")</t>
  </si>
  <si>
    <t>=IFERROR($H137*NL(,"Jet Item by Location","Quantity On Hand","Item Number",$F137,"Location Code","@@"&amp;R$9),"")</t>
  </si>
  <si>
    <t>=IFERROR($H137*NL(,"Jet Item by Location","Quantity On Hand","Item Number",$F137,"Location Code","@@"&amp;S$9),"")</t>
  </si>
  <si>
    <t>=IFERROR($H137*NL(,"Jet Item by Location","Quantity On Hand","Item Number",$F137,"Location Code","@@"&amp;T$9),"")</t>
  </si>
  <si>
    <t>=SUM(Q137:Q137)</t>
  </si>
  <si>
    <t>=V135+1</t>
  </si>
  <si>
    <t>=C137</t>
  </si>
  <si>
    <t>=NL(,"Jet Item by Location",$H$8,$F$8,$F138)</t>
  </si>
  <si>
    <t>=NL(,"Jet Item by Location","Quantity On Hand","Item Number",$F138,"Location Code","@@"&amp;J$9)</t>
  </si>
  <si>
    <t>=NL(,"Jet Item by Location","Quantity On Hand","Item Number",$F138,"Location Code","@@"&amp;K$9)</t>
  </si>
  <si>
    <t>=NL(,"Jet Item by Location","Quantity On Hand","Item Number",$F138,"Location Code","@@"&amp;L$9)</t>
  </si>
  <si>
    <t>=NL(,"Jet Item by Location","Quantity On Hand","Item Number",$F138,"Location Code","@@"&amp;M$9)</t>
  </si>
  <si>
    <t>=SUM(J138:N138)</t>
  </si>
  <si>
    <t>=IFERROR($H138*NL(,"Jet Item by Location","Quantity On Hand","Item Number",$F138,"Location Code","@@"&amp;Q$9),"")</t>
  </si>
  <si>
    <t>=IFERROR($H138*NL(,"Jet Item by Location","Quantity On Hand","Item Number",$F138,"Location Code","@@"&amp;R$9),"")</t>
  </si>
  <si>
    <t>=IFERROR($H138*NL(,"Jet Item by Location","Quantity On Hand","Item Number",$F138,"Location Code","@@"&amp;S$9),"")</t>
  </si>
  <si>
    <t>=IFERROR($H138*NL(,"Jet Item by Location","Quantity On Hand","Item Number",$F138,"Location Code","@@"&amp;T$9),"")</t>
  </si>
  <si>
    <t>=SUM(Q138:Q138)</t>
  </si>
  <si>
    <t>=V136+1</t>
  </si>
  <si>
    <t>=C139</t>
  </si>
  <si>
    <t>="Total For:  "&amp;$C140</t>
  </si>
  <si>
    <t>=SUBTOTAL(9, J122:J139)</t>
  </si>
  <si>
    <t>=SUBTOTAL(9, K122:K139)</t>
  </si>
  <si>
    <t>=SUBTOTAL(9, L122:L139)</t>
  </si>
  <si>
    <t>=SUBTOTAL(9, M122:M139)</t>
  </si>
  <si>
    <t>=SUBTOTAL(9, O122:O139)</t>
  </si>
  <si>
    <t>=SUBTOTAL(9, U122:U139)</t>
  </si>
  <si>
    <t>=D142</t>
  </si>
  <si>
    <t>=NL("Rows","Jet Item by Location",$E$8:$I$8,"Class Code","@@"&amp;$C143)</t>
  </si>
  <si>
    <t>=SUM(J143:N143)</t>
  </si>
  <si>
    <t>=IFERROR($H143*NL(,"Jet Item by Location","Quantity On Hand","Item Number",$F143,"Location Code","@@"&amp;Q$9),"")</t>
  </si>
  <si>
    <t>=IFERROR($H143*NL(,"Jet Item by Location","Quantity On Hand","Item Number",$F143,"Location Code","@@"&amp;R$9),"")</t>
  </si>
  <si>
    <t>=IFERROR($H143*NL(,"Jet Item by Location","Quantity On Hand","Item Number",$F143,"Location Code","@@"&amp;S$9),"")</t>
  </si>
  <si>
    <t>=IFERROR($H143*NL(,"Jet Item by Location","Quantity On Hand","Item Number",$F143,"Location Code","@@"&amp;T$9),"")</t>
  </si>
  <si>
    <t>=SUM(Q143:Q143)</t>
  </si>
  <si>
    <t>=V141+1</t>
  </si>
  <si>
    <t>=SUM(J144:N144)</t>
  </si>
  <si>
    <t>=IFERROR($H144*NL(,"Jet Item by Location","Quantity On Hand","Item Number",$F144,"Location Code","@@"&amp;Q$9),"")</t>
  </si>
  <si>
    <t>=IFERROR($H144*NL(,"Jet Item by Location","Quantity On Hand","Item Number",$F144,"Location Code","@@"&amp;R$9),"")</t>
  </si>
  <si>
    <t>=IFERROR($H144*NL(,"Jet Item by Location","Quantity On Hand","Item Number",$F144,"Location Code","@@"&amp;S$9),"")</t>
  </si>
  <si>
    <t>=IFERROR($H144*NL(,"Jet Item by Location","Quantity On Hand","Item Number",$F144,"Location Code","@@"&amp;T$9),"")</t>
  </si>
  <si>
    <t>=SUM(Q144:Q144)</t>
  </si>
  <si>
    <t>=V142+1</t>
  </si>
  <si>
    <t>=SUM(J145:N145)</t>
  </si>
  <si>
    <t>=IFERROR($H145*NL(,"Jet Item by Location","Quantity On Hand","Item Number",$F145,"Location Code","@@"&amp;Q$9),"")</t>
  </si>
  <si>
    <t>=IFERROR($H145*NL(,"Jet Item by Location","Quantity On Hand","Item Number",$F145,"Location Code","@@"&amp;R$9),"")</t>
  </si>
  <si>
    <t>=IFERROR($H145*NL(,"Jet Item by Location","Quantity On Hand","Item Number",$F145,"Location Code","@@"&amp;S$9),"")</t>
  </si>
  <si>
    <t>=IFERROR($H145*NL(,"Jet Item by Location","Quantity On Hand","Item Number",$F145,"Location Code","@@"&amp;T$9),"")</t>
  </si>
  <si>
    <t>=SUM(Q145:Q145)</t>
  </si>
  <si>
    <t>=V143+1</t>
  </si>
  <si>
    <t>=SUM(J146:N146)</t>
  </si>
  <si>
    <t>=IFERROR($H146*NL(,"Jet Item by Location","Quantity On Hand","Item Number",$F146,"Location Code","@@"&amp;Q$9),"")</t>
  </si>
  <si>
    <t>=IFERROR($H146*NL(,"Jet Item by Location","Quantity On Hand","Item Number",$F146,"Location Code","@@"&amp;R$9),"")</t>
  </si>
  <si>
    <t>=IFERROR($H146*NL(,"Jet Item by Location","Quantity On Hand","Item Number",$F146,"Location Code","@@"&amp;S$9),"")</t>
  </si>
  <si>
    <t>=IFERROR($H146*NL(,"Jet Item by Location","Quantity On Hand","Item Number",$F146,"Location Code","@@"&amp;T$9),"")</t>
  </si>
  <si>
    <t>=SUM(Q146:Q146)</t>
  </si>
  <si>
    <t>=V144+1</t>
  </si>
  <si>
    <t>=SUM(J147:N147)</t>
  </si>
  <si>
    <t>=IFERROR($H147*NL(,"Jet Item by Location","Quantity On Hand","Item Number",$F147,"Location Code","@@"&amp;Q$9),"")</t>
  </si>
  <si>
    <t>=IFERROR($H147*NL(,"Jet Item by Location","Quantity On Hand","Item Number",$F147,"Location Code","@@"&amp;R$9),"")</t>
  </si>
  <si>
    <t>=IFERROR($H147*NL(,"Jet Item by Location","Quantity On Hand","Item Number",$F147,"Location Code","@@"&amp;S$9),"")</t>
  </si>
  <si>
    <t>=IFERROR($H147*NL(,"Jet Item by Location","Quantity On Hand","Item Number",$F147,"Location Code","@@"&amp;T$9),"")</t>
  </si>
  <si>
    <t>=SUM(Q147:Q147)</t>
  </si>
  <si>
    <t>=V145+1</t>
  </si>
  <si>
    <t>=SUM(J148:N148)</t>
  </si>
  <si>
    <t>=IFERROR($H148*NL(,"Jet Item by Location","Quantity On Hand","Item Number",$F148,"Location Code","@@"&amp;Q$9),"")</t>
  </si>
  <si>
    <t>=IFERROR($H148*NL(,"Jet Item by Location","Quantity On Hand","Item Number",$F148,"Location Code","@@"&amp;R$9),"")</t>
  </si>
  <si>
    <t>=IFERROR($H148*NL(,"Jet Item by Location","Quantity On Hand","Item Number",$F148,"Location Code","@@"&amp;S$9),"")</t>
  </si>
  <si>
    <t>=IFERROR($H148*NL(,"Jet Item by Location","Quantity On Hand","Item Number",$F148,"Location Code","@@"&amp;T$9),"")</t>
  </si>
  <si>
    <t>=SUM(Q148:Q148)</t>
  </si>
  <si>
    <t>=V146+1</t>
  </si>
  <si>
    <t>=SUM(J149:N149)</t>
  </si>
  <si>
    <t>=IFERROR($H149*NL(,"Jet Item by Location","Quantity On Hand","Item Number",$F149,"Location Code","@@"&amp;Q$9),"")</t>
  </si>
  <si>
    <t>=IFERROR($H149*NL(,"Jet Item by Location","Quantity On Hand","Item Number",$F149,"Location Code","@@"&amp;R$9),"")</t>
  </si>
  <si>
    <t>=IFERROR($H149*NL(,"Jet Item by Location","Quantity On Hand","Item Number",$F149,"Location Code","@@"&amp;S$9),"")</t>
  </si>
  <si>
    <t>=IFERROR($H149*NL(,"Jet Item by Location","Quantity On Hand","Item Number",$F149,"Location Code","@@"&amp;T$9),"")</t>
  </si>
  <si>
    <t>=SUM(Q149:Q149)</t>
  </si>
  <si>
    <t>=V147+1</t>
  </si>
  <si>
    <t>=SUM(J150:N150)</t>
  </si>
  <si>
    <t>=IFERROR($H150*NL(,"Jet Item by Location","Quantity On Hand","Item Number",$F150,"Location Code","@@"&amp;Q$9),"")</t>
  </si>
  <si>
    <t>=IFERROR($H150*NL(,"Jet Item by Location","Quantity On Hand","Item Number",$F150,"Location Code","@@"&amp;R$9),"")</t>
  </si>
  <si>
    <t>=IFERROR($H150*NL(,"Jet Item by Location","Quantity On Hand","Item Number",$F150,"Location Code","@@"&amp;S$9),"")</t>
  </si>
  <si>
    <t>=IFERROR($H150*NL(,"Jet Item by Location","Quantity On Hand","Item Number",$F150,"Location Code","@@"&amp;T$9),"")</t>
  </si>
  <si>
    <t>=SUM(Q150:Q150)</t>
  </si>
  <si>
    <t>=V148+1</t>
  </si>
  <si>
    <t>=SUM(J151:N151)</t>
  </si>
  <si>
    <t>=IFERROR($H151*NL(,"Jet Item by Location","Quantity On Hand","Item Number",$F151,"Location Code","@@"&amp;Q$9),"")</t>
  </si>
  <si>
    <t>=IFERROR($H151*NL(,"Jet Item by Location","Quantity On Hand","Item Number",$F151,"Location Code","@@"&amp;R$9),"")</t>
  </si>
  <si>
    <t>=IFERROR($H151*NL(,"Jet Item by Location","Quantity On Hand","Item Number",$F151,"Location Code","@@"&amp;S$9),"")</t>
  </si>
  <si>
    <t>=IFERROR($H151*NL(,"Jet Item by Location","Quantity On Hand","Item Number",$F151,"Location Code","@@"&amp;T$9),"")</t>
  </si>
  <si>
    <t>=SUM(Q151:Q151)</t>
  </si>
  <si>
    <t>=V149+1</t>
  </si>
  <si>
    <t>=SUM(J152:N152)</t>
  </si>
  <si>
    <t>=IFERROR($H152*NL(,"Jet Item by Location","Quantity On Hand","Item Number",$F152,"Location Code","@@"&amp;Q$9),"")</t>
  </si>
  <si>
    <t>=IFERROR($H152*NL(,"Jet Item by Location","Quantity On Hand","Item Number",$F152,"Location Code","@@"&amp;R$9),"")</t>
  </si>
  <si>
    <t>=IFERROR($H152*NL(,"Jet Item by Location","Quantity On Hand","Item Number",$F152,"Location Code","@@"&amp;S$9),"")</t>
  </si>
  <si>
    <t>=IFERROR($H152*NL(,"Jet Item by Location","Quantity On Hand","Item Number",$F152,"Location Code","@@"&amp;T$9),"")</t>
  </si>
  <si>
    <t>=SUM(Q152:Q152)</t>
  </si>
  <si>
    <t>=V150+1</t>
  </si>
  <si>
    <t>=SUM(J153:N153)</t>
  </si>
  <si>
    <t>=IFERROR($H153*NL(,"Jet Item by Location","Quantity On Hand","Item Number",$F153,"Location Code","@@"&amp;Q$9),"")</t>
  </si>
  <si>
    <t>=IFERROR($H153*NL(,"Jet Item by Location","Quantity On Hand","Item Number",$F153,"Location Code","@@"&amp;R$9),"")</t>
  </si>
  <si>
    <t>=IFERROR($H153*NL(,"Jet Item by Location","Quantity On Hand","Item Number",$F153,"Location Code","@@"&amp;S$9),"")</t>
  </si>
  <si>
    <t>=IFERROR($H153*NL(,"Jet Item by Location","Quantity On Hand","Item Number",$F153,"Location Code","@@"&amp;T$9),"")</t>
  </si>
  <si>
    <t>=SUM(Q153:Q153)</t>
  </si>
  <si>
    <t>=V151+1</t>
  </si>
  <si>
    <t>=SUM(J154:N154)</t>
  </si>
  <si>
    <t>=IFERROR($H154*NL(,"Jet Item by Location","Quantity On Hand","Item Number",$F154,"Location Code","@@"&amp;Q$9),"")</t>
  </si>
  <si>
    <t>=IFERROR($H154*NL(,"Jet Item by Location","Quantity On Hand","Item Number",$F154,"Location Code","@@"&amp;R$9),"")</t>
  </si>
  <si>
    <t>=IFERROR($H154*NL(,"Jet Item by Location","Quantity On Hand","Item Number",$F154,"Location Code","@@"&amp;S$9),"")</t>
  </si>
  <si>
    <t>=IFERROR($H154*NL(,"Jet Item by Location","Quantity On Hand","Item Number",$F154,"Location Code","@@"&amp;T$9),"")</t>
  </si>
  <si>
    <t>=SUM(Q154:Q154)</t>
  </si>
  <si>
    <t>=V152+1</t>
  </si>
  <si>
    <t>=SUM(J155:N155)</t>
  </si>
  <si>
    <t>=IFERROR($H155*NL(,"Jet Item by Location","Quantity On Hand","Item Number",$F155,"Location Code","@@"&amp;Q$9),"")</t>
  </si>
  <si>
    <t>=IFERROR($H155*NL(,"Jet Item by Location","Quantity On Hand","Item Number",$F155,"Location Code","@@"&amp;R$9),"")</t>
  </si>
  <si>
    <t>=IFERROR($H155*NL(,"Jet Item by Location","Quantity On Hand","Item Number",$F155,"Location Code","@@"&amp;S$9),"")</t>
  </si>
  <si>
    <t>=IFERROR($H155*NL(,"Jet Item by Location","Quantity On Hand","Item Number",$F155,"Location Code","@@"&amp;T$9),"")</t>
  </si>
  <si>
    <t>=SUM(Q155:Q155)</t>
  </si>
  <si>
    <t>=V153+1</t>
  </si>
  <si>
    <t>=SUM(J156:N156)</t>
  </si>
  <si>
    <t>=IFERROR($H156*NL(,"Jet Item by Location","Quantity On Hand","Item Number",$F156,"Location Code","@@"&amp;Q$9),"")</t>
  </si>
  <si>
    <t>=IFERROR($H156*NL(,"Jet Item by Location","Quantity On Hand","Item Number",$F156,"Location Code","@@"&amp;R$9),"")</t>
  </si>
  <si>
    <t>=IFERROR($H156*NL(,"Jet Item by Location","Quantity On Hand","Item Number",$F156,"Location Code","@@"&amp;S$9),"")</t>
  </si>
  <si>
    <t>=IFERROR($H156*NL(,"Jet Item by Location","Quantity On Hand","Item Number",$F156,"Location Code","@@"&amp;T$9),"")</t>
  </si>
  <si>
    <t>=SUM(Q156:Q156)</t>
  </si>
  <si>
    <t>=V154+1</t>
  </si>
  <si>
    <t>=C156</t>
  </si>
  <si>
    <t>=NL(,"Jet Item by Location",$H$8,$F$8,$F157)</t>
  </si>
  <si>
    <t>=NL(,"Jet Item by Location","Quantity On Hand","Item Number",$F157,"Location Code","@@"&amp;J$9)</t>
  </si>
  <si>
    <t>=NL(,"Jet Item by Location","Quantity On Hand","Item Number",$F157,"Location Code","@@"&amp;K$9)</t>
  </si>
  <si>
    <t>=NL(,"Jet Item by Location","Quantity On Hand","Item Number",$F157,"Location Code","@@"&amp;L$9)</t>
  </si>
  <si>
    <t>=NL(,"Jet Item by Location","Quantity On Hand","Item Number",$F157,"Location Code","@@"&amp;M$9)</t>
  </si>
  <si>
    <t>=SUM(J157:N157)</t>
  </si>
  <si>
    <t>=IFERROR($H157*NL(,"Jet Item by Location","Quantity On Hand","Item Number",$F157,"Location Code","@@"&amp;Q$9),"")</t>
  </si>
  <si>
    <t>=IFERROR($H157*NL(,"Jet Item by Location","Quantity On Hand","Item Number",$F157,"Location Code","@@"&amp;R$9),"")</t>
  </si>
  <si>
    <t>=IFERROR($H157*NL(,"Jet Item by Location","Quantity On Hand","Item Number",$F157,"Location Code","@@"&amp;S$9),"")</t>
  </si>
  <si>
    <t>=IFERROR($H157*NL(,"Jet Item by Location","Quantity On Hand","Item Number",$F157,"Location Code","@@"&amp;T$9),"")</t>
  </si>
  <si>
    <t>=SUM(Q157:Q157)</t>
  </si>
  <si>
    <t>=V155+1</t>
  </si>
  <si>
    <t>=NL(,"Jet Item by Location",$H$8,$F$8,$F158)</t>
  </si>
  <si>
    <t>=NL(,"Jet Item by Location","Quantity On Hand","Item Number",$F158,"Location Code","@@"&amp;J$9)</t>
  </si>
  <si>
    <t>=NL(,"Jet Item by Location","Quantity On Hand","Item Number",$F158,"Location Code","@@"&amp;K$9)</t>
  </si>
  <si>
    <t>=NL(,"Jet Item by Location","Quantity On Hand","Item Number",$F158,"Location Code","@@"&amp;L$9)</t>
  </si>
  <si>
    <t>=NL(,"Jet Item by Location","Quantity On Hand","Item Number",$F158,"Location Code","@@"&amp;M$9)</t>
  </si>
  <si>
    <t>=SUM(J158:N158)</t>
  </si>
  <si>
    <t>=IFERROR($H158*NL(,"Jet Item by Location","Quantity On Hand","Item Number",$F158,"Location Code","@@"&amp;Q$9),"")</t>
  </si>
  <si>
    <t>=IFERROR($H158*NL(,"Jet Item by Location","Quantity On Hand","Item Number",$F158,"Location Code","@@"&amp;R$9),"")</t>
  </si>
  <si>
    <t>=IFERROR($H158*NL(,"Jet Item by Location","Quantity On Hand","Item Number",$F158,"Location Code","@@"&amp;S$9),"")</t>
  </si>
  <si>
    <t>=IFERROR($H158*NL(,"Jet Item by Location","Quantity On Hand","Item Number",$F158,"Location Code","@@"&amp;T$9),"")</t>
  </si>
  <si>
    <t>=SUM(Q158:Q158)</t>
  </si>
  <si>
    <t>=V156+1</t>
  </si>
  <si>
    <t>=C158</t>
  </si>
  <si>
    <t>=NL(,"Jet Item by Location",$H$8,$F$8,$F159)</t>
  </si>
  <si>
    <t>=NL(,"Jet Item by Location","Quantity On Hand","Item Number",$F159,"Location Code","@@"&amp;J$9)</t>
  </si>
  <si>
    <t>=NL(,"Jet Item by Location","Quantity On Hand","Item Number",$F159,"Location Code","@@"&amp;K$9)</t>
  </si>
  <si>
    <t>=NL(,"Jet Item by Location","Quantity On Hand","Item Number",$F159,"Location Code","@@"&amp;L$9)</t>
  </si>
  <si>
    <t>=NL(,"Jet Item by Location","Quantity On Hand","Item Number",$F159,"Location Code","@@"&amp;M$9)</t>
  </si>
  <si>
    <t>=SUM(J159:N159)</t>
  </si>
  <si>
    <t>=IFERROR($H159*NL(,"Jet Item by Location","Quantity On Hand","Item Number",$F159,"Location Code","@@"&amp;Q$9),"")</t>
  </si>
  <si>
    <t>=IFERROR($H159*NL(,"Jet Item by Location","Quantity On Hand","Item Number",$F159,"Location Code","@@"&amp;R$9),"")</t>
  </si>
  <si>
    <t>=IFERROR($H159*NL(,"Jet Item by Location","Quantity On Hand","Item Number",$F159,"Location Code","@@"&amp;S$9),"")</t>
  </si>
  <si>
    <t>=IFERROR($H159*NL(,"Jet Item by Location","Quantity On Hand","Item Number",$F159,"Location Code","@@"&amp;T$9),"")</t>
  </si>
  <si>
    <t>=SUM(Q159:Q159)</t>
  </si>
  <si>
    <t>=V157+1</t>
  </si>
  <si>
    <t>="Total For:  "&amp;$C161</t>
  </si>
  <si>
    <t>=SUBTOTAL(9, J143:J160)</t>
  </si>
  <si>
    <t>=SUBTOTAL(9, K143:K160)</t>
  </si>
  <si>
    <t>=SUBTOTAL(9, L143:L160)</t>
  </si>
  <si>
    <t>=SUBTOTAL(9, M143:M160)</t>
  </si>
  <si>
    <t>=SUBTOTAL(9, O143:O160)</t>
  </si>
  <si>
    <t>=SUBTOTAL(9, U143:U160)</t>
  </si>
  <si>
    <t>=SUBTOTAL(9,J11:J163)</t>
  </si>
  <si>
    <t>=SUBTOTAL(9,K11:K163)</t>
  </si>
  <si>
    <t>=SUBTOTAL(9,L11:L163)</t>
  </si>
  <si>
    <t>=SUBTOTAL(9,M11:M163)</t>
  </si>
  <si>
    <t>=SUBTOTAL(9,O11:O163)</t>
  </si>
  <si>
    <t>=SUBTOTAL(9,Q11:Q163)</t>
  </si>
  <si>
    <t>=SUBTOTAL(9,R11:R163)</t>
  </si>
  <si>
    <t>=SUBTOTAL(9,S11:S163)</t>
  </si>
  <si>
    <t>=SUBTOTAL(9,T11:T163)</t>
  </si>
  <si>
    <t>=SUBTOTAL(9,U11:U163)</t>
  </si>
  <si>
    <t>Auto+Hide</t>
  </si>
  <si>
    <t>Modifying your report</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</si>
  <si>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</si>
  <si>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</si>
  <si>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</si>
  <si>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</si>
  <si>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</si>
  <si>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</si>
  <si>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</si>
  <si>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</si>
  <si>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</si>
  <si>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</si>
  <si>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</si>
  <si>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</si>
  <si>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</si>
  <si>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</si>
  <si>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</si>
  <si>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</si>
  <si>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</si>
  <si>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is intended to show a list of items and their quantities for each location. It uses database views created by Jet Global, specifically the </t>
    </r>
    <r>
      <rPr>
        <b/>
        <sz val="10"/>
        <color theme="1"/>
        <rFont val="Segoe UI"/>
        <family val="2"/>
      </rPr>
      <t>Jet Item by Location View</t>
    </r>
    <r>
      <rPr>
        <sz val="10"/>
        <color theme="1"/>
        <rFont val="Segoe UI"/>
        <family val="2"/>
      </rPr>
      <t>. You will need to install these views prior to running this report.
For more information on installing Jet views for GP go to the Jet Help Center and search for "GP Update Utility."
This report prints on 11x17 paper.</t>
    </r>
  </si>
  <si>
    <t>Auto+Hide+Values+Hidesheet+Formulas=Sheet2,Sheet3+FormulasOnly</t>
  </si>
  <si>
    <t>Auto+Hide+Values+Formulas=Sheet4,Sheet5+FormulasOnly</t>
  </si>
  <si>
    <t>Auto+Hide+Values+Hidesheet+Formulas=Sheet6,Sheet2,Sheet3</t>
  </si>
  <si>
    <t>Auto+Hide+Values+Hidesheet+Formulas=Sheet6,Sheet2,Sheet3+FormulasOnly</t>
  </si>
  <si>
    <t>Auto+Hide+Values+Formulas=Sheet7,Sheet4,Sheet5</t>
  </si>
  <si>
    <t>="""GP Direct"",""Fabrikam, Inc."",""Jet Item by Location"",""Class Code"",""COMPONENTS"",""Item Number"",""3-A2969A"",""Item Description"",""1 TB SCSI Raid"",""Current Cost"",""890.00000"""</t>
  </si>
  <si>
    <t>="""GP Direct"",""Fabrikam, Inc."",""Jet Item by Location"",""Class Code"",""COMPONENTS"",""Item Number"",""3-A2990A"",""Item Description"",""HSC 2 Expansion Slot"",""Current Cost"",""7250.00000"""</t>
  </si>
  <si>
    <t>="""GP Direct"",""Fabrikam, Inc."",""Jet Item by Location"",""Class Code"",""COMPONENTS"",""Item Number"",""3-A2998A"",""Item Description"",""Rackmount UPS"",""Current Cost"",""5900.00000"""</t>
  </si>
  <si>
    <t>="""GP Direct"",""Fabrikam, Inc."",""Jet Item by Location"",""Class Code"",""COMPONENTS"",""Item Number"",""3-A3416A"",""Item Description"",""Internal CD-ROM Drive"",""Current Cost"",""850.00000"""</t>
  </si>
  <si>
    <t>="""GP Direct"",""Fabrikam, Inc."",""Jet Item by Location"",""Class Code"",""COMPONENTS"",""Item Number"",""3-A3542A"",""Item Description"",""DDS Drive"",""Current Cost"",""3000.00000"""</t>
  </si>
  <si>
    <t>="""GP Direct"",""Fabrikam, Inc."",""Jet Item by Location"",""Class Code"",""COMPONENTS"",""Item Number"",""3-B3813A"",""Item Description"",""Keyboard"",""Current Cost"",""50.00000"""</t>
  </si>
  <si>
    <t>="""GP Direct"",""Fabrikam, Inc."",""Jet Item by Location"",""Class Code"",""COMPONENTS"",""Item Number"",""3-B3897A"",""Item Description"",""CD-ROM Media"",""Current Cost"",""400.00000"""</t>
  </si>
  <si>
    <t>="""GP Direct"",""Fabrikam, Inc."",""Jet Item by Location"",""Class Code"",""COMPONENTS"",""Item Number"",""3-C2804A"",""Item Description"",""Rackmount Kit"",""Current Cost"",""700.00000"""</t>
  </si>
  <si>
    <t>="""GP Direct"",""Fabrikam, Inc."",""Jet Item by Location"",""Class Code"",""COMPONENTS"",""Item Number"",""3-C2924A"",""Item Description"",""SCSI Cable"",""Current Cost"",""90.00000"""</t>
  </si>
  <si>
    <t>="""GP Direct"",""Fabrikam, Inc."",""Jet Item by Location"",""Class Code"",""COMPONENTS"",""Item Number"",""3-D2657A"",""Item Description"",""Male Adapter"",""Current Cost"",""5.00000"""</t>
  </si>
  <si>
    <t>="""GP Direct"",""Fabrikam, Inc."",""Jet Item by Location"",""Class Code"",""COMPONENTS"",""Item Number"",""3-D2659A"",""Item Description"",""Female Adapter"",""Current Cost"",""5.00000"""</t>
  </si>
  <si>
    <t>="""GP Direct"",""Fabrikam, Inc."",""Jet Item by Location"",""Class Code"",""COMPONENTS"",""Item Number"",""3-E4471A"",""Item Description"",""Extractor Fan"",""Current Cost"",""100.00000"""</t>
  </si>
  <si>
    <t>="""GP Direct"",""Fabrikam, Inc."",""Jet Item by Location"",""Class Code"",""COMPONENTS"",""Item Number"",""3-E4472A"",""Item Description"",""Power Dist Unit Installation Kit"",""Current Cost"",""50.00000"""</t>
  </si>
  <si>
    <t>="""GP Direct"",""Fabrikam, Inc."",""Jet Item by Location"",""Class Code"",""COMPONENTS"",""Item Number"",""3-E4592A"",""Item Description"",""SurgeArrest Plus"",""Current Cost"",""60.00000"""</t>
  </si>
  <si>
    <t>=NF($D30,E$8)</t>
  </si>
  <si>
    <t>=NF($D30,$F$8)</t>
  </si>
  <si>
    <t>=NF($D30,G$8)</t>
  </si>
  <si>
    <t>=NF($D35,E$8)</t>
  </si>
  <si>
    <t>=NF($D35,$F$8)</t>
  </si>
  <si>
    <t>=NF($D35,G$8)</t>
  </si>
  <si>
    <t>="""GP Direct"",""Fabrikam, Inc."",""Jet Item by Location"",""Class Code"",""FG-STD"",""Item Number"",""WATCH"",""Item Description"",""Custom watch"",""Current Cost"",""0.00000"""</t>
  </si>
  <si>
    <t>=NF($D36,E$8)</t>
  </si>
  <si>
    <t>=NF($D36,$F$8)</t>
  </si>
  <si>
    <t>=NF($D36,G$8)</t>
  </si>
  <si>
    <t>="""GP Direct"",""Fabrikam, Inc."",""Jet Item by Location"",""Class Code"",""FINGOODS"",""Item Number"",""HDWR-FGC-0001"",""Item Description"",""Data Card Assembly"",""Current Cost"",""75.99000"""</t>
  </si>
  <si>
    <t>="""GP Direct"",""Fabrikam, Inc."",""Jet Item by Location"",""Class Code"",""FINGOODS"",""Item Number"",""PHAN-FAX-0001"",""Item Description"",""Fax Machine Package"",""Current Cost"",""1479.05000"""</t>
  </si>
  <si>
    <t>="""GP Direct"",""Fabrikam, Inc."",""Jet Item by Location"",""Class Code"",""FINGOODS"",""Item Number"",""PHON-FGD-0001"",""Item Description"",""Phones-Hands Free Dual Ear"",""Current Cost"",""57.22000"""</t>
  </si>
  <si>
    <t>="""GP Direct"",""Fabrikam, Inc."",""Jet Item by Location"",""Class Code"",""FINGOODS"",""Item Number"",""PHON-FGS-0002"",""Item Description"",""Phone-Hands Free Single Ear"",""Current Cost"",""53.83000"""</t>
  </si>
  <si>
    <t>="""GP Direct"",""Fabrikam, Inc."",""Jet Item by Location"",""Class Code"",""FINGOODS"",""Item Number"",""PSYS-FG1-0001"",""Item Description"",""Phone System 1"",""Current Cost"",""18508.72000"""</t>
  </si>
  <si>
    <t>="""GP Direct"",""Fabrikam, Inc."",""Jet Item by Location"",""Class Code"",""FINGOODS"",""Item Number"",""VMSY-FG2-0001"",""Item Description"",""Voice Mail System"",""Current Cost"",""450.28000"""</t>
  </si>
  <si>
    <t>=NF($D52,E$8)</t>
  </si>
  <si>
    <t>=NF($D52,$F$8)</t>
  </si>
  <si>
    <t>=NF($D52,G$8)</t>
  </si>
  <si>
    <t>="""GP Direct"",""Fabrikam, Inc."",""Jet Item by Location"",""Class Code"",""MEMORY-1"",""Item Number"",""3-A3294A"",""Item Description"",""ECC Memory"",""Current Cost"",""8900.00000"""</t>
  </si>
  <si>
    <t>=NF($D53,E$8)</t>
  </si>
  <si>
    <t>=NF($D53,$F$8)</t>
  </si>
  <si>
    <t>=NF($D53,G$8)</t>
  </si>
  <si>
    <t>=NF($D58,E$8)</t>
  </si>
  <si>
    <t>=NF($D58,$F$8)</t>
  </si>
  <si>
    <t>=NF($D58,G$8)</t>
  </si>
  <si>
    <t>=NF($D63,E$8)</t>
  </si>
  <si>
    <t>=NF($D63,$F$8)</t>
  </si>
  <si>
    <t>=NF($D63,G$8)</t>
  </si>
  <si>
    <t>=NF($D68,E$8)</t>
  </si>
  <si>
    <t>=NF($D68,$F$8)</t>
  </si>
  <si>
    <t>=NF($D68,G$8)</t>
  </si>
  <si>
    <t>="""GP Direct"",""Fabrikam, Inc."",""Jet Item by Location"",""Class Code"",""RETAIL"",""Item Number"",""ACCS-CRD-25BK"",""Item Description"",""Phone Cord - 25' Black"",""Current Cost"",""5.98000"""</t>
  </si>
  <si>
    <t>="""GP Direct"",""Fabrikam, Inc."",""Jet Item by Location"",""Class Code"",""RETAIL"",""Item Number"",""ACCS-HDS-1EAR"",""Item Description"",""Headset-Single Ear"",""Current Cost"",""38.59000"""</t>
  </si>
  <si>
    <t>="""GP Direct"",""Fabrikam, Inc."",""Jet Item by Location"",""Class Code"",""RETAIL"",""Item Number"",""ACCS-HDS-2EAR"",""Item Description"",""Headset - Dual Ear"",""Current Cost"",""41.98000"""</t>
  </si>
  <si>
    <t>="""GP Direct"",""Fabrikam, Inc."",""Jet Item by Location"",""Class Code"",""RETAIL"",""Item Number"",""ACCS-RST-DXBK"",""Item Description"",""Shoulder Rest-Deluxe Black"",""Current Cost"",""4.55000"""</t>
  </si>
  <si>
    <t>="""GP Direct"",""Fabrikam, Inc."",""Jet Item by Location"",""Class Code"",""RETAIL"",""Item Number"",""ACCS-RST-DXWH"",""Item Description"",""Shoulder Rest - Deluxe White"",""Current Cost"",""4.55000"""</t>
  </si>
  <si>
    <t>="""GP Direct"",""Fabrikam, Inc."",""Jet Item by Location"",""Class Code"",""RETAIL"",""Item Number"",""ANSW-ATT-1000"",""Item Description"",""Attractive Answering System 1000"",""Current Cost"",""59.29000"""</t>
  </si>
  <si>
    <t>="""GP Direct"",""Fabrikam, Inc."",""Jet Item by Location"",""Class Code"",""RETAIL"",""Item Number"",""ANSW-PAN-1450"",""Item Description"",""Panache KX-T1450 answer"",""Current Cost"",""50.25000"""</t>
  </si>
  <si>
    <t>="""GP Direct"",""Fabrikam, Inc."",""Jet Item by Location"",""Class Code"",""RETAIL"",""Item Number"",""ANSW-PAN-2460"",""Item Description"",""Panache KX-T2460 answer"",""Current Cost"",""73.25000"""</t>
  </si>
  <si>
    <t>="""GP Direct"",""Fabrikam, Inc."",""Jet Item by Location"",""Class Code"",""RETAIL"",""Item Number"",""FAXX-CAN-9800"",""Item Description"",""Cantata FaxPhone 9800"",""Current Cost"",""1197.00000"""</t>
  </si>
  <si>
    <t>="""GP Direct"",""Fabrikam, Inc."",""Jet Item by Location"",""Class Code"",""RETAIL"",""Item Number"",""FAXX-RIC-060E"",""Item Description"",""Richelieu Fax 60E"",""Current Cost"",""479.05000"""</t>
  </si>
  <si>
    <t>="""GP Direct"",""Fabrikam, Inc."",""Jet Item by Location"",""Class Code"",""RETAIL"",""Item Number"",""FAXX-SLK-0172"",""Item Description"",""Sleek UX-172 fax"",""Current Cost"",""674.50000"""</t>
  </si>
  <si>
    <t>="""GP Direct"",""Fabrikam, Inc."",""Jet Item by Location"",""Class Code"",""RETAIL"",""Item Number"",""FAXX-SLK-2100"",""Item Description"",""Sleek UX-2100 fax"",""Current Cost"",""899.00000"""</t>
  </si>
  <si>
    <t>="""GP Direct"",""Fabrikam, Inc."",""Jet Item by Location"",""Class Code"",""RETAIL"",""Item Number"",""HDWR-ACC-0100"",""Item Description"",""Acclaimed Call Center System 100"",""Current Cost"",""35000.00000"""</t>
  </si>
  <si>
    <t>="""GP Direct"",""Fabrikam, Inc."",""Jet Item by Location"",""Class Code"",""RETAIL"",""Item Number"",""HDWR-CAB-0001"",""Item Description"",""Central Cabinet"",""Current Cost"",""6921.88000"""</t>
  </si>
  <si>
    <t>="""GP Direct"",""Fabrikam, Inc."",""Jet Item by Location"",""Class Code"",""RETAIL"",""Item Number"",""HDWR-CIM-0001"",""Item Description"",""Control interface/Memory"",""Current Cost"",""3290.55000"""</t>
  </si>
  <si>
    <t>="""GP Direct"",""Fabrikam, Inc."",""Jet Item by Location"",""Class Code"",""RETAIL"",""Item Number"",""HDWR-DCD-0001"",""Item Description"",""Assembled Data Card"",""Current Cost"",""0.00000"""</t>
  </si>
  <si>
    <t>="""GP Direct"",""Fabrikam, Inc."",""Jet Item by Location"",""Class Code"",""RETAIL"",""Item Number"",""HDWR-LDS-0001"",""Item Description"",""Network LDS/Card"",""Current Cost"",""2700.00000"""</t>
  </si>
  <si>
    <t>="""GP Direct"",""Fabrikam, Inc."",""Jet Item by Location"",""Class Code"",""RETAIL"",""Item Number"",""HDWR-PNL-0001"",""Item Description"",""Control Panel"",""Current Cost"",""303.85000"""</t>
  </si>
  <si>
    <t>="""GP Direct"",""Fabrikam, Inc."",""Jet Item by Location"",""Class Code"",""RETAIL"",""Item Number"",""HDWR-PRO-4862"",""Item Description"",""Pro processor 4S"",""Current Cost"",""2998.15000"""</t>
  </si>
  <si>
    <t>="""GP Direct"",""Fabrikam, Inc."",""Jet Item by Location"",""Class Code"",""RETAIL"",""Item Number"",""HDWR-PRO-4866"",""Item Description"",""Pro processor 4D"",""Current Cost"",""3379.25000"""</t>
  </si>
  <si>
    <t>="""GP Direct"",""Fabrikam, Inc."",""Jet Item by Location"",""Class Code"",""RETAIL"",""Item Number"",""HDWR-RNG-0001"",""Item Description"",""Ring Generator"",""Current Cost"",""669.00000"""</t>
  </si>
  <si>
    <t>="""GP Direct"",""Fabrikam, Inc."",""Jet Item by Location"",""Class Code"",""RETAIL"",""Item Number"",""HDWR-SBD-0001"",""Item Description"",""Switchboard"",""Current Cost"",""14778.12000"""</t>
  </si>
  <si>
    <t>="""GP Direct"",""Fabrikam, Inc."",""Jet Item by Location"",""Class Code"",""RETAIL"",""Item Number"",""HDWR-SRG-0001"",""Item Description"",""Surge Protector Panel"",""Current Cost"",""18.65000"""</t>
  </si>
  <si>
    <t>="""GP Direct"",""Fabrikam, Inc."",""Jet Item by Location"",""Class Code"",""RETAIL"",""Item Number"",""HDWR-SWM-0100"",""Item Description"",""Switching Module (&lt;100)"",""Current Cost"",""7780.25000"""</t>
  </si>
  <si>
    <t>="""GP Direct"",""Fabrikam, Inc."",""Jet Item by Location"",""Class Code"",""RETAIL"",""Item Number"",""HDWR-SWM-0250"",""Item Description"",""Switching Module (100-250)"",""Current Cost"",""12500.00000"""</t>
  </si>
  <si>
    <t>="""GP Direct"",""Fabrikam, Inc."",""Jet Item by Location"",""Class Code"",""RETAIL"",""Item Number"",""HDWR-T1I-0001"",""Item Description"",""T1 Interface Kit"",""Current Cost"",""1495.00000"""</t>
  </si>
  <si>
    <t>="""GP Direct"",""Fabrikam, Inc."",""Jet Item by Location"",""Class Code"",""RETAIL"",""Item Number"",""HDWR-TPS-0001"",""Item Description"",""Tape Unit/Mass Storage"",""Current Cost"",""1224.64000"""</t>
  </si>
  <si>
    <t>="""GP Direct"",""Fabrikam, Inc."",""Jet Item by Location"",""Class Code"",""RETAIL"",""Item Number"",""PHAN-PHN-0001"",""Item Description"",""Standard Phone Package"",""Current Cost"",""27.66000"""</t>
  </si>
  <si>
    <t>="""GP Direct"",""Fabrikam, Inc."",""Jet Item by Location"",""Class Code"",""RETAIL"",""Item Number"",""PHON-ATT-0712"",""Item Description"",""Attractive 712 wall phone"",""Current Cost"",""35.89000"""</t>
  </si>
  <si>
    <t>="""GP Direct"",""Fabrikam, Inc."",""Jet Item by Location"",""Class Code"",""RETAIL"",""Item Number"",""PHON-BAS-0001"",""Item Description"",""Phone Base"",""Current Cost"",""11.95000"""</t>
  </si>
  <si>
    <t>="""GP Direct"",""Fabrikam, Inc."",""Jet Item by Location"",""Class Code"",""RETAIL"",""Item Number"",""PHON-BUS-1244"",""Item Description"",""Handset, 4-line Desk"",""Current Cost"",""128.75000"""</t>
  </si>
  <si>
    <t>="""GP Direct"",""Fabrikam, Inc."",""Jet Item by Location"",""Class Code"",""RETAIL"",""Item Number"",""PHON-BUS-1250"",""Item Description"",""Handset,multi-line"",""Current Cost"",""179.85000"""</t>
  </si>
  <si>
    <t>="""GP Direct"",""Fabrikam, Inc."",""Jet Item by Location"",""Class Code"",""RETAIL"",""Item Number"",""PHON-GTE-3458"",""Item Description"",""Memory-Grand M3458"",""Current Cost"",""75.00000"""</t>
  </si>
  <si>
    <t>="""GP Direct"",""Fabrikam, Inc."",""Jet Item by Location"",""Class Code"",""RETAIL"",""Item Number"",""PHON-GTE-5043"",""Item Description"",""Cordless-Grand S5043"",""Current Cost"",""81.25000"""</t>
  </si>
  <si>
    <t>="""GP Direct"",""Fabrikam, Inc."",""Jet Item by Location"",""Class Code"",""RETAIL"",""Item Number"",""PHON-PAN-2315"",""Item Description"",""Panache KX-T231 wall"",""Current Cost"",""27.98000"""</t>
  </si>
  <si>
    <t>="""GP Direct"",""Fabrikam, Inc."",""Jet Item by Location"",""Class Code"",""RETAIL"",""Item Number"",""PHON-PAN-3155"",""Item Description"",""Panache KX-T3155 desk"",""Current Cost"",""59.50000"""</t>
  </si>
  <si>
    <t>="""GP Direct"",""Fabrikam, Inc."",""Jet Item by Location"",""Class Code"",""RETAIL"",""Item Number"",""PHON-PAN-3848"",""Item Description"",""Cordless-Panache KX-T3848"",""Current Cost"",""67.55000"""</t>
  </si>
  <si>
    <t>="""GP Direct"",""Fabrikam, Inc."",""Jet Item by Location"",""Class Code"",""RETAIL"",""Item Number"",""PHON-RCV-0001"",""Item Description"",""Receiver-Hands Free Dual Ear"",""Current Cost"",""45.27000"""</t>
  </si>
  <si>
    <t>="""GP Direct"",""Fabrikam, Inc."",""Jet Item by Location"",""Class Code"",""RETAIL"",""Item Number"",""PHON-RCV-0002"",""Item Description"",""Receiver-Hands Free Single Ear"",""Current Cost"",""41.88000"""</t>
  </si>
  <si>
    <t>="""GP Direct"",""Fabrikam, Inc."",""Jet Item by Location"",""Class Code"",""RETAIL"",""Item Number"",""PHON-SNY-1250"",""Item Description"",""Phone/Answ System 1250"",""Current Cost"",""89.00000"""</t>
  </si>
  <si>
    <t>="""GP Direct"",""Fabrikam, Inc."",""Jet Item by Location"",""Class Code"",""RETAIL"",""Item Number"",""PHSY-DEL-0001"",""Item Description"",""Deluxe Phone System"",""Current Cost"",""0.00000"""</t>
  </si>
  <si>
    <t>="""GP Direct"",""Fabrikam, Inc."",""Jet Item by Location"",""Class Code"",""RETAIL"",""Item Number"",""PHSY-STD-0001"",""Item Description"",""Standard Phone System"",""Current Cost"",""0.00000"""</t>
  </si>
  <si>
    <t>="""GP Direct"",""Fabrikam, Inc."",""Jet Item by Location"",""Class Code"",""RETAIL"",""Item Number"",""RESR-COM-68KM"",""Item Description"",""Resistor-68KM Revised"",""Current Cost"",""5.75000"""</t>
  </si>
  <si>
    <t>="""GP Direct"",""Fabrikam, Inc."",""Jet Item by Location"",""Class Code"",""RETAIL"",""Item Number"",""SOFT-PHM-0001"",""Item Description"",""Phone Mail System"",""Current Cost"",""34550.00000"""</t>
  </si>
  <si>
    <t>="""GP Direct"",""Fabrikam, Inc."",""Jet Item by Location"",""Class Code"",""RM-ACT"",""Item Number"",""2GPROC"",""Item Description"",""2 Ghz Processor"",""Current Cost"",""250.00000"""</t>
  </si>
  <si>
    <t>="""GP Direct"",""Fabrikam, Inc."",""Jet Item by Location"",""Class Code"",""RM-ACT"",""Item Number"",""512 SDRAM"",""Item Description"",""512 MEG RAM"",""Current Cost"",""0.00000"""</t>
  </si>
  <si>
    <t>="""GP Direct"",""Fabrikam, Inc."",""Jet Item by Location"",""Class Code"",""RM-ACT"",""Item Number"",""BARREL ASSEMBLY"",""Item Description"",""Pen barrel assembly"",""Current Cost"",""1.00000"""</t>
  </si>
  <si>
    <t>="""GP Direct"",""Fabrikam, Inc."",""Jet Item by Location"",""Class Code"",""RM-ACT"",""Item Number"",""BLACK INK"",""Item Description"",""Black ink cartridge"",""Current Cost"",""0.50000"""</t>
  </si>
  <si>
    <t>="""GP Direct"",""Fabrikam, Inc."",""Jet Item by Location"",""Class Code"",""RM-ACT"",""Item Number"",""CDROM"",""Item Description"",""CD ROM drive"",""Current Cost"",""30.00000"""</t>
  </si>
  <si>
    <t>="""GP Direct"",""Fabrikam, Inc."",""Jet Item by Location"",""Class Code"",""RM-ACT"",""Item Number"",""CLIP"",""Item Description"",""Pocket pen clip"",""Current Cost"",""0.15000"""</t>
  </si>
  <si>
    <t>="""GP Direct"",""Fabrikam, Inc."",""Jet Item by Location"",""Class Code"",""RM-ACT"",""Item Number"",""DVD"",""Item Description"",""DVD drive"",""Current Cost"",""120.00000"""</t>
  </si>
  <si>
    <t>="""GP Direct"",""Fabrikam, Inc."",""Jet Item by Location"",""Class Code"",""RM-ACT"",""Item Number"",""DVD ROM"",""Item Description"",""DVD ROM internal drive"",""Current Cost"",""120.00000"""</t>
  </si>
  <si>
    <t>="""GP Direct"",""Fabrikam, Inc."",""Jet Item by Location"",""Class Code"",""RM-ACT"",""Item Number"",""EXTERIOR ASSEMBLY"",""Item Description"",""Exterior pen assembly"",""Current Cost"",""1.20000"""</t>
  </si>
  <si>
    <t>="""GP Direct"",""Fabrikam, Inc."",""Jet Item by Location"",""Class Code"",""RM-ACT"",""Item Number"",""HARD DRIVE"",""Item Description"",""Hard Drive"",""Current Cost"",""50.00000"""</t>
  </si>
  <si>
    <t>="""GP Direct"",""Fabrikam, Inc."",""Jet Item by Location"",""Class Code"",""RM-ACT"",""Item Number"",""HD-20"",""Item Description"",""20 Gig Hard Drive"",""Current Cost"",""50.00000"""</t>
  </si>
  <si>
    <t>="""GP Direct"",""Fabrikam, Inc."",""Jet Item by Location"",""Class Code"",""RM-ACT"",""Item Number"",""HD-40"",""Item Description"",""40 Gig hard drive"",""Current Cost"",""75.00000"""</t>
  </si>
  <si>
    <t>="""GP Direct"",""Fabrikam, Inc."",""Jet Item by Location"",""Class Code"",""RM-ACT"",""Item Number"",""HD-60"",""Item Description"",""60 Gig hard drive"",""Current Cost"",""85.00000"""</t>
  </si>
  <si>
    <t>="""GP Direct"",""Fabrikam, Inc."",""Jet Item by Location"",""Class Code"",""RM-ACT"",""Item Number"",""PAINT"",""Item Description"",""out-sourced painting"",""Current Cost"",""20.00000"""</t>
  </si>
  <si>
    <t>="""GP Direct"",""Fabrikam, Inc."",""Jet Item by Location"",""Class Code"",""RM-ACT"",""Item Number"",""PEN CAP"",""Item Description"",""Metal cap for pen"",""Current Cost"",""0.10000"""</t>
  </si>
  <si>
    <t>="""GP Direct"",""Fabrikam, Inc."",""Jet Item by Location"",""Class Code"",""RM-ACT"",""Item Number"",""SPRING"",""Item Description"",""Metal spring for pen"",""Current Cost"",""0.05000"""</t>
  </si>
  <si>
    <t>="""GP Direct"",""Fabrikam, Inc."",""Jet Item by Location"",""Class Code"",""RM-STD"",""Item Number"",""BACK ASSEMBLY"",""Item Description"",""Wood chair back assembly"",""Current Cost"",""0.00000"""</t>
  </si>
  <si>
    <t>="""GP Direct"",""Fabrikam, Inc."",""Jet Item by Location"",""Class Code"",""RM-STD"",""Item Number"",""BACK FABRIC"",""Item Description"",""Chair back fabric"",""Current Cost"",""1.20000"""</t>
  </si>
  <si>
    <t>="""GP Direct"",""Fabrikam, Inc."",""Jet Item by Location"",""Class Code"",""RM-STD"",""Item Number"",""BACK FRAME"",""Item Description"",""Wood chair back frame"",""Current Cost"",""9.88000"""</t>
  </si>
  <si>
    <t>="""GP Direct"",""Fabrikam, Inc."",""Jet Item by Location"",""Class Code"",""RM-STD"",""Item Number"",""BAND-LEATHER"",""Item Description"",""Leather watch band"",""Current Cost"",""10.70000"""</t>
  </si>
  <si>
    <t>="""GP Direct"",""Fabrikam, Inc."",""Jet Item by Location"",""Class Code"",""RM-STD"",""Item Number"",""BAND-METAL"",""Item Description"",""Metal watch band"",""Current Cost"",""7.70000"""</t>
  </si>
  <si>
    <t>="""GP Direct"",""Fabrikam, Inc."",""Jet Item by Location"",""Class Code"",""RM-STD"",""Item Number"",""BAND-PLASTIC"",""Item Description"",""Plastic watch band"",""Current Cost"",""5.56000"""</t>
  </si>
  <si>
    <t>="""GP Direct"",""Fabrikam, Inc."",""Jet Item by Location"",""Class Code"",""RM-STD"",""Item Number"",""BATTERY"",""Item Description"",""watch battery"",""Current Cost"",""0.50000"""</t>
  </si>
  <si>
    <t>="""GP Direct"",""Fabrikam, Inc."",""Jet Item by Location"",""Class Code"",""RM-STD"",""Item Number"",""DISPLAY"",""Item Description"",""Plastic watch case/display"",""Current Cost"",""1.00000"""</t>
  </si>
  <si>
    <t>="""GP Direct"",""Fabrikam, Inc."",""Jet Item by Location"",""Class Code"",""RM-STD"",""Item Number"",""FACE-ANALOG"",""Item Description"",""Analog watch face"",""Current Cost"",""15.76000"""</t>
  </si>
  <si>
    <t>="""GP Direct"",""Fabrikam, Inc."",""Jet Item by Location"",""Class Code"",""RM-STD"",""Item Number"",""FACE-DIGITAL"",""Item Description"",""Digital watch face"",""Current Cost"",""16.90000"""</t>
  </si>
  <si>
    <t>="""GP Direct"",""Fabrikam, Inc."",""Jet Item by Location"",""Class Code"",""RM-STD"",""Item Number"",""LEG"",""Item Description"",""Wooden chair leg"",""Current Cost"",""2.40000"""</t>
  </si>
  <si>
    <t>="""GP Direct"",""Fabrikam, Inc."",""Jet Item by Location"",""Class Code"",""RM-STD"",""Item Number"",""SEAT ASSEMBLY"",""Item Description"",""Wooden chair seat assembly"",""Current Cost"",""18.34000"""</t>
  </si>
  <si>
    <t>="""GP Direct"",""Fabrikam, Inc."",""Jet Item by Location"",""Class Code"",""RM-STD"",""Item Number"",""SEAT FABRIC"",""Item Description"",""Blue fabric for wooden chair"",""Current Cost"",""1.13000"""</t>
  </si>
  <si>
    <t>="""GP Direct"",""Fabrikam, Inc."",""Jet Item by Location"",""Class Code"",""RM-STD"",""Item Number"",""SEAT FRAME"",""Item Description"",""Wood seat frame"",""Current Cost"",""6.75000"""</t>
  </si>
  <si>
    <t>="""GP Direct"",""Fabrikam, Inc."",""Jet Item by Location"",""Class Code"",""RM-STD"",""Item Number"",""STYLE-M"",""Item Description"",""Mens style custom watch"",""Current Cost"",""18.22000"""</t>
  </si>
  <si>
    <t>="""GP Direct"",""Fabrikam, Inc."",""Jet Item by Location"",""Class Code"",""RM-STD"",""Item Number"",""STYLE-W"",""Item Description"",""Womens style custom watch"",""Current Cost"",""20.25000"""</t>
  </si>
  <si>
    <t>=NF($D12,E$8)</t>
  </si>
  <si>
    <t>=NF($D13,E$8)</t>
  </si>
  <si>
    <t>=NF($D14,E$8)</t>
  </si>
  <si>
    <t>=NF($D15,E$8)</t>
  </si>
  <si>
    <t>=NF($D16,E$8)</t>
  </si>
  <si>
    <t>=NF($D17,E$8)</t>
  </si>
  <si>
    <t>=NF($D18,E$8)</t>
  </si>
  <si>
    <t>=NF($D19,E$8)</t>
  </si>
  <si>
    <t>=NF($D20,E$8)</t>
  </si>
  <si>
    <t>=NF($D21,E$8)</t>
  </si>
  <si>
    <t>=NF($D22,E$8)</t>
  </si>
  <si>
    <t>=NF($D23,E$8)</t>
  </si>
  <si>
    <t>=NF($D24,E$8)</t>
  </si>
  <si>
    <t>=NF($D25,E$8)</t>
  </si>
  <si>
    <t>=NF($D12,$F$8)</t>
  </si>
  <si>
    <t>=NF($D13,$F$8)</t>
  </si>
  <si>
    <t>=NF($D14,$F$8)</t>
  </si>
  <si>
    <t>=NF($D15,$F$8)</t>
  </si>
  <si>
    <t>=NF($D16,$F$8)</t>
  </si>
  <si>
    <t>=NF($D17,$F$8)</t>
  </si>
  <si>
    <t>=NF($D18,$F$8)</t>
  </si>
  <si>
    <t>=NF($D19,$F$8)</t>
  </si>
  <si>
    <t>=NF($D20,$F$8)</t>
  </si>
  <si>
    <t>=NF($D21,$F$8)</t>
  </si>
  <si>
    <t>=NF($D22,$F$8)</t>
  </si>
  <si>
    <t>=NF($D23,$F$8)</t>
  </si>
  <si>
    <t>=NF($D24,$F$8)</t>
  </si>
  <si>
    <t>=NF($D25,$F$8)</t>
  </si>
  <si>
    <t>=NF($D12,G$8)</t>
  </si>
  <si>
    <t>=NF($D13,G$8)</t>
  </si>
  <si>
    <t>=NF($D14,G$8)</t>
  </si>
  <si>
    <t>=NF($D15,G$8)</t>
  </si>
  <si>
    <t>=NF($D16,G$8)</t>
  </si>
  <si>
    <t>=NF($D17,G$8)</t>
  </si>
  <si>
    <t>=NF($D18,G$8)</t>
  </si>
  <si>
    <t>=NF($D19,G$8)</t>
  </si>
  <si>
    <t>=NF($D20,G$8)</t>
  </si>
  <si>
    <t>=NF($D21,G$8)</t>
  </si>
  <si>
    <t>=NF($D22,G$8)</t>
  </si>
  <si>
    <t>=NF($D23,G$8)</t>
  </si>
  <si>
    <t>=NF($D24,G$8)</t>
  </si>
  <si>
    <t>=NF($D25,G$8)</t>
  </si>
  <si>
    <t>=NF($D143,E$8)</t>
  </si>
  <si>
    <t>=NF($D144,E$8)</t>
  </si>
  <si>
    <t>=NF($D145,E$8)</t>
  </si>
  <si>
    <t>=NF($D146,E$8)</t>
  </si>
  <si>
    <t>=NF($D147,E$8)</t>
  </si>
  <si>
    <t>=NF($D148,E$8)</t>
  </si>
  <si>
    <t>=NF($D149,E$8)</t>
  </si>
  <si>
    <t>=NF($D150,E$8)</t>
  </si>
  <si>
    <t>=NF($D151,E$8)</t>
  </si>
  <si>
    <t>=NF($D152,E$8)</t>
  </si>
  <si>
    <t>=NF($D153,E$8)</t>
  </si>
  <si>
    <t>=NF($D154,E$8)</t>
  </si>
  <si>
    <t>=NF($D155,E$8)</t>
  </si>
  <si>
    <t>=NF($D156,E$8)</t>
  </si>
  <si>
    <t>=NF($D157,E$8)</t>
  </si>
  <si>
    <t>=NF($D158,E$8)</t>
  </si>
  <si>
    <t>=NF($D159,E$8)</t>
  </si>
  <si>
    <t>=NF($D143,$F$8)</t>
  </si>
  <si>
    <t>=NF($D144,$F$8)</t>
  </si>
  <si>
    <t>=NF($D145,$F$8)</t>
  </si>
  <si>
    <t>=NF($D146,$F$8)</t>
  </si>
  <si>
    <t>=NF($D147,$F$8)</t>
  </si>
  <si>
    <t>=NF($D148,$F$8)</t>
  </si>
  <si>
    <t>=NF($D149,$F$8)</t>
  </si>
  <si>
    <t>=NF($D150,$F$8)</t>
  </si>
  <si>
    <t>=NF($D151,$F$8)</t>
  </si>
  <si>
    <t>=NF($D152,$F$8)</t>
  </si>
  <si>
    <t>=NF($D153,$F$8)</t>
  </si>
  <si>
    <t>=NF($D154,$F$8)</t>
  </si>
  <si>
    <t>=NF($D155,$F$8)</t>
  </si>
  <si>
    <t>=NF($D156,$F$8)</t>
  </si>
  <si>
    <t>=NF($D157,$F$8)</t>
  </si>
  <si>
    <t>=NF($D158,$F$8)</t>
  </si>
  <si>
    <t>=NF($D159,$F$8)</t>
  </si>
  <si>
    <t>=NF($D143,G$8)</t>
  </si>
  <si>
    <t>=NF($D144,G$8)</t>
  </si>
  <si>
    <t>=NF($D145,G$8)</t>
  </si>
  <si>
    <t>=NF($D146,G$8)</t>
  </si>
  <si>
    <t>=NF($D147,G$8)</t>
  </si>
  <si>
    <t>=NF($D148,G$8)</t>
  </si>
  <si>
    <t>=NF($D149,G$8)</t>
  </si>
  <si>
    <t>=NF($D150,G$8)</t>
  </si>
  <si>
    <t>=NF($D151,G$8)</t>
  </si>
  <si>
    <t>=NF($D152,G$8)</t>
  </si>
  <si>
    <t>=NF($D153,G$8)</t>
  </si>
  <si>
    <t>=NF($D154,G$8)</t>
  </si>
  <si>
    <t>=NF($D155,G$8)</t>
  </si>
  <si>
    <t>=NF($D156,G$8)</t>
  </si>
  <si>
    <t>=NF($D157,G$8)</t>
  </si>
  <si>
    <t>=NF($D158,G$8)</t>
  </si>
  <si>
    <t>=NF($D159,G$8)</t>
  </si>
  <si>
    <t>=NF($D122,E$8)</t>
  </si>
  <si>
    <t>=NF($D123,E$8)</t>
  </si>
  <si>
    <t>=NF($D124,E$8)</t>
  </si>
  <si>
    <t>=NF($D125,E$8)</t>
  </si>
  <si>
    <t>=NF($D126,E$8)</t>
  </si>
  <si>
    <t>=NF($D127,E$8)</t>
  </si>
  <si>
    <t>=NF($D128,E$8)</t>
  </si>
  <si>
    <t>=NF($D129,E$8)</t>
  </si>
  <si>
    <t>=NF($D130,E$8)</t>
  </si>
  <si>
    <t>=NF($D131,E$8)</t>
  </si>
  <si>
    <t>=NF($D132,E$8)</t>
  </si>
  <si>
    <t>=NF($D133,E$8)</t>
  </si>
  <si>
    <t>=NF($D134,E$8)</t>
  </si>
  <si>
    <t>=NF($D135,E$8)</t>
  </si>
  <si>
    <t>=NF($D136,E$8)</t>
  </si>
  <si>
    <t>=NF($D137,E$8)</t>
  </si>
  <si>
    <t>=NF($D138,E$8)</t>
  </si>
  <si>
    <t>=NF($D122,$F$8)</t>
  </si>
  <si>
    <t>=NF($D123,$F$8)</t>
  </si>
  <si>
    <t>=NF($D124,$F$8)</t>
  </si>
  <si>
    <t>=NF($D125,$F$8)</t>
  </si>
  <si>
    <t>=NF($D126,$F$8)</t>
  </si>
  <si>
    <t>=NF($D127,$F$8)</t>
  </si>
  <si>
    <t>=NF($D128,$F$8)</t>
  </si>
  <si>
    <t>=NF($D129,$F$8)</t>
  </si>
  <si>
    <t>=NF($D130,$F$8)</t>
  </si>
  <si>
    <t>=NF($D131,$F$8)</t>
  </si>
  <si>
    <t>=NF($D132,$F$8)</t>
  </si>
  <si>
    <t>=NF($D133,$F$8)</t>
  </si>
  <si>
    <t>=NF($D134,$F$8)</t>
  </si>
  <si>
    <t>=NF($D135,$F$8)</t>
  </si>
  <si>
    <t>=NF($D136,$F$8)</t>
  </si>
  <si>
    <t>=NF($D137,$F$8)</t>
  </si>
  <si>
    <t>=NF($D138,$F$8)</t>
  </si>
  <si>
    <t>=NF($D122,G$8)</t>
  </si>
  <si>
    <t>=NF($D123,G$8)</t>
  </si>
  <si>
    <t>=NF($D124,G$8)</t>
  </si>
  <si>
    <t>=NF($D125,G$8)</t>
  </si>
  <si>
    <t>=NF($D126,G$8)</t>
  </si>
  <si>
    <t>=NF($D127,G$8)</t>
  </si>
  <si>
    <t>=NF($D128,G$8)</t>
  </si>
  <si>
    <t>=NF($D129,G$8)</t>
  </si>
  <si>
    <t>=NF($D130,G$8)</t>
  </si>
  <si>
    <t>=NF($D131,G$8)</t>
  </si>
  <si>
    <t>=NF($D132,G$8)</t>
  </si>
  <si>
    <t>=NF($D133,G$8)</t>
  </si>
  <si>
    <t>=NF($D134,G$8)</t>
  </si>
  <si>
    <t>=NF($D135,G$8)</t>
  </si>
  <si>
    <t>=NF($D136,G$8)</t>
  </si>
  <si>
    <t>=NF($D137,G$8)</t>
  </si>
  <si>
    <t>=NF($D138,G$8)</t>
  </si>
  <si>
    <t>=NF($D73,E$8)</t>
  </si>
  <si>
    <t>=NF($D74,E$8)</t>
  </si>
  <si>
    <t>=NF($D75,E$8)</t>
  </si>
  <si>
    <t>=NF($D76,E$8)</t>
  </si>
  <si>
    <t>=NF($D77,E$8)</t>
  </si>
  <si>
    <t>=NF($D78,E$8)</t>
  </si>
  <si>
    <t>=NF($D79,E$8)</t>
  </si>
  <si>
    <t>=NF($D80,E$8)</t>
  </si>
  <si>
    <t>=NF($D81,E$8)</t>
  </si>
  <si>
    <t>=NF($D82,E$8)</t>
  </si>
  <si>
    <t>=NF($D83,E$8)</t>
  </si>
  <si>
    <t>=NF($D84,E$8)</t>
  </si>
  <si>
    <t>=NF($D85,E$8)</t>
  </si>
  <si>
    <t>=NF($D86,E$8)</t>
  </si>
  <si>
    <t>=NF($D87,E$8)</t>
  </si>
  <si>
    <t>=NF($D88,E$8)</t>
  </si>
  <si>
    <t>=NF($D89,E$8)</t>
  </si>
  <si>
    <t>=NF($D90,E$8)</t>
  </si>
  <si>
    <t>=NF($D91,E$8)</t>
  </si>
  <si>
    <t>=NF($D92,E$8)</t>
  </si>
  <si>
    <t>=NF($D93,E$8)</t>
  </si>
  <si>
    <t>=NF($D94,E$8)</t>
  </si>
  <si>
    <t>=NF($D95,E$8)</t>
  </si>
  <si>
    <t>=NF($D96,E$8)</t>
  </si>
  <si>
    <t>=NF($D97,E$8)</t>
  </si>
  <si>
    <t>=NF($D98,E$8)</t>
  </si>
  <si>
    <t>=NF($D99,E$8)</t>
  </si>
  <si>
    <t>=NF($D100,E$8)</t>
  </si>
  <si>
    <t>=NF($D101,E$8)</t>
  </si>
  <si>
    <t>=NF($D102,E$8)</t>
  </si>
  <si>
    <t>=NF($D103,E$8)</t>
  </si>
  <si>
    <t>=NF($D104,E$8)</t>
  </si>
  <si>
    <t>=NF($D105,E$8)</t>
  </si>
  <si>
    <t>=NF($D106,E$8)</t>
  </si>
  <si>
    <t>=NF($D107,E$8)</t>
  </si>
  <si>
    <t>=NF($D108,E$8)</t>
  </si>
  <si>
    <t>=NF($D109,E$8)</t>
  </si>
  <si>
    <t>=NF($D110,E$8)</t>
  </si>
  <si>
    <t>=NF($D111,E$8)</t>
  </si>
  <si>
    <t>=NF($D112,E$8)</t>
  </si>
  <si>
    <t>=NF($D113,E$8)</t>
  </si>
  <si>
    <t>=NF($D114,E$8)</t>
  </si>
  <si>
    <t>=NF($D115,E$8)</t>
  </si>
  <si>
    <t>=NF($D116,E$8)</t>
  </si>
  <si>
    <t>=NF($D117,E$8)</t>
  </si>
  <si>
    <t>=NF($D73,$F$8)</t>
  </si>
  <si>
    <t>=NF($D74,$F$8)</t>
  </si>
  <si>
    <t>=NF($D75,$F$8)</t>
  </si>
  <si>
    <t>=NF($D76,$F$8)</t>
  </si>
  <si>
    <t>=NF($D77,$F$8)</t>
  </si>
  <si>
    <t>=NF($D78,$F$8)</t>
  </si>
  <si>
    <t>=NF($D79,$F$8)</t>
  </si>
  <si>
    <t>=NF($D80,$F$8)</t>
  </si>
  <si>
    <t>=NF($D81,$F$8)</t>
  </si>
  <si>
    <t>=NF($D82,$F$8)</t>
  </si>
  <si>
    <t>=NF($D83,$F$8)</t>
  </si>
  <si>
    <t>=NF($D84,$F$8)</t>
  </si>
  <si>
    <t>=NF($D85,$F$8)</t>
  </si>
  <si>
    <t>=NF($D86,$F$8)</t>
  </si>
  <si>
    <t>=NF($D87,$F$8)</t>
  </si>
  <si>
    <t>=NF($D88,$F$8)</t>
  </si>
  <si>
    <t>=NF($D89,$F$8)</t>
  </si>
  <si>
    <t>=NF($D90,$F$8)</t>
  </si>
  <si>
    <t>=NF($D91,$F$8)</t>
  </si>
  <si>
    <t>=NF($D92,$F$8)</t>
  </si>
  <si>
    <t>=NF($D93,$F$8)</t>
  </si>
  <si>
    <t>=NF($D94,$F$8)</t>
  </si>
  <si>
    <t>=NF($D95,$F$8)</t>
  </si>
  <si>
    <t>=NF($D96,$F$8)</t>
  </si>
  <si>
    <t>=NF($D97,$F$8)</t>
  </si>
  <si>
    <t>=NF($D98,$F$8)</t>
  </si>
  <si>
    <t>=NF($D99,$F$8)</t>
  </si>
  <si>
    <t>=NF($D100,$F$8)</t>
  </si>
  <si>
    <t>=NF($D101,$F$8)</t>
  </si>
  <si>
    <t>=NF($D102,$F$8)</t>
  </si>
  <si>
    <t>=NF($D103,$F$8)</t>
  </si>
  <si>
    <t>=NF($D104,$F$8)</t>
  </si>
  <si>
    <t>=NF($D105,$F$8)</t>
  </si>
  <si>
    <t>=NF($D106,$F$8)</t>
  </si>
  <si>
    <t>=NF($D107,$F$8)</t>
  </si>
  <si>
    <t>=NF($D108,$F$8)</t>
  </si>
  <si>
    <t>=NF($D109,$F$8)</t>
  </si>
  <si>
    <t>=NF($D110,$F$8)</t>
  </si>
  <si>
    <t>=NF($D111,$F$8)</t>
  </si>
  <si>
    <t>=NF($D112,$F$8)</t>
  </si>
  <si>
    <t>=NF($D113,$F$8)</t>
  </si>
  <si>
    <t>=NF($D114,$F$8)</t>
  </si>
  <si>
    <t>=NF($D115,$F$8)</t>
  </si>
  <si>
    <t>=NF($D116,$F$8)</t>
  </si>
  <si>
    <t>=NF($D117,$F$8)</t>
  </si>
  <si>
    <t>=NF($D73,G$8)</t>
  </si>
  <si>
    <t>=NF($D74,G$8)</t>
  </si>
  <si>
    <t>=NF($D75,G$8)</t>
  </si>
  <si>
    <t>=NF($D76,G$8)</t>
  </si>
  <si>
    <t>=NF($D77,G$8)</t>
  </si>
  <si>
    <t>=NF($D78,G$8)</t>
  </si>
  <si>
    <t>=NF($D79,G$8)</t>
  </si>
  <si>
    <t>=NF($D80,G$8)</t>
  </si>
  <si>
    <t>=NF($D81,G$8)</t>
  </si>
  <si>
    <t>=NF($D82,G$8)</t>
  </si>
  <si>
    <t>=NF($D83,G$8)</t>
  </si>
  <si>
    <t>=NF($D84,G$8)</t>
  </si>
  <si>
    <t>=NF($D85,G$8)</t>
  </si>
  <si>
    <t>=NF($D86,G$8)</t>
  </si>
  <si>
    <t>=NF($D87,G$8)</t>
  </si>
  <si>
    <t>=NF($D88,G$8)</t>
  </si>
  <si>
    <t>=NF($D89,G$8)</t>
  </si>
  <si>
    <t>=NF($D90,G$8)</t>
  </si>
  <si>
    <t>=NF($D91,G$8)</t>
  </si>
  <si>
    <t>=NF($D92,G$8)</t>
  </si>
  <si>
    <t>=NF($D93,G$8)</t>
  </si>
  <si>
    <t>=NF($D94,G$8)</t>
  </si>
  <si>
    <t>=NF($D95,G$8)</t>
  </si>
  <si>
    <t>=NF($D96,G$8)</t>
  </si>
  <si>
    <t>=NF($D97,G$8)</t>
  </si>
  <si>
    <t>=NF($D98,G$8)</t>
  </si>
  <si>
    <t>=NF($D99,G$8)</t>
  </si>
  <si>
    <t>=NF($D100,G$8)</t>
  </si>
  <si>
    <t>=NF($D101,G$8)</t>
  </si>
  <si>
    <t>=NF($D102,G$8)</t>
  </si>
  <si>
    <t>=NF($D103,G$8)</t>
  </si>
  <si>
    <t>=NF($D104,G$8)</t>
  </si>
  <si>
    <t>=NF($D105,G$8)</t>
  </si>
  <si>
    <t>=NF($D106,G$8)</t>
  </si>
  <si>
    <t>=NF($D107,G$8)</t>
  </si>
  <si>
    <t>=NF($D108,G$8)</t>
  </si>
  <si>
    <t>=NF($D109,G$8)</t>
  </si>
  <si>
    <t>=NF($D110,G$8)</t>
  </si>
  <si>
    <t>=NF($D111,G$8)</t>
  </si>
  <si>
    <t>=NF($D112,G$8)</t>
  </si>
  <si>
    <t>=NF($D113,G$8)</t>
  </si>
  <si>
    <t>=NF($D114,G$8)</t>
  </si>
  <si>
    <t>=NF($D115,G$8)</t>
  </si>
  <si>
    <t>=NF($D116,G$8)</t>
  </si>
  <si>
    <t>=NF($D117,G$8)</t>
  </si>
  <si>
    <t>=NF($D41,E$8)</t>
  </si>
  <si>
    <t>=NF($D42,E$8)</t>
  </si>
  <si>
    <t>=NF($D43,E$8)</t>
  </si>
  <si>
    <t>=NF($D44,E$8)</t>
  </si>
  <si>
    <t>=NF($D45,E$8)</t>
  </si>
  <si>
    <t>=NF($D46,E$8)</t>
  </si>
  <si>
    <t>=NF($D47,E$8)</t>
  </si>
  <si>
    <t>=NF($D41,$F$8)</t>
  </si>
  <si>
    <t>=NF($D42,$F$8)</t>
  </si>
  <si>
    <t>=NF($D43,$F$8)</t>
  </si>
  <si>
    <t>=NF($D44,$F$8)</t>
  </si>
  <si>
    <t>=NF($D45,$F$8)</t>
  </si>
  <si>
    <t>=NF($D46,$F$8)</t>
  </si>
  <si>
    <t>=NF($D47,$F$8)</t>
  </si>
  <si>
    <t>=NF($D41,G$8)</t>
  </si>
  <si>
    <t>=NF($D42,G$8)</t>
  </si>
  <si>
    <t>=NF($D43,G$8)</t>
  </si>
  <si>
    <t>=NF($D44,G$8)</t>
  </si>
  <si>
    <t>=NF($D45,G$8)</t>
  </si>
  <si>
    <t>=NF($D46,G$8)</t>
  </si>
  <si>
    <t>=NF($D47,G$8)</t>
  </si>
  <si>
    <t>Auto+Hide+Values+Formulas=Sheet7,Sheet4,Sheet5+FormulasOnly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</si>
</sst>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9">
    <font>
      <sz val="10"/>
      <name val="Arial"/>
    </font>
    <font>
      <sz val="11"/>
      <color theme="1"/>
      <name val="Calibri"/>
      <family val="2"/>
      <scheme val="minor"/>
    </font>
    <font>
      <sz val="11"/>
      <color theme="1"/>
      <name val="Segoe UI"/>
      <family val="2"/>
    </font>
    <font>
      <sz val="10"/>
      <name val="Arial"/>
      <family val="2"/>
    </font>
    <font>
      <sz val="8"/>
      <name val="Arial"/>
      <family val="2"/>
    </font>
    <font>
      <u/>
      <sz val="10"/>
      <color indexed="12"/>
      <name val="Arial"/>
      <family val="2"/>
    </font>
    <font>
      <sz val="10"/>
      <name val="Arial"/>
      <family val="2"/>
    </font>
    <font>
      <b/>
      <sz val="10"/>
      <name val="Arial"/>
      <family val="2"/>
    </font>
    <font>
      <sz val="10"/>
      <name val="Arial"/>
      <family val="2"/>
    </font>
    <font>
      <sz val="8"/>
      <name val="Arial"/>
      <family val="2"/>
    </font>
    <font>
      <sz val="10"/>
      <name val="Arial"/>
      <family val="2"/>
    </font>
    <font>
      <sz val="10"/>
      <color theme="0" tint="-0.499984740745262"/>
      <name val="Arial"/>
      <family val="2"/>
    </font>
    <font>
      <b/>
      <sz val="11"/>
      <color theme="0"/>
      <name val="Arial"/>
      <family val="2"/>
    </font>
    <font>
      <sz val="9"/>
      <color indexed="55"/>
      <name val="Raavi"/>
      <family val="2"/>
    </font>
    <font>
      <sz val="9"/>
      <name val="Raavi"/>
      <family val="2"/>
    </font>
    <font>
      <b/>
      <sz val="9"/>
      <color indexed="18"/>
      <name val="Raavi"/>
      <family val="2"/>
    </font>
    <font>
      <b/>
      <sz val="10"/>
      <color indexed="55"/>
      <name val="Raavi"/>
      <family val="2"/>
    </font>
    <font>
      <b/>
      <sz val="10"/>
      <name val="Raavi"/>
      <family val="2"/>
    </font>
    <font>
      <b/>
      <sz val="16"/>
      <color theme="9" tint="-0.249977111117893"/>
      <name val="Raavi"/>
      <family val="2"/>
    </font>
    <font>
      <sz val="10"/>
      <name val="Raavi"/>
      <family val="2"/>
    </font>
    <font>
      <sz val="10"/>
      <color indexed="55"/>
      <name val="Raavi"/>
      <family val="2"/>
    </font>
    <font>
      <b/>
      <sz val="11"/>
      <color theme="0"/>
      <name val="Raavi"/>
      <family val="2"/>
    </font>
    <font>
      <sz val="10"/>
      <name val="Arial"/>
      <family val="2"/>
    </font>
    <font>
      <sz val="10"/>
      <color theme="1"/>
      <name val="Raavi"/>
      <family val="2"/>
    </font>
    <font>
      <b/>
      <sz val="10"/>
      <color theme="1"/>
      <name val="Raav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8">
    <fill>
      <patternFill patternType="none"/>
    </fill>
    <fill>
      <patternFill patternType="gray125"/>
    </fill>
    <fill>
      <patternFill patternType="solid">
        <fgColor indexed="22"/>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9" tint="0.79998168889431442"/>
        <bgColor indexed="65"/>
      </patternFill>
    </fill>
    <fill>
      <patternFill patternType="solid">
        <fgColor theme="0" tint="-4.9989318521683403E-2"/>
        <bgColor indexed="64"/>
      </patternFill>
    </fill>
  </fills>
  <borders count="3">
    <border>
      <left/>
      <right/>
      <top/>
      <bottom/>
      <diagonal/>
    </border>
    <border>
      <left/>
      <right/>
      <top style="thin">
        <color indexed="64"/>
      </top>
      <bottom style="double">
        <color indexed="64"/>
      </bottom>
      <diagonal/>
    </border>
    <border>
      <left/>
      <right/>
      <top style="thin">
        <color indexed="64"/>
      </top>
      <bottom style="thin">
        <color indexed="64"/>
      </bottom>
      <diagonal/>
    </border>
  </borders>
  <cellStyleXfs count="11">
    <xf numFmtId="0" fontId="0" fillId="0" borderId="0"/>
    <xf numFmtId="43" fontId="3" fillId="0" borderId="0" applyFont="0" applyFill="0" applyBorder="0" applyAlignment="0" applyProtection="0"/>
    <xf numFmtId="0" fontId="8" fillId="0" borderId="0"/>
    <xf numFmtId="0" fontId="6" fillId="0" borderId="0"/>
    <xf numFmtId="0" fontId="10" fillId="0" borderId="0"/>
    <xf numFmtId="0" fontId="6" fillId="0" borderId="0"/>
    <xf numFmtId="0" fontId="6" fillId="0" borderId="0"/>
    <xf numFmtId="44" fontId="22" fillId="0" borderId="0" applyFont="0" applyFill="0" applyBorder="0" applyAlignment="0" applyProtection="0"/>
    <xf numFmtId="0" fontId="2" fillId="6" borderId="0" applyNumberFormat="0" applyBorder="0" applyAlignment="0" applyProtection="0"/>
    <xf numFmtId="0" fontId="1" fillId="0" borderId="0"/>
    <xf numFmtId="0" fontId="5" fillId="0" borderId="0" applyNumberFormat="0" applyFill="0" applyBorder="0" applyAlignment="0" applyProtection="0">
      <alignment vertical="top"/>
      <protection locked="0"/>
    </xf>
  </cellStyleXfs>
  <cellXfs count="59">
    <xf numFmtId="0" fontId="0" fillId="0" borderId="0" xfId="0"/>
    <xf numFmtId="0" fontId="7" fillId="0" borderId="0" xfId="0" applyFont="1"/>
    <xf numFmtId="0" fontId="0" fillId="0" borderId="0" xfId="0" quotePrefix="1"/>
    <xf numFmtId="0" fontId="11" fillId="0" borderId="0" xfId="0" applyFont="1" applyFill="1"/>
    <xf numFmtId="0" fontId="11" fillId="0" borderId="0" xfId="0" applyFont="1"/>
    <xf numFmtId="0" fontId="12" fillId="3" borderId="0" xfId="0" applyFont="1" applyFill="1"/>
    <xf numFmtId="0" fontId="13" fillId="0" borderId="0" xfId="0" applyFont="1"/>
    <xf numFmtId="0" fontId="14" fillId="0" borderId="0" xfId="0" applyFont="1"/>
    <xf numFmtId="2" fontId="14" fillId="0" borderId="0" xfId="0" applyNumberFormat="1" applyFont="1"/>
    <xf numFmtId="0" fontId="15" fillId="0" borderId="0" xfId="0" applyFont="1" applyFill="1"/>
    <xf numFmtId="0" fontId="13" fillId="2" borderId="0" xfId="0" applyFont="1" applyFill="1"/>
    <xf numFmtId="0" fontId="14" fillId="2" borderId="0" xfId="0" applyFont="1" applyFill="1"/>
    <xf numFmtId="43" fontId="16" fillId="0" borderId="0" xfId="1" applyFont="1" applyBorder="1"/>
    <xf numFmtId="43" fontId="17" fillId="0" borderId="0" xfId="1" applyFont="1" applyBorder="1"/>
    <xf numFmtId="0" fontId="18" fillId="0" borderId="0" xfId="0" applyFont="1" applyFill="1"/>
    <xf numFmtId="0" fontId="17" fillId="0" borderId="0" xfId="0" applyFont="1"/>
    <xf numFmtId="0" fontId="19" fillId="0" borderId="0" xfId="0" applyFont="1"/>
    <xf numFmtId="2" fontId="19" fillId="0" borderId="0" xfId="0" applyNumberFormat="1" applyFont="1"/>
    <xf numFmtId="0" fontId="20" fillId="0" borderId="0" xfId="0" applyNumberFormat="1" applyFont="1"/>
    <xf numFmtId="2" fontId="17" fillId="0" borderId="0" xfId="0" applyNumberFormat="1" applyFont="1" applyAlignment="1">
      <alignment horizontal="right"/>
    </xf>
    <xf numFmtId="14" fontId="19" fillId="0" borderId="0" xfId="0" applyNumberFormat="1" applyFont="1"/>
    <xf numFmtId="0" fontId="20" fillId="0" borderId="0" xfId="0" applyFont="1"/>
    <xf numFmtId="43" fontId="20" fillId="0" borderId="0" xfId="1" applyFont="1"/>
    <xf numFmtId="43" fontId="19" fillId="0" borderId="0" xfId="1" applyFont="1"/>
    <xf numFmtId="0" fontId="17" fillId="0" borderId="0" xfId="0" applyFont="1" applyBorder="1"/>
    <xf numFmtId="0" fontId="17" fillId="0" borderId="1" xfId="0" applyFont="1" applyBorder="1"/>
    <xf numFmtId="0" fontId="19" fillId="0" borderId="1" xfId="0" applyFont="1" applyBorder="1"/>
    <xf numFmtId="43" fontId="16" fillId="0" borderId="1" xfId="1" applyFont="1" applyBorder="1"/>
    <xf numFmtId="43" fontId="17" fillId="0" borderId="1" xfId="1" applyFont="1" applyBorder="1"/>
    <xf numFmtId="0" fontId="21" fillId="4" borderId="0" xfId="0" applyFont="1" applyFill="1" applyAlignment="1">
      <alignment horizontal="left"/>
    </xf>
    <xf numFmtId="0" fontId="17" fillId="5" borderId="2" xfId="0" applyFont="1" applyFill="1" applyBorder="1"/>
    <xf numFmtId="43" fontId="16" fillId="5" borderId="2" xfId="1" applyFont="1" applyFill="1" applyBorder="1"/>
    <xf numFmtId="43" fontId="17" fillId="5" borderId="2" xfId="1" applyFont="1" applyFill="1" applyBorder="1"/>
    <xf numFmtId="0" fontId="13" fillId="7" borderId="0" xfId="0" applyFont="1" applyFill="1"/>
    <xf numFmtId="0" fontId="14" fillId="7" borderId="0" xfId="0" applyFont="1" applyFill="1"/>
    <xf numFmtId="44" fontId="19" fillId="0" borderId="0" xfId="7" applyFont="1"/>
    <xf numFmtId="44" fontId="17" fillId="0" borderId="1" xfId="7" applyFont="1" applyBorder="1"/>
    <xf numFmtId="43" fontId="17" fillId="0" borderId="0" xfId="1" applyFont="1" applyFill="1" applyBorder="1"/>
    <xf numFmtId="0" fontId="14" fillId="0" borderId="0" xfId="0" applyFont="1" applyFill="1" applyBorder="1"/>
    <xf numFmtId="0" fontId="19" fillId="0" borderId="0" xfId="0" applyFont="1" applyFill="1" applyBorder="1"/>
    <xf numFmtId="14" fontId="19" fillId="0" borderId="0" xfId="0" applyNumberFormat="1" applyFont="1" applyFill="1" applyBorder="1"/>
    <xf numFmtId="2" fontId="19" fillId="0" borderId="0" xfId="0" applyNumberFormat="1" applyFont="1" applyFill="1" applyBorder="1"/>
    <xf numFmtId="2" fontId="21" fillId="0" borderId="0" xfId="0" applyNumberFormat="1" applyFont="1" applyFill="1" applyBorder="1" applyAlignment="1">
      <alignment horizontal="right"/>
    </xf>
    <xf numFmtId="43" fontId="19" fillId="0" borderId="0" xfId="1" applyFont="1" applyFill="1" applyBorder="1"/>
    <xf numFmtId="43" fontId="17" fillId="0" borderId="0" xfId="1" applyFont="1"/>
    <xf numFmtId="44" fontId="17" fillId="0" borderId="0" xfId="7" applyFont="1"/>
    <xf numFmtId="43" fontId="23" fillId="5" borderId="2" xfId="8" applyNumberFormat="1" applyFont="1" applyFill="1" applyBorder="1"/>
    <xf numFmtId="2" fontId="17" fillId="0" borderId="0" xfId="0" applyNumberFormat="1" applyFont="1" applyFill="1" applyBorder="1"/>
    <xf numFmtId="44" fontId="24" fillId="5" borderId="2" xfId="7" applyFont="1" applyFill="1" applyBorder="1"/>
    <xf numFmtId="43" fontId="24" fillId="5" borderId="2" xfId="8" applyNumberFormat="1" applyFont="1" applyFill="1" applyBorder="1"/>
    <xf numFmtId="0" fontId="25" fillId="0" borderId="0" xfId="9" applyFont="1"/>
    <xf numFmtId="0" fontId="25" fillId="0" borderId="0" xfId="9" applyFont="1" applyAlignment="1">
      <alignment vertical="top"/>
    </xf>
    <xf numFmtId="0" fontId="25" fillId="0" borderId="0" xfId="9" applyFont="1" applyAlignment="1">
      <alignment vertical="top" wrapText="1"/>
    </xf>
    <xf numFmtId="0" fontId="26" fillId="0" borderId="0" xfId="9" applyFont="1" applyAlignment="1">
      <alignment vertical="top"/>
    </xf>
    <xf numFmtId="0" fontId="27" fillId="0" borderId="0" xfId="9" applyFont="1" applyAlignment="1">
      <alignment vertical="top"/>
    </xf>
    <xf numFmtId="0" fontId="28" fillId="0" borderId="0" xfId="9" applyFont="1" applyAlignment="1">
      <alignment vertical="top"/>
    </xf>
    <xf numFmtId="0" fontId="5" fillId="0" borderId="0" xfId="10" applyAlignment="1" applyProtection="1">
      <alignment vertical="top"/>
    </xf>
    <xf numFmtId="0" fontId="21" fillId="4" borderId="0" xfId="0" applyFont="1" applyFill="1" applyAlignment="1">
      <alignment horizontal="center" wrapText="1"/>
    </xf>
    <xf numFmtId="0" fontId="21" fillId="4" borderId="0" xfId="0" applyFont="1" applyFill="1" applyAlignment="1">
      <alignment horizontal="center"/>
    </xf>
  </cellXfs>
  <cellStyles count="11">
    <cellStyle name="20% - Accent6" xfId="8" builtinId="50"/>
    <cellStyle name="Comma" xfId="1" builtinId="3"/>
    <cellStyle name="Currency" xfId="7" builtinId="4"/>
    <cellStyle name="Hyperlink 3" xfId="10"/>
    <cellStyle name="Normal" xfId="0" builtinId="0"/>
    <cellStyle name="Normal 2" xfId="2"/>
    <cellStyle name="Normal 2 2" xfId="3"/>
    <cellStyle name="Normal 2 3" xfId="4"/>
    <cellStyle name="Normal 2 4" xfId="6"/>
    <cellStyle name="Normal 2_Jet2281" xfId="5"/>
    <cellStyle name="Normal 3" xfId="9"/>
  </cellStyles>
  <dxfs count="36">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
      <fill>
        <patternFill>
          <bgColor indexed="40"/>
        </patternFill>
      </fill>
    </dxf>
    <dxf>
      <fill>
        <patternFill>
          <bgColor indexed="40"/>
        </patternFill>
      </fill>
    </dxf>
    <dxf>
      <fill>
        <patternFill>
          <bgColor indexed="40"/>
        </patternFill>
      </fill>
    </dxf>
    <dxf>
      <fill>
        <patternFill>
          <bgColor indexed="3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53</xdr:col>
      <xdr:colOff>247650</xdr:colOff>
      <xdr:row>2</xdr:row>
      <xdr:rowOff>66675</xdr:rowOff>
    </xdr:from>
    <xdr:to>
      <xdr:col>56</xdr:col>
      <xdr:colOff>419099</xdr:colOff>
      <xdr:row>5</xdr:row>
      <xdr:rowOff>939</xdr:rowOff>
    </xdr:to>
    <xdr:pic>
      <xdr:nvPicPr>
        <xdr:cNvPr id="3107" name="Picture 1" descr="Jet-Reports-Logo.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38775" y="219075"/>
          <a:ext cx="2000250"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P016%20-%20Jet%20Reports%20-%20Item%20Quantity%20Tracking%20Re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Options"/>
      <sheetName val="Item Quantity"/>
    </sheetNames>
    <sheetDataSet>
      <sheetData sheetId="0"/>
      <sheetData sheetId="1">
        <row r="8">
          <cell r="D8" t="str">
            <v>Yes</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cols>
    <col min="1" max="1" width="3.42578125" style="50" hidden="1" customWidth="1"/>
    <col min="2" max="2" width="10.28515625" style="50" customWidth="1"/>
    <col min="3" max="3" width="27.140625" style="51" customWidth="1"/>
    <col min="4" max="4" width="77.28515625" style="52" customWidth="1"/>
    <col min="5" max="5" width="36.42578125" style="50" customWidth="1"/>
    <col min="6" max="16384" width="9.140625" style="50"/>
  </cols>
  <sheetData>
    <row r="1" spans="1:5" hidden="1">
      <c r="A1" s="50" t="s">
        <v>1614</v>
      </c>
    </row>
    <row r="7" spans="1:5" ht="30.75">
      <c r="C7" s="53" t="s">
        <v>18</v>
      </c>
    </row>
    <row r="9" spans="1:5">
      <c r="C9" s="54"/>
    </row>
    <row r="10" spans="1:5" ht="114">
      <c r="C10" s="55" t="s">
        <v>19</v>
      </c>
      <c r="D10" s="52" t="s">
        <v>1633</v>
      </c>
    </row>
    <row r="11" spans="1:5">
      <c r="C11" s="55"/>
    </row>
    <row r="12" spans="1:5">
      <c r="C12" s="55" t="s">
        <v>1615</v>
      </c>
      <c r="D12" s="52" t="s">
        <v>1616</v>
      </c>
    </row>
    <row r="13" spans="1:5">
      <c r="C13" s="55"/>
    </row>
    <row r="14" spans="1:5" ht="57">
      <c r="C14" s="55" t="s">
        <v>20</v>
      </c>
      <c r="D14" s="52" t="s">
        <v>1617</v>
      </c>
      <c r="E14" s="56" t="s">
        <v>1618</v>
      </c>
    </row>
    <row r="15" spans="1:5">
      <c r="C15" s="55"/>
      <c r="E15" s="51"/>
    </row>
    <row r="16" spans="1:5" ht="28.5">
      <c r="C16" s="55" t="s">
        <v>1619</v>
      </c>
      <c r="D16" s="52" t="s">
        <v>1620</v>
      </c>
      <c r="E16" s="56" t="s">
        <v>1621</v>
      </c>
    </row>
    <row r="17" spans="3:5">
      <c r="C17" s="55"/>
      <c r="E17" s="51"/>
    </row>
    <row r="18" spans="3:5" ht="57">
      <c r="C18" s="55" t="s">
        <v>1622</v>
      </c>
      <c r="D18" s="52" t="s">
        <v>1623</v>
      </c>
      <c r="E18" s="56" t="s">
        <v>1624</v>
      </c>
    </row>
    <row r="19" spans="3:5">
      <c r="C19" s="55"/>
      <c r="E19" s="51"/>
    </row>
    <row r="20" spans="3:5" ht="30.75" customHeight="1">
      <c r="C20" s="55" t="s">
        <v>21</v>
      </c>
      <c r="D20" s="52" t="s">
        <v>1625</v>
      </c>
      <c r="E20" s="56" t="s">
        <v>1626</v>
      </c>
    </row>
    <row r="21" spans="3:5">
      <c r="C21" s="55"/>
      <c r="E21" s="51"/>
    </row>
    <row r="22" spans="3:5" ht="14.25" customHeight="1">
      <c r="C22" s="55" t="s">
        <v>22</v>
      </c>
      <c r="D22" s="52" t="s">
        <v>1627</v>
      </c>
      <c r="E22" s="56" t="s">
        <v>1628</v>
      </c>
    </row>
    <row r="23" spans="3:5">
      <c r="C23" s="55"/>
      <c r="E23" s="51"/>
    </row>
    <row r="24" spans="3:5" ht="15" customHeight="1">
      <c r="C24" s="55" t="s">
        <v>23</v>
      </c>
      <c r="D24" s="52" t="s">
        <v>1629</v>
      </c>
      <c r="E24" s="56" t="s">
        <v>1630</v>
      </c>
    </row>
    <row r="25" spans="3:5">
      <c r="C25" s="55"/>
    </row>
    <row r="26" spans="3:5" ht="71.25">
      <c r="C26" s="55" t="s">
        <v>24</v>
      </c>
      <c r="D26" s="52" t="s">
        <v>1631</v>
      </c>
    </row>
    <row r="27" spans="3:5">
      <c r="C27" s="55"/>
    </row>
    <row r="28" spans="3:5" ht="17.25" customHeight="1">
      <c r="C28" s="55" t="s">
        <v>25</v>
      </c>
      <c r="D28" s="52" t="s">
        <v>1632</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topLeftCell="B2" workbookViewId="0"/>
  </sheetViews>
  <sheetFormatPr defaultRowHeight="12.75"/>
  <cols>
    <col min="1" max="1" width="9.140625" hidden="1" customWidth="1"/>
    <col min="4" max="4" width="16.7109375" bestFit="1" customWidth="1"/>
    <col min="5" max="5" width="21.7109375" bestFit="1" customWidth="1"/>
  </cols>
  <sheetData>
    <row r="1" spans="1:6" hidden="1">
      <c r="A1" s="3" t="s">
        <v>1636</v>
      </c>
      <c r="B1" s="4"/>
      <c r="C1" s="4"/>
      <c r="D1" s="4" t="s">
        <v>13</v>
      </c>
      <c r="E1" s="4" t="s">
        <v>14</v>
      </c>
      <c r="F1" s="4" t="s">
        <v>15</v>
      </c>
    </row>
    <row r="2" spans="1:6">
      <c r="A2" s="3"/>
    </row>
    <row r="3" spans="1:6">
      <c r="A3" s="3"/>
    </row>
    <row r="4" spans="1:6" ht="15">
      <c r="A4" s="3"/>
      <c r="D4" s="5" t="s">
        <v>75</v>
      </c>
    </row>
    <row r="5" spans="1:6">
      <c r="A5" s="3" t="s">
        <v>16</v>
      </c>
      <c r="D5" s="1" t="s">
        <v>12</v>
      </c>
      <c r="E5" t="str">
        <f>"DEPOT|NORTH|RETURNS|WAREHOUSE"</f>
        <v>DEPOT|NORTH|RETURNS|WAREHOUSE</v>
      </c>
      <c r="F5" t="str">
        <f>"Lookup"</f>
        <v>Lookup</v>
      </c>
    </row>
    <row r="6" spans="1:6">
      <c r="A6" s="3" t="s">
        <v>16</v>
      </c>
      <c r="D6" s="1" t="s">
        <v>3</v>
      </c>
      <c r="E6" t="str">
        <f>"COMPONENTS..RM-STD"</f>
        <v>COMPONENTS..RM-STD</v>
      </c>
      <c r="F6" t="str">
        <f>"Lookup"</f>
        <v>Lookup</v>
      </c>
    </row>
  </sheetData>
  <phoneticPr fontId="9"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5"/>
  <sheetViews>
    <sheetView showGridLines="0" zoomScale="71" zoomScaleNormal="71" workbookViewId="0">
      <pane xSplit="8" ySplit="9" topLeftCell="I10" activePane="bottomRight" state="frozen"/>
      <selection pane="topRight" activeCell="I1" sqref="I1"/>
      <selection pane="bottomLeft" activeCell="A10" sqref="A10"/>
      <selection pane="bottomRight"/>
    </sheetView>
  </sheetViews>
  <sheetFormatPr defaultColWidth="9.140625" defaultRowHeight="12.75"/>
  <cols>
    <col min="1" max="1" width="9.140625" style="7" hidden="1" customWidth="1"/>
    <col min="2" max="2" width="9.140625" style="7"/>
    <col min="3" max="4" width="9.140625" style="7" hidden="1" customWidth="1"/>
    <col min="5" max="5" width="33.5703125" style="7" bestFit="1" customWidth="1"/>
    <col min="6" max="6" width="38.42578125" style="7" bestFit="1" customWidth="1"/>
    <col min="7" max="7" width="30.7109375" style="7" bestFit="1" customWidth="1"/>
    <col min="8" max="8" width="15.85546875" style="7" bestFit="1" customWidth="1"/>
    <col min="9" max="9" width="1.7109375" customWidth="1"/>
    <col min="10" max="12" width="13.85546875" style="8" bestFit="1" customWidth="1"/>
    <col min="13" max="13" width="16.5703125" style="8" bestFit="1" customWidth="1"/>
    <col min="14" max="14" width="11.85546875" style="7" bestFit="1" customWidth="1"/>
    <col min="15" max="15" width="22.7109375" style="7" bestFit="1" customWidth="1"/>
    <col min="16" max="16" width="4.85546875" style="38" customWidth="1"/>
    <col min="17" max="17" width="13.85546875" style="7" bestFit="1" customWidth="1"/>
    <col min="18" max="18" width="15.42578125" style="7" bestFit="1" customWidth="1"/>
    <col min="19" max="19" width="13.85546875" style="7" bestFit="1" customWidth="1"/>
    <col min="20" max="20" width="16.5703125" style="7" bestFit="1" customWidth="1"/>
    <col min="21" max="21" width="22.7109375" style="7" bestFit="1" customWidth="1"/>
    <col min="22" max="22" width="9.140625" style="7" hidden="1" customWidth="1"/>
    <col min="23" max="16384" width="9.140625" style="7"/>
  </cols>
  <sheetData>
    <row r="1" spans="1:22" ht="12" hidden="1">
      <c r="A1" s="33" t="s">
        <v>1638</v>
      </c>
      <c r="B1" s="33"/>
      <c r="C1" s="33" t="s">
        <v>0</v>
      </c>
      <c r="D1" s="33" t="s">
        <v>0</v>
      </c>
      <c r="E1" s="33" t="s">
        <v>11</v>
      </c>
      <c r="F1" s="33" t="s">
        <v>11</v>
      </c>
      <c r="G1" s="33" t="s">
        <v>11</v>
      </c>
      <c r="H1" s="33" t="s">
        <v>139</v>
      </c>
      <c r="I1" s="33"/>
      <c r="J1" s="33" t="s">
        <v>11</v>
      </c>
      <c r="K1" s="33" t="s">
        <v>34</v>
      </c>
      <c r="L1" s="33" t="s">
        <v>34</v>
      </c>
      <c r="M1" s="33" t="s">
        <v>34</v>
      </c>
      <c r="N1" s="33" t="s">
        <v>11</v>
      </c>
      <c r="O1" s="33" t="s">
        <v>11</v>
      </c>
      <c r="P1" s="33"/>
      <c r="Q1" s="33" t="s">
        <v>139</v>
      </c>
      <c r="R1" s="33" t="s">
        <v>142</v>
      </c>
      <c r="S1" s="33" t="s">
        <v>142</v>
      </c>
      <c r="T1" s="33" t="s">
        <v>142</v>
      </c>
      <c r="U1" s="33" t="s">
        <v>139</v>
      </c>
      <c r="V1" s="33" t="s">
        <v>140</v>
      </c>
    </row>
    <row r="2" spans="1:22" ht="12" hidden="1">
      <c r="A2" s="34" t="s">
        <v>140</v>
      </c>
      <c r="B2" s="33"/>
      <c r="C2" s="33"/>
      <c r="D2" s="33"/>
      <c r="E2" s="33"/>
      <c r="F2" s="33"/>
      <c r="G2" s="33"/>
      <c r="H2" s="33"/>
      <c r="I2" s="33"/>
      <c r="J2" s="33" t="s">
        <v>403</v>
      </c>
      <c r="K2" s="33" t="s">
        <v>403</v>
      </c>
      <c r="L2" s="33" t="s">
        <v>403</v>
      </c>
      <c r="M2" s="33" t="s">
        <v>403</v>
      </c>
      <c r="N2" s="33"/>
      <c r="O2" s="33"/>
      <c r="P2" s="33"/>
      <c r="Q2" s="33" t="s">
        <v>403</v>
      </c>
      <c r="R2" s="33" t="s">
        <v>403</v>
      </c>
      <c r="S2" s="33" t="s">
        <v>403</v>
      </c>
      <c r="T2" s="33" t="s">
        <v>403</v>
      </c>
      <c r="U2" s="33"/>
      <c r="V2" s="33"/>
    </row>
    <row r="3" spans="1:22" ht="20.25">
      <c r="A3" s="34"/>
      <c r="E3" s="14" t="s">
        <v>4</v>
      </c>
    </row>
    <row r="4" spans="1:22">
      <c r="A4" s="34"/>
      <c r="E4" s="9"/>
    </row>
    <row r="5" spans="1:22">
      <c r="A5" s="34"/>
      <c r="E5" s="15" t="s">
        <v>6</v>
      </c>
      <c r="F5" s="16" t="str">
        <f>"DEPOT|NORTH|RETURNS|WAREHOUSE"</f>
        <v>DEPOT|NORTH|RETURNS|WAREHOUSE</v>
      </c>
      <c r="G5" s="16"/>
      <c r="H5" s="16"/>
      <c r="J5" s="17"/>
      <c r="K5" s="17"/>
      <c r="L5" s="17"/>
      <c r="M5" s="17"/>
      <c r="N5" s="16"/>
      <c r="O5" s="16"/>
      <c r="P5" s="39"/>
    </row>
    <row r="6" spans="1:22">
      <c r="A6" s="34"/>
      <c r="E6" s="15" t="s">
        <v>7</v>
      </c>
      <c r="F6" s="16" t="str">
        <f>"COMPONENTS..RM-STD"</f>
        <v>COMPONENTS..RM-STD</v>
      </c>
      <c r="G6" s="16"/>
      <c r="H6" s="16"/>
      <c r="J6" s="17"/>
      <c r="K6" s="17"/>
      <c r="L6" s="17"/>
      <c r="M6" s="17"/>
      <c r="N6" s="19" t="s">
        <v>8</v>
      </c>
      <c r="O6" s="20">
        <v>43368</v>
      </c>
      <c r="P6" s="40"/>
      <c r="Q6" s="20"/>
      <c r="R6" s="20"/>
      <c r="S6" s="20"/>
      <c r="T6" s="20"/>
      <c r="U6" s="20"/>
    </row>
    <row r="7" spans="1:22" ht="23.25" customHeight="1">
      <c r="A7" s="34"/>
      <c r="E7" s="16"/>
      <c r="F7" s="16"/>
      <c r="G7" s="16"/>
      <c r="H7" s="16"/>
      <c r="J7" s="57" t="s">
        <v>143</v>
      </c>
      <c r="K7" s="57"/>
      <c r="L7" s="57"/>
      <c r="M7" s="57"/>
      <c r="N7" s="57"/>
      <c r="O7" s="57"/>
      <c r="P7" s="47"/>
      <c r="Q7" s="58" t="s">
        <v>5</v>
      </c>
      <c r="R7" s="58"/>
      <c r="S7" s="58"/>
      <c r="T7" s="58"/>
      <c r="U7" s="58"/>
      <c r="V7" s="18"/>
    </row>
    <row r="8" spans="1:22" hidden="1">
      <c r="A8" s="33" t="s">
        <v>0</v>
      </c>
      <c r="E8" s="21" t="s">
        <v>9</v>
      </c>
      <c r="F8" s="21" t="s">
        <v>1</v>
      </c>
      <c r="G8" s="21" t="s">
        <v>17</v>
      </c>
      <c r="H8" s="21" t="s">
        <v>5</v>
      </c>
      <c r="I8" s="16"/>
      <c r="J8" s="16"/>
      <c r="K8" s="16"/>
      <c r="L8" s="16"/>
      <c r="M8" s="16"/>
      <c r="N8" s="16"/>
      <c r="O8" s="17"/>
      <c r="P8" s="41"/>
      <c r="Q8" s="17"/>
      <c r="R8" s="17"/>
      <c r="S8" s="17"/>
      <c r="T8" s="17"/>
      <c r="U8" s="17"/>
      <c r="V8" s="18"/>
    </row>
    <row r="9" spans="1:22" ht="15">
      <c r="A9" s="33"/>
      <c r="E9" s="29" t="s">
        <v>3</v>
      </c>
      <c r="F9" s="29" t="s">
        <v>1</v>
      </c>
      <c r="G9" s="29" t="s">
        <v>2</v>
      </c>
      <c r="H9" s="29" t="s">
        <v>5</v>
      </c>
      <c r="J9" s="29" t="str">
        <f>"DEPOT"</f>
        <v>DEPOT</v>
      </c>
      <c r="K9" s="29" t="str">
        <f>"NORTH"</f>
        <v>NORTH</v>
      </c>
      <c r="L9" s="29" t="str">
        <f>"RETURNS"</f>
        <v>RETURNS</v>
      </c>
      <c r="M9" s="29" t="str">
        <f>"WAREHOUSE"</f>
        <v>WAREHOUSE</v>
      </c>
      <c r="N9" s="29"/>
      <c r="O9" s="29" t="s">
        <v>101</v>
      </c>
      <c r="P9" s="42"/>
      <c r="Q9" s="29" t="str">
        <f>"DEPOT"</f>
        <v>DEPOT</v>
      </c>
      <c r="R9" s="29" t="str">
        <f>"NORTH"</f>
        <v>NORTH</v>
      </c>
      <c r="S9" s="29" t="str">
        <f>"RETURNS"</f>
        <v>RETURNS</v>
      </c>
      <c r="T9" s="29" t="str">
        <f>"WAREHOUSE"</f>
        <v>WAREHOUSE</v>
      </c>
      <c r="U9" s="29" t="s">
        <v>101</v>
      </c>
      <c r="V9" s="18"/>
    </row>
    <row r="10" spans="1:22" hidden="1">
      <c r="A10" s="33" t="s">
        <v>0</v>
      </c>
      <c r="C10" s="6" t="str">
        <f>D10</f>
        <v>COMPONENTS</v>
      </c>
      <c r="D10" s="10" t="str">
        <f>"COMPONENTS"</f>
        <v>COMPONENTS</v>
      </c>
      <c r="I10" s="7"/>
      <c r="J10" s="7"/>
      <c r="K10" s="7"/>
      <c r="L10" s="7"/>
      <c r="M10" s="7"/>
      <c r="P10" s="7"/>
      <c r="V10" s="18"/>
    </row>
    <row r="11" spans="1:22">
      <c r="A11" s="33"/>
      <c r="C11" s="6" t="str">
        <f>C10</f>
        <v>COMPONENTS</v>
      </c>
      <c r="D11" s="10" t="str">
        <f>"""GP Direct"",""Fabrikam, Inc."",""Jet Item by Location"",""Class Code"",""COMPONENTS"",""Item Number"",""3-A2440A"",""Item Description"",""Operating System"",""Current Cost"",""100.00000"""</f>
        <v>"GP Direct","Fabrikam, Inc.","Jet Item by Location","Class Code","COMPONENTS","Item Number","3-A2440A","Item Description","Operating System","Current Cost","100.00000"</v>
      </c>
      <c r="E11" s="16" t="str">
        <f t="shared" ref="E11:E25" si="0">"COMPONENTS"</f>
        <v>COMPONENTS</v>
      </c>
      <c r="F11" s="16" t="str">
        <f>"3-A2440A"</f>
        <v>3-A2440A</v>
      </c>
      <c r="G11" s="16" t="str">
        <f>"Operating System"</f>
        <v>Operating System</v>
      </c>
      <c r="H11" s="35">
        <v>100</v>
      </c>
      <c r="J11" s="23">
        <v>0</v>
      </c>
      <c r="K11" s="23"/>
      <c r="L11" s="23">
        <v>0</v>
      </c>
      <c r="M11" s="23">
        <v>0</v>
      </c>
      <c r="N11" s="23"/>
      <c r="O11" s="44">
        <f t="shared" ref="O11:O25" si="1">SUM(J11:N11)</f>
        <v>0</v>
      </c>
      <c r="P11" s="43"/>
      <c r="Q11" s="35">
        <v>0</v>
      </c>
      <c r="R11" s="35"/>
      <c r="S11" s="35">
        <v>0</v>
      </c>
      <c r="T11" s="35">
        <v>0</v>
      </c>
      <c r="U11" s="45">
        <f>SUM(Q11:Q11)</f>
        <v>0</v>
      </c>
      <c r="V11" s="18">
        <f>V9+1</f>
        <v>1</v>
      </c>
    </row>
    <row r="12" spans="1:22">
      <c r="A12" s="33" t="s">
        <v>35</v>
      </c>
      <c r="C12" s="6" t="str">
        <f t="shared" ref="C12:C25" si="2">C11</f>
        <v>COMPONENTS</v>
      </c>
      <c r="D12" s="10" t="str">
        <f>"""GP Direct"",""Fabrikam, Inc."",""Jet Item by Location"",""Class Code"",""COMPONENTS"",""Item Number"",""3-A2969A"",""Item Description"",""1 TB SCSI Raid"",""Current Cost"",""890.00000"""</f>
        <v>"GP Direct","Fabrikam, Inc.","Jet Item by Location","Class Code","COMPONENTS","Item Number","3-A2969A","Item Description","1 TB SCSI Raid","Current Cost","890.00000"</v>
      </c>
      <c r="E12" s="16" t="str">
        <f t="shared" si="0"/>
        <v>COMPONENTS</v>
      </c>
      <c r="F12" s="16" t="str">
        <f>"3-A2969A"</f>
        <v>3-A2969A</v>
      </c>
      <c r="G12" s="16" t="str">
        <f>"1 TB SCSI Raid"</f>
        <v>1 TB SCSI Raid</v>
      </c>
      <c r="H12" s="35">
        <v>890</v>
      </c>
      <c r="J12" s="23">
        <v>0</v>
      </c>
      <c r="K12" s="23"/>
      <c r="L12" s="23">
        <v>0</v>
      </c>
      <c r="M12" s="23">
        <v>0</v>
      </c>
      <c r="N12" s="23"/>
      <c r="O12" s="44">
        <f t="shared" si="1"/>
        <v>0</v>
      </c>
      <c r="P12" s="43"/>
      <c r="Q12" s="35">
        <v>0</v>
      </c>
      <c r="R12" s="35"/>
      <c r="S12" s="35">
        <v>0</v>
      </c>
      <c r="T12" s="35">
        <v>0</v>
      </c>
      <c r="U12" s="45">
        <f t="shared" ref="U12:U25" si="3">SUM(Q12:Q12)</f>
        <v>0</v>
      </c>
      <c r="V12" s="18">
        <f t="shared" ref="V12:V25" si="4">V10+1</f>
        <v>1</v>
      </c>
    </row>
    <row r="13" spans="1:22">
      <c r="A13" s="33" t="s">
        <v>35</v>
      </c>
      <c r="C13" s="6" t="str">
        <f t="shared" si="2"/>
        <v>COMPONENTS</v>
      </c>
      <c r="D13" s="10" t="str">
        <f>"""GP Direct"",""Fabrikam, Inc."",""Jet Item by Location"",""Class Code"",""COMPONENTS"",""Item Number"",""3-A2990A"",""Item Description"",""HSC 2 Expansion Slot"",""Current Cost"",""7250.00000"""</f>
        <v>"GP Direct","Fabrikam, Inc.","Jet Item by Location","Class Code","COMPONENTS","Item Number","3-A2990A","Item Description","HSC 2 Expansion Slot","Current Cost","7250.00000"</v>
      </c>
      <c r="E13" s="16" t="str">
        <f t="shared" si="0"/>
        <v>COMPONENTS</v>
      </c>
      <c r="F13" s="16" t="str">
        <f>"3-A2990A"</f>
        <v>3-A2990A</v>
      </c>
      <c r="G13" s="16" t="str">
        <f>"HSC 2 Expansion Slot"</f>
        <v>HSC 2 Expansion Slot</v>
      </c>
      <c r="H13" s="35">
        <v>7250</v>
      </c>
      <c r="J13" s="23">
        <v>0</v>
      </c>
      <c r="K13" s="23"/>
      <c r="L13" s="23">
        <v>0</v>
      </c>
      <c r="M13" s="23">
        <v>0</v>
      </c>
      <c r="N13" s="23"/>
      <c r="O13" s="44">
        <f t="shared" si="1"/>
        <v>0</v>
      </c>
      <c r="P13" s="43"/>
      <c r="Q13" s="35">
        <v>0</v>
      </c>
      <c r="R13" s="35"/>
      <c r="S13" s="35">
        <v>0</v>
      </c>
      <c r="T13" s="35">
        <v>0</v>
      </c>
      <c r="U13" s="45">
        <f t="shared" si="3"/>
        <v>0</v>
      </c>
      <c r="V13" s="18">
        <f t="shared" si="4"/>
        <v>2</v>
      </c>
    </row>
    <row r="14" spans="1:22">
      <c r="A14" s="33" t="s">
        <v>35</v>
      </c>
      <c r="C14" s="6" t="str">
        <f t="shared" si="2"/>
        <v>COMPONENTS</v>
      </c>
      <c r="D14" s="10" t="str">
        <f>"""GP Direct"",""Fabrikam, Inc."",""Jet Item by Location"",""Class Code"",""COMPONENTS"",""Item Number"",""3-A2998A"",""Item Description"",""Rackmount UPS"",""Current Cost"",""5900.00000"""</f>
        <v>"GP Direct","Fabrikam, Inc.","Jet Item by Location","Class Code","COMPONENTS","Item Number","3-A2998A","Item Description","Rackmount UPS","Current Cost","5900.00000"</v>
      </c>
      <c r="E14" s="16" t="str">
        <f t="shared" si="0"/>
        <v>COMPONENTS</v>
      </c>
      <c r="F14" s="16" t="str">
        <f>"3-A2998A"</f>
        <v>3-A2998A</v>
      </c>
      <c r="G14" s="16" t="str">
        <f>"Rackmount UPS"</f>
        <v>Rackmount UPS</v>
      </c>
      <c r="H14" s="35">
        <v>5900</v>
      </c>
      <c r="J14" s="23">
        <v>0</v>
      </c>
      <c r="K14" s="23"/>
      <c r="L14" s="23">
        <v>0</v>
      </c>
      <c r="M14" s="23">
        <v>0</v>
      </c>
      <c r="N14" s="23"/>
      <c r="O14" s="44">
        <f t="shared" si="1"/>
        <v>0</v>
      </c>
      <c r="P14" s="43"/>
      <c r="Q14" s="35">
        <v>0</v>
      </c>
      <c r="R14" s="35"/>
      <c r="S14" s="35">
        <v>0</v>
      </c>
      <c r="T14" s="35">
        <v>0</v>
      </c>
      <c r="U14" s="45">
        <f t="shared" si="3"/>
        <v>0</v>
      </c>
      <c r="V14" s="18">
        <f t="shared" si="4"/>
        <v>2</v>
      </c>
    </row>
    <row r="15" spans="1:22">
      <c r="A15" s="33" t="s">
        <v>35</v>
      </c>
      <c r="C15" s="6" t="str">
        <f t="shared" si="2"/>
        <v>COMPONENTS</v>
      </c>
      <c r="D15" s="10" t="str">
        <f>"""GP Direct"",""Fabrikam, Inc."",""Jet Item by Location"",""Class Code"",""COMPONENTS"",""Item Number"",""3-A3416A"",""Item Description"",""Internal CD-ROM Drive"",""Current Cost"",""850.00000"""</f>
        <v>"GP Direct","Fabrikam, Inc.","Jet Item by Location","Class Code","COMPONENTS","Item Number","3-A3416A","Item Description","Internal CD-ROM Drive","Current Cost","850.00000"</v>
      </c>
      <c r="E15" s="16" t="str">
        <f t="shared" si="0"/>
        <v>COMPONENTS</v>
      </c>
      <c r="F15" s="16" t="str">
        <f>"3-A3416A"</f>
        <v>3-A3416A</v>
      </c>
      <c r="G15" s="16" t="str">
        <f>"Internal CD-ROM Drive"</f>
        <v>Internal CD-ROM Drive</v>
      </c>
      <c r="H15" s="35">
        <v>850</v>
      </c>
      <c r="J15" s="23">
        <v>0</v>
      </c>
      <c r="K15" s="23"/>
      <c r="L15" s="23">
        <v>0</v>
      </c>
      <c r="M15" s="23">
        <v>0</v>
      </c>
      <c r="N15" s="23"/>
      <c r="O15" s="44">
        <f t="shared" si="1"/>
        <v>0</v>
      </c>
      <c r="P15" s="43"/>
      <c r="Q15" s="35">
        <v>0</v>
      </c>
      <c r="R15" s="35"/>
      <c r="S15" s="35">
        <v>0</v>
      </c>
      <c r="T15" s="35">
        <v>0</v>
      </c>
      <c r="U15" s="45">
        <f t="shared" si="3"/>
        <v>0</v>
      </c>
      <c r="V15" s="18">
        <f t="shared" si="4"/>
        <v>3</v>
      </c>
    </row>
    <row r="16" spans="1:22">
      <c r="A16" s="33" t="s">
        <v>35</v>
      </c>
      <c r="C16" s="6" t="str">
        <f t="shared" si="2"/>
        <v>COMPONENTS</v>
      </c>
      <c r="D16" s="10" t="str">
        <f>"""GP Direct"",""Fabrikam, Inc."",""Jet Item by Location"",""Class Code"",""COMPONENTS"",""Item Number"",""3-A3542A"",""Item Description"",""DDS Drive"",""Current Cost"",""3000.00000"""</f>
        <v>"GP Direct","Fabrikam, Inc.","Jet Item by Location","Class Code","COMPONENTS","Item Number","3-A3542A","Item Description","DDS Drive","Current Cost","3000.00000"</v>
      </c>
      <c r="E16" s="16" t="str">
        <f t="shared" si="0"/>
        <v>COMPONENTS</v>
      </c>
      <c r="F16" s="16" t="str">
        <f>"3-A3542A"</f>
        <v>3-A3542A</v>
      </c>
      <c r="G16" s="16" t="str">
        <f>"DDS Drive"</f>
        <v>DDS Drive</v>
      </c>
      <c r="H16" s="35">
        <v>3000</v>
      </c>
      <c r="J16" s="23">
        <v>1</v>
      </c>
      <c r="K16" s="23"/>
      <c r="L16" s="23">
        <v>0</v>
      </c>
      <c r="M16" s="23">
        <v>10</v>
      </c>
      <c r="N16" s="23"/>
      <c r="O16" s="44">
        <f t="shared" si="1"/>
        <v>11</v>
      </c>
      <c r="P16" s="43"/>
      <c r="Q16" s="35">
        <v>3000</v>
      </c>
      <c r="R16" s="35"/>
      <c r="S16" s="35">
        <v>0</v>
      </c>
      <c r="T16" s="35">
        <v>30000</v>
      </c>
      <c r="U16" s="45">
        <f t="shared" si="3"/>
        <v>3000</v>
      </c>
      <c r="V16" s="18">
        <f t="shared" si="4"/>
        <v>3</v>
      </c>
    </row>
    <row r="17" spans="1:22">
      <c r="A17" s="33" t="s">
        <v>35</v>
      </c>
      <c r="C17" s="6" t="str">
        <f t="shared" si="2"/>
        <v>COMPONENTS</v>
      </c>
      <c r="D17" s="10" t="str">
        <f>"""GP Direct"",""Fabrikam, Inc."",""Jet Item by Location"",""Class Code"",""COMPONENTS"",""Item Number"",""3-B3813A"",""Item Description"",""Keyboard"",""Current Cost"",""50.00000"""</f>
        <v>"GP Direct","Fabrikam, Inc.","Jet Item by Location","Class Code","COMPONENTS","Item Number","3-B3813A","Item Description","Keyboard","Current Cost","50.00000"</v>
      </c>
      <c r="E17" s="16" t="str">
        <f t="shared" si="0"/>
        <v>COMPONENTS</v>
      </c>
      <c r="F17" s="16" t="str">
        <f>"3-B3813A"</f>
        <v>3-B3813A</v>
      </c>
      <c r="G17" s="16" t="str">
        <f>"Keyboard"</f>
        <v>Keyboard</v>
      </c>
      <c r="H17" s="35">
        <v>50</v>
      </c>
      <c r="J17" s="23">
        <v>1</v>
      </c>
      <c r="K17" s="23"/>
      <c r="L17" s="23">
        <v>2</v>
      </c>
      <c r="M17" s="23">
        <v>96</v>
      </c>
      <c r="N17" s="23"/>
      <c r="O17" s="44">
        <f t="shared" si="1"/>
        <v>99</v>
      </c>
      <c r="P17" s="43"/>
      <c r="Q17" s="35">
        <v>50</v>
      </c>
      <c r="R17" s="35"/>
      <c r="S17" s="35">
        <v>100</v>
      </c>
      <c r="T17" s="35">
        <v>4800</v>
      </c>
      <c r="U17" s="45">
        <f t="shared" si="3"/>
        <v>50</v>
      </c>
      <c r="V17" s="18">
        <f t="shared" si="4"/>
        <v>4</v>
      </c>
    </row>
    <row r="18" spans="1:22">
      <c r="A18" s="33" t="s">
        <v>35</v>
      </c>
      <c r="C18" s="6" t="str">
        <f t="shared" si="2"/>
        <v>COMPONENTS</v>
      </c>
      <c r="D18" s="10" t="str">
        <f>"""GP Direct"",""Fabrikam, Inc."",""Jet Item by Location"",""Class Code"",""COMPONENTS"",""Item Number"",""3-B3897A"",""Item Description"",""CD-ROM Media"",""Current Cost"",""400.00000"""</f>
        <v>"GP Direct","Fabrikam, Inc.","Jet Item by Location","Class Code","COMPONENTS","Item Number","3-B3897A","Item Description","CD-ROM Media","Current Cost","400.00000"</v>
      </c>
      <c r="E18" s="16" t="str">
        <f t="shared" si="0"/>
        <v>COMPONENTS</v>
      </c>
      <c r="F18" s="16" t="str">
        <f>"3-B3897A"</f>
        <v>3-B3897A</v>
      </c>
      <c r="G18" s="16" t="str">
        <f>"CD-ROM Media"</f>
        <v>CD-ROM Media</v>
      </c>
      <c r="H18" s="35">
        <v>400</v>
      </c>
      <c r="J18" s="23">
        <v>0</v>
      </c>
      <c r="K18" s="23"/>
      <c r="L18" s="23">
        <v>0</v>
      </c>
      <c r="M18" s="23">
        <v>0</v>
      </c>
      <c r="N18" s="23"/>
      <c r="O18" s="44">
        <f t="shared" si="1"/>
        <v>0</v>
      </c>
      <c r="P18" s="43"/>
      <c r="Q18" s="35">
        <v>0</v>
      </c>
      <c r="R18" s="35"/>
      <c r="S18" s="35">
        <v>0</v>
      </c>
      <c r="T18" s="35">
        <v>0</v>
      </c>
      <c r="U18" s="45">
        <f t="shared" si="3"/>
        <v>0</v>
      </c>
      <c r="V18" s="18">
        <f t="shared" si="4"/>
        <v>4</v>
      </c>
    </row>
    <row r="19" spans="1:22">
      <c r="A19" s="33" t="s">
        <v>35</v>
      </c>
      <c r="C19" s="6" t="str">
        <f t="shared" si="2"/>
        <v>COMPONENTS</v>
      </c>
      <c r="D19" s="10" t="str">
        <f>"""GP Direct"",""Fabrikam, Inc."",""Jet Item by Location"",""Class Code"",""COMPONENTS"",""Item Number"",""3-C2804A"",""Item Description"",""Rackmount Kit"",""Current Cost"",""700.00000"""</f>
        <v>"GP Direct","Fabrikam, Inc.","Jet Item by Location","Class Code","COMPONENTS","Item Number","3-C2804A","Item Description","Rackmount Kit","Current Cost","700.00000"</v>
      </c>
      <c r="E19" s="16" t="str">
        <f t="shared" si="0"/>
        <v>COMPONENTS</v>
      </c>
      <c r="F19" s="16" t="str">
        <f>"3-C2804A"</f>
        <v>3-C2804A</v>
      </c>
      <c r="G19" s="16" t="str">
        <f>"Rackmount Kit"</f>
        <v>Rackmount Kit</v>
      </c>
      <c r="H19" s="35">
        <v>700</v>
      </c>
      <c r="J19" s="23">
        <v>0</v>
      </c>
      <c r="K19" s="23"/>
      <c r="L19" s="23">
        <v>0</v>
      </c>
      <c r="M19" s="23">
        <v>0</v>
      </c>
      <c r="N19" s="23"/>
      <c r="O19" s="44">
        <f t="shared" si="1"/>
        <v>0</v>
      </c>
      <c r="P19" s="43"/>
      <c r="Q19" s="35">
        <v>0</v>
      </c>
      <c r="R19" s="35"/>
      <c r="S19" s="35">
        <v>0</v>
      </c>
      <c r="T19" s="35">
        <v>0</v>
      </c>
      <c r="U19" s="45">
        <f t="shared" si="3"/>
        <v>0</v>
      </c>
      <c r="V19" s="18">
        <f t="shared" si="4"/>
        <v>5</v>
      </c>
    </row>
    <row r="20" spans="1:22">
      <c r="A20" s="33" t="s">
        <v>35</v>
      </c>
      <c r="C20" s="6" t="str">
        <f t="shared" si="2"/>
        <v>COMPONENTS</v>
      </c>
      <c r="D20" s="10" t="str">
        <f>"""GP Direct"",""Fabrikam, Inc."",""Jet Item by Location"",""Class Code"",""COMPONENTS"",""Item Number"",""3-C2924A"",""Item Description"",""SCSI Cable"",""Current Cost"",""90.00000"""</f>
        <v>"GP Direct","Fabrikam, Inc.","Jet Item by Location","Class Code","COMPONENTS","Item Number","3-C2924A","Item Description","SCSI Cable","Current Cost","90.00000"</v>
      </c>
      <c r="E20" s="16" t="str">
        <f t="shared" si="0"/>
        <v>COMPONENTS</v>
      </c>
      <c r="F20" s="16" t="str">
        <f>"3-C2924A"</f>
        <v>3-C2924A</v>
      </c>
      <c r="G20" s="16" t="str">
        <f>"SCSI Cable"</f>
        <v>SCSI Cable</v>
      </c>
      <c r="H20" s="35">
        <v>90</v>
      </c>
      <c r="J20" s="23">
        <v>0</v>
      </c>
      <c r="K20" s="23"/>
      <c r="L20" s="23">
        <v>0</v>
      </c>
      <c r="M20" s="23">
        <v>27</v>
      </c>
      <c r="N20" s="23"/>
      <c r="O20" s="44">
        <f t="shared" si="1"/>
        <v>27</v>
      </c>
      <c r="P20" s="43"/>
      <c r="Q20" s="35">
        <v>0</v>
      </c>
      <c r="R20" s="35"/>
      <c r="S20" s="35">
        <v>0</v>
      </c>
      <c r="T20" s="35">
        <v>2430</v>
      </c>
      <c r="U20" s="45">
        <f t="shared" si="3"/>
        <v>0</v>
      </c>
      <c r="V20" s="18">
        <f t="shared" si="4"/>
        <v>5</v>
      </c>
    </row>
    <row r="21" spans="1:22">
      <c r="A21" s="33" t="s">
        <v>35</v>
      </c>
      <c r="C21" s="6" t="str">
        <f t="shared" si="2"/>
        <v>COMPONENTS</v>
      </c>
      <c r="D21" s="10" t="str">
        <f>"""GP Direct"",""Fabrikam, Inc."",""Jet Item by Location"",""Class Code"",""COMPONENTS"",""Item Number"",""3-D2657A"",""Item Description"",""Male Adapter"",""Current Cost"",""5.00000"""</f>
        <v>"GP Direct","Fabrikam, Inc.","Jet Item by Location","Class Code","COMPONENTS","Item Number","3-D2657A","Item Description","Male Adapter","Current Cost","5.00000"</v>
      </c>
      <c r="E21" s="16" t="str">
        <f t="shared" si="0"/>
        <v>COMPONENTS</v>
      </c>
      <c r="F21" s="16" t="str">
        <f>"3-D2657A"</f>
        <v>3-D2657A</v>
      </c>
      <c r="G21" s="16" t="str">
        <f>"Male Adapter"</f>
        <v>Male Adapter</v>
      </c>
      <c r="H21" s="35">
        <v>5</v>
      </c>
      <c r="J21" s="23">
        <v>0</v>
      </c>
      <c r="K21" s="23"/>
      <c r="L21" s="23">
        <v>0</v>
      </c>
      <c r="M21" s="23">
        <v>130</v>
      </c>
      <c r="N21" s="23"/>
      <c r="O21" s="44">
        <f t="shared" si="1"/>
        <v>130</v>
      </c>
      <c r="P21" s="43"/>
      <c r="Q21" s="35">
        <v>0</v>
      </c>
      <c r="R21" s="35"/>
      <c r="S21" s="35">
        <v>0</v>
      </c>
      <c r="T21" s="35">
        <v>650</v>
      </c>
      <c r="U21" s="45">
        <f t="shared" si="3"/>
        <v>0</v>
      </c>
      <c r="V21" s="18">
        <f t="shared" si="4"/>
        <v>6</v>
      </c>
    </row>
    <row r="22" spans="1:22">
      <c r="A22" s="33" t="s">
        <v>35</v>
      </c>
      <c r="C22" s="6" t="str">
        <f t="shared" si="2"/>
        <v>COMPONENTS</v>
      </c>
      <c r="D22" s="10" t="str">
        <f>"""GP Direct"",""Fabrikam, Inc."",""Jet Item by Location"",""Class Code"",""COMPONENTS"",""Item Number"",""3-D2659A"",""Item Description"",""Female Adapter"",""Current Cost"",""5.00000"""</f>
        <v>"GP Direct","Fabrikam, Inc.","Jet Item by Location","Class Code","COMPONENTS","Item Number","3-D2659A","Item Description","Female Adapter","Current Cost","5.00000"</v>
      </c>
      <c r="E22" s="16" t="str">
        <f t="shared" si="0"/>
        <v>COMPONENTS</v>
      </c>
      <c r="F22" s="16" t="str">
        <f>"3-D2659A"</f>
        <v>3-D2659A</v>
      </c>
      <c r="G22" s="16" t="str">
        <f>"Female Adapter"</f>
        <v>Female Adapter</v>
      </c>
      <c r="H22" s="35">
        <v>5</v>
      </c>
      <c r="J22" s="23">
        <v>0</v>
      </c>
      <c r="K22" s="23"/>
      <c r="L22" s="23">
        <v>0</v>
      </c>
      <c r="M22" s="23">
        <v>130</v>
      </c>
      <c r="N22" s="23"/>
      <c r="O22" s="44">
        <f t="shared" si="1"/>
        <v>130</v>
      </c>
      <c r="P22" s="43"/>
      <c r="Q22" s="35">
        <v>0</v>
      </c>
      <c r="R22" s="35"/>
      <c r="S22" s="35">
        <v>0</v>
      </c>
      <c r="T22" s="35">
        <v>650</v>
      </c>
      <c r="U22" s="45">
        <f t="shared" si="3"/>
        <v>0</v>
      </c>
      <c r="V22" s="18">
        <f t="shared" si="4"/>
        <v>6</v>
      </c>
    </row>
    <row r="23" spans="1:22">
      <c r="A23" s="33" t="s">
        <v>35</v>
      </c>
      <c r="C23" s="6" t="str">
        <f t="shared" si="2"/>
        <v>COMPONENTS</v>
      </c>
      <c r="D23" s="10" t="str">
        <f>"""GP Direct"",""Fabrikam, Inc."",""Jet Item by Location"",""Class Code"",""COMPONENTS"",""Item Number"",""3-E4471A"",""Item Description"",""Extractor Fan"",""Current Cost"",""100.00000"""</f>
        <v>"GP Direct","Fabrikam, Inc.","Jet Item by Location","Class Code","COMPONENTS","Item Number","3-E4471A","Item Description","Extractor Fan","Current Cost","100.00000"</v>
      </c>
      <c r="E23" s="16" t="str">
        <f t="shared" si="0"/>
        <v>COMPONENTS</v>
      </c>
      <c r="F23" s="16" t="str">
        <f>"3-E4471A"</f>
        <v>3-E4471A</v>
      </c>
      <c r="G23" s="16" t="str">
        <f>"Extractor Fan"</f>
        <v>Extractor Fan</v>
      </c>
      <c r="H23" s="35">
        <v>100</v>
      </c>
      <c r="J23" s="23">
        <v>7</v>
      </c>
      <c r="K23" s="23"/>
      <c r="L23" s="23">
        <v>0</v>
      </c>
      <c r="M23" s="23">
        <v>47</v>
      </c>
      <c r="N23" s="23"/>
      <c r="O23" s="44">
        <f t="shared" si="1"/>
        <v>54</v>
      </c>
      <c r="P23" s="43"/>
      <c r="Q23" s="35">
        <v>700</v>
      </c>
      <c r="R23" s="35"/>
      <c r="S23" s="35">
        <v>0</v>
      </c>
      <c r="T23" s="35">
        <v>4700</v>
      </c>
      <c r="U23" s="45">
        <f t="shared" si="3"/>
        <v>700</v>
      </c>
      <c r="V23" s="18">
        <f t="shared" si="4"/>
        <v>7</v>
      </c>
    </row>
    <row r="24" spans="1:22">
      <c r="A24" s="33" t="s">
        <v>35</v>
      </c>
      <c r="C24" s="6" t="str">
        <f t="shared" si="2"/>
        <v>COMPONENTS</v>
      </c>
      <c r="D24" s="10" t="str">
        <f>"""GP Direct"",""Fabrikam, Inc."",""Jet Item by Location"",""Class Code"",""COMPONENTS"",""Item Number"",""3-E4472A"",""Item Description"",""Power Dist Unit Installation Kit"",""Current Cost"",""50.00000"""</f>
        <v>"GP Direct","Fabrikam, Inc.","Jet Item by Location","Class Code","COMPONENTS","Item Number","3-E4472A","Item Description","Power Dist Unit Installation Kit","Current Cost","50.00000"</v>
      </c>
      <c r="E24" s="16" t="str">
        <f t="shared" si="0"/>
        <v>COMPONENTS</v>
      </c>
      <c r="F24" s="16" t="str">
        <f>"3-E4472A"</f>
        <v>3-E4472A</v>
      </c>
      <c r="G24" s="16" t="str">
        <f>"Power Dist Unit Installation Kit"</f>
        <v>Power Dist Unit Installation Kit</v>
      </c>
      <c r="H24" s="35">
        <v>50</v>
      </c>
      <c r="J24" s="23">
        <v>0</v>
      </c>
      <c r="K24" s="23"/>
      <c r="L24" s="23">
        <v>0</v>
      </c>
      <c r="M24" s="23">
        <v>0</v>
      </c>
      <c r="N24" s="23"/>
      <c r="O24" s="44">
        <f t="shared" si="1"/>
        <v>0</v>
      </c>
      <c r="P24" s="43"/>
      <c r="Q24" s="35">
        <v>0</v>
      </c>
      <c r="R24" s="35"/>
      <c r="S24" s="35">
        <v>0</v>
      </c>
      <c r="T24" s="35">
        <v>0</v>
      </c>
      <c r="U24" s="45">
        <f t="shared" si="3"/>
        <v>0</v>
      </c>
      <c r="V24" s="18">
        <f t="shared" si="4"/>
        <v>7</v>
      </c>
    </row>
    <row r="25" spans="1:22">
      <c r="A25" s="33" t="s">
        <v>35</v>
      </c>
      <c r="C25" s="6" t="str">
        <f t="shared" si="2"/>
        <v>COMPONENTS</v>
      </c>
      <c r="D25" s="10" t="str">
        <f>"""GP Direct"",""Fabrikam, Inc."",""Jet Item by Location"",""Class Code"",""COMPONENTS"",""Item Number"",""3-E4592A"",""Item Description"",""SurgeArrest Plus"",""Current Cost"",""60.00000"""</f>
        <v>"GP Direct","Fabrikam, Inc.","Jet Item by Location","Class Code","COMPONENTS","Item Number","3-E4592A","Item Description","SurgeArrest Plus","Current Cost","60.00000"</v>
      </c>
      <c r="E25" s="16" t="str">
        <f t="shared" si="0"/>
        <v>COMPONENTS</v>
      </c>
      <c r="F25" s="16" t="str">
        <f>"3-E4592A"</f>
        <v>3-E4592A</v>
      </c>
      <c r="G25" s="16" t="str">
        <f>"SurgeArrest Plus"</f>
        <v>SurgeArrest Plus</v>
      </c>
      <c r="H25" s="35">
        <v>60</v>
      </c>
      <c r="J25" s="23">
        <v>0</v>
      </c>
      <c r="K25" s="23"/>
      <c r="L25" s="23">
        <v>0</v>
      </c>
      <c r="M25" s="23">
        <v>92</v>
      </c>
      <c r="N25" s="23"/>
      <c r="O25" s="44">
        <f t="shared" si="1"/>
        <v>92</v>
      </c>
      <c r="P25" s="43"/>
      <c r="Q25" s="35">
        <v>0</v>
      </c>
      <c r="R25" s="35"/>
      <c r="S25" s="35">
        <v>0</v>
      </c>
      <c r="T25" s="35">
        <v>5520</v>
      </c>
      <c r="U25" s="45">
        <f t="shared" si="3"/>
        <v>0</v>
      </c>
      <c r="V25" s="18">
        <f t="shared" si="4"/>
        <v>8</v>
      </c>
    </row>
    <row r="26" spans="1:22" hidden="1">
      <c r="A26" s="33" t="s">
        <v>0</v>
      </c>
      <c r="C26" s="6" t="str">
        <f>C11</f>
        <v>COMPONENTS</v>
      </c>
      <c r="D26" s="10"/>
      <c r="E26" s="16"/>
      <c r="F26" s="16"/>
      <c r="G26" s="16"/>
      <c r="H26" s="22"/>
      <c r="J26" s="23"/>
      <c r="K26" s="23"/>
      <c r="L26" s="23"/>
      <c r="M26" s="23"/>
      <c r="N26" s="23"/>
      <c r="O26" s="44"/>
      <c r="P26" s="43"/>
      <c r="Q26" s="23"/>
      <c r="R26" s="23"/>
      <c r="S26" s="23"/>
      <c r="T26" s="23"/>
      <c r="U26" s="44"/>
      <c r="V26" s="18"/>
    </row>
    <row r="27" spans="1:22">
      <c r="A27" s="34"/>
      <c r="C27" s="6" t="str">
        <f>C26</f>
        <v>COMPONENTS</v>
      </c>
      <c r="D27" s="10"/>
      <c r="E27" s="30" t="str">
        <f>"Total For:  "&amp;$C27</f>
        <v>Total For:  COMPONENTS</v>
      </c>
      <c r="F27" s="31"/>
      <c r="G27" s="31"/>
      <c r="H27" s="31"/>
      <c r="J27" s="46">
        <f>SUBTOTAL(9, J11:J26)</f>
        <v>9</v>
      </c>
      <c r="K27" s="46">
        <f>SUBTOTAL(9, K11:K26)</f>
        <v>0</v>
      </c>
      <c r="L27" s="46">
        <f>SUBTOTAL(9, L11:L26)</f>
        <v>2</v>
      </c>
      <c r="M27" s="46">
        <f>SUBTOTAL(9, M11:M26)</f>
        <v>532</v>
      </c>
      <c r="N27" s="46"/>
      <c r="O27" s="49">
        <f>SUBTOTAL(9, O11:O26)</f>
        <v>543</v>
      </c>
      <c r="P27" s="37"/>
      <c r="Q27" s="32"/>
      <c r="R27" s="32"/>
      <c r="S27" s="32"/>
      <c r="T27" s="32"/>
      <c r="U27" s="48">
        <f>SUBTOTAL(9, U11:U26)</f>
        <v>3750</v>
      </c>
      <c r="V27" s="18"/>
    </row>
    <row r="28" spans="1:22">
      <c r="A28" s="34"/>
      <c r="D28" s="11"/>
      <c r="E28" s="24"/>
      <c r="F28" s="16"/>
      <c r="G28" s="16"/>
      <c r="H28" s="12"/>
      <c r="J28" s="13"/>
      <c r="K28" s="13"/>
      <c r="L28" s="13"/>
      <c r="M28" s="13"/>
      <c r="N28" s="13"/>
      <c r="O28" s="13"/>
      <c r="P28" s="37"/>
      <c r="Q28" s="13"/>
      <c r="R28" s="13"/>
      <c r="S28" s="13"/>
      <c r="T28" s="13"/>
      <c r="U28" s="13"/>
      <c r="V28" s="18"/>
    </row>
    <row r="29" spans="1:22" hidden="1">
      <c r="A29" s="33" t="s">
        <v>33</v>
      </c>
      <c r="C29" s="6" t="str">
        <f t="shared" ref="C29" si="5">D29</f>
        <v>FG-ACT</v>
      </c>
      <c r="D29" s="10" t="str">
        <f>"FG-ACT"</f>
        <v>FG-ACT</v>
      </c>
      <c r="I29" s="7"/>
      <c r="J29" s="7"/>
      <c r="K29" s="7"/>
      <c r="L29" s="7"/>
      <c r="M29" s="7"/>
      <c r="P29" s="7"/>
      <c r="V29" s="18"/>
    </row>
    <row r="30" spans="1:22">
      <c r="A30" s="33" t="s">
        <v>35</v>
      </c>
      <c r="C30" s="6" t="str">
        <f t="shared" ref="C30:C32" si="6">C29</f>
        <v>FG-ACT</v>
      </c>
      <c r="D30" s="10" t="str">
        <f>"""GP Direct"",""Fabrikam, Inc."",""Jet Item by Location"",""Class Code"",""FG-ACT"",""Item Number"",""PEN"",""Item Description"",""Fancy pen"",""Current Cost"",""3.99000"""</f>
        <v>"GP Direct","Fabrikam, Inc.","Jet Item by Location","Class Code","FG-ACT","Item Number","PEN","Item Description","Fancy pen","Current Cost","3.99000"</v>
      </c>
      <c r="E30" s="16" t="str">
        <f>"FG-ACT"</f>
        <v>FG-ACT</v>
      </c>
      <c r="F30" s="16" t="str">
        <f>"PEN"</f>
        <v>PEN</v>
      </c>
      <c r="G30" s="16" t="str">
        <f>"Fancy pen"</f>
        <v>Fancy pen</v>
      </c>
      <c r="H30" s="35">
        <v>3.99</v>
      </c>
      <c r="J30" s="23"/>
      <c r="K30" s="23"/>
      <c r="L30" s="23"/>
      <c r="M30" s="23">
        <v>3</v>
      </c>
      <c r="N30" s="23"/>
      <c r="O30" s="44">
        <f>SUM(J30:N30)</f>
        <v>3</v>
      </c>
      <c r="P30" s="43"/>
      <c r="Q30" s="35"/>
      <c r="R30" s="35"/>
      <c r="S30" s="35"/>
      <c r="T30" s="35">
        <v>11.97</v>
      </c>
      <c r="U30" s="45">
        <f t="shared" ref="U30" si="7">SUM(Q30:Q30)</f>
        <v>0</v>
      </c>
      <c r="V30" s="18">
        <f t="shared" ref="V30" si="8">V28+1</f>
        <v>1</v>
      </c>
    </row>
    <row r="31" spans="1:22" hidden="1">
      <c r="A31" s="33" t="s">
        <v>33</v>
      </c>
      <c r="C31" s="6" t="str">
        <f t="shared" si="6"/>
        <v>FG-ACT</v>
      </c>
      <c r="D31" s="10"/>
      <c r="E31" s="16"/>
      <c r="F31" s="16"/>
      <c r="G31" s="16"/>
      <c r="H31" s="22"/>
      <c r="J31" s="23"/>
      <c r="K31" s="23"/>
      <c r="L31" s="23"/>
      <c r="M31" s="23"/>
      <c r="N31" s="23"/>
      <c r="O31" s="44"/>
      <c r="P31" s="43"/>
      <c r="Q31" s="23"/>
      <c r="R31" s="23"/>
      <c r="S31" s="23"/>
      <c r="T31" s="23"/>
      <c r="U31" s="44"/>
      <c r="V31" s="18"/>
    </row>
    <row r="32" spans="1:22">
      <c r="A32" s="34" t="s">
        <v>35</v>
      </c>
      <c r="C32" s="6" t="str">
        <f t="shared" si="6"/>
        <v>FG-ACT</v>
      </c>
      <c r="D32" s="10"/>
      <c r="E32" s="30" t="str">
        <f>"Total For:  "&amp;$C32</f>
        <v>Total For:  FG-ACT</v>
      </c>
      <c r="F32" s="31"/>
      <c r="G32" s="31"/>
      <c r="H32" s="31"/>
      <c r="J32" s="46">
        <f>SUBTOTAL(9, J30:J31)</f>
        <v>0</v>
      </c>
      <c r="K32" s="46">
        <f>SUBTOTAL(9, K30:K31)</f>
        <v>0</v>
      </c>
      <c r="L32" s="46">
        <f>SUBTOTAL(9, L30:L31)</f>
        <v>0</v>
      </c>
      <c r="M32" s="46">
        <f>SUBTOTAL(9, M30:M31)</f>
        <v>3</v>
      </c>
      <c r="N32" s="46"/>
      <c r="O32" s="49">
        <f>SUBTOTAL(9, O30:O31)</f>
        <v>3</v>
      </c>
      <c r="P32" s="37"/>
      <c r="Q32" s="32"/>
      <c r="R32" s="32"/>
      <c r="S32" s="32"/>
      <c r="T32" s="32"/>
      <c r="U32" s="48">
        <f t="shared" ref="U32" si="9">SUBTOTAL(9, U30:U31)</f>
        <v>0</v>
      </c>
      <c r="V32" s="18"/>
    </row>
    <row r="33" spans="1:22">
      <c r="A33" s="34" t="s">
        <v>35</v>
      </c>
      <c r="D33" s="11"/>
      <c r="E33" s="24"/>
      <c r="F33" s="16"/>
      <c r="G33" s="16"/>
      <c r="H33" s="12"/>
      <c r="J33" s="13"/>
      <c r="K33" s="13"/>
      <c r="L33" s="13"/>
      <c r="M33" s="13"/>
      <c r="N33" s="13"/>
      <c r="O33" s="13"/>
      <c r="P33" s="37"/>
      <c r="Q33" s="13"/>
      <c r="R33" s="13"/>
      <c r="S33" s="13"/>
      <c r="T33" s="13"/>
      <c r="U33" s="13"/>
      <c r="V33" s="18"/>
    </row>
    <row r="34" spans="1:22" hidden="1">
      <c r="A34" s="33" t="s">
        <v>33</v>
      </c>
      <c r="C34" s="6" t="str">
        <f t="shared" ref="C34" si="10">D34</f>
        <v>FG-STD</v>
      </c>
      <c r="D34" s="10" t="str">
        <f>"FG-STD"</f>
        <v>FG-STD</v>
      </c>
      <c r="I34" s="7"/>
      <c r="J34" s="7"/>
      <c r="K34" s="7"/>
      <c r="L34" s="7"/>
      <c r="M34" s="7"/>
      <c r="P34" s="7"/>
      <c r="V34" s="18"/>
    </row>
    <row r="35" spans="1:22">
      <c r="A35" s="33" t="s">
        <v>35</v>
      </c>
      <c r="C35" s="6" t="str">
        <f t="shared" ref="C35:C38" si="11">C34</f>
        <v>FG-STD</v>
      </c>
      <c r="D35" s="10" t="str">
        <f>"""GP Direct"",""Fabrikam, Inc."",""Jet Item by Location"",""Class Code"",""FG-STD"",""Item Number"",""CHAIR"",""Item Description"",""Standard wooden chair"",""Current Cost"",""0.00000"""</f>
        <v>"GP Direct","Fabrikam, Inc.","Jet Item by Location","Class Code","FG-STD","Item Number","CHAIR","Item Description","Standard wooden chair","Current Cost","0.00000"</v>
      </c>
      <c r="E35" s="16" t="str">
        <f>"FG-STD"</f>
        <v>FG-STD</v>
      </c>
      <c r="F35" s="16" t="str">
        <f>"CHAIR"</f>
        <v>CHAIR</v>
      </c>
      <c r="G35" s="16" t="str">
        <f>"Standard wooden chair"</f>
        <v>Standard wooden chair</v>
      </c>
      <c r="H35" s="35">
        <v>0</v>
      </c>
      <c r="J35" s="23"/>
      <c r="K35" s="23"/>
      <c r="L35" s="23"/>
      <c r="M35" s="23">
        <v>0</v>
      </c>
      <c r="N35" s="23"/>
      <c r="O35" s="44">
        <f>SUM(J35:N35)</f>
        <v>0</v>
      </c>
      <c r="P35" s="43"/>
      <c r="Q35" s="35"/>
      <c r="R35" s="35"/>
      <c r="S35" s="35"/>
      <c r="T35" s="35">
        <v>0</v>
      </c>
      <c r="U35" s="45">
        <f t="shared" ref="U35" si="12">SUM(Q35:Q35)</f>
        <v>0</v>
      </c>
      <c r="V35" s="18">
        <f t="shared" ref="V35:V36" si="13">V33+1</f>
        <v>1</v>
      </c>
    </row>
    <row r="36" spans="1:22">
      <c r="A36" s="33" t="s">
        <v>35</v>
      </c>
      <c r="C36" s="6" t="str">
        <f t="shared" ref="C36" si="14">C35</f>
        <v>FG-STD</v>
      </c>
      <c r="D36" s="10" t="str">
        <f>"""GP Direct"",""Fabrikam, Inc."",""Jet Item by Location"",""Class Code"",""FG-STD"",""Item Number"",""WATCH"",""Item Description"",""Custom watch"",""Current Cost"",""0.00000"""</f>
        <v>"GP Direct","Fabrikam, Inc.","Jet Item by Location","Class Code","FG-STD","Item Number","WATCH","Item Description","Custom watch","Current Cost","0.00000"</v>
      </c>
      <c r="E36" s="16" t="str">
        <f>"FG-STD"</f>
        <v>FG-STD</v>
      </c>
      <c r="F36" s="16" t="str">
        <f>"WATCH"</f>
        <v>WATCH</v>
      </c>
      <c r="G36" s="16" t="str">
        <f>"Custom watch"</f>
        <v>Custom watch</v>
      </c>
      <c r="H36" s="35">
        <v>0</v>
      </c>
      <c r="J36" s="23"/>
      <c r="K36" s="23"/>
      <c r="L36" s="23"/>
      <c r="M36" s="23">
        <v>0</v>
      </c>
      <c r="N36" s="23"/>
      <c r="O36" s="44">
        <f>SUM(J36:N36)</f>
        <v>0</v>
      </c>
      <c r="P36" s="43"/>
      <c r="Q36" s="35"/>
      <c r="R36" s="35"/>
      <c r="S36" s="35"/>
      <c r="T36" s="35">
        <v>0</v>
      </c>
      <c r="U36" s="45">
        <f t="shared" ref="U36" si="15">SUM(Q36:Q36)</f>
        <v>0</v>
      </c>
      <c r="V36" s="18">
        <f t="shared" si="13"/>
        <v>1</v>
      </c>
    </row>
    <row r="37" spans="1:22" hidden="1">
      <c r="A37" s="33" t="s">
        <v>33</v>
      </c>
      <c r="C37" s="6" t="str">
        <f>C35</f>
        <v>FG-STD</v>
      </c>
      <c r="D37" s="10"/>
      <c r="E37" s="16"/>
      <c r="F37" s="16"/>
      <c r="G37" s="16"/>
      <c r="H37" s="22"/>
      <c r="J37" s="23"/>
      <c r="K37" s="23"/>
      <c r="L37" s="23"/>
      <c r="M37" s="23"/>
      <c r="N37" s="23"/>
      <c r="O37" s="44"/>
      <c r="P37" s="43"/>
      <c r="Q37" s="23"/>
      <c r="R37" s="23"/>
      <c r="S37" s="23"/>
      <c r="T37" s="23"/>
      <c r="U37" s="44"/>
      <c r="V37" s="18"/>
    </row>
    <row r="38" spans="1:22">
      <c r="A38" s="34" t="s">
        <v>35</v>
      </c>
      <c r="C38" s="6" t="str">
        <f t="shared" si="11"/>
        <v>FG-STD</v>
      </c>
      <c r="D38" s="10"/>
      <c r="E38" s="30" t="str">
        <f>"Total For:  "&amp;$C38</f>
        <v>Total For:  FG-STD</v>
      </c>
      <c r="F38" s="31"/>
      <c r="G38" s="31"/>
      <c r="H38" s="31"/>
      <c r="J38" s="46">
        <f>SUBTOTAL(9, J35:J37)</f>
        <v>0</v>
      </c>
      <c r="K38" s="46">
        <f>SUBTOTAL(9, K35:K37)</f>
        <v>0</v>
      </c>
      <c r="L38" s="46">
        <f>SUBTOTAL(9, L35:L37)</f>
        <v>0</v>
      </c>
      <c r="M38" s="46">
        <f>SUBTOTAL(9, M35:M37)</f>
        <v>0</v>
      </c>
      <c r="N38" s="46"/>
      <c r="O38" s="49">
        <f>SUBTOTAL(9, O35:O37)</f>
        <v>0</v>
      </c>
      <c r="P38" s="37"/>
      <c r="Q38" s="32"/>
      <c r="R38" s="32"/>
      <c r="S38" s="32"/>
      <c r="T38" s="32"/>
      <c r="U38" s="48">
        <f t="shared" ref="U38" si="16">SUBTOTAL(9, U35:U37)</f>
        <v>0</v>
      </c>
      <c r="V38" s="18"/>
    </row>
    <row r="39" spans="1:22">
      <c r="A39" s="34" t="s">
        <v>35</v>
      </c>
      <c r="D39" s="11"/>
      <c r="E39" s="24"/>
      <c r="F39" s="16"/>
      <c r="G39" s="16"/>
      <c r="H39" s="12"/>
      <c r="J39" s="13"/>
      <c r="K39" s="13"/>
      <c r="L39" s="13"/>
      <c r="M39" s="13"/>
      <c r="N39" s="13"/>
      <c r="O39" s="13"/>
      <c r="P39" s="37"/>
      <c r="Q39" s="13"/>
      <c r="R39" s="13"/>
      <c r="S39" s="13"/>
      <c r="T39" s="13"/>
      <c r="U39" s="13"/>
      <c r="V39" s="18"/>
    </row>
    <row r="40" spans="1:22" hidden="1">
      <c r="A40" s="33" t="s">
        <v>33</v>
      </c>
      <c r="C40" s="6" t="str">
        <f t="shared" ref="C40" si="17">D40</f>
        <v>FINGOODS</v>
      </c>
      <c r="D40" s="10" t="str">
        <f>"FINGOODS"</f>
        <v>FINGOODS</v>
      </c>
      <c r="I40" s="7"/>
      <c r="J40" s="7"/>
      <c r="K40" s="7"/>
      <c r="L40" s="7"/>
      <c r="M40" s="7"/>
      <c r="P40" s="7"/>
      <c r="V40" s="18"/>
    </row>
    <row r="41" spans="1:22">
      <c r="A41" s="33" t="s">
        <v>35</v>
      </c>
      <c r="C41" s="6" t="str">
        <f t="shared" ref="C41:C49" si="18">C40</f>
        <v>FINGOODS</v>
      </c>
      <c r="D41" s="10" t="str">
        <f>"""GP Direct"",""Fabrikam, Inc."",""Jet Item by Location"",""Class Code"",""FINGOODS"",""Item Number"",""FAXX-FG3-0001"",""Item Description"",""Desktop Fax System"",""Current Cost"",""5106.91000"""</f>
        <v>"GP Direct","Fabrikam, Inc.","Jet Item by Location","Class Code","FINGOODS","Item Number","FAXX-FG3-0001","Item Description","Desktop Fax System","Current Cost","5106.91000"</v>
      </c>
      <c r="E41" s="16" t="str">
        <f t="shared" ref="E41:E47" si="19">"FINGOODS"</f>
        <v>FINGOODS</v>
      </c>
      <c r="F41" s="16" t="str">
        <f>"FAXX-FG3-0001"</f>
        <v>FAXX-FG3-0001</v>
      </c>
      <c r="G41" s="16" t="str">
        <f>"Desktop Fax System"</f>
        <v>Desktop Fax System</v>
      </c>
      <c r="H41" s="35">
        <v>5106.91</v>
      </c>
      <c r="J41" s="23"/>
      <c r="K41" s="23">
        <v>0</v>
      </c>
      <c r="L41" s="23"/>
      <c r="M41" s="23">
        <v>0</v>
      </c>
      <c r="N41" s="23"/>
      <c r="O41" s="44">
        <f t="shared" ref="O41:O47" si="20">SUM(J41:N41)</f>
        <v>0</v>
      </c>
      <c r="P41" s="43"/>
      <c r="Q41" s="35"/>
      <c r="R41" s="35">
        <v>0</v>
      </c>
      <c r="S41" s="35"/>
      <c r="T41" s="35">
        <v>0</v>
      </c>
      <c r="U41" s="45">
        <f t="shared" ref="U41" si="21">SUM(Q41:Q41)</f>
        <v>0</v>
      </c>
      <c r="V41" s="18">
        <f t="shared" ref="V41:V47" si="22">V39+1</f>
        <v>1</v>
      </c>
    </row>
    <row r="42" spans="1:22">
      <c r="A42" s="33" t="s">
        <v>35</v>
      </c>
      <c r="C42" s="6" t="str">
        <f t="shared" ref="C42:C47" si="23">C41</f>
        <v>FINGOODS</v>
      </c>
      <c r="D42" s="10" t="str">
        <f>"""GP Direct"",""Fabrikam, Inc."",""Jet Item by Location"",""Class Code"",""FINGOODS"",""Item Number"",""HDWR-FGC-0001"",""Item Description"",""Data Card Assembly"",""Current Cost"",""75.99000"""</f>
        <v>"GP Direct","Fabrikam, Inc.","Jet Item by Location","Class Code","FINGOODS","Item Number","HDWR-FGC-0001","Item Description","Data Card Assembly","Current Cost","75.99000"</v>
      </c>
      <c r="E42" s="16" t="str">
        <f t="shared" si="19"/>
        <v>FINGOODS</v>
      </c>
      <c r="F42" s="16" t="str">
        <f>"HDWR-FGC-0001"</f>
        <v>HDWR-FGC-0001</v>
      </c>
      <c r="G42" s="16" t="str">
        <f>"Data Card Assembly"</f>
        <v>Data Card Assembly</v>
      </c>
      <c r="H42" s="35">
        <v>75.989999999999995</v>
      </c>
      <c r="J42" s="23"/>
      <c r="K42" s="23">
        <v>0</v>
      </c>
      <c r="L42" s="23"/>
      <c r="M42" s="23">
        <v>0</v>
      </c>
      <c r="N42" s="23"/>
      <c r="O42" s="44">
        <f t="shared" si="20"/>
        <v>0</v>
      </c>
      <c r="P42" s="43"/>
      <c r="Q42" s="35"/>
      <c r="R42" s="35">
        <v>0</v>
      </c>
      <c r="S42" s="35"/>
      <c r="T42" s="35">
        <v>0</v>
      </c>
      <c r="U42" s="45">
        <f t="shared" ref="U42:U47" si="24">SUM(Q42:Q42)</f>
        <v>0</v>
      </c>
      <c r="V42" s="18">
        <f t="shared" si="22"/>
        <v>1</v>
      </c>
    </row>
    <row r="43" spans="1:22">
      <c r="A43" s="33" t="s">
        <v>35</v>
      </c>
      <c r="C43" s="6" t="str">
        <f t="shared" si="23"/>
        <v>FINGOODS</v>
      </c>
      <c r="D43" s="10" t="str">
        <f>"""GP Direct"",""Fabrikam, Inc."",""Jet Item by Location"",""Class Code"",""FINGOODS"",""Item Number"",""PHAN-FAX-0001"",""Item Description"",""Fax Machine Package"",""Current Cost"",""1479.05000"""</f>
        <v>"GP Direct","Fabrikam, Inc.","Jet Item by Location","Class Code","FINGOODS","Item Number","PHAN-FAX-0001","Item Description","Fax Machine Package","Current Cost","1479.05000"</v>
      </c>
      <c r="E43" s="16" t="str">
        <f t="shared" si="19"/>
        <v>FINGOODS</v>
      </c>
      <c r="F43" s="16" t="str">
        <f>"PHAN-FAX-0001"</f>
        <v>PHAN-FAX-0001</v>
      </c>
      <c r="G43" s="16" t="str">
        <f>"Fax Machine Package"</f>
        <v>Fax Machine Package</v>
      </c>
      <c r="H43" s="35">
        <v>1479.05</v>
      </c>
      <c r="J43" s="23"/>
      <c r="K43" s="23">
        <v>0</v>
      </c>
      <c r="L43" s="23"/>
      <c r="M43" s="23">
        <v>0</v>
      </c>
      <c r="N43" s="23"/>
      <c r="O43" s="44">
        <f t="shared" si="20"/>
        <v>0</v>
      </c>
      <c r="P43" s="43"/>
      <c r="Q43" s="35"/>
      <c r="R43" s="35">
        <v>0</v>
      </c>
      <c r="S43" s="35"/>
      <c r="T43" s="35">
        <v>0</v>
      </c>
      <c r="U43" s="45">
        <f t="shared" si="24"/>
        <v>0</v>
      </c>
      <c r="V43" s="18">
        <f t="shared" si="22"/>
        <v>2</v>
      </c>
    </row>
    <row r="44" spans="1:22">
      <c r="A44" s="33" t="s">
        <v>35</v>
      </c>
      <c r="C44" s="6" t="str">
        <f t="shared" si="23"/>
        <v>FINGOODS</v>
      </c>
      <c r="D44" s="10" t="str">
        <f>"""GP Direct"",""Fabrikam, Inc."",""Jet Item by Location"",""Class Code"",""FINGOODS"",""Item Number"",""PHON-FGD-0001"",""Item Description"",""Phones-Hands Free Dual Ear"",""Current Cost"",""57.22000"""</f>
        <v>"GP Direct","Fabrikam, Inc.","Jet Item by Location","Class Code","FINGOODS","Item Number","PHON-FGD-0001","Item Description","Phones-Hands Free Dual Ear","Current Cost","57.22000"</v>
      </c>
      <c r="E44" s="16" t="str">
        <f t="shared" si="19"/>
        <v>FINGOODS</v>
      </c>
      <c r="F44" s="16" t="str">
        <f>"PHON-FGD-0001"</f>
        <v>PHON-FGD-0001</v>
      </c>
      <c r="G44" s="16" t="str">
        <f>"Phones-Hands Free Dual Ear"</f>
        <v>Phones-Hands Free Dual Ear</v>
      </c>
      <c r="H44" s="35">
        <v>57.22</v>
      </c>
      <c r="J44" s="23"/>
      <c r="K44" s="23">
        <v>0</v>
      </c>
      <c r="L44" s="23"/>
      <c r="M44" s="23">
        <v>25</v>
      </c>
      <c r="N44" s="23"/>
      <c r="O44" s="44">
        <f t="shared" si="20"/>
        <v>25</v>
      </c>
      <c r="P44" s="43"/>
      <c r="Q44" s="35"/>
      <c r="R44" s="35">
        <v>0</v>
      </c>
      <c r="S44" s="35"/>
      <c r="T44" s="35">
        <v>1430.5</v>
      </c>
      <c r="U44" s="45">
        <f t="shared" si="24"/>
        <v>0</v>
      </c>
      <c r="V44" s="18">
        <f t="shared" si="22"/>
        <v>2</v>
      </c>
    </row>
    <row r="45" spans="1:22">
      <c r="A45" s="33" t="s">
        <v>35</v>
      </c>
      <c r="C45" s="6" t="str">
        <f t="shared" si="23"/>
        <v>FINGOODS</v>
      </c>
      <c r="D45" s="10" t="str">
        <f>"""GP Direct"",""Fabrikam, Inc."",""Jet Item by Location"",""Class Code"",""FINGOODS"",""Item Number"",""PHON-FGS-0002"",""Item Description"",""Phone-Hands Free Single Ear"",""Current Cost"",""53.83000"""</f>
        <v>"GP Direct","Fabrikam, Inc.","Jet Item by Location","Class Code","FINGOODS","Item Number","PHON-FGS-0002","Item Description","Phone-Hands Free Single Ear","Current Cost","53.83000"</v>
      </c>
      <c r="E45" s="16" t="str">
        <f t="shared" si="19"/>
        <v>FINGOODS</v>
      </c>
      <c r="F45" s="16" t="str">
        <f>"PHON-FGS-0002"</f>
        <v>PHON-FGS-0002</v>
      </c>
      <c r="G45" s="16" t="str">
        <f>"Phone-Hands Free Single Ear"</f>
        <v>Phone-Hands Free Single Ear</v>
      </c>
      <c r="H45" s="35">
        <v>53.83</v>
      </c>
      <c r="J45" s="23"/>
      <c r="K45" s="23">
        <v>0</v>
      </c>
      <c r="L45" s="23"/>
      <c r="M45" s="23">
        <v>0</v>
      </c>
      <c r="N45" s="23"/>
      <c r="O45" s="44">
        <f t="shared" si="20"/>
        <v>0</v>
      </c>
      <c r="P45" s="43"/>
      <c r="Q45" s="35"/>
      <c r="R45" s="35">
        <v>0</v>
      </c>
      <c r="S45" s="35"/>
      <c r="T45" s="35">
        <v>0</v>
      </c>
      <c r="U45" s="45">
        <f t="shared" si="24"/>
        <v>0</v>
      </c>
      <c r="V45" s="18">
        <f t="shared" si="22"/>
        <v>3</v>
      </c>
    </row>
    <row r="46" spans="1:22">
      <c r="A46" s="33" t="s">
        <v>35</v>
      </c>
      <c r="C46" s="6" t="str">
        <f t="shared" si="23"/>
        <v>FINGOODS</v>
      </c>
      <c r="D46" s="10" t="str">
        <f>"""GP Direct"",""Fabrikam, Inc."",""Jet Item by Location"",""Class Code"",""FINGOODS"",""Item Number"",""PSYS-FG1-0001"",""Item Description"",""Phone System 1"",""Current Cost"",""18508.72000"""</f>
        <v>"GP Direct","Fabrikam, Inc.","Jet Item by Location","Class Code","FINGOODS","Item Number","PSYS-FG1-0001","Item Description","Phone System 1","Current Cost","18508.72000"</v>
      </c>
      <c r="E46" s="16" t="str">
        <f t="shared" si="19"/>
        <v>FINGOODS</v>
      </c>
      <c r="F46" s="16" t="str">
        <f>"PSYS-FG1-0001"</f>
        <v>PSYS-FG1-0001</v>
      </c>
      <c r="G46" s="16" t="str">
        <f>"Phone System 1"</f>
        <v>Phone System 1</v>
      </c>
      <c r="H46" s="35">
        <v>18508.72</v>
      </c>
      <c r="J46" s="23"/>
      <c r="K46" s="23">
        <v>0</v>
      </c>
      <c r="L46" s="23"/>
      <c r="M46" s="23">
        <v>0</v>
      </c>
      <c r="N46" s="23"/>
      <c r="O46" s="44">
        <f t="shared" si="20"/>
        <v>0</v>
      </c>
      <c r="P46" s="43"/>
      <c r="Q46" s="35"/>
      <c r="R46" s="35">
        <v>0</v>
      </c>
      <c r="S46" s="35"/>
      <c r="T46" s="35">
        <v>0</v>
      </c>
      <c r="U46" s="45">
        <f t="shared" si="24"/>
        <v>0</v>
      </c>
      <c r="V46" s="18">
        <f t="shared" si="22"/>
        <v>3</v>
      </c>
    </row>
    <row r="47" spans="1:22">
      <c r="A47" s="33" t="s">
        <v>35</v>
      </c>
      <c r="C47" s="6" t="str">
        <f t="shared" si="23"/>
        <v>FINGOODS</v>
      </c>
      <c r="D47" s="10" t="str">
        <f>"""GP Direct"",""Fabrikam, Inc."",""Jet Item by Location"",""Class Code"",""FINGOODS"",""Item Number"",""VMSY-FG2-0001"",""Item Description"",""Voice Mail System"",""Current Cost"",""450.28000"""</f>
        <v>"GP Direct","Fabrikam, Inc.","Jet Item by Location","Class Code","FINGOODS","Item Number","VMSY-FG2-0001","Item Description","Voice Mail System","Current Cost","450.28000"</v>
      </c>
      <c r="E47" s="16" t="str">
        <f t="shared" si="19"/>
        <v>FINGOODS</v>
      </c>
      <c r="F47" s="16" t="str">
        <f>"VMSY-FG2-0001"</f>
        <v>VMSY-FG2-0001</v>
      </c>
      <c r="G47" s="16" t="str">
        <f>"Voice Mail System"</f>
        <v>Voice Mail System</v>
      </c>
      <c r="H47" s="35">
        <v>450.28</v>
      </c>
      <c r="J47" s="23"/>
      <c r="K47" s="23">
        <v>0</v>
      </c>
      <c r="L47" s="23"/>
      <c r="M47" s="23">
        <v>0</v>
      </c>
      <c r="N47" s="23"/>
      <c r="O47" s="44">
        <f t="shared" si="20"/>
        <v>0</v>
      </c>
      <c r="P47" s="43"/>
      <c r="Q47" s="35"/>
      <c r="R47" s="35">
        <v>0</v>
      </c>
      <c r="S47" s="35"/>
      <c r="T47" s="35">
        <v>0</v>
      </c>
      <c r="U47" s="45">
        <f t="shared" si="24"/>
        <v>0</v>
      </c>
      <c r="V47" s="18">
        <f t="shared" si="22"/>
        <v>4</v>
      </c>
    </row>
    <row r="48" spans="1:22" hidden="1">
      <c r="A48" s="33" t="s">
        <v>33</v>
      </c>
      <c r="C48" s="6" t="str">
        <f>C41</f>
        <v>FINGOODS</v>
      </c>
      <c r="D48" s="10"/>
      <c r="E48" s="16"/>
      <c r="F48" s="16"/>
      <c r="G48" s="16"/>
      <c r="H48" s="22"/>
      <c r="J48" s="23"/>
      <c r="K48" s="23"/>
      <c r="L48" s="23"/>
      <c r="M48" s="23"/>
      <c r="N48" s="23"/>
      <c r="O48" s="44"/>
      <c r="P48" s="43"/>
      <c r="Q48" s="23"/>
      <c r="R48" s="23"/>
      <c r="S48" s="23"/>
      <c r="T48" s="23"/>
      <c r="U48" s="44"/>
      <c r="V48" s="18"/>
    </row>
    <row r="49" spans="1:22">
      <c r="A49" s="34" t="s">
        <v>35</v>
      </c>
      <c r="C49" s="6" t="str">
        <f t="shared" si="18"/>
        <v>FINGOODS</v>
      </c>
      <c r="D49" s="10"/>
      <c r="E49" s="30" t="str">
        <f>"Total For:  "&amp;$C49</f>
        <v>Total For:  FINGOODS</v>
      </c>
      <c r="F49" s="31"/>
      <c r="G49" s="31"/>
      <c r="H49" s="31"/>
      <c r="J49" s="46">
        <f>SUBTOTAL(9, J41:J48)</f>
        <v>0</v>
      </c>
      <c r="K49" s="46">
        <f>SUBTOTAL(9, K41:K48)</f>
        <v>0</v>
      </c>
      <c r="L49" s="46">
        <f>SUBTOTAL(9, L41:L48)</f>
        <v>0</v>
      </c>
      <c r="M49" s="46">
        <f>SUBTOTAL(9, M41:M48)</f>
        <v>25</v>
      </c>
      <c r="N49" s="46"/>
      <c r="O49" s="49">
        <f>SUBTOTAL(9, O41:O48)</f>
        <v>25</v>
      </c>
      <c r="P49" s="37"/>
      <c r="Q49" s="32"/>
      <c r="R49" s="32"/>
      <c r="S49" s="32"/>
      <c r="T49" s="32"/>
      <c r="U49" s="48">
        <f t="shared" ref="U49" si="25">SUBTOTAL(9, U41:U48)</f>
        <v>0</v>
      </c>
      <c r="V49" s="18"/>
    </row>
    <row r="50" spans="1:22">
      <c r="A50" s="34" t="s">
        <v>35</v>
      </c>
      <c r="D50" s="11"/>
      <c r="E50" s="24"/>
      <c r="F50" s="16"/>
      <c r="G50" s="16"/>
      <c r="H50" s="12"/>
      <c r="J50" s="13"/>
      <c r="K50" s="13"/>
      <c r="L50" s="13"/>
      <c r="M50" s="13"/>
      <c r="N50" s="13"/>
      <c r="O50" s="13"/>
      <c r="P50" s="37"/>
      <c r="Q50" s="13"/>
      <c r="R50" s="13"/>
      <c r="S50" s="13"/>
      <c r="T50" s="13"/>
      <c r="U50" s="13"/>
      <c r="V50" s="18"/>
    </row>
    <row r="51" spans="1:22" hidden="1">
      <c r="A51" s="33" t="s">
        <v>33</v>
      </c>
      <c r="C51" s="6" t="str">
        <f t="shared" ref="C51" si="26">D51</f>
        <v>MEMORY-1</v>
      </c>
      <c r="D51" s="10" t="str">
        <f>"MEMORY-1"</f>
        <v>MEMORY-1</v>
      </c>
      <c r="I51" s="7"/>
      <c r="J51" s="7"/>
      <c r="K51" s="7"/>
      <c r="L51" s="7"/>
      <c r="M51" s="7"/>
      <c r="P51" s="7"/>
      <c r="V51" s="18"/>
    </row>
    <row r="52" spans="1:22">
      <c r="A52" s="33" t="s">
        <v>35</v>
      </c>
      <c r="C52" s="6" t="str">
        <f t="shared" ref="C52:C55" si="27">C51</f>
        <v>MEMORY-1</v>
      </c>
      <c r="D52" s="10" t="str">
        <f>"""GP Direct"",""Fabrikam, Inc."",""Jet Item by Location"",""Class Code"",""MEMORY-1"",""Item Number"",""1-A3483A"",""Item Description"",""SIMM EDO 72"",""Current Cost"",""6500.00000"""</f>
        <v>"GP Direct","Fabrikam, Inc.","Jet Item by Location","Class Code","MEMORY-1","Item Number","1-A3483A","Item Description","SIMM EDO 72","Current Cost","6500.00000"</v>
      </c>
      <c r="E52" s="16" t="str">
        <f>"MEMORY-1"</f>
        <v>MEMORY-1</v>
      </c>
      <c r="F52" s="16" t="str">
        <f>"1-A3483A"</f>
        <v>1-A3483A</v>
      </c>
      <c r="G52" s="16" t="str">
        <f>"SIMM EDO 72"</f>
        <v>SIMM EDO 72</v>
      </c>
      <c r="H52" s="35">
        <v>6500</v>
      </c>
      <c r="J52" s="23">
        <v>0</v>
      </c>
      <c r="K52" s="23"/>
      <c r="L52" s="23">
        <v>0</v>
      </c>
      <c r="M52" s="23">
        <v>0</v>
      </c>
      <c r="N52" s="23"/>
      <c r="O52" s="44">
        <f>SUM(J52:N52)</f>
        <v>0</v>
      </c>
      <c r="P52" s="43"/>
      <c r="Q52" s="35">
        <v>0</v>
      </c>
      <c r="R52" s="35"/>
      <c r="S52" s="35">
        <v>0</v>
      </c>
      <c r="T52" s="35">
        <v>0</v>
      </c>
      <c r="U52" s="45">
        <f t="shared" ref="U52" si="28">SUM(Q52:Q52)</f>
        <v>0</v>
      </c>
      <c r="V52" s="18">
        <f t="shared" ref="V52:V53" si="29">V50+1</f>
        <v>1</v>
      </c>
    </row>
    <row r="53" spans="1:22">
      <c r="A53" s="33" t="s">
        <v>35</v>
      </c>
      <c r="C53" s="6" t="str">
        <f t="shared" ref="C53" si="30">C52</f>
        <v>MEMORY-1</v>
      </c>
      <c r="D53" s="10" t="str">
        <f>"""GP Direct"",""Fabrikam, Inc."",""Jet Item by Location"",""Class Code"",""MEMORY-1"",""Item Number"",""3-A3294A"",""Item Description"",""ECC Memory"",""Current Cost"",""8900.00000"""</f>
        <v>"GP Direct","Fabrikam, Inc.","Jet Item by Location","Class Code","MEMORY-1","Item Number","3-A3294A","Item Description","ECC Memory","Current Cost","8900.00000"</v>
      </c>
      <c r="E53" s="16" t="str">
        <f>"MEMORY-1"</f>
        <v>MEMORY-1</v>
      </c>
      <c r="F53" s="16" t="str">
        <f>"3-A3294A"</f>
        <v>3-A3294A</v>
      </c>
      <c r="G53" s="16" t="str">
        <f>"ECC Memory"</f>
        <v>ECC Memory</v>
      </c>
      <c r="H53" s="35">
        <v>8900</v>
      </c>
      <c r="J53" s="23">
        <v>0</v>
      </c>
      <c r="K53" s="23"/>
      <c r="L53" s="23">
        <v>0</v>
      </c>
      <c r="M53" s="23">
        <v>0</v>
      </c>
      <c r="N53" s="23"/>
      <c r="O53" s="44">
        <f>SUM(J53:N53)</f>
        <v>0</v>
      </c>
      <c r="P53" s="43"/>
      <c r="Q53" s="35">
        <v>0</v>
      </c>
      <c r="R53" s="35"/>
      <c r="S53" s="35">
        <v>0</v>
      </c>
      <c r="T53" s="35">
        <v>0</v>
      </c>
      <c r="U53" s="45">
        <f t="shared" ref="U53" si="31">SUM(Q53:Q53)</f>
        <v>0</v>
      </c>
      <c r="V53" s="18">
        <f t="shared" si="29"/>
        <v>1</v>
      </c>
    </row>
    <row r="54" spans="1:22" hidden="1">
      <c r="A54" s="33" t="s">
        <v>33</v>
      </c>
      <c r="C54" s="6" t="str">
        <f>C52</f>
        <v>MEMORY-1</v>
      </c>
      <c r="D54" s="10"/>
      <c r="E54" s="16"/>
      <c r="F54" s="16"/>
      <c r="G54" s="16"/>
      <c r="H54" s="22"/>
      <c r="J54" s="23"/>
      <c r="K54" s="23"/>
      <c r="L54" s="23"/>
      <c r="M54" s="23"/>
      <c r="N54" s="23"/>
      <c r="O54" s="44"/>
      <c r="P54" s="43"/>
      <c r="Q54" s="23"/>
      <c r="R54" s="23"/>
      <c r="S54" s="23"/>
      <c r="T54" s="23"/>
      <c r="U54" s="44"/>
      <c r="V54" s="18"/>
    </row>
    <row r="55" spans="1:22">
      <c r="A55" s="34" t="s">
        <v>35</v>
      </c>
      <c r="C55" s="6" t="str">
        <f t="shared" si="27"/>
        <v>MEMORY-1</v>
      </c>
      <c r="D55" s="10"/>
      <c r="E55" s="30" t="str">
        <f>"Total For:  "&amp;$C55</f>
        <v>Total For:  MEMORY-1</v>
      </c>
      <c r="F55" s="31"/>
      <c r="G55" s="31"/>
      <c r="H55" s="31"/>
      <c r="J55" s="46">
        <f>SUBTOTAL(9, J52:J54)</f>
        <v>0</v>
      </c>
      <c r="K55" s="46">
        <f>SUBTOTAL(9, K52:K54)</f>
        <v>0</v>
      </c>
      <c r="L55" s="46">
        <f>SUBTOTAL(9, L52:L54)</f>
        <v>0</v>
      </c>
      <c r="M55" s="46">
        <f>SUBTOTAL(9, M52:M54)</f>
        <v>0</v>
      </c>
      <c r="N55" s="46"/>
      <c r="O55" s="49">
        <f>SUBTOTAL(9, O52:O54)</f>
        <v>0</v>
      </c>
      <c r="P55" s="37"/>
      <c r="Q55" s="32"/>
      <c r="R55" s="32"/>
      <c r="S55" s="32"/>
      <c r="T55" s="32"/>
      <c r="U55" s="48">
        <f t="shared" ref="U55" si="32">SUBTOTAL(9, U52:U54)</f>
        <v>0</v>
      </c>
      <c r="V55" s="18"/>
    </row>
    <row r="56" spans="1:22">
      <c r="A56" s="34" t="s">
        <v>35</v>
      </c>
      <c r="D56" s="11"/>
      <c r="E56" s="24"/>
      <c r="F56" s="16"/>
      <c r="G56" s="16"/>
      <c r="H56" s="12"/>
      <c r="J56" s="13"/>
      <c r="K56" s="13"/>
      <c r="L56" s="13"/>
      <c r="M56" s="13"/>
      <c r="N56" s="13"/>
      <c r="O56" s="13"/>
      <c r="P56" s="37"/>
      <c r="Q56" s="13"/>
      <c r="R56" s="13"/>
      <c r="S56" s="13"/>
      <c r="T56" s="13"/>
      <c r="U56" s="13"/>
      <c r="V56" s="18"/>
    </row>
    <row r="57" spans="1:22" hidden="1">
      <c r="A57" s="33" t="s">
        <v>33</v>
      </c>
      <c r="C57" s="6" t="str">
        <f t="shared" ref="C57" si="33">D57</f>
        <v>MODEMS</v>
      </c>
      <c r="D57" s="10" t="str">
        <f>"MODEMS"</f>
        <v>MODEMS</v>
      </c>
      <c r="I57" s="7"/>
      <c r="J57" s="7"/>
      <c r="K57" s="7"/>
      <c r="L57" s="7"/>
      <c r="M57" s="7"/>
      <c r="P57" s="7"/>
      <c r="V57" s="18"/>
    </row>
    <row r="58" spans="1:22">
      <c r="A58" s="33" t="s">
        <v>35</v>
      </c>
      <c r="C58" s="6" t="str">
        <f t="shared" ref="C58:C60" si="34">C57</f>
        <v>MODEMS</v>
      </c>
      <c r="D58" s="10" t="str">
        <f>"""GP Direct"",""Fabrikam, Inc."",""Jet Item by Location"",""Class Code"",""MODEMS"",""Item Number"",""3-J2094A"",""Item Description"",""RS-232C Modem"",""Current Cost"",""2150.00000"""</f>
        <v>"GP Direct","Fabrikam, Inc.","Jet Item by Location","Class Code","MODEMS","Item Number","3-J2094A","Item Description","RS-232C Modem","Current Cost","2150.00000"</v>
      </c>
      <c r="E58" s="16" t="str">
        <f>"MODEMS"</f>
        <v>MODEMS</v>
      </c>
      <c r="F58" s="16" t="str">
        <f>"3-J2094A"</f>
        <v>3-J2094A</v>
      </c>
      <c r="G58" s="16" t="str">
        <f>"RS-232C Modem"</f>
        <v>RS-232C Modem</v>
      </c>
      <c r="H58" s="35">
        <v>2150</v>
      </c>
      <c r="J58" s="23">
        <v>0</v>
      </c>
      <c r="K58" s="23"/>
      <c r="L58" s="23">
        <v>1</v>
      </c>
      <c r="M58" s="23">
        <v>9</v>
      </c>
      <c r="N58" s="23"/>
      <c r="O58" s="44">
        <f>SUM(J58:N58)</f>
        <v>10</v>
      </c>
      <c r="P58" s="43"/>
      <c r="Q58" s="35">
        <v>0</v>
      </c>
      <c r="R58" s="35"/>
      <c r="S58" s="35">
        <v>2150</v>
      </c>
      <c r="T58" s="35">
        <v>19350</v>
      </c>
      <c r="U58" s="45">
        <f t="shared" ref="U58" si="35">SUM(Q58:Q58)</f>
        <v>0</v>
      </c>
      <c r="V58" s="18">
        <f t="shared" ref="V58" si="36">V56+1</f>
        <v>1</v>
      </c>
    </row>
    <row r="59" spans="1:22" hidden="1">
      <c r="A59" s="33" t="s">
        <v>33</v>
      </c>
      <c r="C59" s="6" t="str">
        <f t="shared" si="34"/>
        <v>MODEMS</v>
      </c>
      <c r="D59" s="10"/>
      <c r="E59" s="16"/>
      <c r="F59" s="16"/>
      <c r="G59" s="16"/>
      <c r="H59" s="22"/>
      <c r="J59" s="23"/>
      <c r="K59" s="23"/>
      <c r="L59" s="23"/>
      <c r="M59" s="23"/>
      <c r="N59" s="23"/>
      <c r="O59" s="44"/>
      <c r="P59" s="43"/>
      <c r="Q59" s="23"/>
      <c r="R59" s="23"/>
      <c r="S59" s="23"/>
      <c r="T59" s="23"/>
      <c r="U59" s="44"/>
      <c r="V59" s="18"/>
    </row>
    <row r="60" spans="1:22">
      <c r="A60" s="34" t="s">
        <v>35</v>
      </c>
      <c r="C60" s="6" t="str">
        <f t="shared" si="34"/>
        <v>MODEMS</v>
      </c>
      <c r="D60" s="10"/>
      <c r="E60" s="30" t="str">
        <f>"Total For:  "&amp;$C60</f>
        <v>Total For:  MODEMS</v>
      </c>
      <c r="F60" s="31"/>
      <c r="G60" s="31"/>
      <c r="H60" s="31"/>
      <c r="J60" s="46">
        <f>SUBTOTAL(9, J58:J59)</f>
        <v>0</v>
      </c>
      <c r="K60" s="46">
        <f>SUBTOTAL(9, K58:K59)</f>
        <v>0</v>
      </c>
      <c r="L60" s="46">
        <f>SUBTOTAL(9, L58:L59)</f>
        <v>1</v>
      </c>
      <c r="M60" s="46">
        <f>SUBTOTAL(9, M58:M59)</f>
        <v>9</v>
      </c>
      <c r="N60" s="46"/>
      <c r="O60" s="49">
        <f>SUBTOTAL(9, O58:O59)</f>
        <v>10</v>
      </c>
      <c r="P60" s="37"/>
      <c r="Q60" s="32"/>
      <c r="R60" s="32"/>
      <c r="S60" s="32"/>
      <c r="T60" s="32"/>
      <c r="U60" s="48">
        <f t="shared" ref="U60" si="37">SUBTOTAL(9, U58:U59)</f>
        <v>0</v>
      </c>
      <c r="V60" s="18"/>
    </row>
    <row r="61" spans="1:22">
      <c r="A61" s="34" t="s">
        <v>35</v>
      </c>
      <c r="D61" s="11"/>
      <c r="E61" s="24"/>
      <c r="F61" s="16"/>
      <c r="G61" s="16"/>
      <c r="H61" s="12"/>
      <c r="J61" s="13"/>
      <c r="K61" s="13"/>
      <c r="L61" s="13"/>
      <c r="M61" s="13"/>
      <c r="N61" s="13"/>
      <c r="O61" s="13"/>
      <c r="P61" s="37"/>
      <c r="Q61" s="13"/>
      <c r="R61" s="13"/>
      <c r="S61" s="13"/>
      <c r="T61" s="13"/>
      <c r="U61" s="13"/>
      <c r="V61" s="18"/>
    </row>
    <row r="62" spans="1:22" hidden="1">
      <c r="A62" s="33" t="s">
        <v>33</v>
      </c>
      <c r="C62" s="6" t="str">
        <f t="shared" ref="C62" si="38">D62</f>
        <v>PRINTERS-1</v>
      </c>
      <c r="D62" s="10" t="str">
        <f>"PRINTERS-1"</f>
        <v>PRINTERS-1</v>
      </c>
      <c r="I62" s="7"/>
      <c r="J62" s="7"/>
      <c r="K62" s="7"/>
      <c r="L62" s="7"/>
      <c r="M62" s="7"/>
      <c r="P62" s="7"/>
      <c r="V62" s="18"/>
    </row>
    <row r="63" spans="1:22">
      <c r="A63" s="33" t="s">
        <v>35</v>
      </c>
      <c r="C63" s="6" t="str">
        <f t="shared" ref="C63:C65" si="39">C62</f>
        <v>PRINTERS-1</v>
      </c>
      <c r="D63" s="10" t="str">
        <f>"""GP Direct"",""Fabrikam, Inc."",""Jet Item by Location"",""Class Code"",""PRINTERS-1"",""Item Number"",""3-D2094A"",""Item Description"",""Printer"",""Current Cost"",""850.00000"""</f>
        <v>"GP Direct","Fabrikam, Inc.","Jet Item by Location","Class Code","PRINTERS-1","Item Number","3-D2094A","Item Description","Printer","Current Cost","850.00000"</v>
      </c>
      <c r="E63" s="16" t="str">
        <f>"PRINTERS-1"</f>
        <v>PRINTERS-1</v>
      </c>
      <c r="F63" s="16" t="str">
        <f>"3-D2094A"</f>
        <v>3-D2094A</v>
      </c>
      <c r="G63" s="16" t="str">
        <f>"Printer"</f>
        <v>Printer</v>
      </c>
      <c r="H63" s="35">
        <v>850</v>
      </c>
      <c r="J63" s="23">
        <v>0</v>
      </c>
      <c r="K63" s="23"/>
      <c r="L63" s="23">
        <v>0</v>
      </c>
      <c r="M63" s="23">
        <v>0</v>
      </c>
      <c r="N63" s="23"/>
      <c r="O63" s="44">
        <f>SUM(J63:N63)</f>
        <v>0</v>
      </c>
      <c r="P63" s="43"/>
      <c r="Q63" s="35">
        <v>0</v>
      </c>
      <c r="R63" s="35"/>
      <c r="S63" s="35">
        <v>0</v>
      </c>
      <c r="T63" s="35">
        <v>0</v>
      </c>
      <c r="U63" s="45">
        <f t="shared" ref="U63" si="40">SUM(Q63:Q63)</f>
        <v>0</v>
      </c>
      <c r="V63" s="18">
        <f t="shared" ref="V63" si="41">V61+1</f>
        <v>1</v>
      </c>
    </row>
    <row r="64" spans="1:22" hidden="1">
      <c r="A64" s="33" t="s">
        <v>33</v>
      </c>
      <c r="C64" s="6" t="str">
        <f t="shared" si="39"/>
        <v>PRINTERS-1</v>
      </c>
      <c r="D64" s="10"/>
      <c r="E64" s="16"/>
      <c r="F64" s="16"/>
      <c r="G64" s="16"/>
      <c r="H64" s="22"/>
      <c r="J64" s="23"/>
      <c r="K64" s="23"/>
      <c r="L64" s="23"/>
      <c r="M64" s="23"/>
      <c r="N64" s="23"/>
      <c r="O64" s="44"/>
      <c r="P64" s="43"/>
      <c r="Q64" s="23"/>
      <c r="R64" s="23"/>
      <c r="S64" s="23"/>
      <c r="T64" s="23"/>
      <c r="U64" s="44"/>
      <c r="V64" s="18"/>
    </row>
    <row r="65" spans="1:22">
      <c r="A65" s="34" t="s">
        <v>35</v>
      </c>
      <c r="C65" s="6" t="str">
        <f t="shared" si="39"/>
        <v>PRINTERS-1</v>
      </c>
      <c r="D65" s="10"/>
      <c r="E65" s="30" t="str">
        <f>"Total For:  "&amp;$C65</f>
        <v>Total For:  PRINTERS-1</v>
      </c>
      <c r="F65" s="31"/>
      <c r="G65" s="31"/>
      <c r="H65" s="31"/>
      <c r="J65" s="46">
        <f>SUBTOTAL(9, J63:J64)</f>
        <v>0</v>
      </c>
      <c r="K65" s="46">
        <f>SUBTOTAL(9, K63:K64)</f>
        <v>0</v>
      </c>
      <c r="L65" s="46">
        <f>SUBTOTAL(9, L63:L64)</f>
        <v>0</v>
      </c>
      <c r="M65" s="46">
        <f>SUBTOTAL(9, M63:M64)</f>
        <v>0</v>
      </c>
      <c r="N65" s="46"/>
      <c r="O65" s="49">
        <f>SUBTOTAL(9, O63:O64)</f>
        <v>0</v>
      </c>
      <c r="P65" s="37"/>
      <c r="Q65" s="32"/>
      <c r="R65" s="32"/>
      <c r="S65" s="32"/>
      <c r="T65" s="32"/>
      <c r="U65" s="48">
        <f t="shared" ref="U65" si="42">SUBTOTAL(9, U63:U64)</f>
        <v>0</v>
      </c>
      <c r="V65" s="18"/>
    </row>
    <row r="66" spans="1:22">
      <c r="A66" s="34" t="s">
        <v>35</v>
      </c>
      <c r="D66" s="11"/>
      <c r="E66" s="24"/>
      <c r="F66" s="16"/>
      <c r="G66" s="16"/>
      <c r="H66" s="12"/>
      <c r="J66" s="13"/>
      <c r="K66" s="13"/>
      <c r="L66" s="13"/>
      <c r="M66" s="13"/>
      <c r="N66" s="13"/>
      <c r="O66" s="13"/>
      <c r="P66" s="37"/>
      <c r="Q66" s="13"/>
      <c r="R66" s="13"/>
      <c r="S66" s="13"/>
      <c r="T66" s="13"/>
      <c r="U66" s="13"/>
      <c r="V66" s="18"/>
    </row>
    <row r="67" spans="1:22" hidden="1">
      <c r="A67" s="33" t="s">
        <v>33</v>
      </c>
      <c r="C67" s="6" t="str">
        <f t="shared" ref="C67" si="43">D67</f>
        <v>PRINTERS-2</v>
      </c>
      <c r="D67" s="10" t="str">
        <f>"PRINTERS-2"</f>
        <v>PRINTERS-2</v>
      </c>
      <c r="I67" s="7"/>
      <c r="J67" s="7"/>
      <c r="K67" s="7"/>
      <c r="L67" s="7"/>
      <c r="M67" s="7"/>
      <c r="P67" s="7"/>
      <c r="V67" s="18"/>
    </row>
    <row r="68" spans="1:22">
      <c r="A68" s="33" t="s">
        <v>35</v>
      </c>
      <c r="C68" s="6" t="str">
        <f t="shared" ref="C68:C70" si="44">C67</f>
        <v>PRINTERS-2</v>
      </c>
      <c r="D68" s="10" t="str">
        <f>"""GP Direct"",""Fabrikam, Inc."",""Jet Item by Location"",""Class Code"",""PRINTERS-2"",""Item Number"",""4-E2094A"",""Item Description"",""Laserjet Printer"",""Current Cost"",""1800.00000"""</f>
        <v>"GP Direct","Fabrikam, Inc.","Jet Item by Location","Class Code","PRINTERS-2","Item Number","4-E2094A","Item Description","Laserjet Printer","Current Cost","1800.00000"</v>
      </c>
      <c r="E68" s="16" t="str">
        <f>"PRINTERS-2"</f>
        <v>PRINTERS-2</v>
      </c>
      <c r="F68" s="16" t="str">
        <f>"4-E2094A"</f>
        <v>4-E2094A</v>
      </c>
      <c r="G68" s="16" t="str">
        <f>"Laserjet Printer"</f>
        <v>Laserjet Printer</v>
      </c>
      <c r="H68" s="35">
        <v>1800</v>
      </c>
      <c r="J68" s="23">
        <v>0</v>
      </c>
      <c r="K68" s="23"/>
      <c r="L68" s="23">
        <v>0</v>
      </c>
      <c r="M68" s="23">
        <v>5</v>
      </c>
      <c r="N68" s="23"/>
      <c r="O68" s="44">
        <f>SUM(J68:N68)</f>
        <v>5</v>
      </c>
      <c r="P68" s="43"/>
      <c r="Q68" s="35">
        <v>0</v>
      </c>
      <c r="R68" s="35"/>
      <c r="S68" s="35">
        <v>0</v>
      </c>
      <c r="T68" s="35">
        <v>9000</v>
      </c>
      <c r="U68" s="45">
        <f t="shared" ref="U68" si="45">SUM(Q68:Q68)</f>
        <v>0</v>
      </c>
      <c r="V68" s="18">
        <f t="shared" ref="V68" si="46">V66+1</f>
        <v>1</v>
      </c>
    </row>
    <row r="69" spans="1:22" hidden="1">
      <c r="A69" s="33" t="s">
        <v>33</v>
      </c>
      <c r="C69" s="6" t="str">
        <f t="shared" si="44"/>
        <v>PRINTERS-2</v>
      </c>
      <c r="D69" s="10"/>
      <c r="E69" s="16"/>
      <c r="F69" s="16"/>
      <c r="G69" s="16"/>
      <c r="H69" s="22"/>
      <c r="J69" s="23"/>
      <c r="K69" s="23"/>
      <c r="L69" s="23"/>
      <c r="M69" s="23"/>
      <c r="N69" s="23"/>
      <c r="O69" s="44"/>
      <c r="P69" s="43"/>
      <c r="Q69" s="23"/>
      <c r="R69" s="23"/>
      <c r="S69" s="23"/>
      <c r="T69" s="23"/>
      <c r="U69" s="44"/>
      <c r="V69" s="18"/>
    </row>
    <row r="70" spans="1:22">
      <c r="A70" s="34" t="s">
        <v>35</v>
      </c>
      <c r="C70" s="6" t="str">
        <f t="shared" si="44"/>
        <v>PRINTERS-2</v>
      </c>
      <c r="D70" s="10"/>
      <c r="E70" s="30" t="str">
        <f>"Total For:  "&amp;$C70</f>
        <v>Total For:  PRINTERS-2</v>
      </c>
      <c r="F70" s="31"/>
      <c r="G70" s="31"/>
      <c r="H70" s="31"/>
      <c r="J70" s="46">
        <f>SUBTOTAL(9, J68:J69)</f>
        <v>0</v>
      </c>
      <c r="K70" s="46">
        <f>SUBTOTAL(9, K68:K69)</f>
        <v>0</v>
      </c>
      <c r="L70" s="46">
        <f>SUBTOTAL(9, L68:L69)</f>
        <v>0</v>
      </c>
      <c r="M70" s="46">
        <f>SUBTOTAL(9, M68:M69)</f>
        <v>5</v>
      </c>
      <c r="N70" s="46"/>
      <c r="O70" s="49">
        <f>SUBTOTAL(9, O68:O69)</f>
        <v>5</v>
      </c>
      <c r="P70" s="37"/>
      <c r="Q70" s="32"/>
      <c r="R70" s="32"/>
      <c r="S70" s="32"/>
      <c r="T70" s="32"/>
      <c r="U70" s="48">
        <f t="shared" ref="U70" si="47">SUBTOTAL(9, U68:U69)</f>
        <v>0</v>
      </c>
      <c r="V70" s="18"/>
    </row>
    <row r="71" spans="1:22">
      <c r="A71" s="34" t="s">
        <v>35</v>
      </c>
      <c r="D71" s="11"/>
      <c r="E71" s="24"/>
      <c r="F71" s="16"/>
      <c r="G71" s="16"/>
      <c r="H71" s="12"/>
      <c r="J71" s="13"/>
      <c r="K71" s="13"/>
      <c r="L71" s="13"/>
      <c r="M71" s="13"/>
      <c r="N71" s="13"/>
      <c r="O71" s="13"/>
      <c r="P71" s="37"/>
      <c r="Q71" s="13"/>
      <c r="R71" s="13"/>
      <c r="S71" s="13"/>
      <c r="T71" s="13"/>
      <c r="U71" s="13"/>
      <c r="V71" s="18"/>
    </row>
    <row r="72" spans="1:22" hidden="1">
      <c r="A72" s="33" t="s">
        <v>33</v>
      </c>
      <c r="C72" s="6" t="str">
        <f t="shared" ref="C72" si="48">D72</f>
        <v>RETAIL</v>
      </c>
      <c r="D72" s="10" t="str">
        <f>"RETAIL"</f>
        <v>RETAIL</v>
      </c>
      <c r="I72" s="7"/>
      <c r="J72" s="7"/>
      <c r="K72" s="7"/>
      <c r="L72" s="7"/>
      <c r="M72" s="7"/>
      <c r="P72" s="7"/>
      <c r="V72" s="18"/>
    </row>
    <row r="73" spans="1:22">
      <c r="A73" s="33" t="s">
        <v>35</v>
      </c>
      <c r="C73" s="6" t="str">
        <f t="shared" ref="C73:C119" si="49">C72</f>
        <v>RETAIL</v>
      </c>
      <c r="D73" s="10" t="str">
        <f>"""GP Direct"",""Fabrikam, Inc."",""Jet Item by Location"",""Class Code"",""RETAIL"",""Item Number"",""ACCS-CRD-12WH"",""Item Description"",""Phone Cord - 12' White"",""Current Cost"",""3.29000"""</f>
        <v>"GP Direct","Fabrikam, Inc.","Jet Item by Location","Class Code","RETAIL","Item Number","ACCS-CRD-12WH","Item Description","Phone Cord - 12' White","Current Cost","3.29000"</v>
      </c>
      <c r="E73" s="16" t="str">
        <f t="shared" ref="E73:E117" si="50">"RETAIL"</f>
        <v>RETAIL</v>
      </c>
      <c r="F73" s="16" t="str">
        <f>"ACCS-CRD-12WH"</f>
        <v>ACCS-CRD-12WH</v>
      </c>
      <c r="G73" s="16" t="str">
        <f>"Phone Cord - 12' White"</f>
        <v>Phone Cord - 12' White</v>
      </c>
      <c r="H73" s="35">
        <v>3.29</v>
      </c>
      <c r="J73" s="23"/>
      <c r="K73" s="23">
        <v>0</v>
      </c>
      <c r="L73" s="23"/>
      <c r="M73" s="23">
        <v>1</v>
      </c>
      <c r="N73" s="23"/>
      <c r="O73" s="44">
        <f t="shared" ref="O73:O117" si="51">SUM(J73:N73)</f>
        <v>1</v>
      </c>
      <c r="P73" s="43"/>
      <c r="Q73" s="35"/>
      <c r="R73" s="35">
        <v>0</v>
      </c>
      <c r="S73" s="35"/>
      <c r="T73" s="35">
        <v>3.29</v>
      </c>
      <c r="U73" s="45">
        <f t="shared" ref="U73" si="52">SUM(Q73:Q73)</f>
        <v>0</v>
      </c>
      <c r="V73" s="18">
        <f t="shared" ref="V73:V117" si="53">V71+1</f>
        <v>1</v>
      </c>
    </row>
    <row r="74" spans="1:22">
      <c r="A74" s="33" t="s">
        <v>35</v>
      </c>
      <c r="C74" s="6" t="str">
        <f t="shared" ref="C74:C117" si="54">C73</f>
        <v>RETAIL</v>
      </c>
      <c r="D74" s="10" t="str">
        <f>"""GP Direct"",""Fabrikam, Inc."",""Jet Item by Location"",""Class Code"",""RETAIL"",""Item Number"",""ACCS-CRD-25BK"",""Item Description"",""Phone Cord - 25' Black"",""Current Cost"",""5.98000"""</f>
        <v>"GP Direct","Fabrikam, Inc.","Jet Item by Location","Class Code","RETAIL","Item Number","ACCS-CRD-25BK","Item Description","Phone Cord - 25' Black","Current Cost","5.98000"</v>
      </c>
      <c r="E74" s="16" t="str">
        <f t="shared" si="50"/>
        <v>RETAIL</v>
      </c>
      <c r="F74" s="16" t="str">
        <f>"ACCS-CRD-25BK"</f>
        <v>ACCS-CRD-25BK</v>
      </c>
      <c r="G74" s="16" t="str">
        <f>"Phone Cord - 25' Black"</f>
        <v>Phone Cord - 25' Black</v>
      </c>
      <c r="H74" s="35">
        <v>5.98</v>
      </c>
      <c r="J74" s="23"/>
      <c r="K74" s="23">
        <v>0</v>
      </c>
      <c r="L74" s="23"/>
      <c r="M74" s="23">
        <v>103</v>
      </c>
      <c r="N74" s="23"/>
      <c r="O74" s="44">
        <f t="shared" si="51"/>
        <v>103</v>
      </c>
      <c r="P74" s="43"/>
      <c r="Q74" s="35"/>
      <c r="R74" s="35">
        <v>0</v>
      </c>
      <c r="S74" s="35"/>
      <c r="T74" s="35">
        <v>615.94000000000005</v>
      </c>
      <c r="U74" s="45">
        <f t="shared" ref="U74:U117" si="55">SUM(Q74:Q74)</f>
        <v>0</v>
      </c>
      <c r="V74" s="18">
        <f t="shared" si="53"/>
        <v>1</v>
      </c>
    </row>
    <row r="75" spans="1:22">
      <c r="A75" s="33" t="s">
        <v>35</v>
      </c>
      <c r="C75" s="6" t="str">
        <f t="shared" si="54"/>
        <v>RETAIL</v>
      </c>
      <c r="D75" s="10" t="str">
        <f>"""GP Direct"",""Fabrikam, Inc."",""Jet Item by Location"",""Class Code"",""RETAIL"",""Item Number"",""ACCS-HDS-1EAR"",""Item Description"",""Headset-Single Ear"",""Current Cost"",""38.59000"""</f>
        <v>"GP Direct","Fabrikam, Inc.","Jet Item by Location","Class Code","RETAIL","Item Number","ACCS-HDS-1EAR","Item Description","Headset-Single Ear","Current Cost","38.59000"</v>
      </c>
      <c r="E75" s="16" t="str">
        <f t="shared" si="50"/>
        <v>RETAIL</v>
      </c>
      <c r="F75" s="16" t="str">
        <f>"ACCS-HDS-1EAR"</f>
        <v>ACCS-HDS-1EAR</v>
      </c>
      <c r="G75" s="16" t="str">
        <f>"Headset-Single Ear"</f>
        <v>Headset-Single Ear</v>
      </c>
      <c r="H75" s="35">
        <v>38.590000000000003</v>
      </c>
      <c r="J75" s="23"/>
      <c r="K75" s="23">
        <v>0</v>
      </c>
      <c r="L75" s="23"/>
      <c r="M75" s="23">
        <v>46</v>
      </c>
      <c r="N75" s="23"/>
      <c r="O75" s="44">
        <f t="shared" si="51"/>
        <v>46</v>
      </c>
      <c r="P75" s="43"/>
      <c r="Q75" s="35"/>
      <c r="R75" s="35">
        <v>0</v>
      </c>
      <c r="S75" s="35"/>
      <c r="T75" s="35">
        <v>1775.14</v>
      </c>
      <c r="U75" s="45">
        <f t="shared" si="55"/>
        <v>0</v>
      </c>
      <c r="V75" s="18">
        <f t="shared" si="53"/>
        <v>2</v>
      </c>
    </row>
    <row r="76" spans="1:22">
      <c r="A76" s="33" t="s">
        <v>35</v>
      </c>
      <c r="C76" s="6" t="str">
        <f t="shared" si="54"/>
        <v>RETAIL</v>
      </c>
      <c r="D76" s="10" t="str">
        <f>"""GP Direct"",""Fabrikam, Inc."",""Jet Item by Location"",""Class Code"",""RETAIL"",""Item Number"",""ACCS-HDS-2EAR"",""Item Description"",""Headset - Dual Ear"",""Current Cost"",""41.98000"""</f>
        <v>"GP Direct","Fabrikam, Inc.","Jet Item by Location","Class Code","RETAIL","Item Number","ACCS-HDS-2EAR","Item Description","Headset - Dual Ear","Current Cost","41.98000"</v>
      </c>
      <c r="E76" s="16" t="str">
        <f t="shared" si="50"/>
        <v>RETAIL</v>
      </c>
      <c r="F76" s="16" t="str">
        <f>"ACCS-HDS-2EAR"</f>
        <v>ACCS-HDS-2EAR</v>
      </c>
      <c r="G76" s="16" t="str">
        <f>"Headset - Dual Ear"</f>
        <v>Headset - Dual Ear</v>
      </c>
      <c r="H76" s="35">
        <v>41.98</v>
      </c>
      <c r="J76" s="23"/>
      <c r="K76" s="23">
        <v>0</v>
      </c>
      <c r="L76" s="23"/>
      <c r="M76" s="23">
        <v>126</v>
      </c>
      <c r="N76" s="23"/>
      <c r="O76" s="44">
        <f t="shared" si="51"/>
        <v>126</v>
      </c>
      <c r="P76" s="43"/>
      <c r="Q76" s="35"/>
      <c r="R76" s="35">
        <v>0</v>
      </c>
      <c r="S76" s="35"/>
      <c r="T76" s="35">
        <v>5289.48</v>
      </c>
      <c r="U76" s="45">
        <f t="shared" si="55"/>
        <v>0</v>
      </c>
      <c r="V76" s="18">
        <f t="shared" si="53"/>
        <v>2</v>
      </c>
    </row>
    <row r="77" spans="1:22">
      <c r="A77" s="33" t="s">
        <v>35</v>
      </c>
      <c r="C77" s="6" t="str">
        <f t="shared" si="54"/>
        <v>RETAIL</v>
      </c>
      <c r="D77" s="10" t="str">
        <f>"""GP Direct"",""Fabrikam, Inc."",""Jet Item by Location"",""Class Code"",""RETAIL"",""Item Number"",""ACCS-RST-DXBK"",""Item Description"",""Shoulder Rest-Deluxe Black"",""Current Cost"",""4.55000"""</f>
        <v>"GP Direct","Fabrikam, Inc.","Jet Item by Location","Class Code","RETAIL","Item Number","ACCS-RST-DXBK","Item Description","Shoulder Rest-Deluxe Black","Current Cost","4.55000"</v>
      </c>
      <c r="E77" s="16" t="str">
        <f t="shared" si="50"/>
        <v>RETAIL</v>
      </c>
      <c r="F77" s="16" t="str">
        <f>"ACCS-RST-DXBK"</f>
        <v>ACCS-RST-DXBK</v>
      </c>
      <c r="G77" s="16" t="str">
        <f>"Shoulder Rest-Deluxe Black"</f>
        <v>Shoulder Rest-Deluxe Black</v>
      </c>
      <c r="H77" s="35">
        <v>4.55</v>
      </c>
      <c r="J77" s="23"/>
      <c r="K77" s="23">
        <v>0</v>
      </c>
      <c r="L77" s="23"/>
      <c r="M77" s="23">
        <v>-44</v>
      </c>
      <c r="N77" s="23"/>
      <c r="O77" s="44">
        <f t="shared" si="51"/>
        <v>-44</v>
      </c>
      <c r="P77" s="43"/>
      <c r="Q77" s="35"/>
      <c r="R77" s="35">
        <v>0</v>
      </c>
      <c r="S77" s="35"/>
      <c r="T77" s="35">
        <v>-200.2</v>
      </c>
      <c r="U77" s="45">
        <f t="shared" si="55"/>
        <v>0</v>
      </c>
      <c r="V77" s="18">
        <f t="shared" si="53"/>
        <v>3</v>
      </c>
    </row>
    <row r="78" spans="1:22">
      <c r="A78" s="33" t="s">
        <v>35</v>
      </c>
      <c r="C78" s="6" t="str">
        <f t="shared" si="54"/>
        <v>RETAIL</v>
      </c>
      <c r="D78" s="10" t="str">
        <f>"""GP Direct"",""Fabrikam, Inc."",""Jet Item by Location"",""Class Code"",""RETAIL"",""Item Number"",""ACCS-RST-DXWH"",""Item Description"",""Shoulder Rest - Deluxe White"",""Current Cost"",""4.55000"""</f>
        <v>"GP Direct","Fabrikam, Inc.","Jet Item by Location","Class Code","RETAIL","Item Number","ACCS-RST-DXWH","Item Description","Shoulder Rest - Deluxe White","Current Cost","4.55000"</v>
      </c>
      <c r="E78" s="16" t="str">
        <f t="shared" si="50"/>
        <v>RETAIL</v>
      </c>
      <c r="F78" s="16" t="str">
        <f>"ACCS-RST-DXWH"</f>
        <v>ACCS-RST-DXWH</v>
      </c>
      <c r="G78" s="16" t="str">
        <f>"Shoulder Rest - Deluxe White"</f>
        <v>Shoulder Rest - Deluxe White</v>
      </c>
      <c r="H78" s="35">
        <v>4.55</v>
      </c>
      <c r="J78" s="23"/>
      <c r="K78" s="23">
        <v>0</v>
      </c>
      <c r="L78" s="23"/>
      <c r="M78" s="23">
        <v>-47</v>
      </c>
      <c r="N78" s="23"/>
      <c r="O78" s="44">
        <f t="shared" si="51"/>
        <v>-47</v>
      </c>
      <c r="P78" s="43"/>
      <c r="Q78" s="35"/>
      <c r="R78" s="35">
        <v>0</v>
      </c>
      <c r="S78" s="35"/>
      <c r="T78" s="35">
        <v>-213.85</v>
      </c>
      <c r="U78" s="45">
        <f t="shared" si="55"/>
        <v>0</v>
      </c>
      <c r="V78" s="18">
        <f t="shared" si="53"/>
        <v>3</v>
      </c>
    </row>
    <row r="79" spans="1:22">
      <c r="A79" s="33" t="s">
        <v>35</v>
      </c>
      <c r="C79" s="6" t="str">
        <f t="shared" si="54"/>
        <v>RETAIL</v>
      </c>
      <c r="D79" s="10" t="str">
        <f>"""GP Direct"",""Fabrikam, Inc."",""Jet Item by Location"",""Class Code"",""RETAIL"",""Item Number"",""ANSW-ATT-1000"",""Item Description"",""Attractive Answering System 1000"",""Current Cost"",""59.29000"""</f>
        <v>"GP Direct","Fabrikam, Inc.","Jet Item by Location","Class Code","RETAIL","Item Number","ANSW-ATT-1000","Item Description","Attractive Answering System 1000","Current Cost","59.29000"</v>
      </c>
      <c r="E79" s="16" t="str">
        <f t="shared" si="50"/>
        <v>RETAIL</v>
      </c>
      <c r="F79" s="16" t="str">
        <f>"ANSW-ATT-1000"</f>
        <v>ANSW-ATT-1000</v>
      </c>
      <c r="G79" s="16" t="str">
        <f>"Attractive Answering System 1000"</f>
        <v>Attractive Answering System 1000</v>
      </c>
      <c r="H79" s="35">
        <v>59.29</v>
      </c>
      <c r="J79" s="23"/>
      <c r="K79" s="23">
        <v>0</v>
      </c>
      <c r="L79" s="23"/>
      <c r="M79" s="23">
        <v>2</v>
      </c>
      <c r="N79" s="23"/>
      <c r="O79" s="44">
        <f t="shared" si="51"/>
        <v>2</v>
      </c>
      <c r="P79" s="43"/>
      <c r="Q79" s="35"/>
      <c r="R79" s="35">
        <v>0</v>
      </c>
      <c r="S79" s="35"/>
      <c r="T79" s="35">
        <v>118.58</v>
      </c>
      <c r="U79" s="45">
        <f t="shared" si="55"/>
        <v>0</v>
      </c>
      <c r="V79" s="18">
        <f t="shared" si="53"/>
        <v>4</v>
      </c>
    </row>
    <row r="80" spans="1:22">
      <c r="A80" s="33" t="s">
        <v>35</v>
      </c>
      <c r="C80" s="6" t="str">
        <f t="shared" si="54"/>
        <v>RETAIL</v>
      </c>
      <c r="D80" s="10" t="str">
        <f>"""GP Direct"",""Fabrikam, Inc."",""Jet Item by Location"",""Class Code"",""RETAIL"",""Item Number"",""ANSW-PAN-1450"",""Item Description"",""Panache KX-T1450 answer"",""Current Cost"",""50.25000"""</f>
        <v>"GP Direct","Fabrikam, Inc.","Jet Item by Location","Class Code","RETAIL","Item Number","ANSW-PAN-1450","Item Description","Panache KX-T1450 answer","Current Cost","50.25000"</v>
      </c>
      <c r="E80" s="16" t="str">
        <f t="shared" si="50"/>
        <v>RETAIL</v>
      </c>
      <c r="F80" s="16" t="str">
        <f>"ANSW-PAN-1450"</f>
        <v>ANSW-PAN-1450</v>
      </c>
      <c r="G80" s="16" t="str">
        <f>"Panache KX-T1450 answer"</f>
        <v>Panache KX-T1450 answer</v>
      </c>
      <c r="H80" s="35">
        <v>50.25</v>
      </c>
      <c r="J80" s="23"/>
      <c r="K80" s="23">
        <v>0</v>
      </c>
      <c r="L80" s="23"/>
      <c r="M80" s="23">
        <v>-22</v>
      </c>
      <c r="N80" s="23"/>
      <c r="O80" s="44">
        <f t="shared" si="51"/>
        <v>-22</v>
      </c>
      <c r="P80" s="43"/>
      <c r="Q80" s="35"/>
      <c r="R80" s="35">
        <v>0</v>
      </c>
      <c r="S80" s="35"/>
      <c r="T80" s="35">
        <v>-1105.5</v>
      </c>
      <c r="U80" s="45">
        <f t="shared" si="55"/>
        <v>0</v>
      </c>
      <c r="V80" s="18">
        <f t="shared" si="53"/>
        <v>4</v>
      </c>
    </row>
    <row r="81" spans="1:22">
      <c r="A81" s="33" t="s">
        <v>35</v>
      </c>
      <c r="C81" s="6" t="str">
        <f t="shared" si="54"/>
        <v>RETAIL</v>
      </c>
      <c r="D81" s="10" t="str">
        <f>"""GP Direct"",""Fabrikam, Inc."",""Jet Item by Location"",""Class Code"",""RETAIL"",""Item Number"",""ANSW-PAN-2460"",""Item Description"",""Panache KX-T2460 answer"",""Current Cost"",""73.25000"""</f>
        <v>"GP Direct","Fabrikam, Inc.","Jet Item by Location","Class Code","RETAIL","Item Number","ANSW-PAN-2460","Item Description","Panache KX-T2460 answer","Current Cost","73.25000"</v>
      </c>
      <c r="E81" s="16" t="str">
        <f t="shared" si="50"/>
        <v>RETAIL</v>
      </c>
      <c r="F81" s="16" t="str">
        <f>"ANSW-PAN-2460"</f>
        <v>ANSW-PAN-2460</v>
      </c>
      <c r="G81" s="16" t="str">
        <f>"Panache KX-T2460 answer"</f>
        <v>Panache KX-T2460 answer</v>
      </c>
      <c r="H81" s="35">
        <v>73.25</v>
      </c>
      <c r="J81" s="23"/>
      <c r="K81" s="23">
        <v>0</v>
      </c>
      <c r="L81" s="23"/>
      <c r="M81" s="23">
        <v>38</v>
      </c>
      <c r="N81" s="23"/>
      <c r="O81" s="44">
        <f t="shared" si="51"/>
        <v>38</v>
      </c>
      <c r="P81" s="43"/>
      <c r="Q81" s="35"/>
      <c r="R81" s="35">
        <v>0</v>
      </c>
      <c r="S81" s="35"/>
      <c r="T81" s="35">
        <v>2783.5</v>
      </c>
      <c r="U81" s="45">
        <f t="shared" si="55"/>
        <v>0</v>
      </c>
      <c r="V81" s="18">
        <f t="shared" si="53"/>
        <v>5</v>
      </c>
    </row>
    <row r="82" spans="1:22">
      <c r="A82" s="33" t="s">
        <v>35</v>
      </c>
      <c r="C82" s="6" t="str">
        <f t="shared" si="54"/>
        <v>RETAIL</v>
      </c>
      <c r="D82" s="10" t="str">
        <f>"""GP Direct"",""Fabrikam, Inc."",""Jet Item by Location"",""Class Code"",""RETAIL"",""Item Number"",""FAXX-CAN-9800"",""Item Description"",""Cantata FaxPhone 9800"",""Current Cost"",""1197.00000"""</f>
        <v>"GP Direct","Fabrikam, Inc.","Jet Item by Location","Class Code","RETAIL","Item Number","FAXX-CAN-9800","Item Description","Cantata FaxPhone 9800","Current Cost","1197.00000"</v>
      </c>
      <c r="E82" s="16" t="str">
        <f t="shared" si="50"/>
        <v>RETAIL</v>
      </c>
      <c r="F82" s="16" t="str">
        <f>"FAXX-CAN-9800"</f>
        <v>FAXX-CAN-9800</v>
      </c>
      <c r="G82" s="16" t="str">
        <f>"Cantata FaxPhone 9800"</f>
        <v>Cantata FaxPhone 9800</v>
      </c>
      <c r="H82" s="35">
        <v>1197</v>
      </c>
      <c r="J82" s="23"/>
      <c r="K82" s="23">
        <v>0</v>
      </c>
      <c r="L82" s="23"/>
      <c r="M82" s="23">
        <v>-20</v>
      </c>
      <c r="N82" s="23"/>
      <c r="O82" s="44">
        <f t="shared" si="51"/>
        <v>-20</v>
      </c>
      <c r="P82" s="43"/>
      <c r="Q82" s="35"/>
      <c r="R82" s="35">
        <v>0</v>
      </c>
      <c r="S82" s="35"/>
      <c r="T82" s="35">
        <v>-23940</v>
      </c>
      <c r="U82" s="45">
        <f t="shared" si="55"/>
        <v>0</v>
      </c>
      <c r="V82" s="18">
        <f t="shared" si="53"/>
        <v>5</v>
      </c>
    </row>
    <row r="83" spans="1:22">
      <c r="A83" s="33" t="s">
        <v>35</v>
      </c>
      <c r="C83" s="6" t="str">
        <f t="shared" si="54"/>
        <v>RETAIL</v>
      </c>
      <c r="D83" s="10" t="str">
        <f>"""GP Direct"",""Fabrikam, Inc."",""Jet Item by Location"",""Class Code"",""RETAIL"",""Item Number"",""FAXX-RIC-060E"",""Item Description"",""Richelieu Fax 60E"",""Current Cost"",""479.05000"""</f>
        <v>"GP Direct","Fabrikam, Inc.","Jet Item by Location","Class Code","RETAIL","Item Number","FAXX-RIC-060E","Item Description","Richelieu Fax 60E","Current Cost","479.05000"</v>
      </c>
      <c r="E83" s="16" t="str">
        <f t="shared" si="50"/>
        <v>RETAIL</v>
      </c>
      <c r="F83" s="16" t="str">
        <f>"FAXX-RIC-060E"</f>
        <v>FAXX-RIC-060E</v>
      </c>
      <c r="G83" s="16" t="str">
        <f>"Richelieu Fax 60E"</f>
        <v>Richelieu Fax 60E</v>
      </c>
      <c r="H83" s="35">
        <v>479.05</v>
      </c>
      <c r="J83" s="23"/>
      <c r="K83" s="23">
        <v>0</v>
      </c>
      <c r="L83" s="23"/>
      <c r="M83" s="23">
        <v>-4</v>
      </c>
      <c r="N83" s="23"/>
      <c r="O83" s="44">
        <f t="shared" si="51"/>
        <v>-4</v>
      </c>
      <c r="P83" s="43"/>
      <c r="Q83" s="35"/>
      <c r="R83" s="35">
        <v>0</v>
      </c>
      <c r="S83" s="35"/>
      <c r="T83" s="35">
        <v>-1916.2</v>
      </c>
      <c r="U83" s="45">
        <f t="shared" si="55"/>
        <v>0</v>
      </c>
      <c r="V83" s="18">
        <f t="shared" si="53"/>
        <v>6</v>
      </c>
    </row>
    <row r="84" spans="1:22">
      <c r="A84" s="33" t="s">
        <v>35</v>
      </c>
      <c r="C84" s="6" t="str">
        <f t="shared" si="54"/>
        <v>RETAIL</v>
      </c>
      <c r="D84" s="10" t="str">
        <f>"""GP Direct"",""Fabrikam, Inc."",""Jet Item by Location"",""Class Code"",""RETAIL"",""Item Number"",""FAXX-SLK-0172"",""Item Description"",""Sleek UX-172 fax"",""Current Cost"",""674.50000"""</f>
        <v>"GP Direct","Fabrikam, Inc.","Jet Item by Location","Class Code","RETAIL","Item Number","FAXX-SLK-0172","Item Description","Sleek UX-172 fax","Current Cost","674.50000"</v>
      </c>
      <c r="E84" s="16" t="str">
        <f t="shared" si="50"/>
        <v>RETAIL</v>
      </c>
      <c r="F84" s="16" t="str">
        <f>"FAXX-SLK-0172"</f>
        <v>FAXX-SLK-0172</v>
      </c>
      <c r="G84" s="16" t="str">
        <f>"Sleek UX-172 fax"</f>
        <v>Sleek UX-172 fax</v>
      </c>
      <c r="H84" s="35">
        <v>674.5</v>
      </c>
      <c r="J84" s="23"/>
      <c r="K84" s="23">
        <v>0</v>
      </c>
      <c r="L84" s="23"/>
      <c r="M84" s="23">
        <v>-1</v>
      </c>
      <c r="N84" s="23"/>
      <c r="O84" s="44">
        <f t="shared" si="51"/>
        <v>-1</v>
      </c>
      <c r="P84" s="43"/>
      <c r="Q84" s="35"/>
      <c r="R84" s="35">
        <v>0</v>
      </c>
      <c r="S84" s="35"/>
      <c r="T84" s="35">
        <v>-674.5</v>
      </c>
      <c r="U84" s="45">
        <f t="shared" si="55"/>
        <v>0</v>
      </c>
      <c r="V84" s="18">
        <f t="shared" si="53"/>
        <v>6</v>
      </c>
    </row>
    <row r="85" spans="1:22">
      <c r="A85" s="33" t="s">
        <v>35</v>
      </c>
      <c r="C85" s="6" t="str">
        <f t="shared" si="54"/>
        <v>RETAIL</v>
      </c>
      <c r="D85" s="10" t="str">
        <f>"""GP Direct"",""Fabrikam, Inc."",""Jet Item by Location"",""Class Code"",""RETAIL"",""Item Number"",""FAXX-SLK-2100"",""Item Description"",""Sleek UX-2100 fax"",""Current Cost"",""899.00000"""</f>
        <v>"GP Direct","Fabrikam, Inc.","Jet Item by Location","Class Code","RETAIL","Item Number","FAXX-SLK-2100","Item Description","Sleek UX-2100 fax","Current Cost","899.00000"</v>
      </c>
      <c r="E85" s="16" t="str">
        <f t="shared" si="50"/>
        <v>RETAIL</v>
      </c>
      <c r="F85" s="16" t="str">
        <f>"FAXX-SLK-2100"</f>
        <v>FAXX-SLK-2100</v>
      </c>
      <c r="G85" s="16" t="str">
        <f>"Sleek UX-2100 fax"</f>
        <v>Sleek UX-2100 fax</v>
      </c>
      <c r="H85" s="35">
        <v>899</v>
      </c>
      <c r="J85" s="23"/>
      <c r="K85" s="23">
        <v>0</v>
      </c>
      <c r="L85" s="23"/>
      <c r="M85" s="23">
        <v>5</v>
      </c>
      <c r="N85" s="23"/>
      <c r="O85" s="44">
        <f t="shared" si="51"/>
        <v>5</v>
      </c>
      <c r="P85" s="43"/>
      <c r="Q85" s="35"/>
      <c r="R85" s="35">
        <v>0</v>
      </c>
      <c r="S85" s="35"/>
      <c r="T85" s="35">
        <v>4495</v>
      </c>
      <c r="U85" s="45">
        <f t="shared" si="55"/>
        <v>0</v>
      </c>
      <c r="V85" s="18">
        <f t="shared" si="53"/>
        <v>7</v>
      </c>
    </row>
    <row r="86" spans="1:22">
      <c r="A86" s="33" t="s">
        <v>35</v>
      </c>
      <c r="C86" s="6" t="str">
        <f t="shared" si="54"/>
        <v>RETAIL</v>
      </c>
      <c r="D86" s="10" t="str">
        <f>"""GP Direct"",""Fabrikam, Inc."",""Jet Item by Location"",""Class Code"",""RETAIL"",""Item Number"",""HDWR-ACC-0100"",""Item Description"",""Acclaimed Call Center System 100"",""Current Cost"",""35000.00000"""</f>
        <v>"GP Direct","Fabrikam, Inc.","Jet Item by Location","Class Code","RETAIL","Item Number","HDWR-ACC-0100","Item Description","Acclaimed Call Center System 100","Current Cost","35000.00000"</v>
      </c>
      <c r="E86" s="16" t="str">
        <f t="shared" si="50"/>
        <v>RETAIL</v>
      </c>
      <c r="F86" s="16" t="str">
        <f>"HDWR-ACC-0100"</f>
        <v>HDWR-ACC-0100</v>
      </c>
      <c r="G86" s="16" t="str">
        <f>"Acclaimed Call Center System 100"</f>
        <v>Acclaimed Call Center System 100</v>
      </c>
      <c r="H86" s="35">
        <v>35000</v>
      </c>
      <c r="J86" s="23"/>
      <c r="K86" s="23">
        <v>0</v>
      </c>
      <c r="L86" s="23"/>
      <c r="M86" s="23">
        <v>2</v>
      </c>
      <c r="N86" s="23"/>
      <c r="O86" s="44">
        <f t="shared" si="51"/>
        <v>2</v>
      </c>
      <c r="P86" s="43"/>
      <c r="Q86" s="35"/>
      <c r="R86" s="35">
        <v>0</v>
      </c>
      <c r="S86" s="35"/>
      <c r="T86" s="35">
        <v>70000</v>
      </c>
      <c r="U86" s="45">
        <f t="shared" si="55"/>
        <v>0</v>
      </c>
      <c r="V86" s="18">
        <f t="shared" si="53"/>
        <v>7</v>
      </c>
    </row>
    <row r="87" spans="1:22">
      <c r="A87" s="33" t="s">
        <v>35</v>
      </c>
      <c r="C87" s="6" t="str">
        <f t="shared" si="54"/>
        <v>RETAIL</v>
      </c>
      <c r="D87" s="10" t="str">
        <f>"""GP Direct"",""Fabrikam, Inc."",""Jet Item by Location"",""Class Code"",""RETAIL"",""Item Number"",""HDWR-CAB-0001"",""Item Description"",""Central Cabinet"",""Current Cost"",""6921.88000"""</f>
        <v>"GP Direct","Fabrikam, Inc.","Jet Item by Location","Class Code","RETAIL","Item Number","HDWR-CAB-0001","Item Description","Central Cabinet","Current Cost","6921.88000"</v>
      </c>
      <c r="E87" s="16" t="str">
        <f t="shared" si="50"/>
        <v>RETAIL</v>
      </c>
      <c r="F87" s="16" t="str">
        <f>"HDWR-CAB-0001"</f>
        <v>HDWR-CAB-0001</v>
      </c>
      <c r="G87" s="16" t="str">
        <f>"Central Cabinet"</f>
        <v>Central Cabinet</v>
      </c>
      <c r="H87" s="35">
        <v>6921.88</v>
      </c>
      <c r="J87" s="23"/>
      <c r="K87" s="23">
        <v>-9</v>
      </c>
      <c r="L87" s="23"/>
      <c r="M87" s="23">
        <v>-1</v>
      </c>
      <c r="N87" s="23"/>
      <c r="O87" s="44">
        <f t="shared" si="51"/>
        <v>-10</v>
      </c>
      <c r="P87" s="43"/>
      <c r="Q87" s="35"/>
      <c r="R87" s="35">
        <v>-62296.92</v>
      </c>
      <c r="S87" s="35"/>
      <c r="T87" s="35">
        <v>-6921.88</v>
      </c>
      <c r="U87" s="45">
        <f t="shared" si="55"/>
        <v>0</v>
      </c>
      <c r="V87" s="18">
        <f t="shared" si="53"/>
        <v>8</v>
      </c>
    </row>
    <row r="88" spans="1:22">
      <c r="A88" s="33" t="s">
        <v>35</v>
      </c>
      <c r="C88" s="6" t="str">
        <f t="shared" si="54"/>
        <v>RETAIL</v>
      </c>
      <c r="D88" s="10" t="str">
        <f>"""GP Direct"",""Fabrikam, Inc."",""Jet Item by Location"",""Class Code"",""RETAIL"",""Item Number"",""HDWR-CIM-0001"",""Item Description"",""Control interface/Memory"",""Current Cost"",""3290.55000"""</f>
        <v>"GP Direct","Fabrikam, Inc.","Jet Item by Location","Class Code","RETAIL","Item Number","HDWR-CIM-0001","Item Description","Control interface/Memory","Current Cost","3290.55000"</v>
      </c>
      <c r="E88" s="16" t="str">
        <f t="shared" si="50"/>
        <v>RETAIL</v>
      </c>
      <c r="F88" s="16" t="str">
        <f>"HDWR-CIM-0001"</f>
        <v>HDWR-CIM-0001</v>
      </c>
      <c r="G88" s="16" t="str">
        <f>"Control interface/Memory"</f>
        <v>Control interface/Memory</v>
      </c>
      <c r="H88" s="35">
        <v>3290.55</v>
      </c>
      <c r="J88" s="23"/>
      <c r="K88" s="23">
        <v>0</v>
      </c>
      <c r="L88" s="23"/>
      <c r="M88" s="23">
        <v>20</v>
      </c>
      <c r="N88" s="23"/>
      <c r="O88" s="44">
        <f t="shared" si="51"/>
        <v>20</v>
      </c>
      <c r="P88" s="43"/>
      <c r="Q88" s="35"/>
      <c r="R88" s="35">
        <v>0</v>
      </c>
      <c r="S88" s="35"/>
      <c r="T88" s="35">
        <v>65811</v>
      </c>
      <c r="U88" s="45">
        <f t="shared" si="55"/>
        <v>0</v>
      </c>
      <c r="V88" s="18">
        <f t="shared" si="53"/>
        <v>8</v>
      </c>
    </row>
    <row r="89" spans="1:22">
      <c r="A89" s="33" t="s">
        <v>35</v>
      </c>
      <c r="C89" s="6" t="str">
        <f t="shared" si="54"/>
        <v>RETAIL</v>
      </c>
      <c r="D89" s="10" t="str">
        <f>"""GP Direct"",""Fabrikam, Inc."",""Jet Item by Location"",""Class Code"",""RETAIL"",""Item Number"",""HDWR-DCD-0001"",""Item Description"",""Assembled Data Card"",""Current Cost"",""0.00000"""</f>
        <v>"GP Direct","Fabrikam, Inc.","Jet Item by Location","Class Code","RETAIL","Item Number","HDWR-DCD-0001","Item Description","Assembled Data Card","Current Cost","0.00000"</v>
      </c>
      <c r="E89" s="16" t="str">
        <f t="shared" si="50"/>
        <v>RETAIL</v>
      </c>
      <c r="F89" s="16" t="str">
        <f>"HDWR-DCD-0001"</f>
        <v>HDWR-DCD-0001</v>
      </c>
      <c r="G89" s="16" t="str">
        <f>"Assembled Data Card"</f>
        <v>Assembled Data Card</v>
      </c>
      <c r="H89" s="35">
        <v>0</v>
      </c>
      <c r="J89" s="23"/>
      <c r="K89" s="23">
        <v>0</v>
      </c>
      <c r="L89" s="23"/>
      <c r="M89" s="23">
        <v>0</v>
      </c>
      <c r="N89" s="23"/>
      <c r="O89" s="44">
        <f t="shared" si="51"/>
        <v>0</v>
      </c>
      <c r="P89" s="43"/>
      <c r="Q89" s="35"/>
      <c r="R89" s="35">
        <v>0</v>
      </c>
      <c r="S89" s="35"/>
      <c r="T89" s="35">
        <v>0</v>
      </c>
      <c r="U89" s="45">
        <f t="shared" si="55"/>
        <v>0</v>
      </c>
      <c r="V89" s="18">
        <f t="shared" si="53"/>
        <v>9</v>
      </c>
    </row>
    <row r="90" spans="1:22">
      <c r="A90" s="33" t="s">
        <v>35</v>
      </c>
      <c r="C90" s="6" t="str">
        <f t="shared" si="54"/>
        <v>RETAIL</v>
      </c>
      <c r="D90" s="10" t="str">
        <f>"""GP Direct"",""Fabrikam, Inc."",""Jet Item by Location"",""Class Code"",""RETAIL"",""Item Number"",""HDWR-LDS-0001"",""Item Description"",""Network LDS/Card"",""Current Cost"",""2700.00000"""</f>
        <v>"GP Direct","Fabrikam, Inc.","Jet Item by Location","Class Code","RETAIL","Item Number","HDWR-LDS-0001","Item Description","Network LDS/Card","Current Cost","2700.00000"</v>
      </c>
      <c r="E90" s="16" t="str">
        <f t="shared" si="50"/>
        <v>RETAIL</v>
      </c>
      <c r="F90" s="16" t="str">
        <f>"HDWR-LDS-0001"</f>
        <v>HDWR-LDS-0001</v>
      </c>
      <c r="G90" s="16" t="str">
        <f>"Network LDS/Card"</f>
        <v>Network LDS/Card</v>
      </c>
      <c r="H90" s="35">
        <v>2700</v>
      </c>
      <c r="J90" s="23"/>
      <c r="K90" s="23">
        <v>0</v>
      </c>
      <c r="L90" s="23"/>
      <c r="M90" s="23">
        <v>4</v>
      </c>
      <c r="N90" s="23"/>
      <c r="O90" s="44">
        <f t="shared" si="51"/>
        <v>4</v>
      </c>
      <c r="P90" s="43"/>
      <c r="Q90" s="35"/>
      <c r="R90" s="35">
        <v>0</v>
      </c>
      <c r="S90" s="35"/>
      <c r="T90" s="35">
        <v>10800</v>
      </c>
      <c r="U90" s="45">
        <f t="shared" si="55"/>
        <v>0</v>
      </c>
      <c r="V90" s="18">
        <f t="shared" si="53"/>
        <v>9</v>
      </c>
    </row>
    <row r="91" spans="1:22">
      <c r="A91" s="33" t="s">
        <v>35</v>
      </c>
      <c r="C91" s="6" t="str">
        <f t="shared" si="54"/>
        <v>RETAIL</v>
      </c>
      <c r="D91" s="10" t="str">
        <f>"""GP Direct"",""Fabrikam, Inc."",""Jet Item by Location"",""Class Code"",""RETAIL"",""Item Number"",""HDWR-PNL-0001"",""Item Description"",""Control Panel"",""Current Cost"",""303.85000"""</f>
        <v>"GP Direct","Fabrikam, Inc.","Jet Item by Location","Class Code","RETAIL","Item Number","HDWR-PNL-0001","Item Description","Control Panel","Current Cost","303.85000"</v>
      </c>
      <c r="E91" s="16" t="str">
        <f t="shared" si="50"/>
        <v>RETAIL</v>
      </c>
      <c r="F91" s="16" t="str">
        <f>"HDWR-PNL-0001"</f>
        <v>HDWR-PNL-0001</v>
      </c>
      <c r="G91" s="16" t="str">
        <f>"Control Panel"</f>
        <v>Control Panel</v>
      </c>
      <c r="H91" s="35">
        <v>303.85000000000002</v>
      </c>
      <c r="J91" s="23"/>
      <c r="K91" s="23">
        <v>0</v>
      </c>
      <c r="L91" s="23"/>
      <c r="M91" s="23">
        <v>-2</v>
      </c>
      <c r="N91" s="23"/>
      <c r="O91" s="44">
        <f t="shared" si="51"/>
        <v>-2</v>
      </c>
      <c r="P91" s="43"/>
      <c r="Q91" s="35"/>
      <c r="R91" s="35">
        <v>0</v>
      </c>
      <c r="S91" s="35"/>
      <c r="T91" s="35">
        <v>-607.70000000000005</v>
      </c>
      <c r="U91" s="45">
        <f t="shared" si="55"/>
        <v>0</v>
      </c>
      <c r="V91" s="18">
        <f t="shared" si="53"/>
        <v>10</v>
      </c>
    </row>
    <row r="92" spans="1:22">
      <c r="A92" s="33" t="s">
        <v>35</v>
      </c>
      <c r="C92" s="6" t="str">
        <f t="shared" si="54"/>
        <v>RETAIL</v>
      </c>
      <c r="D92" s="10" t="str">
        <f>"""GP Direct"",""Fabrikam, Inc."",""Jet Item by Location"",""Class Code"",""RETAIL"",""Item Number"",""HDWR-PRO-4862"",""Item Description"",""Pro processor 4S"",""Current Cost"",""2998.15000"""</f>
        <v>"GP Direct","Fabrikam, Inc.","Jet Item by Location","Class Code","RETAIL","Item Number","HDWR-PRO-4862","Item Description","Pro processor 4S","Current Cost","2998.15000"</v>
      </c>
      <c r="E92" s="16" t="str">
        <f t="shared" si="50"/>
        <v>RETAIL</v>
      </c>
      <c r="F92" s="16" t="str">
        <f>"HDWR-PRO-4862"</f>
        <v>HDWR-PRO-4862</v>
      </c>
      <c r="G92" s="16" t="str">
        <f>"Pro processor 4S"</f>
        <v>Pro processor 4S</v>
      </c>
      <c r="H92" s="35">
        <v>2998.15</v>
      </c>
      <c r="J92" s="23"/>
      <c r="K92" s="23">
        <v>0</v>
      </c>
      <c r="L92" s="23"/>
      <c r="M92" s="23">
        <v>8</v>
      </c>
      <c r="N92" s="23"/>
      <c r="O92" s="44">
        <f t="shared" si="51"/>
        <v>8</v>
      </c>
      <c r="P92" s="43"/>
      <c r="Q92" s="35"/>
      <c r="R92" s="35">
        <v>0</v>
      </c>
      <c r="S92" s="35"/>
      <c r="T92" s="35">
        <v>23985.200000000001</v>
      </c>
      <c r="U92" s="45">
        <f t="shared" si="55"/>
        <v>0</v>
      </c>
      <c r="V92" s="18">
        <f t="shared" si="53"/>
        <v>10</v>
      </c>
    </row>
    <row r="93" spans="1:22">
      <c r="A93" s="33" t="s">
        <v>35</v>
      </c>
      <c r="C93" s="6" t="str">
        <f t="shared" si="54"/>
        <v>RETAIL</v>
      </c>
      <c r="D93" s="10" t="str">
        <f>"""GP Direct"",""Fabrikam, Inc."",""Jet Item by Location"",""Class Code"",""RETAIL"",""Item Number"",""HDWR-PRO-4866"",""Item Description"",""Pro processor 4D"",""Current Cost"",""3379.25000"""</f>
        <v>"GP Direct","Fabrikam, Inc.","Jet Item by Location","Class Code","RETAIL","Item Number","HDWR-PRO-4866","Item Description","Pro processor 4D","Current Cost","3379.25000"</v>
      </c>
      <c r="E93" s="16" t="str">
        <f t="shared" si="50"/>
        <v>RETAIL</v>
      </c>
      <c r="F93" s="16" t="str">
        <f>"HDWR-PRO-4866"</f>
        <v>HDWR-PRO-4866</v>
      </c>
      <c r="G93" s="16" t="str">
        <f>"Pro processor 4D"</f>
        <v>Pro processor 4D</v>
      </c>
      <c r="H93" s="35">
        <v>3379.25</v>
      </c>
      <c r="J93" s="23"/>
      <c r="K93" s="23">
        <v>0</v>
      </c>
      <c r="L93" s="23"/>
      <c r="M93" s="23">
        <v>16</v>
      </c>
      <c r="N93" s="23"/>
      <c r="O93" s="44">
        <f t="shared" si="51"/>
        <v>16</v>
      </c>
      <c r="P93" s="43"/>
      <c r="Q93" s="35"/>
      <c r="R93" s="35">
        <v>0</v>
      </c>
      <c r="S93" s="35"/>
      <c r="T93" s="35">
        <v>54068</v>
      </c>
      <c r="U93" s="45">
        <f t="shared" si="55"/>
        <v>0</v>
      </c>
      <c r="V93" s="18">
        <f t="shared" si="53"/>
        <v>11</v>
      </c>
    </row>
    <row r="94" spans="1:22">
      <c r="A94" s="33" t="s">
        <v>35</v>
      </c>
      <c r="C94" s="6" t="str">
        <f t="shared" si="54"/>
        <v>RETAIL</v>
      </c>
      <c r="D94" s="10" t="str">
        <f>"""GP Direct"",""Fabrikam, Inc."",""Jet Item by Location"",""Class Code"",""RETAIL"",""Item Number"",""HDWR-RNG-0001"",""Item Description"",""Ring Generator"",""Current Cost"",""669.00000"""</f>
        <v>"GP Direct","Fabrikam, Inc.","Jet Item by Location","Class Code","RETAIL","Item Number","HDWR-RNG-0001","Item Description","Ring Generator","Current Cost","669.00000"</v>
      </c>
      <c r="E94" s="16" t="str">
        <f t="shared" si="50"/>
        <v>RETAIL</v>
      </c>
      <c r="F94" s="16" t="str">
        <f>"HDWR-RNG-0001"</f>
        <v>HDWR-RNG-0001</v>
      </c>
      <c r="G94" s="16" t="str">
        <f>"Ring Generator"</f>
        <v>Ring Generator</v>
      </c>
      <c r="H94" s="35">
        <v>669</v>
      </c>
      <c r="J94" s="23"/>
      <c r="K94" s="23">
        <v>0</v>
      </c>
      <c r="L94" s="23"/>
      <c r="M94" s="23">
        <v>-9</v>
      </c>
      <c r="N94" s="23"/>
      <c r="O94" s="44">
        <f t="shared" si="51"/>
        <v>-9</v>
      </c>
      <c r="P94" s="43"/>
      <c r="Q94" s="35"/>
      <c r="R94" s="35">
        <v>0</v>
      </c>
      <c r="S94" s="35"/>
      <c r="T94" s="35">
        <v>-6021</v>
      </c>
      <c r="U94" s="45">
        <f t="shared" si="55"/>
        <v>0</v>
      </c>
      <c r="V94" s="18">
        <f t="shared" si="53"/>
        <v>11</v>
      </c>
    </row>
    <row r="95" spans="1:22">
      <c r="A95" s="33" t="s">
        <v>35</v>
      </c>
      <c r="C95" s="6" t="str">
        <f t="shared" si="54"/>
        <v>RETAIL</v>
      </c>
      <c r="D95" s="10" t="str">
        <f>"""GP Direct"",""Fabrikam, Inc."",""Jet Item by Location"",""Class Code"",""RETAIL"",""Item Number"",""HDWR-SBD-0001"",""Item Description"",""Switchboard"",""Current Cost"",""14778.12000"""</f>
        <v>"GP Direct","Fabrikam, Inc.","Jet Item by Location","Class Code","RETAIL","Item Number","HDWR-SBD-0001","Item Description","Switchboard","Current Cost","14778.12000"</v>
      </c>
      <c r="E95" s="16" t="str">
        <f t="shared" si="50"/>
        <v>RETAIL</v>
      </c>
      <c r="F95" s="16" t="str">
        <f>"HDWR-SBD-0001"</f>
        <v>HDWR-SBD-0001</v>
      </c>
      <c r="G95" s="16" t="str">
        <f>"Switchboard"</f>
        <v>Switchboard</v>
      </c>
      <c r="H95" s="35">
        <v>14778.12</v>
      </c>
      <c r="J95" s="23"/>
      <c r="K95" s="23">
        <v>0</v>
      </c>
      <c r="L95" s="23"/>
      <c r="M95" s="23">
        <v>5</v>
      </c>
      <c r="N95" s="23"/>
      <c r="O95" s="44">
        <f t="shared" si="51"/>
        <v>5</v>
      </c>
      <c r="P95" s="43"/>
      <c r="Q95" s="35"/>
      <c r="R95" s="35">
        <v>0</v>
      </c>
      <c r="S95" s="35"/>
      <c r="T95" s="35">
        <v>73890.600000000006</v>
      </c>
      <c r="U95" s="45">
        <f t="shared" si="55"/>
        <v>0</v>
      </c>
      <c r="V95" s="18">
        <f t="shared" si="53"/>
        <v>12</v>
      </c>
    </row>
    <row r="96" spans="1:22">
      <c r="A96" s="33" t="s">
        <v>35</v>
      </c>
      <c r="C96" s="6" t="str">
        <f t="shared" si="54"/>
        <v>RETAIL</v>
      </c>
      <c r="D96" s="10" t="str">
        <f>"""GP Direct"",""Fabrikam, Inc."",""Jet Item by Location"",""Class Code"",""RETAIL"",""Item Number"",""HDWR-SRG-0001"",""Item Description"",""Surge Protector Panel"",""Current Cost"",""18.65000"""</f>
        <v>"GP Direct","Fabrikam, Inc.","Jet Item by Location","Class Code","RETAIL","Item Number","HDWR-SRG-0001","Item Description","Surge Protector Panel","Current Cost","18.65000"</v>
      </c>
      <c r="E96" s="16" t="str">
        <f t="shared" si="50"/>
        <v>RETAIL</v>
      </c>
      <c r="F96" s="16" t="str">
        <f>"HDWR-SRG-0001"</f>
        <v>HDWR-SRG-0001</v>
      </c>
      <c r="G96" s="16" t="str">
        <f>"Surge Protector Panel"</f>
        <v>Surge Protector Panel</v>
      </c>
      <c r="H96" s="35">
        <v>18.649999999999999</v>
      </c>
      <c r="J96" s="23"/>
      <c r="K96" s="23">
        <v>0</v>
      </c>
      <c r="L96" s="23"/>
      <c r="M96" s="23">
        <v>13</v>
      </c>
      <c r="N96" s="23"/>
      <c r="O96" s="44">
        <f t="shared" si="51"/>
        <v>13</v>
      </c>
      <c r="P96" s="43"/>
      <c r="Q96" s="35"/>
      <c r="R96" s="35">
        <v>0</v>
      </c>
      <c r="S96" s="35"/>
      <c r="T96" s="35">
        <v>242.45</v>
      </c>
      <c r="U96" s="45">
        <f t="shared" si="55"/>
        <v>0</v>
      </c>
      <c r="V96" s="18">
        <f t="shared" si="53"/>
        <v>12</v>
      </c>
    </row>
    <row r="97" spans="1:22">
      <c r="A97" s="33" t="s">
        <v>35</v>
      </c>
      <c r="C97" s="6" t="str">
        <f t="shared" si="54"/>
        <v>RETAIL</v>
      </c>
      <c r="D97" s="10" t="str">
        <f>"""GP Direct"",""Fabrikam, Inc."",""Jet Item by Location"",""Class Code"",""RETAIL"",""Item Number"",""HDWR-SWM-0100"",""Item Description"",""Switching Module (&lt;100)"",""Current Cost"",""7780.25000"""</f>
        <v>"GP Direct","Fabrikam, Inc.","Jet Item by Location","Class Code","RETAIL","Item Number","HDWR-SWM-0100","Item Description","Switching Module (&lt;100)","Current Cost","7780.25000"</v>
      </c>
      <c r="E97" s="16" t="str">
        <f t="shared" si="50"/>
        <v>RETAIL</v>
      </c>
      <c r="F97" s="16" t="str">
        <f>"HDWR-SWM-0100"</f>
        <v>HDWR-SWM-0100</v>
      </c>
      <c r="G97" s="16" t="str">
        <f>"Switching Module (&lt;100)"</f>
        <v>Switching Module (&lt;100)</v>
      </c>
      <c r="H97" s="35">
        <v>7780.25</v>
      </c>
      <c r="J97" s="23"/>
      <c r="K97" s="23">
        <v>0</v>
      </c>
      <c r="L97" s="23"/>
      <c r="M97" s="23">
        <v>1</v>
      </c>
      <c r="N97" s="23"/>
      <c r="O97" s="44">
        <f t="shared" si="51"/>
        <v>1</v>
      </c>
      <c r="P97" s="43"/>
      <c r="Q97" s="35"/>
      <c r="R97" s="35">
        <v>0</v>
      </c>
      <c r="S97" s="35"/>
      <c r="T97" s="35">
        <v>7780.25</v>
      </c>
      <c r="U97" s="45">
        <f t="shared" si="55"/>
        <v>0</v>
      </c>
      <c r="V97" s="18">
        <f t="shared" si="53"/>
        <v>13</v>
      </c>
    </row>
    <row r="98" spans="1:22">
      <c r="A98" s="33" t="s">
        <v>35</v>
      </c>
      <c r="C98" s="6" t="str">
        <f t="shared" si="54"/>
        <v>RETAIL</v>
      </c>
      <c r="D98" s="10" t="str">
        <f>"""GP Direct"",""Fabrikam, Inc."",""Jet Item by Location"",""Class Code"",""RETAIL"",""Item Number"",""HDWR-SWM-0250"",""Item Description"",""Switching Module (100-250)"",""Current Cost"",""12500.00000"""</f>
        <v>"GP Direct","Fabrikam, Inc.","Jet Item by Location","Class Code","RETAIL","Item Number","HDWR-SWM-0250","Item Description","Switching Module (100-250)","Current Cost","12500.00000"</v>
      </c>
      <c r="E98" s="16" t="str">
        <f t="shared" si="50"/>
        <v>RETAIL</v>
      </c>
      <c r="F98" s="16" t="str">
        <f>"HDWR-SWM-0250"</f>
        <v>HDWR-SWM-0250</v>
      </c>
      <c r="G98" s="16" t="str">
        <f>"Switching Module (100-250)"</f>
        <v>Switching Module (100-250)</v>
      </c>
      <c r="H98" s="35">
        <v>12500</v>
      </c>
      <c r="J98" s="23"/>
      <c r="K98" s="23">
        <v>0</v>
      </c>
      <c r="L98" s="23"/>
      <c r="M98" s="23">
        <v>0</v>
      </c>
      <c r="N98" s="23"/>
      <c r="O98" s="44">
        <f t="shared" si="51"/>
        <v>0</v>
      </c>
      <c r="P98" s="43"/>
      <c r="Q98" s="35"/>
      <c r="R98" s="35">
        <v>0</v>
      </c>
      <c r="S98" s="35"/>
      <c r="T98" s="35">
        <v>0</v>
      </c>
      <c r="U98" s="45">
        <f t="shared" si="55"/>
        <v>0</v>
      </c>
      <c r="V98" s="18">
        <f t="shared" si="53"/>
        <v>13</v>
      </c>
    </row>
    <row r="99" spans="1:22">
      <c r="A99" s="33" t="s">
        <v>35</v>
      </c>
      <c r="C99" s="6" t="str">
        <f t="shared" si="54"/>
        <v>RETAIL</v>
      </c>
      <c r="D99" s="10" t="str">
        <f>"""GP Direct"",""Fabrikam, Inc."",""Jet Item by Location"",""Class Code"",""RETAIL"",""Item Number"",""HDWR-T1I-0001"",""Item Description"",""T1 Interface Kit"",""Current Cost"",""1495.00000"""</f>
        <v>"GP Direct","Fabrikam, Inc.","Jet Item by Location","Class Code","RETAIL","Item Number","HDWR-T1I-0001","Item Description","T1 Interface Kit","Current Cost","1495.00000"</v>
      </c>
      <c r="E99" s="16" t="str">
        <f t="shared" si="50"/>
        <v>RETAIL</v>
      </c>
      <c r="F99" s="16" t="str">
        <f>"HDWR-T1I-0001"</f>
        <v>HDWR-T1I-0001</v>
      </c>
      <c r="G99" s="16" t="str">
        <f>"T1 Interface Kit"</f>
        <v>T1 Interface Kit</v>
      </c>
      <c r="H99" s="35">
        <v>1495</v>
      </c>
      <c r="J99" s="23"/>
      <c r="K99" s="23">
        <v>0</v>
      </c>
      <c r="L99" s="23"/>
      <c r="M99" s="23">
        <v>6</v>
      </c>
      <c r="N99" s="23"/>
      <c r="O99" s="44">
        <f t="shared" si="51"/>
        <v>6</v>
      </c>
      <c r="P99" s="43"/>
      <c r="Q99" s="35"/>
      <c r="R99" s="35">
        <v>0</v>
      </c>
      <c r="S99" s="35"/>
      <c r="T99" s="35">
        <v>8970</v>
      </c>
      <c r="U99" s="45">
        <f t="shared" si="55"/>
        <v>0</v>
      </c>
      <c r="V99" s="18">
        <f t="shared" si="53"/>
        <v>14</v>
      </c>
    </row>
    <row r="100" spans="1:22">
      <c r="A100" s="33" t="s">
        <v>35</v>
      </c>
      <c r="C100" s="6" t="str">
        <f t="shared" si="54"/>
        <v>RETAIL</v>
      </c>
      <c r="D100" s="10" t="str">
        <f>"""GP Direct"",""Fabrikam, Inc."",""Jet Item by Location"",""Class Code"",""RETAIL"",""Item Number"",""HDWR-TPS-0001"",""Item Description"",""Tape Unit/Mass Storage"",""Current Cost"",""1224.64000"""</f>
        <v>"GP Direct","Fabrikam, Inc.","Jet Item by Location","Class Code","RETAIL","Item Number","HDWR-TPS-0001","Item Description","Tape Unit/Mass Storage","Current Cost","1224.64000"</v>
      </c>
      <c r="E100" s="16" t="str">
        <f t="shared" si="50"/>
        <v>RETAIL</v>
      </c>
      <c r="F100" s="16" t="str">
        <f>"HDWR-TPS-0001"</f>
        <v>HDWR-TPS-0001</v>
      </c>
      <c r="G100" s="16" t="str">
        <f>"Tape Unit/Mass Storage"</f>
        <v>Tape Unit/Mass Storage</v>
      </c>
      <c r="H100" s="35">
        <v>1224.6400000000001</v>
      </c>
      <c r="J100" s="23"/>
      <c r="K100" s="23">
        <v>1</v>
      </c>
      <c r="L100" s="23"/>
      <c r="M100" s="23">
        <v>7</v>
      </c>
      <c r="N100" s="23"/>
      <c r="O100" s="44">
        <f t="shared" si="51"/>
        <v>8</v>
      </c>
      <c r="P100" s="43"/>
      <c r="Q100" s="35"/>
      <c r="R100" s="35">
        <v>1224.6400000000001</v>
      </c>
      <c r="S100" s="35"/>
      <c r="T100" s="35">
        <v>8572.48</v>
      </c>
      <c r="U100" s="45">
        <f t="shared" si="55"/>
        <v>0</v>
      </c>
      <c r="V100" s="18">
        <f t="shared" si="53"/>
        <v>14</v>
      </c>
    </row>
    <row r="101" spans="1:22">
      <c r="A101" s="33" t="s">
        <v>35</v>
      </c>
      <c r="C101" s="6" t="str">
        <f t="shared" si="54"/>
        <v>RETAIL</v>
      </c>
      <c r="D101" s="10" t="str">
        <f>"""GP Direct"",""Fabrikam, Inc."",""Jet Item by Location"",""Class Code"",""RETAIL"",""Item Number"",""PHAN-PHN-0001"",""Item Description"",""Standard Phone Package"",""Current Cost"",""27.66000"""</f>
        <v>"GP Direct","Fabrikam, Inc.","Jet Item by Location","Class Code","RETAIL","Item Number","PHAN-PHN-0001","Item Description","Standard Phone Package","Current Cost","27.66000"</v>
      </c>
      <c r="E101" s="16" t="str">
        <f t="shared" si="50"/>
        <v>RETAIL</v>
      </c>
      <c r="F101" s="16" t="str">
        <f>"PHAN-PHN-0001"</f>
        <v>PHAN-PHN-0001</v>
      </c>
      <c r="G101" s="16" t="str">
        <f>"Standard Phone Package"</f>
        <v>Standard Phone Package</v>
      </c>
      <c r="H101" s="35">
        <v>27.66</v>
      </c>
      <c r="J101" s="23"/>
      <c r="K101" s="23">
        <v>0</v>
      </c>
      <c r="L101" s="23"/>
      <c r="M101" s="23">
        <v>0</v>
      </c>
      <c r="N101" s="23"/>
      <c r="O101" s="44">
        <f t="shared" si="51"/>
        <v>0</v>
      </c>
      <c r="P101" s="43"/>
      <c r="Q101" s="35"/>
      <c r="R101" s="35">
        <v>0</v>
      </c>
      <c r="S101" s="35"/>
      <c r="T101" s="35">
        <v>0</v>
      </c>
      <c r="U101" s="45">
        <f t="shared" si="55"/>
        <v>0</v>
      </c>
      <c r="V101" s="18">
        <f t="shared" si="53"/>
        <v>15</v>
      </c>
    </row>
    <row r="102" spans="1:22">
      <c r="A102" s="33" t="s">
        <v>35</v>
      </c>
      <c r="C102" s="6" t="str">
        <f t="shared" si="54"/>
        <v>RETAIL</v>
      </c>
      <c r="D102" s="10" t="str">
        <f>"""GP Direct"",""Fabrikam, Inc."",""Jet Item by Location"",""Class Code"",""RETAIL"",""Item Number"",""PHON-ATT-0712"",""Item Description"",""Attractive 712 wall phone"",""Current Cost"",""35.89000"""</f>
        <v>"GP Direct","Fabrikam, Inc.","Jet Item by Location","Class Code","RETAIL","Item Number","PHON-ATT-0712","Item Description","Attractive 712 wall phone","Current Cost","35.89000"</v>
      </c>
      <c r="E102" s="16" t="str">
        <f t="shared" si="50"/>
        <v>RETAIL</v>
      </c>
      <c r="F102" s="16" t="str">
        <f>"PHON-ATT-0712"</f>
        <v>PHON-ATT-0712</v>
      </c>
      <c r="G102" s="16" t="str">
        <f>"Attractive 712 wall phone"</f>
        <v>Attractive 712 wall phone</v>
      </c>
      <c r="H102" s="35">
        <v>35.89</v>
      </c>
      <c r="J102" s="23"/>
      <c r="K102" s="23">
        <v>26</v>
      </c>
      <c r="L102" s="23"/>
      <c r="M102" s="23">
        <v>7</v>
      </c>
      <c r="N102" s="23"/>
      <c r="O102" s="44">
        <f t="shared" si="51"/>
        <v>33</v>
      </c>
      <c r="P102" s="43"/>
      <c r="Q102" s="35"/>
      <c r="R102" s="35">
        <v>933.14</v>
      </c>
      <c r="S102" s="35"/>
      <c r="T102" s="35">
        <v>251.23</v>
      </c>
      <c r="U102" s="45">
        <f t="shared" si="55"/>
        <v>0</v>
      </c>
      <c r="V102" s="18">
        <f t="shared" si="53"/>
        <v>15</v>
      </c>
    </row>
    <row r="103" spans="1:22">
      <c r="A103" s="33" t="s">
        <v>35</v>
      </c>
      <c r="C103" s="6" t="str">
        <f t="shared" si="54"/>
        <v>RETAIL</v>
      </c>
      <c r="D103" s="10" t="str">
        <f>"""GP Direct"",""Fabrikam, Inc."",""Jet Item by Location"",""Class Code"",""RETAIL"",""Item Number"",""PHON-BAS-0001"",""Item Description"",""Phone Base"",""Current Cost"",""11.95000"""</f>
        <v>"GP Direct","Fabrikam, Inc.","Jet Item by Location","Class Code","RETAIL","Item Number","PHON-BAS-0001","Item Description","Phone Base","Current Cost","11.95000"</v>
      </c>
      <c r="E103" s="16" t="str">
        <f t="shared" si="50"/>
        <v>RETAIL</v>
      </c>
      <c r="F103" s="16" t="str">
        <f>"PHON-BAS-0001"</f>
        <v>PHON-BAS-0001</v>
      </c>
      <c r="G103" s="16" t="str">
        <f>"Phone Base"</f>
        <v>Phone Base</v>
      </c>
      <c r="H103" s="35">
        <v>11.95</v>
      </c>
      <c r="J103" s="23"/>
      <c r="K103" s="23">
        <v>0</v>
      </c>
      <c r="L103" s="23"/>
      <c r="M103" s="23">
        <v>55</v>
      </c>
      <c r="N103" s="23"/>
      <c r="O103" s="44">
        <f t="shared" si="51"/>
        <v>55</v>
      </c>
      <c r="P103" s="43"/>
      <c r="Q103" s="35"/>
      <c r="R103" s="35">
        <v>0</v>
      </c>
      <c r="S103" s="35"/>
      <c r="T103" s="35">
        <v>657.25</v>
      </c>
      <c r="U103" s="45">
        <f t="shared" si="55"/>
        <v>0</v>
      </c>
      <c r="V103" s="18">
        <f t="shared" si="53"/>
        <v>16</v>
      </c>
    </row>
    <row r="104" spans="1:22">
      <c r="A104" s="33" t="s">
        <v>35</v>
      </c>
      <c r="C104" s="6" t="str">
        <f t="shared" si="54"/>
        <v>RETAIL</v>
      </c>
      <c r="D104" s="10" t="str">
        <f>"""GP Direct"",""Fabrikam, Inc."",""Jet Item by Location"",""Class Code"",""RETAIL"",""Item Number"",""PHON-BUS-1244"",""Item Description"",""Handset, 4-line Desk"",""Current Cost"",""128.75000"""</f>
        <v>"GP Direct","Fabrikam, Inc.","Jet Item by Location","Class Code","RETAIL","Item Number","PHON-BUS-1244","Item Description","Handset, 4-line Desk","Current Cost","128.75000"</v>
      </c>
      <c r="E104" s="16" t="str">
        <f t="shared" si="50"/>
        <v>RETAIL</v>
      </c>
      <c r="F104" s="16" t="str">
        <f>"PHON-BUS-1244"</f>
        <v>PHON-BUS-1244</v>
      </c>
      <c r="G104" s="16" t="str">
        <f>"Handset, 4-line Desk"</f>
        <v>Handset, 4-line Desk</v>
      </c>
      <c r="H104" s="35">
        <v>128.75</v>
      </c>
      <c r="J104" s="23"/>
      <c r="K104" s="23">
        <v>0</v>
      </c>
      <c r="L104" s="23"/>
      <c r="M104" s="23">
        <v>26</v>
      </c>
      <c r="N104" s="23"/>
      <c r="O104" s="44">
        <f t="shared" si="51"/>
        <v>26</v>
      </c>
      <c r="P104" s="43"/>
      <c r="Q104" s="35"/>
      <c r="R104" s="35">
        <v>0</v>
      </c>
      <c r="S104" s="35"/>
      <c r="T104" s="35">
        <v>3347.5</v>
      </c>
      <c r="U104" s="45">
        <f t="shared" si="55"/>
        <v>0</v>
      </c>
      <c r="V104" s="18">
        <f t="shared" si="53"/>
        <v>16</v>
      </c>
    </row>
    <row r="105" spans="1:22">
      <c r="A105" s="33" t="s">
        <v>35</v>
      </c>
      <c r="C105" s="6" t="str">
        <f t="shared" si="54"/>
        <v>RETAIL</v>
      </c>
      <c r="D105" s="10" t="str">
        <f>"""GP Direct"",""Fabrikam, Inc."",""Jet Item by Location"",""Class Code"",""RETAIL"",""Item Number"",""PHON-BUS-1250"",""Item Description"",""Handset,multi-line"",""Current Cost"",""179.85000"""</f>
        <v>"GP Direct","Fabrikam, Inc.","Jet Item by Location","Class Code","RETAIL","Item Number","PHON-BUS-1250","Item Description","Handset,multi-line","Current Cost","179.85000"</v>
      </c>
      <c r="E105" s="16" t="str">
        <f t="shared" si="50"/>
        <v>RETAIL</v>
      </c>
      <c r="F105" s="16" t="str">
        <f>"PHON-BUS-1250"</f>
        <v>PHON-BUS-1250</v>
      </c>
      <c r="G105" s="16" t="str">
        <f>"Handset,multi-line"</f>
        <v>Handset,multi-line</v>
      </c>
      <c r="H105" s="35">
        <v>179.85</v>
      </c>
      <c r="J105" s="23"/>
      <c r="K105" s="23">
        <v>0</v>
      </c>
      <c r="L105" s="23"/>
      <c r="M105" s="23">
        <v>267</v>
      </c>
      <c r="N105" s="23"/>
      <c r="O105" s="44">
        <f t="shared" si="51"/>
        <v>267</v>
      </c>
      <c r="P105" s="43"/>
      <c r="Q105" s="35"/>
      <c r="R105" s="35">
        <v>0</v>
      </c>
      <c r="S105" s="35"/>
      <c r="T105" s="35">
        <v>48019.95</v>
      </c>
      <c r="U105" s="45">
        <f t="shared" si="55"/>
        <v>0</v>
      </c>
      <c r="V105" s="18">
        <f t="shared" si="53"/>
        <v>17</v>
      </c>
    </row>
    <row r="106" spans="1:22">
      <c r="A106" s="33" t="s">
        <v>35</v>
      </c>
      <c r="C106" s="6" t="str">
        <f t="shared" si="54"/>
        <v>RETAIL</v>
      </c>
      <c r="D106" s="10" t="str">
        <f>"""GP Direct"",""Fabrikam, Inc."",""Jet Item by Location"",""Class Code"",""RETAIL"",""Item Number"",""PHON-GTE-3458"",""Item Description"",""Memory-Grand M3458"",""Current Cost"",""75.00000"""</f>
        <v>"GP Direct","Fabrikam, Inc.","Jet Item by Location","Class Code","RETAIL","Item Number","PHON-GTE-3458","Item Description","Memory-Grand M3458","Current Cost","75.00000"</v>
      </c>
      <c r="E106" s="16" t="str">
        <f t="shared" si="50"/>
        <v>RETAIL</v>
      </c>
      <c r="F106" s="16" t="str">
        <f>"PHON-GTE-3458"</f>
        <v>PHON-GTE-3458</v>
      </c>
      <c r="G106" s="16" t="str">
        <f>"Memory-Grand M3458"</f>
        <v>Memory-Grand M3458</v>
      </c>
      <c r="H106" s="35">
        <v>75</v>
      </c>
      <c r="J106" s="23"/>
      <c r="K106" s="23">
        <v>0</v>
      </c>
      <c r="L106" s="23"/>
      <c r="M106" s="23">
        <v>22</v>
      </c>
      <c r="N106" s="23"/>
      <c r="O106" s="44">
        <f t="shared" si="51"/>
        <v>22</v>
      </c>
      <c r="P106" s="43"/>
      <c r="Q106" s="35"/>
      <c r="R106" s="35">
        <v>0</v>
      </c>
      <c r="S106" s="35"/>
      <c r="T106" s="35">
        <v>1650</v>
      </c>
      <c r="U106" s="45">
        <f t="shared" si="55"/>
        <v>0</v>
      </c>
      <c r="V106" s="18">
        <f t="shared" si="53"/>
        <v>17</v>
      </c>
    </row>
    <row r="107" spans="1:22">
      <c r="A107" s="33" t="s">
        <v>35</v>
      </c>
      <c r="C107" s="6" t="str">
        <f t="shared" si="54"/>
        <v>RETAIL</v>
      </c>
      <c r="D107" s="10" t="str">
        <f>"""GP Direct"",""Fabrikam, Inc."",""Jet Item by Location"",""Class Code"",""RETAIL"",""Item Number"",""PHON-GTE-5043"",""Item Description"",""Cordless-Grand S5043"",""Current Cost"",""81.25000"""</f>
        <v>"GP Direct","Fabrikam, Inc.","Jet Item by Location","Class Code","RETAIL","Item Number","PHON-GTE-5043","Item Description","Cordless-Grand S5043","Current Cost","81.25000"</v>
      </c>
      <c r="E107" s="16" t="str">
        <f t="shared" si="50"/>
        <v>RETAIL</v>
      </c>
      <c r="F107" s="16" t="str">
        <f>"PHON-GTE-5043"</f>
        <v>PHON-GTE-5043</v>
      </c>
      <c r="G107" s="16" t="str">
        <f>"Cordless-Grand S5043"</f>
        <v>Cordless-Grand S5043</v>
      </c>
      <c r="H107" s="35">
        <v>81.25</v>
      </c>
      <c r="J107" s="23"/>
      <c r="K107" s="23">
        <v>15</v>
      </c>
      <c r="L107" s="23"/>
      <c r="M107" s="23">
        <v>28</v>
      </c>
      <c r="N107" s="23"/>
      <c r="O107" s="44">
        <f t="shared" si="51"/>
        <v>43</v>
      </c>
      <c r="P107" s="43"/>
      <c r="Q107" s="35"/>
      <c r="R107" s="35">
        <v>1218.75</v>
      </c>
      <c r="S107" s="35"/>
      <c r="T107" s="35">
        <v>2275</v>
      </c>
      <c r="U107" s="45">
        <f t="shared" si="55"/>
        <v>0</v>
      </c>
      <c r="V107" s="18">
        <f t="shared" si="53"/>
        <v>18</v>
      </c>
    </row>
    <row r="108" spans="1:22">
      <c r="A108" s="33" t="s">
        <v>35</v>
      </c>
      <c r="C108" s="6" t="str">
        <f t="shared" si="54"/>
        <v>RETAIL</v>
      </c>
      <c r="D108" s="10" t="str">
        <f>"""GP Direct"",""Fabrikam, Inc."",""Jet Item by Location"",""Class Code"",""RETAIL"",""Item Number"",""PHON-PAN-2315"",""Item Description"",""Panache KX-T231 wall"",""Current Cost"",""27.98000"""</f>
        <v>"GP Direct","Fabrikam, Inc.","Jet Item by Location","Class Code","RETAIL","Item Number","PHON-PAN-2315","Item Description","Panache KX-T231 wall","Current Cost","27.98000"</v>
      </c>
      <c r="E108" s="16" t="str">
        <f t="shared" si="50"/>
        <v>RETAIL</v>
      </c>
      <c r="F108" s="16" t="str">
        <f>"PHON-PAN-2315"</f>
        <v>PHON-PAN-2315</v>
      </c>
      <c r="G108" s="16" t="str">
        <f>"Panache KX-T231 wall"</f>
        <v>Panache KX-T231 wall</v>
      </c>
      <c r="H108" s="35">
        <v>27.98</v>
      </c>
      <c r="J108" s="23"/>
      <c r="K108" s="23">
        <v>36</v>
      </c>
      <c r="L108" s="23"/>
      <c r="M108" s="23">
        <v>-1</v>
      </c>
      <c r="N108" s="23"/>
      <c r="O108" s="44">
        <f t="shared" si="51"/>
        <v>35</v>
      </c>
      <c r="P108" s="43"/>
      <c r="Q108" s="35"/>
      <c r="R108" s="35">
        <v>1007.28</v>
      </c>
      <c r="S108" s="35"/>
      <c r="T108" s="35">
        <v>-27.98</v>
      </c>
      <c r="U108" s="45">
        <f t="shared" si="55"/>
        <v>0</v>
      </c>
      <c r="V108" s="18">
        <f t="shared" si="53"/>
        <v>18</v>
      </c>
    </row>
    <row r="109" spans="1:22">
      <c r="A109" s="33" t="s">
        <v>35</v>
      </c>
      <c r="C109" s="6" t="str">
        <f t="shared" si="54"/>
        <v>RETAIL</v>
      </c>
      <c r="D109" s="10" t="str">
        <f>"""GP Direct"",""Fabrikam, Inc."",""Jet Item by Location"",""Class Code"",""RETAIL"",""Item Number"",""PHON-PAN-3155"",""Item Description"",""Panache KX-T3155 desk"",""Current Cost"",""59.50000"""</f>
        <v>"GP Direct","Fabrikam, Inc.","Jet Item by Location","Class Code","RETAIL","Item Number","PHON-PAN-3155","Item Description","Panache KX-T3155 desk","Current Cost","59.50000"</v>
      </c>
      <c r="E109" s="16" t="str">
        <f t="shared" si="50"/>
        <v>RETAIL</v>
      </c>
      <c r="F109" s="16" t="str">
        <f>"PHON-PAN-3155"</f>
        <v>PHON-PAN-3155</v>
      </c>
      <c r="G109" s="16" t="str">
        <f>"Panache KX-T3155 desk"</f>
        <v>Panache KX-T3155 desk</v>
      </c>
      <c r="H109" s="35">
        <v>59.5</v>
      </c>
      <c r="J109" s="23"/>
      <c r="K109" s="23">
        <v>19</v>
      </c>
      <c r="L109" s="23"/>
      <c r="M109" s="23">
        <v>-5</v>
      </c>
      <c r="N109" s="23"/>
      <c r="O109" s="44">
        <f t="shared" si="51"/>
        <v>14</v>
      </c>
      <c r="P109" s="43"/>
      <c r="Q109" s="35"/>
      <c r="R109" s="35">
        <v>1130.5</v>
      </c>
      <c r="S109" s="35"/>
      <c r="T109" s="35">
        <v>-297.5</v>
      </c>
      <c r="U109" s="45">
        <f t="shared" si="55"/>
        <v>0</v>
      </c>
      <c r="V109" s="18">
        <f t="shared" si="53"/>
        <v>19</v>
      </c>
    </row>
    <row r="110" spans="1:22">
      <c r="A110" s="33" t="s">
        <v>35</v>
      </c>
      <c r="C110" s="6" t="str">
        <f t="shared" si="54"/>
        <v>RETAIL</v>
      </c>
      <c r="D110" s="10" t="str">
        <f>"""GP Direct"",""Fabrikam, Inc."",""Jet Item by Location"",""Class Code"",""RETAIL"",""Item Number"",""PHON-PAN-3848"",""Item Description"",""Cordless-Panache KX-T3848"",""Current Cost"",""67.55000"""</f>
        <v>"GP Direct","Fabrikam, Inc.","Jet Item by Location","Class Code","RETAIL","Item Number","PHON-PAN-3848","Item Description","Cordless-Panache KX-T3848","Current Cost","67.55000"</v>
      </c>
      <c r="E110" s="16" t="str">
        <f t="shared" si="50"/>
        <v>RETAIL</v>
      </c>
      <c r="F110" s="16" t="str">
        <f>"PHON-PAN-3848"</f>
        <v>PHON-PAN-3848</v>
      </c>
      <c r="G110" s="16" t="str">
        <f>"Cordless-Panache KX-T3848"</f>
        <v>Cordless-Panache KX-T3848</v>
      </c>
      <c r="H110" s="35">
        <v>67.55</v>
      </c>
      <c r="J110" s="23"/>
      <c r="K110" s="23">
        <v>25</v>
      </c>
      <c r="L110" s="23"/>
      <c r="M110" s="23">
        <v>0</v>
      </c>
      <c r="N110" s="23"/>
      <c r="O110" s="44">
        <f t="shared" si="51"/>
        <v>25</v>
      </c>
      <c r="P110" s="43"/>
      <c r="Q110" s="35"/>
      <c r="R110" s="35">
        <v>1688.75</v>
      </c>
      <c r="S110" s="35"/>
      <c r="T110" s="35">
        <v>0</v>
      </c>
      <c r="U110" s="45">
        <f t="shared" si="55"/>
        <v>0</v>
      </c>
      <c r="V110" s="18">
        <f t="shared" si="53"/>
        <v>19</v>
      </c>
    </row>
    <row r="111" spans="1:22">
      <c r="A111" s="33" t="s">
        <v>35</v>
      </c>
      <c r="C111" s="6" t="str">
        <f t="shared" si="54"/>
        <v>RETAIL</v>
      </c>
      <c r="D111" s="10" t="str">
        <f>"""GP Direct"",""Fabrikam, Inc."",""Jet Item by Location"",""Class Code"",""RETAIL"",""Item Number"",""PHON-RCV-0001"",""Item Description"",""Receiver-Hands Free Dual Ear"",""Current Cost"",""45.27000"""</f>
        <v>"GP Direct","Fabrikam, Inc.","Jet Item by Location","Class Code","RETAIL","Item Number","PHON-RCV-0001","Item Description","Receiver-Hands Free Dual Ear","Current Cost","45.27000"</v>
      </c>
      <c r="E111" s="16" t="str">
        <f t="shared" si="50"/>
        <v>RETAIL</v>
      </c>
      <c r="F111" s="16" t="str">
        <f>"PHON-RCV-0001"</f>
        <v>PHON-RCV-0001</v>
      </c>
      <c r="G111" s="16" t="str">
        <f>"Receiver-Hands Free Dual Ear"</f>
        <v>Receiver-Hands Free Dual Ear</v>
      </c>
      <c r="H111" s="35">
        <v>45.27</v>
      </c>
      <c r="J111" s="23"/>
      <c r="K111" s="23">
        <v>0</v>
      </c>
      <c r="L111" s="23"/>
      <c r="M111" s="23">
        <v>25</v>
      </c>
      <c r="N111" s="23"/>
      <c r="O111" s="44">
        <f t="shared" si="51"/>
        <v>25</v>
      </c>
      <c r="P111" s="43"/>
      <c r="Q111" s="35"/>
      <c r="R111" s="35">
        <v>0</v>
      </c>
      <c r="S111" s="35"/>
      <c r="T111" s="35">
        <v>1131.75</v>
      </c>
      <c r="U111" s="45">
        <f t="shared" si="55"/>
        <v>0</v>
      </c>
      <c r="V111" s="18">
        <f t="shared" si="53"/>
        <v>20</v>
      </c>
    </row>
    <row r="112" spans="1:22">
      <c r="A112" s="33" t="s">
        <v>35</v>
      </c>
      <c r="C112" s="6" t="str">
        <f t="shared" si="54"/>
        <v>RETAIL</v>
      </c>
      <c r="D112" s="10" t="str">
        <f>"""GP Direct"",""Fabrikam, Inc."",""Jet Item by Location"",""Class Code"",""RETAIL"",""Item Number"",""PHON-RCV-0002"",""Item Description"",""Receiver-Hands Free Single Ear"",""Current Cost"",""41.88000"""</f>
        <v>"GP Direct","Fabrikam, Inc.","Jet Item by Location","Class Code","RETAIL","Item Number","PHON-RCV-0002","Item Description","Receiver-Hands Free Single Ear","Current Cost","41.88000"</v>
      </c>
      <c r="E112" s="16" t="str">
        <f t="shared" si="50"/>
        <v>RETAIL</v>
      </c>
      <c r="F112" s="16" t="str">
        <f>"PHON-RCV-0002"</f>
        <v>PHON-RCV-0002</v>
      </c>
      <c r="G112" s="16" t="str">
        <f>"Receiver-Hands Free Single Ear"</f>
        <v>Receiver-Hands Free Single Ear</v>
      </c>
      <c r="H112" s="35">
        <v>41.88</v>
      </c>
      <c r="J112" s="23"/>
      <c r="K112" s="23">
        <v>0</v>
      </c>
      <c r="L112" s="23"/>
      <c r="M112" s="23">
        <v>30</v>
      </c>
      <c r="N112" s="23"/>
      <c r="O112" s="44">
        <f t="shared" si="51"/>
        <v>30</v>
      </c>
      <c r="P112" s="43"/>
      <c r="Q112" s="35"/>
      <c r="R112" s="35">
        <v>0</v>
      </c>
      <c r="S112" s="35"/>
      <c r="T112" s="35">
        <v>1256.4000000000001</v>
      </c>
      <c r="U112" s="45">
        <f t="shared" si="55"/>
        <v>0</v>
      </c>
      <c r="V112" s="18">
        <f t="shared" si="53"/>
        <v>20</v>
      </c>
    </row>
    <row r="113" spans="1:22">
      <c r="A113" s="33" t="s">
        <v>35</v>
      </c>
      <c r="C113" s="6" t="str">
        <f t="shared" si="54"/>
        <v>RETAIL</v>
      </c>
      <c r="D113" s="10" t="str">
        <f>"""GP Direct"",""Fabrikam, Inc."",""Jet Item by Location"",""Class Code"",""RETAIL"",""Item Number"",""PHON-SNY-1250"",""Item Description"",""Phone/Answ System 1250"",""Current Cost"",""89.00000"""</f>
        <v>"GP Direct","Fabrikam, Inc.","Jet Item by Location","Class Code","RETAIL","Item Number","PHON-SNY-1250","Item Description","Phone/Answ System 1250","Current Cost","89.00000"</v>
      </c>
      <c r="E113" s="16" t="str">
        <f t="shared" si="50"/>
        <v>RETAIL</v>
      </c>
      <c r="F113" s="16" t="str">
        <f>"PHON-SNY-1250"</f>
        <v>PHON-SNY-1250</v>
      </c>
      <c r="G113" s="16" t="str">
        <f>"Phone/Answ System 1250"</f>
        <v>Phone/Answ System 1250</v>
      </c>
      <c r="H113" s="35">
        <v>89</v>
      </c>
      <c r="J113" s="23"/>
      <c r="K113" s="23">
        <v>0</v>
      </c>
      <c r="L113" s="23"/>
      <c r="M113" s="23">
        <v>0</v>
      </c>
      <c r="N113" s="23"/>
      <c r="O113" s="44">
        <f t="shared" si="51"/>
        <v>0</v>
      </c>
      <c r="P113" s="43"/>
      <c r="Q113" s="35"/>
      <c r="R113" s="35">
        <v>0</v>
      </c>
      <c r="S113" s="35"/>
      <c r="T113" s="35">
        <v>0</v>
      </c>
      <c r="U113" s="45">
        <f t="shared" si="55"/>
        <v>0</v>
      </c>
      <c r="V113" s="18">
        <f t="shared" si="53"/>
        <v>21</v>
      </c>
    </row>
    <row r="114" spans="1:22">
      <c r="A114" s="33" t="s">
        <v>35</v>
      </c>
      <c r="C114" s="6" t="str">
        <f t="shared" si="54"/>
        <v>RETAIL</v>
      </c>
      <c r="D114" s="10" t="str">
        <f>"""GP Direct"",""Fabrikam, Inc."",""Jet Item by Location"",""Class Code"",""RETAIL"",""Item Number"",""PHSY-DEL-0001"",""Item Description"",""Deluxe Phone System"",""Current Cost"",""0.00000"""</f>
        <v>"GP Direct","Fabrikam, Inc.","Jet Item by Location","Class Code","RETAIL","Item Number","PHSY-DEL-0001","Item Description","Deluxe Phone System","Current Cost","0.00000"</v>
      </c>
      <c r="E114" s="16" t="str">
        <f t="shared" si="50"/>
        <v>RETAIL</v>
      </c>
      <c r="F114" s="16" t="str">
        <f>"PHSY-DEL-0001"</f>
        <v>PHSY-DEL-0001</v>
      </c>
      <c r="G114" s="16" t="str">
        <f>"Deluxe Phone System"</f>
        <v>Deluxe Phone System</v>
      </c>
      <c r="H114" s="35">
        <v>0</v>
      </c>
      <c r="J114" s="23"/>
      <c r="K114" s="23">
        <v>0</v>
      </c>
      <c r="L114" s="23"/>
      <c r="M114" s="23">
        <v>0</v>
      </c>
      <c r="N114" s="23"/>
      <c r="O114" s="44">
        <f t="shared" si="51"/>
        <v>0</v>
      </c>
      <c r="P114" s="43"/>
      <c r="Q114" s="35"/>
      <c r="R114" s="35">
        <v>0</v>
      </c>
      <c r="S114" s="35"/>
      <c r="T114" s="35">
        <v>0</v>
      </c>
      <c r="U114" s="45">
        <f t="shared" si="55"/>
        <v>0</v>
      </c>
      <c r="V114" s="18">
        <f t="shared" si="53"/>
        <v>21</v>
      </c>
    </row>
    <row r="115" spans="1:22">
      <c r="A115" s="33" t="s">
        <v>35</v>
      </c>
      <c r="C115" s="6" t="str">
        <f t="shared" si="54"/>
        <v>RETAIL</v>
      </c>
      <c r="D115" s="10" t="str">
        <f>"""GP Direct"",""Fabrikam, Inc."",""Jet Item by Location"",""Class Code"",""RETAIL"",""Item Number"",""PHSY-STD-0001"",""Item Description"",""Standard Phone System"",""Current Cost"",""0.00000"""</f>
        <v>"GP Direct","Fabrikam, Inc.","Jet Item by Location","Class Code","RETAIL","Item Number","PHSY-STD-0001","Item Description","Standard Phone System","Current Cost","0.00000"</v>
      </c>
      <c r="E115" s="16" t="str">
        <f t="shared" si="50"/>
        <v>RETAIL</v>
      </c>
      <c r="F115" s="16" t="str">
        <f>"PHSY-STD-0001"</f>
        <v>PHSY-STD-0001</v>
      </c>
      <c r="G115" s="16" t="str">
        <f>"Standard Phone System"</f>
        <v>Standard Phone System</v>
      </c>
      <c r="H115" s="35">
        <v>0</v>
      </c>
      <c r="J115" s="23"/>
      <c r="K115" s="23">
        <v>0</v>
      </c>
      <c r="L115" s="23"/>
      <c r="M115" s="23">
        <v>0</v>
      </c>
      <c r="N115" s="23"/>
      <c r="O115" s="44">
        <f t="shared" si="51"/>
        <v>0</v>
      </c>
      <c r="P115" s="43"/>
      <c r="Q115" s="35"/>
      <c r="R115" s="35">
        <v>0</v>
      </c>
      <c r="S115" s="35"/>
      <c r="T115" s="35">
        <v>0</v>
      </c>
      <c r="U115" s="45">
        <f t="shared" si="55"/>
        <v>0</v>
      </c>
      <c r="V115" s="18">
        <f t="shared" si="53"/>
        <v>22</v>
      </c>
    </row>
    <row r="116" spans="1:22">
      <c r="A116" s="33" t="s">
        <v>35</v>
      </c>
      <c r="C116" s="6" t="str">
        <f t="shared" si="54"/>
        <v>RETAIL</v>
      </c>
      <c r="D116" s="10" t="str">
        <f>"""GP Direct"",""Fabrikam, Inc."",""Jet Item by Location"",""Class Code"",""RETAIL"",""Item Number"",""RESR-COM-68KM"",""Item Description"",""Resistor-68KM Revised"",""Current Cost"",""5.75000"""</f>
        <v>"GP Direct","Fabrikam, Inc.","Jet Item by Location","Class Code","RETAIL","Item Number","RESR-COM-68KM","Item Description","Resistor-68KM Revised","Current Cost","5.75000"</v>
      </c>
      <c r="E116" s="16" t="str">
        <f t="shared" si="50"/>
        <v>RETAIL</v>
      </c>
      <c r="F116" s="16" t="str">
        <f>"RESR-COM-68KM"</f>
        <v>RESR-COM-68KM</v>
      </c>
      <c r="G116" s="16" t="str">
        <f>"Resistor-68KM Revised"</f>
        <v>Resistor-68KM Revised</v>
      </c>
      <c r="H116" s="35">
        <v>5.75</v>
      </c>
      <c r="J116" s="23"/>
      <c r="K116" s="23">
        <v>0</v>
      </c>
      <c r="L116" s="23"/>
      <c r="M116" s="23">
        <v>14</v>
      </c>
      <c r="N116" s="23"/>
      <c r="O116" s="44">
        <f t="shared" si="51"/>
        <v>14</v>
      </c>
      <c r="P116" s="43"/>
      <c r="Q116" s="35"/>
      <c r="R116" s="35">
        <v>0</v>
      </c>
      <c r="S116" s="35"/>
      <c r="T116" s="35">
        <v>80.5</v>
      </c>
      <c r="U116" s="45">
        <f t="shared" si="55"/>
        <v>0</v>
      </c>
      <c r="V116" s="18">
        <f t="shared" si="53"/>
        <v>22</v>
      </c>
    </row>
    <row r="117" spans="1:22">
      <c r="A117" s="33" t="s">
        <v>35</v>
      </c>
      <c r="C117" s="6" t="str">
        <f t="shared" si="54"/>
        <v>RETAIL</v>
      </c>
      <c r="D117" s="10" t="str">
        <f>"""GP Direct"",""Fabrikam, Inc."",""Jet Item by Location"",""Class Code"",""RETAIL"",""Item Number"",""SOFT-PHM-0001"",""Item Description"",""Phone Mail System"",""Current Cost"",""34550.00000"""</f>
        <v>"GP Direct","Fabrikam, Inc.","Jet Item by Location","Class Code","RETAIL","Item Number","SOFT-PHM-0001","Item Description","Phone Mail System","Current Cost","34550.00000"</v>
      </c>
      <c r="E117" s="16" t="str">
        <f t="shared" si="50"/>
        <v>RETAIL</v>
      </c>
      <c r="F117" s="16" t="str">
        <f>"SOFT-PHM-0001"</f>
        <v>SOFT-PHM-0001</v>
      </c>
      <c r="G117" s="16" t="str">
        <f>"Phone Mail System"</f>
        <v>Phone Mail System</v>
      </c>
      <c r="H117" s="35">
        <v>34550</v>
      </c>
      <c r="J117" s="23"/>
      <c r="K117" s="23">
        <v>0</v>
      </c>
      <c r="L117" s="23"/>
      <c r="M117" s="23">
        <v>-2</v>
      </c>
      <c r="N117" s="23"/>
      <c r="O117" s="44">
        <f t="shared" si="51"/>
        <v>-2</v>
      </c>
      <c r="P117" s="43"/>
      <c r="Q117" s="35"/>
      <c r="R117" s="35">
        <v>0</v>
      </c>
      <c r="S117" s="35"/>
      <c r="T117" s="35">
        <v>-69100</v>
      </c>
      <c r="U117" s="45">
        <f t="shared" si="55"/>
        <v>0</v>
      </c>
      <c r="V117" s="18">
        <f t="shared" si="53"/>
        <v>23</v>
      </c>
    </row>
    <row r="118" spans="1:22" hidden="1">
      <c r="A118" s="33" t="s">
        <v>33</v>
      </c>
      <c r="C118" s="6" t="str">
        <f>C73</f>
        <v>RETAIL</v>
      </c>
      <c r="D118" s="10"/>
      <c r="E118" s="16"/>
      <c r="F118" s="16"/>
      <c r="G118" s="16"/>
      <c r="H118" s="22"/>
      <c r="J118" s="23"/>
      <c r="K118" s="23"/>
      <c r="L118" s="23"/>
      <c r="M118" s="23"/>
      <c r="N118" s="23"/>
      <c r="O118" s="44"/>
      <c r="P118" s="43"/>
      <c r="Q118" s="23"/>
      <c r="R118" s="23"/>
      <c r="S118" s="23"/>
      <c r="T118" s="23"/>
      <c r="U118" s="44"/>
      <c r="V118" s="18"/>
    </row>
    <row r="119" spans="1:22">
      <c r="A119" s="34" t="s">
        <v>35</v>
      </c>
      <c r="C119" s="6" t="str">
        <f t="shared" si="49"/>
        <v>RETAIL</v>
      </c>
      <c r="D119" s="10"/>
      <c r="E119" s="30" t="str">
        <f>"Total For:  "&amp;$C119</f>
        <v>Total For:  RETAIL</v>
      </c>
      <c r="F119" s="31"/>
      <c r="G119" s="31"/>
      <c r="H119" s="31"/>
      <c r="J119" s="46">
        <f>SUBTOTAL(9, J73:J118)</f>
        <v>0</v>
      </c>
      <c r="K119" s="46">
        <f>SUBTOTAL(9, K73:K118)</f>
        <v>113</v>
      </c>
      <c r="L119" s="46">
        <f>SUBTOTAL(9, L73:L118)</f>
        <v>0</v>
      </c>
      <c r="M119" s="46">
        <f>SUBTOTAL(9, M73:M118)</f>
        <v>719</v>
      </c>
      <c r="N119" s="46"/>
      <c r="O119" s="49">
        <f>SUBTOTAL(9, O73:O118)</f>
        <v>832</v>
      </c>
      <c r="P119" s="37"/>
      <c r="Q119" s="32"/>
      <c r="R119" s="32"/>
      <c r="S119" s="32"/>
      <c r="T119" s="32"/>
      <c r="U119" s="48">
        <f t="shared" ref="U119" si="56">SUBTOTAL(9, U73:U118)</f>
        <v>0</v>
      </c>
      <c r="V119" s="18"/>
    </row>
    <row r="120" spans="1:22">
      <c r="A120" s="34" t="s">
        <v>35</v>
      </c>
      <c r="D120" s="11"/>
      <c r="E120" s="24"/>
      <c r="F120" s="16"/>
      <c r="G120" s="16"/>
      <c r="H120" s="12"/>
      <c r="J120" s="13"/>
      <c r="K120" s="13"/>
      <c r="L120" s="13"/>
      <c r="M120" s="13"/>
      <c r="N120" s="13"/>
      <c r="O120" s="13"/>
      <c r="P120" s="37"/>
      <c r="Q120" s="13"/>
      <c r="R120" s="13"/>
      <c r="S120" s="13"/>
      <c r="T120" s="13"/>
      <c r="U120" s="13"/>
      <c r="V120" s="18"/>
    </row>
    <row r="121" spans="1:22" hidden="1">
      <c r="A121" s="33" t="s">
        <v>33</v>
      </c>
      <c r="C121" s="6" t="str">
        <f t="shared" ref="C121" si="57">D121</f>
        <v>RM-ACT</v>
      </c>
      <c r="D121" s="10" t="str">
        <f>"RM-ACT"</f>
        <v>RM-ACT</v>
      </c>
      <c r="I121" s="7"/>
      <c r="J121" s="7"/>
      <c r="K121" s="7"/>
      <c r="L121" s="7"/>
      <c r="M121" s="7"/>
      <c r="P121" s="7"/>
      <c r="V121" s="18"/>
    </row>
    <row r="122" spans="1:22">
      <c r="A122" s="33" t="s">
        <v>35</v>
      </c>
      <c r="C122" s="6" t="str">
        <f t="shared" ref="C122:C140" si="58">C121</f>
        <v>RM-ACT</v>
      </c>
      <c r="D122" s="10" t="str">
        <f>"""GP Direct"",""Fabrikam, Inc."",""Jet Item by Location"",""Class Code"",""RM-ACT"",""Item Number"",""1GPROC"",""Item Description"",""1 Ghz Processor"",""Current Cost"",""120.00000"""</f>
        <v>"GP Direct","Fabrikam, Inc.","Jet Item by Location","Class Code","RM-ACT","Item Number","1GPROC","Item Description","1 Ghz Processor","Current Cost","120.00000"</v>
      </c>
      <c r="E122" s="16" t="str">
        <f t="shared" ref="E122:E138" si="59">"RM-ACT"</f>
        <v>RM-ACT</v>
      </c>
      <c r="F122" s="16" t="str">
        <f>"1GPROC"</f>
        <v>1GPROC</v>
      </c>
      <c r="G122" s="16" t="str">
        <f>"1 Ghz Processor"</f>
        <v>1 Ghz Processor</v>
      </c>
      <c r="H122" s="35">
        <v>120</v>
      </c>
      <c r="J122" s="23">
        <v>0</v>
      </c>
      <c r="K122" s="23"/>
      <c r="L122" s="23">
        <v>0</v>
      </c>
      <c r="M122" s="23">
        <v>20</v>
      </c>
      <c r="N122" s="23"/>
      <c r="O122" s="44">
        <f t="shared" ref="O122:O138" si="60">SUM(J122:N122)</f>
        <v>20</v>
      </c>
      <c r="P122" s="43"/>
      <c r="Q122" s="35">
        <v>0</v>
      </c>
      <c r="R122" s="35"/>
      <c r="S122" s="35">
        <v>0</v>
      </c>
      <c r="T122" s="35">
        <v>2400</v>
      </c>
      <c r="U122" s="45">
        <f t="shared" ref="U122" si="61">SUM(Q122:Q122)</f>
        <v>0</v>
      </c>
      <c r="V122" s="18">
        <f t="shared" ref="V122:V138" si="62">V120+1</f>
        <v>1</v>
      </c>
    </row>
    <row r="123" spans="1:22">
      <c r="A123" s="33" t="s">
        <v>35</v>
      </c>
      <c r="C123" s="6" t="str">
        <f t="shared" ref="C123:C138" si="63">C122</f>
        <v>RM-ACT</v>
      </c>
      <c r="D123" s="10" t="str">
        <f>"""GP Direct"",""Fabrikam, Inc."",""Jet Item by Location"",""Class Code"",""RM-ACT"",""Item Number"",""2GPROC"",""Item Description"",""2 Ghz Processor"",""Current Cost"",""250.00000"""</f>
        <v>"GP Direct","Fabrikam, Inc.","Jet Item by Location","Class Code","RM-ACT","Item Number","2GPROC","Item Description","2 Ghz Processor","Current Cost","250.00000"</v>
      </c>
      <c r="E123" s="16" t="str">
        <f t="shared" si="59"/>
        <v>RM-ACT</v>
      </c>
      <c r="F123" s="16" t="str">
        <f>"2GPROC"</f>
        <v>2GPROC</v>
      </c>
      <c r="G123" s="16" t="str">
        <f>"2 Ghz Processor"</f>
        <v>2 Ghz Processor</v>
      </c>
      <c r="H123" s="35">
        <v>250</v>
      </c>
      <c r="J123" s="23">
        <v>0</v>
      </c>
      <c r="K123" s="23"/>
      <c r="L123" s="23">
        <v>0</v>
      </c>
      <c r="M123" s="23">
        <v>20</v>
      </c>
      <c r="N123" s="23"/>
      <c r="O123" s="44">
        <f t="shared" si="60"/>
        <v>20</v>
      </c>
      <c r="P123" s="43"/>
      <c r="Q123" s="35">
        <v>0</v>
      </c>
      <c r="R123" s="35"/>
      <c r="S123" s="35">
        <v>0</v>
      </c>
      <c r="T123" s="35">
        <v>5000</v>
      </c>
      <c r="U123" s="45">
        <f t="shared" ref="U123:U138" si="64">SUM(Q123:Q123)</f>
        <v>0</v>
      </c>
      <c r="V123" s="18">
        <f t="shared" si="62"/>
        <v>1</v>
      </c>
    </row>
    <row r="124" spans="1:22">
      <c r="A124" s="33" t="s">
        <v>35</v>
      </c>
      <c r="C124" s="6" t="str">
        <f t="shared" si="63"/>
        <v>RM-ACT</v>
      </c>
      <c r="D124" s="10" t="str">
        <f>"""GP Direct"",""Fabrikam, Inc."",""Jet Item by Location"",""Class Code"",""RM-ACT"",""Item Number"",""512 SDRAM"",""Item Description"",""512 MEG RAM"",""Current Cost"",""0.00000"""</f>
        <v>"GP Direct","Fabrikam, Inc.","Jet Item by Location","Class Code","RM-ACT","Item Number","512 SDRAM","Item Description","512 MEG RAM","Current Cost","0.00000"</v>
      </c>
      <c r="E124" s="16" t="str">
        <f t="shared" si="59"/>
        <v>RM-ACT</v>
      </c>
      <c r="F124" s="16" t="str">
        <f>"512 SDRAM"</f>
        <v>512 SDRAM</v>
      </c>
      <c r="G124" s="16" t="str">
        <f>"512 MEG RAM"</f>
        <v>512 MEG RAM</v>
      </c>
      <c r="H124" s="35">
        <v>0</v>
      </c>
      <c r="J124" s="23"/>
      <c r="K124" s="23"/>
      <c r="L124" s="23"/>
      <c r="M124" s="23">
        <v>5</v>
      </c>
      <c r="N124" s="23"/>
      <c r="O124" s="44">
        <f t="shared" si="60"/>
        <v>5</v>
      </c>
      <c r="P124" s="43"/>
      <c r="Q124" s="35"/>
      <c r="R124" s="35"/>
      <c r="S124" s="35"/>
      <c r="T124" s="35">
        <v>0</v>
      </c>
      <c r="U124" s="45">
        <f t="shared" si="64"/>
        <v>0</v>
      </c>
      <c r="V124" s="18">
        <f t="shared" si="62"/>
        <v>2</v>
      </c>
    </row>
    <row r="125" spans="1:22">
      <c r="A125" s="33" t="s">
        <v>35</v>
      </c>
      <c r="C125" s="6" t="str">
        <f t="shared" si="63"/>
        <v>RM-ACT</v>
      </c>
      <c r="D125" s="10" t="str">
        <f>"""GP Direct"",""Fabrikam, Inc."",""Jet Item by Location"",""Class Code"",""RM-ACT"",""Item Number"",""BARREL ASSEMBLY"",""Item Description"",""Pen barrel assembly"",""Current Cost"",""1.00000"""</f>
        <v>"GP Direct","Fabrikam, Inc.","Jet Item by Location","Class Code","RM-ACT","Item Number","BARREL ASSEMBLY","Item Description","Pen barrel assembly","Current Cost","1.00000"</v>
      </c>
      <c r="E125" s="16" t="str">
        <f t="shared" si="59"/>
        <v>RM-ACT</v>
      </c>
      <c r="F125" s="16" t="str">
        <f>"BARREL ASSEMBLY"</f>
        <v>BARREL ASSEMBLY</v>
      </c>
      <c r="G125" s="16" t="str">
        <f>"Pen barrel assembly"</f>
        <v>Pen barrel assembly</v>
      </c>
      <c r="H125" s="35">
        <v>1</v>
      </c>
      <c r="J125" s="23"/>
      <c r="K125" s="23"/>
      <c r="L125" s="23"/>
      <c r="M125" s="23">
        <v>0</v>
      </c>
      <c r="N125" s="23"/>
      <c r="O125" s="44">
        <f t="shared" si="60"/>
        <v>0</v>
      </c>
      <c r="P125" s="43"/>
      <c r="Q125" s="35"/>
      <c r="R125" s="35"/>
      <c r="S125" s="35"/>
      <c r="T125" s="35">
        <v>0</v>
      </c>
      <c r="U125" s="45">
        <f t="shared" si="64"/>
        <v>0</v>
      </c>
      <c r="V125" s="18">
        <f t="shared" si="62"/>
        <v>2</v>
      </c>
    </row>
    <row r="126" spans="1:22">
      <c r="A126" s="33" t="s">
        <v>35</v>
      </c>
      <c r="C126" s="6" t="str">
        <f t="shared" si="63"/>
        <v>RM-ACT</v>
      </c>
      <c r="D126" s="10" t="str">
        <f>"""GP Direct"",""Fabrikam, Inc."",""Jet Item by Location"",""Class Code"",""RM-ACT"",""Item Number"",""BLACK INK"",""Item Description"",""Black ink cartridge"",""Current Cost"",""0.50000"""</f>
        <v>"GP Direct","Fabrikam, Inc.","Jet Item by Location","Class Code","RM-ACT","Item Number","BLACK INK","Item Description","Black ink cartridge","Current Cost","0.50000"</v>
      </c>
      <c r="E126" s="16" t="str">
        <f t="shared" si="59"/>
        <v>RM-ACT</v>
      </c>
      <c r="F126" s="16" t="str">
        <f>"BLACK INK"</f>
        <v>BLACK INK</v>
      </c>
      <c r="G126" s="16" t="str">
        <f>"Black ink cartridge"</f>
        <v>Black ink cartridge</v>
      </c>
      <c r="H126" s="35">
        <v>0.5</v>
      </c>
      <c r="J126" s="23"/>
      <c r="K126" s="23"/>
      <c r="L126" s="23"/>
      <c r="M126" s="23">
        <v>15</v>
      </c>
      <c r="N126" s="23"/>
      <c r="O126" s="44">
        <f t="shared" si="60"/>
        <v>15</v>
      </c>
      <c r="P126" s="43"/>
      <c r="Q126" s="35"/>
      <c r="R126" s="35"/>
      <c r="S126" s="35"/>
      <c r="T126" s="35">
        <v>7.5</v>
      </c>
      <c r="U126" s="45">
        <f t="shared" si="64"/>
        <v>0</v>
      </c>
      <c r="V126" s="18">
        <f t="shared" si="62"/>
        <v>3</v>
      </c>
    </row>
    <row r="127" spans="1:22">
      <c r="A127" s="33" t="s">
        <v>35</v>
      </c>
      <c r="C127" s="6" t="str">
        <f t="shared" si="63"/>
        <v>RM-ACT</v>
      </c>
      <c r="D127" s="10" t="str">
        <f>"""GP Direct"",""Fabrikam, Inc."",""Jet Item by Location"",""Class Code"",""RM-ACT"",""Item Number"",""CDROM"",""Item Description"",""CD ROM drive"",""Current Cost"",""30.00000"""</f>
        <v>"GP Direct","Fabrikam, Inc.","Jet Item by Location","Class Code","RM-ACT","Item Number","CDROM","Item Description","CD ROM drive","Current Cost","30.00000"</v>
      </c>
      <c r="E127" s="16" t="str">
        <f t="shared" si="59"/>
        <v>RM-ACT</v>
      </c>
      <c r="F127" s="16" t="str">
        <f>"CDROM"</f>
        <v>CDROM</v>
      </c>
      <c r="G127" s="16" t="str">
        <f>"CD ROM drive"</f>
        <v>CD ROM drive</v>
      </c>
      <c r="H127" s="35">
        <v>30</v>
      </c>
      <c r="J127" s="23"/>
      <c r="K127" s="23"/>
      <c r="L127" s="23"/>
      <c r="M127" s="23">
        <v>20</v>
      </c>
      <c r="N127" s="23"/>
      <c r="O127" s="44">
        <f t="shared" si="60"/>
        <v>20</v>
      </c>
      <c r="P127" s="43"/>
      <c r="Q127" s="35"/>
      <c r="R127" s="35"/>
      <c r="S127" s="35"/>
      <c r="T127" s="35">
        <v>600</v>
      </c>
      <c r="U127" s="45">
        <f t="shared" si="64"/>
        <v>0</v>
      </c>
      <c r="V127" s="18">
        <f t="shared" si="62"/>
        <v>3</v>
      </c>
    </row>
    <row r="128" spans="1:22">
      <c r="A128" s="33" t="s">
        <v>35</v>
      </c>
      <c r="C128" s="6" t="str">
        <f t="shared" si="63"/>
        <v>RM-ACT</v>
      </c>
      <c r="D128" s="10" t="str">
        <f>"""GP Direct"",""Fabrikam, Inc."",""Jet Item by Location"",""Class Code"",""RM-ACT"",""Item Number"",""CLIP"",""Item Description"",""Pocket pen clip"",""Current Cost"",""0.15000"""</f>
        <v>"GP Direct","Fabrikam, Inc.","Jet Item by Location","Class Code","RM-ACT","Item Number","CLIP","Item Description","Pocket pen clip","Current Cost","0.15000"</v>
      </c>
      <c r="E128" s="16" t="str">
        <f t="shared" si="59"/>
        <v>RM-ACT</v>
      </c>
      <c r="F128" s="16" t="str">
        <f>"CLIP"</f>
        <v>CLIP</v>
      </c>
      <c r="G128" s="16" t="str">
        <f>"Pocket pen clip"</f>
        <v>Pocket pen clip</v>
      </c>
      <c r="H128" s="35">
        <v>0.15</v>
      </c>
      <c r="J128" s="23"/>
      <c r="K128" s="23"/>
      <c r="L128" s="23"/>
      <c r="M128" s="23">
        <v>20</v>
      </c>
      <c r="N128" s="23"/>
      <c r="O128" s="44">
        <f t="shared" si="60"/>
        <v>20</v>
      </c>
      <c r="P128" s="43"/>
      <c r="Q128" s="35"/>
      <c r="R128" s="35"/>
      <c r="S128" s="35"/>
      <c r="T128" s="35">
        <v>3</v>
      </c>
      <c r="U128" s="45">
        <f t="shared" si="64"/>
        <v>0</v>
      </c>
      <c r="V128" s="18">
        <f t="shared" si="62"/>
        <v>4</v>
      </c>
    </row>
    <row r="129" spans="1:22">
      <c r="A129" s="33" t="s">
        <v>35</v>
      </c>
      <c r="C129" s="6" t="str">
        <f t="shared" si="63"/>
        <v>RM-ACT</v>
      </c>
      <c r="D129" s="10" t="str">
        <f>"""GP Direct"",""Fabrikam, Inc."",""Jet Item by Location"",""Class Code"",""RM-ACT"",""Item Number"",""DVD"",""Item Description"",""DVD drive"",""Current Cost"",""120.00000"""</f>
        <v>"GP Direct","Fabrikam, Inc.","Jet Item by Location","Class Code","RM-ACT","Item Number","DVD","Item Description","DVD drive","Current Cost","120.00000"</v>
      </c>
      <c r="E129" s="16" t="str">
        <f t="shared" si="59"/>
        <v>RM-ACT</v>
      </c>
      <c r="F129" s="16" t="str">
        <f>"DVD"</f>
        <v>DVD</v>
      </c>
      <c r="G129" s="16" t="str">
        <f>"DVD drive"</f>
        <v>DVD drive</v>
      </c>
      <c r="H129" s="35">
        <v>120</v>
      </c>
      <c r="J129" s="23"/>
      <c r="K129" s="23"/>
      <c r="L129" s="23"/>
      <c r="M129" s="23">
        <v>0</v>
      </c>
      <c r="N129" s="23"/>
      <c r="O129" s="44">
        <f t="shared" si="60"/>
        <v>0</v>
      </c>
      <c r="P129" s="43"/>
      <c r="Q129" s="35"/>
      <c r="R129" s="35"/>
      <c r="S129" s="35"/>
      <c r="T129" s="35">
        <v>0</v>
      </c>
      <c r="U129" s="45">
        <f t="shared" si="64"/>
        <v>0</v>
      </c>
      <c r="V129" s="18">
        <f t="shared" si="62"/>
        <v>4</v>
      </c>
    </row>
    <row r="130" spans="1:22">
      <c r="A130" s="33" t="s">
        <v>35</v>
      </c>
      <c r="C130" s="6" t="str">
        <f t="shared" si="63"/>
        <v>RM-ACT</v>
      </c>
      <c r="D130" s="10" t="str">
        <f>"""GP Direct"",""Fabrikam, Inc."",""Jet Item by Location"",""Class Code"",""RM-ACT"",""Item Number"",""DVD ROM"",""Item Description"",""DVD ROM internal drive"",""Current Cost"",""120.00000"""</f>
        <v>"GP Direct","Fabrikam, Inc.","Jet Item by Location","Class Code","RM-ACT","Item Number","DVD ROM","Item Description","DVD ROM internal drive","Current Cost","120.00000"</v>
      </c>
      <c r="E130" s="16" t="str">
        <f t="shared" si="59"/>
        <v>RM-ACT</v>
      </c>
      <c r="F130" s="16" t="str">
        <f>"DVD ROM"</f>
        <v>DVD ROM</v>
      </c>
      <c r="G130" s="16" t="str">
        <f>"DVD ROM internal drive"</f>
        <v>DVD ROM internal drive</v>
      </c>
      <c r="H130" s="35">
        <v>120</v>
      </c>
      <c r="J130" s="23"/>
      <c r="K130" s="23"/>
      <c r="L130" s="23"/>
      <c r="M130" s="23">
        <v>20</v>
      </c>
      <c r="N130" s="23"/>
      <c r="O130" s="44">
        <f t="shared" si="60"/>
        <v>20</v>
      </c>
      <c r="P130" s="43"/>
      <c r="Q130" s="35"/>
      <c r="R130" s="35"/>
      <c r="S130" s="35"/>
      <c r="T130" s="35">
        <v>2400</v>
      </c>
      <c r="U130" s="45">
        <f t="shared" si="64"/>
        <v>0</v>
      </c>
      <c r="V130" s="18">
        <f t="shared" si="62"/>
        <v>5</v>
      </c>
    </row>
    <row r="131" spans="1:22">
      <c r="A131" s="33" t="s">
        <v>35</v>
      </c>
      <c r="C131" s="6" t="str">
        <f t="shared" si="63"/>
        <v>RM-ACT</v>
      </c>
      <c r="D131" s="10" t="str">
        <f>"""GP Direct"",""Fabrikam, Inc."",""Jet Item by Location"",""Class Code"",""RM-ACT"",""Item Number"",""EXTERIOR ASSEMBLY"",""Item Description"",""Exterior pen assembly"",""Current Cost"",""1.20000"""</f>
        <v>"GP Direct","Fabrikam, Inc.","Jet Item by Location","Class Code","RM-ACT","Item Number","EXTERIOR ASSEMBLY","Item Description","Exterior pen assembly","Current Cost","1.20000"</v>
      </c>
      <c r="E131" s="16" t="str">
        <f t="shared" si="59"/>
        <v>RM-ACT</v>
      </c>
      <c r="F131" s="16" t="str">
        <f>"EXTERIOR ASSEMBLY"</f>
        <v>EXTERIOR ASSEMBLY</v>
      </c>
      <c r="G131" s="16" t="str">
        <f>"Exterior pen assembly"</f>
        <v>Exterior pen assembly</v>
      </c>
      <c r="H131" s="35">
        <v>1.2</v>
      </c>
      <c r="J131" s="23"/>
      <c r="K131" s="23"/>
      <c r="L131" s="23"/>
      <c r="M131" s="23">
        <v>0</v>
      </c>
      <c r="N131" s="23"/>
      <c r="O131" s="44">
        <f t="shared" si="60"/>
        <v>0</v>
      </c>
      <c r="P131" s="43"/>
      <c r="Q131" s="35"/>
      <c r="R131" s="35"/>
      <c r="S131" s="35"/>
      <c r="T131" s="35">
        <v>0</v>
      </c>
      <c r="U131" s="45">
        <f t="shared" si="64"/>
        <v>0</v>
      </c>
      <c r="V131" s="18">
        <f t="shared" si="62"/>
        <v>5</v>
      </c>
    </row>
    <row r="132" spans="1:22">
      <c r="A132" s="33" t="s">
        <v>35</v>
      </c>
      <c r="C132" s="6" t="str">
        <f t="shared" si="63"/>
        <v>RM-ACT</v>
      </c>
      <c r="D132" s="10" t="str">
        <f>"""GP Direct"",""Fabrikam, Inc."",""Jet Item by Location"",""Class Code"",""RM-ACT"",""Item Number"",""HARD DRIVE"",""Item Description"",""Hard Drive"",""Current Cost"",""50.00000"""</f>
        <v>"GP Direct","Fabrikam, Inc.","Jet Item by Location","Class Code","RM-ACT","Item Number","HARD DRIVE","Item Description","Hard Drive","Current Cost","50.00000"</v>
      </c>
      <c r="E132" s="16" t="str">
        <f t="shared" si="59"/>
        <v>RM-ACT</v>
      </c>
      <c r="F132" s="16" t="str">
        <f>"HARD DRIVE"</f>
        <v>HARD DRIVE</v>
      </c>
      <c r="G132" s="16" t="str">
        <f>"Hard Drive"</f>
        <v>Hard Drive</v>
      </c>
      <c r="H132" s="35">
        <v>50</v>
      </c>
      <c r="J132" s="23"/>
      <c r="K132" s="23"/>
      <c r="L132" s="23"/>
      <c r="M132" s="23">
        <v>0</v>
      </c>
      <c r="N132" s="23"/>
      <c r="O132" s="44">
        <f t="shared" si="60"/>
        <v>0</v>
      </c>
      <c r="P132" s="43"/>
      <c r="Q132" s="35"/>
      <c r="R132" s="35"/>
      <c r="S132" s="35"/>
      <c r="T132" s="35">
        <v>0</v>
      </c>
      <c r="U132" s="45">
        <f t="shared" si="64"/>
        <v>0</v>
      </c>
      <c r="V132" s="18">
        <f t="shared" si="62"/>
        <v>6</v>
      </c>
    </row>
    <row r="133" spans="1:22">
      <c r="A133" s="33" t="s">
        <v>35</v>
      </c>
      <c r="C133" s="6" t="str">
        <f t="shared" si="63"/>
        <v>RM-ACT</v>
      </c>
      <c r="D133" s="10" t="str">
        <f>"""GP Direct"",""Fabrikam, Inc."",""Jet Item by Location"",""Class Code"",""RM-ACT"",""Item Number"",""HD-20"",""Item Description"",""20 Gig Hard Drive"",""Current Cost"",""50.00000"""</f>
        <v>"GP Direct","Fabrikam, Inc.","Jet Item by Location","Class Code","RM-ACT","Item Number","HD-20","Item Description","20 Gig Hard Drive","Current Cost","50.00000"</v>
      </c>
      <c r="E133" s="16" t="str">
        <f t="shared" si="59"/>
        <v>RM-ACT</v>
      </c>
      <c r="F133" s="16" t="str">
        <f>"HD-20"</f>
        <v>HD-20</v>
      </c>
      <c r="G133" s="16" t="str">
        <f>"20 Gig Hard Drive"</f>
        <v>20 Gig Hard Drive</v>
      </c>
      <c r="H133" s="35">
        <v>50</v>
      </c>
      <c r="J133" s="23"/>
      <c r="K133" s="23"/>
      <c r="L133" s="23"/>
      <c r="M133" s="23">
        <v>20</v>
      </c>
      <c r="N133" s="23"/>
      <c r="O133" s="44">
        <f t="shared" si="60"/>
        <v>20</v>
      </c>
      <c r="P133" s="43"/>
      <c r="Q133" s="35"/>
      <c r="R133" s="35"/>
      <c r="S133" s="35"/>
      <c r="T133" s="35">
        <v>1000</v>
      </c>
      <c r="U133" s="45">
        <f t="shared" si="64"/>
        <v>0</v>
      </c>
      <c r="V133" s="18">
        <f t="shared" si="62"/>
        <v>6</v>
      </c>
    </row>
    <row r="134" spans="1:22">
      <c r="A134" s="33" t="s">
        <v>35</v>
      </c>
      <c r="C134" s="6" t="str">
        <f t="shared" si="63"/>
        <v>RM-ACT</v>
      </c>
      <c r="D134" s="10" t="str">
        <f>"""GP Direct"",""Fabrikam, Inc."",""Jet Item by Location"",""Class Code"",""RM-ACT"",""Item Number"",""HD-40"",""Item Description"",""40 Gig hard drive"",""Current Cost"",""75.00000"""</f>
        <v>"GP Direct","Fabrikam, Inc.","Jet Item by Location","Class Code","RM-ACT","Item Number","HD-40","Item Description","40 Gig hard drive","Current Cost","75.00000"</v>
      </c>
      <c r="E134" s="16" t="str">
        <f t="shared" si="59"/>
        <v>RM-ACT</v>
      </c>
      <c r="F134" s="16" t="str">
        <f>"HD-40"</f>
        <v>HD-40</v>
      </c>
      <c r="G134" s="16" t="str">
        <f>"40 Gig hard drive"</f>
        <v>40 Gig hard drive</v>
      </c>
      <c r="H134" s="35">
        <v>75</v>
      </c>
      <c r="J134" s="23"/>
      <c r="K134" s="23"/>
      <c r="L134" s="23"/>
      <c r="M134" s="23">
        <v>20</v>
      </c>
      <c r="N134" s="23"/>
      <c r="O134" s="44">
        <f t="shared" si="60"/>
        <v>20</v>
      </c>
      <c r="P134" s="43"/>
      <c r="Q134" s="35"/>
      <c r="R134" s="35"/>
      <c r="S134" s="35"/>
      <c r="T134" s="35">
        <v>1500</v>
      </c>
      <c r="U134" s="45">
        <f t="shared" si="64"/>
        <v>0</v>
      </c>
      <c r="V134" s="18">
        <f t="shared" si="62"/>
        <v>7</v>
      </c>
    </row>
    <row r="135" spans="1:22">
      <c r="A135" s="33" t="s">
        <v>35</v>
      </c>
      <c r="C135" s="6" t="str">
        <f t="shared" si="63"/>
        <v>RM-ACT</v>
      </c>
      <c r="D135" s="10" t="str">
        <f>"""GP Direct"",""Fabrikam, Inc."",""Jet Item by Location"",""Class Code"",""RM-ACT"",""Item Number"",""HD-60"",""Item Description"",""60 Gig hard drive"",""Current Cost"",""85.00000"""</f>
        <v>"GP Direct","Fabrikam, Inc.","Jet Item by Location","Class Code","RM-ACT","Item Number","HD-60","Item Description","60 Gig hard drive","Current Cost","85.00000"</v>
      </c>
      <c r="E135" s="16" t="str">
        <f t="shared" si="59"/>
        <v>RM-ACT</v>
      </c>
      <c r="F135" s="16" t="str">
        <f>"HD-60"</f>
        <v>HD-60</v>
      </c>
      <c r="G135" s="16" t="str">
        <f>"60 Gig hard drive"</f>
        <v>60 Gig hard drive</v>
      </c>
      <c r="H135" s="35">
        <v>85</v>
      </c>
      <c r="J135" s="23"/>
      <c r="K135" s="23"/>
      <c r="L135" s="23"/>
      <c r="M135" s="23">
        <v>20</v>
      </c>
      <c r="N135" s="23"/>
      <c r="O135" s="44">
        <f t="shared" si="60"/>
        <v>20</v>
      </c>
      <c r="P135" s="43"/>
      <c r="Q135" s="35"/>
      <c r="R135" s="35"/>
      <c r="S135" s="35"/>
      <c r="T135" s="35">
        <v>1700</v>
      </c>
      <c r="U135" s="45">
        <f t="shared" si="64"/>
        <v>0</v>
      </c>
      <c r="V135" s="18">
        <f t="shared" si="62"/>
        <v>7</v>
      </c>
    </row>
    <row r="136" spans="1:22">
      <c r="A136" s="33" t="s">
        <v>35</v>
      </c>
      <c r="C136" s="6" t="str">
        <f t="shared" si="63"/>
        <v>RM-ACT</v>
      </c>
      <c r="D136" s="10" t="str">
        <f>"""GP Direct"",""Fabrikam, Inc."",""Jet Item by Location"",""Class Code"",""RM-ACT"",""Item Number"",""PAINT"",""Item Description"",""out-sourced painting"",""Current Cost"",""20.00000"""</f>
        <v>"GP Direct","Fabrikam, Inc.","Jet Item by Location","Class Code","RM-ACT","Item Number","PAINT","Item Description","out-sourced painting","Current Cost","20.00000"</v>
      </c>
      <c r="E136" s="16" t="str">
        <f t="shared" si="59"/>
        <v>RM-ACT</v>
      </c>
      <c r="F136" s="16" t="str">
        <f>"PAINT"</f>
        <v>PAINT</v>
      </c>
      <c r="G136" s="16" t="str">
        <f>"out-sourced painting"</f>
        <v>out-sourced painting</v>
      </c>
      <c r="H136" s="35">
        <v>20</v>
      </c>
      <c r="J136" s="23"/>
      <c r="K136" s="23"/>
      <c r="L136" s="23"/>
      <c r="M136" s="23"/>
      <c r="N136" s="23"/>
      <c r="O136" s="44">
        <f t="shared" si="60"/>
        <v>0</v>
      </c>
      <c r="P136" s="43"/>
      <c r="Q136" s="35"/>
      <c r="R136" s="35"/>
      <c r="S136" s="35"/>
      <c r="T136" s="35"/>
      <c r="U136" s="45">
        <f t="shared" si="64"/>
        <v>0</v>
      </c>
      <c r="V136" s="18">
        <f t="shared" si="62"/>
        <v>8</v>
      </c>
    </row>
    <row r="137" spans="1:22">
      <c r="A137" s="33" t="s">
        <v>35</v>
      </c>
      <c r="C137" s="6" t="str">
        <f t="shared" si="63"/>
        <v>RM-ACT</v>
      </c>
      <c r="D137" s="10" t="str">
        <f>"""GP Direct"",""Fabrikam, Inc."",""Jet Item by Location"",""Class Code"",""RM-ACT"",""Item Number"",""PEN CAP"",""Item Description"",""Metal cap for pen"",""Current Cost"",""0.10000"""</f>
        <v>"GP Direct","Fabrikam, Inc.","Jet Item by Location","Class Code","RM-ACT","Item Number","PEN CAP","Item Description","Metal cap for pen","Current Cost","0.10000"</v>
      </c>
      <c r="E137" s="16" t="str">
        <f t="shared" si="59"/>
        <v>RM-ACT</v>
      </c>
      <c r="F137" s="16" t="str">
        <f>"PEN CAP"</f>
        <v>PEN CAP</v>
      </c>
      <c r="G137" s="16" t="str">
        <f>"Metal cap for pen"</f>
        <v>Metal cap for pen</v>
      </c>
      <c r="H137" s="35">
        <v>0.1</v>
      </c>
      <c r="J137" s="23"/>
      <c r="K137" s="23"/>
      <c r="L137" s="23"/>
      <c r="M137" s="23">
        <v>15</v>
      </c>
      <c r="N137" s="23"/>
      <c r="O137" s="44">
        <f t="shared" si="60"/>
        <v>15</v>
      </c>
      <c r="P137" s="43"/>
      <c r="Q137" s="35"/>
      <c r="R137" s="35"/>
      <c r="S137" s="35"/>
      <c r="T137" s="35">
        <v>1.5</v>
      </c>
      <c r="U137" s="45">
        <f t="shared" si="64"/>
        <v>0</v>
      </c>
      <c r="V137" s="18">
        <f t="shared" si="62"/>
        <v>8</v>
      </c>
    </row>
    <row r="138" spans="1:22">
      <c r="A138" s="33" t="s">
        <v>35</v>
      </c>
      <c r="C138" s="6" t="str">
        <f t="shared" si="63"/>
        <v>RM-ACT</v>
      </c>
      <c r="D138" s="10" t="str">
        <f>"""GP Direct"",""Fabrikam, Inc."",""Jet Item by Location"",""Class Code"",""RM-ACT"",""Item Number"",""SPRING"",""Item Description"",""Metal spring for pen"",""Current Cost"",""0.05000"""</f>
        <v>"GP Direct","Fabrikam, Inc.","Jet Item by Location","Class Code","RM-ACT","Item Number","SPRING","Item Description","Metal spring for pen","Current Cost","0.05000"</v>
      </c>
      <c r="E138" s="16" t="str">
        <f t="shared" si="59"/>
        <v>RM-ACT</v>
      </c>
      <c r="F138" s="16" t="str">
        <f>"SPRING"</f>
        <v>SPRING</v>
      </c>
      <c r="G138" s="16" t="str">
        <f>"Metal spring for pen"</f>
        <v>Metal spring for pen</v>
      </c>
      <c r="H138" s="35">
        <v>0.05</v>
      </c>
      <c r="J138" s="23"/>
      <c r="K138" s="23"/>
      <c r="L138" s="23"/>
      <c r="M138" s="23">
        <v>8</v>
      </c>
      <c r="N138" s="23"/>
      <c r="O138" s="44">
        <f t="shared" si="60"/>
        <v>8</v>
      </c>
      <c r="P138" s="43"/>
      <c r="Q138" s="35"/>
      <c r="R138" s="35"/>
      <c r="S138" s="35"/>
      <c r="T138" s="35">
        <v>0.4</v>
      </c>
      <c r="U138" s="45">
        <f t="shared" si="64"/>
        <v>0</v>
      </c>
      <c r="V138" s="18">
        <f t="shared" si="62"/>
        <v>9</v>
      </c>
    </row>
    <row r="139" spans="1:22" hidden="1">
      <c r="A139" s="33" t="s">
        <v>33</v>
      </c>
      <c r="C139" s="6" t="str">
        <f>C122</f>
        <v>RM-ACT</v>
      </c>
      <c r="D139" s="10"/>
      <c r="E139" s="16"/>
      <c r="F139" s="16"/>
      <c r="G139" s="16"/>
      <c r="H139" s="22"/>
      <c r="J139" s="23"/>
      <c r="K139" s="23"/>
      <c r="L139" s="23"/>
      <c r="M139" s="23"/>
      <c r="N139" s="23"/>
      <c r="O139" s="44"/>
      <c r="P139" s="43"/>
      <c r="Q139" s="23"/>
      <c r="R139" s="23"/>
      <c r="S139" s="23"/>
      <c r="T139" s="23"/>
      <c r="U139" s="44"/>
      <c r="V139" s="18"/>
    </row>
    <row r="140" spans="1:22">
      <c r="A140" s="34" t="s">
        <v>35</v>
      </c>
      <c r="C140" s="6" t="str">
        <f t="shared" si="58"/>
        <v>RM-ACT</v>
      </c>
      <c r="D140" s="10"/>
      <c r="E140" s="30" t="str">
        <f>"Total For:  "&amp;$C140</f>
        <v>Total For:  RM-ACT</v>
      </c>
      <c r="F140" s="31"/>
      <c r="G140" s="31"/>
      <c r="H140" s="31"/>
      <c r="J140" s="46">
        <f>SUBTOTAL(9, J122:J139)</f>
        <v>0</v>
      </c>
      <c r="K140" s="46">
        <f>SUBTOTAL(9, K122:K139)</f>
        <v>0</v>
      </c>
      <c r="L140" s="46">
        <f>SUBTOTAL(9, L122:L139)</f>
        <v>0</v>
      </c>
      <c r="M140" s="46">
        <f>SUBTOTAL(9, M122:M139)</f>
        <v>203</v>
      </c>
      <c r="N140" s="46"/>
      <c r="O140" s="49">
        <f>SUBTOTAL(9, O122:O139)</f>
        <v>203</v>
      </c>
      <c r="P140" s="37"/>
      <c r="Q140" s="32"/>
      <c r="R140" s="32"/>
      <c r="S140" s="32"/>
      <c r="T140" s="32"/>
      <c r="U140" s="48">
        <f t="shared" ref="U140" si="65">SUBTOTAL(9, U122:U139)</f>
        <v>0</v>
      </c>
      <c r="V140" s="18"/>
    </row>
    <row r="141" spans="1:22">
      <c r="A141" s="34" t="s">
        <v>35</v>
      </c>
      <c r="D141" s="11"/>
      <c r="E141" s="24"/>
      <c r="F141" s="16"/>
      <c r="G141" s="16"/>
      <c r="H141" s="12"/>
      <c r="J141" s="13"/>
      <c r="K141" s="13"/>
      <c r="L141" s="13"/>
      <c r="M141" s="13"/>
      <c r="N141" s="13"/>
      <c r="O141" s="13"/>
      <c r="P141" s="37"/>
      <c r="Q141" s="13"/>
      <c r="R141" s="13"/>
      <c r="S141" s="13"/>
      <c r="T141" s="13"/>
      <c r="U141" s="13"/>
      <c r="V141" s="18"/>
    </row>
    <row r="142" spans="1:22" hidden="1">
      <c r="A142" s="33" t="s">
        <v>33</v>
      </c>
      <c r="C142" s="6" t="str">
        <f t="shared" ref="C142" si="66">D142</f>
        <v>RM-STD</v>
      </c>
      <c r="D142" s="10" t="str">
        <f>"RM-STD"</f>
        <v>RM-STD</v>
      </c>
      <c r="I142" s="7"/>
      <c r="J142" s="7"/>
      <c r="K142" s="7"/>
      <c r="L142" s="7"/>
      <c r="M142" s="7"/>
      <c r="P142" s="7"/>
      <c r="V142" s="18"/>
    </row>
    <row r="143" spans="1:22">
      <c r="A143" s="33" t="s">
        <v>35</v>
      </c>
      <c r="C143" s="6" t="str">
        <f t="shared" ref="C143:C161" si="67">C142</f>
        <v>RM-STD</v>
      </c>
      <c r="D143" s="10" t="str">
        <f>"""GP Direct"",""Fabrikam, Inc."",""Jet Item by Location"",""Class Code"",""RM-STD"",""Item Number"",""ARM"",""Item Description"",""Wood chair arm"",""Current Cost"",""3.44000"""</f>
        <v>"GP Direct","Fabrikam, Inc.","Jet Item by Location","Class Code","RM-STD","Item Number","ARM","Item Description","Wood chair arm","Current Cost","3.44000"</v>
      </c>
      <c r="E143" s="16" t="str">
        <f t="shared" ref="E143:E159" si="68">"RM-STD"</f>
        <v>RM-STD</v>
      </c>
      <c r="F143" s="16" t="str">
        <f>"ARM"</f>
        <v>ARM</v>
      </c>
      <c r="G143" s="16" t="str">
        <f>"Wood chair arm"</f>
        <v>Wood chair arm</v>
      </c>
      <c r="H143" s="35">
        <v>3.44</v>
      </c>
      <c r="J143" s="23"/>
      <c r="K143" s="23"/>
      <c r="L143" s="23"/>
      <c r="M143" s="23">
        <v>20</v>
      </c>
      <c r="N143" s="23"/>
      <c r="O143" s="44">
        <f t="shared" ref="O143:O159" si="69">SUM(J143:N143)</f>
        <v>20</v>
      </c>
      <c r="P143" s="43"/>
      <c r="Q143" s="35"/>
      <c r="R143" s="35"/>
      <c r="S143" s="35"/>
      <c r="T143" s="35">
        <v>68.8</v>
      </c>
      <c r="U143" s="45">
        <f t="shared" ref="U143" si="70">SUM(Q143:Q143)</f>
        <v>0</v>
      </c>
      <c r="V143" s="18">
        <f t="shared" ref="V143:V159" si="71">V141+1</f>
        <v>1</v>
      </c>
    </row>
    <row r="144" spans="1:22">
      <c r="A144" s="33" t="s">
        <v>35</v>
      </c>
      <c r="C144" s="6" t="str">
        <f t="shared" ref="C144:C159" si="72">C143</f>
        <v>RM-STD</v>
      </c>
      <c r="D144" s="10" t="str">
        <f>"""GP Direct"",""Fabrikam, Inc."",""Jet Item by Location"",""Class Code"",""RM-STD"",""Item Number"",""BACK ASSEMBLY"",""Item Description"",""Wood chair back assembly"",""Current Cost"",""0.00000"""</f>
        <v>"GP Direct","Fabrikam, Inc.","Jet Item by Location","Class Code","RM-STD","Item Number","BACK ASSEMBLY","Item Description","Wood chair back assembly","Current Cost","0.00000"</v>
      </c>
      <c r="E144" s="16" t="str">
        <f t="shared" si="68"/>
        <v>RM-STD</v>
      </c>
      <c r="F144" s="16" t="str">
        <f>"BACK ASSEMBLY"</f>
        <v>BACK ASSEMBLY</v>
      </c>
      <c r="G144" s="16" t="str">
        <f>"Wood chair back assembly"</f>
        <v>Wood chair back assembly</v>
      </c>
      <c r="H144" s="35">
        <v>0</v>
      </c>
      <c r="J144" s="23"/>
      <c r="K144" s="23"/>
      <c r="L144" s="23"/>
      <c r="M144" s="23">
        <v>0</v>
      </c>
      <c r="N144" s="23"/>
      <c r="O144" s="44">
        <f t="shared" si="69"/>
        <v>0</v>
      </c>
      <c r="P144" s="43"/>
      <c r="Q144" s="35"/>
      <c r="R144" s="35"/>
      <c r="S144" s="35"/>
      <c r="T144" s="35">
        <v>0</v>
      </c>
      <c r="U144" s="45">
        <f t="shared" ref="U144:U159" si="73">SUM(Q144:Q144)</f>
        <v>0</v>
      </c>
      <c r="V144" s="18">
        <f t="shared" si="71"/>
        <v>1</v>
      </c>
    </row>
    <row r="145" spans="1:22">
      <c r="A145" s="33" t="s">
        <v>35</v>
      </c>
      <c r="C145" s="6" t="str">
        <f t="shared" si="72"/>
        <v>RM-STD</v>
      </c>
      <c r="D145" s="10" t="str">
        <f>"""GP Direct"",""Fabrikam, Inc."",""Jet Item by Location"",""Class Code"",""RM-STD"",""Item Number"",""BACK FABRIC"",""Item Description"",""Chair back fabric"",""Current Cost"",""1.20000"""</f>
        <v>"GP Direct","Fabrikam, Inc.","Jet Item by Location","Class Code","RM-STD","Item Number","BACK FABRIC","Item Description","Chair back fabric","Current Cost","1.20000"</v>
      </c>
      <c r="E145" s="16" t="str">
        <f t="shared" si="68"/>
        <v>RM-STD</v>
      </c>
      <c r="F145" s="16" t="str">
        <f>"BACK FABRIC"</f>
        <v>BACK FABRIC</v>
      </c>
      <c r="G145" s="16" t="str">
        <f>"Chair back fabric"</f>
        <v>Chair back fabric</v>
      </c>
      <c r="H145" s="35">
        <v>1.2</v>
      </c>
      <c r="J145" s="23"/>
      <c r="K145" s="23"/>
      <c r="L145" s="23"/>
      <c r="M145" s="23">
        <v>20</v>
      </c>
      <c r="N145" s="23"/>
      <c r="O145" s="44">
        <f t="shared" si="69"/>
        <v>20</v>
      </c>
      <c r="P145" s="43"/>
      <c r="Q145" s="35"/>
      <c r="R145" s="35"/>
      <c r="S145" s="35"/>
      <c r="T145" s="35">
        <v>24</v>
      </c>
      <c r="U145" s="45">
        <f t="shared" si="73"/>
        <v>0</v>
      </c>
      <c r="V145" s="18">
        <f t="shared" si="71"/>
        <v>2</v>
      </c>
    </row>
    <row r="146" spans="1:22">
      <c r="A146" s="33" t="s">
        <v>35</v>
      </c>
      <c r="C146" s="6" t="str">
        <f t="shared" si="72"/>
        <v>RM-STD</v>
      </c>
      <c r="D146" s="10" t="str">
        <f>"""GP Direct"",""Fabrikam, Inc."",""Jet Item by Location"",""Class Code"",""RM-STD"",""Item Number"",""BACK FRAME"",""Item Description"",""Wood chair back frame"",""Current Cost"",""9.88000"""</f>
        <v>"GP Direct","Fabrikam, Inc.","Jet Item by Location","Class Code","RM-STD","Item Number","BACK FRAME","Item Description","Wood chair back frame","Current Cost","9.88000"</v>
      </c>
      <c r="E146" s="16" t="str">
        <f t="shared" si="68"/>
        <v>RM-STD</v>
      </c>
      <c r="F146" s="16" t="str">
        <f>"BACK FRAME"</f>
        <v>BACK FRAME</v>
      </c>
      <c r="G146" s="16" t="str">
        <f>"Wood chair back frame"</f>
        <v>Wood chair back frame</v>
      </c>
      <c r="H146" s="35">
        <v>9.8800000000000008</v>
      </c>
      <c r="J146" s="23"/>
      <c r="K146" s="23"/>
      <c r="L146" s="23"/>
      <c r="M146" s="23">
        <v>20</v>
      </c>
      <c r="N146" s="23"/>
      <c r="O146" s="44">
        <f t="shared" si="69"/>
        <v>20</v>
      </c>
      <c r="P146" s="43"/>
      <c r="Q146" s="35"/>
      <c r="R146" s="35"/>
      <c r="S146" s="35"/>
      <c r="T146" s="35">
        <v>197.6</v>
      </c>
      <c r="U146" s="45">
        <f t="shared" si="73"/>
        <v>0</v>
      </c>
      <c r="V146" s="18">
        <f t="shared" si="71"/>
        <v>2</v>
      </c>
    </row>
    <row r="147" spans="1:22">
      <c r="A147" s="33" t="s">
        <v>35</v>
      </c>
      <c r="C147" s="6" t="str">
        <f t="shared" si="72"/>
        <v>RM-STD</v>
      </c>
      <c r="D147" s="10" t="str">
        <f>"""GP Direct"",""Fabrikam, Inc."",""Jet Item by Location"",""Class Code"",""RM-STD"",""Item Number"",""BAND-LEATHER"",""Item Description"",""Leather watch band"",""Current Cost"",""10.70000"""</f>
        <v>"GP Direct","Fabrikam, Inc.","Jet Item by Location","Class Code","RM-STD","Item Number","BAND-LEATHER","Item Description","Leather watch band","Current Cost","10.70000"</v>
      </c>
      <c r="E147" s="16" t="str">
        <f t="shared" si="68"/>
        <v>RM-STD</v>
      </c>
      <c r="F147" s="16" t="str">
        <f>"BAND-LEATHER"</f>
        <v>BAND-LEATHER</v>
      </c>
      <c r="G147" s="16" t="str">
        <f>"Leather watch band"</f>
        <v>Leather watch band</v>
      </c>
      <c r="H147" s="35">
        <v>10.7</v>
      </c>
      <c r="J147" s="23"/>
      <c r="K147" s="23"/>
      <c r="L147" s="23"/>
      <c r="M147" s="23">
        <v>20</v>
      </c>
      <c r="N147" s="23"/>
      <c r="O147" s="44">
        <f t="shared" si="69"/>
        <v>20</v>
      </c>
      <c r="P147" s="43"/>
      <c r="Q147" s="35"/>
      <c r="R147" s="35"/>
      <c r="S147" s="35"/>
      <c r="T147" s="35">
        <v>214</v>
      </c>
      <c r="U147" s="45">
        <f t="shared" si="73"/>
        <v>0</v>
      </c>
      <c r="V147" s="18">
        <f t="shared" si="71"/>
        <v>3</v>
      </c>
    </row>
    <row r="148" spans="1:22">
      <c r="A148" s="33" t="s">
        <v>35</v>
      </c>
      <c r="C148" s="6" t="str">
        <f t="shared" si="72"/>
        <v>RM-STD</v>
      </c>
      <c r="D148" s="10" t="str">
        <f>"""GP Direct"",""Fabrikam, Inc."",""Jet Item by Location"",""Class Code"",""RM-STD"",""Item Number"",""BAND-METAL"",""Item Description"",""Metal watch band"",""Current Cost"",""7.70000"""</f>
        <v>"GP Direct","Fabrikam, Inc.","Jet Item by Location","Class Code","RM-STD","Item Number","BAND-METAL","Item Description","Metal watch band","Current Cost","7.70000"</v>
      </c>
      <c r="E148" s="16" t="str">
        <f t="shared" si="68"/>
        <v>RM-STD</v>
      </c>
      <c r="F148" s="16" t="str">
        <f>"BAND-METAL"</f>
        <v>BAND-METAL</v>
      </c>
      <c r="G148" s="16" t="str">
        <f>"Metal watch band"</f>
        <v>Metal watch band</v>
      </c>
      <c r="H148" s="35">
        <v>7.7</v>
      </c>
      <c r="J148" s="23"/>
      <c r="K148" s="23"/>
      <c r="L148" s="23"/>
      <c r="M148" s="23">
        <v>20</v>
      </c>
      <c r="N148" s="23"/>
      <c r="O148" s="44">
        <f t="shared" si="69"/>
        <v>20</v>
      </c>
      <c r="P148" s="43"/>
      <c r="Q148" s="35"/>
      <c r="R148" s="35"/>
      <c r="S148" s="35"/>
      <c r="T148" s="35">
        <v>154</v>
      </c>
      <c r="U148" s="45">
        <f t="shared" si="73"/>
        <v>0</v>
      </c>
      <c r="V148" s="18">
        <f t="shared" si="71"/>
        <v>3</v>
      </c>
    </row>
    <row r="149" spans="1:22">
      <c r="A149" s="33" t="s">
        <v>35</v>
      </c>
      <c r="C149" s="6" t="str">
        <f t="shared" si="72"/>
        <v>RM-STD</v>
      </c>
      <c r="D149" s="10" t="str">
        <f>"""GP Direct"",""Fabrikam, Inc."",""Jet Item by Location"",""Class Code"",""RM-STD"",""Item Number"",""BAND-PLASTIC"",""Item Description"",""Plastic watch band"",""Current Cost"",""5.56000"""</f>
        <v>"GP Direct","Fabrikam, Inc.","Jet Item by Location","Class Code","RM-STD","Item Number","BAND-PLASTIC","Item Description","Plastic watch band","Current Cost","5.56000"</v>
      </c>
      <c r="E149" s="16" t="str">
        <f t="shared" si="68"/>
        <v>RM-STD</v>
      </c>
      <c r="F149" s="16" t="str">
        <f>"BAND-PLASTIC"</f>
        <v>BAND-PLASTIC</v>
      </c>
      <c r="G149" s="16" t="str">
        <f>"Plastic watch band"</f>
        <v>Plastic watch band</v>
      </c>
      <c r="H149" s="35">
        <v>5.56</v>
      </c>
      <c r="J149" s="23"/>
      <c r="K149" s="23"/>
      <c r="L149" s="23"/>
      <c r="M149" s="23">
        <v>20</v>
      </c>
      <c r="N149" s="23"/>
      <c r="O149" s="44">
        <f t="shared" si="69"/>
        <v>20</v>
      </c>
      <c r="P149" s="43"/>
      <c r="Q149" s="35"/>
      <c r="R149" s="35"/>
      <c r="S149" s="35"/>
      <c r="T149" s="35">
        <v>111.2</v>
      </c>
      <c r="U149" s="45">
        <f t="shared" si="73"/>
        <v>0</v>
      </c>
      <c r="V149" s="18">
        <f t="shared" si="71"/>
        <v>4</v>
      </c>
    </row>
    <row r="150" spans="1:22">
      <c r="A150" s="33" t="s">
        <v>35</v>
      </c>
      <c r="C150" s="6" t="str">
        <f t="shared" si="72"/>
        <v>RM-STD</v>
      </c>
      <c r="D150" s="10" t="str">
        <f>"""GP Direct"",""Fabrikam, Inc."",""Jet Item by Location"",""Class Code"",""RM-STD"",""Item Number"",""BATTERY"",""Item Description"",""watch battery"",""Current Cost"",""0.50000"""</f>
        <v>"GP Direct","Fabrikam, Inc.","Jet Item by Location","Class Code","RM-STD","Item Number","BATTERY","Item Description","watch battery","Current Cost","0.50000"</v>
      </c>
      <c r="E150" s="16" t="str">
        <f t="shared" si="68"/>
        <v>RM-STD</v>
      </c>
      <c r="F150" s="16" t="str">
        <f>"BATTERY"</f>
        <v>BATTERY</v>
      </c>
      <c r="G150" s="16" t="str">
        <f>"watch battery"</f>
        <v>watch battery</v>
      </c>
      <c r="H150" s="35">
        <v>0.5</v>
      </c>
      <c r="J150" s="23"/>
      <c r="K150" s="23"/>
      <c r="L150" s="23"/>
      <c r="M150" s="23">
        <v>20</v>
      </c>
      <c r="N150" s="23"/>
      <c r="O150" s="44">
        <f t="shared" si="69"/>
        <v>20</v>
      </c>
      <c r="P150" s="43"/>
      <c r="Q150" s="35"/>
      <c r="R150" s="35"/>
      <c r="S150" s="35"/>
      <c r="T150" s="35">
        <v>10</v>
      </c>
      <c r="U150" s="45">
        <f t="shared" si="73"/>
        <v>0</v>
      </c>
      <c r="V150" s="18">
        <f t="shared" si="71"/>
        <v>4</v>
      </c>
    </row>
    <row r="151" spans="1:22">
      <c r="A151" s="33" t="s">
        <v>35</v>
      </c>
      <c r="C151" s="6" t="str">
        <f t="shared" si="72"/>
        <v>RM-STD</v>
      </c>
      <c r="D151" s="10" t="str">
        <f>"""GP Direct"",""Fabrikam, Inc."",""Jet Item by Location"",""Class Code"",""RM-STD"",""Item Number"",""DISPLAY"",""Item Description"",""Plastic watch case/display"",""Current Cost"",""1.00000"""</f>
        <v>"GP Direct","Fabrikam, Inc.","Jet Item by Location","Class Code","RM-STD","Item Number","DISPLAY","Item Description","Plastic watch case/display","Current Cost","1.00000"</v>
      </c>
      <c r="E151" s="16" t="str">
        <f t="shared" si="68"/>
        <v>RM-STD</v>
      </c>
      <c r="F151" s="16" t="str">
        <f>"DISPLAY"</f>
        <v>DISPLAY</v>
      </c>
      <c r="G151" s="16" t="str">
        <f>"Plastic watch case/display"</f>
        <v>Plastic watch case/display</v>
      </c>
      <c r="H151" s="35">
        <v>1</v>
      </c>
      <c r="J151" s="23"/>
      <c r="K151" s="23"/>
      <c r="L151" s="23"/>
      <c r="M151" s="23">
        <v>20</v>
      </c>
      <c r="N151" s="23"/>
      <c r="O151" s="44">
        <f t="shared" si="69"/>
        <v>20</v>
      </c>
      <c r="P151" s="43"/>
      <c r="Q151" s="35"/>
      <c r="R151" s="35"/>
      <c r="S151" s="35"/>
      <c r="T151" s="35">
        <v>20</v>
      </c>
      <c r="U151" s="45">
        <f t="shared" si="73"/>
        <v>0</v>
      </c>
      <c r="V151" s="18">
        <f t="shared" si="71"/>
        <v>5</v>
      </c>
    </row>
    <row r="152" spans="1:22">
      <c r="A152" s="33" t="s">
        <v>35</v>
      </c>
      <c r="C152" s="6" t="str">
        <f t="shared" si="72"/>
        <v>RM-STD</v>
      </c>
      <c r="D152" s="10" t="str">
        <f>"""GP Direct"",""Fabrikam, Inc."",""Jet Item by Location"",""Class Code"",""RM-STD"",""Item Number"",""FACE-ANALOG"",""Item Description"",""Analog watch face"",""Current Cost"",""15.76000"""</f>
        <v>"GP Direct","Fabrikam, Inc.","Jet Item by Location","Class Code","RM-STD","Item Number","FACE-ANALOG","Item Description","Analog watch face","Current Cost","15.76000"</v>
      </c>
      <c r="E152" s="16" t="str">
        <f t="shared" si="68"/>
        <v>RM-STD</v>
      </c>
      <c r="F152" s="16" t="str">
        <f>"FACE-ANALOG"</f>
        <v>FACE-ANALOG</v>
      </c>
      <c r="G152" s="16" t="str">
        <f>"Analog watch face"</f>
        <v>Analog watch face</v>
      </c>
      <c r="H152" s="35">
        <v>15.76</v>
      </c>
      <c r="J152" s="23"/>
      <c r="K152" s="23"/>
      <c r="L152" s="23"/>
      <c r="M152" s="23">
        <v>20</v>
      </c>
      <c r="N152" s="23"/>
      <c r="O152" s="44">
        <f t="shared" si="69"/>
        <v>20</v>
      </c>
      <c r="P152" s="43"/>
      <c r="Q152" s="35"/>
      <c r="R152" s="35"/>
      <c r="S152" s="35"/>
      <c r="T152" s="35">
        <v>315.2</v>
      </c>
      <c r="U152" s="45">
        <f t="shared" si="73"/>
        <v>0</v>
      </c>
      <c r="V152" s="18">
        <f t="shared" si="71"/>
        <v>5</v>
      </c>
    </row>
    <row r="153" spans="1:22">
      <c r="A153" s="33" t="s">
        <v>35</v>
      </c>
      <c r="C153" s="6" t="str">
        <f t="shared" si="72"/>
        <v>RM-STD</v>
      </c>
      <c r="D153" s="10" t="str">
        <f>"""GP Direct"",""Fabrikam, Inc."",""Jet Item by Location"",""Class Code"",""RM-STD"",""Item Number"",""FACE-DIGITAL"",""Item Description"",""Digital watch face"",""Current Cost"",""16.90000"""</f>
        <v>"GP Direct","Fabrikam, Inc.","Jet Item by Location","Class Code","RM-STD","Item Number","FACE-DIGITAL","Item Description","Digital watch face","Current Cost","16.90000"</v>
      </c>
      <c r="E153" s="16" t="str">
        <f t="shared" si="68"/>
        <v>RM-STD</v>
      </c>
      <c r="F153" s="16" t="str">
        <f>"FACE-DIGITAL"</f>
        <v>FACE-DIGITAL</v>
      </c>
      <c r="G153" s="16" t="str">
        <f>"Digital watch face"</f>
        <v>Digital watch face</v>
      </c>
      <c r="H153" s="35">
        <v>16.899999999999999</v>
      </c>
      <c r="J153" s="23"/>
      <c r="K153" s="23"/>
      <c r="L153" s="23"/>
      <c r="M153" s="23">
        <v>20</v>
      </c>
      <c r="N153" s="23"/>
      <c r="O153" s="44">
        <f t="shared" si="69"/>
        <v>20</v>
      </c>
      <c r="P153" s="43"/>
      <c r="Q153" s="35"/>
      <c r="R153" s="35"/>
      <c r="S153" s="35"/>
      <c r="T153" s="35">
        <v>338</v>
      </c>
      <c r="U153" s="45">
        <f t="shared" si="73"/>
        <v>0</v>
      </c>
      <c r="V153" s="18">
        <f t="shared" si="71"/>
        <v>6</v>
      </c>
    </row>
    <row r="154" spans="1:22">
      <c r="A154" s="33" t="s">
        <v>35</v>
      </c>
      <c r="C154" s="6" t="str">
        <f t="shared" si="72"/>
        <v>RM-STD</v>
      </c>
      <c r="D154" s="10" t="str">
        <f>"""GP Direct"",""Fabrikam, Inc."",""Jet Item by Location"",""Class Code"",""RM-STD"",""Item Number"",""LEG"",""Item Description"",""Wooden chair leg"",""Current Cost"",""2.40000"""</f>
        <v>"GP Direct","Fabrikam, Inc.","Jet Item by Location","Class Code","RM-STD","Item Number","LEG","Item Description","Wooden chair leg","Current Cost","2.40000"</v>
      </c>
      <c r="E154" s="16" t="str">
        <f t="shared" si="68"/>
        <v>RM-STD</v>
      </c>
      <c r="F154" s="16" t="str">
        <f>"LEG"</f>
        <v>LEG</v>
      </c>
      <c r="G154" s="16" t="str">
        <f>"Wooden chair leg"</f>
        <v>Wooden chair leg</v>
      </c>
      <c r="H154" s="35">
        <v>2.4</v>
      </c>
      <c r="J154" s="23"/>
      <c r="K154" s="23"/>
      <c r="L154" s="23"/>
      <c r="M154" s="23">
        <v>20</v>
      </c>
      <c r="N154" s="23"/>
      <c r="O154" s="44">
        <f t="shared" si="69"/>
        <v>20</v>
      </c>
      <c r="P154" s="43"/>
      <c r="Q154" s="35"/>
      <c r="R154" s="35"/>
      <c r="S154" s="35"/>
      <c r="T154" s="35">
        <v>48</v>
      </c>
      <c r="U154" s="45">
        <f t="shared" si="73"/>
        <v>0</v>
      </c>
      <c r="V154" s="18">
        <f t="shared" si="71"/>
        <v>6</v>
      </c>
    </row>
    <row r="155" spans="1:22">
      <c r="A155" s="33" t="s">
        <v>35</v>
      </c>
      <c r="C155" s="6" t="str">
        <f t="shared" si="72"/>
        <v>RM-STD</v>
      </c>
      <c r="D155" s="10" t="str">
        <f>"""GP Direct"",""Fabrikam, Inc."",""Jet Item by Location"",""Class Code"",""RM-STD"",""Item Number"",""SEAT ASSEMBLY"",""Item Description"",""Wooden chair seat assembly"",""Current Cost"",""18.34000"""</f>
        <v>"GP Direct","Fabrikam, Inc.","Jet Item by Location","Class Code","RM-STD","Item Number","SEAT ASSEMBLY","Item Description","Wooden chair seat assembly","Current Cost","18.34000"</v>
      </c>
      <c r="E155" s="16" t="str">
        <f t="shared" si="68"/>
        <v>RM-STD</v>
      </c>
      <c r="F155" s="16" t="str">
        <f>"SEAT ASSEMBLY"</f>
        <v>SEAT ASSEMBLY</v>
      </c>
      <c r="G155" s="16" t="str">
        <f>"Wooden chair seat assembly"</f>
        <v>Wooden chair seat assembly</v>
      </c>
      <c r="H155" s="35">
        <v>18.34</v>
      </c>
      <c r="J155" s="23"/>
      <c r="K155" s="23"/>
      <c r="L155" s="23"/>
      <c r="M155" s="23">
        <v>5</v>
      </c>
      <c r="N155" s="23"/>
      <c r="O155" s="44">
        <f t="shared" si="69"/>
        <v>5</v>
      </c>
      <c r="P155" s="43"/>
      <c r="Q155" s="35"/>
      <c r="R155" s="35"/>
      <c r="S155" s="35"/>
      <c r="T155" s="35">
        <v>91.7</v>
      </c>
      <c r="U155" s="45">
        <f t="shared" si="73"/>
        <v>0</v>
      </c>
      <c r="V155" s="18">
        <f t="shared" si="71"/>
        <v>7</v>
      </c>
    </row>
    <row r="156" spans="1:22">
      <c r="A156" s="33" t="s">
        <v>35</v>
      </c>
      <c r="C156" s="6" t="str">
        <f t="shared" si="72"/>
        <v>RM-STD</v>
      </c>
      <c r="D156" s="10" t="str">
        <f>"""GP Direct"",""Fabrikam, Inc."",""Jet Item by Location"",""Class Code"",""RM-STD"",""Item Number"",""SEAT FABRIC"",""Item Description"",""Blue fabric for wooden chair"",""Current Cost"",""1.13000"""</f>
        <v>"GP Direct","Fabrikam, Inc.","Jet Item by Location","Class Code","RM-STD","Item Number","SEAT FABRIC","Item Description","Blue fabric for wooden chair","Current Cost","1.13000"</v>
      </c>
      <c r="E156" s="16" t="str">
        <f t="shared" si="68"/>
        <v>RM-STD</v>
      </c>
      <c r="F156" s="16" t="str">
        <f>"SEAT FABRIC"</f>
        <v>SEAT FABRIC</v>
      </c>
      <c r="G156" s="16" t="str">
        <f>"Blue fabric for wooden chair"</f>
        <v>Blue fabric for wooden chair</v>
      </c>
      <c r="H156" s="35">
        <v>1.1299999999999999</v>
      </c>
      <c r="J156" s="23"/>
      <c r="K156" s="23"/>
      <c r="L156" s="23"/>
      <c r="M156" s="23">
        <v>20</v>
      </c>
      <c r="N156" s="23"/>
      <c r="O156" s="44">
        <f t="shared" si="69"/>
        <v>20</v>
      </c>
      <c r="P156" s="43"/>
      <c r="Q156" s="35"/>
      <c r="R156" s="35"/>
      <c r="S156" s="35"/>
      <c r="T156" s="35">
        <v>22.6</v>
      </c>
      <c r="U156" s="45">
        <f t="shared" si="73"/>
        <v>0</v>
      </c>
      <c r="V156" s="18">
        <f t="shared" si="71"/>
        <v>7</v>
      </c>
    </row>
    <row r="157" spans="1:22">
      <c r="A157" s="33" t="s">
        <v>35</v>
      </c>
      <c r="C157" s="6" t="str">
        <f t="shared" si="72"/>
        <v>RM-STD</v>
      </c>
      <c r="D157" s="10" t="str">
        <f>"""GP Direct"",""Fabrikam, Inc."",""Jet Item by Location"",""Class Code"",""RM-STD"",""Item Number"",""SEAT FRAME"",""Item Description"",""Wood seat frame"",""Current Cost"",""6.75000"""</f>
        <v>"GP Direct","Fabrikam, Inc.","Jet Item by Location","Class Code","RM-STD","Item Number","SEAT FRAME","Item Description","Wood seat frame","Current Cost","6.75000"</v>
      </c>
      <c r="E157" s="16" t="str">
        <f t="shared" si="68"/>
        <v>RM-STD</v>
      </c>
      <c r="F157" s="16" t="str">
        <f>"SEAT FRAME"</f>
        <v>SEAT FRAME</v>
      </c>
      <c r="G157" s="16" t="str">
        <f>"Wood seat frame"</f>
        <v>Wood seat frame</v>
      </c>
      <c r="H157" s="35">
        <v>6.75</v>
      </c>
      <c r="J157" s="23"/>
      <c r="K157" s="23"/>
      <c r="L157" s="23"/>
      <c r="M157" s="23">
        <v>20</v>
      </c>
      <c r="N157" s="23"/>
      <c r="O157" s="44">
        <f t="shared" si="69"/>
        <v>20</v>
      </c>
      <c r="P157" s="43"/>
      <c r="Q157" s="35"/>
      <c r="R157" s="35"/>
      <c r="S157" s="35"/>
      <c r="T157" s="35">
        <v>135</v>
      </c>
      <c r="U157" s="45">
        <f t="shared" si="73"/>
        <v>0</v>
      </c>
      <c r="V157" s="18">
        <f t="shared" si="71"/>
        <v>8</v>
      </c>
    </row>
    <row r="158" spans="1:22">
      <c r="A158" s="33" t="s">
        <v>35</v>
      </c>
      <c r="C158" s="6" t="str">
        <f t="shared" si="72"/>
        <v>RM-STD</v>
      </c>
      <c r="D158" s="10" t="str">
        <f>"""GP Direct"",""Fabrikam, Inc."",""Jet Item by Location"",""Class Code"",""RM-STD"",""Item Number"",""STYLE-M"",""Item Description"",""Mens style custom watch"",""Current Cost"",""18.22000"""</f>
        <v>"GP Direct","Fabrikam, Inc.","Jet Item by Location","Class Code","RM-STD","Item Number","STYLE-M","Item Description","Mens style custom watch","Current Cost","18.22000"</v>
      </c>
      <c r="E158" s="16" t="str">
        <f t="shared" si="68"/>
        <v>RM-STD</v>
      </c>
      <c r="F158" s="16" t="str">
        <f>"STYLE-M"</f>
        <v>STYLE-M</v>
      </c>
      <c r="G158" s="16" t="str">
        <f>"Mens style custom watch"</f>
        <v>Mens style custom watch</v>
      </c>
      <c r="H158" s="35">
        <v>18.22</v>
      </c>
      <c r="J158" s="23"/>
      <c r="K158" s="23"/>
      <c r="L158" s="23"/>
      <c r="M158" s="23">
        <v>20</v>
      </c>
      <c r="N158" s="23"/>
      <c r="O158" s="44">
        <f t="shared" si="69"/>
        <v>20</v>
      </c>
      <c r="P158" s="43"/>
      <c r="Q158" s="35"/>
      <c r="R158" s="35"/>
      <c r="S158" s="35"/>
      <c r="T158" s="35">
        <v>364.4</v>
      </c>
      <c r="U158" s="45">
        <f t="shared" si="73"/>
        <v>0</v>
      </c>
      <c r="V158" s="18">
        <f t="shared" si="71"/>
        <v>8</v>
      </c>
    </row>
    <row r="159" spans="1:22">
      <c r="A159" s="33" t="s">
        <v>35</v>
      </c>
      <c r="C159" s="6" t="str">
        <f t="shared" si="72"/>
        <v>RM-STD</v>
      </c>
      <c r="D159" s="10" t="str">
        <f>"""GP Direct"",""Fabrikam, Inc."",""Jet Item by Location"",""Class Code"",""RM-STD"",""Item Number"",""STYLE-W"",""Item Description"",""Womens style custom watch"",""Current Cost"",""20.25000"""</f>
        <v>"GP Direct","Fabrikam, Inc.","Jet Item by Location","Class Code","RM-STD","Item Number","STYLE-W","Item Description","Womens style custom watch","Current Cost","20.25000"</v>
      </c>
      <c r="E159" s="16" t="str">
        <f t="shared" si="68"/>
        <v>RM-STD</v>
      </c>
      <c r="F159" s="16" t="str">
        <f>"STYLE-W"</f>
        <v>STYLE-W</v>
      </c>
      <c r="G159" s="16" t="str">
        <f>"Womens style custom watch"</f>
        <v>Womens style custom watch</v>
      </c>
      <c r="H159" s="35">
        <v>20.25</v>
      </c>
      <c r="J159" s="23"/>
      <c r="K159" s="23"/>
      <c r="L159" s="23"/>
      <c r="M159" s="23">
        <v>20</v>
      </c>
      <c r="N159" s="23"/>
      <c r="O159" s="44">
        <f t="shared" si="69"/>
        <v>20</v>
      </c>
      <c r="P159" s="43"/>
      <c r="Q159" s="35"/>
      <c r="R159" s="35"/>
      <c r="S159" s="35"/>
      <c r="T159" s="35">
        <v>405</v>
      </c>
      <c r="U159" s="45">
        <f t="shared" si="73"/>
        <v>0</v>
      </c>
      <c r="V159" s="18">
        <f t="shared" si="71"/>
        <v>9</v>
      </c>
    </row>
    <row r="160" spans="1:22" hidden="1">
      <c r="A160" s="33" t="s">
        <v>33</v>
      </c>
      <c r="C160" s="6" t="str">
        <f>C143</f>
        <v>RM-STD</v>
      </c>
      <c r="D160" s="10"/>
      <c r="E160" s="16"/>
      <c r="F160" s="16"/>
      <c r="G160" s="16"/>
      <c r="H160" s="22"/>
      <c r="J160" s="23"/>
      <c r="K160" s="23"/>
      <c r="L160" s="23"/>
      <c r="M160" s="23"/>
      <c r="N160" s="23"/>
      <c r="O160" s="44"/>
      <c r="P160" s="43"/>
      <c r="Q160" s="23"/>
      <c r="R160" s="23"/>
      <c r="S160" s="23"/>
      <c r="T160" s="23"/>
      <c r="U160" s="44"/>
      <c r="V160" s="18"/>
    </row>
    <row r="161" spans="1:22">
      <c r="A161" s="34" t="s">
        <v>35</v>
      </c>
      <c r="C161" s="6" t="str">
        <f t="shared" si="67"/>
        <v>RM-STD</v>
      </c>
      <c r="D161" s="10"/>
      <c r="E161" s="30" t="str">
        <f t="shared" ref="E161" si="74">"Total For:  "&amp;$C161</f>
        <v>Total For:  RM-STD</v>
      </c>
      <c r="F161" s="31"/>
      <c r="G161" s="31"/>
      <c r="H161" s="31"/>
      <c r="J161" s="46">
        <f t="shared" ref="J161" si="75">SUBTOTAL(9, J143:J160)</f>
        <v>0</v>
      </c>
      <c r="K161" s="46">
        <f t="shared" ref="K161" si="76">SUBTOTAL(9, K143:K160)</f>
        <v>0</v>
      </c>
      <c r="L161" s="46">
        <f t="shared" ref="L161" si="77">SUBTOTAL(9, L143:L160)</f>
        <v>0</v>
      </c>
      <c r="M161" s="46">
        <f t="shared" ref="M161" si="78">SUBTOTAL(9, M143:M160)</f>
        <v>305</v>
      </c>
      <c r="N161" s="46"/>
      <c r="O161" s="49">
        <f t="shared" ref="O161" si="79">SUBTOTAL(9, O143:O160)</f>
        <v>305</v>
      </c>
      <c r="P161" s="37"/>
      <c r="Q161" s="32"/>
      <c r="R161" s="32"/>
      <c r="S161" s="32"/>
      <c r="T161" s="32"/>
      <c r="U161" s="48">
        <f t="shared" ref="U161" si="80">SUBTOTAL(9, U143:U160)</f>
        <v>0</v>
      </c>
      <c r="V161" s="18"/>
    </row>
    <row r="162" spans="1:22">
      <c r="A162" s="34" t="s">
        <v>35</v>
      </c>
      <c r="D162" s="11"/>
      <c r="E162" s="24"/>
      <c r="F162" s="16"/>
      <c r="G162" s="16"/>
      <c r="H162" s="12"/>
      <c r="J162" s="13"/>
      <c r="K162" s="13"/>
      <c r="L162" s="13"/>
      <c r="M162" s="13"/>
      <c r="N162" s="13"/>
      <c r="O162" s="13"/>
      <c r="P162" s="37"/>
      <c r="Q162" s="13"/>
      <c r="R162" s="13"/>
      <c r="S162" s="13"/>
      <c r="T162" s="13"/>
      <c r="U162" s="13"/>
      <c r="V162" s="18"/>
    </row>
    <row r="163" spans="1:22">
      <c r="A163" s="34"/>
      <c r="E163" s="16"/>
      <c r="F163" s="16"/>
      <c r="G163" s="16"/>
      <c r="H163" s="22"/>
      <c r="J163" s="23"/>
      <c r="K163" s="23"/>
      <c r="L163" s="23"/>
      <c r="M163" s="23"/>
      <c r="N163" s="23"/>
      <c r="O163" s="44"/>
      <c r="P163" s="43"/>
      <c r="Q163" s="23"/>
      <c r="R163" s="23"/>
      <c r="S163" s="23"/>
      <c r="T163" s="23"/>
      <c r="U163" s="44"/>
      <c r="V163" s="18"/>
    </row>
    <row r="164" spans="1:22" ht="13.5" thickBot="1">
      <c r="A164" s="34"/>
      <c r="E164" s="25"/>
      <c r="F164" s="25" t="s">
        <v>10</v>
      </c>
      <c r="G164" s="26"/>
      <c r="H164" s="27"/>
      <c r="J164" s="28">
        <f>SUBTOTAL(9,J11:J163)</f>
        <v>9</v>
      </c>
      <c r="K164" s="28">
        <f t="shared" ref="K164:M164" si="81">SUBTOTAL(9,K11:K163)</f>
        <v>113</v>
      </c>
      <c r="L164" s="28">
        <f t="shared" si="81"/>
        <v>3</v>
      </c>
      <c r="M164" s="28">
        <f t="shared" si="81"/>
        <v>1801</v>
      </c>
      <c r="N164" s="28"/>
      <c r="O164" s="28">
        <f>SUBTOTAL(9,O11:O163)</f>
        <v>1926</v>
      </c>
      <c r="P164" s="37"/>
      <c r="Q164" s="36">
        <f>SUBTOTAL(9,Q11:Q163)</f>
        <v>3750</v>
      </c>
      <c r="R164" s="36">
        <f t="shared" ref="R164:T164" si="82">SUBTOTAL(9,R11:R163)</f>
        <v>-55093.86</v>
      </c>
      <c r="S164" s="36">
        <f t="shared" si="82"/>
        <v>2250</v>
      </c>
      <c r="T164" s="36">
        <f t="shared" si="82"/>
        <v>382518.55000000005</v>
      </c>
      <c r="U164" s="36">
        <f>SUBTOTAL(9,U11:U163)</f>
        <v>3750</v>
      </c>
      <c r="V164" s="18"/>
    </row>
    <row r="165" spans="1:22" ht="13.5" thickTop="1">
      <c r="A165" s="34"/>
    </row>
  </sheetData>
  <mergeCells count="2">
    <mergeCell ref="J7:O7"/>
    <mergeCell ref="Q7:U7"/>
  </mergeCells>
  <phoneticPr fontId="4" type="noConversion"/>
  <conditionalFormatting sqref="V11">
    <cfRule type="expression" dxfId="35" priority="520" stopIfTrue="1">
      <formula>MOD($V11,2)=0</formula>
    </cfRule>
  </conditionalFormatting>
  <conditionalFormatting sqref="E11:H11 J11 N11:Q11 U11">
    <cfRule type="expression" dxfId="34" priority="645" stopIfTrue="1">
      <formula>MOD($V11,2)=0</formula>
    </cfRule>
  </conditionalFormatting>
  <conditionalFormatting sqref="K11:M11">
    <cfRule type="expression" dxfId="33" priority="34" stopIfTrue="1">
      <formula>MOD($V11,2)=0</formula>
    </cfRule>
  </conditionalFormatting>
  <conditionalFormatting sqref="R11:T11">
    <cfRule type="expression" dxfId="32" priority="33" stopIfTrue="1">
      <formula>MOD($V11,2)=0</formula>
    </cfRule>
  </conditionalFormatting>
  <conditionalFormatting sqref="V30 V35 V41 V52 V58 V63 V68 V73 V122 V143">
    <cfRule type="expression" dxfId="31" priority="31" stopIfTrue="1">
      <formula>MOD($V30,2)=0</formula>
    </cfRule>
  </conditionalFormatting>
  <conditionalFormatting sqref="E30:H30 E35:H35 E41:H41 E52:H52 E58:H58 E63:H63 E68:H68 E73:H73 E122:H122 E143:H143 J30 J35 J41 J52 J58 J63 J68 J73 J122 J143 N30:Q30 N35:Q35 N41:Q41 N52:Q52 N58:Q58 N63:Q63 N68:Q68 N73:Q73 N122:Q122 N143:Q143 U30 U35 U41 U52 U58 U63 U68 U73 U122 U143">
    <cfRule type="expression" dxfId="30" priority="32" stopIfTrue="1">
      <formula>MOD($V30,2)=0</formula>
    </cfRule>
  </conditionalFormatting>
  <conditionalFormatting sqref="K30:M30 K35:M35 K41:M41 K52:M52 K58:M58 K63:M63 K68:M68 K73:M73 K122:M122 K143:M143">
    <cfRule type="expression" dxfId="29" priority="30" stopIfTrue="1">
      <formula>MOD($V30,2)=0</formula>
    </cfRule>
  </conditionalFormatting>
  <conditionalFormatting sqref="R30:T30 R35:T35 R41:T41 R52:T52 R58:T58 R63:T63 R68:T68 R73:T73 R122:T122 R143:T143">
    <cfRule type="expression" dxfId="28" priority="29" stopIfTrue="1">
      <formula>MOD($V30,2)=0</formula>
    </cfRule>
  </conditionalFormatting>
  <conditionalFormatting sqref="V12:V25">
    <cfRule type="expression" dxfId="27" priority="27" stopIfTrue="1">
      <formula>MOD($V12,2)=0</formula>
    </cfRule>
  </conditionalFormatting>
  <conditionalFormatting sqref="E12:H25 J12:J25 N12:Q25 U12:U25">
    <cfRule type="expression" dxfId="26" priority="28" stopIfTrue="1">
      <formula>MOD($V12,2)=0</formula>
    </cfRule>
  </conditionalFormatting>
  <conditionalFormatting sqref="K12:M25">
    <cfRule type="expression" dxfId="25" priority="26" stopIfTrue="1">
      <formula>MOD($V12,2)=0</formula>
    </cfRule>
  </conditionalFormatting>
  <conditionalFormatting sqref="R12:T25">
    <cfRule type="expression" dxfId="24" priority="25" stopIfTrue="1">
      <formula>MOD($V12,2)=0</formula>
    </cfRule>
  </conditionalFormatting>
  <conditionalFormatting sqref="V144:V159">
    <cfRule type="expression" dxfId="23" priority="23" stopIfTrue="1">
      <formula>MOD($V144,2)=0</formula>
    </cfRule>
  </conditionalFormatting>
  <conditionalFormatting sqref="E144:H159 J144:J159 N144:Q159 U144:U159">
    <cfRule type="expression" dxfId="22" priority="24" stopIfTrue="1">
      <formula>MOD($V144,2)=0</formula>
    </cfRule>
  </conditionalFormatting>
  <conditionalFormatting sqref="K144:M159">
    <cfRule type="expression" dxfId="21" priority="22" stopIfTrue="1">
      <formula>MOD($V144,2)=0</formula>
    </cfRule>
  </conditionalFormatting>
  <conditionalFormatting sqref="R144:T159">
    <cfRule type="expression" dxfId="20" priority="21" stopIfTrue="1">
      <formula>MOD($V144,2)=0</formula>
    </cfRule>
  </conditionalFormatting>
  <conditionalFormatting sqref="V123:V138">
    <cfRule type="expression" dxfId="19" priority="19" stopIfTrue="1">
      <formula>MOD($V123,2)=0</formula>
    </cfRule>
  </conditionalFormatting>
  <conditionalFormatting sqref="E123:H138 J123:J138 N123:Q138 U123:U138">
    <cfRule type="expression" dxfId="18" priority="20" stopIfTrue="1">
      <formula>MOD($V123,2)=0</formula>
    </cfRule>
  </conditionalFormatting>
  <conditionalFormatting sqref="K123:M138">
    <cfRule type="expression" dxfId="17" priority="18" stopIfTrue="1">
      <formula>MOD($V123,2)=0</formula>
    </cfRule>
  </conditionalFormatting>
  <conditionalFormatting sqref="R123:T138">
    <cfRule type="expression" dxfId="16" priority="17" stopIfTrue="1">
      <formula>MOD($V123,2)=0</formula>
    </cfRule>
  </conditionalFormatting>
  <conditionalFormatting sqref="V74:V117">
    <cfRule type="expression" dxfId="15" priority="15" stopIfTrue="1">
      <formula>MOD($V74,2)=0</formula>
    </cfRule>
  </conditionalFormatting>
  <conditionalFormatting sqref="E74:H117 J74:J117 N74:Q117 U74:U117">
    <cfRule type="expression" dxfId="14" priority="16" stopIfTrue="1">
      <formula>MOD($V74,2)=0</formula>
    </cfRule>
  </conditionalFormatting>
  <conditionalFormatting sqref="K74:M117">
    <cfRule type="expression" dxfId="13" priority="14" stopIfTrue="1">
      <formula>MOD($V74,2)=0</formula>
    </cfRule>
  </conditionalFormatting>
  <conditionalFormatting sqref="R74:T117">
    <cfRule type="expression" dxfId="12" priority="13" stopIfTrue="1">
      <formula>MOD($V74,2)=0</formula>
    </cfRule>
  </conditionalFormatting>
  <conditionalFormatting sqref="V53">
    <cfRule type="expression" dxfId="11" priority="11" stopIfTrue="1">
      <formula>MOD($V53,2)=0</formula>
    </cfRule>
  </conditionalFormatting>
  <conditionalFormatting sqref="E53:H53 J53 N53:Q53 U53">
    <cfRule type="expression" dxfId="10" priority="12" stopIfTrue="1">
      <formula>MOD($V53,2)=0</formula>
    </cfRule>
  </conditionalFormatting>
  <conditionalFormatting sqref="K53:M53">
    <cfRule type="expression" dxfId="9" priority="10" stopIfTrue="1">
      <formula>MOD($V53,2)=0</formula>
    </cfRule>
  </conditionalFormatting>
  <conditionalFormatting sqref="R53:T53">
    <cfRule type="expression" dxfId="8" priority="9" stopIfTrue="1">
      <formula>MOD($V53,2)=0</formula>
    </cfRule>
  </conditionalFormatting>
  <conditionalFormatting sqref="V42:V47">
    <cfRule type="expression" dxfId="7" priority="7" stopIfTrue="1">
      <formula>MOD($V42,2)=0</formula>
    </cfRule>
  </conditionalFormatting>
  <conditionalFormatting sqref="E42:H47 J42:J47 N42:Q47 U42:U47">
    <cfRule type="expression" dxfId="6" priority="8" stopIfTrue="1">
      <formula>MOD($V42,2)=0</formula>
    </cfRule>
  </conditionalFormatting>
  <conditionalFormatting sqref="K42:M47">
    <cfRule type="expression" dxfId="5" priority="6" stopIfTrue="1">
      <formula>MOD($V42,2)=0</formula>
    </cfRule>
  </conditionalFormatting>
  <conditionalFormatting sqref="R42:T47">
    <cfRule type="expression" dxfId="4" priority="5" stopIfTrue="1">
      <formula>MOD($V42,2)=0</formula>
    </cfRule>
  </conditionalFormatting>
  <conditionalFormatting sqref="V36">
    <cfRule type="expression" dxfId="3" priority="3" stopIfTrue="1">
      <formula>MOD($V36,2)=0</formula>
    </cfRule>
  </conditionalFormatting>
  <conditionalFormatting sqref="E36:H36 J36 N36:Q36 U36">
    <cfRule type="expression" dxfId="2" priority="4" stopIfTrue="1">
      <formula>MOD($V36,2)=0</formula>
    </cfRule>
  </conditionalFormatting>
  <conditionalFormatting sqref="K36:M36">
    <cfRule type="expression" dxfId="1" priority="2" stopIfTrue="1">
      <formula>MOD($V36,2)=0</formula>
    </cfRule>
  </conditionalFormatting>
  <conditionalFormatting sqref="R36:T36">
    <cfRule type="expression" dxfId="0" priority="1" stopIfTrue="1">
      <formula>MOD($V36,2)=0</formula>
    </cfRule>
  </conditionalFormatting>
  <pageMargins left="0.75" right="0.75" top="1" bottom="1" header="0.5" footer="0.5"/>
  <pageSetup paperSize="3" scale="50"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heetViews>
  <sheetFormatPr defaultRowHeight="12.75"/>
  <sheetData>
    <row r="1" spans="1:6">
      <c r="A1" s="2" t="s">
        <v>1634</v>
      </c>
      <c r="D1" s="2" t="s">
        <v>13</v>
      </c>
      <c r="E1" s="2" t="s">
        <v>14</v>
      </c>
      <c r="F1" s="2" t="s">
        <v>15</v>
      </c>
    </row>
    <row r="4" spans="1:6">
      <c r="D4" s="2" t="s">
        <v>75</v>
      </c>
    </row>
    <row r="5" spans="1:6">
      <c r="A5" s="2" t="s">
        <v>16</v>
      </c>
      <c r="D5" s="2" t="s">
        <v>12</v>
      </c>
      <c r="E5" s="2" t="s">
        <v>808</v>
      </c>
      <c r="F5" s="2" t="s">
        <v>26</v>
      </c>
    </row>
    <row r="6" spans="1:6">
      <c r="A6" s="2" t="s">
        <v>16</v>
      </c>
      <c r="D6" s="2" t="s">
        <v>3</v>
      </c>
      <c r="E6" s="2" t="s">
        <v>809</v>
      </c>
      <c r="F6" s="2" t="s">
        <v>27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heetViews>
  <sheetFormatPr defaultRowHeight="12.75"/>
  <sheetData>
    <row r="1" spans="1:6">
      <c r="A1" s="2" t="s">
        <v>1634</v>
      </c>
      <c r="D1" s="2" t="s">
        <v>13</v>
      </c>
      <c r="E1" s="2" t="s">
        <v>14</v>
      </c>
      <c r="F1" s="2" t="s">
        <v>15</v>
      </c>
    </row>
    <row r="4" spans="1:6">
      <c r="D4" s="2" t="s">
        <v>75</v>
      </c>
    </row>
    <row r="5" spans="1:6">
      <c r="A5" s="2" t="s">
        <v>16</v>
      </c>
      <c r="D5" s="2" t="s">
        <v>12</v>
      </c>
      <c r="E5" s="2" t="s">
        <v>808</v>
      </c>
      <c r="F5" s="2" t="s">
        <v>26</v>
      </c>
    </row>
    <row r="6" spans="1:6">
      <c r="A6" s="2" t="s">
        <v>16</v>
      </c>
      <c r="D6" s="2" t="s">
        <v>3</v>
      </c>
      <c r="E6" s="2" t="s">
        <v>809</v>
      </c>
      <c r="F6" s="2" t="s">
        <v>27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RowHeight="12.75"/>
  <sheetData>
    <row r="1" spans="1:16">
      <c r="A1" s="2" t="s">
        <v>1635</v>
      </c>
      <c r="C1" s="2" t="s">
        <v>0</v>
      </c>
      <c r="D1" s="2" t="s">
        <v>0</v>
      </c>
      <c r="E1" s="2" t="s">
        <v>11</v>
      </c>
      <c r="F1" s="2" t="s">
        <v>11</v>
      </c>
      <c r="G1" s="2" t="s">
        <v>11</v>
      </c>
      <c r="H1" s="2" t="s">
        <v>139</v>
      </c>
      <c r="J1" s="2" t="s">
        <v>11</v>
      </c>
      <c r="K1" s="2" t="s">
        <v>11</v>
      </c>
      <c r="L1" s="2" t="s">
        <v>11</v>
      </c>
      <c r="N1" s="2" t="s">
        <v>139</v>
      </c>
      <c r="O1" s="2" t="s">
        <v>139</v>
      </c>
      <c r="P1" s="2" t="s">
        <v>140</v>
      </c>
    </row>
    <row r="2" spans="1:16">
      <c r="A2" s="2" t="s">
        <v>140</v>
      </c>
      <c r="J2" s="2" t="s">
        <v>403</v>
      </c>
      <c r="N2" s="2" t="s">
        <v>403</v>
      </c>
    </row>
    <row r="3" spans="1:16">
      <c r="E3" s="2" t="s">
        <v>4</v>
      </c>
    </row>
    <row r="5" spans="1:16">
      <c r="E5" s="2" t="s">
        <v>6</v>
      </c>
      <c r="F5" s="2" t="s">
        <v>28</v>
      </c>
    </row>
    <row r="6" spans="1:16">
      <c r="E6" s="2" t="s">
        <v>7</v>
      </c>
      <c r="F6" s="2" t="s">
        <v>29</v>
      </c>
      <c r="K6" s="2" t="s">
        <v>8</v>
      </c>
      <c r="L6" s="2" t="s">
        <v>30</v>
      </c>
    </row>
    <row r="7" spans="1:16">
      <c r="J7" s="2" t="s">
        <v>143</v>
      </c>
      <c r="N7" s="2" t="s">
        <v>5</v>
      </c>
    </row>
    <row r="8" spans="1:16">
      <c r="A8" s="2" t="s">
        <v>0</v>
      </c>
      <c r="E8" s="2" t="s">
        <v>9</v>
      </c>
      <c r="F8" s="2" t="s">
        <v>1</v>
      </c>
      <c r="G8" s="2" t="s">
        <v>17</v>
      </c>
      <c r="H8" s="2" t="s">
        <v>5</v>
      </c>
    </row>
    <row r="9" spans="1:16">
      <c r="E9" s="2" t="s">
        <v>3</v>
      </c>
      <c r="F9" s="2" t="s">
        <v>1</v>
      </c>
      <c r="G9" s="2" t="s">
        <v>2</v>
      </c>
      <c r="H9" s="2" t="s">
        <v>5</v>
      </c>
      <c r="J9" s="2" t="s">
        <v>141</v>
      </c>
      <c r="L9" s="2" t="s">
        <v>101</v>
      </c>
      <c r="N9" s="2" t="s">
        <v>141</v>
      </c>
      <c r="O9" s="2" t="s">
        <v>101</v>
      </c>
    </row>
    <row r="10" spans="1:16">
      <c r="A10" s="2" t="s">
        <v>0</v>
      </c>
      <c r="C10" s="2" t="s">
        <v>404</v>
      </c>
      <c r="D10" s="2" t="s">
        <v>91</v>
      </c>
    </row>
    <row r="11" spans="1:16">
      <c r="C11" s="2" t="s">
        <v>93</v>
      </c>
      <c r="D11" s="2" t="s">
        <v>405</v>
      </c>
      <c r="E11" s="2" t="s">
        <v>406</v>
      </c>
      <c r="F11" s="2" t="s">
        <v>407</v>
      </c>
      <c r="G11" s="2" t="s">
        <v>95</v>
      </c>
      <c r="H11" s="2" t="s">
        <v>102</v>
      </c>
      <c r="J11" s="2" t="s">
        <v>144</v>
      </c>
      <c r="L11" s="2" t="s">
        <v>408</v>
      </c>
      <c r="N11" s="2" t="s">
        <v>409</v>
      </c>
      <c r="O11" s="2" t="s">
        <v>410</v>
      </c>
      <c r="P11" s="2" t="s">
        <v>92</v>
      </c>
    </row>
    <row r="12" spans="1:16">
      <c r="A12" s="2" t="s">
        <v>0</v>
      </c>
      <c r="C12" s="2" t="s">
        <v>94</v>
      </c>
    </row>
    <row r="13" spans="1:16">
      <c r="C13" s="2" t="s">
        <v>31</v>
      </c>
      <c r="E13" s="2" t="s">
        <v>411</v>
      </c>
      <c r="J13" s="2" t="s">
        <v>412</v>
      </c>
      <c r="L13" s="2" t="s">
        <v>413</v>
      </c>
      <c r="O13" s="2" t="s">
        <v>414</v>
      </c>
    </row>
    <row r="16" spans="1:16">
      <c r="F16" s="2" t="s">
        <v>10</v>
      </c>
      <c r="J16" s="2" t="s">
        <v>415</v>
      </c>
      <c r="L16" s="2" t="s">
        <v>416</v>
      </c>
      <c r="N16" s="2" t="s">
        <v>417</v>
      </c>
      <c r="O16" s="2" t="s">
        <v>418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RowHeight="12.75"/>
  <sheetData>
    <row r="1" spans="1:16">
      <c r="A1" s="2" t="s">
        <v>1635</v>
      </c>
      <c r="C1" s="2" t="s">
        <v>0</v>
      </c>
      <c r="D1" s="2" t="s">
        <v>0</v>
      </c>
      <c r="E1" s="2" t="s">
        <v>11</v>
      </c>
      <c r="F1" s="2" t="s">
        <v>11</v>
      </c>
      <c r="G1" s="2" t="s">
        <v>11</v>
      </c>
      <c r="H1" s="2" t="s">
        <v>139</v>
      </c>
      <c r="J1" s="2" t="s">
        <v>11</v>
      </c>
      <c r="K1" s="2" t="s">
        <v>11</v>
      </c>
      <c r="L1" s="2" t="s">
        <v>11</v>
      </c>
      <c r="N1" s="2" t="s">
        <v>139</v>
      </c>
      <c r="O1" s="2" t="s">
        <v>139</v>
      </c>
      <c r="P1" s="2" t="s">
        <v>140</v>
      </c>
    </row>
    <row r="2" spans="1:16">
      <c r="A2" s="2" t="s">
        <v>140</v>
      </c>
      <c r="J2" s="2" t="s">
        <v>403</v>
      </c>
      <c r="N2" s="2" t="s">
        <v>403</v>
      </c>
    </row>
    <row r="3" spans="1:16">
      <c r="E3" s="2" t="s">
        <v>4</v>
      </c>
    </row>
    <row r="5" spans="1:16">
      <c r="E5" s="2" t="s">
        <v>6</v>
      </c>
      <c r="F5" s="2" t="s">
        <v>28</v>
      </c>
    </row>
    <row r="6" spans="1:16">
      <c r="E6" s="2" t="s">
        <v>7</v>
      </c>
      <c r="F6" s="2" t="s">
        <v>29</v>
      </c>
      <c r="K6" s="2" t="s">
        <v>8</v>
      </c>
      <c r="L6" s="2" t="s">
        <v>30</v>
      </c>
    </row>
    <row r="7" spans="1:16">
      <c r="J7" s="2" t="s">
        <v>143</v>
      </c>
      <c r="N7" s="2" t="s">
        <v>5</v>
      </c>
    </row>
    <row r="8" spans="1:16">
      <c r="A8" s="2" t="s">
        <v>0</v>
      </c>
      <c r="E8" s="2" t="s">
        <v>9</v>
      </c>
      <c r="F8" s="2" t="s">
        <v>1</v>
      </c>
      <c r="G8" s="2" t="s">
        <v>17</v>
      </c>
      <c r="H8" s="2" t="s">
        <v>5</v>
      </c>
    </row>
    <row r="9" spans="1:16">
      <c r="E9" s="2" t="s">
        <v>3</v>
      </c>
      <c r="F9" s="2" t="s">
        <v>1</v>
      </c>
      <c r="G9" s="2" t="s">
        <v>2</v>
      </c>
      <c r="H9" s="2" t="s">
        <v>5</v>
      </c>
      <c r="J9" s="2" t="s">
        <v>141</v>
      </c>
      <c r="L9" s="2" t="s">
        <v>101</v>
      </c>
      <c r="N9" s="2" t="s">
        <v>141</v>
      </c>
      <c r="O9" s="2" t="s">
        <v>101</v>
      </c>
    </row>
    <row r="10" spans="1:16">
      <c r="A10" s="2" t="s">
        <v>0</v>
      </c>
      <c r="C10" s="2" t="s">
        <v>404</v>
      </c>
      <c r="D10" s="2" t="s">
        <v>91</v>
      </c>
    </row>
    <row r="11" spans="1:16">
      <c r="C11" s="2" t="s">
        <v>93</v>
      </c>
      <c r="D11" s="2" t="s">
        <v>405</v>
      </c>
      <c r="E11" s="2" t="s">
        <v>406</v>
      </c>
      <c r="F11" s="2" t="s">
        <v>407</v>
      </c>
      <c r="G11" s="2" t="s">
        <v>95</v>
      </c>
      <c r="H11" s="2" t="s">
        <v>102</v>
      </c>
      <c r="J11" s="2" t="s">
        <v>144</v>
      </c>
      <c r="L11" s="2" t="s">
        <v>408</v>
      </c>
      <c r="N11" s="2" t="s">
        <v>409</v>
      </c>
      <c r="O11" s="2" t="s">
        <v>410</v>
      </c>
      <c r="P11" s="2" t="s">
        <v>92</v>
      </c>
    </row>
    <row r="12" spans="1:16">
      <c r="A12" s="2" t="s">
        <v>0</v>
      </c>
      <c r="C12" s="2" t="s">
        <v>94</v>
      </c>
    </row>
    <row r="13" spans="1:16">
      <c r="C13" s="2" t="s">
        <v>31</v>
      </c>
      <c r="E13" s="2" t="s">
        <v>411</v>
      </c>
      <c r="J13" s="2" t="s">
        <v>412</v>
      </c>
      <c r="L13" s="2" t="s">
        <v>413</v>
      </c>
      <c r="O13" s="2" t="s">
        <v>414</v>
      </c>
    </row>
    <row r="16" spans="1:16">
      <c r="F16" s="2" t="s">
        <v>10</v>
      </c>
      <c r="J16" s="2" t="s">
        <v>415</v>
      </c>
      <c r="L16" s="2" t="s">
        <v>416</v>
      </c>
      <c r="N16" s="2" t="s">
        <v>417</v>
      </c>
      <c r="O16" s="2" t="s">
        <v>418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heetViews>
  <sheetFormatPr defaultRowHeight="12.75"/>
  <sheetData>
    <row r="1" spans="1:6">
      <c r="A1" s="2" t="s">
        <v>1637</v>
      </c>
      <c r="D1" s="2" t="s">
        <v>13</v>
      </c>
      <c r="E1" s="2" t="s">
        <v>14</v>
      </c>
      <c r="F1" s="2" t="s">
        <v>15</v>
      </c>
    </row>
    <row r="4" spans="1:6">
      <c r="D4" s="2" t="s">
        <v>75</v>
      </c>
    </row>
    <row r="5" spans="1:6">
      <c r="A5" s="2" t="s">
        <v>16</v>
      </c>
      <c r="D5" s="2" t="s">
        <v>12</v>
      </c>
      <c r="E5" s="2" t="s">
        <v>808</v>
      </c>
      <c r="F5" s="2" t="s">
        <v>26</v>
      </c>
    </row>
    <row r="6" spans="1:6">
      <c r="A6" s="2" t="s">
        <v>16</v>
      </c>
      <c r="D6" s="2" t="s">
        <v>3</v>
      </c>
      <c r="E6" s="2" t="s">
        <v>809</v>
      </c>
      <c r="F6" s="2" t="s">
        <v>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4"/>
  <sheetViews>
    <sheetView workbookViewId="0"/>
  </sheetViews>
  <sheetFormatPr defaultRowHeight="12.75"/>
  <sheetData>
    <row r="1" spans="1:22">
      <c r="A1" s="2" t="s">
        <v>2061</v>
      </c>
      <c r="C1" s="2" t="s">
        <v>0</v>
      </c>
      <c r="D1" s="2" t="s">
        <v>0</v>
      </c>
      <c r="E1" s="2" t="s">
        <v>11</v>
      </c>
      <c r="F1" s="2" t="s">
        <v>11</v>
      </c>
      <c r="G1" s="2" t="s">
        <v>11</v>
      </c>
      <c r="H1" s="2" t="s">
        <v>139</v>
      </c>
      <c r="J1" s="2" t="s">
        <v>11</v>
      </c>
      <c r="K1" s="2" t="s">
        <v>34</v>
      </c>
      <c r="L1" s="2" t="s">
        <v>34</v>
      </c>
      <c r="M1" s="2" t="s">
        <v>34</v>
      </c>
      <c r="N1" s="2" t="s">
        <v>11</v>
      </c>
      <c r="O1" s="2" t="s">
        <v>11</v>
      </c>
      <c r="Q1" s="2" t="s">
        <v>139</v>
      </c>
      <c r="R1" s="2" t="s">
        <v>142</v>
      </c>
      <c r="S1" s="2" t="s">
        <v>142</v>
      </c>
      <c r="T1" s="2" t="s">
        <v>142</v>
      </c>
      <c r="U1" s="2" t="s">
        <v>139</v>
      </c>
      <c r="V1" s="2" t="s">
        <v>140</v>
      </c>
    </row>
    <row r="2" spans="1:22">
      <c r="A2" s="2" t="s">
        <v>140</v>
      </c>
      <c r="J2" s="2" t="s">
        <v>403</v>
      </c>
      <c r="K2" s="2" t="s">
        <v>403</v>
      </c>
      <c r="L2" s="2" t="s">
        <v>403</v>
      </c>
      <c r="M2" s="2" t="s">
        <v>403</v>
      </c>
      <c r="Q2" s="2" t="s">
        <v>403</v>
      </c>
      <c r="R2" s="2" t="s">
        <v>403</v>
      </c>
      <c r="S2" s="2" t="s">
        <v>403</v>
      </c>
      <c r="T2" s="2" t="s">
        <v>403</v>
      </c>
    </row>
    <row r="3" spans="1:22">
      <c r="E3" s="2" t="s">
        <v>4</v>
      </c>
    </row>
    <row r="5" spans="1:22">
      <c r="E5" s="2" t="s">
        <v>6</v>
      </c>
      <c r="F5" s="2" t="s">
        <v>28</v>
      </c>
    </row>
    <row r="6" spans="1:22">
      <c r="E6" s="2" t="s">
        <v>7</v>
      </c>
      <c r="F6" s="2" t="s">
        <v>29</v>
      </c>
      <c r="N6" s="2" t="s">
        <v>8</v>
      </c>
      <c r="O6" s="2" t="s">
        <v>30</v>
      </c>
    </row>
    <row r="7" spans="1:22">
      <c r="J7" s="2" t="s">
        <v>143</v>
      </c>
      <c r="Q7" s="2" t="s">
        <v>5</v>
      </c>
    </row>
    <row r="8" spans="1:22">
      <c r="A8" s="2" t="s">
        <v>0</v>
      </c>
      <c r="E8" s="2" t="s">
        <v>9</v>
      </c>
      <c r="F8" s="2" t="s">
        <v>1</v>
      </c>
      <c r="G8" s="2" t="s">
        <v>17</v>
      </c>
      <c r="H8" s="2" t="s">
        <v>5</v>
      </c>
    </row>
    <row r="9" spans="1:22">
      <c r="E9" s="2" t="s">
        <v>3</v>
      </c>
      <c r="F9" s="2" t="s">
        <v>1</v>
      </c>
      <c r="G9" s="2" t="s">
        <v>2</v>
      </c>
      <c r="H9" s="2" t="s">
        <v>5</v>
      </c>
      <c r="J9" s="2" t="s">
        <v>141</v>
      </c>
      <c r="K9" s="2" t="s">
        <v>497</v>
      </c>
      <c r="L9" s="2" t="s">
        <v>76</v>
      </c>
      <c r="M9" s="2" t="s">
        <v>77</v>
      </c>
      <c r="O9" s="2" t="s">
        <v>101</v>
      </c>
      <c r="Q9" s="2" t="s">
        <v>141</v>
      </c>
      <c r="R9" s="2" t="s">
        <v>497</v>
      </c>
      <c r="S9" s="2" t="s">
        <v>76</v>
      </c>
      <c r="T9" s="2" t="s">
        <v>77</v>
      </c>
      <c r="U9" s="2" t="s">
        <v>101</v>
      </c>
    </row>
    <row r="10" spans="1:22">
      <c r="A10" s="2" t="s">
        <v>0</v>
      </c>
      <c r="C10" s="2" t="s">
        <v>404</v>
      </c>
      <c r="D10" s="2" t="s">
        <v>91</v>
      </c>
    </row>
    <row r="11" spans="1:22">
      <c r="C11" s="2" t="s">
        <v>93</v>
      </c>
      <c r="D11" s="2" t="s">
        <v>405</v>
      </c>
      <c r="E11" s="2" t="s">
        <v>406</v>
      </c>
      <c r="F11" s="2" t="s">
        <v>407</v>
      </c>
      <c r="G11" s="2" t="s">
        <v>95</v>
      </c>
      <c r="H11" s="2" t="s">
        <v>102</v>
      </c>
      <c r="J11" s="2" t="s">
        <v>144</v>
      </c>
      <c r="K11" s="2" t="s">
        <v>145</v>
      </c>
      <c r="L11" s="2" t="s">
        <v>146</v>
      </c>
      <c r="M11" s="2" t="s">
        <v>147</v>
      </c>
      <c r="O11" s="2" t="s">
        <v>810</v>
      </c>
      <c r="Q11" s="2" t="s">
        <v>811</v>
      </c>
      <c r="R11" s="2" t="s">
        <v>292</v>
      </c>
      <c r="S11" s="2" t="s">
        <v>293</v>
      </c>
      <c r="T11" s="2" t="s">
        <v>294</v>
      </c>
      <c r="U11" s="2" t="s">
        <v>812</v>
      </c>
      <c r="V11" s="2" t="s">
        <v>813</v>
      </c>
    </row>
    <row r="12" spans="1:22">
      <c r="A12" s="2" t="s">
        <v>35</v>
      </c>
      <c r="C12" s="2" t="s">
        <v>94</v>
      </c>
      <c r="D12" s="2" t="s">
        <v>1639</v>
      </c>
      <c r="E12" s="2" t="s">
        <v>1761</v>
      </c>
      <c r="F12" s="2" t="s">
        <v>1775</v>
      </c>
      <c r="G12" s="2" t="s">
        <v>1789</v>
      </c>
      <c r="H12" s="2" t="s">
        <v>103</v>
      </c>
      <c r="J12" s="2" t="s">
        <v>148</v>
      </c>
      <c r="K12" s="2" t="s">
        <v>149</v>
      </c>
      <c r="L12" s="2" t="s">
        <v>150</v>
      </c>
      <c r="M12" s="2" t="s">
        <v>151</v>
      </c>
      <c r="O12" s="2" t="s">
        <v>814</v>
      </c>
      <c r="Q12" s="2" t="s">
        <v>815</v>
      </c>
      <c r="R12" s="2" t="s">
        <v>295</v>
      </c>
      <c r="S12" s="2" t="s">
        <v>296</v>
      </c>
      <c r="T12" s="2" t="s">
        <v>297</v>
      </c>
      <c r="U12" s="2" t="s">
        <v>816</v>
      </c>
      <c r="V12" s="2" t="s">
        <v>817</v>
      </c>
    </row>
    <row r="13" spans="1:22">
      <c r="A13" s="2" t="s">
        <v>35</v>
      </c>
      <c r="C13" s="2" t="s">
        <v>31</v>
      </c>
      <c r="D13" s="2" t="s">
        <v>1640</v>
      </c>
      <c r="E13" s="2" t="s">
        <v>1762</v>
      </c>
      <c r="F13" s="2" t="s">
        <v>1776</v>
      </c>
      <c r="G13" s="2" t="s">
        <v>1790</v>
      </c>
      <c r="H13" s="2" t="s">
        <v>104</v>
      </c>
      <c r="J13" s="2" t="s">
        <v>152</v>
      </c>
      <c r="K13" s="2" t="s">
        <v>153</v>
      </c>
      <c r="L13" s="2" t="s">
        <v>154</v>
      </c>
      <c r="M13" s="2" t="s">
        <v>155</v>
      </c>
      <c r="O13" s="2" t="s">
        <v>818</v>
      </c>
      <c r="Q13" s="2" t="s">
        <v>819</v>
      </c>
      <c r="R13" s="2" t="s">
        <v>298</v>
      </c>
      <c r="S13" s="2" t="s">
        <v>299</v>
      </c>
      <c r="T13" s="2" t="s">
        <v>300</v>
      </c>
      <c r="U13" s="2" t="s">
        <v>820</v>
      </c>
      <c r="V13" s="2" t="s">
        <v>821</v>
      </c>
    </row>
    <row r="14" spans="1:22">
      <c r="A14" s="2" t="s">
        <v>35</v>
      </c>
      <c r="C14" s="2" t="s">
        <v>32</v>
      </c>
      <c r="D14" s="2" t="s">
        <v>1641</v>
      </c>
      <c r="E14" s="2" t="s">
        <v>1763</v>
      </c>
      <c r="F14" s="2" t="s">
        <v>1777</v>
      </c>
      <c r="G14" s="2" t="s">
        <v>1791</v>
      </c>
      <c r="H14" s="2" t="s">
        <v>105</v>
      </c>
      <c r="J14" s="2" t="s">
        <v>156</v>
      </c>
      <c r="K14" s="2" t="s">
        <v>157</v>
      </c>
      <c r="L14" s="2" t="s">
        <v>158</v>
      </c>
      <c r="M14" s="2" t="s">
        <v>159</v>
      </c>
      <c r="O14" s="2" t="s">
        <v>822</v>
      </c>
      <c r="Q14" s="2" t="s">
        <v>823</v>
      </c>
      <c r="R14" s="2" t="s">
        <v>301</v>
      </c>
      <c r="S14" s="2" t="s">
        <v>302</v>
      </c>
      <c r="T14" s="2" t="s">
        <v>303</v>
      </c>
      <c r="U14" s="2" t="s">
        <v>824</v>
      </c>
      <c r="V14" s="2" t="s">
        <v>825</v>
      </c>
    </row>
    <row r="15" spans="1:22">
      <c r="A15" s="2" t="s">
        <v>35</v>
      </c>
      <c r="C15" s="2" t="s">
        <v>419</v>
      </c>
      <c r="D15" s="2" t="s">
        <v>1642</v>
      </c>
      <c r="E15" s="2" t="s">
        <v>1764</v>
      </c>
      <c r="F15" s="2" t="s">
        <v>1778</v>
      </c>
      <c r="G15" s="2" t="s">
        <v>1792</v>
      </c>
      <c r="H15" s="2" t="s">
        <v>420</v>
      </c>
      <c r="J15" s="2" t="s">
        <v>421</v>
      </c>
      <c r="K15" s="2" t="s">
        <v>422</v>
      </c>
      <c r="L15" s="2" t="s">
        <v>423</v>
      </c>
      <c r="M15" s="2" t="s">
        <v>424</v>
      </c>
      <c r="O15" s="2" t="s">
        <v>826</v>
      </c>
      <c r="Q15" s="2" t="s">
        <v>827</v>
      </c>
      <c r="R15" s="2" t="s">
        <v>425</v>
      </c>
      <c r="S15" s="2" t="s">
        <v>426</v>
      </c>
      <c r="T15" s="2" t="s">
        <v>427</v>
      </c>
      <c r="U15" s="2" t="s">
        <v>828</v>
      </c>
      <c r="V15" s="2" t="s">
        <v>829</v>
      </c>
    </row>
    <row r="16" spans="1:22">
      <c r="A16" s="2" t="s">
        <v>35</v>
      </c>
      <c r="C16" s="2" t="s">
        <v>36</v>
      </c>
      <c r="D16" s="2" t="s">
        <v>1643</v>
      </c>
      <c r="E16" s="2" t="s">
        <v>1765</v>
      </c>
      <c r="F16" s="2" t="s">
        <v>1779</v>
      </c>
      <c r="G16" s="2" t="s">
        <v>1793</v>
      </c>
      <c r="H16" s="2" t="s">
        <v>498</v>
      </c>
      <c r="J16" s="2" t="s">
        <v>499</v>
      </c>
      <c r="K16" s="2" t="s">
        <v>500</v>
      </c>
      <c r="L16" s="2" t="s">
        <v>501</v>
      </c>
      <c r="M16" s="2" t="s">
        <v>502</v>
      </c>
      <c r="O16" s="2" t="s">
        <v>830</v>
      </c>
      <c r="Q16" s="2" t="s">
        <v>831</v>
      </c>
      <c r="R16" s="2" t="s">
        <v>832</v>
      </c>
      <c r="S16" s="2" t="s">
        <v>833</v>
      </c>
      <c r="T16" s="2" t="s">
        <v>834</v>
      </c>
      <c r="U16" s="2" t="s">
        <v>835</v>
      </c>
      <c r="V16" s="2" t="s">
        <v>836</v>
      </c>
    </row>
    <row r="17" spans="1:22">
      <c r="A17" s="2" t="s">
        <v>35</v>
      </c>
      <c r="C17" s="2" t="s">
        <v>428</v>
      </c>
      <c r="D17" s="2" t="s">
        <v>1644</v>
      </c>
      <c r="E17" s="2" t="s">
        <v>1766</v>
      </c>
      <c r="F17" s="2" t="s">
        <v>1780</v>
      </c>
      <c r="G17" s="2" t="s">
        <v>1794</v>
      </c>
      <c r="H17" s="2" t="s">
        <v>503</v>
      </c>
      <c r="J17" s="2" t="s">
        <v>504</v>
      </c>
      <c r="K17" s="2" t="s">
        <v>505</v>
      </c>
      <c r="L17" s="2" t="s">
        <v>506</v>
      </c>
      <c r="M17" s="2" t="s">
        <v>507</v>
      </c>
      <c r="O17" s="2" t="s">
        <v>837</v>
      </c>
      <c r="Q17" s="2" t="s">
        <v>838</v>
      </c>
      <c r="R17" s="2" t="s">
        <v>839</v>
      </c>
      <c r="S17" s="2" t="s">
        <v>840</v>
      </c>
      <c r="T17" s="2" t="s">
        <v>841</v>
      </c>
      <c r="U17" s="2" t="s">
        <v>842</v>
      </c>
      <c r="V17" s="2" t="s">
        <v>843</v>
      </c>
    </row>
    <row r="18" spans="1:22">
      <c r="A18" s="2" t="s">
        <v>35</v>
      </c>
      <c r="C18" s="2" t="s">
        <v>508</v>
      </c>
      <c r="D18" s="2" t="s">
        <v>1645</v>
      </c>
      <c r="E18" s="2" t="s">
        <v>1767</v>
      </c>
      <c r="F18" s="2" t="s">
        <v>1781</v>
      </c>
      <c r="G18" s="2" t="s">
        <v>1795</v>
      </c>
      <c r="H18" s="2" t="s">
        <v>509</v>
      </c>
      <c r="J18" s="2" t="s">
        <v>510</v>
      </c>
      <c r="K18" s="2" t="s">
        <v>511</v>
      </c>
      <c r="L18" s="2" t="s">
        <v>512</v>
      </c>
      <c r="M18" s="2" t="s">
        <v>513</v>
      </c>
      <c r="O18" s="2" t="s">
        <v>844</v>
      </c>
      <c r="Q18" s="2" t="s">
        <v>845</v>
      </c>
      <c r="R18" s="2" t="s">
        <v>846</v>
      </c>
      <c r="S18" s="2" t="s">
        <v>847</v>
      </c>
      <c r="T18" s="2" t="s">
        <v>848</v>
      </c>
      <c r="U18" s="2" t="s">
        <v>849</v>
      </c>
      <c r="V18" s="2" t="s">
        <v>850</v>
      </c>
    </row>
    <row r="19" spans="1:22">
      <c r="A19" s="2" t="s">
        <v>35</v>
      </c>
      <c r="C19" s="2" t="s">
        <v>37</v>
      </c>
      <c r="D19" s="2" t="s">
        <v>1646</v>
      </c>
      <c r="E19" s="2" t="s">
        <v>1768</v>
      </c>
      <c r="F19" s="2" t="s">
        <v>1782</v>
      </c>
      <c r="G19" s="2" t="s">
        <v>1796</v>
      </c>
      <c r="H19" s="2" t="s">
        <v>106</v>
      </c>
      <c r="J19" s="2" t="s">
        <v>160</v>
      </c>
      <c r="K19" s="2" t="s">
        <v>161</v>
      </c>
      <c r="L19" s="2" t="s">
        <v>162</v>
      </c>
      <c r="M19" s="2" t="s">
        <v>163</v>
      </c>
      <c r="O19" s="2" t="s">
        <v>851</v>
      </c>
      <c r="Q19" s="2" t="s">
        <v>852</v>
      </c>
      <c r="R19" s="2" t="s">
        <v>304</v>
      </c>
      <c r="S19" s="2" t="s">
        <v>305</v>
      </c>
      <c r="T19" s="2" t="s">
        <v>306</v>
      </c>
      <c r="U19" s="2" t="s">
        <v>853</v>
      </c>
      <c r="V19" s="2" t="s">
        <v>854</v>
      </c>
    </row>
    <row r="20" spans="1:22">
      <c r="A20" s="2" t="s">
        <v>35</v>
      </c>
      <c r="C20" s="2" t="s">
        <v>96</v>
      </c>
      <c r="D20" s="2" t="s">
        <v>1647</v>
      </c>
      <c r="E20" s="2" t="s">
        <v>1769</v>
      </c>
      <c r="F20" s="2" t="s">
        <v>1783</v>
      </c>
      <c r="G20" s="2" t="s">
        <v>1797</v>
      </c>
      <c r="H20" s="2" t="s">
        <v>429</v>
      </c>
      <c r="J20" s="2" t="s">
        <v>430</v>
      </c>
      <c r="K20" s="2" t="s">
        <v>431</v>
      </c>
      <c r="L20" s="2" t="s">
        <v>432</v>
      </c>
      <c r="M20" s="2" t="s">
        <v>433</v>
      </c>
      <c r="O20" s="2" t="s">
        <v>855</v>
      </c>
      <c r="Q20" s="2" t="s">
        <v>856</v>
      </c>
      <c r="R20" s="2" t="s">
        <v>434</v>
      </c>
      <c r="S20" s="2" t="s">
        <v>435</v>
      </c>
      <c r="T20" s="2" t="s">
        <v>436</v>
      </c>
      <c r="U20" s="2" t="s">
        <v>857</v>
      </c>
      <c r="V20" s="2" t="s">
        <v>858</v>
      </c>
    </row>
    <row r="21" spans="1:22">
      <c r="A21" s="2" t="s">
        <v>35</v>
      </c>
      <c r="C21" s="2" t="s">
        <v>97</v>
      </c>
      <c r="D21" s="2" t="s">
        <v>1648</v>
      </c>
      <c r="E21" s="2" t="s">
        <v>1770</v>
      </c>
      <c r="F21" s="2" t="s">
        <v>1784</v>
      </c>
      <c r="G21" s="2" t="s">
        <v>1798</v>
      </c>
      <c r="H21" s="2" t="s">
        <v>514</v>
      </c>
      <c r="J21" s="2" t="s">
        <v>515</v>
      </c>
      <c r="K21" s="2" t="s">
        <v>516</v>
      </c>
      <c r="L21" s="2" t="s">
        <v>517</v>
      </c>
      <c r="M21" s="2" t="s">
        <v>518</v>
      </c>
      <c r="O21" s="2" t="s">
        <v>859</v>
      </c>
      <c r="Q21" s="2" t="s">
        <v>860</v>
      </c>
      <c r="R21" s="2" t="s">
        <v>861</v>
      </c>
      <c r="S21" s="2" t="s">
        <v>862</v>
      </c>
      <c r="T21" s="2" t="s">
        <v>863</v>
      </c>
      <c r="U21" s="2" t="s">
        <v>864</v>
      </c>
      <c r="V21" s="2" t="s">
        <v>865</v>
      </c>
    </row>
    <row r="22" spans="1:22">
      <c r="A22" s="2" t="s">
        <v>35</v>
      </c>
      <c r="C22" s="2" t="s">
        <v>437</v>
      </c>
      <c r="D22" s="2" t="s">
        <v>1649</v>
      </c>
      <c r="E22" s="2" t="s">
        <v>1771</v>
      </c>
      <c r="F22" s="2" t="s">
        <v>1785</v>
      </c>
      <c r="G22" s="2" t="s">
        <v>1799</v>
      </c>
      <c r="H22" s="2" t="s">
        <v>519</v>
      </c>
      <c r="J22" s="2" t="s">
        <v>520</v>
      </c>
      <c r="K22" s="2" t="s">
        <v>521</v>
      </c>
      <c r="L22" s="2" t="s">
        <v>522</v>
      </c>
      <c r="M22" s="2" t="s">
        <v>523</v>
      </c>
      <c r="O22" s="2" t="s">
        <v>866</v>
      </c>
      <c r="Q22" s="2" t="s">
        <v>867</v>
      </c>
      <c r="R22" s="2" t="s">
        <v>868</v>
      </c>
      <c r="S22" s="2" t="s">
        <v>869</v>
      </c>
      <c r="T22" s="2" t="s">
        <v>870</v>
      </c>
      <c r="U22" s="2" t="s">
        <v>871</v>
      </c>
      <c r="V22" s="2" t="s">
        <v>872</v>
      </c>
    </row>
    <row r="23" spans="1:22">
      <c r="A23" s="2" t="s">
        <v>35</v>
      </c>
      <c r="C23" s="2" t="s">
        <v>524</v>
      </c>
      <c r="D23" s="2" t="s">
        <v>1650</v>
      </c>
      <c r="E23" s="2" t="s">
        <v>1772</v>
      </c>
      <c r="F23" s="2" t="s">
        <v>1786</v>
      </c>
      <c r="G23" s="2" t="s">
        <v>1800</v>
      </c>
      <c r="H23" s="2" t="s">
        <v>525</v>
      </c>
      <c r="J23" s="2" t="s">
        <v>526</v>
      </c>
      <c r="K23" s="2" t="s">
        <v>527</v>
      </c>
      <c r="L23" s="2" t="s">
        <v>528</v>
      </c>
      <c r="M23" s="2" t="s">
        <v>529</v>
      </c>
      <c r="O23" s="2" t="s">
        <v>873</v>
      </c>
      <c r="Q23" s="2" t="s">
        <v>874</v>
      </c>
      <c r="R23" s="2" t="s">
        <v>875</v>
      </c>
      <c r="S23" s="2" t="s">
        <v>876</v>
      </c>
      <c r="T23" s="2" t="s">
        <v>877</v>
      </c>
      <c r="U23" s="2" t="s">
        <v>878</v>
      </c>
      <c r="V23" s="2" t="s">
        <v>879</v>
      </c>
    </row>
    <row r="24" spans="1:22">
      <c r="A24" s="2" t="s">
        <v>35</v>
      </c>
      <c r="C24" s="2" t="s">
        <v>38</v>
      </c>
      <c r="D24" s="2" t="s">
        <v>1651</v>
      </c>
      <c r="E24" s="2" t="s">
        <v>1773</v>
      </c>
      <c r="F24" s="2" t="s">
        <v>1787</v>
      </c>
      <c r="G24" s="2" t="s">
        <v>1801</v>
      </c>
      <c r="H24" s="2" t="s">
        <v>107</v>
      </c>
      <c r="J24" s="2" t="s">
        <v>164</v>
      </c>
      <c r="K24" s="2" t="s">
        <v>165</v>
      </c>
      <c r="L24" s="2" t="s">
        <v>166</v>
      </c>
      <c r="M24" s="2" t="s">
        <v>167</v>
      </c>
      <c r="O24" s="2" t="s">
        <v>880</v>
      </c>
      <c r="Q24" s="2" t="s">
        <v>881</v>
      </c>
      <c r="R24" s="2" t="s">
        <v>307</v>
      </c>
      <c r="S24" s="2" t="s">
        <v>308</v>
      </c>
      <c r="T24" s="2" t="s">
        <v>309</v>
      </c>
      <c r="U24" s="2" t="s">
        <v>882</v>
      </c>
      <c r="V24" s="2" t="s">
        <v>883</v>
      </c>
    </row>
    <row r="25" spans="1:22">
      <c r="A25" s="2" t="s">
        <v>35</v>
      </c>
      <c r="C25" s="2" t="s">
        <v>39</v>
      </c>
      <c r="D25" s="2" t="s">
        <v>1652</v>
      </c>
      <c r="E25" s="2" t="s">
        <v>1774</v>
      </c>
      <c r="F25" s="2" t="s">
        <v>1788</v>
      </c>
      <c r="G25" s="2" t="s">
        <v>1802</v>
      </c>
      <c r="H25" s="2" t="s">
        <v>108</v>
      </c>
      <c r="J25" s="2" t="s">
        <v>168</v>
      </c>
      <c r="K25" s="2" t="s">
        <v>169</v>
      </c>
      <c r="L25" s="2" t="s">
        <v>170</v>
      </c>
      <c r="M25" s="2" t="s">
        <v>171</v>
      </c>
      <c r="O25" s="2" t="s">
        <v>884</v>
      </c>
      <c r="Q25" s="2" t="s">
        <v>885</v>
      </c>
      <c r="R25" s="2" t="s">
        <v>310</v>
      </c>
      <c r="S25" s="2" t="s">
        <v>311</v>
      </c>
      <c r="T25" s="2" t="s">
        <v>312</v>
      </c>
      <c r="U25" s="2" t="s">
        <v>886</v>
      </c>
      <c r="V25" s="2" t="s">
        <v>887</v>
      </c>
    </row>
    <row r="26" spans="1:22">
      <c r="A26" s="2" t="s">
        <v>0</v>
      </c>
      <c r="C26" s="2" t="s">
        <v>94</v>
      </c>
    </row>
    <row r="27" spans="1:22">
      <c r="C27" s="2" t="s">
        <v>40</v>
      </c>
      <c r="E27" s="2" t="s">
        <v>888</v>
      </c>
      <c r="J27" s="2" t="s">
        <v>889</v>
      </c>
      <c r="K27" s="2" t="s">
        <v>890</v>
      </c>
      <c r="L27" s="2" t="s">
        <v>891</v>
      </c>
      <c r="M27" s="2" t="s">
        <v>892</v>
      </c>
      <c r="O27" s="2" t="s">
        <v>893</v>
      </c>
      <c r="U27" s="2" t="s">
        <v>894</v>
      </c>
    </row>
    <row r="29" spans="1:22">
      <c r="A29" s="2" t="s">
        <v>33</v>
      </c>
      <c r="C29" s="2" t="s">
        <v>895</v>
      </c>
      <c r="D29" s="2" t="s">
        <v>81</v>
      </c>
    </row>
    <row r="30" spans="1:22">
      <c r="A30" s="2" t="s">
        <v>35</v>
      </c>
      <c r="C30" s="2" t="s">
        <v>41</v>
      </c>
      <c r="D30" s="2" t="s">
        <v>896</v>
      </c>
      <c r="E30" s="2" t="s">
        <v>1653</v>
      </c>
      <c r="F30" s="2" t="s">
        <v>1654</v>
      </c>
      <c r="G30" s="2" t="s">
        <v>1655</v>
      </c>
      <c r="H30" s="2" t="s">
        <v>109</v>
      </c>
      <c r="J30" s="2" t="s">
        <v>172</v>
      </c>
      <c r="K30" s="2" t="s">
        <v>173</v>
      </c>
      <c r="L30" s="2" t="s">
        <v>174</v>
      </c>
      <c r="M30" s="2" t="s">
        <v>175</v>
      </c>
      <c r="O30" s="2" t="s">
        <v>897</v>
      </c>
      <c r="Q30" s="2" t="s">
        <v>898</v>
      </c>
      <c r="R30" s="2" t="s">
        <v>313</v>
      </c>
      <c r="S30" s="2" t="s">
        <v>314</v>
      </c>
      <c r="T30" s="2" t="s">
        <v>315</v>
      </c>
      <c r="U30" s="2" t="s">
        <v>899</v>
      </c>
      <c r="V30" s="2" t="s">
        <v>900</v>
      </c>
    </row>
    <row r="31" spans="1:22">
      <c r="A31" s="2" t="s">
        <v>33</v>
      </c>
      <c r="C31" s="2" t="s">
        <v>42</v>
      </c>
    </row>
    <row r="32" spans="1:22">
      <c r="A32" s="2" t="s">
        <v>35</v>
      </c>
      <c r="C32" s="2" t="s">
        <v>43</v>
      </c>
      <c r="E32" s="2" t="s">
        <v>901</v>
      </c>
      <c r="J32" s="2" t="s">
        <v>902</v>
      </c>
      <c r="K32" s="2" t="s">
        <v>903</v>
      </c>
      <c r="L32" s="2" t="s">
        <v>904</v>
      </c>
      <c r="M32" s="2" t="s">
        <v>905</v>
      </c>
      <c r="O32" s="2" t="s">
        <v>906</v>
      </c>
      <c r="U32" s="2" t="s">
        <v>907</v>
      </c>
    </row>
    <row r="33" spans="1:22">
      <c r="A33" s="2" t="s">
        <v>35</v>
      </c>
    </row>
    <row r="34" spans="1:22">
      <c r="A34" s="2" t="s">
        <v>33</v>
      </c>
      <c r="C34" s="2" t="s">
        <v>908</v>
      </c>
      <c r="D34" s="2" t="s">
        <v>83</v>
      </c>
    </row>
    <row r="35" spans="1:22">
      <c r="A35" s="2" t="s">
        <v>35</v>
      </c>
      <c r="C35" s="2" t="s">
        <v>44</v>
      </c>
      <c r="D35" s="2" t="s">
        <v>909</v>
      </c>
      <c r="E35" s="2" t="s">
        <v>1656</v>
      </c>
      <c r="F35" s="2" t="s">
        <v>1657</v>
      </c>
      <c r="G35" s="2" t="s">
        <v>1658</v>
      </c>
      <c r="H35" s="2" t="s">
        <v>110</v>
      </c>
      <c r="J35" s="2" t="s">
        <v>176</v>
      </c>
      <c r="K35" s="2" t="s">
        <v>177</v>
      </c>
      <c r="L35" s="2" t="s">
        <v>178</v>
      </c>
      <c r="M35" s="2" t="s">
        <v>179</v>
      </c>
      <c r="O35" s="2" t="s">
        <v>910</v>
      </c>
      <c r="Q35" s="2" t="s">
        <v>911</v>
      </c>
      <c r="R35" s="2" t="s">
        <v>316</v>
      </c>
      <c r="S35" s="2" t="s">
        <v>317</v>
      </c>
      <c r="T35" s="2" t="s">
        <v>318</v>
      </c>
      <c r="U35" s="2" t="s">
        <v>912</v>
      </c>
      <c r="V35" s="2" t="s">
        <v>913</v>
      </c>
    </row>
    <row r="36" spans="1:22">
      <c r="A36" s="2" t="s">
        <v>35</v>
      </c>
      <c r="C36" s="2" t="s">
        <v>45</v>
      </c>
      <c r="D36" s="2" t="s">
        <v>1659</v>
      </c>
      <c r="E36" s="2" t="s">
        <v>1660</v>
      </c>
      <c r="F36" s="2" t="s">
        <v>1661</v>
      </c>
      <c r="G36" s="2" t="s">
        <v>1662</v>
      </c>
      <c r="H36" s="2" t="s">
        <v>111</v>
      </c>
      <c r="J36" s="2" t="s">
        <v>180</v>
      </c>
      <c r="K36" s="2" t="s">
        <v>181</v>
      </c>
      <c r="L36" s="2" t="s">
        <v>182</v>
      </c>
      <c r="M36" s="2" t="s">
        <v>183</v>
      </c>
      <c r="O36" s="2" t="s">
        <v>914</v>
      </c>
      <c r="Q36" s="2" t="s">
        <v>915</v>
      </c>
      <c r="R36" s="2" t="s">
        <v>319</v>
      </c>
      <c r="S36" s="2" t="s">
        <v>320</v>
      </c>
      <c r="T36" s="2" t="s">
        <v>321</v>
      </c>
      <c r="U36" s="2" t="s">
        <v>916</v>
      </c>
      <c r="V36" s="2" t="s">
        <v>917</v>
      </c>
    </row>
    <row r="37" spans="1:22">
      <c r="A37" s="2" t="s">
        <v>33</v>
      </c>
      <c r="C37" s="2" t="s">
        <v>45</v>
      </c>
    </row>
    <row r="38" spans="1:22">
      <c r="A38" s="2" t="s">
        <v>35</v>
      </c>
      <c r="C38" s="2" t="s">
        <v>46</v>
      </c>
      <c r="E38" s="2" t="s">
        <v>918</v>
      </c>
      <c r="J38" s="2" t="s">
        <v>919</v>
      </c>
      <c r="K38" s="2" t="s">
        <v>920</v>
      </c>
      <c r="L38" s="2" t="s">
        <v>921</v>
      </c>
      <c r="M38" s="2" t="s">
        <v>922</v>
      </c>
      <c r="O38" s="2" t="s">
        <v>923</v>
      </c>
      <c r="U38" s="2" t="s">
        <v>924</v>
      </c>
    </row>
    <row r="39" spans="1:22">
      <c r="A39" s="2" t="s">
        <v>35</v>
      </c>
    </row>
    <row r="40" spans="1:22">
      <c r="A40" s="2" t="s">
        <v>33</v>
      </c>
      <c r="C40" s="2" t="s">
        <v>925</v>
      </c>
      <c r="D40" s="2" t="s">
        <v>85</v>
      </c>
    </row>
    <row r="41" spans="1:22">
      <c r="A41" s="2" t="s">
        <v>35</v>
      </c>
      <c r="C41" s="2" t="s">
        <v>47</v>
      </c>
      <c r="D41" s="2" t="s">
        <v>926</v>
      </c>
      <c r="E41" s="2" t="s">
        <v>2040</v>
      </c>
      <c r="F41" s="2" t="s">
        <v>2047</v>
      </c>
      <c r="G41" s="2" t="s">
        <v>2054</v>
      </c>
      <c r="H41" s="2" t="s">
        <v>112</v>
      </c>
      <c r="J41" s="2" t="s">
        <v>184</v>
      </c>
      <c r="K41" s="2" t="s">
        <v>185</v>
      </c>
      <c r="L41" s="2" t="s">
        <v>186</v>
      </c>
      <c r="M41" s="2" t="s">
        <v>187</v>
      </c>
      <c r="O41" s="2" t="s">
        <v>927</v>
      </c>
      <c r="Q41" s="2" t="s">
        <v>928</v>
      </c>
      <c r="R41" s="2" t="s">
        <v>322</v>
      </c>
      <c r="S41" s="2" t="s">
        <v>323</v>
      </c>
      <c r="T41" s="2" t="s">
        <v>324</v>
      </c>
      <c r="U41" s="2" t="s">
        <v>929</v>
      </c>
      <c r="V41" s="2" t="s">
        <v>930</v>
      </c>
    </row>
    <row r="42" spans="1:22">
      <c r="A42" s="2" t="s">
        <v>35</v>
      </c>
      <c r="C42" s="2" t="s">
        <v>48</v>
      </c>
      <c r="D42" s="2" t="s">
        <v>1663</v>
      </c>
      <c r="E42" s="2" t="s">
        <v>2041</v>
      </c>
      <c r="F42" s="2" t="s">
        <v>2048</v>
      </c>
      <c r="G42" s="2" t="s">
        <v>2055</v>
      </c>
      <c r="H42" s="2" t="s">
        <v>113</v>
      </c>
      <c r="J42" s="2" t="s">
        <v>188</v>
      </c>
      <c r="K42" s="2" t="s">
        <v>189</v>
      </c>
      <c r="L42" s="2" t="s">
        <v>190</v>
      </c>
      <c r="M42" s="2" t="s">
        <v>191</v>
      </c>
      <c r="O42" s="2" t="s">
        <v>931</v>
      </c>
      <c r="Q42" s="2" t="s">
        <v>932</v>
      </c>
      <c r="R42" s="2" t="s">
        <v>325</v>
      </c>
      <c r="S42" s="2" t="s">
        <v>326</v>
      </c>
      <c r="T42" s="2" t="s">
        <v>327</v>
      </c>
      <c r="U42" s="2" t="s">
        <v>933</v>
      </c>
      <c r="V42" s="2" t="s">
        <v>934</v>
      </c>
    </row>
    <row r="43" spans="1:22">
      <c r="A43" s="2" t="s">
        <v>35</v>
      </c>
      <c r="C43" s="2" t="s">
        <v>49</v>
      </c>
      <c r="D43" s="2" t="s">
        <v>1664</v>
      </c>
      <c r="E43" s="2" t="s">
        <v>2042</v>
      </c>
      <c r="F43" s="2" t="s">
        <v>2049</v>
      </c>
      <c r="G43" s="2" t="s">
        <v>2056</v>
      </c>
      <c r="H43" s="2" t="s">
        <v>114</v>
      </c>
      <c r="J43" s="2" t="s">
        <v>192</v>
      </c>
      <c r="K43" s="2" t="s">
        <v>193</v>
      </c>
      <c r="L43" s="2" t="s">
        <v>194</v>
      </c>
      <c r="M43" s="2" t="s">
        <v>195</v>
      </c>
      <c r="O43" s="2" t="s">
        <v>935</v>
      </c>
      <c r="Q43" s="2" t="s">
        <v>936</v>
      </c>
      <c r="R43" s="2" t="s">
        <v>328</v>
      </c>
      <c r="S43" s="2" t="s">
        <v>329</v>
      </c>
      <c r="T43" s="2" t="s">
        <v>330</v>
      </c>
      <c r="U43" s="2" t="s">
        <v>937</v>
      </c>
      <c r="V43" s="2" t="s">
        <v>938</v>
      </c>
    </row>
    <row r="44" spans="1:22">
      <c r="A44" s="2" t="s">
        <v>35</v>
      </c>
      <c r="C44" s="2" t="s">
        <v>50</v>
      </c>
      <c r="D44" s="2" t="s">
        <v>1665</v>
      </c>
      <c r="E44" s="2" t="s">
        <v>2043</v>
      </c>
      <c r="F44" s="2" t="s">
        <v>2050</v>
      </c>
      <c r="G44" s="2" t="s">
        <v>2057</v>
      </c>
      <c r="H44" s="2" t="s">
        <v>115</v>
      </c>
      <c r="J44" s="2" t="s">
        <v>196</v>
      </c>
      <c r="K44" s="2" t="s">
        <v>197</v>
      </c>
      <c r="L44" s="2" t="s">
        <v>198</v>
      </c>
      <c r="M44" s="2" t="s">
        <v>199</v>
      </c>
      <c r="O44" s="2" t="s">
        <v>939</v>
      </c>
      <c r="Q44" s="2" t="s">
        <v>940</v>
      </c>
      <c r="R44" s="2" t="s">
        <v>331</v>
      </c>
      <c r="S44" s="2" t="s">
        <v>332</v>
      </c>
      <c r="T44" s="2" t="s">
        <v>333</v>
      </c>
      <c r="U44" s="2" t="s">
        <v>941</v>
      </c>
      <c r="V44" s="2" t="s">
        <v>942</v>
      </c>
    </row>
    <row r="45" spans="1:22">
      <c r="A45" s="2" t="s">
        <v>35</v>
      </c>
      <c r="C45" s="2" t="s">
        <v>51</v>
      </c>
      <c r="D45" s="2" t="s">
        <v>1666</v>
      </c>
      <c r="E45" s="2" t="s">
        <v>2044</v>
      </c>
      <c r="F45" s="2" t="s">
        <v>2051</v>
      </c>
      <c r="G45" s="2" t="s">
        <v>2058</v>
      </c>
      <c r="H45" s="2" t="s">
        <v>116</v>
      </c>
      <c r="J45" s="2" t="s">
        <v>200</v>
      </c>
      <c r="K45" s="2" t="s">
        <v>201</v>
      </c>
      <c r="L45" s="2" t="s">
        <v>202</v>
      </c>
      <c r="M45" s="2" t="s">
        <v>203</v>
      </c>
      <c r="O45" s="2" t="s">
        <v>943</v>
      </c>
      <c r="Q45" s="2" t="s">
        <v>944</v>
      </c>
      <c r="R45" s="2" t="s">
        <v>334</v>
      </c>
      <c r="S45" s="2" t="s">
        <v>335</v>
      </c>
      <c r="T45" s="2" t="s">
        <v>336</v>
      </c>
      <c r="U45" s="2" t="s">
        <v>945</v>
      </c>
      <c r="V45" s="2" t="s">
        <v>946</v>
      </c>
    </row>
    <row r="46" spans="1:22">
      <c r="A46" s="2" t="s">
        <v>35</v>
      </c>
      <c r="C46" s="2" t="s">
        <v>52</v>
      </c>
      <c r="D46" s="2" t="s">
        <v>1667</v>
      </c>
      <c r="E46" s="2" t="s">
        <v>2045</v>
      </c>
      <c r="F46" s="2" t="s">
        <v>2052</v>
      </c>
      <c r="G46" s="2" t="s">
        <v>2059</v>
      </c>
      <c r="H46" s="2" t="s">
        <v>117</v>
      </c>
      <c r="J46" s="2" t="s">
        <v>204</v>
      </c>
      <c r="K46" s="2" t="s">
        <v>205</v>
      </c>
      <c r="L46" s="2" t="s">
        <v>206</v>
      </c>
      <c r="M46" s="2" t="s">
        <v>207</v>
      </c>
      <c r="O46" s="2" t="s">
        <v>947</v>
      </c>
      <c r="Q46" s="2" t="s">
        <v>948</v>
      </c>
      <c r="R46" s="2" t="s">
        <v>337</v>
      </c>
      <c r="S46" s="2" t="s">
        <v>338</v>
      </c>
      <c r="T46" s="2" t="s">
        <v>339</v>
      </c>
      <c r="U46" s="2" t="s">
        <v>949</v>
      </c>
      <c r="V46" s="2" t="s">
        <v>950</v>
      </c>
    </row>
    <row r="47" spans="1:22">
      <c r="A47" s="2" t="s">
        <v>35</v>
      </c>
      <c r="C47" s="2" t="s">
        <v>53</v>
      </c>
      <c r="D47" s="2" t="s">
        <v>1668</v>
      </c>
      <c r="E47" s="2" t="s">
        <v>2046</v>
      </c>
      <c r="F47" s="2" t="s">
        <v>2053</v>
      </c>
      <c r="G47" s="2" t="s">
        <v>2060</v>
      </c>
      <c r="H47" s="2" t="s">
        <v>118</v>
      </c>
      <c r="J47" s="2" t="s">
        <v>208</v>
      </c>
      <c r="K47" s="2" t="s">
        <v>209</v>
      </c>
      <c r="L47" s="2" t="s">
        <v>210</v>
      </c>
      <c r="M47" s="2" t="s">
        <v>211</v>
      </c>
      <c r="O47" s="2" t="s">
        <v>951</v>
      </c>
      <c r="Q47" s="2" t="s">
        <v>952</v>
      </c>
      <c r="R47" s="2" t="s">
        <v>340</v>
      </c>
      <c r="S47" s="2" t="s">
        <v>341</v>
      </c>
      <c r="T47" s="2" t="s">
        <v>342</v>
      </c>
      <c r="U47" s="2" t="s">
        <v>953</v>
      </c>
      <c r="V47" s="2" t="s">
        <v>954</v>
      </c>
    </row>
    <row r="48" spans="1:22">
      <c r="A48" s="2" t="s">
        <v>33</v>
      </c>
      <c r="C48" s="2" t="s">
        <v>48</v>
      </c>
    </row>
    <row r="49" spans="1:22">
      <c r="A49" s="2" t="s">
        <v>35</v>
      </c>
      <c r="C49" s="2" t="s">
        <v>54</v>
      </c>
      <c r="E49" s="2" t="s">
        <v>955</v>
      </c>
      <c r="J49" s="2" t="s">
        <v>956</v>
      </c>
      <c r="K49" s="2" t="s">
        <v>957</v>
      </c>
      <c r="L49" s="2" t="s">
        <v>958</v>
      </c>
      <c r="M49" s="2" t="s">
        <v>959</v>
      </c>
      <c r="O49" s="2" t="s">
        <v>960</v>
      </c>
      <c r="U49" s="2" t="s">
        <v>961</v>
      </c>
    </row>
    <row r="50" spans="1:22">
      <c r="A50" s="2" t="s">
        <v>35</v>
      </c>
    </row>
    <row r="51" spans="1:22">
      <c r="A51" s="2" t="s">
        <v>33</v>
      </c>
      <c r="C51" s="2" t="s">
        <v>962</v>
      </c>
      <c r="D51" s="2" t="s">
        <v>89</v>
      </c>
    </row>
    <row r="52" spans="1:22">
      <c r="A52" s="2" t="s">
        <v>35</v>
      </c>
      <c r="C52" s="2" t="s">
        <v>438</v>
      </c>
      <c r="D52" s="2" t="s">
        <v>963</v>
      </c>
      <c r="E52" s="2" t="s">
        <v>1669</v>
      </c>
      <c r="F52" s="2" t="s">
        <v>1670</v>
      </c>
      <c r="G52" s="2" t="s">
        <v>1671</v>
      </c>
      <c r="H52" s="2" t="s">
        <v>439</v>
      </c>
      <c r="J52" s="2" t="s">
        <v>440</v>
      </c>
      <c r="K52" s="2" t="s">
        <v>441</v>
      </c>
      <c r="L52" s="2" t="s">
        <v>442</v>
      </c>
      <c r="M52" s="2" t="s">
        <v>443</v>
      </c>
      <c r="O52" s="2" t="s">
        <v>964</v>
      </c>
      <c r="Q52" s="2" t="s">
        <v>965</v>
      </c>
      <c r="R52" s="2" t="s">
        <v>444</v>
      </c>
      <c r="S52" s="2" t="s">
        <v>445</v>
      </c>
      <c r="T52" s="2" t="s">
        <v>446</v>
      </c>
      <c r="U52" s="2" t="s">
        <v>966</v>
      </c>
      <c r="V52" s="2" t="s">
        <v>967</v>
      </c>
    </row>
    <row r="53" spans="1:22">
      <c r="A53" s="2" t="s">
        <v>35</v>
      </c>
      <c r="C53" s="2" t="s">
        <v>78</v>
      </c>
      <c r="D53" s="2" t="s">
        <v>1672</v>
      </c>
      <c r="E53" s="2" t="s">
        <v>1673</v>
      </c>
      <c r="F53" s="2" t="s">
        <v>1674</v>
      </c>
      <c r="G53" s="2" t="s">
        <v>1675</v>
      </c>
      <c r="H53" s="2" t="s">
        <v>530</v>
      </c>
      <c r="J53" s="2" t="s">
        <v>531</v>
      </c>
      <c r="K53" s="2" t="s">
        <v>532</v>
      </c>
      <c r="L53" s="2" t="s">
        <v>533</v>
      </c>
      <c r="M53" s="2" t="s">
        <v>534</v>
      </c>
      <c r="O53" s="2" t="s">
        <v>968</v>
      </c>
      <c r="Q53" s="2" t="s">
        <v>969</v>
      </c>
      <c r="R53" s="2" t="s">
        <v>970</v>
      </c>
      <c r="S53" s="2" t="s">
        <v>971</v>
      </c>
      <c r="T53" s="2" t="s">
        <v>972</v>
      </c>
      <c r="U53" s="2" t="s">
        <v>973</v>
      </c>
      <c r="V53" s="2" t="s">
        <v>974</v>
      </c>
    </row>
    <row r="54" spans="1:22">
      <c r="A54" s="2" t="s">
        <v>33</v>
      </c>
      <c r="C54" s="2" t="s">
        <v>78</v>
      </c>
    </row>
    <row r="55" spans="1:22">
      <c r="A55" s="2" t="s">
        <v>35</v>
      </c>
      <c r="C55" s="2" t="s">
        <v>535</v>
      </c>
      <c r="E55" s="2" t="s">
        <v>975</v>
      </c>
      <c r="J55" s="2" t="s">
        <v>976</v>
      </c>
      <c r="K55" s="2" t="s">
        <v>977</v>
      </c>
      <c r="L55" s="2" t="s">
        <v>978</v>
      </c>
      <c r="M55" s="2" t="s">
        <v>979</v>
      </c>
      <c r="O55" s="2" t="s">
        <v>980</v>
      </c>
      <c r="U55" s="2" t="s">
        <v>981</v>
      </c>
    </row>
    <row r="56" spans="1:22">
      <c r="A56" s="2" t="s">
        <v>35</v>
      </c>
    </row>
    <row r="57" spans="1:22">
      <c r="A57" s="2" t="s">
        <v>33</v>
      </c>
      <c r="C57" s="2" t="s">
        <v>982</v>
      </c>
      <c r="D57" s="2" t="s">
        <v>802</v>
      </c>
    </row>
    <row r="58" spans="1:22">
      <c r="A58" s="2" t="s">
        <v>35</v>
      </c>
      <c r="C58" s="2" t="s">
        <v>98</v>
      </c>
      <c r="D58" s="2" t="s">
        <v>983</v>
      </c>
      <c r="E58" s="2" t="s">
        <v>1676</v>
      </c>
      <c r="F58" s="2" t="s">
        <v>1677</v>
      </c>
      <c r="G58" s="2" t="s">
        <v>1678</v>
      </c>
      <c r="H58" s="2" t="s">
        <v>119</v>
      </c>
      <c r="J58" s="2" t="s">
        <v>212</v>
      </c>
      <c r="K58" s="2" t="s">
        <v>213</v>
      </c>
      <c r="L58" s="2" t="s">
        <v>214</v>
      </c>
      <c r="M58" s="2" t="s">
        <v>215</v>
      </c>
      <c r="O58" s="2" t="s">
        <v>984</v>
      </c>
      <c r="Q58" s="2" t="s">
        <v>985</v>
      </c>
      <c r="R58" s="2" t="s">
        <v>343</v>
      </c>
      <c r="S58" s="2" t="s">
        <v>344</v>
      </c>
      <c r="T58" s="2" t="s">
        <v>345</v>
      </c>
      <c r="U58" s="2" t="s">
        <v>986</v>
      </c>
      <c r="V58" s="2" t="s">
        <v>987</v>
      </c>
    </row>
    <row r="59" spans="1:22">
      <c r="A59" s="2" t="s">
        <v>33</v>
      </c>
      <c r="C59" s="2" t="s">
        <v>55</v>
      </c>
    </row>
    <row r="60" spans="1:22">
      <c r="A60" s="2" t="s">
        <v>35</v>
      </c>
      <c r="C60" s="2" t="s">
        <v>447</v>
      </c>
      <c r="E60" s="2" t="s">
        <v>988</v>
      </c>
      <c r="J60" s="2" t="s">
        <v>989</v>
      </c>
      <c r="K60" s="2" t="s">
        <v>990</v>
      </c>
      <c r="L60" s="2" t="s">
        <v>991</v>
      </c>
      <c r="M60" s="2" t="s">
        <v>992</v>
      </c>
      <c r="O60" s="2" t="s">
        <v>993</v>
      </c>
      <c r="U60" s="2" t="s">
        <v>994</v>
      </c>
    </row>
    <row r="61" spans="1:22">
      <c r="A61" s="2" t="s">
        <v>35</v>
      </c>
    </row>
    <row r="62" spans="1:22">
      <c r="A62" s="2" t="s">
        <v>33</v>
      </c>
      <c r="C62" s="2" t="s">
        <v>995</v>
      </c>
      <c r="D62" s="2" t="s">
        <v>803</v>
      </c>
    </row>
    <row r="63" spans="1:22">
      <c r="A63" s="2" t="s">
        <v>35</v>
      </c>
      <c r="C63" s="2" t="s">
        <v>536</v>
      </c>
      <c r="D63" s="2" t="s">
        <v>996</v>
      </c>
      <c r="E63" s="2" t="s">
        <v>1679</v>
      </c>
      <c r="F63" s="2" t="s">
        <v>1680</v>
      </c>
      <c r="G63" s="2" t="s">
        <v>1681</v>
      </c>
      <c r="H63" s="2" t="s">
        <v>537</v>
      </c>
      <c r="J63" s="2" t="s">
        <v>538</v>
      </c>
      <c r="K63" s="2" t="s">
        <v>539</v>
      </c>
      <c r="L63" s="2" t="s">
        <v>540</v>
      </c>
      <c r="M63" s="2" t="s">
        <v>541</v>
      </c>
      <c r="O63" s="2" t="s">
        <v>997</v>
      </c>
      <c r="Q63" s="2" t="s">
        <v>998</v>
      </c>
      <c r="R63" s="2" t="s">
        <v>999</v>
      </c>
      <c r="S63" s="2" t="s">
        <v>1000</v>
      </c>
      <c r="T63" s="2" t="s">
        <v>1001</v>
      </c>
      <c r="U63" s="2" t="s">
        <v>1002</v>
      </c>
      <c r="V63" s="2" t="s">
        <v>1003</v>
      </c>
    </row>
    <row r="64" spans="1:22">
      <c r="A64" s="2" t="s">
        <v>33</v>
      </c>
      <c r="C64" s="2" t="s">
        <v>56</v>
      </c>
    </row>
    <row r="65" spans="1:22">
      <c r="A65" s="2" t="s">
        <v>35</v>
      </c>
      <c r="C65" s="2" t="s">
        <v>57</v>
      </c>
      <c r="E65" s="2" t="s">
        <v>1004</v>
      </c>
      <c r="J65" s="2" t="s">
        <v>1005</v>
      </c>
      <c r="K65" s="2" t="s">
        <v>1006</v>
      </c>
      <c r="L65" s="2" t="s">
        <v>1007</v>
      </c>
      <c r="M65" s="2" t="s">
        <v>1008</v>
      </c>
      <c r="O65" s="2" t="s">
        <v>1009</v>
      </c>
      <c r="U65" s="2" t="s">
        <v>1010</v>
      </c>
    </row>
    <row r="66" spans="1:22">
      <c r="A66" s="2" t="s">
        <v>35</v>
      </c>
    </row>
    <row r="67" spans="1:22">
      <c r="A67" s="2" t="s">
        <v>33</v>
      </c>
      <c r="C67" s="2" t="s">
        <v>1011</v>
      </c>
      <c r="D67" s="2" t="s">
        <v>804</v>
      </c>
    </row>
    <row r="68" spans="1:22">
      <c r="A68" s="2" t="s">
        <v>35</v>
      </c>
      <c r="C68" s="2" t="s">
        <v>58</v>
      </c>
      <c r="D68" s="2" t="s">
        <v>1012</v>
      </c>
      <c r="E68" s="2" t="s">
        <v>1682</v>
      </c>
      <c r="F68" s="2" t="s">
        <v>1683</v>
      </c>
      <c r="G68" s="2" t="s">
        <v>1684</v>
      </c>
      <c r="H68" s="2" t="s">
        <v>120</v>
      </c>
      <c r="J68" s="2" t="s">
        <v>216</v>
      </c>
      <c r="K68" s="2" t="s">
        <v>217</v>
      </c>
      <c r="L68" s="2" t="s">
        <v>218</v>
      </c>
      <c r="M68" s="2" t="s">
        <v>219</v>
      </c>
      <c r="O68" s="2" t="s">
        <v>1013</v>
      </c>
      <c r="Q68" s="2" t="s">
        <v>1014</v>
      </c>
      <c r="R68" s="2" t="s">
        <v>346</v>
      </c>
      <c r="S68" s="2" t="s">
        <v>347</v>
      </c>
      <c r="T68" s="2" t="s">
        <v>348</v>
      </c>
      <c r="U68" s="2" t="s">
        <v>1015</v>
      </c>
      <c r="V68" s="2" t="s">
        <v>1016</v>
      </c>
    </row>
    <row r="69" spans="1:22">
      <c r="A69" s="2" t="s">
        <v>33</v>
      </c>
      <c r="C69" s="2" t="s">
        <v>59</v>
      </c>
    </row>
    <row r="70" spans="1:22">
      <c r="A70" s="2" t="s">
        <v>35</v>
      </c>
      <c r="C70" s="2" t="s">
        <v>60</v>
      </c>
      <c r="E70" s="2" t="s">
        <v>1017</v>
      </c>
      <c r="J70" s="2" t="s">
        <v>1018</v>
      </c>
      <c r="K70" s="2" t="s">
        <v>1019</v>
      </c>
      <c r="L70" s="2" t="s">
        <v>1020</v>
      </c>
      <c r="M70" s="2" t="s">
        <v>1021</v>
      </c>
      <c r="O70" s="2" t="s">
        <v>1022</v>
      </c>
      <c r="U70" s="2" t="s">
        <v>1023</v>
      </c>
    </row>
    <row r="71" spans="1:22">
      <c r="A71" s="2" t="s">
        <v>35</v>
      </c>
    </row>
    <row r="72" spans="1:22">
      <c r="A72" s="2" t="s">
        <v>33</v>
      </c>
      <c r="C72" s="2" t="s">
        <v>1024</v>
      </c>
      <c r="D72" s="2" t="s">
        <v>805</v>
      </c>
    </row>
    <row r="73" spans="1:22">
      <c r="A73" s="2" t="s">
        <v>35</v>
      </c>
      <c r="C73" s="2" t="s">
        <v>61</v>
      </c>
      <c r="D73" s="2" t="s">
        <v>1025</v>
      </c>
      <c r="E73" s="2" t="s">
        <v>1905</v>
      </c>
      <c r="F73" s="2" t="s">
        <v>1950</v>
      </c>
      <c r="G73" s="2" t="s">
        <v>1995</v>
      </c>
      <c r="H73" s="2" t="s">
        <v>121</v>
      </c>
      <c r="J73" s="2" t="s">
        <v>220</v>
      </c>
      <c r="K73" s="2" t="s">
        <v>221</v>
      </c>
      <c r="L73" s="2" t="s">
        <v>222</v>
      </c>
      <c r="M73" s="2" t="s">
        <v>223</v>
      </c>
      <c r="O73" s="2" t="s">
        <v>1026</v>
      </c>
      <c r="Q73" s="2" t="s">
        <v>1027</v>
      </c>
      <c r="R73" s="2" t="s">
        <v>349</v>
      </c>
      <c r="S73" s="2" t="s">
        <v>350</v>
      </c>
      <c r="T73" s="2" t="s">
        <v>351</v>
      </c>
      <c r="U73" s="2" t="s">
        <v>1028</v>
      </c>
      <c r="V73" s="2" t="s">
        <v>1029</v>
      </c>
    </row>
    <row r="74" spans="1:22">
      <c r="A74" s="2" t="s">
        <v>35</v>
      </c>
      <c r="C74" s="2" t="s">
        <v>62</v>
      </c>
      <c r="D74" s="2" t="s">
        <v>1685</v>
      </c>
      <c r="E74" s="2" t="s">
        <v>1906</v>
      </c>
      <c r="F74" s="2" t="s">
        <v>1951</v>
      </c>
      <c r="G74" s="2" t="s">
        <v>1996</v>
      </c>
      <c r="H74" s="2" t="s">
        <v>122</v>
      </c>
      <c r="J74" s="2" t="s">
        <v>224</v>
      </c>
      <c r="K74" s="2" t="s">
        <v>225</v>
      </c>
      <c r="L74" s="2" t="s">
        <v>226</v>
      </c>
      <c r="M74" s="2" t="s">
        <v>227</v>
      </c>
      <c r="O74" s="2" t="s">
        <v>1030</v>
      </c>
      <c r="Q74" s="2" t="s">
        <v>1031</v>
      </c>
      <c r="R74" s="2" t="s">
        <v>352</v>
      </c>
      <c r="S74" s="2" t="s">
        <v>353</v>
      </c>
      <c r="T74" s="2" t="s">
        <v>354</v>
      </c>
      <c r="U74" s="2" t="s">
        <v>1032</v>
      </c>
      <c r="V74" s="2" t="s">
        <v>1033</v>
      </c>
    </row>
    <row r="75" spans="1:22">
      <c r="A75" s="2" t="s">
        <v>35</v>
      </c>
      <c r="C75" s="2" t="s">
        <v>63</v>
      </c>
      <c r="D75" s="2" t="s">
        <v>1686</v>
      </c>
      <c r="E75" s="2" t="s">
        <v>1907</v>
      </c>
      <c r="F75" s="2" t="s">
        <v>1952</v>
      </c>
      <c r="G75" s="2" t="s">
        <v>1997</v>
      </c>
      <c r="H75" s="2" t="s">
        <v>123</v>
      </c>
      <c r="J75" s="2" t="s">
        <v>228</v>
      </c>
      <c r="K75" s="2" t="s">
        <v>229</v>
      </c>
      <c r="L75" s="2" t="s">
        <v>230</v>
      </c>
      <c r="M75" s="2" t="s">
        <v>231</v>
      </c>
      <c r="O75" s="2" t="s">
        <v>1034</v>
      </c>
      <c r="Q75" s="2" t="s">
        <v>1035</v>
      </c>
      <c r="R75" s="2" t="s">
        <v>355</v>
      </c>
      <c r="S75" s="2" t="s">
        <v>356</v>
      </c>
      <c r="T75" s="2" t="s">
        <v>357</v>
      </c>
      <c r="U75" s="2" t="s">
        <v>1036</v>
      </c>
      <c r="V75" s="2" t="s">
        <v>1037</v>
      </c>
    </row>
    <row r="76" spans="1:22">
      <c r="A76" s="2" t="s">
        <v>35</v>
      </c>
      <c r="C76" s="2" t="s">
        <v>64</v>
      </c>
      <c r="D76" s="2" t="s">
        <v>1687</v>
      </c>
      <c r="E76" s="2" t="s">
        <v>1908</v>
      </c>
      <c r="F76" s="2" t="s">
        <v>1953</v>
      </c>
      <c r="G76" s="2" t="s">
        <v>1998</v>
      </c>
      <c r="H76" s="2" t="s">
        <v>124</v>
      </c>
      <c r="J76" s="2" t="s">
        <v>232</v>
      </c>
      <c r="K76" s="2" t="s">
        <v>233</v>
      </c>
      <c r="L76" s="2" t="s">
        <v>234</v>
      </c>
      <c r="M76" s="2" t="s">
        <v>235</v>
      </c>
      <c r="O76" s="2" t="s">
        <v>1038</v>
      </c>
      <c r="Q76" s="2" t="s">
        <v>1039</v>
      </c>
      <c r="R76" s="2" t="s">
        <v>358</v>
      </c>
      <c r="S76" s="2" t="s">
        <v>359</v>
      </c>
      <c r="T76" s="2" t="s">
        <v>360</v>
      </c>
      <c r="U76" s="2" t="s">
        <v>1040</v>
      </c>
      <c r="V76" s="2" t="s">
        <v>1041</v>
      </c>
    </row>
    <row r="77" spans="1:22">
      <c r="A77" s="2" t="s">
        <v>35</v>
      </c>
      <c r="C77" s="2" t="s">
        <v>79</v>
      </c>
      <c r="D77" s="2" t="s">
        <v>1688</v>
      </c>
      <c r="E77" s="2" t="s">
        <v>1909</v>
      </c>
      <c r="F77" s="2" t="s">
        <v>1954</v>
      </c>
      <c r="G77" s="2" t="s">
        <v>1999</v>
      </c>
      <c r="H77" s="2" t="s">
        <v>125</v>
      </c>
      <c r="J77" s="2" t="s">
        <v>236</v>
      </c>
      <c r="K77" s="2" t="s">
        <v>237</v>
      </c>
      <c r="L77" s="2" t="s">
        <v>238</v>
      </c>
      <c r="M77" s="2" t="s">
        <v>239</v>
      </c>
      <c r="O77" s="2" t="s">
        <v>1042</v>
      </c>
      <c r="Q77" s="2" t="s">
        <v>1043</v>
      </c>
      <c r="R77" s="2" t="s">
        <v>361</v>
      </c>
      <c r="S77" s="2" t="s">
        <v>362</v>
      </c>
      <c r="T77" s="2" t="s">
        <v>363</v>
      </c>
      <c r="U77" s="2" t="s">
        <v>1044</v>
      </c>
      <c r="V77" s="2" t="s">
        <v>1045</v>
      </c>
    </row>
    <row r="78" spans="1:22">
      <c r="A78" s="2" t="s">
        <v>35</v>
      </c>
      <c r="C78" s="2" t="s">
        <v>65</v>
      </c>
      <c r="D78" s="2" t="s">
        <v>1689</v>
      </c>
      <c r="E78" s="2" t="s">
        <v>1910</v>
      </c>
      <c r="F78" s="2" t="s">
        <v>1955</v>
      </c>
      <c r="G78" s="2" t="s">
        <v>2000</v>
      </c>
      <c r="H78" s="2" t="s">
        <v>126</v>
      </c>
      <c r="J78" s="2" t="s">
        <v>240</v>
      </c>
      <c r="K78" s="2" t="s">
        <v>241</v>
      </c>
      <c r="L78" s="2" t="s">
        <v>242</v>
      </c>
      <c r="M78" s="2" t="s">
        <v>243</v>
      </c>
      <c r="O78" s="2" t="s">
        <v>1046</v>
      </c>
      <c r="Q78" s="2" t="s">
        <v>1047</v>
      </c>
      <c r="R78" s="2" t="s">
        <v>364</v>
      </c>
      <c r="S78" s="2" t="s">
        <v>365</v>
      </c>
      <c r="T78" s="2" t="s">
        <v>366</v>
      </c>
      <c r="U78" s="2" t="s">
        <v>1048</v>
      </c>
      <c r="V78" s="2" t="s">
        <v>1049</v>
      </c>
    </row>
    <row r="79" spans="1:22">
      <c r="A79" s="2" t="s">
        <v>35</v>
      </c>
      <c r="C79" s="2" t="s">
        <v>448</v>
      </c>
      <c r="D79" s="2" t="s">
        <v>1690</v>
      </c>
      <c r="E79" s="2" t="s">
        <v>1911</v>
      </c>
      <c r="F79" s="2" t="s">
        <v>1956</v>
      </c>
      <c r="G79" s="2" t="s">
        <v>2001</v>
      </c>
      <c r="H79" s="2" t="s">
        <v>449</v>
      </c>
      <c r="J79" s="2" t="s">
        <v>450</v>
      </c>
      <c r="K79" s="2" t="s">
        <v>451</v>
      </c>
      <c r="L79" s="2" t="s">
        <v>452</v>
      </c>
      <c r="M79" s="2" t="s">
        <v>453</v>
      </c>
      <c r="O79" s="2" t="s">
        <v>1050</v>
      </c>
      <c r="Q79" s="2" t="s">
        <v>1051</v>
      </c>
      <c r="R79" s="2" t="s">
        <v>454</v>
      </c>
      <c r="S79" s="2" t="s">
        <v>455</v>
      </c>
      <c r="T79" s="2" t="s">
        <v>456</v>
      </c>
      <c r="U79" s="2" t="s">
        <v>1052</v>
      </c>
      <c r="V79" s="2" t="s">
        <v>1053</v>
      </c>
    </row>
    <row r="80" spans="1:22">
      <c r="A80" s="2" t="s">
        <v>35</v>
      </c>
      <c r="C80" s="2" t="s">
        <v>80</v>
      </c>
      <c r="D80" s="2" t="s">
        <v>1691</v>
      </c>
      <c r="E80" s="2" t="s">
        <v>1912</v>
      </c>
      <c r="F80" s="2" t="s">
        <v>1957</v>
      </c>
      <c r="G80" s="2" t="s">
        <v>2002</v>
      </c>
      <c r="H80" s="2" t="s">
        <v>542</v>
      </c>
      <c r="J80" s="2" t="s">
        <v>543</v>
      </c>
      <c r="K80" s="2" t="s">
        <v>544</v>
      </c>
      <c r="L80" s="2" t="s">
        <v>545</v>
      </c>
      <c r="M80" s="2" t="s">
        <v>546</v>
      </c>
      <c r="O80" s="2" t="s">
        <v>1054</v>
      </c>
      <c r="Q80" s="2" t="s">
        <v>1055</v>
      </c>
      <c r="R80" s="2" t="s">
        <v>1056</v>
      </c>
      <c r="S80" s="2" t="s">
        <v>1057</v>
      </c>
      <c r="T80" s="2" t="s">
        <v>1058</v>
      </c>
      <c r="U80" s="2" t="s">
        <v>1059</v>
      </c>
      <c r="V80" s="2" t="s">
        <v>1060</v>
      </c>
    </row>
    <row r="81" spans="1:22">
      <c r="A81" s="2" t="s">
        <v>35</v>
      </c>
      <c r="C81" s="2" t="s">
        <v>457</v>
      </c>
      <c r="D81" s="2" t="s">
        <v>1692</v>
      </c>
      <c r="E81" s="2" t="s">
        <v>1913</v>
      </c>
      <c r="F81" s="2" t="s">
        <v>1958</v>
      </c>
      <c r="G81" s="2" t="s">
        <v>2003</v>
      </c>
      <c r="H81" s="2" t="s">
        <v>547</v>
      </c>
      <c r="J81" s="2" t="s">
        <v>548</v>
      </c>
      <c r="K81" s="2" t="s">
        <v>549</v>
      </c>
      <c r="L81" s="2" t="s">
        <v>550</v>
      </c>
      <c r="M81" s="2" t="s">
        <v>551</v>
      </c>
      <c r="O81" s="2" t="s">
        <v>1061</v>
      </c>
      <c r="Q81" s="2" t="s">
        <v>1062</v>
      </c>
      <c r="R81" s="2" t="s">
        <v>1063</v>
      </c>
      <c r="S81" s="2" t="s">
        <v>1064</v>
      </c>
      <c r="T81" s="2" t="s">
        <v>1065</v>
      </c>
      <c r="U81" s="2" t="s">
        <v>1066</v>
      </c>
      <c r="V81" s="2" t="s">
        <v>1067</v>
      </c>
    </row>
    <row r="82" spans="1:22">
      <c r="A82" s="2" t="s">
        <v>35</v>
      </c>
      <c r="C82" s="2" t="s">
        <v>552</v>
      </c>
      <c r="D82" s="2" t="s">
        <v>1693</v>
      </c>
      <c r="E82" s="2" t="s">
        <v>1914</v>
      </c>
      <c r="F82" s="2" t="s">
        <v>1959</v>
      </c>
      <c r="G82" s="2" t="s">
        <v>2004</v>
      </c>
      <c r="H82" s="2" t="s">
        <v>553</v>
      </c>
      <c r="J82" s="2" t="s">
        <v>554</v>
      </c>
      <c r="K82" s="2" t="s">
        <v>555</v>
      </c>
      <c r="L82" s="2" t="s">
        <v>556</v>
      </c>
      <c r="M82" s="2" t="s">
        <v>557</v>
      </c>
      <c r="O82" s="2" t="s">
        <v>1068</v>
      </c>
      <c r="Q82" s="2" t="s">
        <v>1069</v>
      </c>
      <c r="R82" s="2" t="s">
        <v>1070</v>
      </c>
      <c r="S82" s="2" t="s">
        <v>1071</v>
      </c>
      <c r="T82" s="2" t="s">
        <v>1072</v>
      </c>
      <c r="U82" s="2" t="s">
        <v>1073</v>
      </c>
      <c r="V82" s="2" t="s">
        <v>1074</v>
      </c>
    </row>
    <row r="83" spans="1:22">
      <c r="A83" s="2" t="s">
        <v>35</v>
      </c>
      <c r="C83" s="2" t="s">
        <v>66</v>
      </c>
      <c r="D83" s="2" t="s">
        <v>1694</v>
      </c>
      <c r="E83" s="2" t="s">
        <v>1915</v>
      </c>
      <c r="F83" s="2" t="s">
        <v>1960</v>
      </c>
      <c r="G83" s="2" t="s">
        <v>2005</v>
      </c>
      <c r="H83" s="2" t="s">
        <v>127</v>
      </c>
      <c r="J83" s="2" t="s">
        <v>244</v>
      </c>
      <c r="K83" s="2" t="s">
        <v>245</v>
      </c>
      <c r="L83" s="2" t="s">
        <v>246</v>
      </c>
      <c r="M83" s="2" t="s">
        <v>247</v>
      </c>
      <c r="O83" s="2" t="s">
        <v>1075</v>
      </c>
      <c r="Q83" s="2" t="s">
        <v>1076</v>
      </c>
      <c r="R83" s="2" t="s">
        <v>367</v>
      </c>
      <c r="S83" s="2" t="s">
        <v>368</v>
      </c>
      <c r="T83" s="2" t="s">
        <v>369</v>
      </c>
      <c r="U83" s="2" t="s">
        <v>1077</v>
      </c>
      <c r="V83" s="2" t="s">
        <v>1078</v>
      </c>
    </row>
    <row r="84" spans="1:22">
      <c r="A84" s="2" t="s">
        <v>35</v>
      </c>
      <c r="C84" s="2" t="s">
        <v>99</v>
      </c>
      <c r="D84" s="2" t="s">
        <v>1695</v>
      </c>
      <c r="E84" s="2" t="s">
        <v>1916</v>
      </c>
      <c r="F84" s="2" t="s">
        <v>1961</v>
      </c>
      <c r="G84" s="2" t="s">
        <v>2006</v>
      </c>
      <c r="H84" s="2" t="s">
        <v>458</v>
      </c>
      <c r="J84" s="2" t="s">
        <v>459</v>
      </c>
      <c r="K84" s="2" t="s">
        <v>460</v>
      </c>
      <c r="L84" s="2" t="s">
        <v>461</v>
      </c>
      <c r="M84" s="2" t="s">
        <v>462</v>
      </c>
      <c r="O84" s="2" t="s">
        <v>1079</v>
      </c>
      <c r="Q84" s="2" t="s">
        <v>1080</v>
      </c>
      <c r="R84" s="2" t="s">
        <v>463</v>
      </c>
      <c r="S84" s="2" t="s">
        <v>464</v>
      </c>
      <c r="T84" s="2" t="s">
        <v>465</v>
      </c>
      <c r="U84" s="2" t="s">
        <v>1081</v>
      </c>
      <c r="V84" s="2" t="s">
        <v>1082</v>
      </c>
    </row>
    <row r="85" spans="1:22">
      <c r="A85" s="2" t="s">
        <v>35</v>
      </c>
      <c r="C85" s="2" t="s">
        <v>100</v>
      </c>
      <c r="D85" s="2" t="s">
        <v>1696</v>
      </c>
      <c r="E85" s="2" t="s">
        <v>1917</v>
      </c>
      <c r="F85" s="2" t="s">
        <v>1962</v>
      </c>
      <c r="G85" s="2" t="s">
        <v>2007</v>
      </c>
      <c r="H85" s="2" t="s">
        <v>1083</v>
      </c>
      <c r="J85" s="2" t="s">
        <v>1084</v>
      </c>
      <c r="K85" s="2" t="s">
        <v>1085</v>
      </c>
      <c r="L85" s="2" t="s">
        <v>1086</v>
      </c>
      <c r="M85" s="2" t="s">
        <v>1087</v>
      </c>
      <c r="O85" s="2" t="s">
        <v>1088</v>
      </c>
      <c r="Q85" s="2" t="s">
        <v>1089</v>
      </c>
      <c r="R85" s="2" t="s">
        <v>1090</v>
      </c>
      <c r="S85" s="2" t="s">
        <v>1091</v>
      </c>
      <c r="T85" s="2" t="s">
        <v>1092</v>
      </c>
      <c r="U85" s="2" t="s">
        <v>1093</v>
      </c>
      <c r="V85" s="2" t="s">
        <v>1094</v>
      </c>
    </row>
    <row r="86" spans="1:22">
      <c r="A86" s="2" t="s">
        <v>35</v>
      </c>
      <c r="C86" s="2" t="s">
        <v>466</v>
      </c>
      <c r="D86" s="2" t="s">
        <v>1697</v>
      </c>
      <c r="E86" s="2" t="s">
        <v>1918</v>
      </c>
      <c r="F86" s="2" t="s">
        <v>1963</v>
      </c>
      <c r="G86" s="2" t="s">
        <v>2008</v>
      </c>
      <c r="H86" s="2" t="s">
        <v>1095</v>
      </c>
      <c r="J86" s="2" t="s">
        <v>1096</v>
      </c>
      <c r="K86" s="2" t="s">
        <v>1097</v>
      </c>
      <c r="L86" s="2" t="s">
        <v>1098</v>
      </c>
      <c r="M86" s="2" t="s">
        <v>1099</v>
      </c>
      <c r="O86" s="2" t="s">
        <v>1100</v>
      </c>
      <c r="Q86" s="2" t="s">
        <v>1101</v>
      </c>
      <c r="R86" s="2" t="s">
        <v>1102</v>
      </c>
      <c r="S86" s="2" t="s">
        <v>1103</v>
      </c>
      <c r="T86" s="2" t="s">
        <v>1104</v>
      </c>
      <c r="U86" s="2" t="s">
        <v>1105</v>
      </c>
      <c r="V86" s="2" t="s">
        <v>1106</v>
      </c>
    </row>
    <row r="87" spans="1:22">
      <c r="A87" s="2" t="s">
        <v>35</v>
      </c>
      <c r="C87" s="2" t="s">
        <v>1107</v>
      </c>
      <c r="D87" s="2" t="s">
        <v>1698</v>
      </c>
      <c r="E87" s="2" t="s">
        <v>1919</v>
      </c>
      <c r="F87" s="2" t="s">
        <v>1964</v>
      </c>
      <c r="G87" s="2" t="s">
        <v>2009</v>
      </c>
      <c r="H87" s="2" t="s">
        <v>1108</v>
      </c>
      <c r="J87" s="2" t="s">
        <v>1109</v>
      </c>
      <c r="K87" s="2" t="s">
        <v>1110</v>
      </c>
      <c r="L87" s="2" t="s">
        <v>1111</v>
      </c>
      <c r="M87" s="2" t="s">
        <v>1112</v>
      </c>
      <c r="O87" s="2" t="s">
        <v>1113</v>
      </c>
      <c r="Q87" s="2" t="s">
        <v>1114</v>
      </c>
      <c r="R87" s="2" t="s">
        <v>1115</v>
      </c>
      <c r="S87" s="2" t="s">
        <v>1116</v>
      </c>
      <c r="T87" s="2" t="s">
        <v>1117</v>
      </c>
      <c r="U87" s="2" t="s">
        <v>1118</v>
      </c>
      <c r="V87" s="2" t="s">
        <v>1119</v>
      </c>
    </row>
    <row r="88" spans="1:22">
      <c r="A88" s="2" t="s">
        <v>35</v>
      </c>
      <c r="C88" s="2" t="s">
        <v>82</v>
      </c>
      <c r="D88" s="2" t="s">
        <v>1699</v>
      </c>
      <c r="E88" s="2" t="s">
        <v>1920</v>
      </c>
      <c r="F88" s="2" t="s">
        <v>1965</v>
      </c>
      <c r="G88" s="2" t="s">
        <v>2010</v>
      </c>
      <c r="H88" s="2" t="s">
        <v>128</v>
      </c>
      <c r="J88" s="2" t="s">
        <v>248</v>
      </c>
      <c r="K88" s="2" t="s">
        <v>249</v>
      </c>
      <c r="L88" s="2" t="s">
        <v>250</v>
      </c>
      <c r="M88" s="2" t="s">
        <v>251</v>
      </c>
      <c r="O88" s="2" t="s">
        <v>1120</v>
      </c>
      <c r="Q88" s="2" t="s">
        <v>1121</v>
      </c>
      <c r="R88" s="2" t="s">
        <v>370</v>
      </c>
      <c r="S88" s="2" t="s">
        <v>371</v>
      </c>
      <c r="T88" s="2" t="s">
        <v>372</v>
      </c>
      <c r="U88" s="2" t="s">
        <v>1122</v>
      </c>
      <c r="V88" s="2" t="s">
        <v>1123</v>
      </c>
    </row>
    <row r="89" spans="1:22">
      <c r="A89" s="2" t="s">
        <v>35</v>
      </c>
      <c r="C89" s="2" t="s">
        <v>67</v>
      </c>
      <c r="D89" s="2" t="s">
        <v>1700</v>
      </c>
      <c r="E89" s="2" t="s">
        <v>1921</v>
      </c>
      <c r="F89" s="2" t="s">
        <v>1966</v>
      </c>
      <c r="G89" s="2" t="s">
        <v>2011</v>
      </c>
      <c r="H89" s="2" t="s">
        <v>129</v>
      </c>
      <c r="J89" s="2" t="s">
        <v>252</v>
      </c>
      <c r="K89" s="2" t="s">
        <v>253</v>
      </c>
      <c r="L89" s="2" t="s">
        <v>254</v>
      </c>
      <c r="M89" s="2" t="s">
        <v>255</v>
      </c>
      <c r="O89" s="2" t="s">
        <v>1124</v>
      </c>
      <c r="Q89" s="2" t="s">
        <v>1125</v>
      </c>
      <c r="R89" s="2" t="s">
        <v>373</v>
      </c>
      <c r="S89" s="2" t="s">
        <v>374</v>
      </c>
      <c r="T89" s="2" t="s">
        <v>375</v>
      </c>
      <c r="U89" s="2" t="s">
        <v>1126</v>
      </c>
      <c r="V89" s="2" t="s">
        <v>1127</v>
      </c>
    </row>
    <row r="90" spans="1:22">
      <c r="A90" s="2" t="s">
        <v>35</v>
      </c>
      <c r="C90" s="2" t="s">
        <v>467</v>
      </c>
      <c r="D90" s="2" t="s">
        <v>1701</v>
      </c>
      <c r="E90" s="2" t="s">
        <v>1922</v>
      </c>
      <c r="F90" s="2" t="s">
        <v>1967</v>
      </c>
      <c r="G90" s="2" t="s">
        <v>2012</v>
      </c>
      <c r="H90" s="2" t="s">
        <v>468</v>
      </c>
      <c r="J90" s="2" t="s">
        <v>469</v>
      </c>
      <c r="K90" s="2" t="s">
        <v>470</v>
      </c>
      <c r="L90" s="2" t="s">
        <v>471</v>
      </c>
      <c r="M90" s="2" t="s">
        <v>472</v>
      </c>
      <c r="O90" s="2" t="s">
        <v>1128</v>
      </c>
      <c r="Q90" s="2" t="s">
        <v>1129</v>
      </c>
      <c r="R90" s="2" t="s">
        <v>473</v>
      </c>
      <c r="S90" s="2" t="s">
        <v>474</v>
      </c>
      <c r="T90" s="2" t="s">
        <v>475</v>
      </c>
      <c r="U90" s="2" t="s">
        <v>1130</v>
      </c>
      <c r="V90" s="2" t="s">
        <v>1131</v>
      </c>
    </row>
    <row r="91" spans="1:22">
      <c r="A91" s="2" t="s">
        <v>35</v>
      </c>
      <c r="C91" s="2" t="s">
        <v>84</v>
      </c>
      <c r="D91" s="2" t="s">
        <v>1702</v>
      </c>
      <c r="E91" s="2" t="s">
        <v>1923</v>
      </c>
      <c r="F91" s="2" t="s">
        <v>1968</v>
      </c>
      <c r="G91" s="2" t="s">
        <v>2013</v>
      </c>
      <c r="H91" s="2" t="s">
        <v>558</v>
      </c>
      <c r="J91" s="2" t="s">
        <v>559</v>
      </c>
      <c r="K91" s="2" t="s">
        <v>560</v>
      </c>
      <c r="L91" s="2" t="s">
        <v>561</v>
      </c>
      <c r="M91" s="2" t="s">
        <v>562</v>
      </c>
      <c r="O91" s="2" t="s">
        <v>1132</v>
      </c>
      <c r="Q91" s="2" t="s">
        <v>1133</v>
      </c>
      <c r="R91" s="2" t="s">
        <v>1134</v>
      </c>
      <c r="S91" s="2" t="s">
        <v>1135</v>
      </c>
      <c r="T91" s="2" t="s">
        <v>1136</v>
      </c>
      <c r="U91" s="2" t="s">
        <v>1137</v>
      </c>
      <c r="V91" s="2" t="s">
        <v>1138</v>
      </c>
    </row>
    <row r="92" spans="1:22">
      <c r="A92" s="2" t="s">
        <v>35</v>
      </c>
      <c r="C92" s="2" t="s">
        <v>476</v>
      </c>
      <c r="D92" s="2" t="s">
        <v>1703</v>
      </c>
      <c r="E92" s="2" t="s">
        <v>1924</v>
      </c>
      <c r="F92" s="2" t="s">
        <v>1969</v>
      </c>
      <c r="G92" s="2" t="s">
        <v>2014</v>
      </c>
      <c r="H92" s="2" t="s">
        <v>563</v>
      </c>
      <c r="J92" s="2" t="s">
        <v>564</v>
      </c>
      <c r="K92" s="2" t="s">
        <v>565</v>
      </c>
      <c r="L92" s="2" t="s">
        <v>566</v>
      </c>
      <c r="M92" s="2" t="s">
        <v>567</v>
      </c>
      <c r="O92" s="2" t="s">
        <v>1139</v>
      </c>
      <c r="Q92" s="2" t="s">
        <v>1140</v>
      </c>
      <c r="R92" s="2" t="s">
        <v>1141</v>
      </c>
      <c r="S92" s="2" t="s">
        <v>1142</v>
      </c>
      <c r="T92" s="2" t="s">
        <v>1143</v>
      </c>
      <c r="U92" s="2" t="s">
        <v>1144</v>
      </c>
      <c r="V92" s="2" t="s">
        <v>1145</v>
      </c>
    </row>
    <row r="93" spans="1:22">
      <c r="A93" s="2" t="s">
        <v>35</v>
      </c>
      <c r="C93" s="2" t="s">
        <v>1146</v>
      </c>
      <c r="D93" s="2" t="s">
        <v>1704</v>
      </c>
      <c r="E93" s="2" t="s">
        <v>1925</v>
      </c>
      <c r="F93" s="2" t="s">
        <v>1970</v>
      </c>
      <c r="G93" s="2" t="s">
        <v>2015</v>
      </c>
      <c r="H93" s="2" t="s">
        <v>1147</v>
      </c>
      <c r="J93" s="2" t="s">
        <v>1148</v>
      </c>
      <c r="K93" s="2" t="s">
        <v>1149</v>
      </c>
      <c r="L93" s="2" t="s">
        <v>1150</v>
      </c>
      <c r="M93" s="2" t="s">
        <v>1151</v>
      </c>
      <c r="O93" s="2" t="s">
        <v>1152</v>
      </c>
      <c r="Q93" s="2" t="s">
        <v>1153</v>
      </c>
      <c r="R93" s="2" t="s">
        <v>1154</v>
      </c>
      <c r="S93" s="2" t="s">
        <v>1155</v>
      </c>
      <c r="T93" s="2" t="s">
        <v>1156</v>
      </c>
      <c r="U93" s="2" t="s">
        <v>1157</v>
      </c>
      <c r="V93" s="2" t="s">
        <v>1158</v>
      </c>
    </row>
    <row r="94" spans="1:22">
      <c r="A94" s="2" t="s">
        <v>35</v>
      </c>
      <c r="C94" s="2" t="s">
        <v>68</v>
      </c>
      <c r="D94" s="2" t="s">
        <v>1705</v>
      </c>
      <c r="E94" s="2" t="s">
        <v>1926</v>
      </c>
      <c r="F94" s="2" t="s">
        <v>1971</v>
      </c>
      <c r="G94" s="2" t="s">
        <v>2016</v>
      </c>
      <c r="H94" s="2" t="s">
        <v>130</v>
      </c>
      <c r="J94" s="2" t="s">
        <v>256</v>
      </c>
      <c r="K94" s="2" t="s">
        <v>257</v>
      </c>
      <c r="L94" s="2" t="s">
        <v>258</v>
      </c>
      <c r="M94" s="2" t="s">
        <v>259</v>
      </c>
      <c r="O94" s="2" t="s">
        <v>1159</v>
      </c>
      <c r="Q94" s="2" t="s">
        <v>1160</v>
      </c>
      <c r="R94" s="2" t="s">
        <v>376</v>
      </c>
      <c r="S94" s="2" t="s">
        <v>377</v>
      </c>
      <c r="T94" s="2" t="s">
        <v>378</v>
      </c>
      <c r="U94" s="2" t="s">
        <v>1161</v>
      </c>
      <c r="V94" s="2" t="s">
        <v>1162</v>
      </c>
    </row>
    <row r="95" spans="1:22">
      <c r="A95" s="2" t="s">
        <v>35</v>
      </c>
      <c r="C95" s="2" t="s">
        <v>69</v>
      </c>
      <c r="D95" s="2" t="s">
        <v>1706</v>
      </c>
      <c r="E95" s="2" t="s">
        <v>1927</v>
      </c>
      <c r="F95" s="2" t="s">
        <v>1972</v>
      </c>
      <c r="G95" s="2" t="s">
        <v>2017</v>
      </c>
      <c r="H95" s="2" t="s">
        <v>131</v>
      </c>
      <c r="J95" s="2" t="s">
        <v>260</v>
      </c>
      <c r="K95" s="2" t="s">
        <v>261</v>
      </c>
      <c r="L95" s="2" t="s">
        <v>262</v>
      </c>
      <c r="M95" s="2" t="s">
        <v>263</v>
      </c>
      <c r="O95" s="2" t="s">
        <v>1163</v>
      </c>
      <c r="Q95" s="2" t="s">
        <v>1164</v>
      </c>
      <c r="R95" s="2" t="s">
        <v>379</v>
      </c>
      <c r="S95" s="2" t="s">
        <v>380</v>
      </c>
      <c r="T95" s="2" t="s">
        <v>381</v>
      </c>
      <c r="U95" s="2" t="s">
        <v>1165</v>
      </c>
      <c r="V95" s="2" t="s">
        <v>1166</v>
      </c>
    </row>
    <row r="96" spans="1:22">
      <c r="A96" s="2" t="s">
        <v>35</v>
      </c>
      <c r="C96" s="2" t="s">
        <v>70</v>
      </c>
      <c r="D96" s="2" t="s">
        <v>1707</v>
      </c>
      <c r="E96" s="2" t="s">
        <v>1928</v>
      </c>
      <c r="F96" s="2" t="s">
        <v>1973</v>
      </c>
      <c r="G96" s="2" t="s">
        <v>2018</v>
      </c>
      <c r="H96" s="2" t="s">
        <v>132</v>
      </c>
      <c r="J96" s="2" t="s">
        <v>264</v>
      </c>
      <c r="K96" s="2" t="s">
        <v>265</v>
      </c>
      <c r="L96" s="2" t="s">
        <v>266</v>
      </c>
      <c r="M96" s="2" t="s">
        <v>267</v>
      </c>
      <c r="O96" s="2" t="s">
        <v>1167</v>
      </c>
      <c r="Q96" s="2" t="s">
        <v>1168</v>
      </c>
      <c r="R96" s="2" t="s">
        <v>382</v>
      </c>
      <c r="S96" s="2" t="s">
        <v>383</v>
      </c>
      <c r="T96" s="2" t="s">
        <v>384</v>
      </c>
      <c r="U96" s="2" t="s">
        <v>1169</v>
      </c>
      <c r="V96" s="2" t="s">
        <v>1170</v>
      </c>
    </row>
    <row r="97" spans="1:22">
      <c r="A97" s="2" t="s">
        <v>35</v>
      </c>
      <c r="C97" s="2" t="s">
        <v>71</v>
      </c>
      <c r="D97" s="2" t="s">
        <v>1708</v>
      </c>
      <c r="E97" s="2" t="s">
        <v>1929</v>
      </c>
      <c r="F97" s="2" t="s">
        <v>1974</v>
      </c>
      <c r="G97" s="2" t="s">
        <v>2019</v>
      </c>
      <c r="H97" s="2" t="s">
        <v>133</v>
      </c>
      <c r="J97" s="2" t="s">
        <v>268</v>
      </c>
      <c r="K97" s="2" t="s">
        <v>269</v>
      </c>
      <c r="L97" s="2" t="s">
        <v>270</v>
      </c>
      <c r="M97" s="2" t="s">
        <v>271</v>
      </c>
      <c r="O97" s="2" t="s">
        <v>1171</v>
      </c>
      <c r="Q97" s="2" t="s">
        <v>1172</v>
      </c>
      <c r="R97" s="2" t="s">
        <v>385</v>
      </c>
      <c r="S97" s="2" t="s">
        <v>386</v>
      </c>
      <c r="T97" s="2" t="s">
        <v>387</v>
      </c>
      <c r="U97" s="2" t="s">
        <v>1173</v>
      </c>
      <c r="V97" s="2" t="s">
        <v>1174</v>
      </c>
    </row>
    <row r="98" spans="1:22">
      <c r="A98" s="2" t="s">
        <v>35</v>
      </c>
      <c r="C98" s="2" t="s">
        <v>72</v>
      </c>
      <c r="D98" s="2" t="s">
        <v>1709</v>
      </c>
      <c r="E98" s="2" t="s">
        <v>1930</v>
      </c>
      <c r="F98" s="2" t="s">
        <v>1975</v>
      </c>
      <c r="G98" s="2" t="s">
        <v>2020</v>
      </c>
      <c r="H98" s="2" t="s">
        <v>134</v>
      </c>
      <c r="J98" s="2" t="s">
        <v>272</v>
      </c>
      <c r="K98" s="2" t="s">
        <v>273</v>
      </c>
      <c r="L98" s="2" t="s">
        <v>274</v>
      </c>
      <c r="M98" s="2" t="s">
        <v>275</v>
      </c>
      <c r="O98" s="2" t="s">
        <v>1175</v>
      </c>
      <c r="Q98" s="2" t="s">
        <v>1176</v>
      </c>
      <c r="R98" s="2" t="s">
        <v>388</v>
      </c>
      <c r="S98" s="2" t="s">
        <v>389</v>
      </c>
      <c r="T98" s="2" t="s">
        <v>390</v>
      </c>
      <c r="U98" s="2" t="s">
        <v>1177</v>
      </c>
      <c r="V98" s="2" t="s">
        <v>1178</v>
      </c>
    </row>
    <row r="99" spans="1:22">
      <c r="A99" s="2" t="s">
        <v>35</v>
      </c>
      <c r="C99" s="2" t="s">
        <v>86</v>
      </c>
      <c r="D99" s="2" t="s">
        <v>1710</v>
      </c>
      <c r="E99" s="2" t="s">
        <v>1931</v>
      </c>
      <c r="F99" s="2" t="s">
        <v>1976</v>
      </c>
      <c r="G99" s="2" t="s">
        <v>2021</v>
      </c>
      <c r="H99" s="2" t="s">
        <v>135</v>
      </c>
      <c r="J99" s="2" t="s">
        <v>276</v>
      </c>
      <c r="K99" s="2" t="s">
        <v>277</v>
      </c>
      <c r="L99" s="2" t="s">
        <v>278</v>
      </c>
      <c r="M99" s="2" t="s">
        <v>279</v>
      </c>
      <c r="O99" s="2" t="s">
        <v>1179</v>
      </c>
      <c r="Q99" s="2" t="s">
        <v>1180</v>
      </c>
      <c r="R99" s="2" t="s">
        <v>391</v>
      </c>
      <c r="S99" s="2" t="s">
        <v>392</v>
      </c>
      <c r="T99" s="2" t="s">
        <v>393</v>
      </c>
      <c r="U99" s="2" t="s">
        <v>1181</v>
      </c>
      <c r="V99" s="2" t="s">
        <v>1182</v>
      </c>
    </row>
    <row r="100" spans="1:22">
      <c r="A100" s="2" t="s">
        <v>35</v>
      </c>
      <c r="C100" s="2" t="s">
        <v>73</v>
      </c>
      <c r="D100" s="2" t="s">
        <v>1711</v>
      </c>
      <c r="E100" s="2" t="s">
        <v>1932</v>
      </c>
      <c r="F100" s="2" t="s">
        <v>1977</v>
      </c>
      <c r="G100" s="2" t="s">
        <v>2022</v>
      </c>
      <c r="H100" s="2" t="s">
        <v>136</v>
      </c>
      <c r="J100" s="2" t="s">
        <v>280</v>
      </c>
      <c r="K100" s="2" t="s">
        <v>281</v>
      </c>
      <c r="L100" s="2" t="s">
        <v>282</v>
      </c>
      <c r="M100" s="2" t="s">
        <v>283</v>
      </c>
      <c r="O100" s="2" t="s">
        <v>1183</v>
      </c>
      <c r="Q100" s="2" t="s">
        <v>1184</v>
      </c>
      <c r="R100" s="2" t="s">
        <v>394</v>
      </c>
      <c r="S100" s="2" t="s">
        <v>395</v>
      </c>
      <c r="T100" s="2" t="s">
        <v>396</v>
      </c>
      <c r="U100" s="2" t="s">
        <v>1185</v>
      </c>
      <c r="V100" s="2" t="s">
        <v>1186</v>
      </c>
    </row>
    <row r="101" spans="1:22">
      <c r="A101" s="2" t="s">
        <v>35</v>
      </c>
      <c r="C101" s="2" t="s">
        <v>477</v>
      </c>
      <c r="D101" s="2" t="s">
        <v>1712</v>
      </c>
      <c r="E101" s="2" t="s">
        <v>1933</v>
      </c>
      <c r="F101" s="2" t="s">
        <v>1978</v>
      </c>
      <c r="G101" s="2" t="s">
        <v>2023</v>
      </c>
      <c r="H101" s="2" t="s">
        <v>478</v>
      </c>
      <c r="J101" s="2" t="s">
        <v>479</v>
      </c>
      <c r="K101" s="2" t="s">
        <v>480</v>
      </c>
      <c r="L101" s="2" t="s">
        <v>481</v>
      </c>
      <c r="M101" s="2" t="s">
        <v>482</v>
      </c>
      <c r="O101" s="2" t="s">
        <v>1187</v>
      </c>
      <c r="Q101" s="2" t="s">
        <v>1188</v>
      </c>
      <c r="R101" s="2" t="s">
        <v>483</v>
      </c>
      <c r="S101" s="2" t="s">
        <v>484</v>
      </c>
      <c r="T101" s="2" t="s">
        <v>485</v>
      </c>
      <c r="U101" s="2" t="s">
        <v>1189</v>
      </c>
      <c r="V101" s="2" t="s">
        <v>1190</v>
      </c>
    </row>
    <row r="102" spans="1:22">
      <c r="A102" s="2" t="s">
        <v>35</v>
      </c>
      <c r="C102" s="2" t="s">
        <v>87</v>
      </c>
      <c r="D102" s="2" t="s">
        <v>1713</v>
      </c>
      <c r="E102" s="2" t="s">
        <v>1934</v>
      </c>
      <c r="F102" s="2" t="s">
        <v>1979</v>
      </c>
      <c r="G102" s="2" t="s">
        <v>2024</v>
      </c>
      <c r="H102" s="2" t="s">
        <v>568</v>
      </c>
      <c r="J102" s="2" t="s">
        <v>569</v>
      </c>
      <c r="K102" s="2" t="s">
        <v>570</v>
      </c>
      <c r="L102" s="2" t="s">
        <v>571</v>
      </c>
      <c r="M102" s="2" t="s">
        <v>572</v>
      </c>
      <c r="O102" s="2" t="s">
        <v>1191</v>
      </c>
      <c r="Q102" s="2" t="s">
        <v>1192</v>
      </c>
      <c r="R102" s="2" t="s">
        <v>1193</v>
      </c>
      <c r="S102" s="2" t="s">
        <v>1194</v>
      </c>
      <c r="T102" s="2" t="s">
        <v>1195</v>
      </c>
      <c r="U102" s="2" t="s">
        <v>1196</v>
      </c>
      <c r="V102" s="2" t="s">
        <v>1197</v>
      </c>
    </row>
    <row r="103" spans="1:22">
      <c r="A103" s="2" t="s">
        <v>35</v>
      </c>
      <c r="C103" s="2" t="s">
        <v>486</v>
      </c>
      <c r="D103" s="2" t="s">
        <v>1714</v>
      </c>
      <c r="E103" s="2" t="s">
        <v>1935</v>
      </c>
      <c r="F103" s="2" t="s">
        <v>1980</v>
      </c>
      <c r="G103" s="2" t="s">
        <v>2025</v>
      </c>
      <c r="H103" s="2" t="s">
        <v>573</v>
      </c>
      <c r="J103" s="2" t="s">
        <v>574</v>
      </c>
      <c r="K103" s="2" t="s">
        <v>575</v>
      </c>
      <c r="L103" s="2" t="s">
        <v>576</v>
      </c>
      <c r="M103" s="2" t="s">
        <v>577</v>
      </c>
      <c r="O103" s="2" t="s">
        <v>1198</v>
      </c>
      <c r="Q103" s="2" t="s">
        <v>1199</v>
      </c>
      <c r="R103" s="2" t="s">
        <v>1200</v>
      </c>
      <c r="S103" s="2" t="s">
        <v>1201</v>
      </c>
      <c r="T103" s="2" t="s">
        <v>1202</v>
      </c>
      <c r="U103" s="2" t="s">
        <v>1203</v>
      </c>
      <c r="V103" s="2" t="s">
        <v>1204</v>
      </c>
    </row>
    <row r="104" spans="1:22">
      <c r="A104" s="2" t="s">
        <v>35</v>
      </c>
      <c r="C104" s="2" t="s">
        <v>578</v>
      </c>
      <c r="D104" s="2" t="s">
        <v>1715</v>
      </c>
      <c r="E104" s="2" t="s">
        <v>1936</v>
      </c>
      <c r="F104" s="2" t="s">
        <v>1981</v>
      </c>
      <c r="G104" s="2" t="s">
        <v>2026</v>
      </c>
      <c r="H104" s="2" t="s">
        <v>579</v>
      </c>
      <c r="J104" s="2" t="s">
        <v>580</v>
      </c>
      <c r="K104" s="2" t="s">
        <v>581</v>
      </c>
      <c r="L104" s="2" t="s">
        <v>582</v>
      </c>
      <c r="M104" s="2" t="s">
        <v>583</v>
      </c>
      <c r="O104" s="2" t="s">
        <v>1205</v>
      </c>
      <c r="Q104" s="2" t="s">
        <v>1206</v>
      </c>
      <c r="R104" s="2" t="s">
        <v>1207</v>
      </c>
      <c r="S104" s="2" t="s">
        <v>1208</v>
      </c>
      <c r="T104" s="2" t="s">
        <v>1209</v>
      </c>
      <c r="U104" s="2" t="s">
        <v>1210</v>
      </c>
      <c r="V104" s="2" t="s">
        <v>1211</v>
      </c>
    </row>
    <row r="105" spans="1:22">
      <c r="A105" s="2" t="s">
        <v>35</v>
      </c>
      <c r="C105" s="2" t="s">
        <v>88</v>
      </c>
      <c r="D105" s="2" t="s">
        <v>1716</v>
      </c>
      <c r="E105" s="2" t="s">
        <v>1937</v>
      </c>
      <c r="F105" s="2" t="s">
        <v>1982</v>
      </c>
      <c r="G105" s="2" t="s">
        <v>2027</v>
      </c>
      <c r="H105" s="2" t="s">
        <v>137</v>
      </c>
      <c r="J105" s="2" t="s">
        <v>284</v>
      </c>
      <c r="K105" s="2" t="s">
        <v>285</v>
      </c>
      <c r="L105" s="2" t="s">
        <v>286</v>
      </c>
      <c r="M105" s="2" t="s">
        <v>287</v>
      </c>
      <c r="O105" s="2" t="s">
        <v>1212</v>
      </c>
      <c r="Q105" s="2" t="s">
        <v>1213</v>
      </c>
      <c r="R105" s="2" t="s">
        <v>397</v>
      </c>
      <c r="S105" s="2" t="s">
        <v>398</v>
      </c>
      <c r="T105" s="2" t="s">
        <v>399</v>
      </c>
      <c r="U105" s="2" t="s">
        <v>1214</v>
      </c>
      <c r="V105" s="2" t="s">
        <v>1215</v>
      </c>
    </row>
    <row r="106" spans="1:22">
      <c r="A106" s="2" t="s">
        <v>35</v>
      </c>
      <c r="C106" s="2" t="s">
        <v>74</v>
      </c>
      <c r="D106" s="2" t="s">
        <v>1717</v>
      </c>
      <c r="E106" s="2" t="s">
        <v>1938</v>
      </c>
      <c r="F106" s="2" t="s">
        <v>1983</v>
      </c>
      <c r="G106" s="2" t="s">
        <v>2028</v>
      </c>
      <c r="H106" s="2" t="s">
        <v>138</v>
      </c>
      <c r="J106" s="2" t="s">
        <v>288</v>
      </c>
      <c r="K106" s="2" t="s">
        <v>289</v>
      </c>
      <c r="L106" s="2" t="s">
        <v>290</v>
      </c>
      <c r="M106" s="2" t="s">
        <v>291</v>
      </c>
      <c r="O106" s="2" t="s">
        <v>1216</v>
      </c>
      <c r="Q106" s="2" t="s">
        <v>1217</v>
      </c>
      <c r="R106" s="2" t="s">
        <v>400</v>
      </c>
      <c r="S106" s="2" t="s">
        <v>401</v>
      </c>
      <c r="T106" s="2" t="s">
        <v>402</v>
      </c>
      <c r="U106" s="2" t="s">
        <v>1218</v>
      </c>
      <c r="V106" s="2" t="s">
        <v>1219</v>
      </c>
    </row>
    <row r="107" spans="1:22">
      <c r="A107" s="2" t="s">
        <v>35</v>
      </c>
      <c r="C107" s="2" t="s">
        <v>487</v>
      </c>
      <c r="D107" s="2" t="s">
        <v>1718</v>
      </c>
      <c r="E107" s="2" t="s">
        <v>1939</v>
      </c>
      <c r="F107" s="2" t="s">
        <v>1984</v>
      </c>
      <c r="G107" s="2" t="s">
        <v>2029</v>
      </c>
      <c r="H107" s="2" t="s">
        <v>488</v>
      </c>
      <c r="J107" s="2" t="s">
        <v>489</v>
      </c>
      <c r="K107" s="2" t="s">
        <v>490</v>
      </c>
      <c r="L107" s="2" t="s">
        <v>491</v>
      </c>
      <c r="M107" s="2" t="s">
        <v>492</v>
      </c>
      <c r="O107" s="2" t="s">
        <v>1220</v>
      </c>
      <c r="Q107" s="2" t="s">
        <v>1221</v>
      </c>
      <c r="R107" s="2" t="s">
        <v>493</v>
      </c>
      <c r="S107" s="2" t="s">
        <v>494</v>
      </c>
      <c r="T107" s="2" t="s">
        <v>495</v>
      </c>
      <c r="U107" s="2" t="s">
        <v>1222</v>
      </c>
      <c r="V107" s="2" t="s">
        <v>1223</v>
      </c>
    </row>
    <row r="108" spans="1:22">
      <c r="A108" s="2" t="s">
        <v>35</v>
      </c>
      <c r="C108" s="2" t="s">
        <v>90</v>
      </c>
      <c r="D108" s="2" t="s">
        <v>1719</v>
      </c>
      <c r="E108" s="2" t="s">
        <v>1940</v>
      </c>
      <c r="F108" s="2" t="s">
        <v>1985</v>
      </c>
      <c r="G108" s="2" t="s">
        <v>2030</v>
      </c>
      <c r="H108" s="2" t="s">
        <v>584</v>
      </c>
      <c r="J108" s="2" t="s">
        <v>585</v>
      </c>
      <c r="K108" s="2" t="s">
        <v>586</v>
      </c>
      <c r="L108" s="2" t="s">
        <v>587</v>
      </c>
      <c r="M108" s="2" t="s">
        <v>588</v>
      </c>
      <c r="O108" s="2" t="s">
        <v>1224</v>
      </c>
      <c r="Q108" s="2" t="s">
        <v>1225</v>
      </c>
      <c r="R108" s="2" t="s">
        <v>1226</v>
      </c>
      <c r="S108" s="2" t="s">
        <v>1227</v>
      </c>
      <c r="T108" s="2" t="s">
        <v>1228</v>
      </c>
      <c r="U108" s="2" t="s">
        <v>1229</v>
      </c>
      <c r="V108" s="2" t="s">
        <v>1230</v>
      </c>
    </row>
    <row r="109" spans="1:22">
      <c r="A109" s="2" t="s">
        <v>35</v>
      </c>
      <c r="C109" s="2" t="s">
        <v>496</v>
      </c>
      <c r="D109" s="2" t="s">
        <v>1720</v>
      </c>
      <c r="E109" s="2" t="s">
        <v>1941</v>
      </c>
      <c r="F109" s="2" t="s">
        <v>1986</v>
      </c>
      <c r="G109" s="2" t="s">
        <v>2031</v>
      </c>
      <c r="H109" s="2" t="s">
        <v>589</v>
      </c>
      <c r="J109" s="2" t="s">
        <v>590</v>
      </c>
      <c r="K109" s="2" t="s">
        <v>591</v>
      </c>
      <c r="L109" s="2" t="s">
        <v>592</v>
      </c>
      <c r="M109" s="2" t="s">
        <v>593</v>
      </c>
      <c r="O109" s="2" t="s">
        <v>1231</v>
      </c>
      <c r="Q109" s="2" t="s">
        <v>1232</v>
      </c>
      <c r="R109" s="2" t="s">
        <v>1233</v>
      </c>
      <c r="S109" s="2" t="s">
        <v>1234</v>
      </c>
      <c r="T109" s="2" t="s">
        <v>1235</v>
      </c>
      <c r="U109" s="2" t="s">
        <v>1236</v>
      </c>
      <c r="V109" s="2" t="s">
        <v>1237</v>
      </c>
    </row>
    <row r="110" spans="1:22">
      <c r="A110" s="2" t="s">
        <v>35</v>
      </c>
      <c r="C110" s="2" t="s">
        <v>594</v>
      </c>
      <c r="D110" s="2" t="s">
        <v>1721</v>
      </c>
      <c r="E110" s="2" t="s">
        <v>1942</v>
      </c>
      <c r="F110" s="2" t="s">
        <v>1987</v>
      </c>
      <c r="G110" s="2" t="s">
        <v>2032</v>
      </c>
      <c r="H110" s="2" t="s">
        <v>595</v>
      </c>
      <c r="J110" s="2" t="s">
        <v>596</v>
      </c>
      <c r="K110" s="2" t="s">
        <v>597</v>
      </c>
      <c r="L110" s="2" t="s">
        <v>598</v>
      </c>
      <c r="M110" s="2" t="s">
        <v>599</v>
      </c>
      <c r="O110" s="2" t="s">
        <v>1238</v>
      </c>
      <c r="Q110" s="2" t="s">
        <v>1239</v>
      </c>
      <c r="R110" s="2" t="s">
        <v>1240</v>
      </c>
      <c r="S110" s="2" t="s">
        <v>1241</v>
      </c>
      <c r="T110" s="2" t="s">
        <v>1242</v>
      </c>
      <c r="U110" s="2" t="s">
        <v>1243</v>
      </c>
      <c r="V110" s="2" t="s">
        <v>1244</v>
      </c>
    </row>
    <row r="111" spans="1:22">
      <c r="A111" s="2" t="s">
        <v>35</v>
      </c>
      <c r="C111" s="2" t="s">
        <v>600</v>
      </c>
      <c r="D111" s="2" t="s">
        <v>1722</v>
      </c>
      <c r="E111" s="2" t="s">
        <v>1943</v>
      </c>
      <c r="F111" s="2" t="s">
        <v>1988</v>
      </c>
      <c r="G111" s="2" t="s">
        <v>2033</v>
      </c>
      <c r="H111" s="2" t="s">
        <v>601</v>
      </c>
      <c r="J111" s="2" t="s">
        <v>602</v>
      </c>
      <c r="K111" s="2" t="s">
        <v>603</v>
      </c>
      <c r="L111" s="2" t="s">
        <v>604</v>
      </c>
      <c r="M111" s="2" t="s">
        <v>605</v>
      </c>
      <c r="O111" s="2" t="s">
        <v>1245</v>
      </c>
      <c r="Q111" s="2" t="s">
        <v>1246</v>
      </c>
      <c r="R111" s="2" t="s">
        <v>1247</v>
      </c>
      <c r="S111" s="2" t="s">
        <v>1248</v>
      </c>
      <c r="T111" s="2" t="s">
        <v>1249</v>
      </c>
      <c r="U111" s="2" t="s">
        <v>1250</v>
      </c>
      <c r="V111" s="2" t="s">
        <v>1251</v>
      </c>
    </row>
    <row r="112" spans="1:22">
      <c r="A112" s="2" t="s">
        <v>35</v>
      </c>
      <c r="C112" s="2" t="s">
        <v>606</v>
      </c>
      <c r="D112" s="2" t="s">
        <v>1723</v>
      </c>
      <c r="E112" s="2" t="s">
        <v>1944</v>
      </c>
      <c r="F112" s="2" t="s">
        <v>1989</v>
      </c>
      <c r="G112" s="2" t="s">
        <v>2034</v>
      </c>
      <c r="H112" s="2" t="s">
        <v>607</v>
      </c>
      <c r="J112" s="2" t="s">
        <v>608</v>
      </c>
      <c r="K112" s="2" t="s">
        <v>609</v>
      </c>
      <c r="L112" s="2" t="s">
        <v>610</v>
      </c>
      <c r="M112" s="2" t="s">
        <v>611</v>
      </c>
      <c r="O112" s="2" t="s">
        <v>1252</v>
      </c>
      <c r="Q112" s="2" t="s">
        <v>1253</v>
      </c>
      <c r="R112" s="2" t="s">
        <v>1254</v>
      </c>
      <c r="S112" s="2" t="s">
        <v>1255</v>
      </c>
      <c r="T112" s="2" t="s">
        <v>1256</v>
      </c>
      <c r="U112" s="2" t="s">
        <v>1257</v>
      </c>
      <c r="V112" s="2" t="s">
        <v>1258</v>
      </c>
    </row>
    <row r="113" spans="1:22">
      <c r="A113" s="2" t="s">
        <v>35</v>
      </c>
      <c r="C113" s="2" t="s">
        <v>612</v>
      </c>
      <c r="D113" s="2" t="s">
        <v>1724</v>
      </c>
      <c r="E113" s="2" t="s">
        <v>1945</v>
      </c>
      <c r="F113" s="2" t="s">
        <v>1990</v>
      </c>
      <c r="G113" s="2" t="s">
        <v>2035</v>
      </c>
      <c r="H113" s="2" t="s">
        <v>613</v>
      </c>
      <c r="J113" s="2" t="s">
        <v>614</v>
      </c>
      <c r="K113" s="2" t="s">
        <v>615</v>
      </c>
      <c r="L113" s="2" t="s">
        <v>616</v>
      </c>
      <c r="M113" s="2" t="s">
        <v>617</v>
      </c>
      <c r="O113" s="2" t="s">
        <v>1259</v>
      </c>
      <c r="Q113" s="2" t="s">
        <v>1260</v>
      </c>
      <c r="R113" s="2" t="s">
        <v>1261</v>
      </c>
      <c r="S113" s="2" t="s">
        <v>1262</v>
      </c>
      <c r="T113" s="2" t="s">
        <v>1263</v>
      </c>
      <c r="U113" s="2" t="s">
        <v>1264</v>
      </c>
      <c r="V113" s="2" t="s">
        <v>1265</v>
      </c>
    </row>
    <row r="114" spans="1:22">
      <c r="A114" s="2" t="s">
        <v>35</v>
      </c>
      <c r="C114" s="2" t="s">
        <v>618</v>
      </c>
      <c r="D114" s="2" t="s">
        <v>1725</v>
      </c>
      <c r="E114" s="2" t="s">
        <v>1946</v>
      </c>
      <c r="F114" s="2" t="s">
        <v>1991</v>
      </c>
      <c r="G114" s="2" t="s">
        <v>2036</v>
      </c>
      <c r="H114" s="2" t="s">
        <v>619</v>
      </c>
      <c r="J114" s="2" t="s">
        <v>620</v>
      </c>
      <c r="K114" s="2" t="s">
        <v>621</v>
      </c>
      <c r="L114" s="2" t="s">
        <v>622</v>
      </c>
      <c r="M114" s="2" t="s">
        <v>623</v>
      </c>
      <c r="O114" s="2" t="s">
        <v>1266</v>
      </c>
      <c r="Q114" s="2" t="s">
        <v>1267</v>
      </c>
      <c r="R114" s="2" t="s">
        <v>1268</v>
      </c>
      <c r="S114" s="2" t="s">
        <v>1269</v>
      </c>
      <c r="T114" s="2" t="s">
        <v>1270</v>
      </c>
      <c r="U114" s="2" t="s">
        <v>1271</v>
      </c>
      <c r="V114" s="2" t="s">
        <v>1272</v>
      </c>
    </row>
    <row r="115" spans="1:22">
      <c r="A115" s="2" t="s">
        <v>35</v>
      </c>
      <c r="C115" s="2" t="s">
        <v>624</v>
      </c>
      <c r="D115" s="2" t="s">
        <v>1726</v>
      </c>
      <c r="E115" s="2" t="s">
        <v>1947</v>
      </c>
      <c r="F115" s="2" t="s">
        <v>1992</v>
      </c>
      <c r="G115" s="2" t="s">
        <v>2037</v>
      </c>
      <c r="H115" s="2" t="s">
        <v>625</v>
      </c>
      <c r="J115" s="2" t="s">
        <v>626</v>
      </c>
      <c r="K115" s="2" t="s">
        <v>627</v>
      </c>
      <c r="L115" s="2" t="s">
        <v>628</v>
      </c>
      <c r="M115" s="2" t="s">
        <v>629</v>
      </c>
      <c r="O115" s="2" t="s">
        <v>1273</v>
      </c>
      <c r="Q115" s="2" t="s">
        <v>1274</v>
      </c>
      <c r="R115" s="2" t="s">
        <v>1275</v>
      </c>
      <c r="S115" s="2" t="s">
        <v>1276</v>
      </c>
      <c r="T115" s="2" t="s">
        <v>1277</v>
      </c>
      <c r="U115" s="2" t="s">
        <v>1278</v>
      </c>
      <c r="V115" s="2" t="s">
        <v>1279</v>
      </c>
    </row>
    <row r="116" spans="1:22">
      <c r="A116" s="2" t="s">
        <v>35</v>
      </c>
      <c r="C116" s="2" t="s">
        <v>630</v>
      </c>
      <c r="D116" s="2" t="s">
        <v>1727</v>
      </c>
      <c r="E116" s="2" t="s">
        <v>1948</v>
      </c>
      <c r="F116" s="2" t="s">
        <v>1993</v>
      </c>
      <c r="G116" s="2" t="s">
        <v>2038</v>
      </c>
      <c r="H116" s="2" t="s">
        <v>631</v>
      </c>
      <c r="J116" s="2" t="s">
        <v>632</v>
      </c>
      <c r="K116" s="2" t="s">
        <v>633</v>
      </c>
      <c r="L116" s="2" t="s">
        <v>634</v>
      </c>
      <c r="M116" s="2" t="s">
        <v>635</v>
      </c>
      <c r="O116" s="2" t="s">
        <v>1280</v>
      </c>
      <c r="Q116" s="2" t="s">
        <v>1281</v>
      </c>
      <c r="R116" s="2" t="s">
        <v>1282</v>
      </c>
      <c r="S116" s="2" t="s">
        <v>1283</v>
      </c>
      <c r="T116" s="2" t="s">
        <v>1284</v>
      </c>
      <c r="U116" s="2" t="s">
        <v>1285</v>
      </c>
      <c r="V116" s="2" t="s">
        <v>1286</v>
      </c>
    </row>
    <row r="117" spans="1:22">
      <c r="A117" s="2" t="s">
        <v>35</v>
      </c>
      <c r="C117" s="2" t="s">
        <v>636</v>
      </c>
      <c r="D117" s="2" t="s">
        <v>1728</v>
      </c>
      <c r="E117" s="2" t="s">
        <v>1949</v>
      </c>
      <c r="F117" s="2" t="s">
        <v>1994</v>
      </c>
      <c r="G117" s="2" t="s">
        <v>2039</v>
      </c>
      <c r="H117" s="2" t="s">
        <v>637</v>
      </c>
      <c r="J117" s="2" t="s">
        <v>638</v>
      </c>
      <c r="K117" s="2" t="s">
        <v>639</v>
      </c>
      <c r="L117" s="2" t="s">
        <v>640</v>
      </c>
      <c r="M117" s="2" t="s">
        <v>641</v>
      </c>
      <c r="O117" s="2" t="s">
        <v>1287</v>
      </c>
      <c r="Q117" s="2" t="s">
        <v>1288</v>
      </c>
      <c r="R117" s="2" t="s">
        <v>1289</v>
      </c>
      <c r="S117" s="2" t="s">
        <v>1290</v>
      </c>
      <c r="T117" s="2" t="s">
        <v>1291</v>
      </c>
      <c r="U117" s="2" t="s">
        <v>1292</v>
      </c>
      <c r="V117" s="2" t="s">
        <v>1293</v>
      </c>
    </row>
    <row r="118" spans="1:22">
      <c r="A118" s="2" t="s">
        <v>33</v>
      </c>
      <c r="C118" s="2" t="s">
        <v>62</v>
      </c>
    </row>
    <row r="119" spans="1:22">
      <c r="A119" s="2" t="s">
        <v>35</v>
      </c>
      <c r="C119" s="2" t="s">
        <v>642</v>
      </c>
      <c r="E119" s="2" t="s">
        <v>1294</v>
      </c>
      <c r="J119" s="2" t="s">
        <v>1295</v>
      </c>
      <c r="K119" s="2" t="s">
        <v>1296</v>
      </c>
      <c r="L119" s="2" t="s">
        <v>1297</v>
      </c>
      <c r="M119" s="2" t="s">
        <v>1298</v>
      </c>
      <c r="O119" s="2" t="s">
        <v>1299</v>
      </c>
      <c r="U119" s="2" t="s">
        <v>1300</v>
      </c>
    </row>
    <row r="120" spans="1:22">
      <c r="A120" s="2" t="s">
        <v>35</v>
      </c>
    </row>
    <row r="121" spans="1:22">
      <c r="A121" s="2" t="s">
        <v>33</v>
      </c>
      <c r="C121" s="2" t="s">
        <v>1301</v>
      </c>
      <c r="D121" s="2" t="s">
        <v>806</v>
      </c>
    </row>
    <row r="122" spans="1:22">
      <c r="A122" s="2" t="s">
        <v>35</v>
      </c>
      <c r="C122" s="2" t="s">
        <v>643</v>
      </c>
      <c r="D122" s="2" t="s">
        <v>1302</v>
      </c>
      <c r="E122" s="2" t="s">
        <v>1854</v>
      </c>
      <c r="F122" s="2" t="s">
        <v>1871</v>
      </c>
      <c r="G122" s="2" t="s">
        <v>1888</v>
      </c>
      <c r="H122" s="2" t="s">
        <v>644</v>
      </c>
      <c r="J122" s="2" t="s">
        <v>645</v>
      </c>
      <c r="K122" s="2" t="s">
        <v>646</v>
      </c>
      <c r="L122" s="2" t="s">
        <v>647</v>
      </c>
      <c r="M122" s="2" t="s">
        <v>648</v>
      </c>
      <c r="O122" s="2" t="s">
        <v>1303</v>
      </c>
      <c r="Q122" s="2" t="s">
        <v>1304</v>
      </c>
      <c r="R122" s="2" t="s">
        <v>1305</v>
      </c>
      <c r="S122" s="2" t="s">
        <v>1306</v>
      </c>
      <c r="T122" s="2" t="s">
        <v>1307</v>
      </c>
      <c r="U122" s="2" t="s">
        <v>1308</v>
      </c>
      <c r="V122" s="2" t="s">
        <v>1309</v>
      </c>
    </row>
    <row r="123" spans="1:22">
      <c r="A123" s="2" t="s">
        <v>35</v>
      </c>
      <c r="C123" s="2" t="s">
        <v>649</v>
      </c>
      <c r="D123" s="2" t="s">
        <v>1729</v>
      </c>
      <c r="E123" s="2" t="s">
        <v>1855</v>
      </c>
      <c r="F123" s="2" t="s">
        <v>1872</v>
      </c>
      <c r="G123" s="2" t="s">
        <v>1889</v>
      </c>
      <c r="H123" s="2" t="s">
        <v>650</v>
      </c>
      <c r="J123" s="2" t="s">
        <v>651</v>
      </c>
      <c r="K123" s="2" t="s">
        <v>652</v>
      </c>
      <c r="L123" s="2" t="s">
        <v>653</v>
      </c>
      <c r="M123" s="2" t="s">
        <v>654</v>
      </c>
      <c r="O123" s="2" t="s">
        <v>1310</v>
      </c>
      <c r="Q123" s="2" t="s">
        <v>1311</v>
      </c>
      <c r="R123" s="2" t="s">
        <v>1312</v>
      </c>
      <c r="S123" s="2" t="s">
        <v>1313</v>
      </c>
      <c r="T123" s="2" t="s">
        <v>1314</v>
      </c>
      <c r="U123" s="2" t="s">
        <v>1315</v>
      </c>
      <c r="V123" s="2" t="s">
        <v>1316</v>
      </c>
    </row>
    <row r="124" spans="1:22">
      <c r="A124" s="2" t="s">
        <v>35</v>
      </c>
      <c r="C124" s="2" t="s">
        <v>655</v>
      </c>
      <c r="D124" s="2" t="s">
        <v>1730</v>
      </c>
      <c r="E124" s="2" t="s">
        <v>1856</v>
      </c>
      <c r="F124" s="2" t="s">
        <v>1873</v>
      </c>
      <c r="G124" s="2" t="s">
        <v>1890</v>
      </c>
      <c r="H124" s="2" t="s">
        <v>656</v>
      </c>
      <c r="J124" s="2" t="s">
        <v>657</v>
      </c>
      <c r="K124" s="2" t="s">
        <v>658</v>
      </c>
      <c r="L124" s="2" t="s">
        <v>659</v>
      </c>
      <c r="M124" s="2" t="s">
        <v>660</v>
      </c>
      <c r="O124" s="2" t="s">
        <v>1317</v>
      </c>
      <c r="Q124" s="2" t="s">
        <v>1318</v>
      </c>
      <c r="R124" s="2" t="s">
        <v>1319</v>
      </c>
      <c r="S124" s="2" t="s">
        <v>1320</v>
      </c>
      <c r="T124" s="2" t="s">
        <v>1321</v>
      </c>
      <c r="U124" s="2" t="s">
        <v>1322</v>
      </c>
      <c r="V124" s="2" t="s">
        <v>1323</v>
      </c>
    </row>
    <row r="125" spans="1:22">
      <c r="A125" s="2" t="s">
        <v>35</v>
      </c>
      <c r="C125" s="2" t="s">
        <v>661</v>
      </c>
      <c r="D125" s="2" t="s">
        <v>1731</v>
      </c>
      <c r="E125" s="2" t="s">
        <v>1857</v>
      </c>
      <c r="F125" s="2" t="s">
        <v>1874</v>
      </c>
      <c r="G125" s="2" t="s">
        <v>1891</v>
      </c>
      <c r="H125" s="2" t="s">
        <v>662</v>
      </c>
      <c r="J125" s="2" t="s">
        <v>663</v>
      </c>
      <c r="K125" s="2" t="s">
        <v>664</v>
      </c>
      <c r="L125" s="2" t="s">
        <v>665</v>
      </c>
      <c r="M125" s="2" t="s">
        <v>666</v>
      </c>
      <c r="O125" s="2" t="s">
        <v>1324</v>
      </c>
      <c r="Q125" s="2" t="s">
        <v>1325</v>
      </c>
      <c r="R125" s="2" t="s">
        <v>1326</v>
      </c>
      <c r="S125" s="2" t="s">
        <v>1327</v>
      </c>
      <c r="T125" s="2" t="s">
        <v>1328</v>
      </c>
      <c r="U125" s="2" t="s">
        <v>1329</v>
      </c>
      <c r="V125" s="2" t="s">
        <v>1330</v>
      </c>
    </row>
    <row r="126" spans="1:22">
      <c r="A126" s="2" t="s">
        <v>35</v>
      </c>
      <c r="C126" s="2" t="s">
        <v>667</v>
      </c>
      <c r="D126" s="2" t="s">
        <v>1732</v>
      </c>
      <c r="E126" s="2" t="s">
        <v>1858</v>
      </c>
      <c r="F126" s="2" t="s">
        <v>1875</v>
      </c>
      <c r="G126" s="2" t="s">
        <v>1892</v>
      </c>
      <c r="H126" s="2" t="s">
        <v>668</v>
      </c>
      <c r="J126" s="2" t="s">
        <v>669</v>
      </c>
      <c r="K126" s="2" t="s">
        <v>670</v>
      </c>
      <c r="L126" s="2" t="s">
        <v>671</v>
      </c>
      <c r="M126" s="2" t="s">
        <v>672</v>
      </c>
      <c r="O126" s="2" t="s">
        <v>1331</v>
      </c>
      <c r="Q126" s="2" t="s">
        <v>1332</v>
      </c>
      <c r="R126" s="2" t="s">
        <v>1333</v>
      </c>
      <c r="S126" s="2" t="s">
        <v>1334</v>
      </c>
      <c r="T126" s="2" t="s">
        <v>1335</v>
      </c>
      <c r="U126" s="2" t="s">
        <v>1336</v>
      </c>
      <c r="V126" s="2" t="s">
        <v>1337</v>
      </c>
    </row>
    <row r="127" spans="1:22">
      <c r="A127" s="2" t="s">
        <v>35</v>
      </c>
      <c r="C127" s="2" t="s">
        <v>673</v>
      </c>
      <c r="D127" s="2" t="s">
        <v>1733</v>
      </c>
      <c r="E127" s="2" t="s">
        <v>1859</v>
      </c>
      <c r="F127" s="2" t="s">
        <v>1876</v>
      </c>
      <c r="G127" s="2" t="s">
        <v>1893</v>
      </c>
      <c r="H127" s="2" t="s">
        <v>674</v>
      </c>
      <c r="J127" s="2" t="s">
        <v>675</v>
      </c>
      <c r="K127" s="2" t="s">
        <v>676</v>
      </c>
      <c r="L127" s="2" t="s">
        <v>677</v>
      </c>
      <c r="M127" s="2" t="s">
        <v>678</v>
      </c>
      <c r="O127" s="2" t="s">
        <v>1338</v>
      </c>
      <c r="Q127" s="2" t="s">
        <v>1339</v>
      </c>
      <c r="R127" s="2" t="s">
        <v>1340</v>
      </c>
      <c r="S127" s="2" t="s">
        <v>1341</v>
      </c>
      <c r="T127" s="2" t="s">
        <v>1342</v>
      </c>
      <c r="U127" s="2" t="s">
        <v>1343</v>
      </c>
      <c r="V127" s="2" t="s">
        <v>1344</v>
      </c>
    </row>
    <row r="128" spans="1:22">
      <c r="A128" s="2" t="s">
        <v>35</v>
      </c>
      <c r="C128" s="2" t="s">
        <v>679</v>
      </c>
      <c r="D128" s="2" t="s">
        <v>1734</v>
      </c>
      <c r="E128" s="2" t="s">
        <v>1860</v>
      </c>
      <c r="F128" s="2" t="s">
        <v>1877</v>
      </c>
      <c r="G128" s="2" t="s">
        <v>1894</v>
      </c>
      <c r="H128" s="2" t="s">
        <v>680</v>
      </c>
      <c r="J128" s="2" t="s">
        <v>681</v>
      </c>
      <c r="K128" s="2" t="s">
        <v>682</v>
      </c>
      <c r="L128" s="2" t="s">
        <v>683</v>
      </c>
      <c r="M128" s="2" t="s">
        <v>684</v>
      </c>
      <c r="O128" s="2" t="s">
        <v>1345</v>
      </c>
      <c r="Q128" s="2" t="s">
        <v>1346</v>
      </c>
      <c r="R128" s="2" t="s">
        <v>1347</v>
      </c>
      <c r="S128" s="2" t="s">
        <v>1348</v>
      </c>
      <c r="T128" s="2" t="s">
        <v>1349</v>
      </c>
      <c r="U128" s="2" t="s">
        <v>1350</v>
      </c>
      <c r="V128" s="2" t="s">
        <v>1351</v>
      </c>
    </row>
    <row r="129" spans="1:22">
      <c r="A129" s="2" t="s">
        <v>35</v>
      </c>
      <c r="C129" s="2" t="s">
        <v>685</v>
      </c>
      <c r="D129" s="2" t="s">
        <v>1735</v>
      </c>
      <c r="E129" s="2" t="s">
        <v>1861</v>
      </c>
      <c r="F129" s="2" t="s">
        <v>1878</v>
      </c>
      <c r="G129" s="2" t="s">
        <v>1895</v>
      </c>
      <c r="H129" s="2" t="s">
        <v>686</v>
      </c>
      <c r="J129" s="2" t="s">
        <v>687</v>
      </c>
      <c r="K129" s="2" t="s">
        <v>688</v>
      </c>
      <c r="L129" s="2" t="s">
        <v>689</v>
      </c>
      <c r="M129" s="2" t="s">
        <v>690</v>
      </c>
      <c r="O129" s="2" t="s">
        <v>1352</v>
      </c>
      <c r="Q129" s="2" t="s">
        <v>1353</v>
      </c>
      <c r="R129" s="2" t="s">
        <v>1354</v>
      </c>
      <c r="S129" s="2" t="s">
        <v>1355</v>
      </c>
      <c r="T129" s="2" t="s">
        <v>1356</v>
      </c>
      <c r="U129" s="2" t="s">
        <v>1357</v>
      </c>
      <c r="V129" s="2" t="s">
        <v>1358</v>
      </c>
    </row>
    <row r="130" spans="1:22">
      <c r="A130" s="2" t="s">
        <v>35</v>
      </c>
      <c r="C130" s="2" t="s">
        <v>1359</v>
      </c>
      <c r="D130" s="2" t="s">
        <v>1736</v>
      </c>
      <c r="E130" s="2" t="s">
        <v>1862</v>
      </c>
      <c r="F130" s="2" t="s">
        <v>1879</v>
      </c>
      <c r="G130" s="2" t="s">
        <v>1896</v>
      </c>
      <c r="H130" s="2" t="s">
        <v>1360</v>
      </c>
      <c r="J130" s="2" t="s">
        <v>1361</v>
      </c>
      <c r="K130" s="2" t="s">
        <v>1362</v>
      </c>
      <c r="L130" s="2" t="s">
        <v>1363</v>
      </c>
      <c r="M130" s="2" t="s">
        <v>1364</v>
      </c>
      <c r="O130" s="2" t="s">
        <v>1365</v>
      </c>
      <c r="Q130" s="2" t="s">
        <v>1366</v>
      </c>
      <c r="R130" s="2" t="s">
        <v>1367</v>
      </c>
      <c r="S130" s="2" t="s">
        <v>1368</v>
      </c>
      <c r="T130" s="2" t="s">
        <v>1369</v>
      </c>
      <c r="U130" s="2" t="s">
        <v>1370</v>
      </c>
      <c r="V130" s="2" t="s">
        <v>1371</v>
      </c>
    </row>
    <row r="131" spans="1:22">
      <c r="A131" s="2" t="s">
        <v>35</v>
      </c>
      <c r="C131" s="2" t="s">
        <v>691</v>
      </c>
      <c r="D131" s="2" t="s">
        <v>1737</v>
      </c>
      <c r="E131" s="2" t="s">
        <v>1863</v>
      </c>
      <c r="F131" s="2" t="s">
        <v>1880</v>
      </c>
      <c r="G131" s="2" t="s">
        <v>1897</v>
      </c>
      <c r="H131" s="2" t="s">
        <v>1372</v>
      </c>
      <c r="J131" s="2" t="s">
        <v>1373</v>
      </c>
      <c r="K131" s="2" t="s">
        <v>1374</v>
      </c>
      <c r="L131" s="2" t="s">
        <v>1375</v>
      </c>
      <c r="M131" s="2" t="s">
        <v>1376</v>
      </c>
      <c r="O131" s="2" t="s">
        <v>1377</v>
      </c>
      <c r="Q131" s="2" t="s">
        <v>1378</v>
      </c>
      <c r="R131" s="2" t="s">
        <v>1379</v>
      </c>
      <c r="S131" s="2" t="s">
        <v>1380</v>
      </c>
      <c r="T131" s="2" t="s">
        <v>1381</v>
      </c>
      <c r="U131" s="2" t="s">
        <v>1382</v>
      </c>
      <c r="V131" s="2" t="s">
        <v>1383</v>
      </c>
    </row>
    <row r="132" spans="1:22">
      <c r="A132" s="2" t="s">
        <v>35</v>
      </c>
      <c r="C132" s="2" t="s">
        <v>1384</v>
      </c>
      <c r="D132" s="2" t="s">
        <v>1738</v>
      </c>
      <c r="E132" s="2" t="s">
        <v>1864</v>
      </c>
      <c r="F132" s="2" t="s">
        <v>1881</v>
      </c>
      <c r="G132" s="2" t="s">
        <v>1898</v>
      </c>
      <c r="H132" s="2" t="s">
        <v>1385</v>
      </c>
      <c r="J132" s="2" t="s">
        <v>1386</v>
      </c>
      <c r="K132" s="2" t="s">
        <v>1387</v>
      </c>
      <c r="L132" s="2" t="s">
        <v>1388</v>
      </c>
      <c r="M132" s="2" t="s">
        <v>1389</v>
      </c>
      <c r="O132" s="2" t="s">
        <v>1390</v>
      </c>
      <c r="Q132" s="2" t="s">
        <v>1391</v>
      </c>
      <c r="R132" s="2" t="s">
        <v>1392</v>
      </c>
      <c r="S132" s="2" t="s">
        <v>1393</v>
      </c>
      <c r="T132" s="2" t="s">
        <v>1394</v>
      </c>
      <c r="U132" s="2" t="s">
        <v>1395</v>
      </c>
      <c r="V132" s="2" t="s">
        <v>1396</v>
      </c>
    </row>
    <row r="133" spans="1:22">
      <c r="A133" s="2" t="s">
        <v>35</v>
      </c>
      <c r="C133" s="2" t="s">
        <v>1397</v>
      </c>
      <c r="D133" s="2" t="s">
        <v>1739</v>
      </c>
      <c r="E133" s="2" t="s">
        <v>1865</v>
      </c>
      <c r="F133" s="2" t="s">
        <v>1882</v>
      </c>
      <c r="G133" s="2" t="s">
        <v>1899</v>
      </c>
      <c r="H133" s="2" t="s">
        <v>1398</v>
      </c>
      <c r="J133" s="2" t="s">
        <v>1399</v>
      </c>
      <c r="K133" s="2" t="s">
        <v>1400</v>
      </c>
      <c r="L133" s="2" t="s">
        <v>1401</v>
      </c>
      <c r="M133" s="2" t="s">
        <v>1402</v>
      </c>
      <c r="O133" s="2" t="s">
        <v>1403</v>
      </c>
      <c r="Q133" s="2" t="s">
        <v>1404</v>
      </c>
      <c r="R133" s="2" t="s">
        <v>1405</v>
      </c>
      <c r="S133" s="2" t="s">
        <v>1406</v>
      </c>
      <c r="T133" s="2" t="s">
        <v>1407</v>
      </c>
      <c r="U133" s="2" t="s">
        <v>1408</v>
      </c>
      <c r="V133" s="2" t="s">
        <v>1409</v>
      </c>
    </row>
    <row r="134" spans="1:22">
      <c r="A134" s="2" t="s">
        <v>35</v>
      </c>
      <c r="C134" s="2" t="s">
        <v>692</v>
      </c>
      <c r="D134" s="2" t="s">
        <v>1740</v>
      </c>
      <c r="E134" s="2" t="s">
        <v>1866</v>
      </c>
      <c r="F134" s="2" t="s">
        <v>1883</v>
      </c>
      <c r="G134" s="2" t="s">
        <v>1900</v>
      </c>
      <c r="H134" s="2" t="s">
        <v>693</v>
      </c>
      <c r="J134" s="2" t="s">
        <v>694</v>
      </c>
      <c r="K134" s="2" t="s">
        <v>695</v>
      </c>
      <c r="L134" s="2" t="s">
        <v>696</v>
      </c>
      <c r="M134" s="2" t="s">
        <v>697</v>
      </c>
      <c r="O134" s="2" t="s">
        <v>1410</v>
      </c>
      <c r="Q134" s="2" t="s">
        <v>1411</v>
      </c>
      <c r="R134" s="2" t="s">
        <v>1412</v>
      </c>
      <c r="S134" s="2" t="s">
        <v>1413</v>
      </c>
      <c r="T134" s="2" t="s">
        <v>1414</v>
      </c>
      <c r="U134" s="2" t="s">
        <v>1415</v>
      </c>
      <c r="V134" s="2" t="s">
        <v>1416</v>
      </c>
    </row>
    <row r="135" spans="1:22">
      <c r="A135" s="2" t="s">
        <v>35</v>
      </c>
      <c r="C135" s="2" t="s">
        <v>698</v>
      </c>
      <c r="D135" s="2" t="s">
        <v>1741</v>
      </c>
      <c r="E135" s="2" t="s">
        <v>1867</v>
      </c>
      <c r="F135" s="2" t="s">
        <v>1884</v>
      </c>
      <c r="G135" s="2" t="s">
        <v>1901</v>
      </c>
      <c r="H135" s="2" t="s">
        <v>699</v>
      </c>
      <c r="J135" s="2" t="s">
        <v>700</v>
      </c>
      <c r="K135" s="2" t="s">
        <v>701</v>
      </c>
      <c r="L135" s="2" t="s">
        <v>702</v>
      </c>
      <c r="M135" s="2" t="s">
        <v>703</v>
      </c>
      <c r="O135" s="2" t="s">
        <v>1417</v>
      </c>
      <c r="Q135" s="2" t="s">
        <v>1418</v>
      </c>
      <c r="R135" s="2" t="s">
        <v>1419</v>
      </c>
      <c r="S135" s="2" t="s">
        <v>1420</v>
      </c>
      <c r="T135" s="2" t="s">
        <v>1421</v>
      </c>
      <c r="U135" s="2" t="s">
        <v>1422</v>
      </c>
      <c r="V135" s="2" t="s">
        <v>1423</v>
      </c>
    </row>
    <row r="136" spans="1:22">
      <c r="A136" s="2" t="s">
        <v>35</v>
      </c>
      <c r="C136" s="2" t="s">
        <v>704</v>
      </c>
      <c r="D136" s="2" t="s">
        <v>1742</v>
      </c>
      <c r="E136" s="2" t="s">
        <v>1868</v>
      </c>
      <c r="F136" s="2" t="s">
        <v>1885</v>
      </c>
      <c r="G136" s="2" t="s">
        <v>1902</v>
      </c>
      <c r="H136" s="2" t="s">
        <v>705</v>
      </c>
      <c r="J136" s="2" t="s">
        <v>706</v>
      </c>
      <c r="K136" s="2" t="s">
        <v>707</v>
      </c>
      <c r="L136" s="2" t="s">
        <v>708</v>
      </c>
      <c r="M136" s="2" t="s">
        <v>709</v>
      </c>
      <c r="O136" s="2" t="s">
        <v>1424</v>
      </c>
      <c r="Q136" s="2" t="s">
        <v>1425</v>
      </c>
      <c r="R136" s="2" t="s">
        <v>1426</v>
      </c>
      <c r="S136" s="2" t="s">
        <v>1427</v>
      </c>
      <c r="T136" s="2" t="s">
        <v>1428</v>
      </c>
      <c r="U136" s="2" t="s">
        <v>1429</v>
      </c>
      <c r="V136" s="2" t="s">
        <v>1430</v>
      </c>
    </row>
    <row r="137" spans="1:22">
      <c r="A137" s="2" t="s">
        <v>35</v>
      </c>
      <c r="C137" s="2" t="s">
        <v>710</v>
      </c>
      <c r="D137" s="2" t="s">
        <v>1743</v>
      </c>
      <c r="E137" s="2" t="s">
        <v>1869</v>
      </c>
      <c r="F137" s="2" t="s">
        <v>1886</v>
      </c>
      <c r="G137" s="2" t="s">
        <v>1903</v>
      </c>
      <c r="H137" s="2" t="s">
        <v>711</v>
      </c>
      <c r="J137" s="2" t="s">
        <v>712</v>
      </c>
      <c r="K137" s="2" t="s">
        <v>713</v>
      </c>
      <c r="L137" s="2" t="s">
        <v>714</v>
      </c>
      <c r="M137" s="2" t="s">
        <v>715</v>
      </c>
      <c r="O137" s="2" t="s">
        <v>1431</v>
      </c>
      <c r="Q137" s="2" t="s">
        <v>1432</v>
      </c>
      <c r="R137" s="2" t="s">
        <v>1433</v>
      </c>
      <c r="S137" s="2" t="s">
        <v>1434</v>
      </c>
      <c r="T137" s="2" t="s">
        <v>1435</v>
      </c>
      <c r="U137" s="2" t="s">
        <v>1436</v>
      </c>
      <c r="V137" s="2" t="s">
        <v>1437</v>
      </c>
    </row>
    <row r="138" spans="1:22">
      <c r="A138" s="2" t="s">
        <v>35</v>
      </c>
      <c r="C138" s="2" t="s">
        <v>1438</v>
      </c>
      <c r="D138" s="2" t="s">
        <v>1744</v>
      </c>
      <c r="E138" s="2" t="s">
        <v>1870</v>
      </c>
      <c r="F138" s="2" t="s">
        <v>1887</v>
      </c>
      <c r="G138" s="2" t="s">
        <v>1904</v>
      </c>
      <c r="H138" s="2" t="s">
        <v>1439</v>
      </c>
      <c r="J138" s="2" t="s">
        <v>1440</v>
      </c>
      <c r="K138" s="2" t="s">
        <v>1441</v>
      </c>
      <c r="L138" s="2" t="s">
        <v>1442</v>
      </c>
      <c r="M138" s="2" t="s">
        <v>1443</v>
      </c>
      <c r="O138" s="2" t="s">
        <v>1444</v>
      </c>
      <c r="Q138" s="2" t="s">
        <v>1445</v>
      </c>
      <c r="R138" s="2" t="s">
        <v>1446</v>
      </c>
      <c r="S138" s="2" t="s">
        <v>1447</v>
      </c>
      <c r="T138" s="2" t="s">
        <v>1448</v>
      </c>
      <c r="U138" s="2" t="s">
        <v>1449</v>
      </c>
      <c r="V138" s="2" t="s">
        <v>1450</v>
      </c>
    </row>
    <row r="139" spans="1:22">
      <c r="A139" s="2" t="s">
        <v>33</v>
      </c>
      <c r="C139" s="2" t="s">
        <v>649</v>
      </c>
    </row>
    <row r="140" spans="1:22">
      <c r="A140" s="2" t="s">
        <v>35</v>
      </c>
      <c r="C140" s="2" t="s">
        <v>1451</v>
      </c>
      <c r="E140" s="2" t="s">
        <v>1452</v>
      </c>
      <c r="J140" s="2" t="s">
        <v>1453</v>
      </c>
      <c r="K140" s="2" t="s">
        <v>1454</v>
      </c>
      <c r="L140" s="2" t="s">
        <v>1455</v>
      </c>
      <c r="M140" s="2" t="s">
        <v>1456</v>
      </c>
      <c r="O140" s="2" t="s">
        <v>1457</v>
      </c>
      <c r="U140" s="2" t="s">
        <v>1458</v>
      </c>
    </row>
    <row r="141" spans="1:22">
      <c r="A141" s="2" t="s">
        <v>35</v>
      </c>
    </row>
    <row r="142" spans="1:22">
      <c r="A142" s="2" t="s">
        <v>33</v>
      </c>
      <c r="C142" s="2" t="s">
        <v>1459</v>
      </c>
      <c r="D142" s="2" t="s">
        <v>807</v>
      </c>
    </row>
    <row r="143" spans="1:22">
      <c r="A143" s="2" t="s">
        <v>35</v>
      </c>
      <c r="C143" s="2" t="s">
        <v>716</v>
      </c>
      <c r="D143" s="2" t="s">
        <v>1460</v>
      </c>
      <c r="E143" s="2" t="s">
        <v>1803</v>
      </c>
      <c r="F143" s="2" t="s">
        <v>1820</v>
      </c>
      <c r="G143" s="2" t="s">
        <v>1837</v>
      </c>
      <c r="H143" s="2" t="s">
        <v>717</v>
      </c>
      <c r="J143" s="2" t="s">
        <v>718</v>
      </c>
      <c r="K143" s="2" t="s">
        <v>719</v>
      </c>
      <c r="L143" s="2" t="s">
        <v>720</v>
      </c>
      <c r="M143" s="2" t="s">
        <v>721</v>
      </c>
      <c r="O143" s="2" t="s">
        <v>1461</v>
      </c>
      <c r="Q143" s="2" t="s">
        <v>1462</v>
      </c>
      <c r="R143" s="2" t="s">
        <v>1463</v>
      </c>
      <c r="S143" s="2" t="s">
        <v>1464</v>
      </c>
      <c r="T143" s="2" t="s">
        <v>1465</v>
      </c>
      <c r="U143" s="2" t="s">
        <v>1466</v>
      </c>
      <c r="V143" s="2" t="s">
        <v>1467</v>
      </c>
    </row>
    <row r="144" spans="1:22">
      <c r="A144" s="2" t="s">
        <v>35</v>
      </c>
      <c r="C144" s="2" t="s">
        <v>722</v>
      </c>
      <c r="D144" s="2" t="s">
        <v>1745</v>
      </c>
      <c r="E144" s="2" t="s">
        <v>1804</v>
      </c>
      <c r="F144" s="2" t="s">
        <v>1821</v>
      </c>
      <c r="G144" s="2" t="s">
        <v>1838</v>
      </c>
      <c r="H144" s="2" t="s">
        <v>723</v>
      </c>
      <c r="J144" s="2" t="s">
        <v>724</v>
      </c>
      <c r="K144" s="2" t="s">
        <v>725</v>
      </c>
      <c r="L144" s="2" t="s">
        <v>726</v>
      </c>
      <c r="M144" s="2" t="s">
        <v>727</v>
      </c>
      <c r="O144" s="2" t="s">
        <v>1468</v>
      </c>
      <c r="Q144" s="2" t="s">
        <v>1469</v>
      </c>
      <c r="R144" s="2" t="s">
        <v>1470</v>
      </c>
      <c r="S144" s="2" t="s">
        <v>1471</v>
      </c>
      <c r="T144" s="2" t="s">
        <v>1472</v>
      </c>
      <c r="U144" s="2" t="s">
        <v>1473</v>
      </c>
      <c r="V144" s="2" t="s">
        <v>1474</v>
      </c>
    </row>
    <row r="145" spans="1:22">
      <c r="A145" s="2" t="s">
        <v>35</v>
      </c>
      <c r="C145" s="2" t="s">
        <v>728</v>
      </c>
      <c r="D145" s="2" t="s">
        <v>1746</v>
      </c>
      <c r="E145" s="2" t="s">
        <v>1805</v>
      </c>
      <c r="F145" s="2" t="s">
        <v>1822</v>
      </c>
      <c r="G145" s="2" t="s">
        <v>1839</v>
      </c>
      <c r="H145" s="2" t="s">
        <v>729</v>
      </c>
      <c r="J145" s="2" t="s">
        <v>730</v>
      </c>
      <c r="K145" s="2" t="s">
        <v>731</v>
      </c>
      <c r="L145" s="2" t="s">
        <v>732</v>
      </c>
      <c r="M145" s="2" t="s">
        <v>733</v>
      </c>
      <c r="O145" s="2" t="s">
        <v>1475</v>
      </c>
      <c r="Q145" s="2" t="s">
        <v>1476</v>
      </c>
      <c r="R145" s="2" t="s">
        <v>1477</v>
      </c>
      <c r="S145" s="2" t="s">
        <v>1478</v>
      </c>
      <c r="T145" s="2" t="s">
        <v>1479</v>
      </c>
      <c r="U145" s="2" t="s">
        <v>1480</v>
      </c>
      <c r="V145" s="2" t="s">
        <v>1481</v>
      </c>
    </row>
    <row r="146" spans="1:22">
      <c r="A146" s="2" t="s">
        <v>35</v>
      </c>
      <c r="C146" s="2" t="s">
        <v>734</v>
      </c>
      <c r="D146" s="2" t="s">
        <v>1747</v>
      </c>
      <c r="E146" s="2" t="s">
        <v>1806</v>
      </c>
      <c r="F146" s="2" t="s">
        <v>1823</v>
      </c>
      <c r="G146" s="2" t="s">
        <v>1840</v>
      </c>
      <c r="H146" s="2" t="s">
        <v>735</v>
      </c>
      <c r="J146" s="2" t="s">
        <v>736</v>
      </c>
      <c r="K146" s="2" t="s">
        <v>737</v>
      </c>
      <c r="L146" s="2" t="s">
        <v>738</v>
      </c>
      <c r="M146" s="2" t="s">
        <v>739</v>
      </c>
      <c r="O146" s="2" t="s">
        <v>1482</v>
      </c>
      <c r="Q146" s="2" t="s">
        <v>1483</v>
      </c>
      <c r="R146" s="2" t="s">
        <v>1484</v>
      </c>
      <c r="S146" s="2" t="s">
        <v>1485</v>
      </c>
      <c r="T146" s="2" t="s">
        <v>1486</v>
      </c>
      <c r="U146" s="2" t="s">
        <v>1487</v>
      </c>
      <c r="V146" s="2" t="s">
        <v>1488</v>
      </c>
    </row>
    <row r="147" spans="1:22">
      <c r="A147" s="2" t="s">
        <v>35</v>
      </c>
      <c r="C147" s="2" t="s">
        <v>740</v>
      </c>
      <c r="D147" s="2" t="s">
        <v>1748</v>
      </c>
      <c r="E147" s="2" t="s">
        <v>1807</v>
      </c>
      <c r="F147" s="2" t="s">
        <v>1824</v>
      </c>
      <c r="G147" s="2" t="s">
        <v>1841</v>
      </c>
      <c r="H147" s="2" t="s">
        <v>741</v>
      </c>
      <c r="J147" s="2" t="s">
        <v>742</v>
      </c>
      <c r="K147" s="2" t="s">
        <v>743</v>
      </c>
      <c r="L147" s="2" t="s">
        <v>744</v>
      </c>
      <c r="M147" s="2" t="s">
        <v>745</v>
      </c>
      <c r="O147" s="2" t="s">
        <v>1489</v>
      </c>
      <c r="Q147" s="2" t="s">
        <v>1490</v>
      </c>
      <c r="R147" s="2" t="s">
        <v>1491</v>
      </c>
      <c r="S147" s="2" t="s">
        <v>1492</v>
      </c>
      <c r="T147" s="2" t="s">
        <v>1493</v>
      </c>
      <c r="U147" s="2" t="s">
        <v>1494</v>
      </c>
      <c r="V147" s="2" t="s">
        <v>1495</v>
      </c>
    </row>
    <row r="148" spans="1:22">
      <c r="A148" s="2" t="s">
        <v>35</v>
      </c>
      <c r="C148" s="2" t="s">
        <v>746</v>
      </c>
      <c r="D148" s="2" t="s">
        <v>1749</v>
      </c>
      <c r="E148" s="2" t="s">
        <v>1808</v>
      </c>
      <c r="F148" s="2" t="s">
        <v>1825</v>
      </c>
      <c r="G148" s="2" t="s">
        <v>1842</v>
      </c>
      <c r="H148" s="2" t="s">
        <v>747</v>
      </c>
      <c r="J148" s="2" t="s">
        <v>748</v>
      </c>
      <c r="K148" s="2" t="s">
        <v>749</v>
      </c>
      <c r="L148" s="2" t="s">
        <v>750</v>
      </c>
      <c r="M148" s="2" t="s">
        <v>751</v>
      </c>
      <c r="O148" s="2" t="s">
        <v>1496</v>
      </c>
      <c r="Q148" s="2" t="s">
        <v>1497</v>
      </c>
      <c r="R148" s="2" t="s">
        <v>1498</v>
      </c>
      <c r="S148" s="2" t="s">
        <v>1499</v>
      </c>
      <c r="T148" s="2" t="s">
        <v>1500</v>
      </c>
      <c r="U148" s="2" t="s">
        <v>1501</v>
      </c>
      <c r="V148" s="2" t="s">
        <v>1502</v>
      </c>
    </row>
    <row r="149" spans="1:22">
      <c r="A149" s="2" t="s">
        <v>35</v>
      </c>
      <c r="C149" s="2" t="s">
        <v>752</v>
      </c>
      <c r="D149" s="2" t="s">
        <v>1750</v>
      </c>
      <c r="E149" s="2" t="s">
        <v>1809</v>
      </c>
      <c r="F149" s="2" t="s">
        <v>1826</v>
      </c>
      <c r="G149" s="2" t="s">
        <v>1843</v>
      </c>
      <c r="H149" s="2" t="s">
        <v>753</v>
      </c>
      <c r="J149" s="2" t="s">
        <v>754</v>
      </c>
      <c r="K149" s="2" t="s">
        <v>755</v>
      </c>
      <c r="L149" s="2" t="s">
        <v>756</v>
      </c>
      <c r="M149" s="2" t="s">
        <v>757</v>
      </c>
      <c r="O149" s="2" t="s">
        <v>1503</v>
      </c>
      <c r="Q149" s="2" t="s">
        <v>1504</v>
      </c>
      <c r="R149" s="2" t="s">
        <v>1505</v>
      </c>
      <c r="S149" s="2" t="s">
        <v>1506</v>
      </c>
      <c r="T149" s="2" t="s">
        <v>1507</v>
      </c>
      <c r="U149" s="2" t="s">
        <v>1508</v>
      </c>
      <c r="V149" s="2" t="s">
        <v>1509</v>
      </c>
    </row>
    <row r="150" spans="1:22">
      <c r="A150" s="2" t="s">
        <v>35</v>
      </c>
      <c r="C150" s="2" t="s">
        <v>758</v>
      </c>
      <c r="D150" s="2" t="s">
        <v>1751</v>
      </c>
      <c r="E150" s="2" t="s">
        <v>1810</v>
      </c>
      <c r="F150" s="2" t="s">
        <v>1827</v>
      </c>
      <c r="G150" s="2" t="s">
        <v>1844</v>
      </c>
      <c r="H150" s="2" t="s">
        <v>759</v>
      </c>
      <c r="J150" s="2" t="s">
        <v>760</v>
      </c>
      <c r="K150" s="2" t="s">
        <v>761</v>
      </c>
      <c r="L150" s="2" t="s">
        <v>762</v>
      </c>
      <c r="M150" s="2" t="s">
        <v>763</v>
      </c>
      <c r="O150" s="2" t="s">
        <v>1510</v>
      </c>
      <c r="Q150" s="2" t="s">
        <v>1511</v>
      </c>
      <c r="R150" s="2" t="s">
        <v>1512</v>
      </c>
      <c r="S150" s="2" t="s">
        <v>1513</v>
      </c>
      <c r="T150" s="2" t="s">
        <v>1514</v>
      </c>
      <c r="U150" s="2" t="s">
        <v>1515</v>
      </c>
      <c r="V150" s="2" t="s">
        <v>1516</v>
      </c>
    </row>
    <row r="151" spans="1:22">
      <c r="A151" s="2" t="s">
        <v>35</v>
      </c>
      <c r="C151" s="2" t="s">
        <v>764</v>
      </c>
      <c r="D151" s="2" t="s">
        <v>1752</v>
      </c>
      <c r="E151" s="2" t="s">
        <v>1811</v>
      </c>
      <c r="F151" s="2" t="s">
        <v>1828</v>
      </c>
      <c r="G151" s="2" t="s">
        <v>1845</v>
      </c>
      <c r="H151" s="2" t="s">
        <v>765</v>
      </c>
      <c r="J151" s="2" t="s">
        <v>766</v>
      </c>
      <c r="K151" s="2" t="s">
        <v>767</v>
      </c>
      <c r="L151" s="2" t="s">
        <v>768</v>
      </c>
      <c r="M151" s="2" t="s">
        <v>769</v>
      </c>
      <c r="O151" s="2" t="s">
        <v>1517</v>
      </c>
      <c r="Q151" s="2" t="s">
        <v>1518</v>
      </c>
      <c r="R151" s="2" t="s">
        <v>1519</v>
      </c>
      <c r="S151" s="2" t="s">
        <v>1520</v>
      </c>
      <c r="T151" s="2" t="s">
        <v>1521</v>
      </c>
      <c r="U151" s="2" t="s">
        <v>1522</v>
      </c>
      <c r="V151" s="2" t="s">
        <v>1523</v>
      </c>
    </row>
    <row r="152" spans="1:22">
      <c r="A152" s="2" t="s">
        <v>35</v>
      </c>
      <c r="C152" s="2" t="s">
        <v>770</v>
      </c>
      <c r="D152" s="2" t="s">
        <v>1753</v>
      </c>
      <c r="E152" s="2" t="s">
        <v>1812</v>
      </c>
      <c r="F152" s="2" t="s">
        <v>1829</v>
      </c>
      <c r="G152" s="2" t="s">
        <v>1846</v>
      </c>
      <c r="H152" s="2" t="s">
        <v>771</v>
      </c>
      <c r="J152" s="2" t="s">
        <v>772</v>
      </c>
      <c r="K152" s="2" t="s">
        <v>773</v>
      </c>
      <c r="L152" s="2" t="s">
        <v>774</v>
      </c>
      <c r="M152" s="2" t="s">
        <v>775</v>
      </c>
      <c r="O152" s="2" t="s">
        <v>1524</v>
      </c>
      <c r="Q152" s="2" t="s">
        <v>1525</v>
      </c>
      <c r="R152" s="2" t="s">
        <v>1526</v>
      </c>
      <c r="S152" s="2" t="s">
        <v>1527</v>
      </c>
      <c r="T152" s="2" t="s">
        <v>1528</v>
      </c>
      <c r="U152" s="2" t="s">
        <v>1529</v>
      </c>
      <c r="V152" s="2" t="s">
        <v>1530</v>
      </c>
    </row>
    <row r="153" spans="1:22">
      <c r="A153" s="2" t="s">
        <v>35</v>
      </c>
      <c r="C153" s="2" t="s">
        <v>776</v>
      </c>
      <c r="D153" s="2" t="s">
        <v>1754</v>
      </c>
      <c r="E153" s="2" t="s">
        <v>1813</v>
      </c>
      <c r="F153" s="2" t="s">
        <v>1830</v>
      </c>
      <c r="G153" s="2" t="s">
        <v>1847</v>
      </c>
      <c r="H153" s="2" t="s">
        <v>777</v>
      </c>
      <c r="J153" s="2" t="s">
        <v>778</v>
      </c>
      <c r="K153" s="2" t="s">
        <v>779</v>
      </c>
      <c r="L153" s="2" t="s">
        <v>780</v>
      </c>
      <c r="M153" s="2" t="s">
        <v>781</v>
      </c>
      <c r="O153" s="2" t="s">
        <v>1531</v>
      </c>
      <c r="Q153" s="2" t="s">
        <v>1532</v>
      </c>
      <c r="R153" s="2" t="s">
        <v>1533</v>
      </c>
      <c r="S153" s="2" t="s">
        <v>1534</v>
      </c>
      <c r="T153" s="2" t="s">
        <v>1535</v>
      </c>
      <c r="U153" s="2" t="s">
        <v>1536</v>
      </c>
      <c r="V153" s="2" t="s">
        <v>1537</v>
      </c>
    </row>
    <row r="154" spans="1:22">
      <c r="A154" s="2" t="s">
        <v>35</v>
      </c>
      <c r="C154" s="2" t="s">
        <v>782</v>
      </c>
      <c r="D154" s="2" t="s">
        <v>1755</v>
      </c>
      <c r="E154" s="2" t="s">
        <v>1814</v>
      </c>
      <c r="F154" s="2" t="s">
        <v>1831</v>
      </c>
      <c r="G154" s="2" t="s">
        <v>1848</v>
      </c>
      <c r="H154" s="2" t="s">
        <v>783</v>
      </c>
      <c r="J154" s="2" t="s">
        <v>784</v>
      </c>
      <c r="K154" s="2" t="s">
        <v>785</v>
      </c>
      <c r="L154" s="2" t="s">
        <v>786</v>
      </c>
      <c r="M154" s="2" t="s">
        <v>787</v>
      </c>
      <c r="O154" s="2" t="s">
        <v>1538</v>
      </c>
      <c r="Q154" s="2" t="s">
        <v>1539</v>
      </c>
      <c r="R154" s="2" t="s">
        <v>1540</v>
      </c>
      <c r="S154" s="2" t="s">
        <v>1541</v>
      </c>
      <c r="T154" s="2" t="s">
        <v>1542</v>
      </c>
      <c r="U154" s="2" t="s">
        <v>1543</v>
      </c>
      <c r="V154" s="2" t="s">
        <v>1544</v>
      </c>
    </row>
    <row r="155" spans="1:22">
      <c r="A155" s="2" t="s">
        <v>35</v>
      </c>
      <c r="C155" s="2" t="s">
        <v>788</v>
      </c>
      <c r="D155" s="2" t="s">
        <v>1756</v>
      </c>
      <c r="E155" s="2" t="s">
        <v>1815</v>
      </c>
      <c r="F155" s="2" t="s">
        <v>1832</v>
      </c>
      <c r="G155" s="2" t="s">
        <v>1849</v>
      </c>
      <c r="H155" s="2" t="s">
        <v>789</v>
      </c>
      <c r="J155" s="2" t="s">
        <v>790</v>
      </c>
      <c r="K155" s="2" t="s">
        <v>791</v>
      </c>
      <c r="L155" s="2" t="s">
        <v>792</v>
      </c>
      <c r="M155" s="2" t="s">
        <v>793</v>
      </c>
      <c r="O155" s="2" t="s">
        <v>1545</v>
      </c>
      <c r="Q155" s="2" t="s">
        <v>1546</v>
      </c>
      <c r="R155" s="2" t="s">
        <v>1547</v>
      </c>
      <c r="S155" s="2" t="s">
        <v>1548</v>
      </c>
      <c r="T155" s="2" t="s">
        <v>1549</v>
      </c>
      <c r="U155" s="2" t="s">
        <v>1550</v>
      </c>
      <c r="V155" s="2" t="s">
        <v>1551</v>
      </c>
    </row>
    <row r="156" spans="1:22">
      <c r="A156" s="2" t="s">
        <v>35</v>
      </c>
      <c r="C156" s="2" t="s">
        <v>794</v>
      </c>
      <c r="D156" s="2" t="s">
        <v>1757</v>
      </c>
      <c r="E156" s="2" t="s">
        <v>1816</v>
      </c>
      <c r="F156" s="2" t="s">
        <v>1833</v>
      </c>
      <c r="G156" s="2" t="s">
        <v>1850</v>
      </c>
      <c r="H156" s="2" t="s">
        <v>795</v>
      </c>
      <c r="J156" s="2" t="s">
        <v>796</v>
      </c>
      <c r="K156" s="2" t="s">
        <v>797</v>
      </c>
      <c r="L156" s="2" t="s">
        <v>798</v>
      </c>
      <c r="M156" s="2" t="s">
        <v>799</v>
      </c>
      <c r="O156" s="2" t="s">
        <v>1552</v>
      </c>
      <c r="Q156" s="2" t="s">
        <v>1553</v>
      </c>
      <c r="R156" s="2" t="s">
        <v>1554</v>
      </c>
      <c r="S156" s="2" t="s">
        <v>1555</v>
      </c>
      <c r="T156" s="2" t="s">
        <v>1556</v>
      </c>
      <c r="U156" s="2" t="s">
        <v>1557</v>
      </c>
      <c r="V156" s="2" t="s">
        <v>1558</v>
      </c>
    </row>
    <row r="157" spans="1:22">
      <c r="A157" s="2" t="s">
        <v>35</v>
      </c>
      <c r="C157" s="2" t="s">
        <v>1559</v>
      </c>
      <c r="D157" s="2" t="s">
        <v>1758</v>
      </c>
      <c r="E157" s="2" t="s">
        <v>1817</v>
      </c>
      <c r="F157" s="2" t="s">
        <v>1834</v>
      </c>
      <c r="G157" s="2" t="s">
        <v>1851</v>
      </c>
      <c r="H157" s="2" t="s">
        <v>1560</v>
      </c>
      <c r="J157" s="2" t="s">
        <v>1561</v>
      </c>
      <c r="K157" s="2" t="s">
        <v>1562</v>
      </c>
      <c r="L157" s="2" t="s">
        <v>1563</v>
      </c>
      <c r="M157" s="2" t="s">
        <v>1564</v>
      </c>
      <c r="O157" s="2" t="s">
        <v>1565</v>
      </c>
      <c r="Q157" s="2" t="s">
        <v>1566</v>
      </c>
      <c r="R157" s="2" t="s">
        <v>1567</v>
      </c>
      <c r="S157" s="2" t="s">
        <v>1568</v>
      </c>
      <c r="T157" s="2" t="s">
        <v>1569</v>
      </c>
      <c r="U157" s="2" t="s">
        <v>1570</v>
      </c>
      <c r="V157" s="2" t="s">
        <v>1571</v>
      </c>
    </row>
    <row r="158" spans="1:22">
      <c r="A158" s="2" t="s">
        <v>35</v>
      </c>
      <c r="C158" s="2" t="s">
        <v>800</v>
      </c>
      <c r="D158" s="2" t="s">
        <v>1759</v>
      </c>
      <c r="E158" s="2" t="s">
        <v>1818</v>
      </c>
      <c r="F158" s="2" t="s">
        <v>1835</v>
      </c>
      <c r="G158" s="2" t="s">
        <v>1852</v>
      </c>
      <c r="H158" s="2" t="s">
        <v>1572</v>
      </c>
      <c r="J158" s="2" t="s">
        <v>1573</v>
      </c>
      <c r="K158" s="2" t="s">
        <v>1574</v>
      </c>
      <c r="L158" s="2" t="s">
        <v>1575</v>
      </c>
      <c r="M158" s="2" t="s">
        <v>1576</v>
      </c>
      <c r="O158" s="2" t="s">
        <v>1577</v>
      </c>
      <c r="Q158" s="2" t="s">
        <v>1578</v>
      </c>
      <c r="R158" s="2" t="s">
        <v>1579</v>
      </c>
      <c r="S158" s="2" t="s">
        <v>1580</v>
      </c>
      <c r="T158" s="2" t="s">
        <v>1581</v>
      </c>
      <c r="U158" s="2" t="s">
        <v>1582</v>
      </c>
      <c r="V158" s="2" t="s">
        <v>1583</v>
      </c>
    </row>
    <row r="159" spans="1:22">
      <c r="A159" s="2" t="s">
        <v>35</v>
      </c>
      <c r="C159" s="2" t="s">
        <v>1584</v>
      </c>
      <c r="D159" s="2" t="s">
        <v>1760</v>
      </c>
      <c r="E159" s="2" t="s">
        <v>1819</v>
      </c>
      <c r="F159" s="2" t="s">
        <v>1836</v>
      </c>
      <c r="G159" s="2" t="s">
        <v>1853</v>
      </c>
      <c r="H159" s="2" t="s">
        <v>1585</v>
      </c>
      <c r="J159" s="2" t="s">
        <v>1586</v>
      </c>
      <c r="K159" s="2" t="s">
        <v>1587</v>
      </c>
      <c r="L159" s="2" t="s">
        <v>1588</v>
      </c>
      <c r="M159" s="2" t="s">
        <v>1589</v>
      </c>
      <c r="O159" s="2" t="s">
        <v>1590</v>
      </c>
      <c r="Q159" s="2" t="s">
        <v>1591</v>
      </c>
      <c r="R159" s="2" t="s">
        <v>1592</v>
      </c>
      <c r="S159" s="2" t="s">
        <v>1593</v>
      </c>
      <c r="T159" s="2" t="s">
        <v>1594</v>
      </c>
      <c r="U159" s="2" t="s">
        <v>1595</v>
      </c>
      <c r="V159" s="2" t="s">
        <v>1596</v>
      </c>
    </row>
    <row r="160" spans="1:22">
      <c r="A160" s="2" t="s">
        <v>33</v>
      </c>
      <c r="C160" s="2" t="s">
        <v>722</v>
      </c>
    </row>
    <row r="161" spans="1:21">
      <c r="A161" s="2" t="s">
        <v>35</v>
      </c>
      <c r="C161" s="2" t="s">
        <v>801</v>
      </c>
      <c r="E161" s="2" t="s">
        <v>1597</v>
      </c>
      <c r="J161" s="2" t="s">
        <v>1598</v>
      </c>
      <c r="K161" s="2" t="s">
        <v>1599</v>
      </c>
      <c r="L161" s="2" t="s">
        <v>1600</v>
      </c>
      <c r="M161" s="2" t="s">
        <v>1601</v>
      </c>
      <c r="O161" s="2" t="s">
        <v>1602</v>
      </c>
      <c r="U161" s="2" t="s">
        <v>1603</v>
      </c>
    </row>
    <row r="162" spans="1:21">
      <c r="A162" s="2" t="s">
        <v>35</v>
      </c>
    </row>
    <row r="164" spans="1:21">
      <c r="F164" s="2" t="s">
        <v>10</v>
      </c>
      <c r="J164" s="2" t="s">
        <v>1604</v>
      </c>
      <c r="K164" s="2" t="s">
        <v>1605</v>
      </c>
      <c r="L164" s="2" t="s">
        <v>1606</v>
      </c>
      <c r="M164" s="2" t="s">
        <v>1607</v>
      </c>
      <c r="O164" s="2" t="s">
        <v>1608</v>
      </c>
      <c r="Q164" s="2" t="s">
        <v>1609</v>
      </c>
      <c r="R164" s="2" t="s">
        <v>1610</v>
      </c>
      <c r="S164" s="2" t="s">
        <v>1611</v>
      </c>
      <c r="T164" s="2" t="s">
        <v>1612</v>
      </c>
      <c r="U164" s="2" t="s">
        <v>1613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Options</vt:lpstr>
      <vt:lpstr>Report</vt:lpstr>
      <vt:lpstr>ItemClass</vt:lpstr>
      <vt:lpstr>Location</vt:lpstr>
      <vt:lpstr>Report!Print_Area</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Inventory by Location</dc:title>
  <dc:subject>Jet Reports</dc:subject>
  <dc:creator>Tara May</dc:creator>
  <dc:description>List of items grouped by item class.  Detail includes quantity on hand and current cost by location.</dc:description>
  <cp:lastModifiedBy>Kim R. Duey</cp:lastModifiedBy>
  <cp:lastPrinted>2012-12-07T22:41:40Z</cp:lastPrinted>
  <dcterms:created xsi:type="dcterms:W3CDTF">2006-04-04T16:09:23Z</dcterms:created>
  <dcterms:modified xsi:type="dcterms:W3CDTF">2018-09-27T14:15:42Z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IV Inventory by Location.xls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